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17"/>
  <workbookPr showInkAnnotation="0" updateLinks="never"/>
  <mc:AlternateContent xmlns:mc="http://schemas.openxmlformats.org/markup-compatibility/2006">
    <mc:Choice Requires="x15">
      <x15ac:absPath xmlns:x15ac="http://schemas.microsoft.com/office/spreadsheetml/2010/11/ac" url="https://undp.sharepoint.com/sites/fondomundial/Shared Documents/Share FM/AREA TECNICA 2024/TUBERCULOSIS 2024/MONITOREO/INDICADORES/"/>
    </mc:Choice>
  </mc:AlternateContent>
  <xr:revisionPtr revIDLastSave="519" documentId="13_ncr:1_{10B06A38-AD78-4096-A857-8EF1A9334A75}" xr6:coauthVersionLast="47" xr6:coauthVersionMax="47" xr10:uidLastSave="{31870B98-1CA5-4854-B075-698DC3C43A54}"/>
  <bookViews>
    <workbookView xWindow="-120" yWindow="-120" windowWidth="29040" windowHeight="15840" tabRatio="880" firstSheet="10" activeTab="10" xr2:uid="{00000000-000D-0000-FFFF-FFFF00000000}"/>
  </bookViews>
  <sheets>
    <sheet name="Instructions-ES" sheetId="40" r:id="rId1"/>
    <sheet name="Overview - Section A" sheetId="1" r:id="rId2"/>
    <sheet name="Version history" sheetId="25" state="veryHidden" r:id="rId3"/>
    <sheet name="Reference Records" sheetId="16" state="veryHidden" r:id="rId4"/>
    <sheet name="Impact Indicators - Section B " sheetId="30" r:id="rId5"/>
    <sheet name="update Helper" sheetId="27" state="veryHidden" r:id="rId6"/>
    <sheet name="Setup" sheetId="29" state="veryHidden" r:id="rId7"/>
    <sheet name="Impact Indicator Target Update" sheetId="28" state="veryHidden" r:id="rId8"/>
    <sheet name="Translations" sheetId="36" state="veryHidden" r:id="rId9"/>
    <sheet name="Outcome Indicators - Section C " sheetId="31" r:id="rId10"/>
    <sheet name="Coverage Indicators - Section D" sheetId="33" r:id="rId11"/>
    <sheet name=" Disaggregation - Section E " sheetId="32" r:id="rId12"/>
    <sheet name="WPTM - Section F" sheetId="34" r:id="rId13"/>
    <sheet name="Print View" sheetId="24" r:id="rId14"/>
    <sheet name="Reference records(soft deleted)" sheetId="23" state="veryHidden" r:id="rId15"/>
    <sheet name="Disaggregation Records" sheetId="20" state="veryHidden" r:id="rId16"/>
    <sheet name="Disaggregation Data" sheetId="22" state="veryHidden" r:id="rId17"/>
    <sheet name="Account Role" sheetId="19" state="veryHidden" r:id="rId18"/>
    <sheet name="apttusmetadata" sheetId="13" state="veryHidden" r:id="rId19"/>
  </sheets>
  <externalReferences>
    <externalReference r:id="rId20"/>
    <externalReference r:id="rId21"/>
    <externalReference r:id="rId22"/>
  </externalReferences>
  <definedNames>
    <definedName name="_009096bb_77c7_47e9_ab78_bac00c84b439">'update Helper'!$A$34</definedName>
    <definedName name="_014af77a_8bcb_4d0c_beeb_a3d72f1332b5">'Disaggregation Records'!$G$155</definedName>
    <definedName name="_01bfc0ce_3a93_4136_98df_2e5ab51007c4">'update Helper'!$L$227</definedName>
    <definedName name="_01cccfef_5573_4d36_b9d3_e32bd9199c70">'Overview - Section A'!$AO$17:$AO$19</definedName>
    <definedName name="_0215c642_4079_4a66_b33f_02948e5b161c">'Overview - Section A'!$A$60</definedName>
    <definedName name="_02305739_ec80_4503_b191_2e272f7ad158">'Reference records(soft deleted)'!$H$26</definedName>
    <definedName name="_0278b5de_0da4_4498_a134_99a2744a9fab">'Overview - Section A'!$X$124</definedName>
    <definedName name="_033fcd6d_adce_4700_8852_ca583a6bef6b">'Disaggregation Records'!$G$69</definedName>
    <definedName name="_041a39b4_8ff8_4bdd_bc99_4f008e44b010">'Reference records(soft deleted)'!$J$26</definedName>
    <definedName name="_0498dc4a_5706_4cf8_9462_13fccb149fe3">'update Helper'!$M$886</definedName>
    <definedName name="_04a05b73_32c0_4d2d_a31f_5fbde1b204a3">'Reference records(soft deleted)'!$I$167</definedName>
    <definedName name="_053d4715_81a5_4c4e_908e_bbbba2cb81d4">'update Helper'!$O$227</definedName>
    <definedName name="_05de697d_8f2c_4184_9d2e_6faa62695a32" comment="Display Map">'Reference records(soft deleted)'!$B$117:$K$161</definedName>
    <definedName name="_06a30c86_360f_426e_8e45_34c8bc342561" comment="Display Map">'Overview - Section A'!$A$26:$S$26</definedName>
    <definedName name="_06f0afa9_1fe3_42c4_a70c_ee03512b1215">'Reference records(soft deleted)'!$B$167</definedName>
    <definedName name="_07c6e9ba_e1f0_4c5a_9be5_1f8f2de0a270" localSheetId="0">'[1]update Helper'!#REF!</definedName>
    <definedName name="_07c6e9ba_e1f0_4c5a_9be5_1f8f2de0a270">#REF!</definedName>
    <definedName name="_07f6212a_2a5a_452d_b852_a06db9d121bc">'Reference Records'!$M$25</definedName>
    <definedName name="_0883281e_e21d_43ef_9187_230346f845f9">'Overview - Section A'!$C$19</definedName>
    <definedName name="_089c4f14_f445_4edd_986d_5381533aad0a">'update Helper'!$M$43</definedName>
    <definedName name="_0a25a90c_3219_438f_af02_7dbbd6432e17">'Reference Records'!$D$1:$D$768</definedName>
    <definedName name="_0b061e63_2d62_4e7f_be44_4eac7747625a">'update Helper'!$K$3</definedName>
    <definedName name="_0ba5fba9_1998_4ded_9b12_f967fc1c76dc">'update Helper'!$E$227</definedName>
    <definedName name="_0be7695c_11a6_45b5_b154_af6d36015894">'Reference Records'!$B$424</definedName>
    <definedName name="_0beac2ba_bbbb_431d_8bce_14dbf66bdf78">'Overview - Section A'!$E$60</definedName>
    <definedName name="_0c431a0b_6c06_4a8d_9958_df0e381f3233">'update Helper'!$F$3</definedName>
    <definedName name="_0cdb72c3_6724_4a77_bc28_1011a00b051b">'Disaggregation Data'!$K$315</definedName>
    <definedName name="_0d92c2c9_3965_40dd_8ee0_e9f02c0e3ee9">'update Helper'!$C$2204</definedName>
    <definedName name="_0dc96169_1e4e_4b6f_8f38_6c1e88134dc4">'Overview - Section A'!$L$31</definedName>
    <definedName name="_0eecfd33_4a6a_4cbb_afe3_81fb3599f535">'Reference records(soft deleted)'!$I$117:$I$118</definedName>
    <definedName name="_0f39d314_7997_497e_b89c_3c8231e774ea">'Reference Records'!$K$25</definedName>
    <definedName name="_0f6dd035_5a2a_4fb8_9c03_136130f7ba45">'Disaggregation Records'!$P$155</definedName>
    <definedName name="_10373643_8727_4ea7_b41d_1b5ebdd41ba4">'Reference Records'!$M$213</definedName>
    <definedName name="_1121e55d_6d32_4888_b652_ac9583a82d46">'update Helper'!$C$2370</definedName>
    <definedName name="_1279d174_765e_40f7_9774_a1502cee1084">'update Helper'!$D$453</definedName>
    <definedName name="_13f5bbc3_a06d_4a3e_b75e_ac6929e1cb91">'Reference Records'!$A$358:$A$359</definedName>
    <definedName name="_13f7ccf9_e83b_492d_b75e_505ddf064a0d">'update Helper'!$M$2204</definedName>
    <definedName name="_144bb8c4_0b16_4558_9e0b_bfebb0a9604a">'update Helper'!$C$886</definedName>
    <definedName name="_14a567c8_d8f6_4162_9aa0_c1538b8740a0" comment="Display Map">'Reference records(soft deleted)'!$B$5:$K$20</definedName>
    <definedName name="_164e6d09_185f_4eb7_8d48_b40f818dce2a" comment="Display Map">'Reference Records'!$A$78:$Q$155</definedName>
    <definedName name="_181f0491_3526_4056_a1b6_cc19485d3206">'Disaggregation Records'!$K$69</definedName>
    <definedName name="_185f9a59_e3dc_4a86_b1fd_a4a300de92e9">'Reference records(soft deleted)'!$F$117:$F$118</definedName>
    <definedName name="_18fcd6ea_974c_4b82_9069_cd9097340c65">'Disaggregation Records'!$N$155</definedName>
    <definedName name="_1955075b_5332_4022_9e1d_d8310266160b">'Reference Records'!$B$372</definedName>
    <definedName name="_195784db_c268_4c63_8483_153347963bf4">'Reference records(soft deleted)'!$F$118</definedName>
    <definedName name="_1973a1fe_f6bd_4298_a9ef_0f4352e0ed5c">'update Helper'!$AB$453</definedName>
    <definedName name="_198b5a5f_0f03_476f_accf_4c39afec46de">'update Helper'!$L$267</definedName>
    <definedName name="_1a080622_0d74_49cf_97f9_4810bf8030df">'Overview - Section A'!$F$60</definedName>
    <definedName name="_1a5b1cfb_0aff_4bfb_a8cf_305d6cff91c4">'update Helper'!$AD$453</definedName>
    <definedName name="_1a724e84_de47_4d84_99f6_1ebe05a5198e">'Disaggregation Records'!$J$3</definedName>
    <definedName name="_1aa1a76c_dd86_4169_9713_d4769c038cf4">'Overview - Section A'!$AN$5</definedName>
    <definedName name="_1adee5ff_c5c9_43db_9c1e_bb4129b790bf">'Disaggregation Records'!$L$69</definedName>
    <definedName name="_1b8aaee3_08fa_47b6_9b44_c592025d5948">'Reference Records'!$D$213</definedName>
    <definedName name="_1ba5b9ab_2d9b_4eca_b122_0032dff5772a">'Overview - Section A'!$C$19:$C$22</definedName>
    <definedName name="_1c63dced_ef57_49a2_b76c_04f2a67c4e37">'Reference Records'!$G$657</definedName>
    <definedName name="_1c9a6136_ca1e_45b0_8d91_8e499a1c2b64">'update Helper'!$F$267</definedName>
    <definedName name="_1d6a3bac_4285_4496_be35_4b6e94c6c525">'Overview - Section A'!$F$78</definedName>
    <definedName name="_1e4eb8fc_811c_44fb_af4b_e630611aebf1" localSheetId="0">'[1]Impact Indicators - Section B'!#REF!</definedName>
    <definedName name="_1e4eb8fc_811c_44fb_af4b_e630611aebf1">#REF!</definedName>
    <definedName name="_1e8031e2_fb17_49db_aa23_60e8be628b5d">'update Helper'!$N$1419</definedName>
    <definedName name="_1f7a22d6_7976_4a51_98b5_b72a96a27356">'update Helper'!$N$267</definedName>
    <definedName name="_201a9b59_c648_4520_b810_e4a26475e91b">'update Helper'!$L$43</definedName>
    <definedName name="_20610bf4_5e5c_47a3_b8cb_606c8e2d35b3">'Impact Indicator Target Update'!$N$1</definedName>
    <definedName name="_20b37a5d_a9b9_4728_a5db_fa2bcdb4259a">'update Helper'!$G$3</definedName>
    <definedName name="_2107d815_de12_4678_b7bf_30f8521ae049">'Overview - Section A'!$E$8</definedName>
    <definedName name="_214941ba_c471_49a3_8970_f93dba1090ed">'update Helper'!$J$1419</definedName>
    <definedName name="_2155cd87_2f72_4971_9bf3_5e903b4bd350">'Disaggregation Data'!$H$3</definedName>
    <definedName name="_21767732_1f31_4ce6_b119_8446771deb3e">'Reference Records'!$M$4</definedName>
    <definedName name="_21b12a26_ee05_4098_a9bf_fc0cdf7f6adb">'update Helper'!$I$267</definedName>
    <definedName name="_227c1eef_248d_4636_b70f_e17385d0de94">'Disaggregation Data'!$I$3</definedName>
    <definedName name="_233f4b6b_2a85_4f7c_a11c_783789889f27">'update Helper'!$C$453</definedName>
    <definedName name="_234097fa_7af3_40a6_9a0b_c63fe2b310fb">'Disaggregation Records'!$O$3</definedName>
    <definedName name="_23c679e9_b192_40b1_95ad_e2f1dac7a992">'Disaggregation Data'!$M$3</definedName>
    <definedName name="_23debc6e_f89a_4d49_93e8_506d71c4cbb7" comment="Display Map">'Overview - Section A'!$A$123:$AQ$174</definedName>
    <definedName name="_242d575a_eb16_4795_affc_a818f9b0adad" comment="Display Map">'Disaggregation Data'!$D$2:$R$153</definedName>
    <definedName name="_2440afcf_7038_466b_9f8b_f5cb2d881ac0">'update Helper'!$M$1419</definedName>
    <definedName name="_24ce621f_5feb_4421_aa7b_30c973952869">'Overview - Section A'!$Q$31</definedName>
    <definedName name="_256acc1f_d632_49f3_a230_a7c45fed6c7d">'update Helper'!$A$2370</definedName>
    <definedName name="_25903c5a_79da_48aa_a73a_0efa3fa709b3">'Overview - Section A'!$E$7</definedName>
    <definedName name="_25c4f9c3_a465_4509_8e2f_b4c3afc12d62">'Disaggregation Data'!$M$159</definedName>
    <definedName name="_26871ad2_5643_4577_a42a_cef86a91d97d">'Reference Records'!$T$4</definedName>
    <definedName name="_269ad186_a2a4_4f46_8ca7_07cb583e612e">'update Helper'!$R$2204</definedName>
    <definedName name="_27c6dfb2_6e2c_4519_aff6_82afcaea4b81">'update Helper'!$H$2370</definedName>
    <definedName name="_29114823_71c7_429d_a280_da9290ae2726">'Disaggregation Records'!$N$69</definedName>
    <definedName name="_29485cc3_b6f0_4699_8a0a_9b1b9b557d0a">'update Helper'!$T$453</definedName>
    <definedName name="_295f3441_adc3_4dc5_8a9e_67266d697395">'Overview - Section A'!$N$31</definedName>
    <definedName name="_29cebab7_2d83_4f3c_9514_8297fc24a341">'update Helper'!$AA$453</definedName>
    <definedName name="_29dc2e64_1893_44f6_9dcf_87e619efff18">'update Helper'!$M$3</definedName>
    <definedName name="_29de1210_4fea_46a8_ac63_eb3a3734b209">'Account Role'!$D$22</definedName>
    <definedName name="_2aadba24_f284_4106_939e_021fa73526f3">'Reference Records'!$I$657</definedName>
    <definedName name="_2ab1dfcf_a207_4488_9778_05865ff67402">'Reference records(soft deleted)'!$G$118</definedName>
    <definedName name="_2b6b996f_cb14_4a6f_a9d2_340471f8299f">'update Helper'!$U$453</definedName>
    <definedName name="_2bad41a3_d2d5_4a30_a026_b211ed401ae9">'Impact Indicator Target Update'!$K$1</definedName>
    <definedName name="_2c6b8785_2f7e_4ce5_948e_2066c6838182">'Reference Records'!$O$4</definedName>
    <definedName name="_2cce8ee2_6afd_41d1_bcad_99af3d7b16b5">'update Helper'!$J$519</definedName>
    <definedName name="_2d154807_2b4a_4b96_90cc_90540c97cd87">'update Helper'!$H$886</definedName>
    <definedName name="_2d8b8002_9e00_4e21_821d_5beccbd0b725">'update Helper'!$K$519</definedName>
    <definedName name="_2e072484_37c2_40d3_8ebb_cc2dad56c7bb">'update Helper'!$K$2204</definedName>
    <definedName name="_304a4b38_aadb_465f_bec4_ede79462324a" comment="Display Map">'Account Role'!$A$21:$D$293</definedName>
    <definedName name="_30572134_8290_4750_a680_dd1dbf9fbe17" comment="Display Map">'Disaggregation Data'!$D$158:$O$309</definedName>
    <definedName name="_30b03846_ab03_4151_aecb_ffcd8f9380d3">'Reference records(soft deleted)'!$G$250</definedName>
    <definedName name="_31abdfc0_7b3f_4421_9bb3_3010b64c33c6">'Reference Records'!$B$421</definedName>
    <definedName name="_31d120e8_a153_4549_b61b_13f625c541fd">'Disaggregation Records'!$N$3</definedName>
    <definedName name="_31e1e97a_f8b3_42a3_9dba_54263b984934">'Overview - Section A'!$Q$47</definedName>
    <definedName name="_33898a8c_e55b_4fb6_a523_fc8d172930cd" comment="Display Map">'Reference Records'!$B$3:$T$18</definedName>
    <definedName name="_33f94c69_7ad0_42e4_ae97_cd43ab2f6fb1">'Disaggregation Data'!$D$315</definedName>
    <definedName name="_345d0d9b_6a28_4efe_b573_e24f2d2c320a">'update Helper'!$P$3</definedName>
    <definedName name="_3599e6a2_76d5_4a3e_b94f_263ea328a754">'Overview - Section A'!$AN$10</definedName>
    <definedName name="_35a3a7c3_ebbd_4b4d_a304_0699e84940ff">'Overview - Section A'!$G$124</definedName>
    <definedName name="_35d1b49a_9719_423f_baf2_fde871e1bd58">'Overview - Section A'!$O$31</definedName>
    <definedName name="_3656f8fe_1658_4390_b037_f0db08258404">'update Helper'!$D$517</definedName>
    <definedName name="_36c48884_8351_429d_866b_c7cb8ec9bdfb">'Overview - Section A'!$P$31</definedName>
    <definedName name="_37fc5e03_bcc7_4685_9fef_b3f1646865b7">'Reference Records'!$J$431</definedName>
    <definedName name="_38090fcc_c83f_4075_9748_b307f993e767">'Reference records(soft deleted)'!$B$250</definedName>
    <definedName name="_38727489_790b_4106_8b2a_6a8fd7426747">'update Helper'!$I$1419</definedName>
    <definedName name="_388e9f7b_b253_414f_b074_2b51db867bec">'Overview - Section A'!$K$31</definedName>
    <definedName name="_38de050d_86ee_49c2_9fbb_229243dfc39c">'Reference Records'!$Q$159</definedName>
    <definedName name="_3a54c0cb_5d61_44ab_9f5f_59c0b83c7017" comment="Save Map">'Account Role'!$B$295:$D$295</definedName>
    <definedName name="_3a87c5f7_0769_4a3a_a3e3_82a4b0341068">'Reference Records'!$C$364</definedName>
    <definedName name="_3aa3a9d7_516a_4076_842d_45635c693b16">'Overview - Section A'!$F$124</definedName>
    <definedName name="_3b16469f_3a28_404f_a919_41ed115ef29e">'Disaggregation Data'!$R$3</definedName>
    <definedName name="_3b7422cb_6445_4aa9_93d7_564b3b552a88">'update Helper'!$M$227</definedName>
    <definedName name="_3c45532e_4503_44c3_aed1_88e3c7145bca">'Reference Records'!$E$159</definedName>
    <definedName name="_3c670222_be49_48d4_a6da_55d70e83d153" comment="Display Map">'Reference Records'!$A$371:$C$417</definedName>
    <definedName name="_3c7e6a65_3704_49f1_aeb5_596f9e172566">'update Helper'!$A$1419</definedName>
    <definedName name="_3d3c76b6_9fcf_4cb5_b2a3_ba632337362e">'Overview - Section A'!$Y$124</definedName>
    <definedName name="_3d6d3512_10c0_4de5_aa42_7ee068d75e48">'Reference Records'!$E$657</definedName>
    <definedName name="_3e588f48_5b47_4e13_ab21_55c135645d97">'Reference Records'!$C$372</definedName>
    <definedName name="_3e75799f_c328_461d_aa21_8f9a9eab5513">'Reference Records'!$K$431</definedName>
    <definedName name="_3f09c12b_bc4c_4018_a427_8323f6abdcde">'Impact Indicator Target Update'!$I$1</definedName>
    <definedName name="_3f14779a_3657_4ee9_b857_6b95d77074db">'Reference Records'!$A$372</definedName>
    <definedName name="_3f450a54_eabe_42be_b6a5_18c086a5d786">'Overview - Section A'!$AA$124</definedName>
    <definedName name="_3fdc2ac9_f4a3_4d6a_b2f2_58d6f3e03696">'update Helper'!$I$3</definedName>
    <definedName name="_3fe9ffb0_20f0_4e61_bd05_c39610c7d823">'update Helper'!$J$3</definedName>
    <definedName name="_413e976f_e211_495a_946b_b87ba18376c4">'update Helper'!$A$2204</definedName>
    <definedName name="_4142b5d6_b3a2_4804_93e1_6abaf2166d4c">'Reference records(soft deleted)'!$H$167</definedName>
    <definedName name="_4168f68f_65b0_4ea5_bc1b_2714af57d8d9">'Reference Records'!$P$4</definedName>
    <definedName name="_423d3c20_41cf_4997_a293_9b1150fb8eaa">'Overview - Section A'!$AQ$124</definedName>
    <definedName name="_425b05fb_599f_421c_ad67_1b45a511d0c0">'Reference records(soft deleted)'!$I$118:$I$118</definedName>
    <definedName name="_4266c6da_54ca_4a1a_a567_1b51c0445aba">'Overview - Section A'!$C$9</definedName>
    <definedName name="_42a2ef20_7507_4137_ae83_1c4ed24d9bd9">'Reference Records'!$D$159:$D$204</definedName>
    <definedName name="_42d7fb51_4e33_4fc0_b034_1c2d76e20fd5">'update Helper'!$U$227</definedName>
    <definedName name="_450947d9_3973_46bc_ab14_5dab8bf5c8fb">'Overview - Section A'!$J$124</definedName>
    <definedName name="_45ed0cc2_06fa_47d2_bf1a_8078df921d9b">'Impact Indicator Target Update'!$B$1</definedName>
    <definedName name="_463898c2_94f9_443e_9360_603b31e51356">'Reference Records'!$F$657</definedName>
    <definedName name="_46d565cf_c4b6_4ba9_91a9_ae6e1f229f25">'update Helper'!$N$453</definedName>
    <definedName name="_4820f755_1815_4142_9c1e_22637b4b3c30" comment="Display Map">'update Helper'!$A$226:$U$257</definedName>
    <definedName name="_493718d5_8d74_4e5b_a628_d7a62c064791">'Overview - Section A'!$AN$11</definedName>
    <definedName name="_49926cff_7d8a_446c_9eaf_1304d30c19db">'update Helper'!$C$1190</definedName>
    <definedName name="_4994889e_24bf_4e57_b5fe_4d250c0b598a">'Reference Records'!$B$359</definedName>
    <definedName name="_4ae48ad8_e1d2_4fe8_923d_d826a0a6db3d">'Reference records(soft deleted)'!$J$167</definedName>
    <definedName name="_4af41944_42f7_4e99_8627_878d677a4e30">'Disaggregation Data'!$O$159</definedName>
    <definedName name="_4b36df75_ea3b_4116_b8ac_4a66abe762ad" comment="Display Map">'Disaggregation Records'!$A$68:$Q$151</definedName>
    <definedName name="_4b8d00e4_3b44_4af0_94c2_6912b8089f7c" localSheetId="0">'[1]Reference Records'!#REF!</definedName>
    <definedName name="_4b8d00e4_3b44_4af0_94c2_6912b8089f7c">#REF!</definedName>
    <definedName name="_4c42d79f_dbe5_4149_82f9_e7c685dd6770">'Reference Records'!$S$4</definedName>
    <definedName name="_4d0cf32e_0e05_456f_b4d1_14bd4c608721">'Reference records(soft deleted)'!$B$118</definedName>
    <definedName name="_4d2be4fe_13b2_4faf_828e_93509fa81057" comment="Display Map">'update Helper'!$A$885:$O$1186</definedName>
    <definedName name="_4d46f88d_b53f_4725_b903_496b8000bb47">'Reference Records'!$P$159</definedName>
    <definedName name="_4db5cf38_f801_4806_bf2c_599132967e52">'Overview - Section A'!$N$47</definedName>
    <definedName name="_4dc32036_026a_4d5f_beb4_03786a15ba27" comment="Save Map">'update Helper'!$B$3:$I$3</definedName>
    <definedName name="_4e28d14a_809b_451a_94f7_5adb1a78a192">'Reference Records'!$B$213</definedName>
    <definedName name="_4e3ce3cc_8312_431b_a087_d993964fb260">'Overview - Section A'!$H$102</definedName>
    <definedName name="_4e82750a_5fea_44c6_80cf_72f682152f92">'Disaggregation Data'!$O$315</definedName>
    <definedName name="_4ede0df7_bdae_485c_a6aa_cd381b32466f">'Overview - Section A'!$A$124</definedName>
    <definedName name="_4ee906e6_a15a_4bd6_a5ab_48f7e9c4ead2">'update Helper'!$N$2204</definedName>
    <definedName name="_4f178b68_20c0_4f6c_b1b2_a19a8fcafba7">'update Helper'!$C$519</definedName>
    <definedName name="_4f36af19_06bf_4c59_990d_586822b3d259">'Overview - Section A'!$A$78</definedName>
    <definedName name="_4f63865c_55fd_464f_93e9_b2225fc74687">'Reference records(soft deleted)'!$H$6</definedName>
    <definedName name="_505724dd_8547_4bc3_976d_4313725e4ae3">'update Helper'!$I$43</definedName>
    <definedName name="_50db2e80_c834_4e54_81d0_095d3a449508">'Overview - Section A'!$AN$11</definedName>
    <definedName name="_51b611bd_a560_42d0_9976_577e62d2b71d">'Overview - Section A'!$A$19</definedName>
    <definedName name="_52d6fc62_59f3_4757_a084_a8aeafb48d9b">'Overview - Section A'!$G$78</definedName>
    <definedName name="_52e13748_1182_4a4a_9d8d_bac741435bb8">'update Helper'!$B$3</definedName>
    <definedName name="_53066892_24de_428a_ae98_ea86638a4c62">'Reference Records'!$B$25</definedName>
    <definedName name="_53737226_720f_44cb_8b6f_c2a7829a2378">'Reference records(soft deleted)'!$I$26</definedName>
    <definedName name="_54eeb97e_db74_4058_898e_3c70d10a60fb">'Overview - Section A'!$E$10</definedName>
    <definedName name="_551ff597_4d6b_4e43_80ec_d627591a4405">'update Helper'!$A$43</definedName>
    <definedName name="_556ddeb1_283d_4119_8033_220d00837221">'update Helper'!$G$2370</definedName>
    <definedName name="_57279062_e326_494d_97d1_9dfc8942bd33" comment="Display Map">'Reference records(soft deleted)'!$B$25:$K$113</definedName>
    <definedName name="_572e42ad_37ba_41a9_bff2_b341932489fa">'Disaggregation Data'!$K$159</definedName>
    <definedName name="_5784befd_ba79_46ce_94c3_633c0a4c5b39">'update Helper'!$G$886</definedName>
    <definedName name="_5872670a_ec38_4a89_ad98_a6d82394eb83">'Reference Records'!$D$657</definedName>
    <definedName name="_58bd3376_047f_4dcd_8c2d_825da0f87b4c">'Reference Records'!$N$4</definedName>
    <definedName name="_59a28839_db65_45dc_8a19_59cbc682c3a6">'Reference records(soft deleted)'!$I$6</definedName>
    <definedName name="_59f95329_4292_4573_afbd_ad38fe5a11b5">'update Helper'!$Q$453</definedName>
    <definedName name="_5a304b38_0560_4d4b_9305_af573a971c7b">'update Helper'!$D$267</definedName>
    <definedName name="_5a6b264f_e866_4180_b32b_be3682daaa02">'Impact Indicator Target Update'!$J$1</definedName>
    <definedName name="_5ab6d726_9fce_48bb_aa46_4986e5a2e80e">'update Helper'!$R$227</definedName>
    <definedName name="_5b7858ba_c7ed_4c9b_bc1f_4266d944d694">'update Helper'!$M$1190</definedName>
    <definedName name="_5bfda244_8ccf_4224_a2ea_9a3800784bec">'update Helper'!$Q$227</definedName>
    <definedName name="_5c348667_29c7_4f46_8bdf_9340e7ffe341">'Reference Records'!$N$213</definedName>
    <definedName name="_5c482c04_4e59_4d71_9f75_de3d9d16970b">'Reference records(soft deleted)'!$K$26</definedName>
    <definedName name="_5ca483d4_a607_464c_bfdb_b77cba9ec0a9">'update Helper'!$Q$3</definedName>
    <definedName name="_5d5f763d_3d34_4982_8228_6a30e5e5d212">'update Helper'!$L$453</definedName>
    <definedName name="_5d657817_9a27_4b37_bcd4_b55f78d6ac1b">'Disaggregation Data'!$I$315</definedName>
    <definedName name="_5da2fc81_49b6_4671_89eb_7b28c003e9be">'Disaggregation Data'!$O$3</definedName>
    <definedName name="_5df64d32_9a5c_414c_86e2_ae3655f5bb58">'update Helper'!$D$1419</definedName>
    <definedName name="_5e1f219c_cae5_40fc_ba27_83bc77b94308">'update Helper'!$B$2370</definedName>
    <definedName name="_5e59b3d2_3706_4a8c_932c_fdb0f6aa3c16">'Reference Records'!$K$4</definedName>
    <definedName name="_5e768e91_687d_4dfb_a07c_b558729186db">'Reference Records'!$D$211:$D$213</definedName>
    <definedName name="_5e92d889_8ba8_4c5a_940f_5b9f94b6e30a">'Reference records(soft deleted)'!$J$6</definedName>
    <definedName name="_5fd64279_1bd2_488c_9e62_4053f45567f5">'update Helper'!$K$2370</definedName>
    <definedName name="_5ffe0d1a_8a84_4337_9fd0_deccf895e752">'Account Role'!$G$3</definedName>
    <definedName name="_60cca16c_2bbf_4012_b9ed_84b4cc4c6513">'Overview - Section A'!$E$27</definedName>
    <definedName name="_62fc5abc_c22f_4886_8298_ae4140ce6a16">'Disaggregation Data'!$N$315</definedName>
    <definedName name="_634c40bd_8cf0_4631_853b_96851e3bcde4">'Disaggregation Records'!$H$3</definedName>
    <definedName name="_63de57f1_547d_4bd8_8c72_4f7979df3206" comment="Display Map">'Disaggregation Records'!$A$154:$Q$384</definedName>
    <definedName name="_641e8879_2a7f_4e5b_9221_71c3163e2697">'update Helper'!$C$227</definedName>
    <definedName name="_6455b8f3_a4e7_439d_8059_19ecc4f1f876">'Reference records(soft deleted)'!$J$118</definedName>
    <definedName name="_64b80052_1148_4ad0_a719_2605a229a5dd">'Reference Records'!$A$657</definedName>
    <definedName name="_651c1cff_29dc_4f61_8994_ff4aa592187f">'Reference Records'!$B$4</definedName>
    <definedName name="_654bca83_10b5_4fb3_962f_80e82dfc63ce">'Reference Records'!$B$358:$B$359</definedName>
    <definedName name="_65c26b5a_0465_48fc_a362_f2e87b3413d9">'update Helper'!$A$519</definedName>
    <definedName name="_666ecfb3_4890_469f_9405_c844bfec298e">'Disaggregation Data'!$P$3</definedName>
    <definedName name="_66c05feb_5ba4_4d15_8d33_a4f0ff5f795a">'Disaggregation Data'!$H$159</definedName>
    <definedName name="_66ed04dd_0830_439c_b4bc_24d70db2c1e7" comment="Display Map">'update Helper'!$A$1189:$O$1415</definedName>
    <definedName name="_6715a48b_b59c_4776_be88_a55a2bdba187">'update Helper'!$E$1419</definedName>
    <definedName name="_68131f07_373f_4ee5_8db3_e8876679341b">'update Helper'!$J$227</definedName>
    <definedName name="_6817dc8a_703d_4192_a2a8_a72a907275fb">'Reference records(soft deleted)'!$B$6</definedName>
    <definedName name="_6a3dda26_b269_4afa_8b05_c602a881a167">'Overview - Section A'!$A$47</definedName>
    <definedName name="_6ac60fe2_d872_4a35_a5e2_7132294649ec" comment="Display Map">'Reference records(soft deleted)'!$B$166:$K$243</definedName>
    <definedName name="_6b293db8_2064_47cb_abbc_3f4c6d0caeda">'Overview - Section A'!$E$47</definedName>
    <definedName name="_6b7b095a_5e69_4c56_b186_9b24f30d5a48" localSheetId="0">'[1]Overview - Section A'!#REF!</definedName>
    <definedName name="_6b7b095a_5e69_4c56_b186_9b24f30d5a48">#REF!</definedName>
    <definedName name="_6c432057_801a_4b50_8cf7_6f6149d7c40a">'Overview - Section A'!$T$124</definedName>
    <definedName name="_6ce0ed87_5b35_40ed_9f7a_44a4e37463b9">'update Helper'!$F$43</definedName>
    <definedName name="_6de46edd_2f1b_4343_8ab7_4e70e2856d23">'update Helper'!$C$1419</definedName>
    <definedName name="_6e6943dc_a39b_4021_932f_cfd2e12ee608">'Disaggregation Records'!$A$155</definedName>
    <definedName name="_6e9ed759_a029_439a_93ab_0d062c7d6e8a" comment="Display Map">'Impact Indicator Target Update'!$B$1:$T$1</definedName>
    <definedName name="_6f4021c1_930e_44d0_a39b_d0b8c8bca29b">'update Helper'!$I$886</definedName>
    <definedName name="_6f7ec15b_c268_485e_b0b1_4f72a84c4bc6" comment="Display Map">'Overview - Section A'!$A$46:$U$53</definedName>
    <definedName name="_708bc3f4_3b2b_4cbe_89e1_1871c272480d">'Overview - Section A'!$J$102</definedName>
    <definedName name="_70a5cda6_774c_4166_b372_07fbe25d764a">'update Helper'!$J$267</definedName>
    <definedName name="_7111a6af_994e_4c8e_91da_0cd71318b438">'update Helper'!$O$1190</definedName>
    <definedName name="_7210282b_6d37_40e9_9208_b22105dfdb45">'Reference Records'!$J$79</definedName>
    <definedName name="_7318b74f_0f66_4a96_9490_a6e530953ede">'update Helper'!$AG$453</definedName>
    <definedName name="_73ed6a72_5bb2_4e78_b64b_57d38f0409a1">'Disaggregation Data'!$L$3</definedName>
    <definedName name="_745d292d_fc17_4892_81af_e69f39f278df">'Reference Records'!$K$79</definedName>
    <definedName name="_75127888_d602_45ff_b831_0b6cb5ca1689">'Disaggregation Data'!$H$315</definedName>
    <definedName name="_75417d5f_8186_4610_b9ba_588590a586ac">'Disaggregation Data'!$N$3</definedName>
    <definedName name="_7554e4be_d51b_4eff_b8a1_67f281ff6896">'update Helper'!$E$886</definedName>
    <definedName name="_75e01dac_a196_4485_8c4e_3c8181e382da">'Reference Records'!$C$372:$C$418</definedName>
    <definedName name="_7638a94a_e06b_4d66_97b8_ac609d3da203" comment="Save Map">'Overview - Section A'!$E$76</definedName>
    <definedName name="_7643b6aa_7bef_476f_ad52_f8748c078a19">'Overview - Section A'!$E$78</definedName>
    <definedName name="_767e167c_49a5_47f2_969d_5168b626be63">'update Helper'!$G$519</definedName>
    <definedName name="_76f43188_477a_485f_9a13_9e30303f1124">'Overview - Section A'!$D$102</definedName>
    <definedName name="_77290f0f_e3b8_410c_9e2a_f33b99973795">'Disaggregation Records'!$O$155</definedName>
    <definedName name="_77c0e58c_063b_4191_abfd_5b535878c189">'Overview - Section A'!$J$27</definedName>
    <definedName name="_78b9de5e_0b4f_481c_a62c_142b52c36488">'update Helper'!$O$886</definedName>
    <definedName name="_7920b793_d507_4f7a_99e2_756c9f466e52">'Overview - Section A'!$F$102</definedName>
    <definedName name="_7a157943_9cc3_410b_ac27_f2c54152e262">'update Helper'!$G$1190</definedName>
    <definedName name="_7a72f78c_72ee_4007_958d_a1a1ee34b28b">'update Helper'!$C$43</definedName>
    <definedName name="_7ab7b090_6bd0_4a8e_8113_dd21d389a342">'Reference Records'!$D$159:$D$203</definedName>
    <definedName name="_7abccd6d_b26a_464a_a34f_823b62ef9461">'Reference Records'!$A$213</definedName>
    <definedName name="_7bac37da_c8ab_49df_9ce6_06a9736d64f8">'Reference Records'!$A$431</definedName>
    <definedName name="_7c917dad_3e1d_47db_8eb3_2b416550c06c">'update Helper'!$J$2204</definedName>
    <definedName name="_7cbcbc4a_d246_4bbc_a159_edc409a2e4fe">'Reference Records'!$I$79</definedName>
    <definedName name="_7cdc6ffc_7316_43a3_8c10_94815252d4bc">'Overview - Section A'!$E$77</definedName>
    <definedName name="_7dad7a53_3619_44b2_9f14_26d23af8b014">'Impact Indicator Target Update'!$T$1</definedName>
    <definedName name="_7dd1a1e8_b3e5_4977_b435_92933762fedb">'Account Role'!$A$22</definedName>
    <definedName name="_7e97b1d3_ddd6_4d94_b1d6_9a53b33ff98b">'Reference Records'!$D$77:$D$78</definedName>
    <definedName name="_7e97bb3f_85c0_4041_8e33_f4dfd9b2bd63">'update Helper'!$O$1419</definedName>
    <definedName name="_7e99718f_b927_43f8_a72d_f5933e7780ca">'Reference Records'!$Q$25</definedName>
    <definedName name="_7ea43aa2_3fad_4650_821c_ea2dc5b2b6d6">'Reference Records'!$A$79</definedName>
    <definedName name="_7ed2ad39_d4a3_43ed_a915_8a79ae9d08a6">'Overview - Section A'!$S$27</definedName>
    <definedName name="_7fc44159_eb0c_4ec6_937c_83795558bd60">'Disaggregation Data'!$E$3</definedName>
    <definedName name="_824188d8_1928_41a5_8873_0ce612bdaed2">'update Helper'!$S$453</definedName>
    <definedName name="_8273a11c_a030_45ba_bf8f_2b577e1aa93b">'Overview - Section A'!$A$27</definedName>
    <definedName name="_8275e2f9_07b9_4fec_af79_daf5bf5849e5">'Reference Records'!$C$421</definedName>
    <definedName name="_82b810a8_4ed0_4323_bc38_7e1a937be1f8">'Overview - Section A'!$AB$124</definedName>
    <definedName name="_8369de31_1390_409f_b55a_fde61d8d7199">'update Helper'!$J$43</definedName>
    <definedName name="_83a8b122_8cd9_4c5d_9e26_19949421dbb8">'Reference Records'!$S$25</definedName>
    <definedName name="_84592985_545c_4142_977f_19911c1d7be1">'Disaggregation Data'!$D$159</definedName>
    <definedName name="_84d9d01d_791d_4814_96ca_cef45a6abd3a">'update Helper'!$J$2370</definedName>
    <definedName name="_862ffe01_c829_453b_8951_9acfdd7e0f24">'Overview - Section A'!$G$102</definedName>
    <definedName name="_864425d0_252a_4246_909e_cc0826e707f2" comment="Display Map">'Account Role'!$A$2:$G$13</definedName>
    <definedName name="_8680b4e4_73f6_49ed_b636_6796b8fc3007">'update Helper'!$L$3</definedName>
    <definedName name="_872311fc_11bb_401c_8b93_291ded9ec451" localSheetId="0">'[1]Coverage Indicators-Section D'!#REF!</definedName>
    <definedName name="_872311fc_11bb_401c_8b93_291ded9ec451">#REF!</definedName>
    <definedName name="_8740d754_6057_4f92_9544_9f1b0a96c93b">'update Helper'!$H$3</definedName>
    <definedName name="_876c5893_c8a3_4066_ad24_31365064997d">'Overview - Section A'!$AN$9</definedName>
    <definedName name="_87baeec3_d609_48e9_97d3_9acbc31c6bc4">'Overview - Section A'!$U$47</definedName>
    <definedName name="_8945f316_fd9d_4e19_b3cd_c0c8202a52db">'Reference Records'!$D$159:$D$210</definedName>
    <definedName name="_8a469ed4_8916_4154_bbbf_dd81f3ca6037">'Overview - Section A'!$AN$12</definedName>
    <definedName name="_8a518e78_c2e7_4107_86f8_cda6bfbbe864">'Disaggregation Records'!$J$69</definedName>
    <definedName name="_8a9ff9a8_7b42_4a34_a7bb_8f85ce3a36e0">'Reference Records'!$C$359</definedName>
    <definedName name="_8aa2c9e8_97d3_45b0_9755_0e8c5c3f294b">'update Helper'!$T$3</definedName>
    <definedName name="_8aa4cf9f_eda6_4444_a907_3c8c602dbf88">'Impact Indicator Target Update'!$H$1</definedName>
    <definedName name="_8c12beea_ae57_4cdc_a86e_9bbd3bae88f2">'update Helper'!$W$453</definedName>
    <definedName name="_8c83dafc_06c9_46d5_82dd_2edc4cdd71ef">'Reference Records'!$C$354</definedName>
    <definedName name="_8c97b788_a56a_4fd4_ab1d_553fdacd56ee">'Reference Records'!$P$79</definedName>
    <definedName name="_8d086166_aaa3_4eec_872e_985dceb20c48">'Reference Records'!$B$364</definedName>
    <definedName name="_8d18a379_8755_4412_801e_3a24e67a6467" comment="Display Map">'Overview - Section A'!$A$30:$R$40</definedName>
    <definedName name="_8dbce8a5_0984_44b3_b1a6_cf993b957b30">'update Helper'!$A$453</definedName>
    <definedName name="_8f098222_d066_4a46_afe4_a2860f259340">'update Helper'!$Q$2370</definedName>
    <definedName name="_8f38a2c2_0833_4757_9f3f_fd2bfbb481ac">'Reference Records'!$B$427</definedName>
    <definedName name="_8f4065ff_50b1_4767_83af_862a3935b277">'Overview - Section A'!$P$47</definedName>
    <definedName name="_8f4652fd_6fec_47e2_8e29_9e9058be61aa">'update Helper'!$H$227</definedName>
    <definedName name="_8fa4d884_a5b1_4041_8cad_fbf4720a13d4">'Reference Records'!$G$79</definedName>
    <definedName name="_9163a4e6_3076_442b_bf37_db0a0a62793a">'Reference Records'!$G$25</definedName>
    <definedName name="_92015950_0d4a_4354_be6a_adcd93a70857" localSheetId="0">'[1]Outcome Indicators - Section C'!#REF!</definedName>
    <definedName name="_92015950_0d4a_4354_be6a_adcd93a70857">#REF!</definedName>
    <definedName name="_940f4fc6_4a8e_4e0b_b740_efe451214fab">'update Helper'!$D$227</definedName>
    <definedName name="_94171daa_d427_4741_ae4f_2766c79a4da3">'update Helper'!$T$43</definedName>
    <definedName name="_95c01be7_c627_4449_a788_13be67006d54">'Reference Records'!$H$657</definedName>
    <definedName name="_96bf0d26_21c5_4468_ad6a_07580f9dd34c">'Impact Indicator Target Update'!$Q$1</definedName>
    <definedName name="_979ccfd5_b55a_4492_8e26_a6633c09ca4c" localSheetId="0">'[1]Reference Records'!#REF!</definedName>
    <definedName name="_979ccfd5_b55a_4492_8e26_a6633c09ca4c">'Reference Records'!#REF!</definedName>
    <definedName name="_97b6ca24_107e_44db_bc88_4db332fdf22a">'update Helper'!$R$453</definedName>
    <definedName name="_97db3924_742c_4f61_af12_dab7752ccc44">'Account Role'!$B$3</definedName>
    <definedName name="_97f1b32c_6621_44f3_b00b_23facc4a8c9f">'Reference Records'!$D$157:$D$159</definedName>
    <definedName name="_9874a6dc_a3b8_4db0_9a74_e4c3c5dd126f">'update Helper'!$G$227</definedName>
    <definedName name="_9898c5eb_afc0_4eaf_8387_942d1b2e57cb">'update Helper'!$O$3</definedName>
    <definedName name="_99c3b064_facc_46ff_8835_927313074f4d">'Disaggregation Records'!$M$3</definedName>
    <definedName name="_9a500917_dab9_4d8c_82b0_84e6e58cb053">'update Helper'!$A$1190</definedName>
    <definedName name="_9a822c43_2840_4d32_8d2c_f62815eccb99">'Disaggregation Records'!$J$155</definedName>
    <definedName name="_9a975b68_4a25_421c_bf56_ce3e9602ca12">'Account Role'!$D$296</definedName>
    <definedName name="_9c766a82_9c33_4b1d_9f4c_76c2bcf6e551" comment="Display Map">'update Helper'!$A$1418:$P$2199</definedName>
    <definedName name="_9c8612d6_cb9f_4fcd_b707_4fdfc8d07b47">'Account Role'!$B$296</definedName>
    <definedName name="_9cbfedb3_84f3_41cb_bf05_f57356c30d3b">'Reference Records'!$F$431</definedName>
    <definedName name="_9cfc31ab_a677_4d1c_b5d4_df5c521ee5ef">'update Helper'!$N$43</definedName>
    <definedName name="_9d318a0d_d7a3_48e8_a51b_60ca16c1c976">'Disaggregation Data'!$Q$3</definedName>
    <definedName name="_9d4507c5_5622_4e77_997d_65777e4b9b29">'update Helper'!$G$453</definedName>
    <definedName name="_9d5a644f_9e3c_487b_9af4_779a60541f4e">'Reference Records'!$O$79</definedName>
    <definedName name="_9eb66103_54d0_486c_84fe_f3948ec313af">'Disaggregation Records'!$H$155</definedName>
    <definedName name="_9f0d4df8_7f69_41ab_b823_8fad2df76213">'update Helper'!$C$267</definedName>
    <definedName name="_9f29fc9a_a965_4afd_b189_7a3eca59d516">'Reference Records'!$D$1:$D$779</definedName>
    <definedName name="_9f9fdd59_86c9_4295_b308_3619d68d6aaf">'Reference Records'!$K$213</definedName>
    <definedName name="_9ff47b3a_d28b_411b_a98b_bf4244606f53">'Disaggregation Data'!$F$159</definedName>
    <definedName name="_a050c83a_8d4a_49ab_a808_e922507fb301">'update Helper'!$M$453</definedName>
    <definedName name="_a06ae70f_aaf6_4179_9a0c_964df3537fbf" comment="Display Map">'Overview - Section A'!$A$77:$H$90</definedName>
    <definedName name="_a06d7903_f4dc_429c_b13c_c30db338eb1e">#REF!</definedName>
    <definedName name="_a21e317a_560b_434a_9c6a_b52a9755e408">'Reference Records'!$D$156:$D$203</definedName>
    <definedName name="_a2b49755_1adb_4266_aaf8_271d0b7524b1">'update Helper'!$D$1190</definedName>
    <definedName name="_a35161b8_a808_4c7e_845f_e699179b5e0a">'Disaggregation Records'!$H$69</definedName>
    <definedName name="_a3bb9706_a655_4815_ac17_285a5395dd17">'Overview - Section A'!$E$9</definedName>
    <definedName name="_a4e3ee83_9e06_474b_907f_71086c0c2985">'Reference Records'!$Q$4</definedName>
    <definedName name="_a4f8ca5a_c29b_4e8a_b75c_6e98ee1c35c5">'update Helper'!$A$227</definedName>
    <definedName name="_a561960e_2837_4ef6_9fb3_06bd14045f9f">'update Helper'!$S$227</definedName>
    <definedName name="_a56e44bf_ca89_4206_8199_57e3e8408cd6">'update Helper'!$H$1190</definedName>
    <definedName name="_a5dfcb7f_e430_4fb5_9b5b_e22c4b6ca98e">'update Helper'!$H$1419</definedName>
    <definedName name="_a676465c_2e79_4840_afcd_6eb0129d896a">#REF!</definedName>
    <definedName name="_a7712b00_96b7_482b_952c_492d2f0b2fc2">'Reference Records'!$R$25</definedName>
    <definedName name="_a7b11238_9f6e_4351_921e_572fe001503d">'update Helper'!$A$886</definedName>
    <definedName name="_a7c4333b_5ea5_49df_97fa_fe1307e6522f">'Disaggregation Records'!$M$155</definedName>
    <definedName name="_a7ecb8b9_6334_4d27_a6e4_bb07adb71898" localSheetId="0">'[1]Overview - Section A'!#REF!</definedName>
    <definedName name="_a7ecb8b9_6334_4d27_a6e4_bb07adb71898">'Overview - Section A'!#REF!</definedName>
    <definedName name="_a80237bb_7952_4c04_9a7a_1cdad38cbd16">'Overview - Section A'!$H$60</definedName>
    <definedName name="_a8f46077_3c03_49ff_b812_2b8ac08cae66" comment="Display Map">'Reference Records'!$C$158:$R$202</definedName>
    <definedName name="_aa924ff3_7862_4e6d_9948_5a270e34c8a1">'update Helper'!$Q$267</definedName>
    <definedName name="_aba4e79f_5ce3_41ca_abf0_8cba57c47dec" comment="Display Map">'update Helper'!$A$452:$AG$513</definedName>
    <definedName name="_abbd2de4_555f_487e_a305_ee28249928f4">'Disaggregation Records'!$A$3</definedName>
    <definedName name="_abcb1332_3cc3_40cb_9eb6_e49185148047">'Account Role'!$B$22</definedName>
    <definedName name="_ac5ba2d1_98f0_4aa2_a6c2_322cafcae1b8">'Reference records(soft deleted)'!$G$26</definedName>
    <definedName name="_aca742d7_5b19_4aa5_8a32_739546d173c7">'Disaggregation Data'!$L$315</definedName>
    <definedName name="_aca7f1bf_77d4_41d2_b85a_8fc4694aaa5d">'Disaggregation Records'!$I$155</definedName>
    <definedName name="_ad718d62_e2fd_4c3a_a018_8c8f5eec5644">'Reference Records'!$C$4:$C$22</definedName>
    <definedName name="_ae20a710_31d4_43ea_bb8e_98f8a452d9b5">'update Helper'!$A$267</definedName>
    <definedName name="_aef23396_73a2_4449_b64b_574e315ee717">'Disaggregation Records'!$A$69</definedName>
    <definedName name="_af4893e4_fb2a_43c4_a459_75a79635184d">'Disaggregation Records'!$I$3</definedName>
    <definedName name="_af984491_07b4_45c6_827e_4a5a0e41cd92">'Reference records(soft deleted)'!$F$118:$F$118</definedName>
    <definedName name="_afb1ac33_4702_4bdb_87c5_ccde46f5946b">'update Helper'!$F$1419</definedName>
    <definedName name="_afe46063_176e_42e7_9258_aafceea72a7c">'Account Role'!$E$3</definedName>
    <definedName name="_b00633c8_5ccc_4622_86d1_07ff694c24a1">'update Helper'!$L$519</definedName>
    <definedName name="_b01f6605_c50f_49e5_8841_306b902e21b5">'Reference Records'!$E$213</definedName>
    <definedName name="_b08eede9_e417_4197_bdb0_e7afb6ff7f75">'update Helper'!$F$453</definedName>
    <definedName name="_b160391b_7f82_4ca2_b7a1_742da234e320">'Reference Records'!$B$431</definedName>
    <definedName name="_b184a48f_c367_42e0_abea_de10491cdb89">'Overview - Section A'!$R$124</definedName>
    <definedName name="_b25b57c0_b3c6_4bd0_84af_ecd0c047480e">'Reference Records'!$L$79</definedName>
    <definedName name="_b29140ce_2067_4616_98b2_f6e9312dff45" comment="Display Map">'Reference Records'!$A$420:$C$420</definedName>
    <definedName name="_b29fac7f_0112_4608_9b2f_b935e3a5c47a" localSheetId="0">'[1]Outcome Indicators - Section C'!#REF!</definedName>
    <definedName name="_b29fac7f_0112_4608_9b2f_b935e3a5c47a">#REF!</definedName>
    <definedName name="_b2a433e8_e2eb_496e_9eab_56d34260a1ea">'update Helper'!$O$453</definedName>
    <definedName name="_b38bd4f0_1352_4868_a619_3a6c9defba4d">'update Helper'!$R$3</definedName>
    <definedName name="_b50509cf_996c_4fbc_99d9_4d166ae6823c">'Disaggregation Records'!$Q$69</definedName>
    <definedName name="_b517363e_a660_4f5c_8200_ca9f715b3954">'Reference Records'!$E$431</definedName>
    <definedName name="_b5821112_3c0f_46ea_8691_81e5396982ed">'Reference Records'!$B$358</definedName>
    <definedName name="_b5e8f7c0_1f6c_4f34_9e09_d35ca3f3eb39" comment="Display Map">'Reference records(soft deleted)'!$B$249:$K$387</definedName>
    <definedName name="_b5f2092b_488a_4789_9fbe_8833441f7329">'update Helper'!$P$227</definedName>
    <definedName name="_b625dd51_c3f0_4d71_a2a9_f6fa8dac524b">'Reference records(soft deleted)'!$H$118</definedName>
    <definedName name="_b630336b_3644_4bf6_8d7c_9c418ad44fc5">'Disaggregation Data'!$D$3</definedName>
    <definedName name="_b7198351_a7ba_44b7_a1ec_111ed8317cb2">'Reference Records'!$B$657</definedName>
    <definedName name="_b8526b1f_d531_4d05_a35b_d24976af94b3">'update Helper'!$D$2204</definedName>
    <definedName name="_b88374ec_47cc_43db_8a49_31b8f7dfbe2a">'Reference Records'!$A$421</definedName>
    <definedName name="_b934b5c4_3a3d_4290_b4f5_665f1fa1d8f9">'Disaggregation Data'!$E$159</definedName>
    <definedName name="_b9568051_a72c_4c87_bd12_0a431f6a32e6">'Disaggregation Data'!$I$159</definedName>
    <definedName name="_ba0267ad_21bf_4c68_8330_e529db295d81">'Reference Records'!$R$159</definedName>
    <definedName name="_ba047ad1_b51f_49a2_b3c8_be30d392985a">'Reference Records'!$D$158:$D$209</definedName>
    <definedName name="_ba186ca8_9498_4c8b_870e_5c94facff255">'update Helper'!$X$453</definedName>
    <definedName name="_ba2bf24f_92d4_4847_a100_634fcade40b6">'Impact Indicator Target Update'!$P$1</definedName>
    <definedName name="_ba6766eb_3a68_462e_a136_4851bdedd0eb">'update Helper'!$F$227</definedName>
    <definedName name="_ba991538_8d20_47dc_8a22_03bf80508d2c">'Disaggregation Data'!$F$3</definedName>
    <definedName name="_bb1c154e_4700_4eae_bb81_f16337d16856">'update Helper'!$D$3</definedName>
    <definedName name="_bcc0af4e_01ec_4ed2_a0bb_891e67117226">'update Helper'!$F$2204</definedName>
    <definedName name="_bcc44ce4_7811_4a37_b19a_adb1c9975c5c">'Overview - Section A'!$O$47</definedName>
    <definedName name="_bd075b26_707d_4b39_aea7_5e22fa05d673">'update Helper'!$F$1190</definedName>
    <definedName name="_bd8c6a42_6cde_4c17_9f1a_04e7b83fd063">'Reference Records'!$E$25</definedName>
    <definedName name="_be2888a7_b322_47d2_be71_a4093cf83c44">'Reference Records'!$D$1:$D$798</definedName>
    <definedName name="_be67395e_f578_42fc_bfe7_912f09db8571">'Disaggregation Records'!$G$3</definedName>
    <definedName name="_bef2cdda_6c4d_45cf_b550_ea24e68795bf">'Overview - Section A'!$M$47</definedName>
    <definedName name="_bf1ad2f1_a865_4b00_8649_f62663e1cb01">'Reference Records'!$M$431</definedName>
    <definedName name="_bf857707_f3ed_43ba_b26e_78e553c3b599">#REF!</definedName>
    <definedName name="_c021eee3_85ca_4b4c_871f_c2ca4000adb3" comment="Display Map">'Reference Records'!$B$24:$U$72</definedName>
    <definedName name="_c0adc2e9_f3e8_47e3_ab9a_3b0590b08e3b">'Reference Records'!$D$158:$D$204</definedName>
    <definedName name="_c0c1183c_d263_4027_b93d_dd5bf32aa5a0">'Disaggregation Records'!$M$69</definedName>
    <definedName name="_c0eb8ac6_1c46_4f57_b21f_9a8652dcb01f">'Reference Records'!$A$361</definedName>
    <definedName name="_c169a647_ad7f_4a68_9402_5984b64252f0">'update Helper'!$M$267</definedName>
    <definedName name="_c1e3d9da_0aa8_4938_92fd_28ad968bd219">'Reference Records'!$P$25</definedName>
    <definedName name="_c27248fe_f16e_4b61_a04b_ff479754f280">'Reference Records'!$N$25</definedName>
    <definedName name="_c2ce4f6c_2a30_403e_b675_be582ab6f618">'update Helper'!$N$3</definedName>
    <definedName name="_c2d8fcc6_db4c_4b6b_92f6_d573ed2a5c90">'Reference records(soft deleted)'!$K$6</definedName>
    <definedName name="_c438aaa1_5662_46ac_b40e_79add5b8ca04">'Overview - Section A'!$C$17:$C$19</definedName>
    <definedName name="_c595585e_bd83_42a8_bd9d_c64c0f83e863">'update Helper'!$K$267</definedName>
    <definedName name="_c7239f8e_e972_4d0a_ac9c_049341720ca8">'Reference Records'!$H$159</definedName>
    <definedName name="_c811d6c6_78b7_497a_b948_2c1cd9a8b3fc">'Overview - Section A'!$Z$124</definedName>
    <definedName name="_c85353e2_2d93_4dee_b666_5a9395f33b51">'Overview - Section A'!$R$31</definedName>
    <definedName name="_c86327a0_756e_47de_9960_fc50ad31348d">'Reference records(soft deleted)'!$G$6</definedName>
    <definedName name="_c8d512d8_6c8d_45f3_ade0_c3987af540b2">'update Helper'!$AF$453</definedName>
    <definedName name="_c904cc72_9432_420c_93d8_3f5f3946db88">'Disaggregation Data'!$E$315</definedName>
    <definedName name="_c92aee90_9ab7_4c5b_90be_8f181e56b287">'Disaggregation Data'!$P$315</definedName>
    <definedName name="_c9967ba7_c4a7_4678_af94_bd3ef0f6e3f4">'update Helper'!$N$1190</definedName>
    <definedName name="_c9d716d6_9c15_4e1f_ac60_1e26110a756c" comment="Display Map">'update Helper'!$A$266:$Q$447</definedName>
    <definedName name="_ca097bd7_db68_4bb8_9e65_dadac87572e5">'update Helper'!$P$1419</definedName>
    <definedName name="_ca4ab06b_5324_40ab_a432_1139d7cb9e9a">'Reference Records'!$D$159</definedName>
    <definedName name="_ca7e0af3_de36_4376_a561_5d3c742acebc">'update Helper'!$E$2204</definedName>
    <definedName name="_cad4e7f5_784c_4195_8cb5_8c1ed2df9118">'update Helper'!$V$453</definedName>
    <definedName name="_cbe75001_1b1f_4684_b8fc_dd97cd572e08">'Reference Records'!$M$159</definedName>
    <definedName name="_cc652be8_c987_44b0_a7b8_b38f24a774fd">'Account Role'!$A$3</definedName>
    <definedName name="_cd1a838d_967d_4df8_8959_da3e91d019c7">'update Helper'!$G$2204</definedName>
    <definedName name="_cd3a8228_a564_4a29_bb53_8d23f3af4f8d">'update Helper'!$C$3</definedName>
    <definedName name="_ce356606_b70e_455c_a7f0_278a9274c30f">'Reference records(soft deleted)'!$K$167</definedName>
    <definedName name="_ce427541_94c6_4e19_bfba_334471291dc9">'Disaggregation Records'!$Q$155</definedName>
    <definedName name="_ced5d642_f902_4116_8eec_365c1d0be056">'update Helper'!$F$519</definedName>
    <definedName name="_cf337c18_bbd6_41ea_aeb8_6889dc68b851">'Reference records(soft deleted)'!$I$118</definedName>
    <definedName name="_cfcb4c96_c88e_4a35_803a_a889e9dd7d09" comment="Display Map">'Disaggregation Data'!$D$314:$Q$915</definedName>
    <definedName name="_d0955b05_c628_4518_9af2_80c991d01234">'Reference Records'!$M$79</definedName>
    <definedName name="_d0af162b_ba98_4147_a6fc_7c6ff1aaf471">'Disaggregation Data'!$N$159</definedName>
    <definedName name="_d0c4e2e8_ed5b_4f3b_98ce_3538f040ffdd">'update Helper'!$D$43</definedName>
    <definedName name="_d0e6db09_4210_45d4_bc55_3258a5a7becd">'Reference Records'!$M$3:$M$22</definedName>
    <definedName name="_d11bffcb_80bc_4142_b578_f8fd7b2ed872">'update Helper'!$O$2204</definedName>
    <definedName name="_d1f82863_9819_4548_ae1f_e4cfe92df877">'update Helper'!$I$2370</definedName>
    <definedName name="_d20ef977_ad63_4fe7_833a_109f9e7d5f64">'update Helper'!$C$3</definedName>
    <definedName name="_d23e2880_4b88_4ba1_b381_3bc8c5f940af">'Disaggregation Records'!$S$3</definedName>
    <definedName name="_d24f669d_00e1_4357_b04c_2c97c933dfec">'Overview - Section A'!$I$27</definedName>
    <definedName name="_d2c977b0_75f6_4448_a11e_cb59fc25d8cd" comment="Display Map">'update Helper'!$A$2:$T$33</definedName>
    <definedName name="_d36529d4_505a_4d7c_b7e5_0c40a3c08386" comment="Display Map">'update Helper'!$A$2369:$Q$3330</definedName>
    <definedName name="_d379908f_16e6_4aad_b988_5b7982eb826c">'Disaggregation Records'!$R$3</definedName>
    <definedName name="_d55f73ea_40dd_46a0_b46b_1f915532d5da" comment="Display Map">'Overview - Section A'!$A$18:$C$21</definedName>
    <definedName name="_d5b3d3f7_d9f7_482d_8e65_f987f575a087">'Reference Records'!$K$159</definedName>
    <definedName name="_d60e4a5c_ee1a_41d4_9548_2aede18bc786">'update Helper'!$D$886</definedName>
    <definedName name="_d62bbd88_c7fe_4846_8ed9_76818d8946c8">'Reference Records'!$G$4</definedName>
    <definedName name="_d6de9e79_2a33_496b_9418_d4b52d6dcaf1">'Reference Records'!$B$24:$B$848</definedName>
    <definedName name="_d72177c9_4374_45f7_b5a5_f0b6222e9566">'Reference Records'!$E$4</definedName>
    <definedName name="_d761096d_7819_4297_bee8_1af89e86506d">'update Helper'!$L$2204</definedName>
    <definedName name="_d8f3b323_94ba_4c08_b760_0447353ff6ee">'Reference Records'!$R$4</definedName>
    <definedName name="_d8fd749f_f8d5_4232_b69a_8b62a79328ac">'Overview - Section A'!$L$47</definedName>
    <definedName name="_d9225ee9_4711_40fa_bb89_6747c9d62bad">'Overview - Section A'!$G$60</definedName>
    <definedName name="_d93c4c11_f795_4c65_88eb_c43040eba27e" comment="Display Map">'Overview - Section A'!$A$101:$J$117</definedName>
    <definedName name="_d9ef6160_0711_4f41_8235_1e8bf2ea40ed" comment="Display Map">'update Helper'!$A$42:$T$223</definedName>
    <definedName name="_da2bea4d_26d3_4c8d_8f53_a31050d37481">'Reference Records'!$B$1:$B$968</definedName>
    <definedName name="_daae6694_aad0_48b5_b679_94999f870976">'Reference records(soft deleted)'!$G$167</definedName>
    <definedName name="_db4e2d75_1080_4f7d_bbb6_279cfc0396d6">'Reference Records'!$B$360</definedName>
    <definedName name="_db554049_85ce_4129_b1fc_a4968be4421e">'Reference records(soft deleted)'!$B$118:$B$162</definedName>
    <definedName name="_dbe1d51c_e6c5_4bb2_a9ef_e1ea7c79ffe4">'Disaggregation Data'!$L$159</definedName>
    <definedName name="_dbff71c9_84bd_4d68_a90c_c6d622652c3f">'update Helper'!$A$3</definedName>
    <definedName name="_dc2a7f24_ba27_4952_af95_2f5f2a447e95">'Disaggregation Data'!$F$315</definedName>
    <definedName name="_dc2cf935_92f5_45ba_a938_c1de3fbd4aec">'update Helper'!$I$2204</definedName>
    <definedName name="_dce503c9_6770_4063_b9a4_70c4486bab14" comment="Display Map">'Reference Records'!$A$656:$I$733</definedName>
    <definedName name="_dd1bf6a4_f36b_4539_baa8_c7f8ba7742c0">'update Helper'!$I$1190</definedName>
    <definedName name="_dd26d46b_6921_487e_9c78_867c8d059003">'update Helper'!$G$3</definedName>
    <definedName name="_dd59b4c1_0127_483f_94d6_e325d726d50b">'update Helper'!$J$886</definedName>
    <definedName name="_dd5cbb23_508a_4a49_9ee3_de02706f296e">'Reference Records'!$B$79</definedName>
    <definedName name="_dd67381d_8fda_4031_b9f2_2b97d7ad93a0">'update Helper'!$J$1190</definedName>
    <definedName name="_dd82b481_1d70_467c_8a1e_607df41e8dcb">'Reference Records'!$D$1:$D$759</definedName>
    <definedName name="_de349e90_1cd6_4d52_ab09_1d344b331133">'update Helper'!$E$453</definedName>
    <definedName name="_de8125e3_2f55_471a_b44e_3fc797d5bb7c">'Reference records(soft deleted)'!$J$250</definedName>
    <definedName name="_de8310b5_e4d3_4b94_b262_26a424148ac2">#REF!</definedName>
    <definedName name="_e0977557_e4c5_4ef4_9559_6de2a1c73a50">'Overview - Section A'!$A$31</definedName>
    <definedName name="_e10c609e_8d1f_432f_a13e_7b8a8126b45f">'Reference Records'!$U$25</definedName>
    <definedName name="_e1b18bf0_c01a_41f9_9d0f_7ff41a4c9212">'Reference records(soft deleted)'!$B$26</definedName>
    <definedName name="_e298e0a5_e974_47dc_98cc_18bdd69218f6">'update Helper'!$N$886</definedName>
    <definedName name="_e2f4a6c9_b971_491e_a3b4_1227bbe38c83">'Reference records(soft deleted)'!$I$250</definedName>
    <definedName name="_e3593433_048f_4c41_83d3_f74a839a639f">'Disaggregation Records'!$I$69</definedName>
    <definedName name="_e3fd5f4b_01b0_4087_9e0e_fd0199800be6">'Overview - Section A'!$I$102</definedName>
    <definedName name="_e483748a_15bd_4bef_9378_0d3e824decd0">'Reference Records'!$L$159</definedName>
    <definedName name="_e4b1e3b9_6a2a_43ea_8ece_3c48082dabab">'Reference Records'!$C$159</definedName>
    <definedName name="_e4ebe33e_2d9b_4fab_b6ee_d23a5404bb5e" comment="Display Map">'update Helper'!$A$2203:$R$2364</definedName>
    <definedName name="_e4f7af1b_dca3_4c5d_8b1f_84c882749f97">'update Helper'!$L$886</definedName>
    <definedName name="_e588dca0_ef3a_4dbf_9030_9759fda803aa">'update Helper'!$N$227</definedName>
    <definedName name="_e5e0e9c5_229b_41b4_a9b1_b5fd68f1f31c">'Disaggregation Records'!$Q$3</definedName>
    <definedName name="_e6036c71_a0b0_45ea_b10c_37043207b399">'update Helper'!$T$227</definedName>
    <definedName name="_e6d95e65_44bf_4846_b78f_816689d6036f">'Disaggregation Records'!$O$69</definedName>
    <definedName name="_e713ed26_c546_4a6a_a951_288830ca8584">'update Helper'!$E$1190</definedName>
    <definedName name="_e774554e_fb6f_43f6_baf0_c17f0492b38e">'update Helper'!$K$43</definedName>
    <definedName name="_e791e9cc_e0a5_4bd0_a74b_188698c51274">'Reference records(soft deleted)'!$K$250</definedName>
    <definedName name="_e7e9d6df_5983_4b14_8cdc_daf32af1a30f">'Reference Records'!$L$431</definedName>
    <definedName name="_e80f85f8_0abc_454b_92e1_70be11b30e29">'Reference Records'!$Q$79</definedName>
    <definedName name="_e8ee11f8_cd11_4941_8f4e_979bc348765e">'update Helper'!$G$1419</definedName>
    <definedName name="_e997142a_f700_4b71_9747_d54e4a4ef7c7">'Disaggregation Records'!$K$3</definedName>
    <definedName name="_ea0a6aff_050a_4e7c_bb67_efe887a6ff8c">'Reference Records'!$B$159:$B$202</definedName>
    <definedName name="_ea72c56b_d1e9_4c5d_ba1d_cc707a1c7a52">'Reference Records'!$C$360</definedName>
    <definedName name="_eabb6097_6646_49fe_9d42_cce1d696601b">'Overview - Section A'!$A$102</definedName>
    <definedName name="_eb865535_e191_4538_9980_a9996247965e">'Reference Records'!$A$24:$A$848</definedName>
    <definedName name="_eb940844_13db_4509_a1c4_ff0a8c68abd7">'Disaggregation Records'!$L$155</definedName>
    <definedName name="_ec317833_0071_4b2e_932c_62684bcb2384">'Disaggregation Data'!$M$315</definedName>
    <definedName name="_ecb887c9_f351_4ec2_95ef_320af361ff42" comment="Display Map">'update Helper'!$A$518:$T$879</definedName>
    <definedName name="_ed0f40d6_45a1_4737_908f_0fb3a2e7f6d7">'Reference Records'!$B$363</definedName>
    <definedName name="_edacc156_af86_4bf8_90dd_b9a22fc62817">'Account Role'!$D$3</definedName>
    <definedName name="_ee5c2fa9_b685_4c9b_9614_9ed1cefc534c">'update Helper'!$T$519</definedName>
    <definedName name="_ef7c4cda_9fba_4d2c_b2ff_8d22eb3a22ac">'update Helper'!$I$453</definedName>
    <definedName name="_eff8d1d0_83be_4592_a0a6_0649571f1cd1">'update Helper'!$J$453</definedName>
    <definedName name="_f01d1473_f9e7_453c_95a5_ada7b865eabb">'Overview - Section A'!$H$78</definedName>
    <definedName name="_f0e38211_457f_4b07_8179_77ff6278dd2b">'update Helper'!$P$453</definedName>
    <definedName name="_f0f5c51b_e422_42f2_88da_9eff4b5a59d3">'Reference Records'!$L$213</definedName>
    <definedName name="_f1c519aa_961b_42b6_a4f4_d9f451ddf622" comment="Display Map">'Overview - Section A'!$A$59:$H$72</definedName>
    <definedName name="_f2045cc5_f4d7_4b1d_8aeb_d44e7918995b">'Disaggregation Data'!$K$3</definedName>
    <definedName name="_f21c8db1_2baf_45f9_a210_b096e419362b">'Overview - Section A'!$E$11</definedName>
    <definedName name="_f2e17f54_33e5_4fb3_8547_527de2a7d0ac">'Overview - Section A'!$C$19:$C$23</definedName>
    <definedName name="_f3654abd_3fbc_41ef_a2e7_0d54ea478341" comment="Display Map">'Disaggregation Records'!$A$2:$S$65</definedName>
    <definedName name="_f39f3286_1b88_4f0b_b268_bc711c9c67e1">'Reference records(soft deleted)'!$K$118</definedName>
    <definedName name="_f686534e_e5b4_42a0_a0f2_a919117d0136">'update Helper'!$K$453</definedName>
    <definedName name="_f6cc91f7_16cd_4c28_ae23_539a66875c7e" comment="Display Map">'Reference Records'!$A$430:$M$652</definedName>
    <definedName name="_f7611a26_2008_46e2_a2c0_dadeef65f0ed">'update Helper'!$S$3</definedName>
    <definedName name="_f764864d_aa9b_444c_a466_cce493ea1b3b">'Reference Records'!$T$25</definedName>
    <definedName name="_f8da171f_1ef1_4701_824e_35a927e47c50">'Overview - Section A'!$Q$124</definedName>
    <definedName name="_fa55b4d1_29cb_4b51_b2d0_8f7892f292e2">'update Helper'!$L$1190</definedName>
    <definedName name="_fa828cb2_bd98_4c85_a567_d82b0ffa1d3f">'Disaggregation Records'!$P$69</definedName>
    <definedName name="_faacf26c_51ba_405a_bccb_3b2bf0981690">'update Helper'!$Q$2204</definedName>
    <definedName name="_facd5aba_c813_47e2_8877_94bdd6685d41">'update Helper'!$P$2204</definedName>
    <definedName name="_fbc5eaa3_1127_42c4_a746_2bd3d587fad5">'Reference Records'!$N$79</definedName>
    <definedName name="_fbe591c5_4692_4048_ae00_0b5a533edf73">'update Helper'!$E$3</definedName>
    <definedName name="_fccfb4fa_0a30_41be_9334_74bc5779fbd3">'Reference Records'!$C$358:$C$359</definedName>
    <definedName name="_fd286dae_26cb_4aad_a5f8_c4e877a2e920" comment="Display Map">'Reference Records'!$A$212:$N$350</definedName>
    <definedName name="_fe1fc4f2_e57c_4328_acb9_6e901a0a2e1c">'Reference Records'!$G$159</definedName>
    <definedName name="_fe54ad0d_3f3e_403b_8c5a_3ee1b37390d2">'Disaggregation Data'!$Q$315</definedName>
    <definedName name="_feae67d4_d3a5_4668_9be8_07f6d66f3049">'update Helper'!$I$519</definedName>
    <definedName name="_ff85bbe8_e093_4bde_9ecb_ca8f310bef73">'Reference Records'!$B$159:$B$210</definedName>
    <definedName name="_ffc69f08_b317_4d33_8688_bf480f40f783">'Disaggregation Records'!$K$155</definedName>
    <definedName name="_xlnm._FilterDatabase" localSheetId="11" hidden="1">' Disaggregation - Section E '!$A$9:$N$309</definedName>
    <definedName name="_xlnm._FilterDatabase" localSheetId="17" hidden="1">'Account Role'!$B:$B</definedName>
    <definedName name="_xlnm._FilterDatabase" localSheetId="1" hidden="1">'Overview - Section A'!$A$30:$R$40</definedName>
    <definedName name="_xlnm._FilterDatabase" localSheetId="13" hidden="1">'Print View'!$A$147:$AN$207</definedName>
    <definedName name="AccountRole" localSheetId="0">OFFSET('[1]Account Role'!$C$3,1,0,MATCH("*",'[1]Account Role'!$C$3:$C$8,-1)-1,1)</definedName>
    <definedName name="AccountRole">OFFSET('Account Role'!$C$3,1,0,MATCH("*",'Account Role'!$C$3:$C$14,-1)-1,1)</definedName>
    <definedName name="AIM_Coverage_Disaggregation__c.AIM_Year__c">apttusmetadata!$AG$2:$AG$30</definedName>
    <definedName name="AIM_Coverage_Indicator__c.AIM_Geographic_Coverage__c">apttusmetadata!$AB$2:$AB$6</definedName>
    <definedName name="AIM_Coverage_Indicator__c.AIM_Rating_Cumulation_Type__c">apttusmetadata!$AC$2:$AC$8</definedName>
    <definedName name="AIM_Coverage_Indicator__c.AIM_Year__c">apttusmetadata!$AD$2:$AD$30</definedName>
    <definedName name="AIM_Coverage_Indicator_Targets_Results__c.AIM_Due_for_Reporting__c">apttusmetadata!$AE$2:$AE$4</definedName>
    <definedName name="AIM_Coverage_Indicator_Targets_Results__c.AIM_Mark_if_target_is_TBD__c">apttusmetadata!$AF$2</definedName>
    <definedName name="AIM_Grant_Revision__c.aim_revision_type__c">apttusmetadata!$AQ$2:$AQ$5</definedName>
    <definedName name="AIM_Impact_Disaggregation__c.AIM_Baseline_Year__c">apttusmetadata!$AK$2:$AK$30</definedName>
    <definedName name="AIM_Impact_Indicator__c.AIM_Baseline_Year__c">apttusmetadata!$AH$2:$AH$30</definedName>
    <definedName name="AIM_Impact_Indicator_Targets_Results__c.AIM_Mark_if_target_is_TBD__c">apttusmetadata!$AJ$2</definedName>
    <definedName name="AIM_Impact_Indicator_Targets_Results__c.AIM_Year_of_Target__c">apttusmetadata!$AI$2:$AI$30</definedName>
    <definedName name="AIM_Impact_Outcome_References__c.AIM_Data_Type_Target__c">apttusmetadata!$AR$2:$AR$4</definedName>
    <definedName name="AIM_Impact_Outcome_References__c.Impact.AIM_Data_Type_Target__c">apttusmetadata!$AV$2:$AV$4</definedName>
    <definedName name="AIM_Impact_Outcome_References__c.Master.AIM_Data_Type_Target__c">apttusmetadata!$AX$2:$AX$5</definedName>
    <definedName name="AIM_Impact_Outcome_References__c.Outcome.AIM_Data_Type_Target__c">apttusmetadata!$AW$2:$AW$4</definedName>
    <definedName name="AIM_Module_Coverage_Interventio_Comp_Ref__c.AIM_Data_Type__c">apttusmetadata!$AS$2:$AS$5</definedName>
    <definedName name="AIM_Module_Coverage_Interventio_Comp_Ref__c.Coverage.AIM_Data_Type__c">apttusmetadata!$AV$2:$AV$5</definedName>
    <definedName name="AIM_Module_Coverage_Interventio_Comp_Ref__c.Coverage.L1FR_Cumulation_Type__c">apttusmetadata!$BC$2:$BC$4</definedName>
    <definedName name="AIM_Module_Coverage_Interventio_Comp_Ref__c.Coverage_by_Population.AIM_Data_Type__c">apttusmetadata!$AT$2:$AT$5</definedName>
    <definedName name="AIM_Module_Coverage_Interventio_Comp_Ref__c.Coverage_by_Population.L1FR_Cumulation_Type__c">apttusmetadata!$BA$2:$BA$4</definedName>
    <definedName name="AIM_Module_Coverage_Interventio_Comp_Ref__c.Intervention.AIM_Data_Type__c">apttusmetadata!$AW$2:$AW$5</definedName>
    <definedName name="AIM_Module_Coverage_Interventio_Comp_Ref__c.Intervention.L1FR_Cumulation_Type__c">apttusmetadata!$BD$2:$BD$4</definedName>
    <definedName name="AIM_Module_Coverage_Interventio_Comp_Ref__c.Intervention_By_Population.AIM_Data_Type__c">apttusmetadata!$AU$2:$AU$5</definedName>
    <definedName name="AIM_Module_Coverage_Interventio_Comp_Ref__c.Intervention_By_Population.L1FR_Cumulation_Type__c">apttusmetadata!$BB$2:$BB$4</definedName>
    <definedName name="AIM_Module_Coverage_Interventio_Comp_Ref__c.L1FR_Cumulation_Type__c">apttusmetadata!$AZ$2:$AZ$4</definedName>
    <definedName name="AIM_Module_Coverage_Interventio_Comp_Ref__c.Master.AIM_Data_Type__c">apttusmetadata!$AY$2:$AY$5</definedName>
    <definedName name="AIM_Module_Coverage_Interventio_Comp_Ref__c.Master.L1FR_Cumulation_Type__c">apttusmetadata!$BF$2:$BF$4</definedName>
    <definedName name="AIM_Module_Coverage_Interventio_Comp_Ref__c.Module.AIM_Data_Type__c">apttusmetadata!$AX$2:$AX$5</definedName>
    <definedName name="AIM_Module_Coverage_Interventio_Comp_Ref__c.Module.L1FR_Cumulation_Type__c">apttusmetadata!$BE$2:$BE$4</definedName>
    <definedName name="AIM_Outcome_Disaggregation__c.AIM_Baseline_Year__c">apttusmetadata!$AM$2:$AM$30</definedName>
    <definedName name="AIM_Outcome_Indicator__c.AIM_Baseline_Year__c">apttusmetadata!$AL$2:$AL$30</definedName>
    <definedName name="AIM_Outcome_Indicator_Targets_Result__c.AIM_Due_for_Reporting__c">apttusmetadata!$AN$2:$AN$4</definedName>
    <definedName name="AIM_Outcome_Indicator_Targets_Result__c.AIM_Mark_if_target_is_TBD__c">apttusmetadata!$AP$2</definedName>
    <definedName name="AIM_Outcome_Indicator_Targets_Result__c.AIM_Year_of_Target__c">apttusmetadata!$AO$2:$AO$30</definedName>
    <definedName name="AIM_Reporting_Period__c.AIM_Report_Period_Category__c">apttusmetadata!$AA$2</definedName>
    <definedName name="_xlnm.Extract" localSheetId="17">'Account Role'!$C:$C</definedName>
    <definedName name="_xlnm.Print_Area" localSheetId="0">'Instructions-ES'!$A$1:$B$434</definedName>
    <definedName name="_xlnm.Print_Area" localSheetId="1">'Overview - Section A'!$A$1:$AI$183</definedName>
    <definedName name="_xlnm.Print_Area" localSheetId="13">'Print View'!$A$1:$S$300</definedName>
    <definedName name="baseline_validation" localSheetId="0">OFFSET([1]Setup!$C$31,1,0,SUMPRODUCT(('Instructions-ES'!Baseline_years_list&lt;&gt;"")+0)-1,1)</definedName>
    <definedName name="baseline_validation">OFFSET(Setup!$C$31,1,0,SUMPRODUCT((Baseline_years_list&lt;&gt;"")+0)-1,1)</definedName>
    <definedName name="Baseline_years_list" localSheetId="0">[1]Setup!$C$31:$C$74</definedName>
    <definedName name="Baseline_years_list">Setup!$C$31:$C$74</definedName>
    <definedName name="Country" localSheetId="0">IF('[1]Overview - Section A'!$AN$5="Funding Request",IF('[1]Reference Records'!$B$261&lt;&gt;"",'[1]Reference Records'!$B$261,'[1]Reference Records'!$A$1),OFFSET('[1]Reference Records'!$A$323,1,0,MATCH(" ",'[1]Reference Records'!$A$323:$A$324,-1)-1,1))</definedName>
    <definedName name="Country">IF('Overview - Section A'!$AN$5="Funding Request",IF('Reference Records'!$B$359&lt;&gt;"",'Reference Records'!$B$359,'Reference Records'!$A$1),OFFSET('Reference Records'!$A$421,1,0,MATCH(" ",'Reference Records'!$A$421:$A$422,-1)-1,1))</definedName>
    <definedName name="Coverage_Indicator_Disaggregation">'update Helper'!$A$1417</definedName>
    <definedName name="Coverage_Indicator_Disaggregation_new">' Disaggregation - Section E '!$B$619</definedName>
    <definedName name="Coverage_Indicator_Targets__section_D">'update Helper'!$A$517</definedName>
    <definedName name="Coverage_indicators__secton_D">'update Helper'!$A$451</definedName>
    <definedName name="Coverage_Module" localSheetId="0">OFFSET('[1]Overview - Section A'!$E$101,1,0,MATCH(" ",'[1]Overview - Section A'!$E$101:$E$119,-1)-1,1)</definedName>
    <definedName name="Coverage_Module">OFFSET('Overview - Section A'!$E$102,1,0,MATCH(" ",'Overview - Section A'!$E$102:$E$120,-1)-1,1)</definedName>
    <definedName name="CoverageColumn" localSheetId="0">'[1]Reference Records'!$A$61:$A$122</definedName>
    <definedName name="CoverageColumn">'Reference Records'!$A$79:$A$156</definedName>
    <definedName name="CoverageIndicator" localSheetId="0">OFFSET('[1]Reference Records'!$E$61,1,0,MATCH("*",'[1]Reference Records'!$E$61:$E$122,-1)-1,1)</definedName>
    <definedName name="CoverageIndicator">OFFSET('Reference Records'!$E$79,1,0,MATCH("*",'Reference Records'!$E$79:$E$156,-1)-1,1)</definedName>
    <definedName name="CoverageStart" localSheetId="0">#REF!</definedName>
    <definedName name="CoverageStart">'Reference Records'!$A$79:$A$155</definedName>
    <definedName name="FundingRequestPR" localSheetId="0">IF('[1]Overview - Section A'!$AN$5="Funding Request",IF('[1]Reference Records'!$C$261&lt;&gt;"",OFFSET('[1]Account Role'!$C$3,1,0,MATCH(" ",'[1]Account Role'!$C$3:$C$8,-1)-1,1),OFFSET('[1]Account Role'!$C$16,1,0,MATCH(" ",'[1]Account Role'!$C$16:$C$240,-1)-1,1)),'[1]Overview - Section A'!$AN$6)</definedName>
    <definedName name="FundingRequestPR">IF('Overview - Section A'!$AN$5="Funding Request",IF('Reference Records'!$C$359&lt;&gt;"",OFFSET('Account Role'!$C$3,1,0,MATCH(" ",'Account Role'!$C$3:$C$14,-1)-1,1),OFFSET('Account Role'!$C$22,1,0,MATCH(" ",'Account Role'!$C$22:$C$296,-1)-1,1)),'Overview - Section A'!$AN$6)</definedName>
    <definedName name="Impact_indicator___section_B">'update Helper'!$A$1</definedName>
    <definedName name="Impact_Indicator_Disaggregation">'update Helper'!$A$1188</definedName>
    <definedName name="Impact_Indicator_Disaggregation_new">' Disaggregation - Section E '!$B$8</definedName>
    <definedName name="Impact_indicator_targets___section_B">'update Helper'!$A$41</definedName>
    <definedName name="ImpactIndicator" localSheetId="0">OFFSET('[1]Reference Records'!$I$4,1,0,MATCH(" ",LEFT('[1]Reference Records'!$I$4:$I$18,255),-1)-1,1)</definedName>
    <definedName name="ImpactIndicator">OFFSET('Reference Records'!$I$4,1,0,MATCH(" ",LEFT('Reference Records'!$I$4:$I$22,255),-1)-1,1)</definedName>
    <definedName name="Instruction__Section_A" localSheetId="0">'Instructions-ES'!$A$33</definedName>
    <definedName name="InstructionA" localSheetId="0">'Instructions-ES'!$A$33</definedName>
    <definedName name="InstructionB" localSheetId="0">'Instructions-ES'!$A$108</definedName>
    <definedName name="InstructionC" localSheetId="0">'Instructions-ES'!$A$182</definedName>
    <definedName name="InstructionD" localSheetId="0">'Instructions-ES'!$A$259</definedName>
    <definedName name="InstructionE" localSheetId="0">'Instructions-ES'!$A$351</definedName>
    <definedName name="InstructionsA">IF(Language="French",#REF!,#REF!)</definedName>
    <definedName name="InstructionsB">IF(Language="French",#REF!,#REF!)</definedName>
    <definedName name="InstructionsC">IF(Language="French",#REF!,#REF!)</definedName>
    <definedName name="InstructionsD">IF(Language="French",#REF!,#REF!)</definedName>
    <definedName name="InstructionsE">IF(Language="French",#REF!,#REF!)</definedName>
    <definedName name="InstructionsF">IF(Language="French",#REF!,#REF!)</definedName>
    <definedName name="InstructionsSectionF" localSheetId="0">'Instructions-ES'!$A$375</definedName>
    <definedName name="Intervention_WPTM" localSheetId="0">OFFSET('[1]Overview - Section A'!$W$123,1,0,MATCH("*",'[1]Overview - Section A'!$W$123:$W$175,-1)-1,1)</definedName>
    <definedName name="Intervention_WPTM">OFFSET('Overview - Section A'!$W$124,1,0,MATCH("*",'Overview - Section A'!$W$124:$W$176,-1)-1,1)</definedName>
    <definedName name="KeyActivityColumn" localSheetId="0">'[1]Overview - Section A'!$AD$123:$AD$175</definedName>
    <definedName name="KeyActivityColumn">'Overview - Section A'!$AD$124:$AD$176</definedName>
    <definedName name="KeyActivityStart" localSheetId="0">'[1]Overview - Section A'!$AD$123:$AD$123</definedName>
    <definedName name="KeyActivityStart">'Overview - Section A'!$AD$124:$AD$124</definedName>
    <definedName name="LangOffset">Translations!$C$1</definedName>
    <definedName name="Language">'Overview - Section A'!$T$3</definedName>
    <definedName name="List" localSheetId="0">'[1]Account Role'!$B$2:$B$13</definedName>
    <definedName name="List">'Account Role'!$B$2:$B$19</definedName>
    <definedName name="MergedAndDistinctPR">IF(SUMPRODUCT(--(Setup!$I$15:$I$41&lt;&gt;""))=0,INDIRECT("FAKE RANGE"),Setup!$I$15:INDEX(Setup!$I$15:$I$41,SUMPRODUCT(--(Setup!$I$15:$I$41&lt;&gt;""))))</definedName>
    <definedName name="Module_List" localSheetId="0">OFFSET('[1]Reference Records'!$J$125,1,0,MATCH(" ",LEFT('[1]Reference Records'!$J$125:$J$159,255),-1)-1,1)</definedName>
    <definedName name="Module_List">OFFSET('Reference Records'!$J$159,1,0,MATCH(" ",LEFT('Reference Records'!$J$159:$J$210,255),-1)-1,1)</definedName>
    <definedName name="ModuleColumn" localSheetId="0">#REF!</definedName>
    <definedName name="ModuleColumn">'Reference Records'!$A$213:$A$350</definedName>
    <definedName name="Modules" localSheetId="0">OFFSET('[1]Overview - Section A'!$E$101,1,0,MATCH(" ",'[1]Overview - Section A'!$E$101:$E$117,-1)-1,1)</definedName>
    <definedName name="Modules">OFFSET('Overview - Section A'!$E$102,1,0,MATCH(" ",'Overview - Section A'!$E$102:$E$118,-1)-1,1)</definedName>
    <definedName name="ModuleStart" localSheetId="0">'[1]Reference Records'!$A$162</definedName>
    <definedName name="ModuleStart">'Reference Records'!$A$213</definedName>
    <definedName name="nstructionsB">#REF!</definedName>
    <definedName name="Outcome_Indicator_Disaggregation">'update Helper'!$A$884</definedName>
    <definedName name="Outcome_Indicator_Disaggregation_new">' Disaggregation - Section E '!$B$314</definedName>
    <definedName name="Outcome_indicators__section_C">'update Helper'!$A$225</definedName>
    <definedName name="Outcome_indicators_Targets__section_C">'update Helper'!$A$265</definedName>
    <definedName name="OutcomeIndicator" localSheetId="0">OFFSET('[1]Reference Records'!$I$21,1,0,MATCH(" ",LEFT('[1]Reference Records'!$I$21:$I$58,255),-1)-1,1)</definedName>
    <definedName name="OutcomeIndicator">OFFSET('Reference Records'!$I$25,1,0,MATCH(" ",LEFT('Reference Records'!$I$25:$I$76,255),-1)-1,1)</definedName>
    <definedName name="PICKLISTKEYVALUEPAIR">apttusmetadata!$Y$2:$Z$13</definedName>
    <definedName name="Population">'Overview - Section A'!$J$124</definedName>
    <definedName name="Population_by_intervention" localSheetId="0">'[1]Reference Records'!$A$332:$F$333</definedName>
    <definedName name="Population_by_intervention">'Reference Records'!$A$430:$M$431</definedName>
    <definedName name="Population_by_Intervention_name">'Reference Records'!$E$430:$M$431</definedName>
    <definedName name="PopulationByCoverage" localSheetId="0">'[1]Reference Records'!$A$511:$F$512</definedName>
    <definedName name="PopulationByCoverage">'Reference Records'!$A$656:$F$657</definedName>
    <definedName name="ResponsiblePR" localSheetId="0">IF('[1]Overview - Section A'!$AN$5="Funding Request",OFFSET('[1]Overview - Section A'!$M$30,1,0,MATCH(" ",'[1]Overview - Section A'!$M$30:$M$40,-1)-1,1),OFFSET('[1]Overview - Section A'!$E$26,1,0,MATCH(" ",'[1]Overview - Section A'!$E$26:$E$27,-1)-1,1))</definedName>
    <definedName name="ResponsiblePR">IF('Overview - Section A'!$AN$5="Funding Request",OFFSET('Overview - Section A'!$M$31,1,0,MATCH(" ",'Overview - Section A'!$M$31:$M$41,-1)-1,1),OFFSET('Overview - Section A'!$E$27,1,0,MATCH(" ",'Overview - Section A'!$E$27:$E$28,-1)-1,1))</definedName>
    <definedName name="SectionAPopulation" localSheetId="0">'[1]Overview - Section A'!$V$123:$V$174</definedName>
    <definedName name="SectionAPopulation">'Overview - Section A'!$V$124:$V$175</definedName>
    <definedName name="SectionATab">'Overview - Section A'!$T$13</definedName>
    <definedName name="SectionAUnique">Setup!$L$1:$L$50</definedName>
    <definedName name="SectionBTab">'Impact Indicators - Section B '!$B$5</definedName>
    <definedName name="SectionBTable">'Impact Indicators - Section B '!$A$9:$AA$10</definedName>
    <definedName name="SectionCTab">'Outcome Indicators - Section C '!$B$5</definedName>
    <definedName name="SectionCTable">'Outcome Indicators - Section C '!#REF!</definedName>
    <definedName name="SectionDTab">'Coverage Indicators - Section D'!$B$4</definedName>
    <definedName name="SectionDTable">'Coverage Indicators - Section D'!$A$9:$AM$10</definedName>
    <definedName name="SectionETab">' Disaggregation - Section E '!$F$5</definedName>
    <definedName name="SectionETableBottom">' Disaggregation - Section E '!$B$621:$J$622</definedName>
    <definedName name="SectionETableMiddle">' Disaggregation - Section E '!$B$316:$J$317</definedName>
    <definedName name="SectionETableTop">' Disaggregation - Section E '!$B$10:$J$11</definedName>
    <definedName name="SectionFTab">'WPTM - Section F'!$B$5</definedName>
    <definedName name="Subset" localSheetId="0">OFFSET('[1]Coverage Indicators-Section D'!$AA$10,1,0,MATCH(" ",'[1]Coverage Indicators-Section D'!$AA$10:$AA$42,-1)-1,1)</definedName>
    <definedName name="Subset">OFFSET(#REF!,1,0,MATCH(" ",#REF!,-1)-1,1)</definedName>
    <definedName name="WPTM____Section_F">'update Helper'!$A$2202</definedName>
    <definedName name="WPTM_Results">'update Helper'!$A$2368</definedName>
    <definedName name="XAuthorInvalidPicklistData" localSheetId="0">[1]apttusmetadata!$B$1</definedName>
    <definedName name="XAuthorInvalidPicklistData">apttusmetadata!$B$1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30" l="1"/>
  <c r="D12" i="34"/>
  <c r="D11" i="34"/>
  <c r="D10" i="34"/>
  <c r="D9" i="34"/>
  <c r="E17" i="31"/>
  <c r="V17" i="33"/>
  <c r="L15" i="30" l="1"/>
  <c r="T13" i="30"/>
  <c r="P13" i="30"/>
  <c r="L13" i="30"/>
  <c r="F868" i="32" l="1"/>
  <c r="F864" i="32"/>
  <c r="F793" i="32"/>
  <c r="F791" i="32"/>
  <c r="F744" i="32"/>
  <c r="F664" i="32"/>
  <c r="F319" i="32"/>
  <c r="F321" i="32" s="1"/>
  <c r="F22" i="33"/>
  <c r="F16" i="33"/>
  <c r="F12" i="33"/>
  <c r="L11" i="30"/>
  <c r="P11" i="30"/>
  <c r="T9" i="30"/>
  <c r="F915" i="32" l="1"/>
  <c r="F905" i="32"/>
  <c r="F903" i="32"/>
  <c r="U22" i="33" l="1"/>
  <c r="R22" i="33"/>
  <c r="O22" i="33"/>
  <c r="U16" i="33"/>
  <c r="U12" i="33"/>
  <c r="R16" i="33"/>
  <c r="R12" i="33"/>
  <c r="O16" i="33"/>
  <c r="O12" i="33"/>
  <c r="E5" i="1" l="1"/>
  <c r="E6" i="1"/>
  <c r="AN11" i="1" s="1"/>
  <c r="E9" i="1"/>
  <c r="AN9" i="1"/>
  <c r="K10" i="1"/>
  <c r="A27" i="1"/>
  <c r="L27" i="1"/>
  <c r="M27" i="1"/>
  <c r="P27" i="1"/>
  <c r="P28" i="1"/>
  <c r="E31" i="1"/>
  <c r="D31" i="1" s="1"/>
  <c r="J31" i="1"/>
  <c r="D32" i="1"/>
  <c r="J32" i="1"/>
  <c r="E33" i="1"/>
  <c r="D33" i="1" s="1"/>
  <c r="J33" i="1"/>
  <c r="E34" i="1"/>
  <c r="D34" i="1" s="1"/>
  <c r="J34" i="1"/>
  <c r="E35" i="1"/>
  <c r="M35" i="1" s="1"/>
  <c r="J35" i="1"/>
  <c r="E36" i="1"/>
  <c r="J36" i="1"/>
  <c r="E37" i="1"/>
  <c r="L37" i="1" s="1"/>
  <c r="J37" i="1"/>
  <c r="E38" i="1"/>
  <c r="N38" i="1" s="1"/>
  <c r="J38" i="1"/>
  <c r="E39" i="1"/>
  <c r="N39" i="1" s="1"/>
  <c r="J39" i="1"/>
  <c r="E40" i="1"/>
  <c r="D40" i="1" s="1"/>
  <c r="J40" i="1"/>
  <c r="B47" i="1"/>
  <c r="B48" i="1" s="1"/>
  <c r="G60" i="1"/>
  <c r="G61" i="1"/>
  <c r="G62" i="1"/>
  <c r="G63" i="1"/>
  <c r="G64" i="1"/>
  <c r="G65" i="1"/>
  <c r="G66" i="1"/>
  <c r="G67" i="1"/>
  <c r="G68" i="1"/>
  <c r="G69" i="1"/>
  <c r="G70" i="1"/>
  <c r="G71" i="1"/>
  <c r="G72" i="1"/>
  <c r="G78" i="1"/>
  <c r="G79" i="1"/>
  <c r="G80" i="1"/>
  <c r="G81" i="1"/>
  <c r="G82" i="1"/>
  <c r="G83" i="1"/>
  <c r="G84" i="1"/>
  <c r="G85" i="1"/>
  <c r="G86" i="1"/>
  <c r="G87" i="1"/>
  <c r="G88" i="1"/>
  <c r="G89" i="1"/>
  <c r="G90" i="1"/>
  <c r="C102" i="1"/>
  <c r="E102" i="1"/>
  <c r="C103" i="1"/>
  <c r="G103" i="1"/>
  <c r="C104" i="1"/>
  <c r="G104" i="1"/>
  <c r="C105" i="1"/>
  <c r="G105" i="1"/>
  <c r="C106" i="1"/>
  <c r="G106" i="1"/>
  <c r="C107" i="1"/>
  <c r="G107" i="1"/>
  <c r="C108" i="1"/>
  <c r="G108" i="1"/>
  <c r="C109" i="1"/>
  <c r="G109" i="1"/>
  <c r="C110" i="1"/>
  <c r="G110" i="1"/>
  <c r="E111" i="1"/>
  <c r="C111" i="1" s="1"/>
  <c r="E112" i="1"/>
  <c r="C112" i="1" s="1"/>
  <c r="E113" i="1"/>
  <c r="E114" i="1"/>
  <c r="C114" i="1" s="1"/>
  <c r="E115" i="1"/>
  <c r="C115" i="1" s="1"/>
  <c r="E116" i="1"/>
  <c r="E117" i="1"/>
  <c r="K124" i="1"/>
  <c r="E124" i="1" s="1"/>
  <c r="S124" i="1"/>
  <c r="V124" i="1"/>
  <c r="Z124" i="1"/>
  <c r="AG124" i="1"/>
  <c r="AD125" i="1"/>
  <c r="S125" i="1"/>
  <c r="Z125" i="1"/>
  <c r="AG125" i="1"/>
  <c r="S126" i="1"/>
  <c r="Z126" i="1"/>
  <c r="AG126" i="1"/>
  <c r="W127" i="1"/>
  <c r="S127" i="1"/>
  <c r="Z127" i="1"/>
  <c r="AG127" i="1"/>
  <c r="S128" i="1"/>
  <c r="Z128" i="1"/>
  <c r="AG128" i="1"/>
  <c r="K129" i="1"/>
  <c r="E129" i="1" s="1"/>
  <c r="S129" i="1"/>
  <c r="V129" i="1"/>
  <c r="Z129" i="1"/>
  <c r="AG129" i="1"/>
  <c r="K130" i="1"/>
  <c r="W130" i="1" s="1"/>
  <c r="S130" i="1"/>
  <c r="V130" i="1"/>
  <c r="Z130" i="1"/>
  <c r="AG130" i="1"/>
  <c r="K131" i="1"/>
  <c r="W131" i="1" s="1"/>
  <c r="S131" i="1"/>
  <c r="V131" i="1"/>
  <c r="Z131" i="1"/>
  <c r="AG131" i="1"/>
  <c r="K132" i="1"/>
  <c r="S132" i="1"/>
  <c r="V132" i="1"/>
  <c r="Z132" i="1"/>
  <c r="AG132" i="1"/>
  <c r="K133" i="1"/>
  <c r="S133" i="1"/>
  <c r="V133" i="1"/>
  <c r="Z133" i="1"/>
  <c r="AG133" i="1"/>
  <c r="K134" i="1"/>
  <c r="E134" i="1" s="1"/>
  <c r="S134" i="1"/>
  <c r="V134" i="1"/>
  <c r="Z134" i="1"/>
  <c r="AG134" i="1"/>
  <c r="K135" i="1"/>
  <c r="Y135" i="1" s="1"/>
  <c r="S135" i="1"/>
  <c r="V135" i="1"/>
  <c r="Z135" i="1"/>
  <c r="AG135" i="1"/>
  <c r="K136" i="1"/>
  <c r="S136" i="1"/>
  <c r="V136" i="1"/>
  <c r="Z136" i="1"/>
  <c r="AG136" i="1"/>
  <c r="K137" i="1"/>
  <c r="E137" i="1" s="1"/>
  <c r="S137" i="1"/>
  <c r="V137" i="1"/>
  <c r="Z137" i="1"/>
  <c r="AG137" i="1"/>
  <c r="K138" i="1"/>
  <c r="E138" i="1" s="1"/>
  <c r="S138" i="1"/>
  <c r="V138" i="1"/>
  <c r="Z138" i="1"/>
  <c r="AG138" i="1"/>
  <c r="K139" i="1"/>
  <c r="S139" i="1"/>
  <c r="V139" i="1"/>
  <c r="Z139" i="1"/>
  <c r="AG139" i="1"/>
  <c r="K140" i="1"/>
  <c r="E140" i="1" s="1"/>
  <c r="S140" i="1"/>
  <c r="V140" i="1"/>
  <c r="Z140" i="1"/>
  <c r="AG140" i="1"/>
  <c r="K141" i="1"/>
  <c r="S141" i="1"/>
  <c r="V141" i="1"/>
  <c r="Z141" i="1"/>
  <c r="AG141" i="1"/>
  <c r="K142" i="1"/>
  <c r="E142" i="1" s="1"/>
  <c r="AF142" i="1" s="1"/>
  <c r="S142" i="1"/>
  <c r="V142" i="1"/>
  <c r="Z142" i="1"/>
  <c r="AG142" i="1"/>
  <c r="K143" i="1"/>
  <c r="S143" i="1"/>
  <c r="V143" i="1"/>
  <c r="Z143" i="1"/>
  <c r="AG143" i="1"/>
  <c r="K144" i="1"/>
  <c r="W144" i="1" s="1"/>
  <c r="S144" i="1"/>
  <c r="V144" i="1"/>
  <c r="Z144" i="1"/>
  <c r="AG144" i="1"/>
  <c r="K145" i="1"/>
  <c r="S145" i="1"/>
  <c r="V145" i="1"/>
  <c r="Z145" i="1"/>
  <c r="AG145" i="1"/>
  <c r="K146" i="1"/>
  <c r="W146" i="1" s="1"/>
  <c r="S146" i="1"/>
  <c r="V146" i="1"/>
  <c r="Z146" i="1"/>
  <c r="AG146" i="1"/>
  <c r="K147" i="1"/>
  <c r="S147" i="1"/>
  <c r="V147" i="1"/>
  <c r="Z147" i="1"/>
  <c r="AG147" i="1"/>
  <c r="K148" i="1"/>
  <c r="E148" i="1" s="1"/>
  <c r="S148" i="1"/>
  <c r="V148" i="1"/>
  <c r="Z148" i="1"/>
  <c r="AG148" i="1"/>
  <c r="K149" i="1"/>
  <c r="W149" i="1" s="1"/>
  <c r="S149" i="1"/>
  <c r="V149" i="1"/>
  <c r="Z149" i="1"/>
  <c r="AG149" i="1"/>
  <c r="K150" i="1"/>
  <c r="S150" i="1"/>
  <c r="V150" i="1"/>
  <c r="Z150" i="1"/>
  <c r="AG150" i="1"/>
  <c r="K151" i="1"/>
  <c r="E151" i="1" s="1"/>
  <c r="S151" i="1"/>
  <c r="V151" i="1"/>
  <c r="Z151" i="1"/>
  <c r="AG151" i="1"/>
  <c r="K152" i="1"/>
  <c r="E152" i="1" s="1"/>
  <c r="S152" i="1"/>
  <c r="V152" i="1"/>
  <c r="Z152" i="1"/>
  <c r="AG152" i="1"/>
  <c r="K153" i="1"/>
  <c r="E153" i="1" s="1"/>
  <c r="S153" i="1"/>
  <c r="V153" i="1"/>
  <c r="Z153" i="1"/>
  <c r="AG153" i="1"/>
  <c r="K154" i="1"/>
  <c r="E154" i="1" s="1"/>
  <c r="S154" i="1"/>
  <c r="V154" i="1"/>
  <c r="Z154" i="1"/>
  <c r="AG154" i="1"/>
  <c r="K155" i="1"/>
  <c r="W155" i="1" s="1"/>
  <c r="S155" i="1"/>
  <c r="V155" i="1"/>
  <c r="Z155" i="1"/>
  <c r="AG155" i="1"/>
  <c r="K156" i="1"/>
  <c r="W156" i="1" s="1"/>
  <c r="S156" i="1"/>
  <c r="V156" i="1"/>
  <c r="Z156" i="1"/>
  <c r="AG156" i="1"/>
  <c r="K157" i="1"/>
  <c r="E157" i="1" s="1"/>
  <c r="AD157" i="1" s="1"/>
  <c r="S157" i="1"/>
  <c r="V157" i="1"/>
  <c r="Z157" i="1"/>
  <c r="AG157" i="1"/>
  <c r="K158" i="1"/>
  <c r="W158" i="1" s="1"/>
  <c r="S158" i="1"/>
  <c r="V158" i="1"/>
  <c r="Z158" i="1"/>
  <c r="AG158" i="1"/>
  <c r="K159" i="1"/>
  <c r="W159" i="1" s="1"/>
  <c r="S159" i="1"/>
  <c r="V159" i="1"/>
  <c r="Z159" i="1"/>
  <c r="AG159" i="1"/>
  <c r="K160" i="1"/>
  <c r="W160" i="1" s="1"/>
  <c r="S160" i="1"/>
  <c r="V160" i="1"/>
  <c r="Z160" i="1"/>
  <c r="AG160" i="1"/>
  <c r="K161" i="1"/>
  <c r="Y161" i="1" s="1"/>
  <c r="S161" i="1"/>
  <c r="V161" i="1"/>
  <c r="Z161" i="1"/>
  <c r="AG161" i="1"/>
  <c r="K162" i="1"/>
  <c r="E162" i="1" s="1"/>
  <c r="S162" i="1"/>
  <c r="V162" i="1"/>
  <c r="Z162" i="1"/>
  <c r="AG162" i="1"/>
  <c r="K163" i="1"/>
  <c r="W163" i="1" s="1"/>
  <c r="S163" i="1"/>
  <c r="V163" i="1"/>
  <c r="Z163" i="1"/>
  <c r="AG163" i="1"/>
  <c r="K164" i="1"/>
  <c r="Y164" i="1" s="1"/>
  <c r="S164" i="1"/>
  <c r="V164" i="1"/>
  <c r="Z164" i="1"/>
  <c r="AG164" i="1"/>
  <c r="K165" i="1"/>
  <c r="W165" i="1" s="1"/>
  <c r="S165" i="1"/>
  <c r="V165" i="1"/>
  <c r="Z165" i="1"/>
  <c r="AG165" i="1"/>
  <c r="K166" i="1"/>
  <c r="E166" i="1" s="1"/>
  <c r="S166" i="1"/>
  <c r="V166" i="1"/>
  <c r="Z166" i="1"/>
  <c r="AG166" i="1"/>
  <c r="K167" i="1"/>
  <c r="W167" i="1" s="1"/>
  <c r="S167" i="1"/>
  <c r="V167" i="1"/>
  <c r="Z167" i="1"/>
  <c r="AG167" i="1"/>
  <c r="K168" i="1"/>
  <c r="W168" i="1" s="1"/>
  <c r="S168" i="1"/>
  <c r="V168" i="1"/>
  <c r="Z168" i="1"/>
  <c r="AG168" i="1"/>
  <c r="K169" i="1"/>
  <c r="Y169" i="1" s="1"/>
  <c r="S169" i="1"/>
  <c r="V169" i="1"/>
  <c r="Z169" i="1"/>
  <c r="AG169" i="1"/>
  <c r="K170" i="1"/>
  <c r="E170" i="1" s="1"/>
  <c r="S170" i="1"/>
  <c r="V170" i="1"/>
  <c r="Z170" i="1"/>
  <c r="AG170" i="1"/>
  <c r="K171" i="1"/>
  <c r="W171" i="1" s="1"/>
  <c r="S171" i="1"/>
  <c r="V171" i="1"/>
  <c r="Z171" i="1"/>
  <c r="AG171" i="1"/>
  <c r="K172" i="1"/>
  <c r="E172" i="1" s="1"/>
  <c r="AD172" i="1" s="1"/>
  <c r="S172" i="1"/>
  <c r="V172" i="1"/>
  <c r="Z172" i="1"/>
  <c r="AG172" i="1"/>
  <c r="K173" i="1"/>
  <c r="E173" i="1" s="1"/>
  <c r="AD173" i="1" s="1"/>
  <c r="S173" i="1"/>
  <c r="V173" i="1"/>
  <c r="Z173" i="1"/>
  <c r="AG173" i="1"/>
  <c r="K174" i="1"/>
  <c r="E174" i="1" s="1"/>
  <c r="S174" i="1"/>
  <c r="V174" i="1"/>
  <c r="Z174" i="1"/>
  <c r="AG174" i="1"/>
  <c r="AR199" i="1"/>
  <c r="H4" i="16" a="1"/>
  <c r="H4" i="16" s="1"/>
  <c r="L24" i="16"/>
  <c r="H25" i="16" a="1"/>
  <c r="H25" i="16" s="1"/>
  <c r="L25" i="16"/>
  <c r="L26" i="16"/>
  <c r="L27" i="16"/>
  <c r="L28" i="16"/>
  <c r="L29"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153" i="16"/>
  <c r="F154" i="16"/>
  <c r="F155" i="16"/>
  <c r="B159" i="16" a="1"/>
  <c r="B159" i="16" s="1"/>
  <c r="I159" i="16" a="1"/>
  <c r="I159" i="16" s="1"/>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F213" i="16"/>
  <c r="I213" i="16" s="1"/>
  <c r="F214" i="16"/>
  <c r="I214" i="16" s="1"/>
  <c r="F215" i="16"/>
  <c r="I215" i="16" s="1"/>
  <c r="F216" i="16"/>
  <c r="I216" i="16" s="1"/>
  <c r="F217" i="16"/>
  <c r="I217" i="16" s="1"/>
  <c r="F218" i="16"/>
  <c r="I218" i="16" s="1"/>
  <c r="F219" i="16"/>
  <c r="I219" i="16" s="1"/>
  <c r="F220" i="16"/>
  <c r="I220" i="16" s="1"/>
  <c r="F221" i="16"/>
  <c r="I221" i="16" s="1"/>
  <c r="F222" i="16"/>
  <c r="I222" i="16" s="1"/>
  <c r="F223" i="16"/>
  <c r="I223" i="16" s="1"/>
  <c r="F224" i="16"/>
  <c r="I224" i="16" s="1"/>
  <c r="F225" i="16"/>
  <c r="I225" i="16" s="1"/>
  <c r="F226" i="16"/>
  <c r="I226" i="16" s="1"/>
  <c r="F227" i="16"/>
  <c r="I227" i="16" s="1"/>
  <c r="F228" i="16"/>
  <c r="I228" i="16" s="1"/>
  <c r="F229" i="16"/>
  <c r="I229" i="16" s="1"/>
  <c r="F230" i="16"/>
  <c r="I230" i="16" s="1"/>
  <c r="F231" i="16"/>
  <c r="I231" i="16" s="1"/>
  <c r="F232" i="16"/>
  <c r="I232" i="16" s="1"/>
  <c r="F233" i="16"/>
  <c r="I233" i="16" s="1"/>
  <c r="F234" i="16"/>
  <c r="I234" i="16" s="1"/>
  <c r="F235" i="16"/>
  <c r="I235" i="16" s="1"/>
  <c r="F236" i="16"/>
  <c r="I236" i="16" s="1"/>
  <c r="F237" i="16"/>
  <c r="I237" i="16" s="1"/>
  <c r="F238" i="16"/>
  <c r="I238" i="16" s="1"/>
  <c r="F239" i="16"/>
  <c r="I239" i="16" s="1"/>
  <c r="F240" i="16"/>
  <c r="I240" i="16" s="1"/>
  <c r="F241" i="16"/>
  <c r="I241" i="16" s="1"/>
  <c r="F242" i="16"/>
  <c r="I242" i="16" s="1"/>
  <c r="F243" i="16"/>
  <c r="I243" i="16" s="1"/>
  <c r="F244" i="16"/>
  <c r="I244" i="16" s="1"/>
  <c r="F245" i="16"/>
  <c r="I245" i="16" s="1"/>
  <c r="F246" i="16"/>
  <c r="I246" i="16" s="1"/>
  <c r="F247" i="16"/>
  <c r="I247" i="16" s="1"/>
  <c r="F248" i="16"/>
  <c r="I248" i="16" s="1"/>
  <c r="F249" i="16"/>
  <c r="I249" i="16" s="1"/>
  <c r="F250" i="16"/>
  <c r="I250" i="16" s="1"/>
  <c r="F251" i="16"/>
  <c r="I251" i="16" s="1"/>
  <c r="F252" i="16"/>
  <c r="I252" i="16" s="1"/>
  <c r="F253" i="16"/>
  <c r="I253" i="16" s="1"/>
  <c r="F254" i="16"/>
  <c r="I254" i="16" s="1"/>
  <c r="F255" i="16"/>
  <c r="I255" i="16" s="1"/>
  <c r="F256" i="16"/>
  <c r="I256" i="16" s="1"/>
  <c r="F257" i="16"/>
  <c r="I257" i="16" s="1"/>
  <c r="F258" i="16"/>
  <c r="I258" i="16" s="1"/>
  <c r="F259" i="16"/>
  <c r="I259" i="16" s="1"/>
  <c r="F260" i="16"/>
  <c r="I260" i="16" s="1"/>
  <c r="F261" i="16"/>
  <c r="I261" i="16" s="1"/>
  <c r="F262" i="16"/>
  <c r="I262" i="16" s="1"/>
  <c r="F263" i="16"/>
  <c r="I263" i="16" s="1"/>
  <c r="F264" i="16"/>
  <c r="I264" i="16" s="1"/>
  <c r="F265" i="16"/>
  <c r="I265" i="16" s="1"/>
  <c r="F266" i="16"/>
  <c r="I266" i="16" s="1"/>
  <c r="F267" i="16"/>
  <c r="I267" i="16" s="1"/>
  <c r="F268" i="16"/>
  <c r="I268" i="16" s="1"/>
  <c r="F269" i="16"/>
  <c r="I269" i="16" s="1"/>
  <c r="F270" i="16"/>
  <c r="I270" i="16" s="1"/>
  <c r="F271" i="16"/>
  <c r="I271" i="16" s="1"/>
  <c r="F272" i="16"/>
  <c r="I272" i="16" s="1"/>
  <c r="F273" i="16"/>
  <c r="I273" i="16" s="1"/>
  <c r="F274" i="16"/>
  <c r="I274" i="16" s="1"/>
  <c r="F275" i="16"/>
  <c r="I275" i="16" s="1"/>
  <c r="F276" i="16"/>
  <c r="I276" i="16" s="1"/>
  <c r="F277" i="16"/>
  <c r="I277" i="16" s="1"/>
  <c r="F278" i="16"/>
  <c r="I278" i="16" s="1"/>
  <c r="F279" i="16"/>
  <c r="I279" i="16" s="1"/>
  <c r="F280" i="16"/>
  <c r="I280" i="16" s="1"/>
  <c r="F281" i="16"/>
  <c r="I281" i="16" s="1"/>
  <c r="F282" i="16"/>
  <c r="I282" i="16" s="1"/>
  <c r="F283" i="16"/>
  <c r="I283" i="16" s="1"/>
  <c r="F284" i="16"/>
  <c r="I284" i="16" s="1"/>
  <c r="F285" i="16"/>
  <c r="I285" i="16" s="1"/>
  <c r="F286" i="16"/>
  <c r="I286" i="16" s="1"/>
  <c r="F287" i="16"/>
  <c r="I287" i="16" s="1"/>
  <c r="F288" i="16"/>
  <c r="I288" i="16" s="1"/>
  <c r="F289" i="16"/>
  <c r="I289" i="16" s="1"/>
  <c r="F290" i="16"/>
  <c r="I290" i="16" s="1"/>
  <c r="F291" i="16"/>
  <c r="I291" i="16" s="1"/>
  <c r="F292" i="16"/>
  <c r="I292" i="16" s="1"/>
  <c r="F293" i="16"/>
  <c r="I293" i="16" s="1"/>
  <c r="F294" i="16"/>
  <c r="I294" i="16" s="1"/>
  <c r="F295" i="16"/>
  <c r="I295" i="16" s="1"/>
  <c r="F296" i="16"/>
  <c r="I296" i="16" s="1"/>
  <c r="F297" i="16"/>
  <c r="I297" i="16" s="1"/>
  <c r="F298" i="16"/>
  <c r="I298" i="16" s="1"/>
  <c r="F299" i="16"/>
  <c r="I299" i="16" s="1"/>
  <c r="F300" i="16"/>
  <c r="I300" i="16" s="1"/>
  <c r="F301" i="16"/>
  <c r="I301" i="16" s="1"/>
  <c r="F302" i="16"/>
  <c r="I302" i="16" s="1"/>
  <c r="F303" i="16"/>
  <c r="I303" i="16" s="1"/>
  <c r="F304" i="16"/>
  <c r="I304" i="16" s="1"/>
  <c r="F305" i="16"/>
  <c r="I305" i="16" s="1"/>
  <c r="F306" i="16"/>
  <c r="I306" i="16" s="1"/>
  <c r="F307" i="16"/>
  <c r="I307" i="16" s="1"/>
  <c r="F308" i="16"/>
  <c r="I308" i="16" s="1"/>
  <c r="F309" i="16"/>
  <c r="I309" i="16" s="1"/>
  <c r="F310" i="16"/>
  <c r="I310" i="16" s="1"/>
  <c r="F311" i="16"/>
  <c r="I311" i="16" s="1"/>
  <c r="F312" i="16"/>
  <c r="I312" i="16" s="1"/>
  <c r="F313" i="16"/>
  <c r="I313" i="16" s="1"/>
  <c r="F314" i="16"/>
  <c r="I314" i="16" s="1"/>
  <c r="F315" i="16"/>
  <c r="I315" i="16"/>
  <c r="F316" i="16"/>
  <c r="I316" i="16" s="1"/>
  <c r="F317" i="16"/>
  <c r="I317" i="16" s="1"/>
  <c r="F318" i="16"/>
  <c r="I318" i="16" s="1"/>
  <c r="F319" i="16"/>
  <c r="I319" i="16" s="1"/>
  <c r="F320" i="16"/>
  <c r="I320" i="16" s="1"/>
  <c r="F321" i="16"/>
  <c r="I321" i="16" s="1"/>
  <c r="F322" i="16"/>
  <c r="I322" i="16" s="1"/>
  <c r="F323" i="16"/>
  <c r="I323" i="16" s="1"/>
  <c r="F324" i="16"/>
  <c r="I324" i="16" s="1"/>
  <c r="F325" i="16"/>
  <c r="I325" i="16" s="1"/>
  <c r="F326" i="16"/>
  <c r="I326" i="16" s="1"/>
  <c r="F327" i="16"/>
  <c r="I327" i="16" s="1"/>
  <c r="F328" i="16"/>
  <c r="I328" i="16" s="1"/>
  <c r="F329" i="16"/>
  <c r="I329" i="16" s="1"/>
  <c r="F330" i="16"/>
  <c r="I330" i="16" s="1"/>
  <c r="F331" i="16"/>
  <c r="I331" i="16" s="1"/>
  <c r="F332" i="16"/>
  <c r="I332" i="16" s="1"/>
  <c r="F333" i="16"/>
  <c r="I333" i="16" s="1"/>
  <c r="F334" i="16"/>
  <c r="I334" i="16" s="1"/>
  <c r="F335" i="16"/>
  <c r="I335" i="16" s="1"/>
  <c r="F336" i="16"/>
  <c r="I336" i="16" s="1"/>
  <c r="F337" i="16"/>
  <c r="I337" i="16" s="1"/>
  <c r="F338" i="16"/>
  <c r="I338" i="16" s="1"/>
  <c r="F339" i="16"/>
  <c r="I339" i="16" s="1"/>
  <c r="F340" i="16"/>
  <c r="I340" i="16" s="1"/>
  <c r="F341" i="16"/>
  <c r="I341" i="16" s="1"/>
  <c r="F342" i="16"/>
  <c r="I342" i="16" s="1"/>
  <c r="F343" i="16"/>
  <c r="I343" i="16" s="1"/>
  <c r="F344" i="16"/>
  <c r="I344" i="16" s="1"/>
  <c r="F345" i="16"/>
  <c r="I345" i="16" s="1"/>
  <c r="F346" i="16"/>
  <c r="I346" i="16" s="1"/>
  <c r="F347" i="16"/>
  <c r="I347" i="16" s="1"/>
  <c r="F348" i="16"/>
  <c r="I348" i="16" s="1"/>
  <c r="F349" i="16"/>
  <c r="I349" i="16" s="1"/>
  <c r="F350" i="16"/>
  <c r="I350" i="16" s="1"/>
  <c r="B427" i="16"/>
  <c r="H431" i="16"/>
  <c r="I431" i="16"/>
  <c r="H432" i="16"/>
  <c r="I432" i="16"/>
  <c r="H433" i="16"/>
  <c r="I433" i="16"/>
  <c r="H434" i="16"/>
  <c r="I434" i="16"/>
  <c r="H435" i="16"/>
  <c r="I435" i="16"/>
  <c r="H436" i="16"/>
  <c r="I436" i="16"/>
  <c r="H437" i="16"/>
  <c r="I437" i="16"/>
  <c r="H438" i="16"/>
  <c r="I438" i="16"/>
  <c r="H439" i="16"/>
  <c r="I439" i="16"/>
  <c r="H440" i="16"/>
  <c r="I440" i="16"/>
  <c r="H441" i="16"/>
  <c r="I441" i="16"/>
  <c r="H442" i="16"/>
  <c r="I442" i="16"/>
  <c r="H443" i="16"/>
  <c r="I443" i="16"/>
  <c r="H444" i="16"/>
  <c r="I444" i="16"/>
  <c r="H445" i="16"/>
  <c r="I445" i="16"/>
  <c r="H446" i="16"/>
  <c r="I446" i="16"/>
  <c r="H447" i="16"/>
  <c r="I447" i="16"/>
  <c r="H448" i="16"/>
  <c r="I448" i="16"/>
  <c r="H449" i="16"/>
  <c r="I449" i="16"/>
  <c r="H450" i="16"/>
  <c r="I450" i="16"/>
  <c r="H451" i="16"/>
  <c r="I451" i="16"/>
  <c r="H452" i="16"/>
  <c r="I452" i="16"/>
  <c r="H453" i="16"/>
  <c r="I453" i="16"/>
  <c r="H454" i="16"/>
  <c r="I454" i="16"/>
  <c r="H455" i="16"/>
  <c r="I455" i="16"/>
  <c r="H456" i="16"/>
  <c r="I456" i="16"/>
  <c r="H457" i="16"/>
  <c r="I457" i="16"/>
  <c r="H458" i="16"/>
  <c r="I458" i="16"/>
  <c r="H459" i="16"/>
  <c r="I459" i="16"/>
  <c r="H460" i="16"/>
  <c r="I460" i="16"/>
  <c r="H461" i="16"/>
  <c r="I461" i="16"/>
  <c r="H462" i="16"/>
  <c r="I462" i="16"/>
  <c r="H463" i="16"/>
  <c r="I463" i="16"/>
  <c r="H464" i="16"/>
  <c r="I464" i="16"/>
  <c r="H465" i="16"/>
  <c r="I465" i="16"/>
  <c r="H466" i="16"/>
  <c r="I466" i="16"/>
  <c r="H467" i="16"/>
  <c r="I467" i="16"/>
  <c r="H468" i="16"/>
  <c r="I468" i="16"/>
  <c r="H469" i="16"/>
  <c r="I469" i="16"/>
  <c r="H470" i="16"/>
  <c r="I470" i="16"/>
  <c r="H471" i="16"/>
  <c r="I471" i="16"/>
  <c r="H472" i="16"/>
  <c r="I472" i="16"/>
  <c r="H473" i="16"/>
  <c r="I473" i="16"/>
  <c r="H474" i="16"/>
  <c r="I474" i="16"/>
  <c r="H475" i="16"/>
  <c r="I475" i="16"/>
  <c r="H476" i="16"/>
  <c r="I476" i="16"/>
  <c r="H477" i="16"/>
  <c r="I477" i="16"/>
  <c r="H478" i="16"/>
  <c r="I478" i="16"/>
  <c r="H479" i="16"/>
  <c r="I479" i="16"/>
  <c r="H480" i="16"/>
  <c r="I480" i="16"/>
  <c r="H481" i="16"/>
  <c r="I481" i="16"/>
  <c r="H482" i="16"/>
  <c r="I482" i="16"/>
  <c r="H483" i="16"/>
  <c r="I483" i="16"/>
  <c r="H484" i="16"/>
  <c r="I484" i="16"/>
  <c r="H485" i="16"/>
  <c r="I485" i="16"/>
  <c r="H486" i="16"/>
  <c r="I486" i="16"/>
  <c r="H487" i="16"/>
  <c r="I487" i="16"/>
  <c r="H488" i="16"/>
  <c r="I488" i="16"/>
  <c r="H489" i="16"/>
  <c r="I489" i="16"/>
  <c r="H490" i="16"/>
  <c r="I490" i="16"/>
  <c r="H491" i="16"/>
  <c r="I491" i="16"/>
  <c r="H492" i="16"/>
  <c r="I492" i="16"/>
  <c r="H493" i="16"/>
  <c r="I493" i="16"/>
  <c r="H494" i="16"/>
  <c r="I494" i="16"/>
  <c r="H495" i="16"/>
  <c r="I495" i="16"/>
  <c r="H496" i="16"/>
  <c r="I496" i="16"/>
  <c r="H497" i="16"/>
  <c r="I497" i="16"/>
  <c r="H498" i="16"/>
  <c r="I498" i="16"/>
  <c r="H499" i="16"/>
  <c r="I499" i="16"/>
  <c r="H500" i="16"/>
  <c r="I500" i="16"/>
  <c r="H501" i="16"/>
  <c r="I501" i="16"/>
  <c r="H502" i="16"/>
  <c r="I502" i="16"/>
  <c r="H503" i="16"/>
  <c r="I503" i="16"/>
  <c r="H504" i="16"/>
  <c r="I504" i="16"/>
  <c r="H505" i="16"/>
  <c r="I505" i="16"/>
  <c r="H506" i="16"/>
  <c r="I506" i="16"/>
  <c r="H507" i="16"/>
  <c r="I507" i="16"/>
  <c r="H508" i="16"/>
  <c r="I508" i="16"/>
  <c r="H509" i="16"/>
  <c r="I509" i="16"/>
  <c r="H510" i="16"/>
  <c r="I510" i="16"/>
  <c r="H511" i="16"/>
  <c r="I511" i="16"/>
  <c r="H512" i="16"/>
  <c r="I512" i="16"/>
  <c r="H513" i="16"/>
  <c r="I513" i="16"/>
  <c r="H514" i="16"/>
  <c r="I514" i="16"/>
  <c r="H515" i="16"/>
  <c r="I515" i="16"/>
  <c r="H516" i="16"/>
  <c r="I516" i="16"/>
  <c r="H517" i="16"/>
  <c r="I517" i="16"/>
  <c r="H518" i="16"/>
  <c r="I518" i="16"/>
  <c r="H519" i="16"/>
  <c r="I519" i="16"/>
  <c r="H520" i="16"/>
  <c r="I520" i="16"/>
  <c r="H521" i="16"/>
  <c r="I521" i="16"/>
  <c r="H522" i="16"/>
  <c r="I522" i="16"/>
  <c r="H523" i="16"/>
  <c r="I523" i="16"/>
  <c r="H524" i="16"/>
  <c r="I524" i="16"/>
  <c r="H525" i="16"/>
  <c r="I525" i="16"/>
  <c r="H526" i="16"/>
  <c r="I526" i="16"/>
  <c r="H527" i="16"/>
  <c r="I527" i="16"/>
  <c r="H528" i="16"/>
  <c r="I528" i="16"/>
  <c r="H529" i="16"/>
  <c r="I529" i="16"/>
  <c r="H530" i="16"/>
  <c r="I530" i="16"/>
  <c r="H531" i="16"/>
  <c r="I531" i="16"/>
  <c r="H532" i="16"/>
  <c r="I532" i="16"/>
  <c r="H533" i="16"/>
  <c r="I533" i="16"/>
  <c r="H534" i="16"/>
  <c r="I534" i="16"/>
  <c r="H535" i="16"/>
  <c r="I535" i="16"/>
  <c r="H536" i="16"/>
  <c r="I536" i="16"/>
  <c r="H537" i="16"/>
  <c r="I537" i="16"/>
  <c r="H538" i="16"/>
  <c r="I538" i="16"/>
  <c r="H539" i="16"/>
  <c r="I539" i="16"/>
  <c r="H540" i="16"/>
  <c r="I540" i="16"/>
  <c r="H541" i="16"/>
  <c r="I541" i="16"/>
  <c r="H542" i="16"/>
  <c r="I542" i="16"/>
  <c r="H543" i="16"/>
  <c r="I543" i="16"/>
  <c r="H544" i="16"/>
  <c r="I544" i="16"/>
  <c r="H545" i="16"/>
  <c r="I545" i="16"/>
  <c r="H546" i="16"/>
  <c r="I546" i="16"/>
  <c r="H547" i="16"/>
  <c r="I547" i="16"/>
  <c r="H548" i="16"/>
  <c r="I548" i="16"/>
  <c r="H549" i="16"/>
  <c r="I549" i="16"/>
  <c r="H550" i="16"/>
  <c r="I550" i="16"/>
  <c r="H551" i="16"/>
  <c r="I551" i="16"/>
  <c r="H552" i="16"/>
  <c r="I552" i="16"/>
  <c r="H553" i="16"/>
  <c r="I553" i="16"/>
  <c r="H554" i="16"/>
  <c r="I554" i="16"/>
  <c r="H555" i="16"/>
  <c r="I555" i="16"/>
  <c r="H556" i="16"/>
  <c r="I556" i="16"/>
  <c r="H557" i="16"/>
  <c r="I557" i="16"/>
  <c r="H558" i="16"/>
  <c r="I558" i="16"/>
  <c r="H559" i="16"/>
  <c r="I559" i="16"/>
  <c r="H560" i="16"/>
  <c r="I560" i="16"/>
  <c r="H561" i="16"/>
  <c r="I561" i="16"/>
  <c r="H562" i="16"/>
  <c r="I562" i="16"/>
  <c r="H563" i="16"/>
  <c r="I563" i="16"/>
  <c r="H564" i="16"/>
  <c r="I564" i="16"/>
  <c r="H565" i="16"/>
  <c r="I565" i="16"/>
  <c r="H566" i="16"/>
  <c r="I566" i="16"/>
  <c r="H567" i="16"/>
  <c r="I567" i="16"/>
  <c r="H568" i="16"/>
  <c r="I568" i="16"/>
  <c r="H569" i="16"/>
  <c r="I569" i="16"/>
  <c r="H570" i="16"/>
  <c r="I570" i="16"/>
  <c r="H571" i="16"/>
  <c r="I571" i="16"/>
  <c r="H572" i="16"/>
  <c r="I572" i="16"/>
  <c r="H573" i="16"/>
  <c r="I573" i="16"/>
  <c r="H574" i="16"/>
  <c r="I574" i="16"/>
  <c r="H575" i="16"/>
  <c r="I575" i="16"/>
  <c r="H576" i="16"/>
  <c r="I576" i="16"/>
  <c r="H577" i="16"/>
  <c r="I577" i="16"/>
  <c r="H578" i="16"/>
  <c r="I578" i="16"/>
  <c r="H579" i="16"/>
  <c r="I579" i="16"/>
  <c r="H580" i="16"/>
  <c r="I580" i="16"/>
  <c r="H581" i="16"/>
  <c r="I581" i="16"/>
  <c r="H582" i="16"/>
  <c r="I582" i="16"/>
  <c r="H583" i="16"/>
  <c r="I583" i="16"/>
  <c r="H584" i="16"/>
  <c r="I584" i="16"/>
  <c r="H585" i="16"/>
  <c r="I585" i="16"/>
  <c r="H586" i="16"/>
  <c r="I586" i="16"/>
  <c r="H587" i="16"/>
  <c r="I587" i="16"/>
  <c r="H588" i="16"/>
  <c r="I588" i="16"/>
  <c r="H589" i="16"/>
  <c r="I589" i="16"/>
  <c r="H590" i="16"/>
  <c r="I590" i="16"/>
  <c r="H591" i="16"/>
  <c r="I591" i="16"/>
  <c r="H592" i="16"/>
  <c r="I592" i="16"/>
  <c r="H593" i="16"/>
  <c r="I593" i="16"/>
  <c r="H594" i="16"/>
  <c r="I594" i="16"/>
  <c r="H595" i="16"/>
  <c r="I595" i="16"/>
  <c r="H596" i="16"/>
  <c r="I596" i="16"/>
  <c r="H597" i="16"/>
  <c r="I597" i="16"/>
  <c r="H598" i="16"/>
  <c r="I598" i="16"/>
  <c r="H599" i="16"/>
  <c r="I599" i="16"/>
  <c r="H600" i="16"/>
  <c r="I600" i="16"/>
  <c r="H601" i="16"/>
  <c r="I601" i="16"/>
  <c r="H602" i="16"/>
  <c r="I602" i="16"/>
  <c r="H603" i="16"/>
  <c r="I603" i="16"/>
  <c r="H604" i="16"/>
  <c r="I604" i="16"/>
  <c r="H605" i="16"/>
  <c r="I605" i="16"/>
  <c r="H606" i="16"/>
  <c r="I606" i="16"/>
  <c r="H607" i="16"/>
  <c r="I607" i="16"/>
  <c r="H608" i="16"/>
  <c r="I608" i="16"/>
  <c r="H609" i="16"/>
  <c r="I609" i="16"/>
  <c r="H610" i="16"/>
  <c r="I610" i="16"/>
  <c r="H611" i="16"/>
  <c r="I611" i="16"/>
  <c r="H612" i="16"/>
  <c r="I612" i="16"/>
  <c r="H613" i="16"/>
  <c r="I613" i="16"/>
  <c r="H614" i="16"/>
  <c r="I614" i="16"/>
  <c r="H615" i="16"/>
  <c r="I615" i="16"/>
  <c r="H616" i="16"/>
  <c r="I616" i="16"/>
  <c r="H617" i="16"/>
  <c r="I617" i="16"/>
  <c r="H618" i="16"/>
  <c r="I618" i="16"/>
  <c r="H619" i="16"/>
  <c r="I619" i="16"/>
  <c r="H620" i="16"/>
  <c r="I620" i="16"/>
  <c r="H621" i="16"/>
  <c r="I621" i="16"/>
  <c r="H622" i="16"/>
  <c r="I622" i="16"/>
  <c r="H623" i="16"/>
  <c r="I623" i="16"/>
  <c r="H624" i="16"/>
  <c r="I624" i="16"/>
  <c r="H625" i="16"/>
  <c r="I625" i="16"/>
  <c r="H626" i="16"/>
  <c r="I626" i="16"/>
  <c r="H627" i="16"/>
  <c r="I627" i="16"/>
  <c r="H628" i="16"/>
  <c r="I628" i="16"/>
  <c r="H629" i="16"/>
  <c r="I629" i="16"/>
  <c r="H630" i="16"/>
  <c r="I630" i="16"/>
  <c r="H631" i="16"/>
  <c r="I631" i="16"/>
  <c r="H632" i="16"/>
  <c r="I632" i="16"/>
  <c r="H633" i="16"/>
  <c r="I633" i="16"/>
  <c r="H634" i="16"/>
  <c r="I634" i="16"/>
  <c r="H635" i="16"/>
  <c r="I635" i="16"/>
  <c r="H636" i="16"/>
  <c r="I636" i="16"/>
  <c r="H637" i="16"/>
  <c r="I637" i="16"/>
  <c r="H638" i="16"/>
  <c r="I638" i="16"/>
  <c r="H639" i="16"/>
  <c r="I639" i="16"/>
  <c r="H640" i="16"/>
  <c r="I640" i="16"/>
  <c r="H641" i="16"/>
  <c r="I641" i="16"/>
  <c r="H642" i="16"/>
  <c r="I642" i="16"/>
  <c r="H643" i="16"/>
  <c r="I643" i="16"/>
  <c r="H644" i="16"/>
  <c r="I644" i="16"/>
  <c r="H645" i="16"/>
  <c r="I645" i="16"/>
  <c r="H646" i="16"/>
  <c r="I646" i="16"/>
  <c r="H647" i="16"/>
  <c r="I647" i="16"/>
  <c r="H648" i="16"/>
  <c r="I648" i="16"/>
  <c r="H649" i="16"/>
  <c r="I649" i="16"/>
  <c r="H650" i="16"/>
  <c r="I650" i="16"/>
  <c r="H651" i="16"/>
  <c r="I651" i="16"/>
  <c r="H652" i="16"/>
  <c r="I652" i="16"/>
  <c r="AG9" i="30"/>
  <c r="AI9" i="30"/>
  <c r="AJ9" i="30"/>
  <c r="AG11" i="30"/>
  <c r="AG13" i="30"/>
  <c r="AG15" i="30"/>
  <c r="AG17" i="30"/>
  <c r="AG19" i="30"/>
  <c r="AG21" i="30"/>
  <c r="AG23" i="30"/>
  <c r="AG25" i="30"/>
  <c r="AG27" i="30"/>
  <c r="AG29" i="30"/>
  <c r="AG31" i="30"/>
  <c r="AG33" i="30"/>
  <c r="AG35" i="30"/>
  <c r="AG37" i="30"/>
  <c r="AA2" i="27"/>
  <c r="B3" i="27"/>
  <c r="B4" i="27" s="1"/>
  <c r="B5" i="27" s="1"/>
  <c r="B6" i="27" s="1"/>
  <c r="B7" i="27" s="1"/>
  <c r="B8" i="27" s="1"/>
  <c r="B9" i="27" s="1"/>
  <c r="B10" i="27" s="1"/>
  <c r="B11" i="27" s="1"/>
  <c r="B12" i="27" s="1"/>
  <c r="B13" i="27" s="1"/>
  <c r="B14" i="27" s="1"/>
  <c r="B15" i="27" s="1"/>
  <c r="B16" i="27" s="1"/>
  <c r="B17" i="27" s="1"/>
  <c r="B18" i="27" s="1"/>
  <c r="B19" i="27" s="1"/>
  <c r="I3" i="27"/>
  <c r="I4" i="27" s="1"/>
  <c r="I5" i="27" s="1"/>
  <c r="I6" i="27" s="1"/>
  <c r="I7" i="27" s="1"/>
  <c r="I8" i="27" s="1"/>
  <c r="I9" i="27" s="1"/>
  <c r="I10" i="27" s="1"/>
  <c r="I11" i="27" s="1"/>
  <c r="I12" i="27" s="1"/>
  <c r="I13" i="27" s="1"/>
  <c r="I14" i="27" s="1"/>
  <c r="I15" i="27" s="1"/>
  <c r="I16" i="27" s="1"/>
  <c r="I17" i="27" s="1"/>
  <c r="I18" i="27" s="1"/>
  <c r="I19" i="27" s="1"/>
  <c r="F43" i="27"/>
  <c r="E43" i="27" s="1"/>
  <c r="K43" i="27" s="1"/>
  <c r="O43" i="27"/>
  <c r="C43" i="27" s="1"/>
  <c r="O64" i="27" s="1"/>
  <c r="P43" i="27"/>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P105" i="27" s="1"/>
  <c r="P106" i="27" s="1"/>
  <c r="P107" i="27" s="1"/>
  <c r="P108" i="27" s="1"/>
  <c r="P109" i="27" s="1"/>
  <c r="P110" i="27" s="1"/>
  <c r="P111" i="27" s="1"/>
  <c r="P112" i="27" s="1"/>
  <c r="P113" i="27" s="1"/>
  <c r="P114" i="27" s="1"/>
  <c r="P115" i="27" s="1"/>
  <c r="P116" i="27" s="1"/>
  <c r="P117" i="27" s="1"/>
  <c r="P118" i="27" s="1"/>
  <c r="P119" i="27" s="1"/>
  <c r="P120" i="27" s="1"/>
  <c r="P121" i="27" s="1"/>
  <c r="P122" i="27" s="1"/>
  <c r="P123" i="27" s="1"/>
  <c r="P124" i="27" s="1"/>
  <c r="P125" i="27" s="1"/>
  <c r="P126" i="27" s="1"/>
  <c r="P127" i="27" s="1"/>
  <c r="P128" i="27" s="1"/>
  <c r="P129" i="27" s="1"/>
  <c r="P130" i="27" s="1"/>
  <c r="P131" i="27" s="1"/>
  <c r="P132" i="27" s="1"/>
  <c r="P133" i="27" s="1"/>
  <c r="H44" i="27"/>
  <c r="H45" i="27"/>
  <c r="H46" i="27"/>
  <c r="H47" i="27"/>
  <c r="H48" i="27"/>
  <c r="H49"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F134" i="27"/>
  <c r="H134" i="27" s="1"/>
  <c r="O134" i="27"/>
  <c r="C134" i="27" s="1"/>
  <c r="P134" i="27"/>
  <c r="F135" i="27"/>
  <c r="O135" i="27"/>
  <c r="C135" i="27" s="1"/>
  <c r="P135" i="27"/>
  <c r="F136" i="27"/>
  <c r="H136" i="27" s="1"/>
  <c r="O136" i="27"/>
  <c r="C136" i="27" s="1"/>
  <c r="P136" i="27"/>
  <c r="F137" i="27"/>
  <c r="H137" i="27" s="1"/>
  <c r="O137" i="27"/>
  <c r="C137" i="27" s="1"/>
  <c r="P137" i="27"/>
  <c r="F138" i="27"/>
  <c r="H138" i="27" s="1"/>
  <c r="O138" i="27"/>
  <c r="C138" i="27" s="1"/>
  <c r="P138" i="27"/>
  <c r="F139" i="27"/>
  <c r="H139" i="27" s="1"/>
  <c r="O139" i="27"/>
  <c r="C139" i="27" s="1"/>
  <c r="P139" i="27"/>
  <c r="F140" i="27"/>
  <c r="O140" i="27"/>
  <c r="C140" i="27" s="1"/>
  <c r="P140" i="27"/>
  <c r="F141" i="27"/>
  <c r="O141" i="27"/>
  <c r="C141" i="27" s="1"/>
  <c r="P141" i="27"/>
  <c r="F142" i="27"/>
  <c r="O142" i="27"/>
  <c r="C142" i="27" s="1"/>
  <c r="P142" i="27"/>
  <c r="F143" i="27"/>
  <c r="O143" i="27"/>
  <c r="C143" i="27" s="1"/>
  <c r="P143" i="27"/>
  <c r="F144" i="27"/>
  <c r="O144" i="27"/>
  <c r="C144" i="27" s="1"/>
  <c r="P144" i="27"/>
  <c r="F145" i="27"/>
  <c r="O145" i="27"/>
  <c r="C145" i="27" s="1"/>
  <c r="P145" i="27"/>
  <c r="F146" i="27"/>
  <c r="O146" i="27"/>
  <c r="C146" i="27" s="1"/>
  <c r="P146" i="27"/>
  <c r="F147" i="27"/>
  <c r="O147" i="27"/>
  <c r="C147" i="27" s="1"/>
  <c r="P147" i="27"/>
  <c r="F148" i="27"/>
  <c r="O148" i="27"/>
  <c r="C148" i="27" s="1"/>
  <c r="P148" i="27"/>
  <c r="F149" i="27"/>
  <c r="O149" i="27"/>
  <c r="C149" i="27" s="1"/>
  <c r="P149" i="27"/>
  <c r="F150" i="27"/>
  <c r="O150" i="27"/>
  <c r="C150" i="27" s="1"/>
  <c r="P150" i="27"/>
  <c r="F151" i="27"/>
  <c r="O151" i="27"/>
  <c r="C151" i="27" s="1"/>
  <c r="P151" i="27"/>
  <c r="F152" i="27"/>
  <c r="O152" i="27"/>
  <c r="C152" i="27" s="1"/>
  <c r="P152" i="27"/>
  <c r="F153" i="27"/>
  <c r="O153" i="27"/>
  <c r="C153" i="27" s="1"/>
  <c r="P153" i="27"/>
  <c r="F154" i="27"/>
  <c r="O154" i="27"/>
  <c r="C154" i="27" s="1"/>
  <c r="P154" i="27"/>
  <c r="F155" i="27"/>
  <c r="O155" i="27"/>
  <c r="C155" i="27" s="1"/>
  <c r="P155" i="27"/>
  <c r="F156" i="27"/>
  <c r="O156" i="27"/>
  <c r="C156" i="27" s="1"/>
  <c r="P156" i="27"/>
  <c r="F157" i="27"/>
  <c r="O157" i="27"/>
  <c r="C157" i="27" s="1"/>
  <c r="P157" i="27"/>
  <c r="F158" i="27"/>
  <c r="O158" i="27"/>
  <c r="C158" i="27" s="1"/>
  <c r="P158" i="27"/>
  <c r="F159" i="27"/>
  <c r="O159" i="27"/>
  <c r="C159" i="27" s="1"/>
  <c r="P159" i="27"/>
  <c r="F160" i="27"/>
  <c r="O160" i="27"/>
  <c r="C160" i="27" s="1"/>
  <c r="P160" i="27"/>
  <c r="F161" i="27"/>
  <c r="O161" i="27"/>
  <c r="C161" i="27" s="1"/>
  <c r="P161" i="27"/>
  <c r="F162" i="27"/>
  <c r="O162" i="27"/>
  <c r="C162" i="27" s="1"/>
  <c r="P162" i="27"/>
  <c r="F163" i="27"/>
  <c r="O163" i="27"/>
  <c r="C163" i="27" s="1"/>
  <c r="P163" i="27"/>
  <c r="F164" i="27"/>
  <c r="O164" i="27"/>
  <c r="C164" i="27" s="1"/>
  <c r="P164" i="27"/>
  <c r="F165" i="27"/>
  <c r="O165" i="27"/>
  <c r="C165" i="27" s="1"/>
  <c r="P165" i="27"/>
  <c r="F166" i="27"/>
  <c r="O166" i="27"/>
  <c r="C166" i="27" s="1"/>
  <c r="P166" i="27"/>
  <c r="F167" i="27"/>
  <c r="O167" i="27"/>
  <c r="C167" i="27" s="1"/>
  <c r="P167" i="27"/>
  <c r="F168" i="27"/>
  <c r="O168" i="27"/>
  <c r="C168" i="27" s="1"/>
  <c r="P168" i="27"/>
  <c r="F169" i="27"/>
  <c r="O169" i="27"/>
  <c r="C169" i="27" s="1"/>
  <c r="P169" i="27"/>
  <c r="F170" i="27"/>
  <c r="O170" i="27"/>
  <c r="C170" i="27" s="1"/>
  <c r="P170" i="27"/>
  <c r="F171" i="27"/>
  <c r="O171" i="27"/>
  <c r="C171" i="27" s="1"/>
  <c r="P171" i="27"/>
  <c r="F172" i="27"/>
  <c r="O172" i="27"/>
  <c r="C172" i="27" s="1"/>
  <c r="P172" i="27"/>
  <c r="F173" i="27"/>
  <c r="O173" i="27"/>
  <c r="C173" i="27" s="1"/>
  <c r="P173" i="27"/>
  <c r="F174" i="27"/>
  <c r="O174" i="27"/>
  <c r="C174" i="27" s="1"/>
  <c r="P174" i="27"/>
  <c r="F175" i="27"/>
  <c r="O175" i="27"/>
  <c r="C175" i="27" s="1"/>
  <c r="P175" i="27"/>
  <c r="F176" i="27"/>
  <c r="O176" i="27"/>
  <c r="C176" i="27" s="1"/>
  <c r="P176" i="27"/>
  <c r="F177" i="27"/>
  <c r="O177" i="27"/>
  <c r="C177" i="27" s="1"/>
  <c r="P177" i="27"/>
  <c r="F178" i="27"/>
  <c r="O178" i="27"/>
  <c r="C178" i="27" s="1"/>
  <c r="P178" i="27"/>
  <c r="F179" i="27"/>
  <c r="O179" i="27"/>
  <c r="C179" i="27" s="1"/>
  <c r="P179" i="27"/>
  <c r="F180" i="27"/>
  <c r="O180" i="27"/>
  <c r="C180" i="27" s="1"/>
  <c r="P180" i="27"/>
  <c r="F181" i="27"/>
  <c r="O181" i="27"/>
  <c r="C181" i="27" s="1"/>
  <c r="P181" i="27"/>
  <c r="F182" i="27"/>
  <c r="O182" i="27"/>
  <c r="C182" i="27" s="1"/>
  <c r="P182" i="27"/>
  <c r="F183" i="27"/>
  <c r="O183" i="27"/>
  <c r="C183" i="27" s="1"/>
  <c r="P183" i="27"/>
  <c r="F184" i="27"/>
  <c r="O184" i="27"/>
  <c r="C184" i="27" s="1"/>
  <c r="P184" i="27"/>
  <c r="F185" i="27"/>
  <c r="O185" i="27"/>
  <c r="C185" i="27" s="1"/>
  <c r="P185" i="27"/>
  <c r="F186" i="27"/>
  <c r="O186" i="27"/>
  <c r="C186" i="27" s="1"/>
  <c r="P186" i="27"/>
  <c r="F187" i="27"/>
  <c r="O187" i="27"/>
  <c r="C187" i="27" s="1"/>
  <c r="P187" i="27"/>
  <c r="F188" i="27"/>
  <c r="O188" i="27"/>
  <c r="C188" i="27" s="1"/>
  <c r="P188" i="27"/>
  <c r="F189" i="27"/>
  <c r="O189" i="27"/>
  <c r="C189" i="27" s="1"/>
  <c r="P189" i="27"/>
  <c r="F190" i="27"/>
  <c r="O190" i="27"/>
  <c r="C190" i="27" s="1"/>
  <c r="P190" i="27"/>
  <c r="F191" i="27"/>
  <c r="O191" i="27"/>
  <c r="C191" i="27" s="1"/>
  <c r="P191" i="27"/>
  <c r="F192" i="27"/>
  <c r="O192" i="27"/>
  <c r="C192" i="27" s="1"/>
  <c r="P192" i="27"/>
  <c r="F193" i="27"/>
  <c r="O193" i="27"/>
  <c r="C193" i="27" s="1"/>
  <c r="P193" i="27"/>
  <c r="F194" i="27"/>
  <c r="O194" i="27"/>
  <c r="C194" i="27" s="1"/>
  <c r="P194" i="27"/>
  <c r="F195" i="27"/>
  <c r="O195" i="27"/>
  <c r="C195" i="27" s="1"/>
  <c r="P195" i="27"/>
  <c r="F196" i="27"/>
  <c r="O196" i="27"/>
  <c r="C196" i="27" s="1"/>
  <c r="P196" i="27"/>
  <c r="F197" i="27"/>
  <c r="O197" i="27"/>
  <c r="C197" i="27" s="1"/>
  <c r="P197" i="27"/>
  <c r="F198" i="27"/>
  <c r="O198" i="27"/>
  <c r="C198" i="27" s="1"/>
  <c r="P198" i="27"/>
  <c r="F199" i="27"/>
  <c r="O199" i="27"/>
  <c r="C199" i="27" s="1"/>
  <c r="P199" i="27"/>
  <c r="F200" i="27"/>
  <c r="O200" i="27"/>
  <c r="C200" i="27" s="1"/>
  <c r="P200" i="27"/>
  <c r="F201" i="27"/>
  <c r="O201" i="27"/>
  <c r="C201" i="27" s="1"/>
  <c r="P201" i="27"/>
  <c r="F202" i="27"/>
  <c r="O202" i="27"/>
  <c r="C202" i="27" s="1"/>
  <c r="P202" i="27"/>
  <c r="F203" i="27"/>
  <c r="O203" i="27"/>
  <c r="C203" i="27" s="1"/>
  <c r="P203" i="27"/>
  <c r="F204" i="27"/>
  <c r="O204" i="27"/>
  <c r="C204" i="27" s="1"/>
  <c r="P204" i="27"/>
  <c r="F205" i="27"/>
  <c r="O205" i="27"/>
  <c r="C205" i="27" s="1"/>
  <c r="P205" i="27"/>
  <c r="F206" i="27"/>
  <c r="O206" i="27"/>
  <c r="C206" i="27" s="1"/>
  <c r="P206" i="27"/>
  <c r="F207" i="27"/>
  <c r="O207" i="27"/>
  <c r="C207" i="27" s="1"/>
  <c r="P207" i="27"/>
  <c r="F208" i="27"/>
  <c r="O208" i="27"/>
  <c r="C208" i="27" s="1"/>
  <c r="P208" i="27"/>
  <c r="F209" i="27"/>
  <c r="O209" i="27"/>
  <c r="C209" i="27" s="1"/>
  <c r="P209" i="27"/>
  <c r="F210" i="27"/>
  <c r="O210" i="27"/>
  <c r="C210" i="27" s="1"/>
  <c r="P210" i="27"/>
  <c r="F211" i="27"/>
  <c r="O211" i="27"/>
  <c r="C211" i="27" s="1"/>
  <c r="P211" i="27"/>
  <c r="F212" i="27"/>
  <c r="O212" i="27"/>
  <c r="C212" i="27" s="1"/>
  <c r="P212" i="27"/>
  <c r="F213" i="27"/>
  <c r="O213" i="27"/>
  <c r="C213" i="27" s="1"/>
  <c r="P213" i="27"/>
  <c r="F214" i="27"/>
  <c r="O214" i="27"/>
  <c r="C214" i="27" s="1"/>
  <c r="P214" i="27"/>
  <c r="F215" i="27"/>
  <c r="O215" i="27"/>
  <c r="C215" i="27" s="1"/>
  <c r="P215" i="27"/>
  <c r="F216" i="27"/>
  <c r="O216" i="27"/>
  <c r="C216" i="27" s="1"/>
  <c r="P216" i="27"/>
  <c r="F217" i="27"/>
  <c r="O217" i="27"/>
  <c r="C217" i="27" s="1"/>
  <c r="P217" i="27"/>
  <c r="F218" i="27"/>
  <c r="O218" i="27"/>
  <c r="C218" i="27" s="1"/>
  <c r="P218" i="27"/>
  <c r="F219" i="27"/>
  <c r="O219" i="27"/>
  <c r="C219" i="27" s="1"/>
  <c r="P219" i="27"/>
  <c r="F220" i="27"/>
  <c r="O220" i="27"/>
  <c r="C220" i="27" s="1"/>
  <c r="P220" i="27"/>
  <c r="F221" i="27"/>
  <c r="O221" i="27"/>
  <c r="C221" i="27" s="1"/>
  <c r="P221" i="27"/>
  <c r="F222" i="27"/>
  <c r="O222" i="27"/>
  <c r="C222" i="27" s="1"/>
  <c r="P222" i="27"/>
  <c r="F223" i="27"/>
  <c r="O223" i="27"/>
  <c r="C223" i="27" s="1"/>
  <c r="P223" i="27"/>
  <c r="J224" i="27"/>
  <c r="J225" i="27"/>
  <c r="B227" i="27"/>
  <c r="C227" i="27" s="1"/>
  <c r="J264" i="27"/>
  <c r="J265" i="27"/>
  <c r="B267" i="27"/>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C267" i="27"/>
  <c r="F267" i="27"/>
  <c r="E267" i="27" s="1"/>
  <c r="P267" i="27"/>
  <c r="P268" i="27" s="1"/>
  <c r="P269" i="27" s="1"/>
  <c r="P270" i="27" s="1"/>
  <c r="P271" i="27" s="1"/>
  <c r="P272" i="27" s="1"/>
  <c r="P273" i="27" s="1"/>
  <c r="P274" i="27" s="1"/>
  <c r="P275" i="27" s="1"/>
  <c r="P276" i="27" s="1"/>
  <c r="P277" i="27" s="1"/>
  <c r="P278" i="27" s="1"/>
  <c r="P279" i="27" s="1"/>
  <c r="P280" i="27" s="1"/>
  <c r="P281" i="27" s="1"/>
  <c r="P282" i="27" s="1"/>
  <c r="P283" i="27" s="1"/>
  <c r="P284" i="27" s="1"/>
  <c r="P285" i="27" s="1"/>
  <c r="P286" i="27" s="1"/>
  <c r="P287" i="27" s="1"/>
  <c r="P288" i="27" s="1"/>
  <c r="P289" i="27" s="1"/>
  <c r="P290" i="27" s="1"/>
  <c r="P291" i="27" s="1"/>
  <c r="P292" i="27" s="1"/>
  <c r="P293" i="27" s="1"/>
  <c r="P294" i="27" s="1"/>
  <c r="P295" i="27" s="1"/>
  <c r="P296" i="27" s="1"/>
  <c r="P297" i="27" s="1"/>
  <c r="P298" i="27" s="1"/>
  <c r="P299" i="27" s="1"/>
  <c r="P300" i="27" s="1"/>
  <c r="P301" i="27" s="1"/>
  <c r="P302" i="27" s="1"/>
  <c r="P303" i="27" s="1"/>
  <c r="P304" i="27" s="1"/>
  <c r="P305" i="27" s="1"/>
  <c r="P306" i="27" s="1"/>
  <c r="P307" i="27" s="1"/>
  <c r="P308" i="27" s="1"/>
  <c r="P309" i="27" s="1"/>
  <c r="P310" i="27" s="1"/>
  <c r="P311" i="27" s="1"/>
  <c r="P312" i="27" s="1"/>
  <c r="P313" i="27" s="1"/>
  <c r="P314" i="27" s="1"/>
  <c r="P315" i="27" s="1"/>
  <c r="P316" i="27" s="1"/>
  <c r="P317" i="27" s="1"/>
  <c r="P318" i="27" s="1"/>
  <c r="P319" i="27" s="1"/>
  <c r="P320" i="27" s="1"/>
  <c r="P321" i="27" s="1"/>
  <c r="P322" i="27" s="1"/>
  <c r="P323" i="27" s="1"/>
  <c r="P324" i="27" s="1"/>
  <c r="P325" i="27" s="1"/>
  <c r="P326" i="27" s="1"/>
  <c r="P327" i="27" s="1"/>
  <c r="P328" i="27" s="1"/>
  <c r="P329" i="27" s="1"/>
  <c r="P330" i="27" s="1"/>
  <c r="P331" i="27" s="1"/>
  <c r="P332" i="27" s="1"/>
  <c r="P333" i="27" s="1"/>
  <c r="P334" i="27" s="1"/>
  <c r="P335" i="27" s="1"/>
  <c r="P336" i="27" s="1"/>
  <c r="P337" i="27" s="1"/>
  <c r="P338" i="27" s="1"/>
  <c r="P339" i="27" s="1"/>
  <c r="P340" i="27" s="1"/>
  <c r="P341" i="27" s="1"/>
  <c r="P342" i="27" s="1"/>
  <c r="P343" i="27" s="1"/>
  <c r="P344" i="27" s="1"/>
  <c r="P345" i="27" s="1"/>
  <c r="P346" i="27" s="1"/>
  <c r="P347" i="27" s="1"/>
  <c r="P348" i="27" s="1"/>
  <c r="P349" i="27" s="1"/>
  <c r="P350" i="27" s="1"/>
  <c r="P351" i="27" s="1"/>
  <c r="P352" i="27" s="1"/>
  <c r="P353" i="27" s="1"/>
  <c r="P354" i="27" s="1"/>
  <c r="P355" i="27" s="1"/>
  <c r="P356" i="27" s="1"/>
  <c r="P357" i="27" s="1"/>
  <c r="H268" i="27"/>
  <c r="H269" i="27"/>
  <c r="H270" i="27"/>
  <c r="H271" i="27"/>
  <c r="H272" i="27"/>
  <c r="H273" i="27"/>
  <c r="E277" i="27"/>
  <c r="E278" i="27"/>
  <c r="E279" i="27"/>
  <c r="E280" i="27"/>
  <c r="E281" i="27"/>
  <c r="E282" i="27"/>
  <c r="E283" i="27"/>
  <c r="E284" i="27"/>
  <c r="E285" i="27"/>
  <c r="E286" i="27"/>
  <c r="E287" i="27"/>
  <c r="E288" i="27"/>
  <c r="E289" i="27"/>
  <c r="E290" i="27"/>
  <c r="E291" i="27"/>
  <c r="E292" i="27"/>
  <c r="E293" i="27"/>
  <c r="E294" i="27"/>
  <c r="E295" i="27"/>
  <c r="E296" i="27"/>
  <c r="E297" i="27"/>
  <c r="E298" i="27"/>
  <c r="E299" i="27"/>
  <c r="E300" i="27"/>
  <c r="E301" i="27"/>
  <c r="E302" i="27"/>
  <c r="E303" i="27"/>
  <c r="E304" i="27"/>
  <c r="E305" i="27"/>
  <c r="E306" i="27"/>
  <c r="E307" i="27"/>
  <c r="E308" i="27"/>
  <c r="E309" i="27"/>
  <c r="E310" i="27"/>
  <c r="E311" i="27"/>
  <c r="E312" i="27"/>
  <c r="E313" i="27"/>
  <c r="E314" i="27"/>
  <c r="E315" i="27"/>
  <c r="E316" i="27"/>
  <c r="E317" i="27"/>
  <c r="E318" i="27"/>
  <c r="E319" i="27"/>
  <c r="E320" i="27"/>
  <c r="E321" i="27"/>
  <c r="E322" i="27"/>
  <c r="E323" i="27"/>
  <c r="E324" i="27"/>
  <c r="E325" i="27"/>
  <c r="E326" i="27"/>
  <c r="E327" i="27"/>
  <c r="E328" i="27"/>
  <c r="E329" i="27"/>
  <c r="E330" i="27"/>
  <c r="E331" i="27"/>
  <c r="E332" i="27"/>
  <c r="E333" i="27"/>
  <c r="E334" i="27"/>
  <c r="E335" i="27"/>
  <c r="E336" i="27"/>
  <c r="E337" i="27"/>
  <c r="E338" i="27"/>
  <c r="E339" i="27"/>
  <c r="E340" i="27"/>
  <c r="E341" i="27"/>
  <c r="E342" i="27"/>
  <c r="E343" i="27"/>
  <c r="E344" i="27"/>
  <c r="E345" i="27"/>
  <c r="E346" i="27"/>
  <c r="E347" i="27"/>
  <c r="E348" i="27"/>
  <c r="E349" i="27"/>
  <c r="E350" i="27"/>
  <c r="E351" i="27"/>
  <c r="E352" i="27"/>
  <c r="E353" i="27"/>
  <c r="E354" i="27"/>
  <c r="E355" i="27"/>
  <c r="E356" i="27"/>
  <c r="E357" i="27"/>
  <c r="C358" i="27"/>
  <c r="F358" i="27"/>
  <c r="E358" i="27" s="1"/>
  <c r="P358" i="27"/>
  <c r="C359" i="27"/>
  <c r="F359" i="27"/>
  <c r="H359" i="27" s="1"/>
  <c r="P359" i="27"/>
  <c r="C360" i="27"/>
  <c r="F360" i="27"/>
  <c r="P360" i="27"/>
  <c r="C361" i="27"/>
  <c r="F361" i="27"/>
  <c r="H361" i="27" s="1"/>
  <c r="P361" i="27"/>
  <c r="C362" i="27"/>
  <c r="F362" i="27"/>
  <c r="H362" i="27" s="1"/>
  <c r="P362" i="27"/>
  <c r="C363" i="27"/>
  <c r="F363" i="27"/>
  <c r="H363" i="27" s="1"/>
  <c r="P363" i="27"/>
  <c r="C364" i="27"/>
  <c r="F364" i="27"/>
  <c r="P364" i="27"/>
  <c r="C365" i="27"/>
  <c r="F365" i="27"/>
  <c r="P365" i="27"/>
  <c r="C366" i="27"/>
  <c r="F366" i="27"/>
  <c r="P366" i="27"/>
  <c r="C367" i="27"/>
  <c r="F367" i="27"/>
  <c r="P367" i="27"/>
  <c r="C368" i="27"/>
  <c r="F368" i="27"/>
  <c r="P368" i="27"/>
  <c r="C369" i="27"/>
  <c r="F369" i="27"/>
  <c r="P369" i="27"/>
  <c r="C370" i="27"/>
  <c r="F370" i="27"/>
  <c r="P370" i="27"/>
  <c r="C371" i="27"/>
  <c r="F371" i="27"/>
  <c r="P371" i="27"/>
  <c r="C372" i="27"/>
  <c r="F372" i="27"/>
  <c r="P372" i="27"/>
  <c r="C373" i="27"/>
  <c r="F373" i="27"/>
  <c r="P373" i="27"/>
  <c r="C374" i="27"/>
  <c r="F374" i="27"/>
  <c r="P374" i="27"/>
  <c r="C375" i="27"/>
  <c r="F375" i="27"/>
  <c r="P375" i="27"/>
  <c r="C376" i="27"/>
  <c r="F376" i="27"/>
  <c r="P376" i="27"/>
  <c r="C377" i="27"/>
  <c r="F377" i="27"/>
  <c r="P377" i="27"/>
  <c r="C378" i="27"/>
  <c r="F378" i="27"/>
  <c r="P378" i="27"/>
  <c r="C379" i="27"/>
  <c r="F379" i="27"/>
  <c r="P379" i="27"/>
  <c r="C380" i="27"/>
  <c r="F380" i="27"/>
  <c r="P380" i="27"/>
  <c r="C381" i="27"/>
  <c r="F381" i="27"/>
  <c r="P381" i="27"/>
  <c r="C382" i="27"/>
  <c r="F382" i="27"/>
  <c r="P382" i="27"/>
  <c r="C383" i="27"/>
  <c r="F383" i="27"/>
  <c r="P383" i="27"/>
  <c r="C384" i="27"/>
  <c r="F384" i="27"/>
  <c r="P384" i="27"/>
  <c r="C385" i="27"/>
  <c r="F385" i="27"/>
  <c r="P385" i="27"/>
  <c r="C386" i="27"/>
  <c r="F386" i="27"/>
  <c r="P386" i="27"/>
  <c r="C387" i="27"/>
  <c r="F387" i="27"/>
  <c r="P387" i="27"/>
  <c r="C388" i="27"/>
  <c r="F388" i="27"/>
  <c r="P388" i="27"/>
  <c r="C389" i="27"/>
  <c r="F389" i="27"/>
  <c r="P389" i="27"/>
  <c r="C390" i="27"/>
  <c r="F390" i="27"/>
  <c r="P390" i="27"/>
  <c r="C391" i="27"/>
  <c r="F391" i="27"/>
  <c r="P391" i="27"/>
  <c r="C392" i="27"/>
  <c r="F392" i="27"/>
  <c r="P392" i="27"/>
  <c r="C393" i="27"/>
  <c r="F393" i="27"/>
  <c r="P393" i="27"/>
  <c r="C394" i="27"/>
  <c r="F394" i="27"/>
  <c r="P394" i="27"/>
  <c r="C395" i="27"/>
  <c r="F395" i="27"/>
  <c r="P395" i="27"/>
  <c r="C396" i="27"/>
  <c r="F396" i="27"/>
  <c r="P396" i="27"/>
  <c r="C397" i="27"/>
  <c r="F397" i="27"/>
  <c r="P397" i="27"/>
  <c r="C398" i="27"/>
  <c r="F398" i="27"/>
  <c r="P398" i="27"/>
  <c r="C399" i="27"/>
  <c r="F399" i="27"/>
  <c r="P399" i="27"/>
  <c r="C400" i="27"/>
  <c r="F400" i="27"/>
  <c r="P400" i="27"/>
  <c r="C401" i="27"/>
  <c r="F401" i="27"/>
  <c r="P401" i="27"/>
  <c r="C402" i="27"/>
  <c r="F402" i="27"/>
  <c r="P402" i="27"/>
  <c r="C403" i="27"/>
  <c r="F403" i="27"/>
  <c r="P403" i="27"/>
  <c r="C404" i="27"/>
  <c r="F404" i="27"/>
  <c r="P404" i="27"/>
  <c r="C405" i="27"/>
  <c r="F405" i="27"/>
  <c r="P405" i="27"/>
  <c r="C406" i="27"/>
  <c r="F406" i="27"/>
  <c r="P406" i="27"/>
  <c r="C407" i="27"/>
  <c r="F407" i="27"/>
  <c r="P407" i="27"/>
  <c r="C408" i="27"/>
  <c r="F408" i="27"/>
  <c r="P408" i="27"/>
  <c r="C409" i="27"/>
  <c r="F409" i="27"/>
  <c r="P409" i="27"/>
  <c r="C410" i="27"/>
  <c r="F410" i="27"/>
  <c r="P410" i="27"/>
  <c r="C411" i="27"/>
  <c r="F411" i="27"/>
  <c r="P411" i="27"/>
  <c r="C412" i="27"/>
  <c r="F412" i="27"/>
  <c r="P412" i="27"/>
  <c r="C413" i="27"/>
  <c r="F413" i="27"/>
  <c r="P413" i="27"/>
  <c r="C414" i="27"/>
  <c r="F414" i="27"/>
  <c r="P414" i="27"/>
  <c r="C415" i="27"/>
  <c r="F415" i="27"/>
  <c r="P415" i="27"/>
  <c r="C416" i="27"/>
  <c r="F416" i="27"/>
  <c r="P416" i="27"/>
  <c r="C417" i="27"/>
  <c r="F417" i="27"/>
  <c r="P417" i="27"/>
  <c r="C418" i="27"/>
  <c r="F418" i="27"/>
  <c r="P418" i="27"/>
  <c r="C419" i="27"/>
  <c r="F419" i="27"/>
  <c r="P419" i="27"/>
  <c r="C420" i="27"/>
  <c r="F420" i="27"/>
  <c r="P420" i="27"/>
  <c r="C421" i="27"/>
  <c r="F421" i="27"/>
  <c r="P421" i="27"/>
  <c r="C422" i="27"/>
  <c r="F422" i="27"/>
  <c r="P422" i="27"/>
  <c r="C423" i="27"/>
  <c r="F423" i="27"/>
  <c r="P423" i="27"/>
  <c r="C424" i="27"/>
  <c r="F424" i="27"/>
  <c r="P424" i="27"/>
  <c r="C425" i="27"/>
  <c r="F425" i="27"/>
  <c r="P425" i="27"/>
  <c r="C426" i="27"/>
  <c r="F426" i="27"/>
  <c r="P426" i="27"/>
  <c r="C427" i="27"/>
  <c r="F427" i="27"/>
  <c r="P427" i="27"/>
  <c r="C428" i="27"/>
  <c r="F428" i="27"/>
  <c r="P428" i="27"/>
  <c r="C429" i="27"/>
  <c r="F429" i="27"/>
  <c r="P429" i="27"/>
  <c r="C430" i="27"/>
  <c r="F430" i="27"/>
  <c r="P430" i="27"/>
  <c r="C431" i="27"/>
  <c r="F431" i="27"/>
  <c r="P431" i="27"/>
  <c r="C432" i="27"/>
  <c r="F432" i="27"/>
  <c r="P432" i="27"/>
  <c r="C433" i="27"/>
  <c r="F433" i="27"/>
  <c r="P433" i="27"/>
  <c r="C434" i="27"/>
  <c r="F434" i="27"/>
  <c r="P434" i="27"/>
  <c r="C435" i="27"/>
  <c r="F435" i="27"/>
  <c r="P435" i="27"/>
  <c r="C436" i="27"/>
  <c r="F436" i="27"/>
  <c r="P436" i="27"/>
  <c r="C437" i="27"/>
  <c r="F437" i="27"/>
  <c r="P437" i="27"/>
  <c r="C438" i="27"/>
  <c r="F438" i="27"/>
  <c r="P438" i="27"/>
  <c r="C439" i="27"/>
  <c r="F439" i="27"/>
  <c r="P439" i="27"/>
  <c r="C440" i="27"/>
  <c r="F440" i="27"/>
  <c r="P440" i="27"/>
  <c r="C441" i="27"/>
  <c r="F441" i="27"/>
  <c r="P441" i="27"/>
  <c r="C442" i="27"/>
  <c r="F442" i="27"/>
  <c r="P442" i="27"/>
  <c r="C443" i="27"/>
  <c r="F443" i="27"/>
  <c r="P443" i="27"/>
  <c r="C444" i="27"/>
  <c r="F444" i="27"/>
  <c r="P444" i="27"/>
  <c r="C445" i="27"/>
  <c r="F445" i="27"/>
  <c r="P445" i="27"/>
  <c r="C446" i="27"/>
  <c r="F446" i="27"/>
  <c r="P446" i="27"/>
  <c r="C447" i="27"/>
  <c r="F447" i="27"/>
  <c r="P447" i="27"/>
  <c r="J450" i="27"/>
  <c r="J451" i="27"/>
  <c r="B453" i="27"/>
  <c r="H453" i="27"/>
  <c r="J516" i="27"/>
  <c r="J517" i="27"/>
  <c r="F519" i="27"/>
  <c r="E582" i="27" s="1"/>
  <c r="N519" i="27"/>
  <c r="P519" i="27"/>
  <c r="P520" i="27" s="1"/>
  <c r="P521" i="27" s="1"/>
  <c r="P522" i="27" s="1"/>
  <c r="P523" i="27" s="1"/>
  <c r="P524" i="27" s="1"/>
  <c r="P525" i="27" s="1"/>
  <c r="P526" i="27" s="1"/>
  <c r="P527" i="27" s="1"/>
  <c r="P528" i="27" s="1"/>
  <c r="P529" i="27" s="1"/>
  <c r="P530" i="27" s="1"/>
  <c r="P531" i="27" s="1"/>
  <c r="P532" i="27" s="1"/>
  <c r="P533" i="27" s="1"/>
  <c r="P534" i="27" s="1"/>
  <c r="P535" i="27" s="1"/>
  <c r="P536" i="27" s="1"/>
  <c r="P537" i="27" s="1"/>
  <c r="P538" i="27" s="1"/>
  <c r="P539" i="27" s="1"/>
  <c r="P540" i="27" s="1"/>
  <c r="P541" i="27" s="1"/>
  <c r="P542" i="27" s="1"/>
  <c r="P543" i="27" s="1"/>
  <c r="P544" i="27" s="1"/>
  <c r="P545" i="27" s="1"/>
  <c r="P546" i="27" s="1"/>
  <c r="P547" i="27" s="1"/>
  <c r="P548" i="27" s="1"/>
  <c r="P549" i="27" s="1"/>
  <c r="P550" i="27" s="1"/>
  <c r="P551" i="27" s="1"/>
  <c r="P552" i="27" s="1"/>
  <c r="P553" i="27" s="1"/>
  <c r="P554" i="27" s="1"/>
  <c r="P555" i="27" s="1"/>
  <c r="P556" i="27" s="1"/>
  <c r="P557" i="27" s="1"/>
  <c r="P558" i="27" s="1"/>
  <c r="P559" i="27" s="1"/>
  <c r="P560" i="27" s="1"/>
  <c r="P561" i="27" s="1"/>
  <c r="P562" i="27" s="1"/>
  <c r="P563" i="27" s="1"/>
  <c r="P564" i="27" s="1"/>
  <c r="P565" i="27" s="1"/>
  <c r="P566" i="27" s="1"/>
  <c r="P567" i="27" s="1"/>
  <c r="P568" i="27" s="1"/>
  <c r="P569" i="27" s="1"/>
  <c r="P570" i="27" s="1"/>
  <c r="P571" i="27" s="1"/>
  <c r="P572" i="27" s="1"/>
  <c r="P573" i="27" s="1"/>
  <c r="P574" i="27" s="1"/>
  <c r="P575" i="27" s="1"/>
  <c r="P576" i="27" s="1"/>
  <c r="P577" i="27" s="1"/>
  <c r="P578" i="27" s="1"/>
  <c r="P579" i="27" s="1"/>
  <c r="P580" i="27" s="1"/>
  <c r="P581" i="27" s="1"/>
  <c r="P582" i="27" s="1"/>
  <c r="P583" i="27" s="1"/>
  <c r="P584" i="27" s="1"/>
  <c r="P585" i="27" s="1"/>
  <c r="P586" i="27" s="1"/>
  <c r="P587" i="27" s="1"/>
  <c r="P588" i="27" s="1"/>
  <c r="P589" i="27" s="1"/>
  <c r="P590" i="27" s="1"/>
  <c r="P591" i="27" s="1"/>
  <c r="P592" i="27" s="1"/>
  <c r="P593" i="27" s="1"/>
  <c r="P594" i="27" s="1"/>
  <c r="P595" i="27" s="1"/>
  <c r="P596" i="27" s="1"/>
  <c r="P597" i="27" s="1"/>
  <c r="P598" i="27" s="1"/>
  <c r="P599" i="27" s="1"/>
  <c r="P600" i="27" s="1"/>
  <c r="P601" i="27" s="1"/>
  <c r="P602" i="27" s="1"/>
  <c r="P603" i="27" s="1"/>
  <c r="P604" i="27" s="1"/>
  <c r="P605" i="27" s="1"/>
  <c r="P606" i="27" s="1"/>
  <c r="P607" i="27" s="1"/>
  <c r="P608" i="27" s="1"/>
  <c r="P609" i="27" s="1"/>
  <c r="P610" i="27" s="1"/>
  <c r="P611" i="27" s="1"/>
  <c r="P612" i="27" s="1"/>
  <c r="P613" i="27" s="1"/>
  <c r="P614" i="27" s="1"/>
  <c r="P615" i="27" s="1"/>
  <c r="P616" i="27" s="1"/>
  <c r="P617" i="27" s="1"/>
  <c r="P618" i="27" s="1"/>
  <c r="P619" i="27" s="1"/>
  <c r="P620" i="27" s="1"/>
  <c r="P621" i="27" s="1"/>
  <c r="P622" i="27" s="1"/>
  <c r="P623" i="27" s="1"/>
  <c r="P624" i="27" s="1"/>
  <c r="P625" i="27" s="1"/>
  <c r="P626" i="27" s="1"/>
  <c r="P627" i="27" s="1"/>
  <c r="P628" i="27" s="1"/>
  <c r="P629" i="27" s="1"/>
  <c r="P630" i="27" s="1"/>
  <c r="P631" i="27" s="1"/>
  <c r="P632" i="27" s="1"/>
  <c r="P633" i="27" s="1"/>
  <c r="P634" i="27" s="1"/>
  <c r="P635" i="27" s="1"/>
  <c r="P636" i="27" s="1"/>
  <c r="P637" i="27" s="1"/>
  <c r="P638" i="27" s="1"/>
  <c r="P639" i="27" s="1"/>
  <c r="P640" i="27" s="1"/>
  <c r="P641" i="27" s="1"/>
  <c r="P642" i="27" s="1"/>
  <c r="P643" i="27" s="1"/>
  <c r="P644" i="27" s="1"/>
  <c r="P645" i="27" s="1"/>
  <c r="P646" i="27" s="1"/>
  <c r="P647" i="27" s="1"/>
  <c r="P648" i="27" s="1"/>
  <c r="P649" i="27" s="1"/>
  <c r="P650" i="27" s="1"/>
  <c r="P651" i="27" s="1"/>
  <c r="P652" i="27" s="1"/>
  <c r="P653" i="27" s="1"/>
  <c r="P654" i="27" s="1"/>
  <c r="P655" i="27" s="1"/>
  <c r="P656" i="27" s="1"/>
  <c r="P657" i="27" s="1"/>
  <c r="P658" i="27" s="1"/>
  <c r="P659" i="27" s="1"/>
  <c r="P660" i="27" s="1"/>
  <c r="P661" i="27" s="1"/>
  <c r="P662" i="27" s="1"/>
  <c r="P663" i="27" s="1"/>
  <c r="P664" i="27" s="1"/>
  <c r="P665" i="27" s="1"/>
  <c r="P666" i="27" s="1"/>
  <c r="P667" i="27" s="1"/>
  <c r="P668" i="27" s="1"/>
  <c r="P669" i="27" s="1"/>
  <c r="P670" i="27" s="1"/>
  <c r="P671" i="27" s="1"/>
  <c r="P672" i="27" s="1"/>
  <c r="P673" i="27" s="1"/>
  <c r="P674" i="27" s="1"/>
  <c r="P675" i="27" s="1"/>
  <c r="P676" i="27" s="1"/>
  <c r="P677" i="27" s="1"/>
  <c r="P678" i="27" s="1"/>
  <c r="P679" i="27" s="1"/>
  <c r="P680" i="27" s="1"/>
  <c r="P681" i="27" s="1"/>
  <c r="P682" i="27" s="1"/>
  <c r="P683" i="27" s="1"/>
  <c r="P684" i="27" s="1"/>
  <c r="P685" i="27" s="1"/>
  <c r="P686" i="27" s="1"/>
  <c r="P687" i="27" s="1"/>
  <c r="P688" i="27" s="1"/>
  <c r="P689" i="27" s="1"/>
  <c r="P690" i="27" s="1"/>
  <c r="P691" i="27" s="1"/>
  <c r="P692" i="27" s="1"/>
  <c r="P693" i="27" s="1"/>
  <c r="P694" i="27" s="1"/>
  <c r="P695" i="27" s="1"/>
  <c r="P696" i="27" s="1"/>
  <c r="P697" i="27" s="1"/>
  <c r="P698" i="27" s="1"/>
  <c r="P699" i="27" s="1"/>
  <c r="H520" i="27"/>
  <c r="N520" i="27"/>
  <c r="H521" i="27"/>
  <c r="N521" i="27"/>
  <c r="H522" i="27"/>
  <c r="N522" i="27"/>
  <c r="H523" i="27"/>
  <c r="N523" i="27"/>
  <c r="H524" i="27"/>
  <c r="N524" i="27"/>
  <c r="H525" i="27"/>
  <c r="N525" i="27"/>
  <c r="N526" i="27"/>
  <c r="N527" i="27"/>
  <c r="N528" i="27"/>
  <c r="N529" i="27"/>
  <c r="N530" i="27"/>
  <c r="N531" i="27"/>
  <c r="N532" i="27"/>
  <c r="N533" i="27"/>
  <c r="N534" i="27"/>
  <c r="N535" i="27"/>
  <c r="N536" i="27"/>
  <c r="N537" i="27"/>
  <c r="N538" i="27"/>
  <c r="N539" i="27"/>
  <c r="N540" i="27"/>
  <c r="N541" i="27"/>
  <c r="N542" i="27"/>
  <c r="N543" i="27"/>
  <c r="N544" i="27"/>
  <c r="N545" i="27"/>
  <c r="N546" i="27"/>
  <c r="N547" i="27"/>
  <c r="N548" i="27"/>
  <c r="N549" i="27"/>
  <c r="N550" i="27"/>
  <c r="N551" i="27"/>
  <c r="N552" i="27"/>
  <c r="N553" i="27"/>
  <c r="N554" i="27"/>
  <c r="N555" i="27"/>
  <c r="N556" i="27"/>
  <c r="N557" i="27"/>
  <c r="N558" i="27"/>
  <c r="N559" i="27"/>
  <c r="N560" i="27"/>
  <c r="N561" i="27"/>
  <c r="N562" i="27"/>
  <c r="N563" i="27"/>
  <c r="N564" i="27"/>
  <c r="N565" i="27"/>
  <c r="N566" i="27"/>
  <c r="N567" i="27"/>
  <c r="N568" i="27"/>
  <c r="N569" i="27"/>
  <c r="N570" i="27"/>
  <c r="N571" i="27"/>
  <c r="N572" i="27"/>
  <c r="N573" i="27"/>
  <c r="N574" i="27"/>
  <c r="N575" i="27"/>
  <c r="N576" i="27"/>
  <c r="N577" i="27"/>
  <c r="N578" i="27"/>
  <c r="N579" i="27"/>
  <c r="N580" i="27"/>
  <c r="N581" i="27"/>
  <c r="N582" i="27"/>
  <c r="N583" i="27"/>
  <c r="N584" i="27"/>
  <c r="N585" i="27"/>
  <c r="N586" i="27"/>
  <c r="E587" i="27"/>
  <c r="N587" i="27"/>
  <c r="E588" i="27"/>
  <c r="N588" i="27"/>
  <c r="E589" i="27"/>
  <c r="N589" i="27"/>
  <c r="E590" i="27"/>
  <c r="N590" i="27"/>
  <c r="E591" i="27"/>
  <c r="N591" i="27"/>
  <c r="E592" i="27"/>
  <c r="N592" i="27"/>
  <c r="E593" i="27"/>
  <c r="N593" i="27"/>
  <c r="E594" i="27"/>
  <c r="N594" i="27"/>
  <c r="E595" i="27"/>
  <c r="N595" i="27"/>
  <c r="E596" i="27"/>
  <c r="N596" i="27"/>
  <c r="E597" i="27"/>
  <c r="N597" i="27"/>
  <c r="E598" i="27"/>
  <c r="N598" i="27"/>
  <c r="E599" i="27"/>
  <c r="N599" i="27"/>
  <c r="E600" i="27"/>
  <c r="N600" i="27"/>
  <c r="E601" i="27"/>
  <c r="N601" i="27"/>
  <c r="E602" i="27"/>
  <c r="N602" i="27"/>
  <c r="E603" i="27"/>
  <c r="N603" i="27"/>
  <c r="E604" i="27"/>
  <c r="N604" i="27"/>
  <c r="E605" i="27"/>
  <c r="N605" i="27"/>
  <c r="E606" i="27"/>
  <c r="N606" i="27"/>
  <c r="E607" i="27"/>
  <c r="N607" i="27"/>
  <c r="E608" i="27"/>
  <c r="N608" i="27"/>
  <c r="E609" i="27"/>
  <c r="N609" i="27"/>
  <c r="E610" i="27"/>
  <c r="N610" i="27"/>
  <c r="E611" i="27"/>
  <c r="N611" i="27"/>
  <c r="E612" i="27"/>
  <c r="N612" i="27"/>
  <c r="E613" i="27"/>
  <c r="N613" i="27"/>
  <c r="E614" i="27"/>
  <c r="N614" i="27"/>
  <c r="E615" i="27"/>
  <c r="N615" i="27"/>
  <c r="E616" i="27"/>
  <c r="N616" i="27"/>
  <c r="E617" i="27"/>
  <c r="N617" i="27"/>
  <c r="E618" i="27"/>
  <c r="N618" i="27"/>
  <c r="E619" i="27"/>
  <c r="N619" i="27"/>
  <c r="E620" i="27"/>
  <c r="N620" i="27"/>
  <c r="E621" i="27"/>
  <c r="N621" i="27"/>
  <c r="E622" i="27"/>
  <c r="N622" i="27"/>
  <c r="E623" i="27"/>
  <c r="N623" i="27"/>
  <c r="E624" i="27"/>
  <c r="N624" i="27"/>
  <c r="E625" i="27"/>
  <c r="N625" i="27"/>
  <c r="E626" i="27"/>
  <c r="N626" i="27"/>
  <c r="E627" i="27"/>
  <c r="N627" i="27"/>
  <c r="E628" i="27"/>
  <c r="N628" i="27"/>
  <c r="E629" i="27"/>
  <c r="N629" i="27"/>
  <c r="E630" i="27"/>
  <c r="N630" i="27"/>
  <c r="E631" i="27"/>
  <c r="N631" i="27"/>
  <c r="E632" i="27"/>
  <c r="N632" i="27"/>
  <c r="E633" i="27"/>
  <c r="N633" i="27"/>
  <c r="E634" i="27"/>
  <c r="N634" i="27"/>
  <c r="E635" i="27"/>
  <c r="N635" i="27"/>
  <c r="E636" i="27"/>
  <c r="N636" i="27"/>
  <c r="E637" i="27"/>
  <c r="N637" i="27"/>
  <c r="E638" i="27"/>
  <c r="N638" i="27"/>
  <c r="E639" i="27"/>
  <c r="N639" i="27"/>
  <c r="E640" i="27"/>
  <c r="N640" i="27"/>
  <c r="E641" i="27"/>
  <c r="N641" i="27"/>
  <c r="E642" i="27"/>
  <c r="N642" i="27"/>
  <c r="E643" i="27"/>
  <c r="N643" i="27"/>
  <c r="E644" i="27"/>
  <c r="N644" i="27"/>
  <c r="E645" i="27"/>
  <c r="N645" i="27"/>
  <c r="E646" i="27"/>
  <c r="N646" i="27"/>
  <c r="E647" i="27"/>
  <c r="N647" i="27"/>
  <c r="E648" i="27"/>
  <c r="N648" i="27"/>
  <c r="E649" i="27"/>
  <c r="N649" i="27"/>
  <c r="E650" i="27"/>
  <c r="N650" i="27"/>
  <c r="E651" i="27"/>
  <c r="N651" i="27"/>
  <c r="E652" i="27"/>
  <c r="N652" i="27"/>
  <c r="E653" i="27"/>
  <c r="N653" i="27"/>
  <c r="E654" i="27"/>
  <c r="N654" i="27"/>
  <c r="E655" i="27"/>
  <c r="N655" i="27"/>
  <c r="E656" i="27"/>
  <c r="N656" i="27"/>
  <c r="E657" i="27"/>
  <c r="N657" i="27"/>
  <c r="E658" i="27"/>
  <c r="N658" i="27"/>
  <c r="E659" i="27"/>
  <c r="N659" i="27"/>
  <c r="E660" i="27"/>
  <c r="N660" i="27"/>
  <c r="E661" i="27"/>
  <c r="N661" i="27"/>
  <c r="E662" i="27"/>
  <c r="N662" i="27"/>
  <c r="E663" i="27"/>
  <c r="N663" i="27"/>
  <c r="E664" i="27"/>
  <c r="N664" i="27"/>
  <c r="E665" i="27"/>
  <c r="N665" i="27"/>
  <c r="E666" i="27"/>
  <c r="N666" i="27"/>
  <c r="E667" i="27"/>
  <c r="N667" i="27"/>
  <c r="E668" i="27"/>
  <c r="N668" i="27"/>
  <c r="E669" i="27"/>
  <c r="N669" i="27"/>
  <c r="E670" i="27"/>
  <c r="N670" i="27"/>
  <c r="E671" i="27"/>
  <c r="N671" i="27"/>
  <c r="E672" i="27"/>
  <c r="N672" i="27"/>
  <c r="E673" i="27"/>
  <c r="N673" i="27"/>
  <c r="E674" i="27"/>
  <c r="N674" i="27"/>
  <c r="E675" i="27"/>
  <c r="N675" i="27"/>
  <c r="E676" i="27"/>
  <c r="N676" i="27"/>
  <c r="E677" i="27"/>
  <c r="N677" i="27"/>
  <c r="E678" i="27"/>
  <c r="N678" i="27"/>
  <c r="E679" i="27"/>
  <c r="N679" i="27"/>
  <c r="E680" i="27"/>
  <c r="N680" i="27"/>
  <c r="E681" i="27"/>
  <c r="N681" i="27"/>
  <c r="E682" i="27"/>
  <c r="N682" i="27"/>
  <c r="E683" i="27"/>
  <c r="N683" i="27"/>
  <c r="E684" i="27"/>
  <c r="N684" i="27"/>
  <c r="E685" i="27"/>
  <c r="N685" i="27"/>
  <c r="E686" i="27"/>
  <c r="N686" i="27"/>
  <c r="E687" i="27"/>
  <c r="N687" i="27"/>
  <c r="E688" i="27"/>
  <c r="N688" i="27"/>
  <c r="E689" i="27"/>
  <c r="N689" i="27"/>
  <c r="E690" i="27"/>
  <c r="N690" i="27"/>
  <c r="E691" i="27"/>
  <c r="N691" i="27"/>
  <c r="E692" i="27"/>
  <c r="N692" i="27"/>
  <c r="E693" i="27"/>
  <c r="N693" i="27"/>
  <c r="E694" i="27"/>
  <c r="N694" i="27"/>
  <c r="E695" i="27"/>
  <c r="N695" i="27"/>
  <c r="E696" i="27"/>
  <c r="N696" i="27"/>
  <c r="E697" i="27"/>
  <c r="N697" i="27"/>
  <c r="E698" i="27"/>
  <c r="N698" i="27"/>
  <c r="E699" i="27"/>
  <c r="N699" i="27"/>
  <c r="F700" i="27"/>
  <c r="H700" i="27" s="1"/>
  <c r="N700" i="27"/>
  <c r="P700" i="27"/>
  <c r="F701" i="27"/>
  <c r="H701" i="27" s="1"/>
  <c r="N701" i="27"/>
  <c r="P701" i="27"/>
  <c r="F702" i="27"/>
  <c r="H702" i="27" s="1"/>
  <c r="N702" i="27"/>
  <c r="P702" i="27"/>
  <c r="F703" i="27"/>
  <c r="H703" i="27" s="1"/>
  <c r="N703" i="27"/>
  <c r="P703" i="27"/>
  <c r="F704" i="27"/>
  <c r="H704" i="27" s="1"/>
  <c r="N704" i="27"/>
  <c r="P704" i="27"/>
  <c r="F705" i="27"/>
  <c r="H705" i="27" s="1"/>
  <c r="N705" i="27"/>
  <c r="P705" i="27"/>
  <c r="F706" i="27"/>
  <c r="N706" i="27"/>
  <c r="P706" i="27"/>
  <c r="F707" i="27"/>
  <c r="N707" i="27"/>
  <c r="P707" i="27"/>
  <c r="F708" i="27"/>
  <c r="N708" i="27"/>
  <c r="P708" i="27"/>
  <c r="F709" i="27"/>
  <c r="N709" i="27"/>
  <c r="P709" i="27"/>
  <c r="F710" i="27"/>
  <c r="N710" i="27"/>
  <c r="P710" i="27"/>
  <c r="F711" i="27"/>
  <c r="N711" i="27"/>
  <c r="P711" i="27"/>
  <c r="F712" i="27"/>
  <c r="N712" i="27"/>
  <c r="P712" i="27"/>
  <c r="F713" i="27"/>
  <c r="N713" i="27"/>
  <c r="P713" i="27"/>
  <c r="F714" i="27"/>
  <c r="N714" i="27"/>
  <c r="P714" i="27"/>
  <c r="F715" i="27"/>
  <c r="N715" i="27"/>
  <c r="P715" i="27"/>
  <c r="F716" i="27"/>
  <c r="N716" i="27"/>
  <c r="P716" i="27"/>
  <c r="F717" i="27"/>
  <c r="N717" i="27"/>
  <c r="P717" i="27"/>
  <c r="F718" i="27"/>
  <c r="N718" i="27"/>
  <c r="P718" i="27"/>
  <c r="F719" i="27"/>
  <c r="N719" i="27"/>
  <c r="P719" i="27"/>
  <c r="F720" i="27"/>
  <c r="N720" i="27"/>
  <c r="P720" i="27"/>
  <c r="F721" i="27"/>
  <c r="N721" i="27"/>
  <c r="P721" i="27"/>
  <c r="F722" i="27"/>
  <c r="N722" i="27"/>
  <c r="P722" i="27"/>
  <c r="F723" i="27"/>
  <c r="N723" i="27"/>
  <c r="P723" i="27"/>
  <c r="F724" i="27"/>
  <c r="N724" i="27"/>
  <c r="P724" i="27"/>
  <c r="F725" i="27"/>
  <c r="N725" i="27"/>
  <c r="P725" i="27"/>
  <c r="F726" i="27"/>
  <c r="N726" i="27"/>
  <c r="P726" i="27"/>
  <c r="F727" i="27"/>
  <c r="N727" i="27"/>
  <c r="P727" i="27"/>
  <c r="F728" i="27"/>
  <c r="N728" i="27"/>
  <c r="P728" i="27"/>
  <c r="F729" i="27"/>
  <c r="N729" i="27"/>
  <c r="P729" i="27"/>
  <c r="F730" i="27"/>
  <c r="N730" i="27"/>
  <c r="P730" i="27"/>
  <c r="F731" i="27"/>
  <c r="N731" i="27"/>
  <c r="P731" i="27"/>
  <c r="F732" i="27"/>
  <c r="N732" i="27"/>
  <c r="P732" i="27"/>
  <c r="F733" i="27"/>
  <c r="N733" i="27"/>
  <c r="P733" i="27"/>
  <c r="F734" i="27"/>
  <c r="N734" i="27"/>
  <c r="P734" i="27"/>
  <c r="F735" i="27"/>
  <c r="N735" i="27"/>
  <c r="P735" i="27"/>
  <c r="F736" i="27"/>
  <c r="N736" i="27"/>
  <c r="P736" i="27"/>
  <c r="F737" i="27"/>
  <c r="N737" i="27"/>
  <c r="P737" i="27"/>
  <c r="F738" i="27"/>
  <c r="N738" i="27"/>
  <c r="P738" i="27"/>
  <c r="F739" i="27"/>
  <c r="N739" i="27"/>
  <c r="P739" i="27"/>
  <c r="F740" i="27"/>
  <c r="N740" i="27"/>
  <c r="P740" i="27"/>
  <c r="F741" i="27"/>
  <c r="N741" i="27"/>
  <c r="P741" i="27"/>
  <c r="F742" i="27"/>
  <c r="N742" i="27"/>
  <c r="P742" i="27"/>
  <c r="F743" i="27"/>
  <c r="N743" i="27"/>
  <c r="P743" i="27"/>
  <c r="F744" i="27"/>
  <c r="N744" i="27"/>
  <c r="P744" i="27"/>
  <c r="F745" i="27"/>
  <c r="N745" i="27"/>
  <c r="P745" i="27"/>
  <c r="F746" i="27"/>
  <c r="N746" i="27"/>
  <c r="P746" i="27"/>
  <c r="F747" i="27"/>
  <c r="N747" i="27"/>
  <c r="P747" i="27"/>
  <c r="F748" i="27"/>
  <c r="N748" i="27"/>
  <c r="P748" i="27"/>
  <c r="F749" i="27"/>
  <c r="N749" i="27"/>
  <c r="P749" i="27"/>
  <c r="F750" i="27"/>
  <c r="N750" i="27"/>
  <c r="P750" i="27"/>
  <c r="F751" i="27"/>
  <c r="N751" i="27"/>
  <c r="P751" i="27"/>
  <c r="F752" i="27"/>
  <c r="N752" i="27"/>
  <c r="P752" i="27"/>
  <c r="F753" i="27"/>
  <c r="N753" i="27"/>
  <c r="P753" i="27"/>
  <c r="F754" i="27"/>
  <c r="N754" i="27"/>
  <c r="P754" i="27"/>
  <c r="F755" i="27"/>
  <c r="N755" i="27"/>
  <c r="P755" i="27"/>
  <c r="F756" i="27"/>
  <c r="N756" i="27"/>
  <c r="P756" i="27"/>
  <c r="F757" i="27"/>
  <c r="N757" i="27"/>
  <c r="P757" i="27"/>
  <c r="F758" i="27"/>
  <c r="N758" i="27"/>
  <c r="P758" i="27"/>
  <c r="F759" i="27"/>
  <c r="N759" i="27"/>
  <c r="P759" i="27"/>
  <c r="F760" i="27"/>
  <c r="N760" i="27"/>
  <c r="P760" i="27"/>
  <c r="F761" i="27"/>
  <c r="N761" i="27"/>
  <c r="P761" i="27"/>
  <c r="F762" i="27"/>
  <c r="N762" i="27"/>
  <c r="P762" i="27"/>
  <c r="F763" i="27"/>
  <c r="N763" i="27"/>
  <c r="P763" i="27"/>
  <c r="F764" i="27"/>
  <c r="N764" i="27"/>
  <c r="P764" i="27"/>
  <c r="F765" i="27"/>
  <c r="N765" i="27"/>
  <c r="P765" i="27"/>
  <c r="F766" i="27"/>
  <c r="N766" i="27"/>
  <c r="P766" i="27"/>
  <c r="F767" i="27"/>
  <c r="N767" i="27"/>
  <c r="P767" i="27"/>
  <c r="F768" i="27"/>
  <c r="N768" i="27"/>
  <c r="P768" i="27"/>
  <c r="F769" i="27"/>
  <c r="N769" i="27"/>
  <c r="P769" i="27"/>
  <c r="F770" i="27"/>
  <c r="N770" i="27"/>
  <c r="P770" i="27"/>
  <c r="F771" i="27"/>
  <c r="N771" i="27"/>
  <c r="P771" i="27"/>
  <c r="F772" i="27"/>
  <c r="N772" i="27"/>
  <c r="P772" i="27"/>
  <c r="F773" i="27"/>
  <c r="N773" i="27"/>
  <c r="P773" i="27"/>
  <c r="F774" i="27"/>
  <c r="N774" i="27"/>
  <c r="P774" i="27"/>
  <c r="F775" i="27"/>
  <c r="N775" i="27"/>
  <c r="P775" i="27"/>
  <c r="F776" i="27"/>
  <c r="N776" i="27"/>
  <c r="P776" i="27"/>
  <c r="F777" i="27"/>
  <c r="N777" i="27"/>
  <c r="P777" i="27"/>
  <c r="F778" i="27"/>
  <c r="N778" i="27"/>
  <c r="P778" i="27"/>
  <c r="F779" i="27"/>
  <c r="N779" i="27"/>
  <c r="P779" i="27"/>
  <c r="F780" i="27"/>
  <c r="N780" i="27"/>
  <c r="P780" i="27"/>
  <c r="F781" i="27"/>
  <c r="N781" i="27"/>
  <c r="P781" i="27"/>
  <c r="F782" i="27"/>
  <c r="N782" i="27"/>
  <c r="P782" i="27"/>
  <c r="F783" i="27"/>
  <c r="N783" i="27"/>
  <c r="P783" i="27"/>
  <c r="F784" i="27"/>
  <c r="N784" i="27"/>
  <c r="P784" i="27"/>
  <c r="F785" i="27"/>
  <c r="N785" i="27"/>
  <c r="P785" i="27"/>
  <c r="F786" i="27"/>
  <c r="N786" i="27"/>
  <c r="P786" i="27"/>
  <c r="F787" i="27"/>
  <c r="N787" i="27"/>
  <c r="P787" i="27"/>
  <c r="F788" i="27"/>
  <c r="N788" i="27"/>
  <c r="P788" i="27"/>
  <c r="F789" i="27"/>
  <c r="N789" i="27"/>
  <c r="P789" i="27"/>
  <c r="F790" i="27"/>
  <c r="N790" i="27"/>
  <c r="P790" i="27"/>
  <c r="F791" i="27"/>
  <c r="N791" i="27"/>
  <c r="P791" i="27"/>
  <c r="F792" i="27"/>
  <c r="N792" i="27"/>
  <c r="P792" i="27"/>
  <c r="F793" i="27"/>
  <c r="N793" i="27"/>
  <c r="P793" i="27"/>
  <c r="F794" i="27"/>
  <c r="N794" i="27"/>
  <c r="P794" i="27"/>
  <c r="F795" i="27"/>
  <c r="N795" i="27"/>
  <c r="P795" i="27"/>
  <c r="F796" i="27"/>
  <c r="N796" i="27"/>
  <c r="P796" i="27"/>
  <c r="F797" i="27"/>
  <c r="N797" i="27"/>
  <c r="P797" i="27"/>
  <c r="F798" i="27"/>
  <c r="N798" i="27"/>
  <c r="P798" i="27"/>
  <c r="F799" i="27"/>
  <c r="N799" i="27"/>
  <c r="P799" i="27"/>
  <c r="F800" i="27"/>
  <c r="N800" i="27"/>
  <c r="P800" i="27"/>
  <c r="F801" i="27"/>
  <c r="N801" i="27"/>
  <c r="P801" i="27"/>
  <c r="F802" i="27"/>
  <c r="N802" i="27"/>
  <c r="P802" i="27"/>
  <c r="F803" i="27"/>
  <c r="N803" i="27"/>
  <c r="P803" i="27"/>
  <c r="F804" i="27"/>
  <c r="N804" i="27"/>
  <c r="P804" i="27"/>
  <c r="F805" i="27"/>
  <c r="N805" i="27"/>
  <c r="P805" i="27"/>
  <c r="F806" i="27"/>
  <c r="N806" i="27"/>
  <c r="P806" i="27"/>
  <c r="F807" i="27"/>
  <c r="N807" i="27"/>
  <c r="P807" i="27"/>
  <c r="F808" i="27"/>
  <c r="N808" i="27"/>
  <c r="P808" i="27"/>
  <c r="F809" i="27"/>
  <c r="N809" i="27"/>
  <c r="P809" i="27"/>
  <c r="F810" i="27"/>
  <c r="N810" i="27"/>
  <c r="P810" i="27"/>
  <c r="F811" i="27"/>
  <c r="N811" i="27"/>
  <c r="P811" i="27"/>
  <c r="F812" i="27"/>
  <c r="N812" i="27"/>
  <c r="P812" i="27"/>
  <c r="F813" i="27"/>
  <c r="N813" i="27"/>
  <c r="P813" i="27"/>
  <c r="F814" i="27"/>
  <c r="N814" i="27"/>
  <c r="P814" i="27"/>
  <c r="F815" i="27"/>
  <c r="N815" i="27"/>
  <c r="P815" i="27"/>
  <c r="F816" i="27"/>
  <c r="N816" i="27"/>
  <c r="P816" i="27"/>
  <c r="F817" i="27"/>
  <c r="N817" i="27"/>
  <c r="P817" i="27"/>
  <c r="F818" i="27"/>
  <c r="N818" i="27"/>
  <c r="P818" i="27"/>
  <c r="F819" i="27"/>
  <c r="N819" i="27"/>
  <c r="P819" i="27"/>
  <c r="F820" i="27"/>
  <c r="N820" i="27"/>
  <c r="P820" i="27"/>
  <c r="F821" i="27"/>
  <c r="N821" i="27"/>
  <c r="P821" i="27"/>
  <c r="F822" i="27"/>
  <c r="N822" i="27"/>
  <c r="P822" i="27"/>
  <c r="F823" i="27"/>
  <c r="N823" i="27"/>
  <c r="P823" i="27"/>
  <c r="F824" i="27"/>
  <c r="N824" i="27"/>
  <c r="P824" i="27"/>
  <c r="F825" i="27"/>
  <c r="N825" i="27"/>
  <c r="P825" i="27"/>
  <c r="F826" i="27"/>
  <c r="N826" i="27"/>
  <c r="P826" i="27"/>
  <c r="F827" i="27"/>
  <c r="N827" i="27"/>
  <c r="P827" i="27"/>
  <c r="F828" i="27"/>
  <c r="N828" i="27"/>
  <c r="P828" i="27"/>
  <c r="F829" i="27"/>
  <c r="N829" i="27"/>
  <c r="P829" i="27"/>
  <c r="F830" i="27"/>
  <c r="N830" i="27"/>
  <c r="P830" i="27"/>
  <c r="F831" i="27"/>
  <c r="N831" i="27"/>
  <c r="P831" i="27"/>
  <c r="F832" i="27"/>
  <c r="N832" i="27"/>
  <c r="P832" i="27"/>
  <c r="F833" i="27"/>
  <c r="N833" i="27"/>
  <c r="P833" i="27"/>
  <c r="F834" i="27"/>
  <c r="N834" i="27"/>
  <c r="P834" i="27"/>
  <c r="F835" i="27"/>
  <c r="N835" i="27"/>
  <c r="P835" i="27"/>
  <c r="F836" i="27"/>
  <c r="N836" i="27"/>
  <c r="P836" i="27"/>
  <c r="F837" i="27"/>
  <c r="N837" i="27"/>
  <c r="P837" i="27"/>
  <c r="F838" i="27"/>
  <c r="N838" i="27"/>
  <c r="P838" i="27"/>
  <c r="F839" i="27"/>
  <c r="N839" i="27"/>
  <c r="P839" i="27"/>
  <c r="F840" i="27"/>
  <c r="N840" i="27"/>
  <c r="P840" i="27"/>
  <c r="F841" i="27"/>
  <c r="N841" i="27"/>
  <c r="P841" i="27"/>
  <c r="F842" i="27"/>
  <c r="N842" i="27"/>
  <c r="P842" i="27"/>
  <c r="F843" i="27"/>
  <c r="N843" i="27"/>
  <c r="P843" i="27"/>
  <c r="F844" i="27"/>
  <c r="N844" i="27"/>
  <c r="P844" i="27"/>
  <c r="F845" i="27"/>
  <c r="N845" i="27"/>
  <c r="P845" i="27"/>
  <c r="F846" i="27"/>
  <c r="N846" i="27"/>
  <c r="P846" i="27"/>
  <c r="F847" i="27"/>
  <c r="N847" i="27"/>
  <c r="P847" i="27"/>
  <c r="F848" i="27"/>
  <c r="N848" i="27"/>
  <c r="P848" i="27"/>
  <c r="F849" i="27"/>
  <c r="N849" i="27"/>
  <c r="P849" i="27"/>
  <c r="F850" i="27"/>
  <c r="N850" i="27"/>
  <c r="P850" i="27"/>
  <c r="F851" i="27"/>
  <c r="N851" i="27"/>
  <c r="P851" i="27"/>
  <c r="F852" i="27"/>
  <c r="N852" i="27"/>
  <c r="P852" i="27"/>
  <c r="F853" i="27"/>
  <c r="N853" i="27"/>
  <c r="P853" i="27"/>
  <c r="F854" i="27"/>
  <c r="N854" i="27"/>
  <c r="P854" i="27"/>
  <c r="F855" i="27"/>
  <c r="N855" i="27"/>
  <c r="P855" i="27"/>
  <c r="F856" i="27"/>
  <c r="N856" i="27"/>
  <c r="P856" i="27"/>
  <c r="F857" i="27"/>
  <c r="N857" i="27"/>
  <c r="P857" i="27"/>
  <c r="F858" i="27"/>
  <c r="N858" i="27"/>
  <c r="P858" i="27"/>
  <c r="F859" i="27"/>
  <c r="N859" i="27"/>
  <c r="P859" i="27"/>
  <c r="F860" i="27"/>
  <c r="N860" i="27"/>
  <c r="P860" i="27"/>
  <c r="F861" i="27"/>
  <c r="N861" i="27"/>
  <c r="P861" i="27"/>
  <c r="F862" i="27"/>
  <c r="N862" i="27"/>
  <c r="P862" i="27"/>
  <c r="F863" i="27"/>
  <c r="N863" i="27"/>
  <c r="P863" i="27"/>
  <c r="F864" i="27"/>
  <c r="N864" i="27"/>
  <c r="P864" i="27"/>
  <c r="F865" i="27"/>
  <c r="N865" i="27"/>
  <c r="P865" i="27"/>
  <c r="F866" i="27"/>
  <c r="N866" i="27"/>
  <c r="P866" i="27"/>
  <c r="F867" i="27"/>
  <c r="N867" i="27"/>
  <c r="P867" i="27"/>
  <c r="F868" i="27"/>
  <c r="N868" i="27"/>
  <c r="P868" i="27"/>
  <c r="F869" i="27"/>
  <c r="N869" i="27"/>
  <c r="P869" i="27"/>
  <c r="F870" i="27"/>
  <c r="N870" i="27"/>
  <c r="P870" i="27"/>
  <c r="F871" i="27"/>
  <c r="N871" i="27"/>
  <c r="P871" i="27"/>
  <c r="F872" i="27"/>
  <c r="N872" i="27"/>
  <c r="P872" i="27"/>
  <c r="F873" i="27"/>
  <c r="N873" i="27"/>
  <c r="P873" i="27"/>
  <c r="F874" i="27"/>
  <c r="N874" i="27"/>
  <c r="P874" i="27"/>
  <c r="F875" i="27"/>
  <c r="N875" i="27"/>
  <c r="P875" i="27"/>
  <c r="F876" i="27"/>
  <c r="N876" i="27"/>
  <c r="P876" i="27"/>
  <c r="F877" i="27"/>
  <c r="N877" i="27"/>
  <c r="P877" i="27"/>
  <c r="F878" i="27"/>
  <c r="N878" i="27"/>
  <c r="P878" i="27"/>
  <c r="F879" i="27"/>
  <c r="N879" i="27"/>
  <c r="P879" i="27"/>
  <c r="J881" i="27"/>
  <c r="C886" i="27"/>
  <c r="C1037" i="27"/>
  <c r="C1038" i="27"/>
  <c r="C1039" i="27"/>
  <c r="C1040" i="27"/>
  <c r="C1041" i="27"/>
  <c r="C1042" i="27"/>
  <c r="C1043" i="27"/>
  <c r="C1044" i="27"/>
  <c r="C1045" i="27"/>
  <c r="C1046" i="27"/>
  <c r="C1047" i="27"/>
  <c r="C1048" i="27"/>
  <c r="C1049" i="27"/>
  <c r="C1050" i="27"/>
  <c r="C1051" i="27"/>
  <c r="C1052" i="27"/>
  <c r="C1053" i="27"/>
  <c r="C1054" i="27"/>
  <c r="C1055" i="27"/>
  <c r="C1056" i="27"/>
  <c r="C1057" i="27"/>
  <c r="C1058" i="27"/>
  <c r="C1059" i="27"/>
  <c r="C1060" i="27"/>
  <c r="C1061" i="27"/>
  <c r="C1062" i="27"/>
  <c r="C1063" i="27"/>
  <c r="C1064" i="27"/>
  <c r="C1065" i="27"/>
  <c r="C1066" i="27"/>
  <c r="C1067" i="27"/>
  <c r="C1068" i="27"/>
  <c r="C1069" i="27"/>
  <c r="C1070" i="27"/>
  <c r="C1071" i="27"/>
  <c r="C1072" i="27"/>
  <c r="C1073" i="27"/>
  <c r="C1074" i="27"/>
  <c r="C1075" i="27"/>
  <c r="C1076" i="27"/>
  <c r="C1077" i="27"/>
  <c r="C1078" i="27"/>
  <c r="C1079" i="27"/>
  <c r="C1080" i="27"/>
  <c r="C1081" i="27"/>
  <c r="C1082" i="27"/>
  <c r="C1083" i="27"/>
  <c r="C1084" i="27"/>
  <c r="C1085" i="27"/>
  <c r="C1086" i="27"/>
  <c r="C1087" i="27"/>
  <c r="C1088" i="27"/>
  <c r="C1089" i="27"/>
  <c r="C1090" i="27"/>
  <c r="C1091" i="27"/>
  <c r="C1092" i="27"/>
  <c r="C1093" i="27"/>
  <c r="C1094" i="27"/>
  <c r="C1095" i="27"/>
  <c r="C1096" i="27"/>
  <c r="C1097" i="27"/>
  <c r="C1098" i="27"/>
  <c r="C1099" i="27"/>
  <c r="C1100" i="27"/>
  <c r="C1101" i="27"/>
  <c r="C1102" i="27"/>
  <c r="C1103" i="27"/>
  <c r="C1104" i="27"/>
  <c r="C1105" i="27"/>
  <c r="C1106" i="27"/>
  <c r="C1107" i="27"/>
  <c r="C1108" i="27"/>
  <c r="C1109" i="27"/>
  <c r="C1110" i="27"/>
  <c r="C1111" i="27"/>
  <c r="C1112" i="27"/>
  <c r="C1113" i="27"/>
  <c r="C1114" i="27"/>
  <c r="C1115" i="27"/>
  <c r="C1116" i="27"/>
  <c r="C1117" i="27"/>
  <c r="C1118" i="27"/>
  <c r="C1119" i="27"/>
  <c r="C1120" i="27"/>
  <c r="C1121" i="27"/>
  <c r="C1122" i="27"/>
  <c r="C1123" i="27"/>
  <c r="C1124" i="27"/>
  <c r="C1125" i="27"/>
  <c r="C1126" i="27"/>
  <c r="C1127" i="27"/>
  <c r="C1128" i="27"/>
  <c r="C1129" i="27"/>
  <c r="C1130" i="27"/>
  <c r="C1131" i="27"/>
  <c r="C1132" i="27"/>
  <c r="C1133" i="27"/>
  <c r="C1134" i="27"/>
  <c r="C1135" i="27"/>
  <c r="C1136" i="27"/>
  <c r="C1137" i="27"/>
  <c r="C1138" i="27"/>
  <c r="C1139" i="27"/>
  <c r="C1140" i="27"/>
  <c r="C1141" i="27"/>
  <c r="C1142" i="27"/>
  <c r="C1143" i="27"/>
  <c r="C1144" i="27"/>
  <c r="C1145" i="27"/>
  <c r="C1146" i="27"/>
  <c r="C1147" i="27"/>
  <c r="C1148" i="27"/>
  <c r="C1149" i="27"/>
  <c r="C1150" i="27"/>
  <c r="C1151" i="27"/>
  <c r="C1152" i="27"/>
  <c r="C1153" i="27"/>
  <c r="C1154" i="27"/>
  <c r="C1155" i="27"/>
  <c r="C1156" i="27"/>
  <c r="C1157" i="27"/>
  <c r="C1158" i="27"/>
  <c r="C1159" i="27"/>
  <c r="C1160" i="27"/>
  <c r="C1161" i="27"/>
  <c r="C1162" i="27"/>
  <c r="C1163" i="27"/>
  <c r="C1164" i="27"/>
  <c r="C1165" i="27"/>
  <c r="C1166" i="27"/>
  <c r="C1167" i="27"/>
  <c r="C1168" i="27"/>
  <c r="C1169" i="27"/>
  <c r="C1170" i="27"/>
  <c r="C1171" i="27"/>
  <c r="C1172" i="27"/>
  <c r="C1173" i="27"/>
  <c r="C1174" i="27"/>
  <c r="C1175" i="27"/>
  <c r="C1176" i="27"/>
  <c r="C1177" i="27"/>
  <c r="C1178" i="27"/>
  <c r="C1179" i="27"/>
  <c r="C1180" i="27"/>
  <c r="C1181" i="27"/>
  <c r="C1182" i="27"/>
  <c r="C1183" i="27"/>
  <c r="C1184" i="27"/>
  <c r="C1185" i="27"/>
  <c r="C1186" i="27"/>
  <c r="C1190" i="27"/>
  <c r="C1341" i="27"/>
  <c r="C1342" i="27"/>
  <c r="C1343" i="27"/>
  <c r="C1344" i="27"/>
  <c r="C1345" i="27"/>
  <c r="C1346" i="27"/>
  <c r="C1347" i="27"/>
  <c r="C1348" i="27"/>
  <c r="C1349" i="27"/>
  <c r="C1350" i="27"/>
  <c r="C1351" i="27"/>
  <c r="C1352" i="27"/>
  <c r="C1353" i="27"/>
  <c r="C1354" i="27"/>
  <c r="C1355" i="27"/>
  <c r="C1356" i="27"/>
  <c r="C1357" i="27"/>
  <c r="C1358" i="27"/>
  <c r="C1359" i="27"/>
  <c r="C1360" i="27"/>
  <c r="C1361" i="27"/>
  <c r="C1362" i="27"/>
  <c r="C1363" i="27"/>
  <c r="C1364" i="27"/>
  <c r="C1365" i="27"/>
  <c r="C1366" i="27"/>
  <c r="C1367" i="27"/>
  <c r="C1368" i="27"/>
  <c r="C1369" i="27"/>
  <c r="C1370" i="27"/>
  <c r="C1371" i="27"/>
  <c r="C1372" i="27"/>
  <c r="C1373" i="27"/>
  <c r="C1374" i="27"/>
  <c r="C1375" i="27"/>
  <c r="C1376" i="27"/>
  <c r="C1377" i="27"/>
  <c r="C1378" i="27"/>
  <c r="C1379" i="27"/>
  <c r="C1380" i="27"/>
  <c r="C1381" i="27"/>
  <c r="C1382" i="27"/>
  <c r="C1383" i="27"/>
  <c r="C1384" i="27"/>
  <c r="C1385" i="27"/>
  <c r="C1386" i="27"/>
  <c r="C1387" i="27"/>
  <c r="C1388" i="27"/>
  <c r="C1389" i="27"/>
  <c r="C1390" i="27"/>
  <c r="C1391" i="27"/>
  <c r="C1392" i="27"/>
  <c r="C1393" i="27"/>
  <c r="C1394" i="27"/>
  <c r="C1395" i="27"/>
  <c r="C1396" i="27"/>
  <c r="C1397" i="27"/>
  <c r="C1398" i="27"/>
  <c r="C1399" i="27"/>
  <c r="C1400" i="27"/>
  <c r="C1401" i="27"/>
  <c r="C1402" i="27"/>
  <c r="C1403" i="27"/>
  <c r="C1404" i="27"/>
  <c r="C1405" i="27"/>
  <c r="C1406" i="27"/>
  <c r="C1407" i="27"/>
  <c r="C1408" i="27"/>
  <c r="C1409" i="27"/>
  <c r="C1410" i="27"/>
  <c r="C1411" i="27"/>
  <c r="C1412" i="27"/>
  <c r="C1413" i="27"/>
  <c r="C1414" i="27"/>
  <c r="C1415" i="27"/>
  <c r="C1419" i="27"/>
  <c r="C2020" i="27"/>
  <c r="C2021" i="27"/>
  <c r="C2022" i="27"/>
  <c r="C2023" i="27"/>
  <c r="C2024" i="27"/>
  <c r="C2025" i="27"/>
  <c r="C2026" i="27"/>
  <c r="C2027" i="27"/>
  <c r="C2028" i="27"/>
  <c r="C2029" i="27"/>
  <c r="C2030" i="27"/>
  <c r="C2031" i="27"/>
  <c r="C2032" i="27"/>
  <c r="C2033" i="27"/>
  <c r="C2034" i="27"/>
  <c r="C2035" i="27"/>
  <c r="C2036" i="27"/>
  <c r="C2037" i="27"/>
  <c r="C2038" i="27"/>
  <c r="C2039" i="27"/>
  <c r="C2040" i="27"/>
  <c r="C2041" i="27"/>
  <c r="C2042" i="27"/>
  <c r="C2043" i="27"/>
  <c r="C2044" i="27"/>
  <c r="C2045" i="27"/>
  <c r="C2046" i="27"/>
  <c r="C2047" i="27"/>
  <c r="C2048" i="27"/>
  <c r="C2049" i="27"/>
  <c r="C2050" i="27"/>
  <c r="C2051" i="27"/>
  <c r="C2052" i="27"/>
  <c r="C2053" i="27"/>
  <c r="C2054" i="27"/>
  <c r="C2055" i="27"/>
  <c r="C2056" i="27"/>
  <c r="C2057" i="27"/>
  <c r="C2058" i="27"/>
  <c r="C2059" i="27"/>
  <c r="C2060" i="27"/>
  <c r="C2061" i="27"/>
  <c r="C2062" i="27"/>
  <c r="C2063" i="27"/>
  <c r="C2064" i="27"/>
  <c r="C2065" i="27"/>
  <c r="C2066" i="27"/>
  <c r="C2067" i="27"/>
  <c r="C2068" i="27"/>
  <c r="C2069" i="27"/>
  <c r="C2070" i="27"/>
  <c r="C2071" i="27"/>
  <c r="C2072" i="27"/>
  <c r="C2073" i="27"/>
  <c r="C2074" i="27"/>
  <c r="C2075" i="27"/>
  <c r="C2076" i="27"/>
  <c r="C2077" i="27"/>
  <c r="C2078" i="27"/>
  <c r="C2079" i="27"/>
  <c r="C2080" i="27"/>
  <c r="C2081" i="27"/>
  <c r="C2082" i="27"/>
  <c r="C2083" i="27"/>
  <c r="C2084" i="27"/>
  <c r="C2085" i="27"/>
  <c r="C2086" i="27"/>
  <c r="C2087" i="27"/>
  <c r="C2088" i="27"/>
  <c r="C2089" i="27"/>
  <c r="C2090" i="27"/>
  <c r="C2091" i="27"/>
  <c r="C2092" i="27"/>
  <c r="C2093" i="27"/>
  <c r="C2094" i="27"/>
  <c r="C2095" i="27"/>
  <c r="C2096" i="27"/>
  <c r="C2097" i="27"/>
  <c r="C2098" i="27"/>
  <c r="C2099" i="27"/>
  <c r="C2100" i="27"/>
  <c r="C2101" i="27"/>
  <c r="C2102" i="27"/>
  <c r="C2103" i="27"/>
  <c r="C2104" i="27"/>
  <c r="C2105" i="27"/>
  <c r="C2106" i="27"/>
  <c r="C2107" i="27"/>
  <c r="C2108" i="27"/>
  <c r="C2109" i="27"/>
  <c r="C2110" i="27"/>
  <c r="C2111" i="27"/>
  <c r="C2112" i="27"/>
  <c r="C2113" i="27"/>
  <c r="C2114" i="27"/>
  <c r="C2115" i="27"/>
  <c r="C2116" i="27"/>
  <c r="C2117" i="27"/>
  <c r="C2118" i="27"/>
  <c r="C2119" i="27"/>
  <c r="C2120" i="27"/>
  <c r="C2121" i="27"/>
  <c r="C2122" i="27"/>
  <c r="C2123" i="27"/>
  <c r="C2124" i="27"/>
  <c r="C2125" i="27"/>
  <c r="C2126" i="27"/>
  <c r="C2127" i="27"/>
  <c r="C2128" i="27"/>
  <c r="C2129" i="27"/>
  <c r="C2130" i="27"/>
  <c r="C2131" i="27"/>
  <c r="C2132" i="27"/>
  <c r="C2133" i="27"/>
  <c r="C2134" i="27"/>
  <c r="C2135" i="27"/>
  <c r="C2136" i="27"/>
  <c r="C2137" i="27"/>
  <c r="C2138" i="27"/>
  <c r="C2139" i="27"/>
  <c r="C2140" i="27"/>
  <c r="C2141" i="27"/>
  <c r="C2142" i="27"/>
  <c r="C2143" i="27"/>
  <c r="C2144" i="27"/>
  <c r="C2145" i="27"/>
  <c r="C2146" i="27"/>
  <c r="C2147" i="27"/>
  <c r="C2148" i="27"/>
  <c r="C2149" i="27"/>
  <c r="C2150" i="27"/>
  <c r="C2151" i="27"/>
  <c r="C2152" i="27"/>
  <c r="C2153" i="27"/>
  <c r="C2154" i="27"/>
  <c r="C2155" i="27"/>
  <c r="C2156" i="27"/>
  <c r="C2157" i="27"/>
  <c r="C2158" i="27"/>
  <c r="C2159" i="27"/>
  <c r="C2160" i="27"/>
  <c r="C2161" i="27"/>
  <c r="C2162" i="27"/>
  <c r="C2163" i="27"/>
  <c r="C2164" i="27"/>
  <c r="C2165" i="27"/>
  <c r="C2166" i="27"/>
  <c r="C2167" i="27"/>
  <c r="C2168" i="27"/>
  <c r="C2169" i="27"/>
  <c r="C2170" i="27"/>
  <c r="C2171" i="27"/>
  <c r="C2172" i="27"/>
  <c r="C2173" i="27"/>
  <c r="C2174" i="27"/>
  <c r="C2175" i="27"/>
  <c r="C2176" i="27"/>
  <c r="C2177" i="27"/>
  <c r="C2178" i="27"/>
  <c r="C2179" i="27"/>
  <c r="C2180" i="27"/>
  <c r="C2181" i="27"/>
  <c r="C2182" i="27"/>
  <c r="C2183" i="27"/>
  <c r="C2184" i="27"/>
  <c r="C2185" i="27"/>
  <c r="C2186" i="27"/>
  <c r="C2187" i="27"/>
  <c r="C2188" i="27"/>
  <c r="C2189" i="27"/>
  <c r="C2190" i="27"/>
  <c r="C2191" i="27"/>
  <c r="C2192" i="27"/>
  <c r="C2193" i="27"/>
  <c r="C2194" i="27"/>
  <c r="C2195" i="27"/>
  <c r="C2196" i="27"/>
  <c r="C2197" i="27"/>
  <c r="C2198" i="27"/>
  <c r="C2199" i="27"/>
  <c r="J2200" i="27"/>
  <c r="J2201" i="27"/>
  <c r="J2202" i="27"/>
  <c r="B2204" i="27"/>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B2277" i="27" s="1"/>
  <c r="B2278" i="27" s="1"/>
  <c r="B2279" i="27" s="1"/>
  <c r="B2280" i="27" s="1"/>
  <c r="B2281" i="27" s="1"/>
  <c r="B2282" i="27" s="1"/>
  <c r="B2283" i="27" s="1"/>
  <c r="B2284" i="27" s="1"/>
  <c r="B2285" i="27" s="1"/>
  <c r="C2204" i="27"/>
  <c r="H2204" i="27"/>
  <c r="H2205" i="27" s="1"/>
  <c r="H2206" i="27" s="1"/>
  <c r="H2207" i="27" s="1"/>
  <c r="H2208" i="27" s="1"/>
  <c r="H2209" i="27" s="1"/>
  <c r="H2210" i="27" s="1"/>
  <c r="H2211" i="27" s="1"/>
  <c r="H2212" i="27" s="1"/>
  <c r="H2213" i="27" s="1"/>
  <c r="H2214" i="27" s="1"/>
  <c r="H2215" i="27" s="1"/>
  <c r="H2216" i="27" s="1"/>
  <c r="H2217" i="27" s="1"/>
  <c r="H2218" i="27" s="1"/>
  <c r="H2219" i="27" s="1"/>
  <c r="H2220" i="27" s="1"/>
  <c r="H2221" i="27" s="1"/>
  <c r="H2222" i="27" s="1"/>
  <c r="H2223" i="27" s="1"/>
  <c r="H2224" i="27" s="1"/>
  <c r="H2225" i="27" s="1"/>
  <c r="H2226" i="27" s="1"/>
  <c r="H2227" i="27" s="1"/>
  <c r="H2228" i="27" s="1"/>
  <c r="H2229" i="27" s="1"/>
  <c r="H2230" i="27" s="1"/>
  <c r="H2231" i="27" s="1"/>
  <c r="H2232" i="27" s="1"/>
  <c r="H2233" i="27" s="1"/>
  <c r="H2234" i="27" s="1"/>
  <c r="H2235" i="27" s="1"/>
  <c r="H2236" i="27" s="1"/>
  <c r="H2237" i="27" s="1"/>
  <c r="H2238" i="27" s="1"/>
  <c r="H2239" i="27" s="1"/>
  <c r="H2240" i="27" s="1"/>
  <c r="H2241" i="27" s="1"/>
  <c r="H2242" i="27" s="1"/>
  <c r="H2243" i="27" s="1"/>
  <c r="H2244" i="27" s="1"/>
  <c r="H2245" i="27" s="1"/>
  <c r="H2246" i="27" s="1"/>
  <c r="H2247" i="27" s="1"/>
  <c r="H2248" i="27" s="1"/>
  <c r="H2249" i="27" s="1"/>
  <c r="H2250" i="27" s="1"/>
  <c r="H2251" i="27" s="1"/>
  <c r="H2252" i="27" s="1"/>
  <c r="H2253" i="27" s="1"/>
  <c r="H2254" i="27" s="1"/>
  <c r="H2255" i="27" s="1"/>
  <c r="H2256" i="27" s="1"/>
  <c r="H2257" i="27" s="1"/>
  <c r="H2258" i="27" s="1"/>
  <c r="H2259" i="27" s="1"/>
  <c r="H2260" i="27" s="1"/>
  <c r="H2261" i="27" s="1"/>
  <c r="H2262" i="27" s="1"/>
  <c r="H2263" i="27" s="1"/>
  <c r="H2264" i="27" s="1"/>
  <c r="H2265" i="27" s="1"/>
  <c r="H2266" i="27" s="1"/>
  <c r="H2267" i="27" s="1"/>
  <c r="H2268" i="27" s="1"/>
  <c r="H2269" i="27" s="1"/>
  <c r="H2270" i="27" s="1"/>
  <c r="H2271" i="27" s="1"/>
  <c r="H2272" i="27" s="1"/>
  <c r="H2273" i="27" s="1"/>
  <c r="H2274" i="27" s="1"/>
  <c r="H2275" i="27" s="1"/>
  <c r="H2276" i="27" s="1"/>
  <c r="H2277" i="27" s="1"/>
  <c r="H2278" i="27" s="1"/>
  <c r="H2279" i="27" s="1"/>
  <c r="H2280" i="27" s="1"/>
  <c r="H2281" i="27" s="1"/>
  <c r="H2282" i="27" s="1"/>
  <c r="H2283" i="27" s="1"/>
  <c r="H2284" i="27" s="1"/>
  <c r="H2285" i="27" s="1"/>
  <c r="H2286" i="27" s="1"/>
  <c r="H2287" i="27" s="1"/>
  <c r="H2288" i="27" s="1"/>
  <c r="H2289" i="27" s="1"/>
  <c r="H2290" i="27" s="1"/>
  <c r="H2291" i="27" s="1"/>
  <c r="H2292" i="27" s="1"/>
  <c r="H2293" i="27" s="1"/>
  <c r="H2294" i="27" s="1"/>
  <c r="H2295" i="27" s="1"/>
  <c r="H2296" i="27" s="1"/>
  <c r="H2297" i="27" s="1"/>
  <c r="H2298" i="27" s="1"/>
  <c r="H2299" i="27" s="1"/>
  <c r="H2300" i="27" s="1"/>
  <c r="H2301" i="27" s="1"/>
  <c r="H2302" i="27" s="1"/>
  <c r="H2303" i="27" s="1"/>
  <c r="H2304" i="27" s="1"/>
  <c r="H2305" i="27" s="1"/>
  <c r="H2306" i="27" s="1"/>
  <c r="H2307" i="27" s="1"/>
  <c r="H2308" i="27" s="1"/>
  <c r="H2309" i="27" s="1"/>
  <c r="H2310" i="27" s="1"/>
  <c r="H2311" i="27" s="1"/>
  <c r="H2312" i="27" s="1"/>
  <c r="H2313" i="27" s="1"/>
  <c r="H2314" i="27" s="1"/>
  <c r="H2315" i="27" s="1"/>
  <c r="H2316" i="27" s="1"/>
  <c r="H2317" i="27" s="1"/>
  <c r="H2318" i="27" s="1"/>
  <c r="H2319" i="27" s="1"/>
  <c r="H2320" i="27" s="1"/>
  <c r="H2321" i="27" s="1"/>
  <c r="H2322" i="27" s="1"/>
  <c r="H2323" i="27" s="1"/>
  <c r="H2324" i="27" s="1"/>
  <c r="H2325" i="27" s="1"/>
  <c r="H2326" i="27" s="1"/>
  <c r="H2327" i="27" s="1"/>
  <c r="H2328" i="27" s="1"/>
  <c r="H2329" i="27" s="1"/>
  <c r="H2330" i="27" s="1"/>
  <c r="H2331" i="27" s="1"/>
  <c r="H2332" i="27" s="1"/>
  <c r="H2333" i="27" s="1"/>
  <c r="H2334" i="27" s="1"/>
  <c r="H2335" i="27" s="1"/>
  <c r="H2336" i="27" s="1"/>
  <c r="H2337" i="27" s="1"/>
  <c r="H2338" i="27" s="1"/>
  <c r="H2339" i="27" s="1"/>
  <c r="H2340" i="27" s="1"/>
  <c r="H2341" i="27" s="1"/>
  <c r="H2342" i="27" s="1"/>
  <c r="H2343" i="27" s="1"/>
  <c r="H2344" i="27" s="1"/>
  <c r="H2345" i="27" s="1"/>
  <c r="H2346" i="27" s="1"/>
  <c r="H2347" i="27" s="1"/>
  <c r="H2348" i="27" s="1"/>
  <c r="H2349" i="27" s="1"/>
  <c r="H2350" i="27" s="1"/>
  <c r="H2351" i="27" s="1"/>
  <c r="H2352" i="27" s="1"/>
  <c r="H2353" i="27" s="1"/>
  <c r="H2354" i="27" s="1"/>
  <c r="H2355" i="27" s="1"/>
  <c r="H2356" i="27" s="1"/>
  <c r="H2357" i="27" s="1"/>
  <c r="H2358" i="27" s="1"/>
  <c r="H2359" i="27" s="1"/>
  <c r="H2360" i="27" s="1"/>
  <c r="H2361" i="27" s="1"/>
  <c r="H2362" i="27" s="1"/>
  <c r="H2363" i="27" s="1"/>
  <c r="H2364" i="27" s="1"/>
  <c r="C2285" i="27"/>
  <c r="C2286" i="27"/>
  <c r="C2287" i="27"/>
  <c r="C2288" i="27"/>
  <c r="C2289" i="27"/>
  <c r="C2290" i="27"/>
  <c r="C2291" i="27"/>
  <c r="C2292" i="27"/>
  <c r="C2293" i="27"/>
  <c r="C2294" i="27"/>
  <c r="C2295" i="27"/>
  <c r="C2296" i="27"/>
  <c r="C2297" i="27"/>
  <c r="C2298" i="27"/>
  <c r="C2299" i="27"/>
  <c r="C2300" i="27"/>
  <c r="C2301" i="27"/>
  <c r="C2302" i="27"/>
  <c r="C2303" i="27"/>
  <c r="C2304" i="27"/>
  <c r="C2305" i="27"/>
  <c r="C2306" i="27"/>
  <c r="C2307" i="27"/>
  <c r="C2308" i="27"/>
  <c r="C2309" i="27"/>
  <c r="C2310" i="27"/>
  <c r="C2311" i="27"/>
  <c r="C2312" i="27"/>
  <c r="C2313" i="27"/>
  <c r="C2314" i="27"/>
  <c r="C2315" i="27"/>
  <c r="C2316" i="27"/>
  <c r="C2317" i="27"/>
  <c r="C2318" i="27"/>
  <c r="C2319" i="27"/>
  <c r="C2320" i="27"/>
  <c r="C2321" i="27"/>
  <c r="C2322" i="27"/>
  <c r="C2323" i="27"/>
  <c r="C2324" i="27"/>
  <c r="C2325" i="27"/>
  <c r="C2326" i="27"/>
  <c r="C2327" i="27"/>
  <c r="C2328" i="27"/>
  <c r="C2329" i="27"/>
  <c r="C2330" i="27"/>
  <c r="C2331" i="27"/>
  <c r="C2332" i="27"/>
  <c r="C2333" i="27"/>
  <c r="C2334" i="27"/>
  <c r="C2335" i="27"/>
  <c r="C2336" i="27"/>
  <c r="C2337" i="27"/>
  <c r="C2338" i="27"/>
  <c r="C2339" i="27"/>
  <c r="C2340" i="27"/>
  <c r="C2341" i="27"/>
  <c r="C2342" i="27"/>
  <c r="C2343" i="27"/>
  <c r="C2344" i="27"/>
  <c r="C2345" i="27"/>
  <c r="C2346" i="27"/>
  <c r="C2347" i="27"/>
  <c r="C2348" i="27"/>
  <c r="C2349" i="27"/>
  <c r="C2350" i="27"/>
  <c r="C2351" i="27"/>
  <c r="C2352" i="27"/>
  <c r="C2353" i="27"/>
  <c r="C2354" i="27"/>
  <c r="C2355" i="27"/>
  <c r="C2356" i="27"/>
  <c r="C2357" i="27"/>
  <c r="C2358" i="27"/>
  <c r="C2359" i="27"/>
  <c r="C2360" i="27"/>
  <c r="C2361" i="27"/>
  <c r="C2362" i="27"/>
  <c r="C2363" i="27"/>
  <c r="C2364" i="27"/>
  <c r="J2365" i="27"/>
  <c r="J2366" i="27"/>
  <c r="J2367" i="27"/>
  <c r="J2368" i="27"/>
  <c r="B2370" i="27"/>
  <c r="C2370" i="27"/>
  <c r="E2535" i="27" s="1"/>
  <c r="D2370" i="27"/>
  <c r="D2371" i="27" s="1"/>
  <c r="D2372" i="27" s="1"/>
  <c r="D2373" i="27" s="1"/>
  <c r="D2374" i="27" s="1"/>
  <c r="D2375" i="27" s="1"/>
  <c r="D2376" i="27" s="1"/>
  <c r="D2377" i="27" s="1"/>
  <c r="D2378" i="27" s="1"/>
  <c r="D2379" i="27" s="1"/>
  <c r="D2380" i="27" s="1"/>
  <c r="D2381" i="27" s="1"/>
  <c r="D2382" i="27" s="1"/>
  <c r="D2383" i="27" s="1"/>
  <c r="D2384" i="27" s="1"/>
  <c r="D2385" i="27" s="1"/>
  <c r="D2386" i="27" s="1"/>
  <c r="D2387" i="27" s="1"/>
  <c r="D2388" i="27" s="1"/>
  <c r="D2389" i="27" s="1"/>
  <c r="D2390" i="27" s="1"/>
  <c r="D2391" i="27" s="1"/>
  <c r="D2392" i="27" s="1"/>
  <c r="D2393" i="27" s="1"/>
  <c r="D2394" i="27" s="1"/>
  <c r="D2395" i="27" s="1"/>
  <c r="D2396" i="27" s="1"/>
  <c r="D2397" i="27" s="1"/>
  <c r="D2398" i="27" s="1"/>
  <c r="D2399" i="27" s="1"/>
  <c r="D2400" i="27" s="1"/>
  <c r="D2401" i="27" s="1"/>
  <c r="D2402" i="27" s="1"/>
  <c r="D2403" i="27" s="1"/>
  <c r="D2404" i="27" s="1"/>
  <c r="D2405" i="27" s="1"/>
  <c r="D2406" i="27" s="1"/>
  <c r="D2407" i="27" s="1"/>
  <c r="D2408" i="27" s="1"/>
  <c r="D2409" i="27" s="1"/>
  <c r="D2410" i="27" s="1"/>
  <c r="D2411" i="27" s="1"/>
  <c r="D2412" i="27" s="1"/>
  <c r="D2413" i="27" s="1"/>
  <c r="D2414" i="27" s="1"/>
  <c r="D2415" i="27" s="1"/>
  <c r="D2416" i="27" s="1"/>
  <c r="D2417" i="27" s="1"/>
  <c r="D2418" i="27" s="1"/>
  <c r="D2419" i="27" s="1"/>
  <c r="D2420" i="27" s="1"/>
  <c r="D2421" i="27" s="1"/>
  <c r="D2422" i="27" s="1"/>
  <c r="D2423" i="27" s="1"/>
  <c r="D2424" i="27" s="1"/>
  <c r="D2425" i="27" s="1"/>
  <c r="D2426" i="27" s="1"/>
  <c r="D2427" i="27" s="1"/>
  <c r="D2428" i="27" s="1"/>
  <c r="D2429" i="27" s="1"/>
  <c r="D2430" i="27" s="1"/>
  <c r="D2431" i="27" s="1"/>
  <c r="D2432" i="27" s="1"/>
  <c r="D2433" i="27" s="1"/>
  <c r="D2434" i="27" s="1"/>
  <c r="D2435" i="27" s="1"/>
  <c r="D2436" i="27" s="1"/>
  <c r="D2437" i="27" s="1"/>
  <c r="D2438" i="27" s="1"/>
  <c r="D2439" i="27" s="1"/>
  <c r="D2440" i="27" s="1"/>
  <c r="D2441" i="27" s="1"/>
  <c r="D2442" i="27" s="1"/>
  <c r="D2443" i="27" s="1"/>
  <c r="D2444" i="27" s="1"/>
  <c r="D2445" i="27" s="1"/>
  <c r="D2446" i="27" s="1"/>
  <c r="D2447" i="27" s="1"/>
  <c r="D2448" i="27" s="1"/>
  <c r="D2449" i="27" s="1"/>
  <c r="D2450" i="27" s="1"/>
  <c r="D2451" i="27" s="1"/>
  <c r="D2452" i="27" s="1"/>
  <c r="D2453" i="27" s="1"/>
  <c r="D2454" i="27" s="1"/>
  <c r="D2455" i="27" s="1"/>
  <c r="D2456" i="27" s="1"/>
  <c r="D2457" i="27" s="1"/>
  <c r="D2458" i="27" s="1"/>
  <c r="D2459" i="27" s="1"/>
  <c r="D2460" i="27" s="1"/>
  <c r="D2461" i="27" s="1"/>
  <c r="D2462" i="27" s="1"/>
  <c r="D2463" i="27" s="1"/>
  <c r="D2464" i="27" s="1"/>
  <c r="D2465" i="27" s="1"/>
  <c r="D2466" i="27" s="1"/>
  <c r="D2467" i="27" s="1"/>
  <c r="D2468" i="27" s="1"/>
  <c r="D2469" i="27" s="1"/>
  <c r="D2470" i="27" s="1"/>
  <c r="D2471" i="27" s="1"/>
  <c r="D2472" i="27" s="1"/>
  <c r="D2473" i="27" s="1"/>
  <c r="D2474" i="27" s="1"/>
  <c r="D2475" i="27" s="1"/>
  <c r="D2476" i="27" s="1"/>
  <c r="D2477" i="27" s="1"/>
  <c r="D2478" i="27" s="1"/>
  <c r="D2479" i="27" s="1"/>
  <c r="D2480" i="27" s="1"/>
  <c r="D2481" i="27" s="1"/>
  <c r="D2482" i="27" s="1"/>
  <c r="D2483" i="27" s="1"/>
  <c r="D2484" i="27" s="1"/>
  <c r="D2485" i="27" s="1"/>
  <c r="D2486" i="27" s="1"/>
  <c r="D2487" i="27" s="1"/>
  <c r="D2488" i="27" s="1"/>
  <c r="D2489" i="27" s="1"/>
  <c r="D2490" i="27" s="1"/>
  <c r="D2491" i="27" s="1"/>
  <c r="D2492" i="27" s="1"/>
  <c r="D2493" i="27" s="1"/>
  <c r="D2494" i="27" s="1"/>
  <c r="D2495" i="27" s="1"/>
  <c r="D2496" i="27" s="1"/>
  <c r="D2497" i="27" s="1"/>
  <c r="D2498" i="27" s="1"/>
  <c r="D2499" i="27" s="1"/>
  <c r="D2500" i="27" s="1"/>
  <c r="D2501" i="27" s="1"/>
  <c r="D2502" i="27" s="1"/>
  <c r="D2503" i="27" s="1"/>
  <c r="D2504" i="27" s="1"/>
  <c r="D2505" i="27" s="1"/>
  <c r="D2506" i="27" s="1"/>
  <c r="D2507" i="27" s="1"/>
  <c r="D2508" i="27" s="1"/>
  <c r="D2509" i="27" s="1"/>
  <c r="D2510" i="27" s="1"/>
  <c r="D2511" i="27" s="1"/>
  <c r="D2512" i="27" s="1"/>
  <c r="D2513" i="27" s="1"/>
  <c r="D2514" i="27" s="1"/>
  <c r="D2515" i="27" s="1"/>
  <c r="D2516" i="27" s="1"/>
  <c r="D2517" i="27" s="1"/>
  <c r="D2518" i="27" s="1"/>
  <c r="D2519" i="27" s="1"/>
  <c r="D2520" i="27" s="1"/>
  <c r="D2521" i="27" s="1"/>
  <c r="D2522" i="27" s="1"/>
  <c r="D2523" i="27" s="1"/>
  <c r="D2524" i="27" s="1"/>
  <c r="D2525" i="27" s="1"/>
  <c r="D2526" i="27" s="1"/>
  <c r="D2527" i="27" s="1"/>
  <c r="D2528" i="27" s="1"/>
  <c r="D2529" i="27" s="1"/>
  <c r="D2530" i="27" s="1"/>
  <c r="D2531" i="27" s="1"/>
  <c r="D2532" i="27" s="1"/>
  <c r="D2533" i="27" s="1"/>
  <c r="D2534" i="27" s="1"/>
  <c r="D2535" i="27" s="1"/>
  <c r="D2536" i="27" s="1"/>
  <c r="D2537" i="27" s="1"/>
  <c r="D2538" i="27" s="1"/>
  <c r="D2539" i="27" s="1"/>
  <c r="D2540" i="27" s="1"/>
  <c r="D2541" i="27" s="1"/>
  <c r="D2542" i="27" s="1"/>
  <c r="D2543" i="27" s="1"/>
  <c r="D2544" i="27" s="1"/>
  <c r="D2545" i="27" s="1"/>
  <c r="D2546" i="27" s="1"/>
  <c r="D2547" i="27" s="1"/>
  <c r="D2548" i="27" s="1"/>
  <c r="D2549" i="27" s="1"/>
  <c r="D2550" i="27" s="1"/>
  <c r="D2551" i="27" s="1"/>
  <c r="D2552" i="27" s="1"/>
  <c r="D2553" i="27" s="1"/>
  <c r="D2554" i="27" s="1"/>
  <c r="D2555" i="27" s="1"/>
  <c r="D2556" i="27" s="1"/>
  <c r="D2557" i="27" s="1"/>
  <c r="D2558" i="27" s="1"/>
  <c r="D2559" i="27" s="1"/>
  <c r="D2560" i="27" s="1"/>
  <c r="D2561" i="27" s="1"/>
  <c r="D2562" i="27" s="1"/>
  <c r="D2563" i="27" s="1"/>
  <c r="D2564" i="27" s="1"/>
  <c r="D2565" i="27" s="1"/>
  <c r="D2566" i="27" s="1"/>
  <c r="D2567" i="27" s="1"/>
  <c r="D2568" i="27" s="1"/>
  <c r="D2569" i="27" s="1"/>
  <c r="D2570" i="27" s="1"/>
  <c r="D2571" i="27" s="1"/>
  <c r="D2572" i="27" s="1"/>
  <c r="D2573" i="27" s="1"/>
  <c r="D2574" i="27" s="1"/>
  <c r="D2575" i="27" s="1"/>
  <c r="D2576" i="27" s="1"/>
  <c r="D2577" i="27" s="1"/>
  <c r="D2578" i="27" s="1"/>
  <c r="D2579" i="27" s="1"/>
  <c r="D2580" i="27" s="1"/>
  <c r="D2581" i="27" s="1"/>
  <c r="D2582" i="27" s="1"/>
  <c r="D2583" i="27" s="1"/>
  <c r="D2584" i="27" s="1"/>
  <c r="D2585" i="27" s="1"/>
  <c r="D2586" i="27" s="1"/>
  <c r="D2587" i="27" s="1"/>
  <c r="D2588" i="27" s="1"/>
  <c r="D2589" i="27" s="1"/>
  <c r="D2590" i="27" s="1"/>
  <c r="D2591" i="27" s="1"/>
  <c r="D2592" i="27" s="1"/>
  <c r="D2593" i="27" s="1"/>
  <c r="D2594" i="27" s="1"/>
  <c r="D2595" i="27" s="1"/>
  <c r="D2596" i="27" s="1"/>
  <c r="D2597" i="27" s="1"/>
  <c r="D2598" i="27" s="1"/>
  <c r="D2599" i="27" s="1"/>
  <c r="D2600" i="27" s="1"/>
  <c r="D2601" i="27" s="1"/>
  <c r="D2602" i="27" s="1"/>
  <c r="D2603" i="27" s="1"/>
  <c r="D2604" i="27" s="1"/>
  <c r="D2605" i="27" s="1"/>
  <c r="D2606" i="27" s="1"/>
  <c r="D2607" i="27" s="1"/>
  <c r="D2608" i="27" s="1"/>
  <c r="D2609" i="27" s="1"/>
  <c r="D2610" i="27" s="1"/>
  <c r="D2611" i="27" s="1"/>
  <c r="D2612" i="27" s="1"/>
  <c r="D2613" i="27" s="1"/>
  <c r="D2614" i="27" s="1"/>
  <c r="D2615" i="27" s="1"/>
  <c r="D2616" i="27" s="1"/>
  <c r="D2617" i="27" s="1"/>
  <c r="D2618" i="27" s="1"/>
  <c r="D2619" i="27" s="1"/>
  <c r="D2620" i="27" s="1"/>
  <c r="D2621" i="27" s="1"/>
  <c r="D2622" i="27" s="1"/>
  <c r="D2623" i="27" s="1"/>
  <c r="D2624" i="27" s="1"/>
  <c r="D2625" i="27" s="1"/>
  <c r="D2626" i="27" s="1"/>
  <c r="D2627" i="27" s="1"/>
  <c r="D2628" i="27" s="1"/>
  <c r="D2629" i="27" s="1"/>
  <c r="D2630" i="27" s="1"/>
  <c r="D2631" i="27" s="1"/>
  <c r="D2632" i="27" s="1"/>
  <c r="D2633" i="27" s="1"/>
  <c r="D2634" i="27" s="1"/>
  <c r="D2635" i="27" s="1"/>
  <c r="D2636" i="27" s="1"/>
  <c r="D2637" i="27" s="1"/>
  <c r="D2638" i="27" s="1"/>
  <c r="D2639" i="27" s="1"/>
  <c r="D2640" i="27" s="1"/>
  <c r="D2641" i="27" s="1"/>
  <c r="D2642" i="27" s="1"/>
  <c r="D2643" i="27" s="1"/>
  <c r="D2644" i="27" s="1"/>
  <c r="D2645" i="27" s="1"/>
  <c r="D2646" i="27" s="1"/>
  <c r="D2647" i="27" s="1"/>
  <c r="D2648" i="27" s="1"/>
  <c r="D2649" i="27" s="1"/>
  <c r="D2650" i="27" s="1"/>
  <c r="D2651" i="27" s="1"/>
  <c r="D2652" i="27" s="1"/>
  <c r="D2653" i="27" s="1"/>
  <c r="D2654" i="27" s="1"/>
  <c r="D2655" i="27" s="1"/>
  <c r="D2656" i="27" s="1"/>
  <c r="D2657" i="27" s="1"/>
  <c r="D2658" i="27" s="1"/>
  <c r="D2659" i="27" s="1"/>
  <c r="D2660" i="27" s="1"/>
  <c r="D2661" i="27" s="1"/>
  <c r="D2662" i="27" s="1"/>
  <c r="D2663" i="27" s="1"/>
  <c r="D2664" i="27" s="1"/>
  <c r="D2665" i="27" s="1"/>
  <c r="D2666" i="27" s="1"/>
  <c r="D2667" i="27" s="1"/>
  <c r="D2668" i="27" s="1"/>
  <c r="D2669" i="27" s="1"/>
  <c r="D2670" i="27" s="1"/>
  <c r="D2671" i="27" s="1"/>
  <c r="D2672" i="27" s="1"/>
  <c r="D2673" i="27" s="1"/>
  <c r="D2674" i="27" s="1"/>
  <c r="D2675" i="27" s="1"/>
  <c r="D2676" i="27" s="1"/>
  <c r="D2677" i="27" s="1"/>
  <c r="D2678" i="27" s="1"/>
  <c r="D2679" i="27" s="1"/>
  <c r="D2680" i="27" s="1"/>
  <c r="D2681" i="27" s="1"/>
  <c r="D2682" i="27" s="1"/>
  <c r="D2683" i="27" s="1"/>
  <c r="D2684" i="27" s="1"/>
  <c r="D2685" i="27" s="1"/>
  <c r="D2686" i="27" s="1"/>
  <c r="D2687" i="27" s="1"/>
  <c r="D2688" i="27" s="1"/>
  <c r="D2689" i="27" s="1"/>
  <c r="D2690" i="27" s="1"/>
  <c r="D2691" i="27" s="1"/>
  <c r="D2692" i="27" s="1"/>
  <c r="D2693" i="27" s="1"/>
  <c r="D2694" i="27" s="1"/>
  <c r="D2695" i="27" s="1"/>
  <c r="D2696" i="27" s="1"/>
  <c r="D2697" i="27" s="1"/>
  <c r="D2698" i="27" s="1"/>
  <c r="D2699" i="27" s="1"/>
  <c r="D2700" i="27" s="1"/>
  <c r="D2701" i="27" s="1"/>
  <c r="D2702" i="27" s="1"/>
  <c r="D2703" i="27" s="1"/>
  <c r="D2704" i="27" s="1"/>
  <c r="D2705" i="27" s="1"/>
  <c r="D2706" i="27" s="1"/>
  <c r="D2707" i="27" s="1"/>
  <c r="D2708" i="27" s="1"/>
  <c r="D2709" i="27" s="1"/>
  <c r="D2710" i="27" s="1"/>
  <c r="D2711" i="27" s="1"/>
  <c r="D2712" i="27" s="1"/>
  <c r="D2713" i="27" s="1"/>
  <c r="D2714" i="27" s="1"/>
  <c r="D2715" i="27" s="1"/>
  <c r="D2716" i="27" s="1"/>
  <c r="D2717" i="27" s="1"/>
  <c r="D2718" i="27" s="1"/>
  <c r="D2719" i="27" s="1"/>
  <c r="D2720" i="27" s="1"/>
  <c r="D2721" i="27" s="1"/>
  <c r="D2722" i="27" s="1"/>
  <c r="D2723" i="27" s="1"/>
  <c r="D2724" i="27" s="1"/>
  <c r="D2725" i="27" s="1"/>
  <c r="D2726" i="27" s="1"/>
  <c r="D2727" i="27" s="1"/>
  <c r="D2728" i="27" s="1"/>
  <c r="D2729" i="27" s="1"/>
  <c r="D2730" i="27" s="1"/>
  <c r="D2731" i="27" s="1"/>
  <c r="D2732" i="27" s="1"/>
  <c r="D2733" i="27" s="1"/>
  <c r="D2734" i="27" s="1"/>
  <c r="D2735" i="27" s="1"/>
  <c r="D2736" i="27" s="1"/>
  <c r="D2737" i="27" s="1"/>
  <c r="D2738" i="27" s="1"/>
  <c r="D2739" i="27" s="1"/>
  <c r="D2740" i="27" s="1"/>
  <c r="D2741" i="27" s="1"/>
  <c r="D2742" i="27" s="1"/>
  <c r="D2743" i="27" s="1"/>
  <c r="D2744" i="27" s="1"/>
  <c r="D2745" i="27" s="1"/>
  <c r="D2746" i="27" s="1"/>
  <c r="D2747" i="27" s="1"/>
  <c r="D2748" i="27" s="1"/>
  <c r="D2749" i="27" s="1"/>
  <c r="D2750" i="27" s="1"/>
  <c r="D2751" i="27" s="1"/>
  <c r="D2752" i="27" s="1"/>
  <c r="D2753" i="27" s="1"/>
  <c r="D2754" i="27" s="1"/>
  <c r="D2755" i="27" s="1"/>
  <c r="D2756" i="27" s="1"/>
  <c r="D2757" i="27" s="1"/>
  <c r="D2758" i="27" s="1"/>
  <c r="D2759" i="27" s="1"/>
  <c r="D2760" i="27" s="1"/>
  <c r="D2761" i="27" s="1"/>
  <c r="D2762" i="27" s="1"/>
  <c r="D2763" i="27" s="1"/>
  <c r="D2764" i="27" s="1"/>
  <c r="D2765" i="27" s="1"/>
  <c r="D2766" i="27" s="1"/>
  <c r="D2767" i="27" s="1"/>
  <c r="D2768" i="27" s="1"/>
  <c r="D2769" i="27" s="1"/>
  <c r="D2770" i="27" s="1"/>
  <c r="D2771" i="27" s="1"/>
  <c r="D2772" i="27" s="1"/>
  <c r="D2773" i="27" s="1"/>
  <c r="D2774" i="27" s="1"/>
  <c r="D2775" i="27" s="1"/>
  <c r="D2776" i="27" s="1"/>
  <c r="D2777" i="27" s="1"/>
  <c r="D2778" i="27" s="1"/>
  <c r="D2779" i="27" s="1"/>
  <c r="D2780" i="27" s="1"/>
  <c r="D2781" i="27" s="1"/>
  <c r="D2782" i="27" s="1"/>
  <c r="D2783" i="27" s="1"/>
  <c r="D2784" i="27" s="1"/>
  <c r="D2785" i="27" s="1"/>
  <c r="D2786" i="27" s="1"/>
  <c r="D2787" i="27" s="1"/>
  <c r="D2788" i="27" s="1"/>
  <c r="D2789" i="27" s="1"/>
  <c r="D2790" i="27" s="1"/>
  <c r="D2791" i="27" s="1"/>
  <c r="D2792" i="27" s="1"/>
  <c r="D2793" i="27" s="1"/>
  <c r="D2794" i="27" s="1"/>
  <c r="D2795" i="27" s="1"/>
  <c r="D2796" i="27" s="1"/>
  <c r="D2797" i="27" s="1"/>
  <c r="D2798" i="27" s="1"/>
  <c r="D2799" i="27" s="1"/>
  <c r="D2800" i="27" s="1"/>
  <c r="D2801" i="27" s="1"/>
  <c r="D2802" i="27" s="1"/>
  <c r="D2803" i="27" s="1"/>
  <c r="D2804" i="27" s="1"/>
  <c r="D2805" i="27" s="1"/>
  <c r="D2806" i="27" s="1"/>
  <c r="D2807" i="27" s="1"/>
  <c r="D2808" i="27" s="1"/>
  <c r="D2809" i="27" s="1"/>
  <c r="D2810" i="27" s="1"/>
  <c r="D2811" i="27" s="1"/>
  <c r="D2812" i="27" s="1"/>
  <c r="D2813" i="27" s="1"/>
  <c r="D2814" i="27" s="1"/>
  <c r="D2815" i="27" s="1"/>
  <c r="D2816" i="27" s="1"/>
  <c r="D2817" i="27" s="1"/>
  <c r="D2818" i="27" s="1"/>
  <c r="D2819" i="27" s="1"/>
  <c r="D2820" i="27" s="1"/>
  <c r="D2821" i="27" s="1"/>
  <c r="D2822" i="27" s="1"/>
  <c r="D2823" i="27" s="1"/>
  <c r="D2824" i="27" s="1"/>
  <c r="D2825" i="27" s="1"/>
  <c r="D2826" i="27" s="1"/>
  <c r="D2827" i="27" s="1"/>
  <c r="D2828" i="27" s="1"/>
  <c r="D2829" i="27" s="1"/>
  <c r="D2830" i="27" s="1"/>
  <c r="D2831" i="27" s="1"/>
  <c r="D2832" i="27" s="1"/>
  <c r="D2833" i="27" s="1"/>
  <c r="D2834" i="27" s="1"/>
  <c r="D2835" i="27" s="1"/>
  <c r="D2836" i="27" s="1"/>
  <c r="D2837" i="27" s="1"/>
  <c r="D2838" i="27" s="1"/>
  <c r="D2839" i="27" s="1"/>
  <c r="D2840" i="27" s="1"/>
  <c r="D2841" i="27" s="1"/>
  <c r="D2842" i="27" s="1"/>
  <c r="D2843" i="27" s="1"/>
  <c r="D2844" i="27" s="1"/>
  <c r="D2845" i="27" s="1"/>
  <c r="D2846" i="27" s="1"/>
  <c r="D2847" i="27" s="1"/>
  <c r="D2848" i="27" s="1"/>
  <c r="D2849" i="27" s="1"/>
  <c r="D2850" i="27" s="1"/>
  <c r="D2851" i="27" s="1"/>
  <c r="D2852" i="27" s="1"/>
  <c r="D2853" i="27" s="1"/>
  <c r="D2854" i="27" s="1"/>
  <c r="D2855" i="27" s="1"/>
  <c r="D2856" i="27" s="1"/>
  <c r="D2857" i="27" s="1"/>
  <c r="D2858" i="27" s="1"/>
  <c r="D2859" i="27" s="1"/>
  <c r="D2860" i="27" s="1"/>
  <c r="D2861" i="27" s="1"/>
  <c r="D2862" i="27" s="1"/>
  <c r="D2863" i="27" s="1"/>
  <c r="D2864" i="27" s="1"/>
  <c r="D2865" i="27" s="1"/>
  <c r="D2866" i="27" s="1"/>
  <c r="D2867" i="27" s="1"/>
  <c r="D2868" i="27" s="1"/>
  <c r="D2869" i="27" s="1"/>
  <c r="D2870" i="27" s="1"/>
  <c r="D2871" i="27" s="1"/>
  <c r="D2872" i="27" s="1"/>
  <c r="D2873" i="27" s="1"/>
  <c r="D2874" i="27" s="1"/>
  <c r="D2875" i="27" s="1"/>
  <c r="D2876" i="27" s="1"/>
  <c r="D2877" i="27" s="1"/>
  <c r="D2878" i="27" s="1"/>
  <c r="D2879" i="27" s="1"/>
  <c r="D2880" i="27" s="1"/>
  <c r="D2881" i="27" s="1"/>
  <c r="D2882" i="27" s="1"/>
  <c r="D2883" i="27" s="1"/>
  <c r="D2884" i="27" s="1"/>
  <c r="D2885" i="27" s="1"/>
  <c r="D2886" i="27" s="1"/>
  <c r="D2887" i="27" s="1"/>
  <c r="D2888" i="27" s="1"/>
  <c r="D2889" i="27" s="1"/>
  <c r="D2890" i="27" s="1"/>
  <c r="D2891" i="27" s="1"/>
  <c r="D2892" i="27" s="1"/>
  <c r="D2893" i="27" s="1"/>
  <c r="D2894" i="27" s="1"/>
  <c r="D2895" i="27" s="1"/>
  <c r="D2896" i="27" s="1"/>
  <c r="D2897" i="27" s="1"/>
  <c r="D2898" i="27" s="1"/>
  <c r="D2899" i="27" s="1"/>
  <c r="D2900" i="27" s="1"/>
  <c r="D2901" i="27" s="1"/>
  <c r="D2902" i="27" s="1"/>
  <c r="D2903" i="27" s="1"/>
  <c r="D2904" i="27" s="1"/>
  <c r="D2905" i="27" s="1"/>
  <c r="D2906" i="27" s="1"/>
  <c r="D2907" i="27" s="1"/>
  <c r="D2908" i="27" s="1"/>
  <c r="D2909" i="27" s="1"/>
  <c r="D2910" i="27" s="1"/>
  <c r="D2911" i="27" s="1"/>
  <c r="D2912" i="27" s="1"/>
  <c r="D2913" i="27" s="1"/>
  <c r="D2914" i="27" s="1"/>
  <c r="D2915" i="27" s="1"/>
  <c r="D2916" i="27" s="1"/>
  <c r="D2917" i="27" s="1"/>
  <c r="D2918" i="27" s="1"/>
  <c r="D2919" i="27" s="1"/>
  <c r="D2920" i="27" s="1"/>
  <c r="D2921" i="27" s="1"/>
  <c r="D2922" i="27" s="1"/>
  <c r="D2923" i="27" s="1"/>
  <c r="D2924" i="27" s="1"/>
  <c r="D2925" i="27" s="1"/>
  <c r="D2926" i="27" s="1"/>
  <c r="D2927" i="27" s="1"/>
  <c r="D2928" i="27" s="1"/>
  <c r="D2929" i="27" s="1"/>
  <c r="D2930" i="27" s="1"/>
  <c r="D2931" i="27" s="1"/>
  <c r="D2932" i="27" s="1"/>
  <c r="D2933" i="27" s="1"/>
  <c r="D2934" i="27" s="1"/>
  <c r="D2935" i="27" s="1"/>
  <c r="D2936" i="27" s="1"/>
  <c r="D2937" i="27" s="1"/>
  <c r="D2938" i="27" s="1"/>
  <c r="D2939" i="27" s="1"/>
  <c r="D2940" i="27" s="1"/>
  <c r="D2941" i="27" s="1"/>
  <c r="D2942" i="27" s="1"/>
  <c r="D2943" i="27" s="1"/>
  <c r="D2944" i="27" s="1"/>
  <c r="D2945" i="27" s="1"/>
  <c r="D2946" i="27" s="1"/>
  <c r="D2947" i="27" s="1"/>
  <c r="D2948" i="27" s="1"/>
  <c r="D2949" i="27" s="1"/>
  <c r="D2950" i="27" s="1"/>
  <c r="D2951" i="27" s="1"/>
  <c r="D2952" i="27" s="1"/>
  <c r="D2953" i="27" s="1"/>
  <c r="D2954" i="27" s="1"/>
  <c r="D2955" i="27" s="1"/>
  <c r="D2956" i="27" s="1"/>
  <c r="D2957" i="27" s="1"/>
  <c r="D2958" i="27" s="1"/>
  <c r="D2959" i="27" s="1"/>
  <c r="D2960" i="27" s="1"/>
  <c r="D2961" i="27" s="1"/>
  <c r="D2962" i="27" s="1"/>
  <c r="D2963" i="27" s="1"/>
  <c r="D2964" i="27" s="1"/>
  <c r="D2965" i="27" s="1"/>
  <c r="D2966" i="27" s="1"/>
  <c r="D2967" i="27" s="1"/>
  <c r="D2968" i="27" s="1"/>
  <c r="D2969" i="27" s="1"/>
  <c r="D2970" i="27" s="1"/>
  <c r="D2971" i="27" s="1"/>
  <c r="D2972" i="27" s="1"/>
  <c r="D2973" i="27" s="1"/>
  <c r="D2974" i="27" s="1"/>
  <c r="D2975" i="27" s="1"/>
  <c r="D2976" i="27" s="1"/>
  <c r="D2977" i="27" s="1"/>
  <c r="D2978" i="27" s="1"/>
  <c r="D2979" i="27" s="1"/>
  <c r="D2980" i="27" s="1"/>
  <c r="D2981" i="27" s="1"/>
  <c r="D2982" i="27" s="1"/>
  <c r="D2983" i="27" s="1"/>
  <c r="D2984" i="27" s="1"/>
  <c r="D2985" i="27" s="1"/>
  <c r="D2986" i="27" s="1"/>
  <c r="D2987" i="27" s="1"/>
  <c r="D2988" i="27" s="1"/>
  <c r="D2989" i="27" s="1"/>
  <c r="D2990" i="27" s="1"/>
  <c r="D2991" i="27" s="1"/>
  <c r="D2992" i="27" s="1"/>
  <c r="D2993" i="27" s="1"/>
  <c r="D2994" i="27" s="1"/>
  <c r="D2995" i="27" s="1"/>
  <c r="D2996" i="27" s="1"/>
  <c r="D2997" i="27" s="1"/>
  <c r="D2998" i="27" s="1"/>
  <c r="D2999" i="27" s="1"/>
  <c r="D3000" i="27" s="1"/>
  <c r="D3001" i="27" s="1"/>
  <c r="D3002" i="27" s="1"/>
  <c r="D3003" i="27" s="1"/>
  <c r="D3004" i="27" s="1"/>
  <c r="D3005" i="27" s="1"/>
  <c r="D3006" i="27" s="1"/>
  <c r="D3007" i="27" s="1"/>
  <c r="D3008" i="27" s="1"/>
  <c r="D3009" i="27" s="1"/>
  <c r="D3010" i="27" s="1"/>
  <c r="D3011" i="27" s="1"/>
  <c r="D3012" i="27" s="1"/>
  <c r="D3013" i="27" s="1"/>
  <c r="D3014" i="27" s="1"/>
  <c r="D3015" i="27" s="1"/>
  <c r="D3016" i="27" s="1"/>
  <c r="D3017" i="27" s="1"/>
  <c r="D3018" i="27" s="1"/>
  <c r="D3019" i="27" s="1"/>
  <c r="D3020" i="27" s="1"/>
  <c r="D3021" i="27" s="1"/>
  <c r="D3022" i="27" s="1"/>
  <c r="D3023" i="27" s="1"/>
  <c r="D3024" i="27" s="1"/>
  <c r="D3025" i="27" s="1"/>
  <c r="D3026" i="27" s="1"/>
  <c r="D3027" i="27" s="1"/>
  <c r="D3028" i="27" s="1"/>
  <c r="D3029" i="27" s="1"/>
  <c r="D3030" i="27" s="1"/>
  <c r="D3031" i="27" s="1"/>
  <c r="D3032" i="27" s="1"/>
  <c r="D3033" i="27" s="1"/>
  <c r="D3034" i="27" s="1"/>
  <c r="D3035" i="27" s="1"/>
  <c r="D3036" i="27" s="1"/>
  <c r="D3037" i="27" s="1"/>
  <c r="D3038" i="27" s="1"/>
  <c r="D3039" i="27" s="1"/>
  <c r="D3040" i="27" s="1"/>
  <c r="D3041" i="27" s="1"/>
  <c r="D3042" i="27" s="1"/>
  <c r="D3043" i="27" s="1"/>
  <c r="D3044" i="27" s="1"/>
  <c r="D3045" i="27" s="1"/>
  <c r="D3046" i="27" s="1"/>
  <c r="D3047" i="27" s="1"/>
  <c r="D3048" i="27" s="1"/>
  <c r="D3049" i="27" s="1"/>
  <c r="D3050" i="27" s="1"/>
  <c r="D3051" i="27" s="1"/>
  <c r="D3052" i="27" s="1"/>
  <c r="D3053" i="27" s="1"/>
  <c r="D3054" i="27" s="1"/>
  <c r="D3055" i="27" s="1"/>
  <c r="D3056" i="27" s="1"/>
  <c r="D3057" i="27" s="1"/>
  <c r="D3058" i="27" s="1"/>
  <c r="D3059" i="27" s="1"/>
  <c r="D3060" i="27" s="1"/>
  <c r="D3061" i="27" s="1"/>
  <c r="D3062" i="27" s="1"/>
  <c r="D3063" i="27" s="1"/>
  <c r="D3064" i="27" s="1"/>
  <c r="D3065" i="27" s="1"/>
  <c r="D3066" i="27" s="1"/>
  <c r="D3067" i="27" s="1"/>
  <c r="D3068" i="27" s="1"/>
  <c r="D3069" i="27" s="1"/>
  <c r="D3070" i="27" s="1"/>
  <c r="D3071" i="27" s="1"/>
  <c r="D3072" i="27" s="1"/>
  <c r="D3073" i="27" s="1"/>
  <c r="D3074" i="27" s="1"/>
  <c r="D3075" i="27" s="1"/>
  <c r="D3076" i="27" s="1"/>
  <c r="D3077" i="27" s="1"/>
  <c r="D3078" i="27" s="1"/>
  <c r="D3079" i="27" s="1"/>
  <c r="D3080" i="27" s="1"/>
  <c r="D3081" i="27" s="1"/>
  <c r="D3082" i="27" s="1"/>
  <c r="D3083" i="27" s="1"/>
  <c r="D3084" i="27" s="1"/>
  <c r="D3085" i="27" s="1"/>
  <c r="D3086" i="27" s="1"/>
  <c r="D3087" i="27" s="1"/>
  <c r="D3088" i="27" s="1"/>
  <c r="D3089" i="27" s="1"/>
  <c r="D3090" i="27" s="1"/>
  <c r="D3091" i="27" s="1"/>
  <c r="D3092" i="27" s="1"/>
  <c r="D3093" i="27" s="1"/>
  <c r="D3094" i="27" s="1"/>
  <c r="D3095" i="27" s="1"/>
  <c r="D3096" i="27" s="1"/>
  <c r="D3097" i="27" s="1"/>
  <c r="D3098" i="27" s="1"/>
  <c r="D3099" i="27" s="1"/>
  <c r="D3100" i="27" s="1"/>
  <c r="D3101" i="27" s="1"/>
  <c r="D3102" i="27" s="1"/>
  <c r="D3103" i="27" s="1"/>
  <c r="D3104" i="27" s="1"/>
  <c r="D3105" i="27" s="1"/>
  <c r="D3106" i="27" s="1"/>
  <c r="D3107" i="27" s="1"/>
  <c r="D3108" i="27" s="1"/>
  <c r="D3109" i="27" s="1"/>
  <c r="D3110" i="27" s="1"/>
  <c r="D3111" i="27" s="1"/>
  <c r="D3112" i="27" s="1"/>
  <c r="D3113" i="27" s="1"/>
  <c r="D3114" i="27" s="1"/>
  <c r="D3115" i="27" s="1"/>
  <c r="D3116" i="27" s="1"/>
  <c r="D3117" i="27" s="1"/>
  <c r="D3118" i="27" s="1"/>
  <c r="D3119" i="27" s="1"/>
  <c r="D3120" i="27" s="1"/>
  <c r="D3121" i="27" s="1"/>
  <c r="D3122" i="27" s="1"/>
  <c r="D3123" i="27" s="1"/>
  <c r="D3124" i="27" s="1"/>
  <c r="D3125" i="27" s="1"/>
  <c r="D3126" i="27" s="1"/>
  <c r="D3127" i="27" s="1"/>
  <c r="D3128" i="27" s="1"/>
  <c r="D3129" i="27" s="1"/>
  <c r="D3130" i="27" s="1"/>
  <c r="D3131" i="27" s="1"/>
  <c r="D3132" i="27" s="1"/>
  <c r="D3133" i="27" s="1"/>
  <c r="D3134" i="27" s="1"/>
  <c r="D3135" i="27" s="1"/>
  <c r="D3136" i="27" s="1"/>
  <c r="D3137" i="27" s="1"/>
  <c r="D3138" i="27" s="1"/>
  <c r="D3139" i="27" s="1"/>
  <c r="D3140" i="27" s="1"/>
  <c r="D3141" i="27" s="1"/>
  <c r="D3142" i="27" s="1"/>
  <c r="D3143" i="27" s="1"/>
  <c r="D3144" i="27" s="1"/>
  <c r="D3145" i="27" s="1"/>
  <c r="D3146" i="27" s="1"/>
  <c r="D3147" i="27" s="1"/>
  <c r="D3148" i="27" s="1"/>
  <c r="D3149" i="27" s="1"/>
  <c r="D3150" i="27" s="1"/>
  <c r="D3151" i="27" s="1"/>
  <c r="D3152" i="27" s="1"/>
  <c r="D3153" i="27" s="1"/>
  <c r="D3154" i="27" s="1"/>
  <c r="D3155" i="27" s="1"/>
  <c r="D3156" i="27" s="1"/>
  <c r="D3157" i="27" s="1"/>
  <c r="D3158" i="27" s="1"/>
  <c r="D3159" i="27" s="1"/>
  <c r="D3160" i="27" s="1"/>
  <c r="D3161" i="27" s="1"/>
  <c r="D3162" i="27" s="1"/>
  <c r="D3163" i="27" s="1"/>
  <c r="D3164" i="27" s="1"/>
  <c r="D3165" i="27" s="1"/>
  <c r="D3166" i="27" s="1"/>
  <c r="D3167" i="27" s="1"/>
  <c r="D3168" i="27" s="1"/>
  <c r="D3169" i="27" s="1"/>
  <c r="D3170" i="27" s="1"/>
  <c r="D3171" i="27" s="1"/>
  <c r="D3172" i="27" s="1"/>
  <c r="D3173" i="27" s="1"/>
  <c r="D3174" i="27" s="1"/>
  <c r="D3175" i="27" s="1"/>
  <c r="D3176" i="27" s="1"/>
  <c r="D3177" i="27" s="1"/>
  <c r="D3178" i="27" s="1"/>
  <c r="D3179" i="27" s="1"/>
  <c r="D3180" i="27" s="1"/>
  <c r="D3181" i="27" s="1"/>
  <c r="D3182" i="27" s="1"/>
  <c r="D3183" i="27" s="1"/>
  <c r="D3184" i="27" s="1"/>
  <c r="D3185" i="27" s="1"/>
  <c r="D3186" i="27" s="1"/>
  <c r="D3187" i="27" s="1"/>
  <c r="D3188" i="27" s="1"/>
  <c r="D3189" i="27" s="1"/>
  <c r="D3190" i="27" s="1"/>
  <c r="D3191" i="27" s="1"/>
  <c r="D3192" i="27" s="1"/>
  <c r="D3193" i="27" s="1"/>
  <c r="D3194" i="27" s="1"/>
  <c r="D3195" i="27" s="1"/>
  <c r="D3196" i="27" s="1"/>
  <c r="D3197" i="27" s="1"/>
  <c r="D3198" i="27" s="1"/>
  <c r="D3199" i="27" s="1"/>
  <c r="D3200" i="27" s="1"/>
  <c r="D3201" i="27" s="1"/>
  <c r="D3202" i="27" s="1"/>
  <c r="D3203" i="27" s="1"/>
  <c r="D3204" i="27" s="1"/>
  <c r="D3205" i="27" s="1"/>
  <c r="D3206" i="27" s="1"/>
  <c r="D3207" i="27" s="1"/>
  <c r="D3208" i="27" s="1"/>
  <c r="D3209" i="27" s="1"/>
  <c r="D3210" i="27" s="1"/>
  <c r="D3211" i="27" s="1"/>
  <c r="D3212" i="27" s="1"/>
  <c r="D3213" i="27" s="1"/>
  <c r="D3214" i="27" s="1"/>
  <c r="D3215" i="27" s="1"/>
  <c r="D3216" i="27" s="1"/>
  <c r="D3217" i="27" s="1"/>
  <c r="D3218" i="27" s="1"/>
  <c r="D3219" i="27" s="1"/>
  <c r="D3220" i="27" s="1"/>
  <c r="D3221" i="27" s="1"/>
  <c r="D3222" i="27" s="1"/>
  <c r="D3223" i="27" s="1"/>
  <c r="D3224" i="27" s="1"/>
  <c r="D3225" i="27" s="1"/>
  <c r="D3226" i="27" s="1"/>
  <c r="D3227" i="27" s="1"/>
  <c r="D3228" i="27" s="1"/>
  <c r="D3229" i="27" s="1"/>
  <c r="D3230" i="27" s="1"/>
  <c r="D3231" i="27" s="1"/>
  <c r="D3232" i="27" s="1"/>
  <c r="D3233" i="27" s="1"/>
  <c r="D3234" i="27" s="1"/>
  <c r="D3235" i="27" s="1"/>
  <c r="D3236" i="27" s="1"/>
  <c r="D3237" i="27" s="1"/>
  <c r="D3238" i="27" s="1"/>
  <c r="D3239" i="27" s="1"/>
  <c r="D3240" i="27" s="1"/>
  <c r="D3241" i="27" s="1"/>
  <c r="D3242" i="27" s="1"/>
  <c r="D3243" i="27" s="1"/>
  <c r="D3244" i="27" s="1"/>
  <c r="D3245" i="27" s="1"/>
  <c r="D3246" i="27" s="1"/>
  <c r="D3247" i="27" s="1"/>
  <c r="D3248" i="27" s="1"/>
  <c r="D3249" i="27" s="1"/>
  <c r="D3250" i="27" s="1"/>
  <c r="D3251" i="27" s="1"/>
  <c r="D3252" i="27" s="1"/>
  <c r="D3253" i="27" s="1"/>
  <c r="D3254" i="27" s="1"/>
  <c r="D3255" i="27" s="1"/>
  <c r="D3256" i="27" s="1"/>
  <c r="D3257" i="27" s="1"/>
  <c r="D3258" i="27" s="1"/>
  <c r="D3259" i="27" s="1"/>
  <c r="D3260" i="27" s="1"/>
  <c r="D3261" i="27" s="1"/>
  <c r="D3262" i="27" s="1"/>
  <c r="D3263" i="27" s="1"/>
  <c r="D3264" i="27" s="1"/>
  <c r="D3265" i="27" s="1"/>
  <c r="D3266" i="27" s="1"/>
  <c r="D3267" i="27" s="1"/>
  <c r="D3268" i="27" s="1"/>
  <c r="D3269" i="27" s="1"/>
  <c r="D3270" i="27" s="1"/>
  <c r="D3271" i="27" s="1"/>
  <c r="D3272" i="27" s="1"/>
  <c r="D3273" i="27" s="1"/>
  <c r="D3274" i="27" s="1"/>
  <c r="D3275" i="27" s="1"/>
  <c r="D3276" i="27" s="1"/>
  <c r="D3277" i="27" s="1"/>
  <c r="D3278" i="27" s="1"/>
  <c r="D3279" i="27" s="1"/>
  <c r="D3280" i="27" s="1"/>
  <c r="D3281" i="27" s="1"/>
  <c r="D3282" i="27" s="1"/>
  <c r="D3283" i="27" s="1"/>
  <c r="D3284" i="27" s="1"/>
  <c r="D3285" i="27" s="1"/>
  <c r="D3286" i="27" s="1"/>
  <c r="D3287" i="27" s="1"/>
  <c r="D3288" i="27" s="1"/>
  <c r="D3289" i="27" s="1"/>
  <c r="D3290" i="27" s="1"/>
  <c r="D3291" i="27" s="1"/>
  <c r="D3292" i="27" s="1"/>
  <c r="D3293" i="27" s="1"/>
  <c r="D3294" i="27" s="1"/>
  <c r="D3295" i="27" s="1"/>
  <c r="D3296" i="27" s="1"/>
  <c r="D3297" i="27" s="1"/>
  <c r="D3298" i="27" s="1"/>
  <c r="D3299" i="27" s="1"/>
  <c r="D3300" i="27" s="1"/>
  <c r="D3301" i="27" s="1"/>
  <c r="D3302" i="27" s="1"/>
  <c r="D3303" i="27" s="1"/>
  <c r="D3304" i="27" s="1"/>
  <c r="D3305" i="27" s="1"/>
  <c r="D3306" i="27" s="1"/>
  <c r="D3307" i="27" s="1"/>
  <c r="D3308" i="27" s="1"/>
  <c r="D3309" i="27" s="1"/>
  <c r="D3310" i="27" s="1"/>
  <c r="D3311" i="27" s="1"/>
  <c r="D3312" i="27" s="1"/>
  <c r="D3313" i="27" s="1"/>
  <c r="D3314" i="27" s="1"/>
  <c r="D3315" i="27" s="1"/>
  <c r="D3316" i="27" s="1"/>
  <c r="D3317" i="27" s="1"/>
  <c r="D3318" i="27" s="1"/>
  <c r="D3319" i="27" s="1"/>
  <c r="D3320" i="27" s="1"/>
  <c r="D3321" i="27" s="1"/>
  <c r="D3322" i="27" s="1"/>
  <c r="D3323" i="27" s="1"/>
  <c r="D3324" i="27" s="1"/>
  <c r="D3325" i="27" s="1"/>
  <c r="D3326" i="27" s="1"/>
  <c r="D3327" i="27" s="1"/>
  <c r="D3328" i="27" s="1"/>
  <c r="D3329" i="27" s="1"/>
  <c r="D3330" i="27" s="1"/>
  <c r="P2370" i="27"/>
  <c r="P2371" i="27" s="1"/>
  <c r="P2372" i="27" s="1"/>
  <c r="P2373" i="27" s="1"/>
  <c r="P2374" i="27" s="1"/>
  <c r="P2375" i="27" s="1"/>
  <c r="P2376" i="27" s="1"/>
  <c r="P2377" i="27" s="1"/>
  <c r="P2378" i="27" s="1"/>
  <c r="P2379" i="27" s="1"/>
  <c r="P2380" i="27" s="1"/>
  <c r="P2381" i="27" s="1"/>
  <c r="P2382" i="27" s="1"/>
  <c r="P2383" i="27" s="1"/>
  <c r="P2384" i="27" s="1"/>
  <c r="P2385" i="27" s="1"/>
  <c r="P2386" i="27" s="1"/>
  <c r="P2387" i="27" s="1"/>
  <c r="P2388" i="27" s="1"/>
  <c r="P2389" i="27" s="1"/>
  <c r="P2390" i="27" s="1"/>
  <c r="P2391" i="27" s="1"/>
  <c r="P2392" i="27" s="1"/>
  <c r="P2393" i="27" s="1"/>
  <c r="P2394" i="27" s="1"/>
  <c r="P2395" i="27" s="1"/>
  <c r="P2396" i="27" s="1"/>
  <c r="P2397" i="27" s="1"/>
  <c r="P2398" i="27" s="1"/>
  <c r="P2399" i="27" s="1"/>
  <c r="P2400" i="27" s="1"/>
  <c r="P2401" i="27" s="1"/>
  <c r="P2402" i="27" s="1"/>
  <c r="P2403" i="27" s="1"/>
  <c r="P2404" i="27" s="1"/>
  <c r="P2405" i="27" s="1"/>
  <c r="P2406" i="27" s="1"/>
  <c r="P2407" i="27" s="1"/>
  <c r="P2408" i="27" s="1"/>
  <c r="P2409" i="27" s="1"/>
  <c r="P2410" i="27" s="1"/>
  <c r="P2411" i="27" s="1"/>
  <c r="P2412" i="27" s="1"/>
  <c r="P2413" i="27" s="1"/>
  <c r="P2414" i="27" s="1"/>
  <c r="P2415" i="27" s="1"/>
  <c r="P2416" i="27" s="1"/>
  <c r="P2417" i="27" s="1"/>
  <c r="P2418" i="27" s="1"/>
  <c r="P2419" i="27" s="1"/>
  <c r="P2420" i="27" s="1"/>
  <c r="P2421" i="27" s="1"/>
  <c r="P2422" i="27" s="1"/>
  <c r="P2423" i="27" s="1"/>
  <c r="P2424" i="27" s="1"/>
  <c r="P2425" i="27" s="1"/>
  <c r="P2426" i="27" s="1"/>
  <c r="P2427" i="27" s="1"/>
  <c r="P2428" i="27" s="1"/>
  <c r="P2429" i="27" s="1"/>
  <c r="P2430" i="27" s="1"/>
  <c r="P2431" i="27" s="1"/>
  <c r="P2432" i="27" s="1"/>
  <c r="P2433" i="27" s="1"/>
  <c r="P2434" i="27" s="1"/>
  <c r="P2435" i="27" s="1"/>
  <c r="P2436" i="27" s="1"/>
  <c r="P2437" i="27" s="1"/>
  <c r="P2438" i="27" s="1"/>
  <c r="P2439" i="27" s="1"/>
  <c r="P2440" i="27" s="1"/>
  <c r="P2441" i="27" s="1"/>
  <c r="P2442" i="27" s="1"/>
  <c r="P2443" i="27" s="1"/>
  <c r="P2444" i="27" s="1"/>
  <c r="P2445" i="27" s="1"/>
  <c r="P2446" i="27" s="1"/>
  <c r="P2447" i="27" s="1"/>
  <c r="P2448" i="27" s="1"/>
  <c r="P2449" i="27" s="1"/>
  <c r="P2450" i="27" s="1"/>
  <c r="P2451" i="27" s="1"/>
  <c r="P2452" i="27" s="1"/>
  <c r="P2453" i="27" s="1"/>
  <c r="P2454" i="27" s="1"/>
  <c r="P2455" i="27" s="1"/>
  <c r="P2456" i="27" s="1"/>
  <c r="P2457" i="27" s="1"/>
  <c r="P2458" i="27" s="1"/>
  <c r="P2459" i="27" s="1"/>
  <c r="P2460" i="27" s="1"/>
  <c r="P2461" i="27" s="1"/>
  <c r="P2462" i="27" s="1"/>
  <c r="P2463" i="27" s="1"/>
  <c r="P2464" i="27" s="1"/>
  <c r="P2465" i="27" s="1"/>
  <c r="P2466" i="27" s="1"/>
  <c r="P2467" i="27" s="1"/>
  <c r="P2468" i="27" s="1"/>
  <c r="P2469" i="27" s="1"/>
  <c r="P2470" i="27" s="1"/>
  <c r="P2471" i="27" s="1"/>
  <c r="P2472" i="27" s="1"/>
  <c r="P2473" i="27" s="1"/>
  <c r="P2474" i="27" s="1"/>
  <c r="P2475" i="27" s="1"/>
  <c r="P2476" i="27" s="1"/>
  <c r="P2477" i="27" s="1"/>
  <c r="P2478" i="27" s="1"/>
  <c r="P2479" i="27" s="1"/>
  <c r="P2480" i="27" s="1"/>
  <c r="P2481" i="27" s="1"/>
  <c r="P2482" i="27" s="1"/>
  <c r="P2483" i="27" s="1"/>
  <c r="P2484" i="27" s="1"/>
  <c r="P2485" i="27" s="1"/>
  <c r="P2486" i="27" s="1"/>
  <c r="P2487" i="27" s="1"/>
  <c r="P2488" i="27" s="1"/>
  <c r="P2489" i="27" s="1"/>
  <c r="P2490" i="27" s="1"/>
  <c r="P2491" i="27" s="1"/>
  <c r="P2492" i="27" s="1"/>
  <c r="P2493" i="27" s="1"/>
  <c r="P2494" i="27" s="1"/>
  <c r="P2495" i="27" s="1"/>
  <c r="P2496" i="27" s="1"/>
  <c r="P2497" i="27" s="1"/>
  <c r="P2498" i="27" s="1"/>
  <c r="P2499" i="27" s="1"/>
  <c r="P2500" i="27" s="1"/>
  <c r="P2501" i="27" s="1"/>
  <c r="P2502" i="27" s="1"/>
  <c r="P2503" i="27" s="1"/>
  <c r="P2504" i="27" s="1"/>
  <c r="P2505" i="27" s="1"/>
  <c r="P2506" i="27" s="1"/>
  <c r="P2507" i="27" s="1"/>
  <c r="P2508" i="27" s="1"/>
  <c r="P2509" i="27" s="1"/>
  <c r="P2510" i="27" s="1"/>
  <c r="P2511" i="27" s="1"/>
  <c r="P2512" i="27" s="1"/>
  <c r="P2513" i="27" s="1"/>
  <c r="P2514" i="27" s="1"/>
  <c r="P2515" i="27" s="1"/>
  <c r="P2516" i="27" s="1"/>
  <c r="P2517" i="27" s="1"/>
  <c r="P2518" i="27" s="1"/>
  <c r="P2519" i="27" s="1"/>
  <c r="P2520" i="27" s="1"/>
  <c r="P2521" i="27" s="1"/>
  <c r="P2522" i="27" s="1"/>
  <c r="P2523" i="27" s="1"/>
  <c r="P2524" i="27" s="1"/>
  <c r="P2525" i="27" s="1"/>
  <c r="P2526" i="27" s="1"/>
  <c r="P2527" i="27" s="1"/>
  <c r="P2528" i="27" s="1"/>
  <c r="P2529" i="27" s="1"/>
  <c r="P2530" i="27" s="1"/>
  <c r="P2531" i="27" s="1"/>
  <c r="P2532" i="27" s="1"/>
  <c r="P2533" i="27" s="1"/>
  <c r="P2534" i="27" s="1"/>
  <c r="P2535" i="27" s="1"/>
  <c r="P2536" i="27" s="1"/>
  <c r="P2537" i="27" s="1"/>
  <c r="P2538" i="27" s="1"/>
  <c r="P2539" i="27" s="1"/>
  <c r="P2540" i="27" s="1"/>
  <c r="P2541" i="27" s="1"/>
  <c r="P2542" i="27" s="1"/>
  <c r="P2543" i="27" s="1"/>
  <c r="P2544" i="27" s="1"/>
  <c r="P2545" i="27" s="1"/>
  <c r="P2546" i="27" s="1"/>
  <c r="P2547" i="27" s="1"/>
  <c r="P2548" i="27" s="1"/>
  <c r="P2549" i="27" s="1"/>
  <c r="P2550" i="27" s="1"/>
  <c r="P2551" i="27" s="1"/>
  <c r="P2552" i="27" s="1"/>
  <c r="P2553" i="27" s="1"/>
  <c r="P2554" i="27" s="1"/>
  <c r="P2555" i="27" s="1"/>
  <c r="P2556" i="27" s="1"/>
  <c r="P2557" i="27" s="1"/>
  <c r="P2558" i="27" s="1"/>
  <c r="P2559" i="27" s="1"/>
  <c r="P2560" i="27" s="1"/>
  <c r="P2561" i="27" s="1"/>
  <c r="P2562" i="27" s="1"/>
  <c r="P2563" i="27" s="1"/>
  <c r="P2564" i="27" s="1"/>
  <c r="P2565" i="27" s="1"/>
  <c r="P2566" i="27" s="1"/>
  <c r="P2567" i="27" s="1"/>
  <c r="P2568" i="27" s="1"/>
  <c r="P2569" i="27" s="1"/>
  <c r="P2570" i="27" s="1"/>
  <c r="P2571" i="27" s="1"/>
  <c r="P2572" i="27" s="1"/>
  <c r="P2573" i="27" s="1"/>
  <c r="P2574" i="27" s="1"/>
  <c r="P2575" i="27" s="1"/>
  <c r="P2576" i="27" s="1"/>
  <c r="P2577" i="27" s="1"/>
  <c r="P2578" i="27" s="1"/>
  <c r="P2579" i="27" s="1"/>
  <c r="P2580" i="27" s="1"/>
  <c r="P2581" i="27" s="1"/>
  <c r="P2582" i="27" s="1"/>
  <c r="P2583" i="27" s="1"/>
  <c r="P2584" i="27" s="1"/>
  <c r="P2585" i="27" s="1"/>
  <c r="P2586" i="27" s="1"/>
  <c r="P2587" i="27" s="1"/>
  <c r="P2588" i="27" s="1"/>
  <c r="P2589" i="27" s="1"/>
  <c r="P2590" i="27" s="1"/>
  <c r="P2591" i="27" s="1"/>
  <c r="P2592" i="27" s="1"/>
  <c r="P2593" i="27" s="1"/>
  <c r="P2594" i="27" s="1"/>
  <c r="P2595" i="27" s="1"/>
  <c r="P2596" i="27" s="1"/>
  <c r="P2597" i="27" s="1"/>
  <c r="P2598" i="27" s="1"/>
  <c r="P2599" i="27" s="1"/>
  <c r="P2600" i="27" s="1"/>
  <c r="P2601" i="27" s="1"/>
  <c r="P2602" i="27" s="1"/>
  <c r="P2603" i="27" s="1"/>
  <c r="P2604" i="27" s="1"/>
  <c r="P2605" i="27" s="1"/>
  <c r="P2606" i="27" s="1"/>
  <c r="P2607" i="27" s="1"/>
  <c r="P2608" i="27" s="1"/>
  <c r="P2609" i="27" s="1"/>
  <c r="P2610" i="27" s="1"/>
  <c r="P2611" i="27" s="1"/>
  <c r="P2612" i="27" s="1"/>
  <c r="P2613" i="27" s="1"/>
  <c r="P2614" i="27" s="1"/>
  <c r="P2615" i="27" s="1"/>
  <c r="P2616" i="27" s="1"/>
  <c r="P2617" i="27" s="1"/>
  <c r="P2618" i="27" s="1"/>
  <c r="P2619" i="27" s="1"/>
  <c r="P2620" i="27" s="1"/>
  <c r="P2621" i="27" s="1"/>
  <c r="P2622" i="27" s="1"/>
  <c r="P2623" i="27" s="1"/>
  <c r="P2624" i="27" s="1"/>
  <c r="P2625" i="27" s="1"/>
  <c r="P2626" i="27" s="1"/>
  <c r="P2627" i="27" s="1"/>
  <c r="P2628" i="27" s="1"/>
  <c r="P2629" i="27" s="1"/>
  <c r="P2630" i="27" s="1"/>
  <c r="P2631" i="27" s="1"/>
  <c r="P2632" i="27" s="1"/>
  <c r="P2633" i="27" s="1"/>
  <c r="P2634" i="27" s="1"/>
  <c r="P2635" i="27" s="1"/>
  <c r="P2636" i="27" s="1"/>
  <c r="P2637" i="27" s="1"/>
  <c r="P2638" i="27" s="1"/>
  <c r="P2639" i="27" s="1"/>
  <c r="P2640" i="27" s="1"/>
  <c r="P2641" i="27" s="1"/>
  <c r="P2642" i="27" s="1"/>
  <c r="P2643" i="27" s="1"/>
  <c r="P2644" i="27" s="1"/>
  <c r="P2645" i="27" s="1"/>
  <c r="P2646" i="27" s="1"/>
  <c r="P2647" i="27" s="1"/>
  <c r="P2648" i="27" s="1"/>
  <c r="P2649" i="27" s="1"/>
  <c r="P2650" i="27" s="1"/>
  <c r="P2651" i="27" s="1"/>
  <c r="P2652" i="27" s="1"/>
  <c r="P2653" i="27" s="1"/>
  <c r="P2654" i="27" s="1"/>
  <c r="P2655" i="27" s="1"/>
  <c r="P2656" i="27" s="1"/>
  <c r="P2657" i="27" s="1"/>
  <c r="P2658" i="27" s="1"/>
  <c r="P2659" i="27" s="1"/>
  <c r="P2660" i="27" s="1"/>
  <c r="P2661" i="27" s="1"/>
  <c r="P2662" i="27" s="1"/>
  <c r="P2663" i="27" s="1"/>
  <c r="P2664" i="27" s="1"/>
  <c r="P2665" i="27" s="1"/>
  <c r="P2666" i="27" s="1"/>
  <c r="P2667" i="27" s="1"/>
  <c r="P2668" i="27" s="1"/>
  <c r="P2669" i="27" s="1"/>
  <c r="P2670" i="27" s="1"/>
  <c r="P2671" i="27" s="1"/>
  <c r="P2672" i="27" s="1"/>
  <c r="P2673" i="27" s="1"/>
  <c r="P2674" i="27" s="1"/>
  <c r="P2675" i="27" s="1"/>
  <c r="P2676" i="27" s="1"/>
  <c r="P2677" i="27" s="1"/>
  <c r="P2678" i="27" s="1"/>
  <c r="P2679" i="27" s="1"/>
  <c r="P2680" i="27" s="1"/>
  <c r="P2681" i="27" s="1"/>
  <c r="P2682" i="27" s="1"/>
  <c r="P2683" i="27" s="1"/>
  <c r="P2684" i="27" s="1"/>
  <c r="P2685" i="27" s="1"/>
  <c r="P2686" i="27" s="1"/>
  <c r="P2687" i="27" s="1"/>
  <c r="P2688" i="27" s="1"/>
  <c r="P2689" i="27" s="1"/>
  <c r="P2690" i="27" s="1"/>
  <c r="P2691" i="27" s="1"/>
  <c r="P2692" i="27" s="1"/>
  <c r="P2693" i="27" s="1"/>
  <c r="P2694" i="27" s="1"/>
  <c r="P2695" i="27" s="1"/>
  <c r="P2696" i="27" s="1"/>
  <c r="P2697" i="27" s="1"/>
  <c r="P2698" i="27" s="1"/>
  <c r="P2699" i="27" s="1"/>
  <c r="P2700" i="27" s="1"/>
  <c r="P2701" i="27" s="1"/>
  <c r="P2702" i="27" s="1"/>
  <c r="P2703" i="27" s="1"/>
  <c r="P2704" i="27" s="1"/>
  <c r="P2705" i="27" s="1"/>
  <c r="P2706" i="27" s="1"/>
  <c r="P2707" i="27" s="1"/>
  <c r="P2708" i="27" s="1"/>
  <c r="P2709" i="27" s="1"/>
  <c r="P2710" i="27" s="1"/>
  <c r="P2711" i="27" s="1"/>
  <c r="P2712" i="27" s="1"/>
  <c r="P2713" i="27" s="1"/>
  <c r="P2714" i="27" s="1"/>
  <c r="P2715" i="27" s="1"/>
  <c r="P2716" i="27" s="1"/>
  <c r="P2717" i="27" s="1"/>
  <c r="P2718" i="27" s="1"/>
  <c r="P2719" i="27" s="1"/>
  <c r="P2720" i="27" s="1"/>
  <c r="P2721" i="27" s="1"/>
  <c r="P2722" i="27" s="1"/>
  <c r="P2723" i="27" s="1"/>
  <c r="P2724" i="27" s="1"/>
  <c r="P2725" i="27" s="1"/>
  <c r="P2726" i="27" s="1"/>
  <c r="P2727" i="27" s="1"/>
  <c r="P2728" i="27" s="1"/>
  <c r="P2729" i="27" s="1"/>
  <c r="P2730" i="27" s="1"/>
  <c r="P2731" i="27" s="1"/>
  <c r="P2732" i="27" s="1"/>
  <c r="P2733" i="27" s="1"/>
  <c r="P2734" i="27" s="1"/>
  <c r="P2735" i="27" s="1"/>
  <c r="P2736" i="27" s="1"/>
  <c r="P2737" i="27" s="1"/>
  <c r="P2738" i="27" s="1"/>
  <c r="P2739" i="27" s="1"/>
  <c r="P2740" i="27" s="1"/>
  <c r="P2741" i="27" s="1"/>
  <c r="P2742" i="27" s="1"/>
  <c r="P2743" i="27" s="1"/>
  <c r="P2744" i="27" s="1"/>
  <c r="P2745" i="27" s="1"/>
  <c r="P2746" i="27" s="1"/>
  <c r="P2747" i="27" s="1"/>
  <c r="P2748" i="27" s="1"/>
  <c r="P2749" i="27" s="1"/>
  <c r="P2750" i="27" s="1"/>
  <c r="P2751" i="27" s="1"/>
  <c r="P2752" i="27" s="1"/>
  <c r="P2753" i="27" s="1"/>
  <c r="P2754" i="27" s="1"/>
  <c r="P2755" i="27" s="1"/>
  <c r="P2756" i="27" s="1"/>
  <c r="P2757" i="27" s="1"/>
  <c r="P2758" i="27" s="1"/>
  <c r="P2759" i="27" s="1"/>
  <c r="P2760" i="27" s="1"/>
  <c r="P2761" i="27" s="1"/>
  <c r="P2762" i="27" s="1"/>
  <c r="P2763" i="27" s="1"/>
  <c r="P2764" i="27" s="1"/>
  <c r="P2765" i="27" s="1"/>
  <c r="P2766" i="27" s="1"/>
  <c r="P2767" i="27" s="1"/>
  <c r="P2768" i="27" s="1"/>
  <c r="P2769" i="27" s="1"/>
  <c r="P2770" i="27" s="1"/>
  <c r="P2771" i="27" s="1"/>
  <c r="P2772" i="27" s="1"/>
  <c r="P2773" i="27" s="1"/>
  <c r="P2774" i="27" s="1"/>
  <c r="P2775" i="27" s="1"/>
  <c r="P2776" i="27" s="1"/>
  <c r="P2777" i="27" s="1"/>
  <c r="P2778" i="27" s="1"/>
  <c r="P2779" i="27" s="1"/>
  <c r="P2780" i="27" s="1"/>
  <c r="P2781" i="27" s="1"/>
  <c r="P2782" i="27" s="1"/>
  <c r="P2783" i="27" s="1"/>
  <c r="P2784" i="27" s="1"/>
  <c r="P2785" i="27" s="1"/>
  <c r="P2786" i="27" s="1"/>
  <c r="P2787" i="27" s="1"/>
  <c r="P2788" i="27" s="1"/>
  <c r="P2789" i="27" s="1"/>
  <c r="P2790" i="27" s="1"/>
  <c r="P2791" i="27" s="1"/>
  <c r="P2792" i="27" s="1"/>
  <c r="P2793" i="27" s="1"/>
  <c r="P2794" i="27" s="1"/>
  <c r="P2795" i="27" s="1"/>
  <c r="P2796" i="27" s="1"/>
  <c r="P2797" i="27" s="1"/>
  <c r="P2798" i="27" s="1"/>
  <c r="P2799" i="27" s="1"/>
  <c r="P2800" i="27" s="1"/>
  <c r="P2801" i="27" s="1"/>
  <c r="P2802" i="27" s="1"/>
  <c r="P2803" i="27" s="1"/>
  <c r="P2804" i="27" s="1"/>
  <c r="P2805" i="27" s="1"/>
  <c r="P2806" i="27" s="1"/>
  <c r="P2807" i="27" s="1"/>
  <c r="P2808" i="27" s="1"/>
  <c r="P2809" i="27" s="1"/>
  <c r="P2810" i="27" s="1"/>
  <c r="P2811" i="27" s="1"/>
  <c r="P2812" i="27" s="1"/>
  <c r="P2813" i="27" s="1"/>
  <c r="P2814" i="27" s="1"/>
  <c r="P2815" i="27" s="1"/>
  <c r="P2816" i="27" s="1"/>
  <c r="P2817" i="27" s="1"/>
  <c r="P2818" i="27" s="1"/>
  <c r="P2819" i="27" s="1"/>
  <c r="P2820" i="27" s="1"/>
  <c r="P2821" i="27" s="1"/>
  <c r="P2822" i="27" s="1"/>
  <c r="P2823" i="27" s="1"/>
  <c r="P2824" i="27" s="1"/>
  <c r="P2825" i="27" s="1"/>
  <c r="P2826" i="27" s="1"/>
  <c r="P2827" i="27" s="1"/>
  <c r="P2828" i="27" s="1"/>
  <c r="P2829" i="27" s="1"/>
  <c r="P2830" i="27" s="1"/>
  <c r="P2831" i="27" s="1"/>
  <c r="P2832" i="27" s="1"/>
  <c r="P2833" i="27" s="1"/>
  <c r="P2834" i="27" s="1"/>
  <c r="P2835" i="27" s="1"/>
  <c r="P2836" i="27" s="1"/>
  <c r="P2837" i="27" s="1"/>
  <c r="P2838" i="27" s="1"/>
  <c r="P2839" i="27" s="1"/>
  <c r="P2840" i="27" s="1"/>
  <c r="P2841" i="27" s="1"/>
  <c r="P2842" i="27" s="1"/>
  <c r="P2843" i="27" s="1"/>
  <c r="P2844" i="27" s="1"/>
  <c r="P2845" i="27" s="1"/>
  <c r="P2846" i="27" s="1"/>
  <c r="P2847" i="27" s="1"/>
  <c r="P2848" i="27" s="1"/>
  <c r="P2849" i="27" s="1"/>
  <c r="P2850" i="27" s="1"/>
  <c r="F2371" i="27"/>
  <c r="F2372" i="27"/>
  <c r="F2373" i="27"/>
  <c r="F2374" i="27"/>
  <c r="F2375" i="27"/>
  <c r="F2376" i="27"/>
  <c r="E2541" i="27"/>
  <c r="E2542" i="27"/>
  <c r="E2543" i="27"/>
  <c r="E2544" i="27"/>
  <c r="E2545" i="27"/>
  <c r="E2546" i="27"/>
  <c r="E2547" i="27"/>
  <c r="E2548" i="27"/>
  <c r="E2549" i="27"/>
  <c r="E2550" i="27"/>
  <c r="E2551" i="27"/>
  <c r="E2552" i="27"/>
  <c r="E2553" i="27"/>
  <c r="E2554" i="27"/>
  <c r="E2555" i="27"/>
  <c r="E2556" i="27"/>
  <c r="E2557" i="27"/>
  <c r="E2558" i="27"/>
  <c r="E2559" i="27"/>
  <c r="E2560" i="27"/>
  <c r="E2561" i="27"/>
  <c r="E2562" i="27"/>
  <c r="E2563" i="27"/>
  <c r="E2564" i="27"/>
  <c r="E2565" i="27"/>
  <c r="E2566" i="27"/>
  <c r="E2567" i="27"/>
  <c r="E2568" i="27"/>
  <c r="E2569" i="27"/>
  <c r="E2570" i="27"/>
  <c r="E2571" i="27"/>
  <c r="E2572" i="27"/>
  <c r="E2573" i="27"/>
  <c r="E2574" i="27"/>
  <c r="E2575" i="27"/>
  <c r="E2576" i="27"/>
  <c r="E2577" i="27"/>
  <c r="E2578" i="27"/>
  <c r="E2579" i="27"/>
  <c r="E2580" i="27"/>
  <c r="E2581" i="27"/>
  <c r="E2582" i="27"/>
  <c r="E2583" i="27"/>
  <c r="E2584" i="27"/>
  <c r="E2585" i="27"/>
  <c r="E2586" i="27"/>
  <c r="E2587" i="27"/>
  <c r="E2588" i="27"/>
  <c r="E2589" i="27"/>
  <c r="E2590" i="27"/>
  <c r="E2591" i="27"/>
  <c r="E2592" i="27"/>
  <c r="E2593" i="27"/>
  <c r="E2594" i="27"/>
  <c r="E2595" i="27"/>
  <c r="E2596" i="27"/>
  <c r="E2597" i="27"/>
  <c r="E2598" i="27"/>
  <c r="E2599" i="27"/>
  <c r="E2600" i="27"/>
  <c r="E2601" i="27"/>
  <c r="E2602" i="27"/>
  <c r="E2603" i="27"/>
  <c r="E2604" i="27"/>
  <c r="E2605" i="27"/>
  <c r="E2606" i="27"/>
  <c r="E2607" i="27"/>
  <c r="E2608" i="27"/>
  <c r="E2609" i="27"/>
  <c r="E2610" i="27"/>
  <c r="E2611" i="27"/>
  <c r="E2612" i="27"/>
  <c r="E2613" i="27"/>
  <c r="E2614" i="27"/>
  <c r="E2615" i="27"/>
  <c r="E2616" i="27"/>
  <c r="E2617" i="27"/>
  <c r="E2618" i="27"/>
  <c r="E2619" i="27"/>
  <c r="E2620" i="27"/>
  <c r="E2621" i="27"/>
  <c r="E2622" i="27"/>
  <c r="E2623" i="27"/>
  <c r="E2624" i="27"/>
  <c r="E2625" i="27"/>
  <c r="E2626" i="27"/>
  <c r="E2627" i="27"/>
  <c r="E2628" i="27"/>
  <c r="E2629" i="27"/>
  <c r="E2630" i="27"/>
  <c r="E2631" i="27"/>
  <c r="E2632" i="27"/>
  <c r="E2633" i="27"/>
  <c r="E2634" i="27"/>
  <c r="E2635" i="27"/>
  <c r="E2636" i="27"/>
  <c r="E2637" i="27"/>
  <c r="E2638" i="27"/>
  <c r="E2639" i="27"/>
  <c r="E2640" i="27"/>
  <c r="E2641" i="27"/>
  <c r="E2642" i="27"/>
  <c r="E2643" i="27"/>
  <c r="E2644" i="27"/>
  <c r="E2645" i="27"/>
  <c r="E2646" i="27"/>
  <c r="E2647" i="27"/>
  <c r="E2648" i="27"/>
  <c r="E2649" i="27"/>
  <c r="E2650" i="27"/>
  <c r="E2651" i="27"/>
  <c r="E2652" i="27"/>
  <c r="E2653" i="27"/>
  <c r="E2654" i="27"/>
  <c r="E2655" i="27"/>
  <c r="E2656" i="27"/>
  <c r="E2657" i="27"/>
  <c r="E2658" i="27"/>
  <c r="E2659" i="27"/>
  <c r="E2660" i="27"/>
  <c r="E2661" i="27"/>
  <c r="E2662" i="27"/>
  <c r="E2663" i="27"/>
  <c r="E2664" i="27"/>
  <c r="E2665" i="27"/>
  <c r="E2666" i="27"/>
  <c r="E2667" i="27"/>
  <c r="E2668" i="27"/>
  <c r="E2669" i="27"/>
  <c r="E2670" i="27"/>
  <c r="E2671" i="27"/>
  <c r="E2672" i="27"/>
  <c r="E2673" i="27"/>
  <c r="E2674" i="27"/>
  <c r="E2675" i="27"/>
  <c r="E2676" i="27"/>
  <c r="E2677" i="27"/>
  <c r="E2678" i="27"/>
  <c r="E2679" i="27"/>
  <c r="E2680" i="27"/>
  <c r="E2681" i="27"/>
  <c r="E2682" i="27"/>
  <c r="E2683" i="27"/>
  <c r="E2684" i="27"/>
  <c r="E2685" i="27"/>
  <c r="E2686" i="27"/>
  <c r="E2687" i="27"/>
  <c r="E2688" i="27"/>
  <c r="E2689" i="27"/>
  <c r="E2690" i="27"/>
  <c r="E2691" i="27"/>
  <c r="E2692" i="27"/>
  <c r="E2693" i="27"/>
  <c r="E2694" i="27"/>
  <c r="E2695" i="27"/>
  <c r="E2696" i="27"/>
  <c r="E2697" i="27"/>
  <c r="E2698" i="27"/>
  <c r="E2699" i="27"/>
  <c r="E2700" i="27"/>
  <c r="E2701" i="27"/>
  <c r="E2702" i="27"/>
  <c r="E2703" i="27"/>
  <c r="E2704" i="27"/>
  <c r="E2705" i="27"/>
  <c r="E2706" i="27"/>
  <c r="E2707" i="27"/>
  <c r="E2708" i="27"/>
  <c r="E2709" i="27"/>
  <c r="E2710" i="27"/>
  <c r="E2711" i="27"/>
  <c r="E2712" i="27"/>
  <c r="E2713" i="27"/>
  <c r="E2714" i="27"/>
  <c r="E2715" i="27"/>
  <c r="E2716" i="27"/>
  <c r="E2717" i="27"/>
  <c r="E2718" i="27"/>
  <c r="E2719" i="27"/>
  <c r="E2720" i="27"/>
  <c r="E2721" i="27"/>
  <c r="E2722" i="27"/>
  <c r="E2723" i="27"/>
  <c r="E2724" i="27"/>
  <c r="E2725" i="27"/>
  <c r="E2726" i="27"/>
  <c r="E2727" i="27"/>
  <c r="E2728" i="27"/>
  <c r="E2729" i="27"/>
  <c r="E2730" i="27"/>
  <c r="E2731" i="27"/>
  <c r="E2732" i="27"/>
  <c r="E2733" i="27"/>
  <c r="E2734" i="27"/>
  <c r="E2735" i="27"/>
  <c r="E2736" i="27"/>
  <c r="E2737" i="27"/>
  <c r="E2738" i="27"/>
  <c r="E2739" i="27"/>
  <c r="E2740" i="27"/>
  <c r="E2741" i="27"/>
  <c r="E2742" i="27"/>
  <c r="E2743" i="27"/>
  <c r="E2744" i="27"/>
  <c r="E2745" i="27"/>
  <c r="E2746" i="27"/>
  <c r="E2747" i="27"/>
  <c r="E2748" i="27"/>
  <c r="E2749" i="27"/>
  <c r="E2750" i="27"/>
  <c r="E2751" i="27"/>
  <c r="E2752" i="27"/>
  <c r="E2753" i="27"/>
  <c r="E2754" i="27"/>
  <c r="E2755" i="27"/>
  <c r="E2756" i="27"/>
  <c r="E2757" i="27"/>
  <c r="E2758" i="27"/>
  <c r="E2759" i="27"/>
  <c r="E2760" i="27"/>
  <c r="E2761" i="27"/>
  <c r="E2762" i="27"/>
  <c r="E2763" i="27"/>
  <c r="E2764" i="27"/>
  <c r="E2765" i="27"/>
  <c r="E2766" i="27"/>
  <c r="E2767" i="27"/>
  <c r="E2768" i="27"/>
  <c r="E2769" i="27"/>
  <c r="E2770" i="27"/>
  <c r="E2771" i="27"/>
  <c r="E2772" i="27"/>
  <c r="E2773" i="27"/>
  <c r="E2774" i="27"/>
  <c r="E2775" i="27"/>
  <c r="E2776" i="27"/>
  <c r="E2777" i="27"/>
  <c r="E2778" i="27"/>
  <c r="E2779" i="27"/>
  <c r="E2780" i="27"/>
  <c r="E2781" i="27"/>
  <c r="E2782" i="27"/>
  <c r="E2783" i="27"/>
  <c r="E2784" i="27"/>
  <c r="E2785" i="27"/>
  <c r="E2786" i="27"/>
  <c r="E2787" i="27"/>
  <c r="E2788" i="27"/>
  <c r="E2789" i="27"/>
  <c r="E2790" i="27"/>
  <c r="E2791" i="27"/>
  <c r="E2792" i="27"/>
  <c r="E2793" i="27"/>
  <c r="E2794" i="27"/>
  <c r="E2795" i="27"/>
  <c r="E2796" i="27"/>
  <c r="E2797" i="27"/>
  <c r="E2798" i="27"/>
  <c r="E2799" i="27"/>
  <c r="E2800" i="27"/>
  <c r="E2801" i="27"/>
  <c r="E2802" i="27"/>
  <c r="E2803" i="27"/>
  <c r="E2804" i="27"/>
  <c r="E2805" i="27"/>
  <c r="E2806" i="27"/>
  <c r="E2807" i="27"/>
  <c r="E2808" i="27"/>
  <c r="E2809" i="27"/>
  <c r="E2810" i="27"/>
  <c r="E2811" i="27"/>
  <c r="E2812" i="27"/>
  <c r="E2813" i="27"/>
  <c r="E2814" i="27"/>
  <c r="E2815" i="27"/>
  <c r="E2816" i="27"/>
  <c r="E2817" i="27"/>
  <c r="E2818" i="27"/>
  <c r="E2819" i="27"/>
  <c r="E2820" i="27"/>
  <c r="E2821" i="27"/>
  <c r="E2822" i="27"/>
  <c r="E2823" i="27"/>
  <c r="E2824" i="27"/>
  <c r="E2825" i="27"/>
  <c r="E2826" i="27"/>
  <c r="E2827" i="27"/>
  <c r="E2828" i="27"/>
  <c r="E2829" i="27"/>
  <c r="E2830" i="27"/>
  <c r="E2831" i="27"/>
  <c r="E2832" i="27"/>
  <c r="E2833" i="27"/>
  <c r="E2834" i="27"/>
  <c r="E2835" i="27"/>
  <c r="E2836" i="27"/>
  <c r="E2837" i="27"/>
  <c r="E2838" i="27"/>
  <c r="E2839" i="27"/>
  <c r="E2840" i="27"/>
  <c r="E2841" i="27"/>
  <c r="E2842" i="27"/>
  <c r="E2843" i="27"/>
  <c r="E2844" i="27"/>
  <c r="E2845" i="27"/>
  <c r="E2846" i="27"/>
  <c r="E2847" i="27"/>
  <c r="E2848" i="27"/>
  <c r="E2849" i="27"/>
  <c r="E2850" i="27"/>
  <c r="B2851" i="27"/>
  <c r="C2851" i="27"/>
  <c r="F2851" i="27" s="1"/>
  <c r="P2851" i="27"/>
  <c r="B2852" i="27"/>
  <c r="C2852" i="27"/>
  <c r="P2852" i="27"/>
  <c r="B2853" i="27"/>
  <c r="C2853" i="27"/>
  <c r="F2853" i="27" s="1"/>
  <c r="P2853" i="27"/>
  <c r="B2854" i="27"/>
  <c r="C2854" i="27"/>
  <c r="P2854" i="27"/>
  <c r="B2855" i="27"/>
  <c r="C2855" i="27"/>
  <c r="F2855" i="27" s="1"/>
  <c r="P2855" i="27"/>
  <c r="B2856" i="27"/>
  <c r="C2856" i="27"/>
  <c r="F2856" i="27" s="1"/>
  <c r="P2856" i="27"/>
  <c r="B2857" i="27"/>
  <c r="C2857" i="27"/>
  <c r="P2857" i="27"/>
  <c r="B2858" i="27"/>
  <c r="C2858" i="27"/>
  <c r="P2858" i="27"/>
  <c r="B2859" i="27"/>
  <c r="C2859" i="27"/>
  <c r="P2859" i="27"/>
  <c r="B2860" i="27"/>
  <c r="C2860" i="27"/>
  <c r="P2860" i="27"/>
  <c r="B2861" i="27"/>
  <c r="C2861" i="27"/>
  <c r="P2861" i="27"/>
  <c r="B2862" i="27"/>
  <c r="C2862" i="27"/>
  <c r="P2862" i="27"/>
  <c r="B2863" i="27"/>
  <c r="C2863" i="27"/>
  <c r="P2863" i="27"/>
  <c r="B2864" i="27"/>
  <c r="C2864" i="27"/>
  <c r="P2864" i="27"/>
  <c r="B2865" i="27"/>
  <c r="C2865" i="27"/>
  <c r="P2865" i="27"/>
  <c r="B2866" i="27"/>
  <c r="C2866" i="27"/>
  <c r="P2866" i="27"/>
  <c r="B2867" i="27"/>
  <c r="C2867" i="27"/>
  <c r="P2867" i="27"/>
  <c r="B2868" i="27"/>
  <c r="C2868" i="27"/>
  <c r="P2868" i="27"/>
  <c r="B2869" i="27"/>
  <c r="C2869" i="27"/>
  <c r="P2869" i="27"/>
  <c r="B2870" i="27"/>
  <c r="C2870" i="27"/>
  <c r="P2870" i="27"/>
  <c r="B2871" i="27"/>
  <c r="C2871" i="27"/>
  <c r="P2871" i="27"/>
  <c r="B2872" i="27"/>
  <c r="C2872" i="27"/>
  <c r="P2872" i="27"/>
  <c r="B2873" i="27"/>
  <c r="C2873" i="27"/>
  <c r="P2873" i="27"/>
  <c r="B2874" i="27"/>
  <c r="C2874" i="27"/>
  <c r="P2874" i="27"/>
  <c r="B2875" i="27"/>
  <c r="C2875" i="27"/>
  <c r="P2875" i="27"/>
  <c r="B2876" i="27"/>
  <c r="C2876" i="27"/>
  <c r="P2876" i="27"/>
  <c r="B2877" i="27"/>
  <c r="C2877" i="27"/>
  <c r="P2877" i="27"/>
  <c r="B2878" i="27"/>
  <c r="C2878" i="27"/>
  <c r="P2878" i="27"/>
  <c r="B2879" i="27"/>
  <c r="C2879" i="27"/>
  <c r="P2879" i="27"/>
  <c r="B2880" i="27"/>
  <c r="C2880" i="27"/>
  <c r="P2880" i="27"/>
  <c r="B2881" i="27"/>
  <c r="C2881" i="27"/>
  <c r="P2881" i="27"/>
  <c r="B2882" i="27"/>
  <c r="C2882" i="27"/>
  <c r="P2882" i="27"/>
  <c r="B2883" i="27"/>
  <c r="C2883" i="27"/>
  <c r="P2883" i="27"/>
  <c r="B2884" i="27"/>
  <c r="C2884" i="27"/>
  <c r="P2884" i="27"/>
  <c r="B2885" i="27"/>
  <c r="C2885" i="27"/>
  <c r="P2885" i="27"/>
  <c r="B2886" i="27"/>
  <c r="C2886" i="27"/>
  <c r="P2886" i="27"/>
  <c r="B2887" i="27"/>
  <c r="C2887" i="27"/>
  <c r="P2887" i="27"/>
  <c r="B2888" i="27"/>
  <c r="C2888" i="27"/>
  <c r="P2888" i="27"/>
  <c r="B2889" i="27"/>
  <c r="C2889" i="27"/>
  <c r="P2889" i="27"/>
  <c r="B2890" i="27"/>
  <c r="C2890" i="27"/>
  <c r="P2890" i="27"/>
  <c r="B2891" i="27"/>
  <c r="C2891" i="27"/>
  <c r="P2891" i="27"/>
  <c r="B2892" i="27"/>
  <c r="C2892" i="27"/>
  <c r="P2892" i="27"/>
  <c r="B2893" i="27"/>
  <c r="C2893" i="27"/>
  <c r="P2893" i="27"/>
  <c r="B2894" i="27"/>
  <c r="C2894" i="27"/>
  <c r="P2894" i="27"/>
  <c r="B2895" i="27"/>
  <c r="C2895" i="27"/>
  <c r="P2895" i="27"/>
  <c r="B2896" i="27"/>
  <c r="C2896" i="27"/>
  <c r="P2896" i="27"/>
  <c r="B2897" i="27"/>
  <c r="C2897" i="27"/>
  <c r="P2897" i="27"/>
  <c r="B2898" i="27"/>
  <c r="C2898" i="27"/>
  <c r="P2898" i="27"/>
  <c r="B2899" i="27"/>
  <c r="C2899" i="27"/>
  <c r="P2899" i="27"/>
  <c r="B2900" i="27"/>
  <c r="C2900" i="27"/>
  <c r="P2900" i="27"/>
  <c r="B2901" i="27"/>
  <c r="C2901" i="27"/>
  <c r="P2901" i="27"/>
  <c r="B2902" i="27"/>
  <c r="C2902" i="27"/>
  <c r="P2902" i="27"/>
  <c r="B2903" i="27"/>
  <c r="C2903" i="27"/>
  <c r="P2903" i="27"/>
  <c r="B2904" i="27"/>
  <c r="C2904" i="27"/>
  <c r="P2904" i="27"/>
  <c r="B2905" i="27"/>
  <c r="C2905" i="27"/>
  <c r="P2905" i="27"/>
  <c r="B2906" i="27"/>
  <c r="C2906" i="27"/>
  <c r="P2906" i="27"/>
  <c r="B2907" i="27"/>
  <c r="C2907" i="27"/>
  <c r="P2907" i="27"/>
  <c r="B2908" i="27"/>
  <c r="C2908" i="27"/>
  <c r="P2908" i="27"/>
  <c r="B2909" i="27"/>
  <c r="C2909" i="27"/>
  <c r="P2909" i="27"/>
  <c r="B2910" i="27"/>
  <c r="C2910" i="27"/>
  <c r="P2910" i="27"/>
  <c r="B2911" i="27"/>
  <c r="C2911" i="27"/>
  <c r="P2911" i="27"/>
  <c r="B2912" i="27"/>
  <c r="C2912" i="27"/>
  <c r="P2912" i="27"/>
  <c r="B2913" i="27"/>
  <c r="C2913" i="27"/>
  <c r="P2913" i="27"/>
  <c r="B2914" i="27"/>
  <c r="C2914" i="27"/>
  <c r="P2914" i="27"/>
  <c r="B2915" i="27"/>
  <c r="C2915" i="27"/>
  <c r="P2915" i="27"/>
  <c r="B2916" i="27"/>
  <c r="C2916" i="27"/>
  <c r="P2916" i="27"/>
  <c r="B2917" i="27"/>
  <c r="C2917" i="27"/>
  <c r="P2917" i="27"/>
  <c r="B2918" i="27"/>
  <c r="C2918" i="27"/>
  <c r="P2918" i="27"/>
  <c r="B2919" i="27"/>
  <c r="C2919" i="27"/>
  <c r="P2919" i="27"/>
  <c r="B2920" i="27"/>
  <c r="C2920" i="27"/>
  <c r="P2920" i="27"/>
  <c r="B2921" i="27"/>
  <c r="C2921" i="27"/>
  <c r="P2921" i="27"/>
  <c r="B2922" i="27"/>
  <c r="C2922" i="27"/>
  <c r="P2922" i="27"/>
  <c r="B2923" i="27"/>
  <c r="C2923" i="27"/>
  <c r="P2923" i="27"/>
  <c r="B2924" i="27"/>
  <c r="C2924" i="27"/>
  <c r="P2924" i="27"/>
  <c r="B2925" i="27"/>
  <c r="C2925" i="27"/>
  <c r="P2925" i="27"/>
  <c r="B2926" i="27"/>
  <c r="C2926" i="27"/>
  <c r="P2926" i="27"/>
  <c r="B2927" i="27"/>
  <c r="C2927" i="27"/>
  <c r="P2927" i="27"/>
  <c r="B2928" i="27"/>
  <c r="C2928" i="27"/>
  <c r="P2928" i="27"/>
  <c r="B2929" i="27"/>
  <c r="C2929" i="27"/>
  <c r="P2929" i="27"/>
  <c r="B2930" i="27"/>
  <c r="C2930" i="27"/>
  <c r="P2930" i="27"/>
  <c r="B2931" i="27"/>
  <c r="C2931" i="27"/>
  <c r="P2931" i="27"/>
  <c r="B2932" i="27"/>
  <c r="C2932" i="27"/>
  <c r="P2932" i="27"/>
  <c r="B2933" i="27"/>
  <c r="C2933" i="27"/>
  <c r="P2933" i="27"/>
  <c r="B2934" i="27"/>
  <c r="C2934" i="27"/>
  <c r="P2934" i="27"/>
  <c r="B2935" i="27"/>
  <c r="C2935" i="27"/>
  <c r="P2935" i="27"/>
  <c r="B2936" i="27"/>
  <c r="C2936" i="27"/>
  <c r="P2936" i="27"/>
  <c r="B2937" i="27"/>
  <c r="C2937" i="27"/>
  <c r="P2937" i="27"/>
  <c r="B2938" i="27"/>
  <c r="C2938" i="27"/>
  <c r="P2938" i="27"/>
  <c r="B2939" i="27"/>
  <c r="C2939" i="27"/>
  <c r="P2939" i="27"/>
  <c r="B2940" i="27"/>
  <c r="C2940" i="27"/>
  <c r="P2940" i="27"/>
  <c r="B2941" i="27"/>
  <c r="C2941" i="27"/>
  <c r="P2941" i="27"/>
  <c r="B2942" i="27"/>
  <c r="C2942" i="27"/>
  <c r="P2942" i="27"/>
  <c r="B2943" i="27"/>
  <c r="C2943" i="27"/>
  <c r="P2943" i="27"/>
  <c r="B2944" i="27"/>
  <c r="C2944" i="27"/>
  <c r="P2944" i="27"/>
  <c r="B2945" i="27"/>
  <c r="C2945" i="27"/>
  <c r="P2945" i="27"/>
  <c r="B2946" i="27"/>
  <c r="C2946" i="27"/>
  <c r="P2946" i="27"/>
  <c r="B2947" i="27"/>
  <c r="C2947" i="27"/>
  <c r="P2947" i="27"/>
  <c r="B2948" i="27"/>
  <c r="C2948" i="27"/>
  <c r="P2948" i="27"/>
  <c r="B2949" i="27"/>
  <c r="C2949" i="27"/>
  <c r="P2949" i="27"/>
  <c r="B2950" i="27"/>
  <c r="C2950" i="27"/>
  <c r="P2950" i="27"/>
  <c r="B2951" i="27"/>
  <c r="C2951" i="27"/>
  <c r="P2951" i="27"/>
  <c r="B2952" i="27"/>
  <c r="C2952" i="27"/>
  <c r="P2952" i="27"/>
  <c r="B2953" i="27"/>
  <c r="C2953" i="27"/>
  <c r="P2953" i="27"/>
  <c r="B2954" i="27"/>
  <c r="C2954" i="27"/>
  <c r="P2954" i="27"/>
  <c r="B2955" i="27"/>
  <c r="C2955" i="27"/>
  <c r="P2955" i="27"/>
  <c r="B2956" i="27"/>
  <c r="C2956" i="27"/>
  <c r="P2956" i="27"/>
  <c r="B2957" i="27"/>
  <c r="C2957" i="27"/>
  <c r="P2957" i="27"/>
  <c r="B2958" i="27"/>
  <c r="C2958" i="27"/>
  <c r="P2958" i="27"/>
  <c r="B2959" i="27"/>
  <c r="C2959" i="27"/>
  <c r="P2959" i="27"/>
  <c r="B2960" i="27"/>
  <c r="C2960" i="27"/>
  <c r="P2960" i="27"/>
  <c r="B2961" i="27"/>
  <c r="C2961" i="27"/>
  <c r="P2961" i="27"/>
  <c r="B2962" i="27"/>
  <c r="C2962" i="27"/>
  <c r="P2962" i="27"/>
  <c r="B2963" i="27"/>
  <c r="C2963" i="27"/>
  <c r="P2963" i="27"/>
  <c r="B2964" i="27"/>
  <c r="C2964" i="27"/>
  <c r="P2964" i="27"/>
  <c r="B2965" i="27"/>
  <c r="C2965" i="27"/>
  <c r="P2965" i="27"/>
  <c r="B2966" i="27"/>
  <c r="C2966" i="27"/>
  <c r="P2966" i="27"/>
  <c r="B2967" i="27"/>
  <c r="C2967" i="27"/>
  <c r="P2967" i="27"/>
  <c r="B2968" i="27"/>
  <c r="C2968" i="27"/>
  <c r="P2968" i="27"/>
  <c r="B2969" i="27"/>
  <c r="C2969" i="27"/>
  <c r="P2969" i="27"/>
  <c r="B2970" i="27"/>
  <c r="C2970" i="27"/>
  <c r="P2970" i="27"/>
  <c r="B2971" i="27"/>
  <c r="C2971" i="27"/>
  <c r="P2971" i="27"/>
  <c r="B2972" i="27"/>
  <c r="C2972" i="27"/>
  <c r="P2972" i="27"/>
  <c r="B2973" i="27"/>
  <c r="C2973" i="27"/>
  <c r="P2973" i="27"/>
  <c r="B2974" i="27"/>
  <c r="C2974" i="27"/>
  <c r="P2974" i="27"/>
  <c r="B2975" i="27"/>
  <c r="C2975" i="27"/>
  <c r="P2975" i="27"/>
  <c r="B2976" i="27"/>
  <c r="C2976" i="27"/>
  <c r="P2976" i="27"/>
  <c r="B2977" i="27"/>
  <c r="C2977" i="27"/>
  <c r="P2977" i="27"/>
  <c r="B2978" i="27"/>
  <c r="C2978" i="27"/>
  <c r="P2978" i="27"/>
  <c r="B2979" i="27"/>
  <c r="C2979" i="27"/>
  <c r="P2979" i="27"/>
  <c r="B2980" i="27"/>
  <c r="C2980" i="27"/>
  <c r="P2980" i="27"/>
  <c r="B2981" i="27"/>
  <c r="C2981" i="27"/>
  <c r="P2981" i="27"/>
  <c r="B2982" i="27"/>
  <c r="C2982" i="27"/>
  <c r="P2982" i="27"/>
  <c r="B2983" i="27"/>
  <c r="C2983" i="27"/>
  <c r="P2983" i="27"/>
  <c r="B2984" i="27"/>
  <c r="C2984" i="27"/>
  <c r="P2984" i="27"/>
  <c r="B2985" i="27"/>
  <c r="C2985" i="27"/>
  <c r="P2985" i="27"/>
  <c r="B2986" i="27"/>
  <c r="C2986" i="27"/>
  <c r="P2986" i="27"/>
  <c r="B2987" i="27"/>
  <c r="C2987" i="27"/>
  <c r="P2987" i="27"/>
  <c r="B2988" i="27"/>
  <c r="C2988" i="27"/>
  <c r="P2988" i="27"/>
  <c r="B2989" i="27"/>
  <c r="C2989" i="27"/>
  <c r="P2989" i="27"/>
  <c r="B2990" i="27"/>
  <c r="C2990" i="27"/>
  <c r="P2990" i="27"/>
  <c r="B2991" i="27"/>
  <c r="C2991" i="27"/>
  <c r="P2991" i="27"/>
  <c r="B2992" i="27"/>
  <c r="C2992" i="27"/>
  <c r="P2992" i="27"/>
  <c r="B2993" i="27"/>
  <c r="C2993" i="27"/>
  <c r="P2993" i="27"/>
  <c r="B2994" i="27"/>
  <c r="C2994" i="27"/>
  <c r="P2994" i="27"/>
  <c r="B2995" i="27"/>
  <c r="C2995" i="27"/>
  <c r="P2995" i="27"/>
  <c r="B2996" i="27"/>
  <c r="C2996" i="27"/>
  <c r="P2996" i="27"/>
  <c r="B2997" i="27"/>
  <c r="C2997" i="27"/>
  <c r="P2997" i="27"/>
  <c r="B2998" i="27"/>
  <c r="C2998" i="27"/>
  <c r="P2998" i="27"/>
  <c r="B2999" i="27"/>
  <c r="C2999" i="27"/>
  <c r="P2999" i="27"/>
  <c r="B3000" i="27"/>
  <c r="C3000" i="27"/>
  <c r="P3000" i="27"/>
  <c r="B3001" i="27"/>
  <c r="C3001" i="27"/>
  <c r="P3001" i="27"/>
  <c r="B3002" i="27"/>
  <c r="C3002" i="27"/>
  <c r="P3002" i="27"/>
  <c r="B3003" i="27"/>
  <c r="C3003" i="27"/>
  <c r="P3003" i="27"/>
  <c r="B3004" i="27"/>
  <c r="C3004" i="27"/>
  <c r="P3004" i="27"/>
  <c r="B3005" i="27"/>
  <c r="C3005" i="27"/>
  <c r="P3005" i="27"/>
  <c r="B3006" i="27"/>
  <c r="C3006" i="27"/>
  <c r="P3006" i="27"/>
  <c r="B3007" i="27"/>
  <c r="C3007" i="27"/>
  <c r="P3007" i="27"/>
  <c r="B3008" i="27"/>
  <c r="C3008" i="27"/>
  <c r="P3008" i="27"/>
  <c r="B3009" i="27"/>
  <c r="C3009" i="27"/>
  <c r="P3009" i="27"/>
  <c r="B3010" i="27"/>
  <c r="C3010" i="27"/>
  <c r="P3010" i="27"/>
  <c r="B3011" i="27"/>
  <c r="C3011" i="27"/>
  <c r="P3011" i="27"/>
  <c r="B3012" i="27"/>
  <c r="C3012" i="27"/>
  <c r="P3012" i="27"/>
  <c r="B3013" i="27"/>
  <c r="C3013" i="27"/>
  <c r="P3013" i="27"/>
  <c r="B3014" i="27"/>
  <c r="C3014" i="27"/>
  <c r="P3014" i="27"/>
  <c r="B3015" i="27"/>
  <c r="C3015" i="27"/>
  <c r="P3015" i="27"/>
  <c r="B3016" i="27"/>
  <c r="C3016" i="27"/>
  <c r="P3016" i="27"/>
  <c r="B3017" i="27"/>
  <c r="C3017" i="27"/>
  <c r="P3017" i="27"/>
  <c r="B3018" i="27"/>
  <c r="C3018" i="27"/>
  <c r="P3018" i="27"/>
  <c r="B3019" i="27"/>
  <c r="C3019" i="27"/>
  <c r="P3019" i="27"/>
  <c r="B3020" i="27"/>
  <c r="C3020" i="27"/>
  <c r="P3020" i="27"/>
  <c r="B3021" i="27"/>
  <c r="C3021" i="27"/>
  <c r="P3021" i="27"/>
  <c r="B3022" i="27"/>
  <c r="C3022" i="27"/>
  <c r="P3022" i="27"/>
  <c r="B3023" i="27"/>
  <c r="C3023" i="27"/>
  <c r="P3023" i="27"/>
  <c r="B3024" i="27"/>
  <c r="C3024" i="27"/>
  <c r="P3024" i="27"/>
  <c r="B3025" i="27"/>
  <c r="C3025" i="27"/>
  <c r="P3025" i="27"/>
  <c r="B3026" i="27"/>
  <c r="C3026" i="27"/>
  <c r="P3026" i="27"/>
  <c r="B3027" i="27"/>
  <c r="C3027" i="27"/>
  <c r="P3027" i="27"/>
  <c r="B3028" i="27"/>
  <c r="C3028" i="27"/>
  <c r="P3028" i="27"/>
  <c r="B3029" i="27"/>
  <c r="C3029" i="27"/>
  <c r="P3029" i="27"/>
  <c r="B3030" i="27"/>
  <c r="C3030" i="27"/>
  <c r="P3030" i="27"/>
  <c r="B3031" i="27"/>
  <c r="C3031" i="27"/>
  <c r="P3031" i="27"/>
  <c r="B3032" i="27"/>
  <c r="C3032" i="27"/>
  <c r="P3032" i="27"/>
  <c r="B3033" i="27"/>
  <c r="C3033" i="27"/>
  <c r="P3033" i="27"/>
  <c r="B3034" i="27"/>
  <c r="C3034" i="27"/>
  <c r="P3034" i="27"/>
  <c r="B3035" i="27"/>
  <c r="C3035" i="27"/>
  <c r="P3035" i="27"/>
  <c r="B3036" i="27"/>
  <c r="C3036" i="27"/>
  <c r="P3036" i="27"/>
  <c r="B3037" i="27"/>
  <c r="C3037" i="27"/>
  <c r="P3037" i="27"/>
  <c r="B3038" i="27"/>
  <c r="C3038" i="27"/>
  <c r="P3038" i="27"/>
  <c r="B3039" i="27"/>
  <c r="C3039" i="27"/>
  <c r="P3039" i="27"/>
  <c r="B3040" i="27"/>
  <c r="C3040" i="27"/>
  <c r="P3040" i="27"/>
  <c r="B3041" i="27"/>
  <c r="C3041" i="27"/>
  <c r="P3041" i="27"/>
  <c r="B3042" i="27"/>
  <c r="C3042" i="27"/>
  <c r="P3042" i="27"/>
  <c r="B3043" i="27"/>
  <c r="C3043" i="27"/>
  <c r="P3043" i="27"/>
  <c r="B3044" i="27"/>
  <c r="C3044" i="27"/>
  <c r="P3044" i="27"/>
  <c r="B3045" i="27"/>
  <c r="C3045" i="27"/>
  <c r="P3045" i="27"/>
  <c r="B3046" i="27"/>
  <c r="C3046" i="27"/>
  <c r="P3046" i="27"/>
  <c r="B3047" i="27"/>
  <c r="C3047" i="27"/>
  <c r="P3047" i="27"/>
  <c r="B3048" i="27"/>
  <c r="C3048" i="27"/>
  <c r="P3048" i="27"/>
  <c r="B3049" i="27"/>
  <c r="C3049" i="27"/>
  <c r="P3049" i="27"/>
  <c r="B3050" i="27"/>
  <c r="C3050" i="27"/>
  <c r="P3050" i="27"/>
  <c r="B3051" i="27"/>
  <c r="C3051" i="27"/>
  <c r="P3051" i="27"/>
  <c r="B3052" i="27"/>
  <c r="C3052" i="27"/>
  <c r="P3052" i="27"/>
  <c r="B3053" i="27"/>
  <c r="C3053" i="27"/>
  <c r="P3053" i="27"/>
  <c r="B3054" i="27"/>
  <c r="C3054" i="27"/>
  <c r="P3054" i="27"/>
  <c r="B3055" i="27"/>
  <c r="C3055" i="27"/>
  <c r="P3055" i="27"/>
  <c r="B3056" i="27"/>
  <c r="C3056" i="27"/>
  <c r="P3056" i="27"/>
  <c r="B3057" i="27"/>
  <c r="C3057" i="27"/>
  <c r="P3057" i="27"/>
  <c r="B3058" i="27"/>
  <c r="C3058" i="27"/>
  <c r="P3058" i="27"/>
  <c r="B3059" i="27"/>
  <c r="C3059" i="27"/>
  <c r="P3059" i="27"/>
  <c r="B3060" i="27"/>
  <c r="C3060" i="27"/>
  <c r="P3060" i="27"/>
  <c r="B3061" i="27"/>
  <c r="C3061" i="27"/>
  <c r="P3061" i="27"/>
  <c r="B3062" i="27"/>
  <c r="C3062" i="27"/>
  <c r="P3062" i="27"/>
  <c r="B3063" i="27"/>
  <c r="C3063" i="27"/>
  <c r="P3063" i="27"/>
  <c r="B3064" i="27"/>
  <c r="C3064" i="27"/>
  <c r="P3064" i="27"/>
  <c r="B3065" i="27"/>
  <c r="C3065" i="27"/>
  <c r="P3065" i="27"/>
  <c r="B3066" i="27"/>
  <c r="C3066" i="27"/>
  <c r="P3066" i="27"/>
  <c r="B3067" i="27"/>
  <c r="C3067" i="27"/>
  <c r="P3067" i="27"/>
  <c r="B3068" i="27"/>
  <c r="C3068" i="27"/>
  <c r="P3068" i="27"/>
  <c r="B3069" i="27"/>
  <c r="C3069" i="27"/>
  <c r="P3069" i="27"/>
  <c r="B3070" i="27"/>
  <c r="C3070" i="27"/>
  <c r="P3070" i="27"/>
  <c r="B3071" i="27"/>
  <c r="C3071" i="27"/>
  <c r="P3071" i="27"/>
  <c r="B3072" i="27"/>
  <c r="C3072" i="27"/>
  <c r="P3072" i="27"/>
  <c r="B3073" i="27"/>
  <c r="C3073" i="27"/>
  <c r="P3073" i="27"/>
  <c r="B3074" i="27"/>
  <c r="C3074" i="27"/>
  <c r="P3074" i="27"/>
  <c r="B3075" i="27"/>
  <c r="C3075" i="27"/>
  <c r="P3075" i="27"/>
  <c r="B3076" i="27"/>
  <c r="C3076" i="27"/>
  <c r="P3076" i="27"/>
  <c r="B3077" i="27"/>
  <c r="C3077" i="27"/>
  <c r="P3077" i="27"/>
  <c r="B3078" i="27"/>
  <c r="C3078" i="27"/>
  <c r="P3078" i="27"/>
  <c r="B3079" i="27"/>
  <c r="C3079" i="27"/>
  <c r="P3079" i="27"/>
  <c r="B3080" i="27"/>
  <c r="C3080" i="27"/>
  <c r="P3080" i="27"/>
  <c r="B3081" i="27"/>
  <c r="C3081" i="27"/>
  <c r="P3081" i="27"/>
  <c r="B3082" i="27"/>
  <c r="C3082" i="27"/>
  <c r="P3082" i="27"/>
  <c r="B3083" i="27"/>
  <c r="C3083" i="27"/>
  <c r="P3083" i="27"/>
  <c r="B3084" i="27"/>
  <c r="C3084" i="27"/>
  <c r="P3084" i="27"/>
  <c r="B3085" i="27"/>
  <c r="C3085" i="27"/>
  <c r="P3085" i="27"/>
  <c r="B3086" i="27"/>
  <c r="C3086" i="27"/>
  <c r="P3086" i="27"/>
  <c r="B3087" i="27"/>
  <c r="C3087" i="27"/>
  <c r="P3087" i="27"/>
  <c r="B3088" i="27"/>
  <c r="C3088" i="27"/>
  <c r="P3088" i="27"/>
  <c r="B3089" i="27"/>
  <c r="C3089" i="27"/>
  <c r="P3089" i="27"/>
  <c r="B3090" i="27"/>
  <c r="C3090" i="27"/>
  <c r="P3090" i="27"/>
  <c r="B3091" i="27"/>
  <c r="C3091" i="27"/>
  <c r="P3091" i="27"/>
  <c r="B3092" i="27"/>
  <c r="C3092" i="27"/>
  <c r="P3092" i="27"/>
  <c r="B3093" i="27"/>
  <c r="C3093" i="27"/>
  <c r="P3093" i="27"/>
  <c r="B3094" i="27"/>
  <c r="C3094" i="27"/>
  <c r="P3094" i="27"/>
  <c r="B3095" i="27"/>
  <c r="C3095" i="27"/>
  <c r="P3095" i="27"/>
  <c r="B3096" i="27"/>
  <c r="C3096" i="27"/>
  <c r="P3096" i="27"/>
  <c r="B3097" i="27"/>
  <c r="C3097" i="27"/>
  <c r="P3097" i="27"/>
  <c r="B3098" i="27"/>
  <c r="C3098" i="27"/>
  <c r="P3098" i="27"/>
  <c r="B3099" i="27"/>
  <c r="C3099" i="27"/>
  <c r="P3099" i="27"/>
  <c r="B3100" i="27"/>
  <c r="C3100" i="27"/>
  <c r="P3100" i="27"/>
  <c r="B3101" i="27"/>
  <c r="C3101" i="27"/>
  <c r="P3101" i="27"/>
  <c r="B3102" i="27"/>
  <c r="C3102" i="27"/>
  <c r="P3102" i="27"/>
  <c r="B3103" i="27"/>
  <c r="C3103" i="27"/>
  <c r="P3103" i="27"/>
  <c r="B3104" i="27"/>
  <c r="C3104" i="27"/>
  <c r="P3104" i="27"/>
  <c r="B3105" i="27"/>
  <c r="C3105" i="27"/>
  <c r="P3105" i="27"/>
  <c r="B3106" i="27"/>
  <c r="C3106" i="27"/>
  <c r="P3106" i="27"/>
  <c r="B3107" i="27"/>
  <c r="C3107" i="27"/>
  <c r="P3107" i="27"/>
  <c r="B3108" i="27"/>
  <c r="C3108" i="27"/>
  <c r="P3108" i="27"/>
  <c r="B3109" i="27"/>
  <c r="C3109" i="27"/>
  <c r="P3109" i="27"/>
  <c r="B3110" i="27"/>
  <c r="C3110" i="27"/>
  <c r="P3110" i="27"/>
  <c r="B3111" i="27"/>
  <c r="C3111" i="27"/>
  <c r="P3111" i="27"/>
  <c r="B3112" i="27"/>
  <c r="C3112" i="27"/>
  <c r="P3112" i="27"/>
  <c r="B3113" i="27"/>
  <c r="C3113" i="27"/>
  <c r="P3113" i="27"/>
  <c r="B3114" i="27"/>
  <c r="C3114" i="27"/>
  <c r="P3114" i="27"/>
  <c r="B3115" i="27"/>
  <c r="C3115" i="27"/>
  <c r="P3115" i="27"/>
  <c r="B3116" i="27"/>
  <c r="C3116" i="27"/>
  <c r="P3116" i="27"/>
  <c r="B3117" i="27"/>
  <c r="C3117" i="27"/>
  <c r="P3117" i="27"/>
  <c r="B3118" i="27"/>
  <c r="C3118" i="27"/>
  <c r="P3118" i="27"/>
  <c r="B3119" i="27"/>
  <c r="C3119" i="27"/>
  <c r="P3119" i="27"/>
  <c r="B3120" i="27"/>
  <c r="C3120" i="27"/>
  <c r="P3120" i="27"/>
  <c r="B3121" i="27"/>
  <c r="C3121" i="27"/>
  <c r="P3121" i="27"/>
  <c r="B3122" i="27"/>
  <c r="C3122" i="27"/>
  <c r="P3122" i="27"/>
  <c r="B3123" i="27"/>
  <c r="C3123" i="27"/>
  <c r="P3123" i="27"/>
  <c r="B3124" i="27"/>
  <c r="C3124" i="27"/>
  <c r="P3124" i="27"/>
  <c r="B3125" i="27"/>
  <c r="C3125" i="27"/>
  <c r="P3125" i="27"/>
  <c r="B3126" i="27"/>
  <c r="C3126" i="27"/>
  <c r="P3126" i="27"/>
  <c r="B3127" i="27"/>
  <c r="C3127" i="27"/>
  <c r="P3127" i="27"/>
  <c r="B3128" i="27"/>
  <c r="C3128" i="27"/>
  <c r="P3128" i="27"/>
  <c r="B3129" i="27"/>
  <c r="C3129" i="27"/>
  <c r="P3129" i="27"/>
  <c r="B3130" i="27"/>
  <c r="C3130" i="27"/>
  <c r="P3130" i="27"/>
  <c r="B3131" i="27"/>
  <c r="C3131" i="27"/>
  <c r="P3131" i="27"/>
  <c r="B3132" i="27"/>
  <c r="C3132" i="27"/>
  <c r="P3132" i="27"/>
  <c r="B3133" i="27"/>
  <c r="C3133" i="27"/>
  <c r="P3133" i="27"/>
  <c r="B3134" i="27"/>
  <c r="C3134" i="27"/>
  <c r="P3134" i="27"/>
  <c r="B3135" i="27"/>
  <c r="C3135" i="27"/>
  <c r="P3135" i="27"/>
  <c r="B3136" i="27"/>
  <c r="C3136" i="27"/>
  <c r="P3136" i="27"/>
  <c r="B3137" i="27"/>
  <c r="C3137" i="27"/>
  <c r="P3137" i="27"/>
  <c r="B3138" i="27"/>
  <c r="C3138" i="27"/>
  <c r="P3138" i="27"/>
  <c r="B3139" i="27"/>
  <c r="C3139" i="27"/>
  <c r="P3139" i="27"/>
  <c r="B3140" i="27"/>
  <c r="C3140" i="27"/>
  <c r="P3140" i="27"/>
  <c r="B3141" i="27"/>
  <c r="C3141" i="27"/>
  <c r="P3141" i="27"/>
  <c r="B3142" i="27"/>
  <c r="C3142" i="27"/>
  <c r="P3142" i="27"/>
  <c r="B3143" i="27"/>
  <c r="C3143" i="27"/>
  <c r="P3143" i="27"/>
  <c r="B3144" i="27"/>
  <c r="C3144" i="27"/>
  <c r="P3144" i="27"/>
  <c r="B3145" i="27"/>
  <c r="C3145" i="27"/>
  <c r="P3145" i="27"/>
  <c r="B3146" i="27"/>
  <c r="C3146" i="27"/>
  <c r="P3146" i="27"/>
  <c r="B3147" i="27"/>
  <c r="C3147" i="27"/>
  <c r="P3147" i="27"/>
  <c r="B3148" i="27"/>
  <c r="C3148" i="27"/>
  <c r="P3148" i="27"/>
  <c r="B3149" i="27"/>
  <c r="C3149" i="27"/>
  <c r="P3149" i="27"/>
  <c r="B3150" i="27"/>
  <c r="C3150" i="27"/>
  <c r="P3150" i="27"/>
  <c r="B3151" i="27"/>
  <c r="C3151" i="27"/>
  <c r="P3151" i="27"/>
  <c r="B3152" i="27"/>
  <c r="C3152" i="27"/>
  <c r="P3152" i="27"/>
  <c r="B3153" i="27"/>
  <c r="C3153" i="27"/>
  <c r="P3153" i="27"/>
  <c r="B3154" i="27"/>
  <c r="C3154" i="27"/>
  <c r="P3154" i="27"/>
  <c r="B3155" i="27"/>
  <c r="C3155" i="27"/>
  <c r="P3155" i="27"/>
  <c r="B3156" i="27"/>
  <c r="C3156" i="27"/>
  <c r="P3156" i="27"/>
  <c r="B3157" i="27"/>
  <c r="C3157" i="27"/>
  <c r="P3157" i="27"/>
  <c r="B3158" i="27"/>
  <c r="C3158" i="27"/>
  <c r="P3158" i="27"/>
  <c r="B3159" i="27"/>
  <c r="C3159" i="27"/>
  <c r="P3159" i="27"/>
  <c r="B3160" i="27"/>
  <c r="C3160" i="27"/>
  <c r="P3160" i="27"/>
  <c r="B3161" i="27"/>
  <c r="C3161" i="27"/>
  <c r="P3161" i="27"/>
  <c r="B3162" i="27"/>
  <c r="C3162" i="27"/>
  <c r="P3162" i="27"/>
  <c r="B3163" i="27"/>
  <c r="C3163" i="27"/>
  <c r="P3163" i="27"/>
  <c r="B3164" i="27"/>
  <c r="C3164" i="27"/>
  <c r="P3164" i="27"/>
  <c r="B3165" i="27"/>
  <c r="C3165" i="27"/>
  <c r="P3165" i="27"/>
  <c r="B3166" i="27"/>
  <c r="C3166" i="27"/>
  <c r="P3166" i="27"/>
  <c r="B3167" i="27"/>
  <c r="C3167" i="27"/>
  <c r="P3167" i="27"/>
  <c r="B3168" i="27"/>
  <c r="C3168" i="27"/>
  <c r="P3168" i="27"/>
  <c r="B3169" i="27"/>
  <c r="C3169" i="27"/>
  <c r="P3169" i="27"/>
  <c r="B3170" i="27"/>
  <c r="C3170" i="27"/>
  <c r="P3170" i="27"/>
  <c r="B3171" i="27"/>
  <c r="C3171" i="27"/>
  <c r="P3171" i="27"/>
  <c r="B3172" i="27"/>
  <c r="C3172" i="27"/>
  <c r="P3172" i="27"/>
  <c r="B3173" i="27"/>
  <c r="C3173" i="27"/>
  <c r="P3173" i="27"/>
  <c r="B3174" i="27"/>
  <c r="C3174" i="27"/>
  <c r="P3174" i="27"/>
  <c r="B3175" i="27"/>
  <c r="C3175" i="27"/>
  <c r="P3175" i="27"/>
  <c r="B3176" i="27"/>
  <c r="C3176" i="27"/>
  <c r="P3176" i="27"/>
  <c r="B3177" i="27"/>
  <c r="C3177" i="27"/>
  <c r="P3177" i="27"/>
  <c r="B3178" i="27"/>
  <c r="C3178" i="27"/>
  <c r="P3178" i="27"/>
  <c r="B3179" i="27"/>
  <c r="C3179" i="27"/>
  <c r="P3179" i="27"/>
  <c r="B3180" i="27"/>
  <c r="C3180" i="27"/>
  <c r="P3180" i="27"/>
  <c r="B3181" i="27"/>
  <c r="C3181" i="27"/>
  <c r="P3181" i="27"/>
  <c r="B3182" i="27"/>
  <c r="C3182" i="27"/>
  <c r="P3182" i="27"/>
  <c r="B3183" i="27"/>
  <c r="C3183" i="27"/>
  <c r="P3183" i="27"/>
  <c r="B3184" i="27"/>
  <c r="C3184" i="27"/>
  <c r="P3184" i="27"/>
  <c r="B3185" i="27"/>
  <c r="C3185" i="27"/>
  <c r="P3185" i="27"/>
  <c r="B3186" i="27"/>
  <c r="C3186" i="27"/>
  <c r="P3186" i="27"/>
  <c r="B3187" i="27"/>
  <c r="C3187" i="27"/>
  <c r="P3187" i="27"/>
  <c r="B3188" i="27"/>
  <c r="C3188" i="27"/>
  <c r="P3188" i="27"/>
  <c r="B3189" i="27"/>
  <c r="C3189" i="27"/>
  <c r="P3189" i="27"/>
  <c r="B3190" i="27"/>
  <c r="C3190" i="27"/>
  <c r="P3190" i="27"/>
  <c r="B3191" i="27"/>
  <c r="C3191" i="27"/>
  <c r="P3191" i="27"/>
  <c r="B3192" i="27"/>
  <c r="C3192" i="27"/>
  <c r="P3192" i="27"/>
  <c r="B3193" i="27"/>
  <c r="C3193" i="27"/>
  <c r="P3193" i="27"/>
  <c r="B3194" i="27"/>
  <c r="C3194" i="27"/>
  <c r="P3194" i="27"/>
  <c r="B3195" i="27"/>
  <c r="C3195" i="27"/>
  <c r="P3195" i="27"/>
  <c r="B3196" i="27"/>
  <c r="C3196" i="27"/>
  <c r="P3196" i="27"/>
  <c r="B3197" i="27"/>
  <c r="C3197" i="27"/>
  <c r="P3197" i="27"/>
  <c r="B3198" i="27"/>
  <c r="C3198" i="27"/>
  <c r="P3198" i="27"/>
  <c r="B3199" i="27"/>
  <c r="C3199" i="27"/>
  <c r="P3199" i="27"/>
  <c r="B3200" i="27"/>
  <c r="C3200" i="27"/>
  <c r="P3200" i="27"/>
  <c r="B3201" i="27"/>
  <c r="C3201" i="27"/>
  <c r="P3201" i="27"/>
  <c r="B3202" i="27"/>
  <c r="C3202" i="27"/>
  <c r="P3202" i="27"/>
  <c r="B3203" i="27"/>
  <c r="C3203" i="27"/>
  <c r="P3203" i="27"/>
  <c r="B3204" i="27"/>
  <c r="C3204" i="27"/>
  <c r="P3204" i="27"/>
  <c r="B3205" i="27"/>
  <c r="C3205" i="27"/>
  <c r="P3205" i="27"/>
  <c r="B3206" i="27"/>
  <c r="C3206" i="27"/>
  <c r="P3206" i="27"/>
  <c r="B3207" i="27"/>
  <c r="C3207" i="27"/>
  <c r="P3207" i="27"/>
  <c r="B3208" i="27"/>
  <c r="C3208" i="27"/>
  <c r="P3208" i="27"/>
  <c r="B3209" i="27"/>
  <c r="C3209" i="27"/>
  <c r="P3209" i="27"/>
  <c r="B3210" i="27"/>
  <c r="C3210" i="27"/>
  <c r="P3210" i="27"/>
  <c r="B3211" i="27"/>
  <c r="C3211" i="27"/>
  <c r="P3211" i="27"/>
  <c r="B3212" i="27"/>
  <c r="C3212" i="27"/>
  <c r="P3212" i="27"/>
  <c r="B3213" i="27"/>
  <c r="C3213" i="27"/>
  <c r="P3213" i="27"/>
  <c r="B3214" i="27"/>
  <c r="C3214" i="27"/>
  <c r="P3214" i="27"/>
  <c r="B3215" i="27"/>
  <c r="C3215" i="27"/>
  <c r="P3215" i="27"/>
  <c r="B3216" i="27"/>
  <c r="C3216" i="27"/>
  <c r="P3216" i="27"/>
  <c r="B3217" i="27"/>
  <c r="C3217" i="27"/>
  <c r="P3217" i="27"/>
  <c r="B3218" i="27"/>
  <c r="C3218" i="27"/>
  <c r="P3218" i="27"/>
  <c r="B3219" i="27"/>
  <c r="C3219" i="27"/>
  <c r="P3219" i="27"/>
  <c r="B3220" i="27"/>
  <c r="C3220" i="27"/>
  <c r="P3220" i="27"/>
  <c r="B3221" i="27"/>
  <c r="C3221" i="27"/>
  <c r="P3221" i="27"/>
  <c r="B3222" i="27"/>
  <c r="C3222" i="27"/>
  <c r="P3222" i="27"/>
  <c r="B3223" i="27"/>
  <c r="C3223" i="27"/>
  <c r="P3223" i="27"/>
  <c r="B3224" i="27"/>
  <c r="C3224" i="27"/>
  <c r="P3224" i="27"/>
  <c r="B3225" i="27"/>
  <c r="C3225" i="27"/>
  <c r="P3225" i="27"/>
  <c r="B3226" i="27"/>
  <c r="C3226" i="27"/>
  <c r="P3226" i="27"/>
  <c r="B3227" i="27"/>
  <c r="C3227" i="27"/>
  <c r="P3227" i="27"/>
  <c r="B3228" i="27"/>
  <c r="C3228" i="27"/>
  <c r="P3228" i="27"/>
  <c r="B3229" i="27"/>
  <c r="C3229" i="27"/>
  <c r="P3229" i="27"/>
  <c r="B3230" i="27"/>
  <c r="C3230" i="27"/>
  <c r="P3230" i="27"/>
  <c r="B3231" i="27"/>
  <c r="C3231" i="27"/>
  <c r="P3231" i="27"/>
  <c r="B3232" i="27"/>
  <c r="C3232" i="27"/>
  <c r="P3232" i="27"/>
  <c r="B3233" i="27"/>
  <c r="C3233" i="27"/>
  <c r="P3233" i="27"/>
  <c r="B3234" i="27"/>
  <c r="C3234" i="27"/>
  <c r="P3234" i="27"/>
  <c r="B3235" i="27"/>
  <c r="C3235" i="27"/>
  <c r="P3235" i="27"/>
  <c r="B3236" i="27"/>
  <c r="C3236" i="27"/>
  <c r="P3236" i="27"/>
  <c r="B3237" i="27"/>
  <c r="C3237" i="27"/>
  <c r="P3237" i="27"/>
  <c r="B3238" i="27"/>
  <c r="C3238" i="27"/>
  <c r="P3238" i="27"/>
  <c r="B3239" i="27"/>
  <c r="C3239" i="27"/>
  <c r="P3239" i="27"/>
  <c r="B3240" i="27"/>
  <c r="C3240" i="27"/>
  <c r="P3240" i="27"/>
  <c r="B3241" i="27"/>
  <c r="C3241" i="27"/>
  <c r="P3241" i="27"/>
  <c r="B3242" i="27"/>
  <c r="C3242" i="27"/>
  <c r="P3242" i="27"/>
  <c r="B3243" i="27"/>
  <c r="C3243" i="27"/>
  <c r="P3243" i="27"/>
  <c r="B3244" i="27"/>
  <c r="C3244" i="27"/>
  <c r="P3244" i="27"/>
  <c r="B3245" i="27"/>
  <c r="C3245" i="27"/>
  <c r="P3245" i="27"/>
  <c r="B3246" i="27"/>
  <c r="C3246" i="27"/>
  <c r="P3246" i="27"/>
  <c r="B3247" i="27"/>
  <c r="C3247" i="27"/>
  <c r="P3247" i="27"/>
  <c r="B3248" i="27"/>
  <c r="C3248" i="27"/>
  <c r="P3248" i="27"/>
  <c r="B3249" i="27"/>
  <c r="C3249" i="27"/>
  <c r="P3249" i="27"/>
  <c r="B3250" i="27"/>
  <c r="C3250" i="27"/>
  <c r="P3250" i="27"/>
  <c r="B3251" i="27"/>
  <c r="C3251" i="27"/>
  <c r="P3251" i="27"/>
  <c r="B3252" i="27"/>
  <c r="C3252" i="27"/>
  <c r="P3252" i="27"/>
  <c r="B3253" i="27"/>
  <c r="C3253" i="27"/>
  <c r="P3253" i="27"/>
  <c r="B3254" i="27"/>
  <c r="C3254" i="27"/>
  <c r="P3254" i="27"/>
  <c r="B3255" i="27"/>
  <c r="C3255" i="27"/>
  <c r="P3255" i="27"/>
  <c r="B3256" i="27"/>
  <c r="C3256" i="27"/>
  <c r="P3256" i="27"/>
  <c r="B3257" i="27"/>
  <c r="C3257" i="27"/>
  <c r="P3257" i="27"/>
  <c r="B3258" i="27"/>
  <c r="C3258" i="27"/>
  <c r="P3258" i="27"/>
  <c r="B3259" i="27"/>
  <c r="C3259" i="27"/>
  <c r="P3259" i="27"/>
  <c r="B3260" i="27"/>
  <c r="C3260" i="27"/>
  <c r="P3260" i="27"/>
  <c r="B3261" i="27"/>
  <c r="C3261" i="27"/>
  <c r="P3261" i="27"/>
  <c r="B3262" i="27"/>
  <c r="C3262" i="27"/>
  <c r="P3262" i="27"/>
  <c r="B3263" i="27"/>
  <c r="C3263" i="27"/>
  <c r="P3263" i="27"/>
  <c r="B3264" i="27"/>
  <c r="C3264" i="27"/>
  <c r="P3264" i="27"/>
  <c r="B3265" i="27"/>
  <c r="C3265" i="27"/>
  <c r="P3265" i="27"/>
  <c r="B3266" i="27"/>
  <c r="C3266" i="27"/>
  <c r="P3266" i="27"/>
  <c r="B3267" i="27"/>
  <c r="C3267" i="27"/>
  <c r="P3267" i="27"/>
  <c r="B3268" i="27"/>
  <c r="C3268" i="27"/>
  <c r="P3268" i="27"/>
  <c r="B3269" i="27"/>
  <c r="C3269" i="27"/>
  <c r="P3269" i="27"/>
  <c r="B3270" i="27"/>
  <c r="C3270" i="27"/>
  <c r="P3270" i="27"/>
  <c r="B3271" i="27"/>
  <c r="C3271" i="27"/>
  <c r="P3271" i="27"/>
  <c r="B3272" i="27"/>
  <c r="C3272" i="27"/>
  <c r="P3272" i="27"/>
  <c r="B3273" i="27"/>
  <c r="C3273" i="27"/>
  <c r="P3273" i="27"/>
  <c r="B3274" i="27"/>
  <c r="C3274" i="27"/>
  <c r="P3274" i="27"/>
  <c r="B3275" i="27"/>
  <c r="C3275" i="27"/>
  <c r="P3275" i="27"/>
  <c r="B3276" i="27"/>
  <c r="C3276" i="27"/>
  <c r="P3276" i="27"/>
  <c r="B3277" i="27"/>
  <c r="C3277" i="27"/>
  <c r="P3277" i="27"/>
  <c r="B3278" i="27"/>
  <c r="C3278" i="27"/>
  <c r="P3278" i="27"/>
  <c r="B3279" i="27"/>
  <c r="C3279" i="27"/>
  <c r="P3279" i="27"/>
  <c r="B3280" i="27"/>
  <c r="C3280" i="27"/>
  <c r="P3280" i="27"/>
  <c r="B3281" i="27"/>
  <c r="C3281" i="27"/>
  <c r="P3281" i="27"/>
  <c r="B3282" i="27"/>
  <c r="C3282" i="27"/>
  <c r="P3282" i="27"/>
  <c r="B3283" i="27"/>
  <c r="C3283" i="27"/>
  <c r="P3283" i="27"/>
  <c r="B3284" i="27"/>
  <c r="C3284" i="27"/>
  <c r="P3284" i="27"/>
  <c r="B3285" i="27"/>
  <c r="C3285" i="27"/>
  <c r="P3285" i="27"/>
  <c r="B3286" i="27"/>
  <c r="C3286" i="27"/>
  <c r="P3286" i="27"/>
  <c r="B3287" i="27"/>
  <c r="C3287" i="27"/>
  <c r="P3287" i="27"/>
  <c r="B3288" i="27"/>
  <c r="C3288" i="27"/>
  <c r="P3288" i="27"/>
  <c r="B3289" i="27"/>
  <c r="C3289" i="27"/>
  <c r="P3289" i="27"/>
  <c r="B3290" i="27"/>
  <c r="C3290" i="27"/>
  <c r="P3290" i="27"/>
  <c r="B3291" i="27"/>
  <c r="C3291" i="27"/>
  <c r="P3291" i="27"/>
  <c r="B3292" i="27"/>
  <c r="C3292" i="27"/>
  <c r="P3292" i="27"/>
  <c r="B3293" i="27"/>
  <c r="C3293" i="27"/>
  <c r="P3293" i="27"/>
  <c r="B3294" i="27"/>
  <c r="C3294" i="27"/>
  <c r="P3294" i="27"/>
  <c r="B3295" i="27"/>
  <c r="C3295" i="27"/>
  <c r="P3295" i="27"/>
  <c r="B3296" i="27"/>
  <c r="C3296" i="27"/>
  <c r="P3296" i="27"/>
  <c r="B3297" i="27"/>
  <c r="C3297" i="27"/>
  <c r="P3297" i="27"/>
  <c r="B3298" i="27"/>
  <c r="C3298" i="27"/>
  <c r="P3298" i="27"/>
  <c r="B3299" i="27"/>
  <c r="C3299" i="27"/>
  <c r="P3299" i="27"/>
  <c r="B3300" i="27"/>
  <c r="C3300" i="27"/>
  <c r="P3300" i="27"/>
  <c r="B3301" i="27"/>
  <c r="C3301" i="27"/>
  <c r="P3301" i="27"/>
  <c r="B3302" i="27"/>
  <c r="C3302" i="27"/>
  <c r="P3302" i="27"/>
  <c r="B3303" i="27"/>
  <c r="C3303" i="27"/>
  <c r="P3303" i="27"/>
  <c r="B3304" i="27"/>
  <c r="C3304" i="27"/>
  <c r="P3304" i="27"/>
  <c r="B3305" i="27"/>
  <c r="C3305" i="27"/>
  <c r="P3305" i="27"/>
  <c r="B3306" i="27"/>
  <c r="C3306" i="27"/>
  <c r="P3306" i="27"/>
  <c r="B3307" i="27"/>
  <c r="C3307" i="27"/>
  <c r="P3307" i="27"/>
  <c r="B3308" i="27"/>
  <c r="C3308" i="27"/>
  <c r="P3308" i="27"/>
  <c r="B3309" i="27"/>
  <c r="C3309" i="27"/>
  <c r="P3309" i="27"/>
  <c r="B3310" i="27"/>
  <c r="C3310" i="27"/>
  <c r="P3310" i="27"/>
  <c r="B3311" i="27"/>
  <c r="C3311" i="27"/>
  <c r="P3311" i="27"/>
  <c r="B3312" i="27"/>
  <c r="C3312" i="27"/>
  <c r="P3312" i="27"/>
  <c r="B3313" i="27"/>
  <c r="C3313" i="27"/>
  <c r="P3313" i="27"/>
  <c r="B3314" i="27"/>
  <c r="C3314" i="27"/>
  <c r="P3314" i="27"/>
  <c r="B3315" i="27"/>
  <c r="C3315" i="27"/>
  <c r="P3315" i="27"/>
  <c r="B3316" i="27"/>
  <c r="C3316" i="27"/>
  <c r="P3316" i="27"/>
  <c r="B3317" i="27"/>
  <c r="C3317" i="27"/>
  <c r="P3317" i="27"/>
  <c r="B3318" i="27"/>
  <c r="C3318" i="27"/>
  <c r="P3318" i="27"/>
  <c r="B3319" i="27"/>
  <c r="C3319" i="27"/>
  <c r="P3319" i="27"/>
  <c r="B3320" i="27"/>
  <c r="C3320" i="27"/>
  <c r="P3320" i="27"/>
  <c r="B3321" i="27"/>
  <c r="C3321" i="27"/>
  <c r="P3321" i="27"/>
  <c r="B3322" i="27"/>
  <c r="C3322" i="27"/>
  <c r="P3322" i="27"/>
  <c r="B3323" i="27"/>
  <c r="C3323" i="27"/>
  <c r="P3323" i="27"/>
  <c r="B3324" i="27"/>
  <c r="C3324" i="27"/>
  <c r="P3324" i="27"/>
  <c r="B3325" i="27"/>
  <c r="C3325" i="27"/>
  <c r="P3325" i="27"/>
  <c r="B3326" i="27"/>
  <c r="C3326" i="27"/>
  <c r="P3326" i="27"/>
  <c r="B3327" i="27"/>
  <c r="C3327" i="27"/>
  <c r="P3327" i="27"/>
  <c r="B3328" i="27"/>
  <c r="C3328" i="27"/>
  <c r="P3328" i="27"/>
  <c r="B3329" i="27"/>
  <c r="C3329" i="27"/>
  <c r="P3329" i="27"/>
  <c r="B3330" i="27"/>
  <c r="C3330" i="27"/>
  <c r="P3330" i="27"/>
  <c r="J3331" i="27"/>
  <c r="J3332" i="27"/>
  <c r="J3333" i="27"/>
  <c r="J3334" i="27"/>
  <c r="J3335" i="27"/>
  <c r="J3336" i="27"/>
  <c r="J3337" i="27"/>
  <c r="J3338" i="27"/>
  <c r="J3339" i="27"/>
  <c r="J3340" i="27"/>
  <c r="J3341" i="27"/>
  <c r="J3342" i="27"/>
  <c r="J3343" i="27"/>
  <c r="J3344" i="27"/>
  <c r="J3345" i="27"/>
  <c r="J3346" i="27"/>
  <c r="J3347" i="27"/>
  <c r="J3348" i="27"/>
  <c r="J3349" i="27"/>
  <c r="J3350" i="27"/>
  <c r="J3351" i="27"/>
  <c r="J3352" i="27"/>
  <c r="J3353" i="27"/>
  <c r="J3354" i="27"/>
  <c r="J3355" i="27"/>
  <c r="J3356" i="27"/>
  <c r="J3357" i="27"/>
  <c r="J3358" i="27"/>
  <c r="J3359" i="27"/>
  <c r="J3360" i="27"/>
  <c r="J3361" i="27"/>
  <c r="J3362" i="27"/>
  <c r="J3363" i="27"/>
  <c r="J3364" i="27"/>
  <c r="J3365" i="27"/>
  <c r="J3366" i="27"/>
  <c r="J3367" i="27"/>
  <c r="J3368" i="27"/>
  <c r="J3369" i="27"/>
  <c r="J3370" i="27"/>
  <c r="J3371" i="27"/>
  <c r="J3372" i="27"/>
  <c r="J3373" i="27"/>
  <c r="J3374" i="27"/>
  <c r="J3375" i="27"/>
  <c r="J3376" i="27"/>
  <c r="J3377" i="27"/>
  <c r="J3378" i="27"/>
  <c r="J3379" i="27"/>
  <c r="J3380" i="27"/>
  <c r="J3381" i="27"/>
  <c r="J3382" i="27"/>
  <c r="J3383" i="27"/>
  <c r="J3384" i="27"/>
  <c r="J3385" i="27"/>
  <c r="J3386" i="27"/>
  <c r="J3387" i="27"/>
  <c r="J3388" i="27"/>
  <c r="J3389" i="27"/>
  <c r="J3390" i="27"/>
  <c r="J3391" i="27"/>
  <c r="J3392" i="27"/>
  <c r="J3393" i="27"/>
  <c r="J3394" i="27"/>
  <c r="J3395" i="27"/>
  <c r="J3396" i="27"/>
  <c r="J3397" i="27"/>
  <c r="J3398" i="27"/>
  <c r="J3399" i="27"/>
  <c r="J3400" i="27"/>
  <c r="J3401" i="27"/>
  <c r="J3402" i="27"/>
  <c r="J3403" i="27"/>
  <c r="J3404" i="27"/>
  <c r="J3405" i="27"/>
  <c r="J3406" i="27"/>
  <c r="J3407" i="27"/>
  <c r="J3408" i="27"/>
  <c r="J3409" i="27"/>
  <c r="J3410" i="27"/>
  <c r="J3411" i="27"/>
  <c r="J3412" i="27"/>
  <c r="J3413" i="27"/>
  <c r="J3414" i="27"/>
  <c r="J3415" i="27"/>
  <c r="J3416" i="27"/>
  <c r="J3417" i="27"/>
  <c r="J3418" i="27"/>
  <c r="J3419" i="27"/>
  <c r="J3420" i="27"/>
  <c r="J3421" i="27"/>
  <c r="J3422" i="27"/>
  <c r="J3423" i="27"/>
  <c r="J3424" i="27"/>
  <c r="J3425" i="27"/>
  <c r="J3426" i="27"/>
  <c r="J3427" i="27"/>
  <c r="J3428" i="27"/>
  <c r="J3429" i="27"/>
  <c r="J3430" i="27"/>
  <c r="J3431" i="27"/>
  <c r="J3432" i="27"/>
  <c r="J3433" i="27"/>
  <c r="J3434" i="27"/>
  <c r="J3435" i="27"/>
  <c r="J3436" i="27"/>
  <c r="J3437" i="27"/>
  <c r="J3438" i="27"/>
  <c r="J3439" i="27"/>
  <c r="J3440" i="27"/>
  <c r="J3441" i="27"/>
  <c r="J3442" i="27"/>
  <c r="J3443" i="27"/>
  <c r="J3444" i="27"/>
  <c r="J3445" i="27"/>
  <c r="J3446" i="27"/>
  <c r="J3447" i="27"/>
  <c r="J3448" i="27"/>
  <c r="J3449" i="27"/>
  <c r="J3450" i="27"/>
  <c r="J3451" i="27"/>
  <c r="J3452" i="27"/>
  <c r="J3453" i="27"/>
  <c r="J3454" i="27"/>
  <c r="J3455" i="27"/>
  <c r="J3456" i="27"/>
  <c r="J3457" i="27"/>
  <c r="J3458" i="27"/>
  <c r="J3459" i="27"/>
  <c r="J3460" i="27"/>
  <c r="J3461" i="27"/>
  <c r="J3462" i="27"/>
  <c r="J3463" i="27"/>
  <c r="J3464" i="27"/>
  <c r="J3465" i="27"/>
  <c r="J3466" i="27"/>
  <c r="J3467" i="27"/>
  <c r="J3468" i="27"/>
  <c r="J3469" i="27"/>
  <c r="J3470" i="27"/>
  <c r="J3471" i="27"/>
  <c r="J3472" i="27"/>
  <c r="J3473" i="27"/>
  <c r="J3474" i="27"/>
  <c r="J3475" i="27"/>
  <c r="J3476" i="27"/>
  <c r="J3477" i="27"/>
  <c r="J3478" i="27"/>
  <c r="J3479" i="27"/>
  <c r="J3480" i="27"/>
  <c r="J3481" i="27"/>
  <c r="J3482" i="27"/>
  <c r="J3483" i="27"/>
  <c r="J3484" i="27"/>
  <c r="J3485" i="27"/>
  <c r="J3486" i="27"/>
  <c r="J3487" i="27"/>
  <c r="J3488" i="27"/>
  <c r="J3489" i="27"/>
  <c r="J3490" i="27"/>
  <c r="J3491" i="27"/>
  <c r="J3492" i="27"/>
  <c r="J3493" i="27"/>
  <c r="J3494" i="27"/>
  <c r="J3495" i="27"/>
  <c r="J3496" i="27"/>
  <c r="J3497" i="27"/>
  <c r="J3498" i="27"/>
  <c r="J3499" i="27"/>
  <c r="J3500" i="27"/>
  <c r="J3501" i="27"/>
  <c r="J3502" i="27"/>
  <c r="J3503" i="27"/>
  <c r="J3504" i="27"/>
  <c r="J3505" i="27"/>
  <c r="J3506" i="27"/>
  <c r="J3507" i="27"/>
  <c r="J3508" i="27"/>
  <c r="J3509" i="27"/>
  <c r="J3510" i="27"/>
  <c r="J3511" i="27"/>
  <c r="J3512" i="27"/>
  <c r="J3513" i="27"/>
  <c r="J3514" i="27"/>
  <c r="J3515" i="27"/>
  <c r="J3516" i="27"/>
  <c r="J3517" i="27"/>
  <c r="J3518" i="27"/>
  <c r="J3519" i="27"/>
  <c r="J3520" i="27"/>
  <c r="J3521" i="27"/>
  <c r="J3522" i="27"/>
  <c r="J3523" i="27"/>
  <c r="J3524" i="27"/>
  <c r="J3525" i="27"/>
  <c r="J3526" i="27"/>
  <c r="J3527" i="27"/>
  <c r="J3528" i="27"/>
  <c r="J3529" i="27"/>
  <c r="J3530" i="27"/>
  <c r="J3531" i="27"/>
  <c r="J3532" i="27"/>
  <c r="J3533" i="27"/>
  <c r="J3534" i="27"/>
  <c r="J3535" i="27"/>
  <c r="J3536" i="27"/>
  <c r="J3537" i="27"/>
  <c r="J3538" i="27"/>
  <c r="J3539" i="27"/>
  <c r="J3540" i="27"/>
  <c r="J3541" i="27"/>
  <c r="J3542" i="27"/>
  <c r="J3543" i="27"/>
  <c r="J3544" i="27"/>
  <c r="J3545" i="27"/>
  <c r="J3546" i="27"/>
  <c r="J3547" i="27"/>
  <c r="J3548" i="27"/>
  <c r="J3549" i="27"/>
  <c r="J3550" i="27"/>
  <c r="J3551" i="27"/>
  <c r="J3552" i="27"/>
  <c r="J3553" i="27"/>
  <c r="J3554" i="27"/>
  <c r="J3555" i="27"/>
  <c r="J3556" i="27"/>
  <c r="J3557" i="27"/>
  <c r="J3558" i="27"/>
  <c r="J3559" i="27"/>
  <c r="J3560" i="27"/>
  <c r="J3561" i="27"/>
  <c r="J3562" i="27"/>
  <c r="J3563" i="27"/>
  <c r="J3564" i="27"/>
  <c r="J3565" i="27"/>
  <c r="J3566" i="27"/>
  <c r="J3567" i="27"/>
  <c r="J3568" i="27"/>
  <c r="J3569" i="27"/>
  <c r="J3570" i="27"/>
  <c r="J3571" i="27"/>
  <c r="J3572" i="27"/>
  <c r="J3573" i="27"/>
  <c r="J3574" i="27"/>
  <c r="J3575" i="27"/>
  <c r="J3576" i="27"/>
  <c r="J3577" i="27"/>
  <c r="J3578" i="27"/>
  <c r="J3579" i="27"/>
  <c r="J3580" i="27"/>
  <c r="J3581" i="27"/>
  <c r="J3582" i="27"/>
  <c r="J3583" i="27"/>
  <c r="J3584" i="27"/>
  <c r="J3585" i="27"/>
  <c r="J3586" i="27"/>
  <c r="J3587" i="27"/>
  <c r="J3588" i="27"/>
  <c r="J3589" i="27"/>
  <c r="J3590" i="27"/>
  <c r="J3591" i="27"/>
  <c r="J3592" i="27"/>
  <c r="J3593" i="27"/>
  <c r="J3594" i="27"/>
  <c r="J3595" i="27"/>
  <c r="J3596" i="27"/>
  <c r="J3597" i="27"/>
  <c r="J3598" i="27"/>
  <c r="J3599" i="27"/>
  <c r="J3600" i="27"/>
  <c r="J3601" i="27"/>
  <c r="J3602" i="27"/>
  <c r="J3603" i="27"/>
  <c r="J3604" i="27"/>
  <c r="J3605" i="27"/>
  <c r="J3606" i="27"/>
  <c r="J3607" i="27"/>
  <c r="J3608" i="27"/>
  <c r="J3609" i="27"/>
  <c r="J3610" i="27"/>
  <c r="J3611" i="27"/>
  <c r="J3612" i="27"/>
  <c r="J3613" i="27"/>
  <c r="J3614" i="27"/>
  <c r="J3615" i="27"/>
  <c r="J3616" i="27"/>
  <c r="J3617" i="27"/>
  <c r="J3618" i="27"/>
  <c r="J3619" i="27"/>
  <c r="J3620" i="27"/>
  <c r="J3621" i="27"/>
  <c r="J3622" i="27"/>
  <c r="J3623" i="27"/>
  <c r="J3624" i="27"/>
  <c r="J3625" i="27"/>
  <c r="J3626" i="27"/>
  <c r="J3627" i="27"/>
  <c r="J3628" i="27"/>
  <c r="J3629" i="27"/>
  <c r="J3630" i="27"/>
  <c r="J3631" i="27"/>
  <c r="J3632" i="27"/>
  <c r="J3633" i="27"/>
  <c r="J3634" i="27"/>
  <c r="J3635" i="27"/>
  <c r="J3636" i="27"/>
  <c r="J3637" i="27"/>
  <c r="J3638" i="27"/>
  <c r="J3639" i="27"/>
  <c r="J3640" i="27"/>
  <c r="J3641" i="27"/>
  <c r="J3642" i="27"/>
  <c r="J3643" i="27"/>
  <c r="J3644" i="27"/>
  <c r="J3645" i="27"/>
  <c r="J3646" i="27"/>
  <c r="J3647" i="27"/>
  <c r="J3648" i="27"/>
  <c r="J3649" i="27"/>
  <c r="J3650" i="27"/>
  <c r="J3651" i="27"/>
  <c r="J3652" i="27"/>
  <c r="J3653" i="27"/>
  <c r="J3654" i="27"/>
  <c r="J3655" i="27"/>
  <c r="J3656" i="27"/>
  <c r="J3657" i="27"/>
  <c r="J3658" i="27"/>
  <c r="J3659" i="27"/>
  <c r="J3660" i="27"/>
  <c r="J3661" i="27"/>
  <c r="J3662" i="27"/>
  <c r="J3663" i="27"/>
  <c r="J3664" i="27"/>
  <c r="J3665" i="27"/>
  <c r="J3666" i="27"/>
  <c r="J3667" i="27"/>
  <c r="J3668" i="27"/>
  <c r="J3669" i="27"/>
  <c r="J3670" i="27"/>
  <c r="J3671" i="27"/>
  <c r="J3672" i="27"/>
  <c r="J3673" i="27"/>
  <c r="J3674" i="27"/>
  <c r="J3675" i="27"/>
  <c r="J3676" i="27"/>
  <c r="J3677" i="27"/>
  <c r="J3678" i="27"/>
  <c r="J3679" i="27"/>
  <c r="J3680" i="27"/>
  <c r="J3681" i="27"/>
  <c r="J3682" i="27"/>
  <c r="J3683" i="27"/>
  <c r="J3684" i="27"/>
  <c r="J3685" i="27"/>
  <c r="J3686" i="27"/>
  <c r="J3687" i="27"/>
  <c r="J3688" i="27"/>
  <c r="J3689" i="27"/>
  <c r="J3690" i="27"/>
  <c r="J3691" i="27"/>
  <c r="J3692" i="27"/>
  <c r="J3693" i="27"/>
  <c r="J3694" i="27"/>
  <c r="J3695" i="27"/>
  <c r="J3696" i="27"/>
  <c r="J3697" i="27"/>
  <c r="J3698" i="27"/>
  <c r="J3699" i="27"/>
  <c r="J3700" i="27"/>
  <c r="J3701" i="27"/>
  <c r="J3702" i="27"/>
  <c r="J3703" i="27"/>
  <c r="J3704" i="27"/>
  <c r="J3705" i="27"/>
  <c r="J3706" i="27"/>
  <c r="J3707" i="27"/>
  <c r="J3708" i="27"/>
  <c r="J3709" i="27"/>
  <c r="J3710" i="27"/>
  <c r="J3711" i="27"/>
  <c r="J3712" i="27"/>
  <c r="J3713" i="27"/>
  <c r="J3714" i="27"/>
  <c r="J3715" i="27"/>
  <c r="J3716" i="27"/>
  <c r="J3717" i="27"/>
  <c r="J3718" i="27"/>
  <c r="J3719" i="27"/>
  <c r="J3720" i="27"/>
  <c r="J3721" i="27"/>
  <c r="J3722" i="27"/>
  <c r="J3723" i="27"/>
  <c r="J3724" i="27"/>
  <c r="J3725" i="27"/>
  <c r="J3726" i="27"/>
  <c r="J3727" i="27"/>
  <c r="J3728" i="27"/>
  <c r="J3729" i="27"/>
  <c r="J3730" i="27"/>
  <c r="J3731" i="27"/>
  <c r="J3732" i="27"/>
  <c r="J3733" i="27"/>
  <c r="J3734" i="27"/>
  <c r="J3735" i="27"/>
  <c r="J3736" i="27"/>
  <c r="J3737" i="27"/>
  <c r="J3738" i="27"/>
  <c r="J3739" i="27"/>
  <c r="J3740" i="27"/>
  <c r="J3741" i="27"/>
  <c r="J3742" i="27"/>
  <c r="J3743" i="27"/>
  <c r="J3744" i="27"/>
  <c r="J3745" i="27"/>
  <c r="J3746" i="27"/>
  <c r="J3747" i="27"/>
  <c r="J3748" i="27"/>
  <c r="J3749" i="27"/>
  <c r="J3750" i="27"/>
  <c r="J3751" i="27"/>
  <c r="J3752" i="27"/>
  <c r="J3753" i="27"/>
  <c r="J3754" i="27"/>
  <c r="J3755" i="27"/>
  <c r="J3756" i="27"/>
  <c r="J3757" i="27"/>
  <c r="J3758" i="27"/>
  <c r="J3759" i="27"/>
  <c r="J3760" i="27"/>
  <c r="J3761" i="27"/>
  <c r="J3762" i="27"/>
  <c r="J3763" i="27"/>
  <c r="J3764" i="27"/>
  <c r="J3765" i="27"/>
  <c r="J3766" i="27"/>
  <c r="J3767" i="27"/>
  <c r="J3768" i="27"/>
  <c r="J3769" i="27"/>
  <c r="J3770" i="27"/>
  <c r="J3771" i="27"/>
  <c r="J3772" i="27"/>
  <c r="J3773" i="27"/>
  <c r="J3774" i="27"/>
  <c r="J3775" i="27"/>
  <c r="J3776" i="27"/>
  <c r="J3777" i="27"/>
  <c r="J3778" i="27"/>
  <c r="J3779" i="27"/>
  <c r="J3780" i="27"/>
  <c r="J3781" i="27"/>
  <c r="J3782" i="27"/>
  <c r="J3783" i="27"/>
  <c r="J3784" i="27"/>
  <c r="J3785" i="27"/>
  <c r="J3786" i="27"/>
  <c r="J3787" i="27"/>
  <c r="J3788" i="27"/>
  <c r="J3789" i="27"/>
  <c r="J3790" i="27"/>
  <c r="J3791" i="27"/>
  <c r="J3792" i="27"/>
  <c r="J3793" i="27"/>
  <c r="J3794" i="27"/>
  <c r="J3795" i="27"/>
  <c r="J3796" i="27"/>
  <c r="J3797" i="27"/>
  <c r="J3798" i="27"/>
  <c r="J3799" i="27"/>
  <c r="J3800" i="27"/>
  <c r="J3801" i="27"/>
  <c r="J3802" i="27"/>
  <c r="J3803" i="27"/>
  <c r="J3804" i="27"/>
  <c r="J3805" i="27"/>
  <c r="J3806" i="27"/>
  <c r="J3807" i="27"/>
  <c r="J3808" i="27"/>
  <c r="J3809" i="27"/>
  <c r="J3810" i="27"/>
  <c r="J3811" i="27"/>
  <c r="J3812" i="27"/>
  <c r="J3813" i="27"/>
  <c r="J3814" i="27"/>
  <c r="J3815" i="27"/>
  <c r="J3816" i="27"/>
  <c r="J3817" i="27"/>
  <c r="J3818" i="27"/>
  <c r="J3819" i="27"/>
  <c r="J3820" i="27"/>
  <c r="J3821" i="27"/>
  <c r="J3822" i="27"/>
  <c r="J3823" i="27"/>
  <c r="J3824" i="27"/>
  <c r="J3825" i="27"/>
  <c r="J3826" i="27"/>
  <c r="J3827" i="27"/>
  <c r="J3828" i="27"/>
  <c r="J3829" i="27"/>
  <c r="J3830" i="27"/>
  <c r="J3831" i="27"/>
  <c r="J3832" i="27"/>
  <c r="J3833" i="27"/>
  <c r="J3834" i="27"/>
  <c r="J3835" i="27"/>
  <c r="J3836" i="27"/>
  <c r="J3837" i="27"/>
  <c r="J3838" i="27"/>
  <c r="J3839" i="27"/>
  <c r="J3840" i="27"/>
  <c r="J3841" i="27"/>
  <c r="J3842" i="27"/>
  <c r="J3843" i="27"/>
  <c r="J3844" i="27"/>
  <c r="J3845" i="27"/>
  <c r="J3846" i="27"/>
  <c r="J3847" i="27"/>
  <c r="J3848" i="27"/>
  <c r="J3849" i="27"/>
  <c r="J3850" i="27"/>
  <c r="J3851" i="27"/>
  <c r="J3852" i="27"/>
  <c r="J3853" i="27"/>
  <c r="J3854" i="27"/>
  <c r="J3855" i="27"/>
  <c r="J3856" i="27"/>
  <c r="J3857" i="27"/>
  <c r="J3858" i="27"/>
  <c r="J3859" i="27"/>
  <c r="J3860" i="27"/>
  <c r="J3861" i="27"/>
  <c r="J3862" i="27"/>
  <c r="J3863" i="27"/>
  <c r="J3864" i="27"/>
  <c r="J3865" i="27"/>
  <c r="J3866" i="27"/>
  <c r="J3867" i="27"/>
  <c r="J3868" i="27"/>
  <c r="J3869" i="27"/>
  <c r="J3870" i="27"/>
  <c r="J3871" i="27"/>
  <c r="J3872" i="27"/>
  <c r="J3873" i="27"/>
  <c r="J3874" i="27"/>
  <c r="J3875" i="27"/>
  <c r="J3876" i="27"/>
  <c r="J3877" i="27"/>
  <c r="J3878" i="27"/>
  <c r="J3879" i="27"/>
  <c r="J3880" i="27"/>
  <c r="J3881" i="27"/>
  <c r="J3882" i="27"/>
  <c r="J3883" i="27"/>
  <c r="J3884" i="27"/>
  <c r="J3885" i="27"/>
  <c r="J3886" i="27"/>
  <c r="J3887" i="27"/>
  <c r="J3888" i="27"/>
  <c r="J3889" i="27"/>
  <c r="J3890" i="27"/>
  <c r="J3891" i="27"/>
  <c r="J3892" i="27"/>
  <c r="J3893" i="27"/>
  <c r="J3894" i="27"/>
  <c r="J3895" i="27"/>
  <c r="J3896" i="27"/>
  <c r="J3897" i="27"/>
  <c r="J3898" i="27"/>
  <c r="J3899" i="27"/>
  <c r="J3900" i="27"/>
  <c r="J3901" i="27"/>
  <c r="J3902" i="27"/>
  <c r="J3903" i="27"/>
  <c r="J3904" i="27"/>
  <c r="J3905" i="27"/>
  <c r="J3906" i="27"/>
  <c r="J3907" i="27"/>
  <c r="J3908" i="27"/>
  <c r="J3909" i="27"/>
  <c r="J3910" i="27"/>
  <c r="J3911" i="27"/>
  <c r="J3912" i="27"/>
  <c r="J3913" i="27"/>
  <c r="J3914" i="27"/>
  <c r="J3915" i="27"/>
  <c r="J3916" i="27"/>
  <c r="J3917" i="27"/>
  <c r="J3918" i="27"/>
  <c r="J3919" i="27"/>
  <c r="J3920" i="27"/>
  <c r="B2" i="29"/>
  <c r="B3" i="29" s="1"/>
  <c r="C2" i="29"/>
  <c r="C3" i="29" s="1"/>
  <c r="D2" i="29"/>
  <c r="D3" i="29" s="1"/>
  <c r="E2" i="29"/>
  <c r="E3" i="29" s="1"/>
  <c r="F2" i="29"/>
  <c r="G2" i="29"/>
  <c r="G3" i="29" s="1"/>
  <c r="H2" i="29"/>
  <c r="L2" i="29" a="1"/>
  <c r="L2" i="29" s="1"/>
  <c r="L3" i="29" s="1" a="1"/>
  <c r="L3" i="29" s="1"/>
  <c r="L4" i="29" s="1" a="1"/>
  <c r="L4" i="29" s="1"/>
  <c r="G15" i="29"/>
  <c r="G16" i="29"/>
  <c r="G17" i="29"/>
  <c r="G18" i="29"/>
  <c r="G19" i="29"/>
  <c r="G20" i="29"/>
  <c r="B21" i="29"/>
  <c r="G21" i="29"/>
  <c r="G22" i="29"/>
  <c r="B23" i="29"/>
  <c r="G23" i="29"/>
  <c r="B24" i="29"/>
  <c r="G24" i="29"/>
  <c r="B25" i="29"/>
  <c r="G25" i="29"/>
  <c r="G26" i="29"/>
  <c r="G27" i="29"/>
  <c r="G29" i="29"/>
  <c r="G30" i="29"/>
  <c r="G31" i="29"/>
  <c r="G32" i="29"/>
  <c r="A33" i="29"/>
  <c r="G33" i="29"/>
  <c r="G34" i="29"/>
  <c r="G35" i="29"/>
  <c r="G41" i="29"/>
  <c r="R2" i="28"/>
  <c r="D2" i="28" s="1"/>
  <c r="L2" i="28" s="1"/>
  <c r="P2" i="28" s="1"/>
  <c r="C1" i="36"/>
  <c r="A54" i="36" s="1"/>
  <c r="A72" i="36"/>
  <c r="B8" i="32" s="1"/>
  <c r="AF9" i="31"/>
  <c r="C318" i="32" s="1"/>
  <c r="AG9" i="31"/>
  <c r="AH9" i="31"/>
  <c r="AH11" i="31" s="1"/>
  <c r="AF11" i="31"/>
  <c r="AF13" i="31"/>
  <c r="C372" i="32" s="1"/>
  <c r="AF15" i="31"/>
  <c r="C380" i="32" s="1"/>
  <c r="AF17" i="31"/>
  <c r="AF19" i="31"/>
  <c r="C432" i="32" s="1"/>
  <c r="AF21" i="31"/>
  <c r="C442" i="32" s="1"/>
  <c r="AF23" i="31"/>
  <c r="AF25" i="31"/>
  <c r="C508" i="32" s="1"/>
  <c r="Q508" i="32" s="1"/>
  <c r="AF27" i="31"/>
  <c r="AF29" i="31"/>
  <c r="C532" i="32" s="1"/>
  <c r="Q532" i="32" s="1"/>
  <c r="AF31" i="31"/>
  <c r="C538" i="32" s="1"/>
  <c r="Q538" i="32" s="1"/>
  <c r="AF33" i="31"/>
  <c r="AF35" i="31"/>
  <c r="C592" i="32" s="1"/>
  <c r="Q592" i="32" s="1"/>
  <c r="AF37" i="31"/>
  <c r="AU9" i="33"/>
  <c r="C625" i="32" s="1"/>
  <c r="BA9" i="33"/>
  <c r="BB9" i="33"/>
  <c r="AU11" i="33"/>
  <c r="C693" i="32" s="1"/>
  <c r="AU13" i="33"/>
  <c r="C723" i="32" s="1"/>
  <c r="AU15" i="33"/>
  <c r="C757" i="32" s="1"/>
  <c r="AU17" i="33"/>
  <c r="C789" i="32" s="1"/>
  <c r="AU19" i="33"/>
  <c r="C825" i="32" s="1"/>
  <c r="AU21" i="33"/>
  <c r="C861" i="32" s="1"/>
  <c r="AU23" i="33"/>
  <c r="C921" i="32" s="1"/>
  <c r="AU25" i="33"/>
  <c r="C953" i="32" s="1"/>
  <c r="AU27" i="33"/>
  <c r="AU29" i="33"/>
  <c r="C1029" i="32" s="1"/>
  <c r="AU31" i="33"/>
  <c r="C1061" i="32" s="1"/>
  <c r="AU33" i="33"/>
  <c r="AV33" i="33" a="1"/>
  <c r="AV33" i="33" s="1"/>
  <c r="AW33" i="33" s="1"/>
  <c r="AU35" i="33"/>
  <c r="C1141" i="32" s="1"/>
  <c r="Q1141" i="32" s="1"/>
  <c r="AV35" i="33" a="1"/>
  <c r="AV35" i="33" s="1"/>
  <c r="AX35" i="33" s="1"/>
  <c r="AU37" i="33"/>
  <c r="C1185" i="32" s="1"/>
  <c r="Q1185" i="32" s="1"/>
  <c r="AV37" i="33" a="1"/>
  <c r="AV37" i="33" s="1"/>
  <c r="AY37" i="33" s="1"/>
  <c r="AU39" i="33"/>
  <c r="C1227" i="32" s="1"/>
  <c r="Q1227" i="32" s="1"/>
  <c r="AV39" i="33" a="1"/>
  <c r="AV39" i="33" s="1"/>
  <c r="AU41" i="33"/>
  <c r="AV41" i="33" a="1"/>
  <c r="AV41" i="33" s="1"/>
  <c r="AU43" i="33"/>
  <c r="C1313" i="32" s="1"/>
  <c r="Q1313" i="32" s="1"/>
  <c r="AV43" i="33" a="1"/>
  <c r="AV43" i="33" s="1"/>
  <c r="AY43" i="33" s="1"/>
  <c r="AU45" i="33"/>
  <c r="AV45" i="33" a="1"/>
  <c r="AV45" i="33" s="1"/>
  <c r="AU47" i="33"/>
  <c r="C1387" i="32" s="1"/>
  <c r="Q1387" i="32" s="1"/>
  <c r="AV47" i="33" a="1"/>
  <c r="AV47" i="33" s="1"/>
  <c r="AX47" i="33" s="1"/>
  <c r="AU49" i="33"/>
  <c r="C1427" i="32" s="1"/>
  <c r="AV49" i="33" a="1"/>
  <c r="AV49" i="33" s="1"/>
  <c r="AU51" i="33"/>
  <c r="C1463" i="32" s="1"/>
  <c r="Q1463" i="32" s="1"/>
  <c r="AV51" i="33" a="1"/>
  <c r="AV51" i="33" s="1"/>
  <c r="AU53" i="33"/>
  <c r="AV53" i="33" a="1"/>
  <c r="AV53" i="33" s="1"/>
  <c r="AY53" i="33" s="1"/>
  <c r="AU55" i="33"/>
  <c r="C1549" i="32" s="1"/>
  <c r="Q1549" i="32" s="1"/>
  <c r="AV55" i="33" a="1"/>
  <c r="AV55" i="33" s="1"/>
  <c r="AU57" i="33"/>
  <c r="C1595" i="32" s="1"/>
  <c r="Q1595" i="32" s="1"/>
  <c r="AW57" i="33"/>
  <c r="AV57" i="33" a="1"/>
  <c r="AV57" i="33" s="1"/>
  <c r="AU59" i="33"/>
  <c r="AV59" i="33" a="1"/>
  <c r="AV59" i="33" s="1"/>
  <c r="AU61" i="33"/>
  <c r="C1693" i="32" s="1"/>
  <c r="Q1693" i="32" s="1"/>
  <c r="AV61" i="33" a="1"/>
  <c r="AV61" i="33" s="1"/>
  <c r="AU63" i="33"/>
  <c r="C1713" i="32" s="1"/>
  <c r="Q1713" i="32" s="1"/>
  <c r="AV63" i="33" a="1"/>
  <c r="AV63" i="33" s="1"/>
  <c r="AU65" i="33"/>
  <c r="C1773" i="32" s="1"/>
  <c r="Q1773" i="32" s="1"/>
  <c r="AV65" i="33" a="1"/>
  <c r="AV65" i="33" s="1"/>
  <c r="AW65" i="33" s="1"/>
  <c r="U10" i="32"/>
  <c r="U316" i="32"/>
  <c r="C338" i="32"/>
  <c r="C344" i="32"/>
  <c r="C348" i="32"/>
  <c r="C360" i="32"/>
  <c r="C362" i="32"/>
  <c r="C366" i="32"/>
  <c r="C368" i="32"/>
  <c r="C374" i="32"/>
  <c r="C386" i="32"/>
  <c r="C392" i="32"/>
  <c r="C400" i="32"/>
  <c r="C420" i="32"/>
  <c r="C464" i="32"/>
  <c r="C472" i="32"/>
  <c r="C476" i="32"/>
  <c r="Q476" i="32" s="1"/>
  <c r="C478" i="32"/>
  <c r="Q478" i="32" s="1"/>
  <c r="C482" i="32"/>
  <c r="Q482" i="32" s="1"/>
  <c r="C484" i="32"/>
  <c r="Q484" i="32" s="1"/>
  <c r="C486" i="32"/>
  <c r="C488" i="32"/>
  <c r="Q488" i="32" s="1"/>
  <c r="C492" i="32"/>
  <c r="Q492" i="32" s="1"/>
  <c r="C498" i="32"/>
  <c r="Q498" i="32" s="1"/>
  <c r="C504" i="32"/>
  <c r="Q504" i="32" s="1"/>
  <c r="C516" i="32"/>
  <c r="Q516" i="32" s="1"/>
  <c r="C518" i="32"/>
  <c r="Q518" i="32" s="1"/>
  <c r="C520" i="32"/>
  <c r="Q520" i="32" s="1"/>
  <c r="C522" i="32"/>
  <c r="Q522" i="32" s="1"/>
  <c r="C524" i="32"/>
  <c r="Q524" i="32" s="1"/>
  <c r="C526" i="32"/>
  <c r="Q526" i="32" s="1"/>
  <c r="C528" i="32"/>
  <c r="Q528" i="32" s="1"/>
  <c r="C530" i="32"/>
  <c r="Q530" i="32" s="1"/>
  <c r="C534" i="32"/>
  <c r="C536" i="32"/>
  <c r="Q536" i="32" s="1"/>
  <c r="C540" i="32"/>
  <c r="Q540" i="32" s="1"/>
  <c r="C542" i="32"/>
  <c r="Q542" i="32" s="1"/>
  <c r="C546" i="32"/>
  <c r="Q546" i="32" s="1"/>
  <c r="C552" i="32"/>
  <c r="Q552" i="32" s="1"/>
  <c r="C570" i="32"/>
  <c r="Q570" i="32" s="1"/>
  <c r="C576" i="32"/>
  <c r="Q576" i="32" s="1"/>
  <c r="C578" i="32"/>
  <c r="Q578" i="32" s="1"/>
  <c r="C580" i="32"/>
  <c r="Q580" i="32" s="1"/>
  <c r="C582" i="32"/>
  <c r="C584" i="32"/>
  <c r="Q584" i="32" s="1"/>
  <c r="C586" i="32"/>
  <c r="Q586" i="32" s="1"/>
  <c r="C588" i="32"/>
  <c r="Q588" i="32" s="1"/>
  <c r="C590" i="32"/>
  <c r="Q590" i="32" s="1"/>
  <c r="C594" i="32"/>
  <c r="Q594" i="32" s="1"/>
  <c r="C596" i="32"/>
  <c r="Q596" i="32" s="1"/>
  <c r="C598" i="32"/>
  <c r="Q598" i="32" s="1"/>
  <c r="C602" i="32"/>
  <c r="Q602" i="32" s="1"/>
  <c r="C604" i="32"/>
  <c r="Q604" i="32" s="1"/>
  <c r="C606" i="32"/>
  <c r="Q606" i="32" s="1"/>
  <c r="C608" i="32"/>
  <c r="Q608" i="32" s="1"/>
  <c r="C610" i="32"/>
  <c r="Q610" i="32" s="1"/>
  <c r="U621" i="32"/>
  <c r="C623" i="32"/>
  <c r="C637" i="32"/>
  <c r="C661" i="32"/>
  <c r="C673" i="32"/>
  <c r="C679" i="32"/>
  <c r="C691" i="32"/>
  <c r="C701" i="32"/>
  <c r="C703" i="32"/>
  <c r="C705" i="32"/>
  <c r="C709" i="32"/>
  <c r="C713" i="32"/>
  <c r="C715" i="32"/>
  <c r="C719" i="32"/>
  <c r="C721" i="32"/>
  <c r="C725" i="32"/>
  <c r="C731" i="32"/>
  <c r="C733" i="32"/>
  <c r="C737" i="32"/>
  <c r="C747" i="32"/>
  <c r="C751" i="32"/>
  <c r="C755" i="32"/>
  <c r="C763" i="32"/>
  <c r="C771" i="32"/>
  <c r="C777" i="32"/>
  <c r="C787" i="32"/>
  <c r="C819" i="32"/>
  <c r="C821" i="32"/>
  <c r="C823" i="32"/>
  <c r="C829" i="32"/>
  <c r="C831" i="32"/>
  <c r="C833" i="32"/>
  <c r="C835" i="32"/>
  <c r="C839" i="32"/>
  <c r="C841" i="32"/>
  <c r="C843" i="32"/>
  <c r="C849" i="32"/>
  <c r="C851" i="32"/>
  <c r="C853" i="32"/>
  <c r="C855" i="32"/>
  <c r="C857" i="32"/>
  <c r="C859" i="32"/>
  <c r="C879" i="32"/>
  <c r="C891" i="32"/>
  <c r="C893" i="32"/>
  <c r="C943" i="32"/>
  <c r="C959" i="32"/>
  <c r="C971" i="32"/>
  <c r="C981" i="32"/>
  <c r="C985" i="32"/>
  <c r="C989" i="32"/>
  <c r="C993" i="32"/>
  <c r="C995" i="32"/>
  <c r="C997" i="32"/>
  <c r="C1007" i="32"/>
  <c r="C1011" i="32"/>
  <c r="C1015" i="32"/>
  <c r="C1103" i="32"/>
  <c r="Q1103" i="32" s="1"/>
  <c r="C1105" i="32"/>
  <c r="Q1105" i="32" s="1"/>
  <c r="C1107" i="32"/>
  <c r="Q1107" i="32" s="1"/>
  <c r="C1109" i="32"/>
  <c r="Q1109" i="32" s="1"/>
  <c r="C1111" i="32"/>
  <c r="Q1111" i="32" s="1"/>
  <c r="C1119" i="32"/>
  <c r="Q1119" i="32" s="1"/>
  <c r="C1121" i="32"/>
  <c r="Q1121" i="32" s="1"/>
  <c r="C1123" i="32"/>
  <c r="Q1123" i="32" s="1"/>
  <c r="C1125" i="32"/>
  <c r="Q1125" i="32" s="1"/>
  <c r="C1127" i="32"/>
  <c r="Q1127" i="32" s="1"/>
  <c r="C1135" i="32"/>
  <c r="Q1135" i="32" s="1"/>
  <c r="C1137" i="32"/>
  <c r="C1139" i="32"/>
  <c r="Q1139" i="32" s="1"/>
  <c r="C1143" i="32"/>
  <c r="Q1143" i="32" s="1"/>
  <c r="C1149" i="32"/>
  <c r="Q1149" i="32" s="1"/>
  <c r="C1151" i="32"/>
  <c r="Q1151" i="32" s="1"/>
  <c r="C1159" i="32"/>
  <c r="C1163" i="32"/>
  <c r="Q1163" i="32" s="1"/>
  <c r="C1171" i="32"/>
  <c r="Q1171" i="32" s="1"/>
  <c r="C1177" i="32"/>
  <c r="Q1177" i="32" s="1"/>
  <c r="C1181" i="32"/>
  <c r="Q1181" i="32" s="1"/>
  <c r="C1183" i="32"/>
  <c r="C1187" i="32"/>
  <c r="Q1187" i="32" s="1"/>
  <c r="C1189" i="32"/>
  <c r="Q1189" i="32" s="1"/>
  <c r="C1191" i="32"/>
  <c r="C1193" i="32"/>
  <c r="Q1193" i="32" s="1"/>
  <c r="C1195" i="32"/>
  <c r="Q1195" i="32" s="1"/>
  <c r="C1197" i="32"/>
  <c r="Q1197" i="32" s="1"/>
  <c r="C1201" i="32"/>
  <c r="Q1201" i="32" s="1"/>
  <c r="C1203" i="32"/>
  <c r="Q1203" i="32" s="1"/>
  <c r="C1205" i="32"/>
  <c r="Q1205" i="32" s="1"/>
  <c r="C1209" i="32"/>
  <c r="Q1209" i="32" s="1"/>
  <c r="C1211" i="32"/>
  <c r="Q1211" i="32" s="1"/>
  <c r="C1213" i="32"/>
  <c r="Q1213" i="32" s="1"/>
  <c r="C1215" i="32"/>
  <c r="Q1215" i="32" s="1"/>
  <c r="C1219" i="32"/>
  <c r="Q1219" i="32" s="1"/>
  <c r="C1221" i="32"/>
  <c r="Q1221" i="32" s="1"/>
  <c r="C1223" i="32"/>
  <c r="Q1223" i="32" s="1"/>
  <c r="C1229" i="32"/>
  <c r="Q1229" i="32" s="1"/>
  <c r="C1233" i="32"/>
  <c r="Q1233" i="32" s="1"/>
  <c r="C1235" i="32"/>
  <c r="Q1235" i="32" s="1"/>
  <c r="C1239" i="32"/>
  <c r="Q1239" i="32" s="1"/>
  <c r="C1241" i="32"/>
  <c r="C1247" i="32"/>
  <c r="Q1247" i="32" s="1"/>
  <c r="C1253" i="32"/>
  <c r="Q1253" i="32" s="1"/>
  <c r="C1255" i="32"/>
  <c r="C1257" i="32"/>
  <c r="Q1257" i="32" s="1"/>
  <c r="C1267" i="32"/>
  <c r="Q1267" i="32" s="1"/>
  <c r="C1269" i="32"/>
  <c r="Q1269" i="32" s="1"/>
  <c r="C1273" i="32"/>
  <c r="Q1273" i="32" s="1"/>
  <c r="C1275" i="32"/>
  <c r="Q1275" i="32" s="1"/>
  <c r="C1279" i="32"/>
  <c r="C1283" i="32"/>
  <c r="Q1283" i="32" s="1"/>
  <c r="C1287" i="32"/>
  <c r="Q1287" i="32" s="1"/>
  <c r="C1289" i="32"/>
  <c r="Q1289" i="32" s="1"/>
  <c r="C1291" i="32"/>
  <c r="Q1291" i="32" s="1"/>
  <c r="C1295" i="32"/>
  <c r="Q1295" i="32" s="1"/>
  <c r="C1299" i="32"/>
  <c r="Q1299" i="32" s="1"/>
  <c r="C1301" i="32"/>
  <c r="Q1301" i="32" s="1"/>
  <c r="C1305" i="32"/>
  <c r="Q1305" i="32" s="1"/>
  <c r="C1307" i="32"/>
  <c r="Q1307" i="32" s="1"/>
  <c r="C1311" i="32"/>
  <c r="Q1311" i="32" s="1"/>
  <c r="C1319" i="32"/>
  <c r="Q1319" i="32" s="1"/>
  <c r="C1321" i="32"/>
  <c r="Q1321" i="32" s="1"/>
  <c r="C1323" i="32"/>
  <c r="Q1323" i="32" s="1"/>
  <c r="C1327" i="32"/>
  <c r="C1329" i="32"/>
  <c r="Q1329" i="32" s="1"/>
  <c r="C1331" i="32"/>
  <c r="Q1331" i="32" s="1"/>
  <c r="C1337" i="32"/>
  <c r="Q1337" i="32" s="1"/>
  <c r="C1341" i="32"/>
  <c r="Q1341" i="32" s="1"/>
  <c r="C1345" i="32"/>
  <c r="C1347" i="32"/>
  <c r="Q1347" i="32" s="1"/>
  <c r="C1349" i="32"/>
  <c r="Q1349" i="32" s="1"/>
  <c r="C1351" i="32"/>
  <c r="C1357" i="32"/>
  <c r="Q1357" i="32" s="1"/>
  <c r="C1363" i="32"/>
  <c r="Q1363" i="32" s="1"/>
  <c r="C1365" i="32"/>
  <c r="Q1365" i="32" s="1"/>
  <c r="C1369" i="32"/>
  <c r="Q1369" i="32" s="1"/>
  <c r="C1371" i="32"/>
  <c r="Q1371" i="32" s="1"/>
  <c r="C1377" i="32"/>
  <c r="Q1377" i="32" s="1"/>
  <c r="C1379" i="32"/>
  <c r="Q1379" i="32" s="1"/>
  <c r="C1381" i="32"/>
  <c r="Q1381" i="32" s="1"/>
  <c r="C1385" i="32"/>
  <c r="Q1385" i="32" s="1"/>
  <c r="C1395" i="32"/>
  <c r="Q1395" i="32" s="1"/>
  <c r="C1397" i="32"/>
  <c r="C1399" i="32"/>
  <c r="Q1399" i="32" s="1"/>
  <c r="C1403" i="32"/>
  <c r="Q1403" i="32" s="1"/>
  <c r="C1407" i="32"/>
  <c r="Q1407" i="32" s="1"/>
  <c r="C1419" i="32"/>
  <c r="Q1419" i="32" s="1"/>
  <c r="C1421" i="32"/>
  <c r="Q1421" i="32" s="1"/>
  <c r="C1423" i="32"/>
  <c r="Q1423" i="32" s="1"/>
  <c r="C1425" i="32"/>
  <c r="Q1425" i="32" s="1"/>
  <c r="C1431" i="32"/>
  <c r="Q1431" i="32" s="1"/>
  <c r="C1437" i="32"/>
  <c r="Q1437" i="32" s="1"/>
  <c r="C1443" i="32"/>
  <c r="C1445" i="32"/>
  <c r="Q1445" i="32" s="1"/>
  <c r="C1457" i="32"/>
  <c r="Q1457" i="32" s="1"/>
  <c r="C1467" i="32"/>
  <c r="Q1467" i="32" s="1"/>
  <c r="C1469" i="32"/>
  <c r="Q1469" i="32" s="1"/>
  <c r="C1473" i="32"/>
  <c r="Q1473" i="32" s="1"/>
  <c r="C1477" i="32"/>
  <c r="Q1477" i="32" s="1"/>
  <c r="C1483" i="32"/>
  <c r="Q1483" i="32" s="1"/>
  <c r="C1487" i="32"/>
  <c r="Q1487" i="32" s="1"/>
  <c r="C1495" i="32"/>
  <c r="Q1495" i="32" s="1"/>
  <c r="C1497" i="32"/>
  <c r="Q1497" i="32" s="1"/>
  <c r="C1507" i="32"/>
  <c r="Q1507" i="32" s="1"/>
  <c r="C1509" i="32"/>
  <c r="Q1509" i="32" s="1"/>
  <c r="C1511" i="32"/>
  <c r="Q1511" i="32" s="1"/>
  <c r="C1513" i="32"/>
  <c r="Q1513" i="32" s="1"/>
  <c r="C1515" i="32"/>
  <c r="Q1515" i="32" s="1"/>
  <c r="C1523" i="32"/>
  <c r="Q1523" i="32" s="1"/>
  <c r="C1525" i="32"/>
  <c r="Q1525" i="32" s="1"/>
  <c r="C1527" i="32"/>
  <c r="Q1527" i="32" s="1"/>
  <c r="C1531" i="32"/>
  <c r="Q1531" i="32" s="1"/>
  <c r="C1537" i="32"/>
  <c r="Q1537" i="32" s="1"/>
  <c r="C1541" i="32"/>
  <c r="Q1541" i="32" s="1"/>
  <c r="C1543" i="32"/>
  <c r="C1547" i="32"/>
  <c r="Q1547" i="32" s="1"/>
  <c r="C1551" i="32"/>
  <c r="C1555" i="32"/>
  <c r="Q1555" i="32" s="1"/>
  <c r="C1557" i="32"/>
  <c r="Q1557" i="32" s="1"/>
  <c r="C1561" i="32"/>
  <c r="Q1561" i="32" s="1"/>
  <c r="C1565" i="32"/>
  <c r="Q1565" i="32" s="1"/>
  <c r="C1569" i="32"/>
  <c r="Q1569" i="32" s="1"/>
  <c r="C1575" i="32"/>
  <c r="Q1575" i="32" s="1"/>
  <c r="C1577" i="32"/>
  <c r="Q1577" i="32" s="1"/>
  <c r="C1581" i="32"/>
  <c r="Q1581" i="32" s="1"/>
  <c r="C1583" i="32"/>
  <c r="Q1583" i="32" s="1"/>
  <c r="C1585" i="32"/>
  <c r="Q1585" i="32" s="1"/>
  <c r="C1587" i="32"/>
  <c r="Q1587" i="32" s="1"/>
  <c r="C1589" i="32"/>
  <c r="Q1589" i="32" s="1"/>
  <c r="C1591" i="32"/>
  <c r="C1593" i="32"/>
  <c r="Q1593" i="32" s="1"/>
  <c r="C1597" i="32"/>
  <c r="Q1597" i="32" s="1"/>
  <c r="C1599" i="32"/>
  <c r="Q1599" i="32" s="1"/>
  <c r="C1601" i="32"/>
  <c r="Q1601" i="32" s="1"/>
  <c r="C1603" i="32"/>
  <c r="Q1603" i="32" s="1"/>
  <c r="C1609" i="32"/>
  <c r="C1611" i="32"/>
  <c r="Q1611" i="32" s="1"/>
  <c r="C1613" i="32"/>
  <c r="Q1613" i="32" s="1"/>
  <c r="C1615" i="32"/>
  <c r="Q1615" i="32" s="1"/>
  <c r="AS9" i="34"/>
  <c r="AY9" i="34"/>
  <c r="AY10" i="34" s="1"/>
  <c r="AY11" i="34" s="1"/>
  <c r="AY12" i="34" s="1"/>
  <c r="AZ9" i="34"/>
  <c r="AS10" i="34"/>
  <c r="AS11" i="34"/>
  <c r="AS12" i="34"/>
  <c r="AS13" i="34"/>
  <c r="AS14" i="34"/>
  <c r="AS15" i="34"/>
  <c r="AS16" i="34"/>
  <c r="AS17" i="34"/>
  <c r="AS18" i="34"/>
  <c r="AS19" i="34"/>
  <c r="AS20" i="34"/>
  <c r="AS21" i="34"/>
  <c r="AS22" i="34"/>
  <c r="AS23" i="34"/>
  <c r="AS24" i="34"/>
  <c r="AS25" i="34"/>
  <c r="AS26" i="34"/>
  <c r="AS27" i="34"/>
  <c r="AS28" i="34"/>
  <c r="AS29" i="34"/>
  <c r="AS30" i="34"/>
  <c r="AS31" i="34"/>
  <c r="AS32" i="34"/>
  <c r="AS33" i="34"/>
  <c r="AS34" i="34"/>
  <c r="AS35" i="34"/>
  <c r="AS36" i="34"/>
  <c r="AS37" i="34"/>
  <c r="AS38" i="34"/>
  <c r="AS39" i="34"/>
  <c r="AS40" i="34"/>
  <c r="AS41" i="34"/>
  <c r="AS42" i="34"/>
  <c r="AS43" i="34"/>
  <c r="AS44" i="34"/>
  <c r="AS45" i="34"/>
  <c r="AS46" i="34"/>
  <c r="AS47" i="34"/>
  <c r="AS48" i="34"/>
  <c r="AS49" i="34"/>
  <c r="AS50" i="34"/>
  <c r="AS51" i="34"/>
  <c r="AS52" i="34"/>
  <c r="AS53" i="34"/>
  <c r="AS54" i="34"/>
  <c r="AS55" i="34"/>
  <c r="AS56" i="34"/>
  <c r="AS57" i="34"/>
  <c r="AS58" i="34"/>
  <c r="AS59" i="34"/>
  <c r="AS60" i="34"/>
  <c r="AS61" i="34"/>
  <c r="AS62" i="34"/>
  <c r="AS63" i="34"/>
  <c r="AS64" i="34"/>
  <c r="AS65" i="34"/>
  <c r="AS66" i="34"/>
  <c r="AS67" i="34"/>
  <c r="AS68" i="34"/>
  <c r="AS69" i="34"/>
  <c r="AS70" i="34"/>
  <c r="AS71" i="34"/>
  <c r="AS72" i="34"/>
  <c r="AS73" i="34"/>
  <c r="AS74" i="34"/>
  <c r="AS75" i="34"/>
  <c r="AS76" i="34"/>
  <c r="AS77" i="34"/>
  <c r="AS78" i="34"/>
  <c r="AS79" i="34"/>
  <c r="AS80" i="34"/>
  <c r="AS81" i="34"/>
  <c r="AS82" i="34"/>
  <c r="AS83" i="34"/>
  <c r="AS84" i="34"/>
  <c r="AS85" i="34"/>
  <c r="AS86" i="34"/>
  <c r="AS87" i="34"/>
  <c r="AS88" i="34"/>
  <c r="BE89" i="34"/>
  <c r="BF89" i="34"/>
  <c r="D10" i="24"/>
  <c r="D11" i="24"/>
  <c r="D12" i="24"/>
  <c r="D13" i="24"/>
  <c r="D14" i="24"/>
  <c r="D15" i="24"/>
  <c r="D16" i="24"/>
  <c r="AT54" i="24"/>
  <c r="AU54" i="24"/>
  <c r="AW54" i="24"/>
  <c r="AX54" i="24"/>
  <c r="AT56" i="24"/>
  <c r="AU56" i="24"/>
  <c r="AW56" i="24"/>
  <c r="AX56" i="24"/>
  <c r="AT58" i="24"/>
  <c r="AU58" i="24"/>
  <c r="AW58" i="24"/>
  <c r="AX58" i="24"/>
  <c r="AT60" i="24"/>
  <c r="AU60" i="24"/>
  <c r="AW60" i="24"/>
  <c r="AX60" i="24"/>
  <c r="AT62" i="24"/>
  <c r="AU62" i="24"/>
  <c r="AW62" i="24"/>
  <c r="AX62" i="24"/>
  <c r="AT64" i="24"/>
  <c r="AU64" i="24"/>
  <c r="AW64" i="24"/>
  <c r="AX64" i="24"/>
  <c r="AT66" i="24"/>
  <c r="AU66" i="24"/>
  <c r="AW66" i="24"/>
  <c r="AX66" i="24"/>
  <c r="AT68" i="24"/>
  <c r="AU68" i="24"/>
  <c r="AW68" i="24"/>
  <c r="AX68" i="24"/>
  <c r="AT70" i="24"/>
  <c r="AU70" i="24"/>
  <c r="AW70" i="24"/>
  <c r="AX70" i="24"/>
  <c r="AT72" i="24"/>
  <c r="AU72" i="24"/>
  <c r="AW72" i="24"/>
  <c r="AX72" i="24"/>
  <c r="AT74" i="24"/>
  <c r="AU74" i="24"/>
  <c r="AW74" i="24"/>
  <c r="AX74" i="24"/>
  <c r="AT76" i="24"/>
  <c r="AU76" i="24"/>
  <c r="AW76" i="24"/>
  <c r="AX76" i="24"/>
  <c r="AT78" i="24"/>
  <c r="AU78" i="24"/>
  <c r="AW78" i="24"/>
  <c r="AX78" i="24"/>
  <c r="AT80" i="24"/>
  <c r="AU80" i="24"/>
  <c r="AW80" i="24"/>
  <c r="AX80" i="24"/>
  <c r="AT82" i="24"/>
  <c r="AU82" i="24"/>
  <c r="AW82" i="24"/>
  <c r="AX82" i="24"/>
  <c r="O108" i="24"/>
  <c r="O110" i="24"/>
  <c r="O112" i="24"/>
  <c r="O114" i="24"/>
  <c r="O116" i="24"/>
  <c r="O118" i="24"/>
  <c r="O120" i="24"/>
  <c r="O122" i="24"/>
  <c r="O124" i="24"/>
  <c r="O126" i="24"/>
  <c r="O128" i="24"/>
  <c r="O130" i="24"/>
  <c r="O132" i="24"/>
  <c r="O134" i="24"/>
  <c r="O136" i="24"/>
  <c r="AV149" i="24"/>
  <c r="AW149" i="24"/>
  <c r="AX149" i="24"/>
  <c r="AY149" i="24"/>
  <c r="AZ149" i="24"/>
  <c r="BA149" i="24"/>
  <c r="AV151" i="24"/>
  <c r="AW151" i="24"/>
  <c r="AX151" i="24"/>
  <c r="AY151" i="24"/>
  <c r="AZ151" i="24"/>
  <c r="BA151" i="24"/>
  <c r="AV153" i="24"/>
  <c r="AW153" i="24"/>
  <c r="AX153" i="24"/>
  <c r="AY153" i="24"/>
  <c r="AZ153" i="24"/>
  <c r="BA153" i="24"/>
  <c r="AV155" i="24"/>
  <c r="AW155" i="24"/>
  <c r="AX155" i="24"/>
  <c r="AY155" i="24"/>
  <c r="AZ155" i="24"/>
  <c r="BA155" i="24"/>
  <c r="AV157" i="24"/>
  <c r="AW157" i="24"/>
  <c r="AX157" i="24"/>
  <c r="AY157" i="24"/>
  <c r="AZ157" i="24"/>
  <c r="BA157" i="24"/>
  <c r="AV159" i="24"/>
  <c r="AW159" i="24"/>
  <c r="AX159" i="24"/>
  <c r="AY159" i="24"/>
  <c r="AZ159" i="24"/>
  <c r="BA159" i="24"/>
  <c r="AV161" i="24"/>
  <c r="AW161" i="24"/>
  <c r="AX161" i="24"/>
  <c r="AY161" i="24"/>
  <c r="AZ161" i="24"/>
  <c r="BA161" i="24"/>
  <c r="AV163" i="24"/>
  <c r="AW163" i="24"/>
  <c r="AX163" i="24"/>
  <c r="AY163" i="24"/>
  <c r="AZ163" i="24"/>
  <c r="BA163" i="24"/>
  <c r="AV165" i="24"/>
  <c r="AW165" i="24"/>
  <c r="AX165" i="24"/>
  <c r="AY165" i="24"/>
  <c r="AZ165" i="24"/>
  <c r="BA165" i="24"/>
  <c r="AV167" i="24"/>
  <c r="AW167" i="24"/>
  <c r="AX167" i="24"/>
  <c r="AY167" i="24"/>
  <c r="AZ167" i="24"/>
  <c r="BA167" i="24"/>
  <c r="AV169" i="24"/>
  <c r="AW169" i="24"/>
  <c r="AX169" i="24"/>
  <c r="AY169" i="24"/>
  <c r="AZ169" i="24"/>
  <c r="BA169" i="24"/>
  <c r="AV171" i="24"/>
  <c r="AW171" i="24"/>
  <c r="AX171" i="24"/>
  <c r="AY171" i="24"/>
  <c r="AZ171" i="24"/>
  <c r="BA171" i="24"/>
  <c r="AV173" i="24"/>
  <c r="AW173" i="24"/>
  <c r="AX173" i="24"/>
  <c r="AY173" i="24"/>
  <c r="AZ173" i="24"/>
  <c r="BA173" i="24"/>
  <c r="AV175" i="24"/>
  <c r="AW175" i="24"/>
  <c r="AX175" i="24"/>
  <c r="AY175" i="24"/>
  <c r="AZ175" i="24"/>
  <c r="BA175" i="24"/>
  <c r="AV177" i="24"/>
  <c r="AW177" i="24"/>
  <c r="AX177" i="24"/>
  <c r="AY177" i="24"/>
  <c r="AZ177" i="24"/>
  <c r="BA177" i="24"/>
  <c r="G179" i="24"/>
  <c r="AV179" i="24"/>
  <c r="AW179" i="24"/>
  <c r="AX179" i="24"/>
  <c r="AY179" i="24"/>
  <c r="AZ179" i="24"/>
  <c r="BA179" i="24"/>
  <c r="G181" i="24"/>
  <c r="AV181" i="24"/>
  <c r="AW181" i="24"/>
  <c r="AX181" i="24"/>
  <c r="AY181" i="24"/>
  <c r="AZ181" i="24"/>
  <c r="BA181" i="24"/>
  <c r="G183" i="24"/>
  <c r="AV183" i="24"/>
  <c r="AW183" i="24"/>
  <c r="AX183" i="24"/>
  <c r="AY183" i="24"/>
  <c r="AZ183" i="24"/>
  <c r="BA183" i="24"/>
  <c r="G185" i="24"/>
  <c r="AV185" i="24"/>
  <c r="AW185" i="24"/>
  <c r="AX185" i="24"/>
  <c r="AY185" i="24"/>
  <c r="AZ185" i="24"/>
  <c r="BA185" i="24"/>
  <c r="G187" i="24"/>
  <c r="AV187" i="24"/>
  <c r="AW187" i="24"/>
  <c r="AX187" i="24"/>
  <c r="AY187" i="24"/>
  <c r="AZ187" i="24"/>
  <c r="BA187" i="24"/>
  <c r="G189" i="24"/>
  <c r="AV189" i="24"/>
  <c r="AW189" i="24"/>
  <c r="AX189" i="24"/>
  <c r="AY189" i="24"/>
  <c r="AZ189" i="24"/>
  <c r="BA189" i="24"/>
  <c r="G191" i="24"/>
  <c r="AV191" i="24"/>
  <c r="AW191" i="24"/>
  <c r="AX191" i="24"/>
  <c r="AY191" i="24"/>
  <c r="AZ191" i="24"/>
  <c r="BA191" i="24"/>
  <c r="G193" i="24"/>
  <c r="AV193" i="24"/>
  <c r="AW193" i="24"/>
  <c r="AX193" i="24"/>
  <c r="AY193" i="24"/>
  <c r="AZ193" i="24"/>
  <c r="BA193" i="24"/>
  <c r="G195" i="24"/>
  <c r="AV195" i="24"/>
  <c r="AW195" i="24"/>
  <c r="AX195" i="24"/>
  <c r="AY195" i="24"/>
  <c r="AZ195" i="24"/>
  <c r="BA195" i="24"/>
  <c r="G197" i="24"/>
  <c r="AV197" i="24"/>
  <c r="AW197" i="24"/>
  <c r="AX197" i="24"/>
  <c r="AY197" i="24"/>
  <c r="AZ197" i="24"/>
  <c r="BA197" i="24"/>
  <c r="G199" i="24"/>
  <c r="AV199" i="24"/>
  <c r="AW199" i="24"/>
  <c r="AX199" i="24"/>
  <c r="AY199" i="24"/>
  <c r="AZ199" i="24"/>
  <c r="BA199" i="24"/>
  <c r="G201" i="24"/>
  <c r="AV201" i="24"/>
  <c r="AW201" i="24"/>
  <c r="AX201" i="24"/>
  <c r="AY201" i="24"/>
  <c r="AZ201" i="24"/>
  <c r="BA201" i="24"/>
  <c r="G203" i="24"/>
  <c r="AV203" i="24"/>
  <c r="AW203" i="24"/>
  <c r="AX203" i="24"/>
  <c r="AY203" i="24"/>
  <c r="AZ203" i="24"/>
  <c r="BA203" i="24"/>
  <c r="G205" i="24"/>
  <c r="AV205" i="24"/>
  <c r="AW205" i="24"/>
  <c r="AX205" i="24"/>
  <c r="AY205" i="24"/>
  <c r="AZ205" i="24"/>
  <c r="BA205" i="24"/>
  <c r="G207" i="24"/>
  <c r="AV207" i="24"/>
  <c r="AW207" i="24"/>
  <c r="AX207" i="24"/>
  <c r="AY207" i="24"/>
  <c r="AZ207" i="24"/>
  <c r="BA207" i="24"/>
  <c r="D7" i="23"/>
  <c r="D8" i="23"/>
  <c r="D10" i="23"/>
  <c r="D11" i="23"/>
  <c r="D12" i="23"/>
  <c r="D13" i="23"/>
  <c r="D14" i="23"/>
  <c r="D15" i="23"/>
  <c r="D16" i="23"/>
  <c r="D17" i="23"/>
  <c r="D19" i="23"/>
  <c r="D20" i="23"/>
  <c r="D26" i="23"/>
  <c r="D28" i="23"/>
  <c r="D29" i="23"/>
  <c r="D30" i="23"/>
  <c r="D31" i="23"/>
  <c r="D32" i="23"/>
  <c r="D33" i="23"/>
  <c r="D34" i="23"/>
  <c r="D36" i="23"/>
  <c r="D37" i="23"/>
  <c r="D38" i="23"/>
  <c r="D39" i="23"/>
  <c r="D41" i="23"/>
  <c r="D42" i="23"/>
  <c r="D43" i="23"/>
  <c r="D44" i="23"/>
  <c r="D45" i="23"/>
  <c r="D46" i="23"/>
  <c r="D48" i="23"/>
  <c r="D49" i="23"/>
  <c r="D50" i="23"/>
  <c r="D51" i="23"/>
  <c r="D52" i="23"/>
  <c r="D54" i="23"/>
  <c r="D55" i="23"/>
  <c r="D56" i="23"/>
  <c r="D57" i="23"/>
  <c r="D58" i="23"/>
  <c r="D60" i="23"/>
  <c r="D61" i="23"/>
  <c r="D62" i="23"/>
  <c r="D63" i="23"/>
  <c r="D64" i="23"/>
  <c r="D65" i="23"/>
  <c r="D67" i="23"/>
  <c r="D68" i="23"/>
  <c r="D69" i="23"/>
  <c r="D70" i="23"/>
  <c r="D72" i="23"/>
  <c r="D73" i="23"/>
  <c r="D74" i="23"/>
  <c r="D75" i="23"/>
  <c r="D76" i="23"/>
  <c r="D77" i="23"/>
  <c r="D78" i="23"/>
  <c r="D80" i="23"/>
  <c r="D81" i="23"/>
  <c r="D82" i="23"/>
  <c r="D84" i="23"/>
  <c r="D85" i="23"/>
  <c r="D86" i="23"/>
  <c r="D87" i="23"/>
  <c r="D88" i="23"/>
  <c r="D89" i="23"/>
  <c r="D90" i="23"/>
  <c r="D91" i="23"/>
  <c r="D93" i="23"/>
  <c r="D94" i="23"/>
  <c r="D96" i="23"/>
  <c r="D97" i="23"/>
  <c r="D98" i="23"/>
  <c r="D99" i="23"/>
  <c r="D100" i="23"/>
  <c r="D101" i="23"/>
  <c r="D102" i="23"/>
  <c r="D103" i="23"/>
  <c r="D104" i="23"/>
  <c r="D106" i="23"/>
  <c r="D108" i="23"/>
  <c r="D109" i="23"/>
  <c r="D110" i="23"/>
  <c r="D111" i="23"/>
  <c r="D112" i="23"/>
  <c r="D113" i="23"/>
  <c r="D118" i="23"/>
  <c r="D119" i="23"/>
  <c r="D120" i="23"/>
  <c r="D121" i="23"/>
  <c r="D124" i="23"/>
  <c r="D125" i="23"/>
  <c r="D126" i="23"/>
  <c r="D127" i="23"/>
  <c r="D128" i="23"/>
  <c r="D129" i="23"/>
  <c r="D130" i="23"/>
  <c r="D131" i="23"/>
  <c r="D132" i="23"/>
  <c r="D133" i="23"/>
  <c r="D134" i="23"/>
  <c r="D137" i="23"/>
  <c r="D138" i="23"/>
  <c r="D139" i="23"/>
  <c r="D140" i="23"/>
  <c r="D141" i="23"/>
  <c r="D142" i="23"/>
  <c r="D143" i="23"/>
  <c r="D144" i="23"/>
  <c r="D145" i="23"/>
  <c r="D146" i="23"/>
  <c r="D148" i="23"/>
  <c r="D150" i="23"/>
  <c r="D151" i="23"/>
  <c r="D152" i="23"/>
  <c r="D153" i="23"/>
  <c r="D154" i="23"/>
  <c r="D155" i="23"/>
  <c r="D156" i="23"/>
  <c r="D157" i="23"/>
  <c r="D158" i="23"/>
  <c r="D160" i="23"/>
  <c r="D161" i="23"/>
  <c r="D168" i="23"/>
  <c r="D169" i="23"/>
  <c r="D170" i="23"/>
  <c r="D171" i="23"/>
  <c r="D172" i="23"/>
  <c r="D173" i="23"/>
  <c r="D174" i="23"/>
  <c r="D175" i="23"/>
  <c r="D176" i="23"/>
  <c r="D177" i="23"/>
  <c r="D178" i="23"/>
  <c r="D180" i="23"/>
  <c r="D181" i="23"/>
  <c r="D182" i="23"/>
  <c r="D183" i="23"/>
  <c r="D184" i="23"/>
  <c r="D185" i="23"/>
  <c r="D186" i="23"/>
  <c r="D187" i="23"/>
  <c r="D188" i="23"/>
  <c r="D189" i="23"/>
  <c r="D190" i="23"/>
  <c r="D192" i="23"/>
  <c r="D193" i="23"/>
  <c r="D194" i="23"/>
  <c r="D195" i="23"/>
  <c r="D196" i="23"/>
  <c r="D197" i="23"/>
  <c r="D198" i="23"/>
  <c r="D199" i="23"/>
  <c r="D200" i="23"/>
  <c r="D201" i="23"/>
  <c r="D202" i="23"/>
  <c r="D204" i="23"/>
  <c r="D205" i="23"/>
  <c r="D206" i="23"/>
  <c r="D207" i="23"/>
  <c r="D208" i="23"/>
  <c r="D209" i="23"/>
  <c r="D210" i="23"/>
  <c r="D211" i="23"/>
  <c r="D212" i="23"/>
  <c r="D213" i="23"/>
  <c r="D214" i="23"/>
  <c r="D216" i="23"/>
  <c r="D217" i="23"/>
  <c r="D218" i="23"/>
  <c r="D219" i="23"/>
  <c r="D220" i="23"/>
  <c r="D221" i="23"/>
  <c r="D222" i="23"/>
  <c r="D223" i="23"/>
  <c r="D224" i="23"/>
  <c r="D225" i="23"/>
  <c r="D226" i="23"/>
  <c r="D228" i="23"/>
  <c r="D229" i="23"/>
  <c r="D230" i="23"/>
  <c r="D231" i="23"/>
  <c r="D232" i="23"/>
  <c r="D233" i="23"/>
  <c r="D234" i="23"/>
  <c r="D235" i="23"/>
  <c r="D236" i="23"/>
  <c r="D237" i="23"/>
  <c r="D238" i="23"/>
  <c r="D240" i="23"/>
  <c r="D241" i="23"/>
  <c r="D242" i="23"/>
  <c r="D243" i="23"/>
  <c r="D250" i="23"/>
  <c r="D251" i="23"/>
  <c r="D252" i="23"/>
  <c r="D253" i="23"/>
  <c r="D254" i="23"/>
  <c r="D255" i="23"/>
  <c r="D256" i="23"/>
  <c r="D258" i="23"/>
  <c r="D259" i="23"/>
  <c r="D260" i="23"/>
  <c r="D261" i="23"/>
  <c r="D262" i="23"/>
  <c r="D263" i="23"/>
  <c r="D264" i="23"/>
  <c r="D265" i="23"/>
  <c r="D266" i="23"/>
  <c r="D267" i="23"/>
  <c r="D268" i="23"/>
  <c r="D270" i="23"/>
  <c r="D271" i="23"/>
  <c r="D272" i="23"/>
  <c r="D273" i="23"/>
  <c r="D274" i="23"/>
  <c r="D275" i="23"/>
  <c r="D276" i="23"/>
  <c r="D277" i="23"/>
  <c r="D278" i="23"/>
  <c r="D279" i="23"/>
  <c r="D280" i="23"/>
  <c r="D282" i="23"/>
  <c r="D283" i="23"/>
  <c r="D284" i="23"/>
  <c r="D285" i="23"/>
  <c r="D286" i="23"/>
  <c r="D287" i="23"/>
  <c r="D288" i="23"/>
  <c r="D289" i="23"/>
  <c r="D290" i="23"/>
  <c r="D291" i="23"/>
  <c r="D292" i="23"/>
  <c r="D294" i="23"/>
  <c r="D295" i="23"/>
  <c r="D296" i="23"/>
  <c r="D297" i="23"/>
  <c r="D298" i="23"/>
  <c r="D299" i="23"/>
  <c r="D300" i="23"/>
  <c r="D301" i="23"/>
  <c r="D302" i="23"/>
  <c r="D303" i="23"/>
  <c r="D304" i="23"/>
  <c r="D306" i="23"/>
  <c r="D307" i="23"/>
  <c r="D308" i="23"/>
  <c r="D309" i="23"/>
  <c r="D310" i="23"/>
  <c r="D311" i="23"/>
  <c r="D312" i="23"/>
  <c r="D313" i="23"/>
  <c r="D314" i="23"/>
  <c r="D315" i="23"/>
  <c r="D316" i="23"/>
  <c r="D318" i="23"/>
  <c r="D319" i="23"/>
  <c r="D320" i="23"/>
  <c r="D321" i="23"/>
  <c r="D322" i="23"/>
  <c r="D323" i="23"/>
  <c r="D324" i="23"/>
  <c r="D325" i="23"/>
  <c r="D326" i="23"/>
  <c r="D327" i="23"/>
  <c r="D328" i="23"/>
  <c r="D330" i="23"/>
  <c r="D331" i="23"/>
  <c r="D332" i="23"/>
  <c r="D333" i="23"/>
  <c r="D334" i="23"/>
  <c r="D335" i="23"/>
  <c r="D336" i="23"/>
  <c r="D337" i="23"/>
  <c r="D338" i="23"/>
  <c r="D339" i="23"/>
  <c r="D340" i="23"/>
  <c r="D342" i="23"/>
  <c r="D343" i="23"/>
  <c r="D344" i="23"/>
  <c r="D345" i="23"/>
  <c r="D346" i="23"/>
  <c r="D347" i="23"/>
  <c r="D348" i="23"/>
  <c r="D349" i="23"/>
  <c r="D350" i="23"/>
  <c r="D351" i="23"/>
  <c r="D352" i="23"/>
  <c r="D354" i="23"/>
  <c r="D355" i="23"/>
  <c r="D356" i="23"/>
  <c r="D357" i="23"/>
  <c r="D358" i="23"/>
  <c r="D359" i="23"/>
  <c r="D360" i="23"/>
  <c r="D361" i="23"/>
  <c r="D362" i="23"/>
  <c r="D363" i="23"/>
  <c r="D364" i="23"/>
  <c r="D366" i="23"/>
  <c r="D367" i="23"/>
  <c r="D368" i="23"/>
  <c r="D369" i="23"/>
  <c r="D370" i="23"/>
  <c r="D371" i="23"/>
  <c r="D372" i="23"/>
  <c r="D373" i="23"/>
  <c r="D374" i="23"/>
  <c r="D375" i="23"/>
  <c r="D376" i="23"/>
  <c r="D378" i="23"/>
  <c r="D379" i="23"/>
  <c r="D380" i="23"/>
  <c r="D381" i="23"/>
  <c r="D382" i="23"/>
  <c r="D383" i="23"/>
  <c r="D384" i="23"/>
  <c r="D385" i="23"/>
  <c r="D386" i="23"/>
  <c r="D387" i="23"/>
  <c r="B3" i="20"/>
  <c r="C3" i="20"/>
  <c r="E3" i="20"/>
  <c r="F3" i="20"/>
  <c r="B4" i="20"/>
  <c r="C4" i="20"/>
  <c r="C5" i="20" s="1"/>
  <c r="C6" i="20" s="1"/>
  <c r="E4" i="20"/>
  <c r="F4" i="20"/>
  <c r="B5" i="20"/>
  <c r="E5" i="20"/>
  <c r="F5" i="20"/>
  <c r="B6" i="20"/>
  <c r="F6" i="20"/>
  <c r="B7" i="20"/>
  <c r="E7" i="20"/>
  <c r="F7" i="20"/>
  <c r="B8" i="20"/>
  <c r="E8" i="20"/>
  <c r="F8" i="20"/>
  <c r="B9" i="20"/>
  <c r="E9" i="20"/>
  <c r="F9" i="20"/>
  <c r="B10" i="20"/>
  <c r="F10" i="20"/>
  <c r="B11" i="20"/>
  <c r="E11" i="20"/>
  <c r="F11" i="20"/>
  <c r="B12" i="20"/>
  <c r="C12" i="20"/>
  <c r="C13" i="20" s="1"/>
  <c r="C14" i="20" s="1"/>
  <c r="C15" i="20" s="1"/>
  <c r="C16" i="20" s="1"/>
  <c r="C17" i="20" s="1"/>
  <c r="E12" i="20"/>
  <c r="F12" i="20"/>
  <c r="B13" i="20"/>
  <c r="E13" i="20"/>
  <c r="F13" i="20"/>
  <c r="E14" i="20"/>
  <c r="F14" i="20"/>
  <c r="B15" i="20"/>
  <c r="E15" i="20"/>
  <c r="F15" i="20"/>
  <c r="B16" i="20"/>
  <c r="E16" i="20"/>
  <c r="F16" i="20"/>
  <c r="B17" i="20"/>
  <c r="E17" i="20"/>
  <c r="F17" i="20"/>
  <c r="E18" i="20"/>
  <c r="F18" i="20"/>
  <c r="B19" i="20"/>
  <c r="E19" i="20"/>
  <c r="F19" i="20"/>
  <c r="B20" i="20"/>
  <c r="C20" i="20"/>
  <c r="C21" i="20" s="1"/>
  <c r="C22" i="20" s="1"/>
  <c r="C23" i="20" s="1"/>
  <c r="E20" i="20"/>
  <c r="F20" i="20"/>
  <c r="B21" i="20"/>
  <c r="F21" i="20"/>
  <c r="B22" i="20"/>
  <c r="E22" i="20"/>
  <c r="F22" i="20"/>
  <c r="B23" i="20"/>
  <c r="E23" i="20"/>
  <c r="F23" i="20"/>
  <c r="B24" i="20"/>
  <c r="E24" i="20"/>
  <c r="F24" i="20"/>
  <c r="E25" i="20"/>
  <c r="F25" i="20"/>
  <c r="B26" i="20"/>
  <c r="E26" i="20"/>
  <c r="F26" i="20"/>
  <c r="B27" i="20"/>
  <c r="E27" i="20"/>
  <c r="F27" i="20"/>
  <c r="B28" i="20"/>
  <c r="E28" i="20"/>
  <c r="F28" i="20"/>
  <c r="C29" i="20"/>
  <c r="C30" i="20" s="1"/>
  <c r="E29" i="20"/>
  <c r="F29" i="20"/>
  <c r="B30" i="20"/>
  <c r="E30" i="20"/>
  <c r="F30" i="20"/>
  <c r="B31" i="20"/>
  <c r="C31" i="20"/>
  <c r="C32" i="20" s="1"/>
  <c r="E31" i="20"/>
  <c r="F31" i="20"/>
  <c r="E32" i="20"/>
  <c r="F32" i="20"/>
  <c r="B33" i="20"/>
  <c r="C33" i="20"/>
  <c r="E33" i="20"/>
  <c r="F33" i="20"/>
  <c r="B34" i="20"/>
  <c r="E34" i="20"/>
  <c r="F34" i="20"/>
  <c r="B35" i="20"/>
  <c r="E35" i="20"/>
  <c r="B36" i="20"/>
  <c r="E36" i="20"/>
  <c r="F36" i="20"/>
  <c r="B37" i="20"/>
  <c r="E37" i="20"/>
  <c r="F37" i="20"/>
  <c r="B38" i="20"/>
  <c r="C38" i="20"/>
  <c r="C39" i="20" s="1"/>
  <c r="C40" i="20" s="1"/>
  <c r="E38" i="20"/>
  <c r="F38" i="20"/>
  <c r="E39" i="20"/>
  <c r="F39" i="20"/>
  <c r="B40" i="20"/>
  <c r="E40" i="20"/>
  <c r="F40" i="20"/>
  <c r="B41" i="20"/>
  <c r="E41" i="20"/>
  <c r="F41" i="20"/>
  <c r="B42" i="20"/>
  <c r="E42" i="20"/>
  <c r="F42" i="20"/>
  <c r="C43" i="20"/>
  <c r="C44" i="20" s="1"/>
  <c r="C45" i="20" s="1"/>
  <c r="C46" i="20" s="1"/>
  <c r="D46" i="20" s="1"/>
  <c r="E43" i="20"/>
  <c r="F43" i="20"/>
  <c r="B44" i="20"/>
  <c r="E44" i="20"/>
  <c r="F44" i="20"/>
  <c r="B45" i="20"/>
  <c r="E45" i="20"/>
  <c r="F45" i="20"/>
  <c r="B46" i="20"/>
  <c r="E46" i="20"/>
  <c r="B47" i="20"/>
  <c r="C47" i="20"/>
  <c r="C48" i="20" s="1"/>
  <c r="C49" i="20" s="1"/>
  <c r="C50" i="20" s="1"/>
  <c r="E47" i="20"/>
  <c r="F47" i="20"/>
  <c r="B48" i="20"/>
  <c r="E48" i="20"/>
  <c r="F48" i="20"/>
  <c r="B49" i="20"/>
  <c r="E49" i="20"/>
  <c r="F49" i="20"/>
  <c r="B50" i="20"/>
  <c r="E50" i="20"/>
  <c r="F50" i="20"/>
  <c r="B51" i="20"/>
  <c r="E51" i="20"/>
  <c r="F51" i="20"/>
  <c r="B52" i="20"/>
  <c r="E52" i="20"/>
  <c r="F52" i="20"/>
  <c r="B53" i="20"/>
  <c r="C53" i="20"/>
  <c r="C54" i="20" s="1"/>
  <c r="E53" i="20"/>
  <c r="F53" i="20"/>
  <c r="B54" i="20"/>
  <c r="E54" i="20"/>
  <c r="F54" i="20"/>
  <c r="B55" i="20"/>
  <c r="C55" i="20"/>
  <c r="C56" i="20" s="1"/>
  <c r="C57" i="20" s="1"/>
  <c r="E55" i="20"/>
  <c r="F55" i="20"/>
  <c r="B56" i="20"/>
  <c r="E56" i="20"/>
  <c r="F56" i="20"/>
  <c r="B57" i="20"/>
  <c r="E57" i="20"/>
  <c r="F57" i="20"/>
  <c r="B58" i="20"/>
  <c r="C58" i="20"/>
  <c r="C59" i="20" s="1"/>
  <c r="E58" i="20"/>
  <c r="F58" i="20"/>
  <c r="B59" i="20"/>
  <c r="E59" i="20"/>
  <c r="F59" i="20"/>
  <c r="B60" i="20"/>
  <c r="C60" i="20"/>
  <c r="C61" i="20" s="1"/>
  <c r="E60" i="20"/>
  <c r="F60" i="20"/>
  <c r="B61" i="20"/>
  <c r="E61" i="20"/>
  <c r="F61" i="20"/>
  <c r="B62" i="20"/>
  <c r="C62" i="20"/>
  <c r="C63" i="20" s="1"/>
  <c r="E62" i="20"/>
  <c r="F62" i="20"/>
  <c r="B63" i="20"/>
  <c r="E63" i="20"/>
  <c r="F63" i="20"/>
  <c r="B64" i="20"/>
  <c r="E64" i="20"/>
  <c r="F64" i="20"/>
  <c r="B65" i="20"/>
  <c r="E65" i="20"/>
  <c r="F65" i="20"/>
  <c r="B69" i="20"/>
  <c r="C69" i="20"/>
  <c r="E69" i="20"/>
  <c r="F69" i="20"/>
  <c r="B70" i="20"/>
  <c r="C70" i="20"/>
  <c r="E70" i="20"/>
  <c r="F70" i="20"/>
  <c r="B71" i="20"/>
  <c r="E71" i="20"/>
  <c r="F71" i="20"/>
  <c r="B72" i="20"/>
  <c r="E72" i="20"/>
  <c r="F72" i="20"/>
  <c r="B73" i="20"/>
  <c r="E73" i="20"/>
  <c r="F73" i="20"/>
  <c r="B74" i="20"/>
  <c r="E74" i="20"/>
  <c r="F74" i="20"/>
  <c r="B75" i="20"/>
  <c r="C75" i="20"/>
  <c r="C76" i="20" s="1"/>
  <c r="E75" i="20"/>
  <c r="F75" i="20"/>
  <c r="B76" i="20"/>
  <c r="E76" i="20"/>
  <c r="F76" i="20"/>
  <c r="B77" i="20"/>
  <c r="C77" i="20"/>
  <c r="C78" i="20" s="1"/>
  <c r="E77" i="20"/>
  <c r="F77" i="20"/>
  <c r="B78" i="20"/>
  <c r="E78" i="20"/>
  <c r="F78" i="20"/>
  <c r="B79" i="20"/>
  <c r="C79" i="20"/>
  <c r="C80" i="20" s="1"/>
  <c r="C81" i="20" s="1"/>
  <c r="C82" i="20" s="1"/>
  <c r="C83" i="20" s="1"/>
  <c r="E79" i="20"/>
  <c r="F79" i="20"/>
  <c r="B80" i="20"/>
  <c r="E80" i="20"/>
  <c r="F80" i="20"/>
  <c r="B81" i="20"/>
  <c r="E81" i="20"/>
  <c r="F81" i="20"/>
  <c r="B82" i="20"/>
  <c r="E82" i="20"/>
  <c r="F82" i="20"/>
  <c r="B83" i="20"/>
  <c r="E83" i="20"/>
  <c r="F83" i="20"/>
  <c r="B84" i="20"/>
  <c r="C84" i="20"/>
  <c r="C85" i="20" s="1"/>
  <c r="C86" i="20" s="1"/>
  <c r="E84" i="20"/>
  <c r="F84" i="20"/>
  <c r="B85" i="20"/>
  <c r="E85" i="20"/>
  <c r="F85" i="20"/>
  <c r="B86" i="20"/>
  <c r="E86" i="20"/>
  <c r="F86" i="20"/>
  <c r="B87" i="20"/>
  <c r="E87" i="20"/>
  <c r="F87" i="20"/>
  <c r="B88" i="20"/>
  <c r="E88" i="20"/>
  <c r="F88" i="20"/>
  <c r="B89" i="20"/>
  <c r="C89" i="20"/>
  <c r="E89" i="20"/>
  <c r="F89" i="20"/>
  <c r="B90" i="20"/>
  <c r="E90" i="20"/>
  <c r="F90" i="20"/>
  <c r="B91" i="20"/>
  <c r="E91" i="20"/>
  <c r="F91" i="20"/>
  <c r="B92" i="20"/>
  <c r="E92" i="20"/>
  <c r="F92" i="20"/>
  <c r="B93" i="20"/>
  <c r="E93" i="20"/>
  <c r="F93" i="20"/>
  <c r="B94" i="20"/>
  <c r="C94" i="20"/>
  <c r="C95" i="20" s="1"/>
  <c r="C96" i="20" s="1"/>
  <c r="E94" i="20"/>
  <c r="F94" i="20"/>
  <c r="B95" i="20"/>
  <c r="E95" i="20"/>
  <c r="F95" i="20"/>
  <c r="B96" i="20"/>
  <c r="E96" i="20"/>
  <c r="F96" i="20"/>
  <c r="B97" i="20"/>
  <c r="C97" i="20"/>
  <c r="C98" i="20"/>
  <c r="E97" i="20"/>
  <c r="F97" i="20"/>
  <c r="B98" i="20"/>
  <c r="E98" i="20"/>
  <c r="F98" i="20"/>
  <c r="B99" i="20"/>
  <c r="E99" i="20"/>
  <c r="F99" i="20"/>
  <c r="B100" i="20"/>
  <c r="C100" i="20"/>
  <c r="C101" i="20" s="1"/>
  <c r="E100" i="20"/>
  <c r="F100" i="20"/>
  <c r="B101" i="20"/>
  <c r="E101" i="20"/>
  <c r="F101" i="20"/>
  <c r="B102" i="20"/>
  <c r="C102" i="20"/>
  <c r="C103" i="20" s="1"/>
  <c r="E102" i="20"/>
  <c r="F102" i="20"/>
  <c r="B103" i="20"/>
  <c r="E103" i="20"/>
  <c r="F103" i="20"/>
  <c r="B104" i="20"/>
  <c r="C104" i="20"/>
  <c r="C105" i="20" s="1"/>
  <c r="D105" i="20" s="1"/>
  <c r="E104" i="20"/>
  <c r="F104" i="20"/>
  <c r="B105" i="20"/>
  <c r="E105" i="20"/>
  <c r="F105" i="20"/>
  <c r="B106" i="20"/>
  <c r="C106" i="20"/>
  <c r="C107" i="20" s="1"/>
  <c r="E106" i="20"/>
  <c r="F106" i="20"/>
  <c r="B107" i="20"/>
  <c r="E107" i="20"/>
  <c r="F107" i="20"/>
  <c r="B108" i="20"/>
  <c r="E108" i="20"/>
  <c r="F108" i="20"/>
  <c r="B109" i="20"/>
  <c r="E109" i="20"/>
  <c r="F109" i="20"/>
  <c r="B110" i="20"/>
  <c r="E110" i="20"/>
  <c r="F110" i="20"/>
  <c r="B111" i="20"/>
  <c r="C111" i="20"/>
  <c r="C112" i="20" s="1"/>
  <c r="E111" i="20"/>
  <c r="F111" i="20"/>
  <c r="B112" i="20"/>
  <c r="E112" i="20"/>
  <c r="F112" i="20"/>
  <c r="B113" i="20"/>
  <c r="E113" i="20"/>
  <c r="F113" i="20"/>
  <c r="B114" i="20"/>
  <c r="E114" i="20"/>
  <c r="F114" i="20"/>
  <c r="B115" i="20"/>
  <c r="E115" i="20"/>
  <c r="F115" i="20"/>
  <c r="B116" i="20"/>
  <c r="C116" i="20"/>
  <c r="C117" i="20" s="1"/>
  <c r="E116" i="20"/>
  <c r="F116" i="20"/>
  <c r="B117" i="20"/>
  <c r="E117" i="20"/>
  <c r="F117" i="20"/>
  <c r="B118" i="20"/>
  <c r="E118" i="20"/>
  <c r="F118" i="20"/>
  <c r="B119" i="20"/>
  <c r="E119" i="20"/>
  <c r="F119" i="20"/>
  <c r="B120" i="20"/>
  <c r="E120" i="20"/>
  <c r="F120" i="20"/>
  <c r="B121" i="20"/>
  <c r="E121" i="20"/>
  <c r="F121" i="20"/>
  <c r="B122" i="20"/>
  <c r="E122" i="20"/>
  <c r="F122" i="20"/>
  <c r="B123" i="20"/>
  <c r="E123" i="20"/>
  <c r="F123" i="20"/>
  <c r="B124" i="20"/>
  <c r="E124" i="20"/>
  <c r="F124" i="20"/>
  <c r="B125" i="20"/>
  <c r="C125" i="20"/>
  <c r="C126" i="20" s="1"/>
  <c r="C127" i="20" s="1"/>
  <c r="E125" i="20"/>
  <c r="F125" i="20"/>
  <c r="B126" i="20"/>
  <c r="E126" i="20"/>
  <c r="F126" i="20"/>
  <c r="B127" i="20"/>
  <c r="E127" i="20"/>
  <c r="F127" i="20"/>
  <c r="B128" i="20"/>
  <c r="E128" i="20"/>
  <c r="F128" i="20"/>
  <c r="B129" i="20"/>
  <c r="E129" i="20"/>
  <c r="F129" i="20"/>
  <c r="B130" i="20"/>
  <c r="E130" i="20"/>
  <c r="F130" i="20"/>
  <c r="B131" i="20"/>
  <c r="E131" i="20"/>
  <c r="F131" i="20"/>
  <c r="B132" i="20"/>
  <c r="E132" i="20"/>
  <c r="F132" i="20"/>
  <c r="B133" i="20"/>
  <c r="C133" i="20"/>
  <c r="C134" i="20" s="1"/>
  <c r="E133" i="20"/>
  <c r="F133" i="20"/>
  <c r="B134" i="20"/>
  <c r="E134" i="20"/>
  <c r="F134" i="20"/>
  <c r="B135" i="20"/>
  <c r="C135" i="20"/>
  <c r="C136" i="20" s="1"/>
  <c r="E135" i="20"/>
  <c r="F135" i="20"/>
  <c r="B136" i="20"/>
  <c r="E136" i="20"/>
  <c r="F136" i="20"/>
  <c r="B137" i="20"/>
  <c r="C137" i="20"/>
  <c r="E137" i="20"/>
  <c r="F137" i="20"/>
  <c r="B138" i="20"/>
  <c r="E138" i="20"/>
  <c r="F138" i="20"/>
  <c r="B139" i="20"/>
  <c r="C139" i="20"/>
  <c r="C140" i="20" s="1"/>
  <c r="E139" i="20"/>
  <c r="F139" i="20"/>
  <c r="B140" i="20"/>
  <c r="E140" i="20"/>
  <c r="F140" i="20"/>
  <c r="B141" i="20"/>
  <c r="C141" i="20"/>
  <c r="C142" i="20" s="1"/>
  <c r="E141" i="20"/>
  <c r="F141" i="20"/>
  <c r="B142" i="20"/>
  <c r="E142" i="20"/>
  <c r="F142" i="20"/>
  <c r="B143" i="20"/>
  <c r="C143" i="20"/>
  <c r="C144" i="20" s="1"/>
  <c r="E143" i="20"/>
  <c r="F143" i="20"/>
  <c r="B144" i="20"/>
  <c r="E144" i="20"/>
  <c r="F144" i="20"/>
  <c r="B145" i="20"/>
  <c r="C145" i="20"/>
  <c r="C146" i="20" s="1"/>
  <c r="D146" i="20" s="1"/>
  <c r="E145" i="20"/>
  <c r="F145" i="20"/>
  <c r="B146" i="20"/>
  <c r="E146" i="20"/>
  <c r="F146" i="20"/>
  <c r="B147" i="20"/>
  <c r="E147" i="20"/>
  <c r="F147" i="20"/>
  <c r="B148" i="20"/>
  <c r="E148" i="20"/>
  <c r="F148" i="20"/>
  <c r="B149" i="20"/>
  <c r="E149" i="20"/>
  <c r="F149" i="20"/>
  <c r="B150" i="20"/>
  <c r="C150" i="20"/>
  <c r="E150" i="20"/>
  <c r="F150" i="20"/>
  <c r="B151" i="20"/>
  <c r="E151" i="20"/>
  <c r="F151" i="20"/>
  <c r="B155" i="20"/>
  <c r="C155" i="20"/>
  <c r="E155" i="20"/>
  <c r="F155" i="20"/>
  <c r="B156" i="20"/>
  <c r="C156" i="20"/>
  <c r="C157" i="20" s="1"/>
  <c r="E156" i="20"/>
  <c r="F156" i="20"/>
  <c r="B157" i="20"/>
  <c r="E157" i="20"/>
  <c r="F157" i="20"/>
  <c r="B158" i="20"/>
  <c r="C158" i="20"/>
  <c r="C159" i="20" s="1"/>
  <c r="D159" i="20" s="1"/>
  <c r="E158" i="20"/>
  <c r="F158" i="20"/>
  <c r="B159" i="20"/>
  <c r="E159" i="20"/>
  <c r="F159" i="20"/>
  <c r="B160" i="20"/>
  <c r="C160" i="20"/>
  <c r="C161" i="20" s="1"/>
  <c r="E160" i="20"/>
  <c r="F160" i="20"/>
  <c r="B161" i="20"/>
  <c r="E161" i="20"/>
  <c r="F161" i="20"/>
  <c r="B162" i="20"/>
  <c r="E162" i="20"/>
  <c r="F162" i="20"/>
  <c r="B163" i="20"/>
  <c r="E163" i="20"/>
  <c r="F163" i="20"/>
  <c r="B164" i="20"/>
  <c r="E164" i="20"/>
  <c r="F164" i="20"/>
  <c r="B165" i="20"/>
  <c r="C165" i="20"/>
  <c r="E165" i="20"/>
  <c r="F165" i="20"/>
  <c r="B166" i="20"/>
  <c r="E166" i="20"/>
  <c r="F166" i="20"/>
  <c r="B167" i="20"/>
  <c r="E167" i="20"/>
  <c r="F167" i="20"/>
  <c r="B168" i="20"/>
  <c r="E168" i="20"/>
  <c r="F168" i="20"/>
  <c r="B169" i="20"/>
  <c r="E169" i="20"/>
  <c r="F169" i="20"/>
  <c r="B170" i="20"/>
  <c r="C170" i="20"/>
  <c r="C171" i="20" s="1"/>
  <c r="E170" i="20"/>
  <c r="F170" i="20"/>
  <c r="B171" i="20"/>
  <c r="E171" i="20"/>
  <c r="F171" i="20"/>
  <c r="B172" i="20"/>
  <c r="C172" i="20"/>
  <c r="C173" i="20" s="1"/>
  <c r="E172" i="20"/>
  <c r="F172" i="20"/>
  <c r="B173" i="20"/>
  <c r="E173" i="20"/>
  <c r="F173" i="20"/>
  <c r="B174" i="20"/>
  <c r="C174" i="20"/>
  <c r="C175" i="20" s="1"/>
  <c r="E174" i="20"/>
  <c r="F174" i="20"/>
  <c r="B175" i="20"/>
  <c r="E175" i="20"/>
  <c r="F175" i="20"/>
  <c r="B176" i="20"/>
  <c r="E176" i="20"/>
  <c r="F176" i="20"/>
  <c r="B177" i="20"/>
  <c r="C177" i="20"/>
  <c r="C178" i="20" s="1"/>
  <c r="E177" i="20"/>
  <c r="F177" i="20"/>
  <c r="B178" i="20"/>
  <c r="E178" i="20"/>
  <c r="F178" i="20"/>
  <c r="B179" i="20"/>
  <c r="C179" i="20"/>
  <c r="C180" i="20" s="1"/>
  <c r="C181" i="20" s="1"/>
  <c r="E179" i="20"/>
  <c r="F179" i="20"/>
  <c r="B180" i="20"/>
  <c r="E180" i="20"/>
  <c r="F180" i="20"/>
  <c r="B181" i="20"/>
  <c r="E181" i="20"/>
  <c r="F181" i="20"/>
  <c r="B182" i="20"/>
  <c r="C182" i="20"/>
  <c r="C183" i="20" s="1"/>
  <c r="C184" i="20" s="1"/>
  <c r="E182" i="20"/>
  <c r="F182" i="20"/>
  <c r="B183" i="20"/>
  <c r="E183" i="20"/>
  <c r="F183" i="20"/>
  <c r="B184" i="20"/>
  <c r="E184" i="20"/>
  <c r="F184" i="20"/>
  <c r="B185" i="20"/>
  <c r="E185" i="20"/>
  <c r="F185" i="20"/>
  <c r="B186" i="20"/>
  <c r="E186" i="20"/>
  <c r="F186" i="20"/>
  <c r="B187" i="20"/>
  <c r="C187" i="20"/>
  <c r="C188" i="20" s="1"/>
  <c r="C189" i="20" s="1"/>
  <c r="E187" i="20"/>
  <c r="F187" i="20"/>
  <c r="B188" i="20"/>
  <c r="E188" i="20"/>
  <c r="F188" i="20"/>
  <c r="B189" i="20"/>
  <c r="E189" i="20"/>
  <c r="F189" i="20"/>
  <c r="B190" i="20"/>
  <c r="E190" i="20"/>
  <c r="F190" i="20"/>
  <c r="B191" i="20"/>
  <c r="C191" i="20"/>
  <c r="E191" i="20"/>
  <c r="F191" i="20"/>
  <c r="B192" i="20"/>
  <c r="E192" i="20"/>
  <c r="F192" i="20"/>
  <c r="B193" i="20"/>
  <c r="E193" i="20"/>
  <c r="F193" i="20"/>
  <c r="B194" i="20"/>
  <c r="E194" i="20"/>
  <c r="F194" i="20"/>
  <c r="B195" i="20"/>
  <c r="C195" i="20"/>
  <c r="C196" i="20" s="1"/>
  <c r="C197" i="20" s="1"/>
  <c r="C198" i="20" s="1"/>
  <c r="C199" i="20" s="1"/>
  <c r="E195" i="20"/>
  <c r="F195" i="20"/>
  <c r="B196" i="20"/>
  <c r="E196" i="20"/>
  <c r="F196" i="20"/>
  <c r="B197" i="20"/>
  <c r="E197" i="20"/>
  <c r="F197" i="20"/>
  <c r="B198" i="20"/>
  <c r="E198" i="20"/>
  <c r="F198" i="20"/>
  <c r="B199" i="20"/>
  <c r="E199" i="20"/>
  <c r="F199" i="20"/>
  <c r="B200" i="20"/>
  <c r="E200" i="20"/>
  <c r="F200" i="20"/>
  <c r="B201" i="20"/>
  <c r="E201" i="20"/>
  <c r="F201" i="20"/>
  <c r="B202" i="20"/>
  <c r="C202" i="20"/>
  <c r="C203" i="20" s="1"/>
  <c r="C204" i="20" s="1"/>
  <c r="E202" i="20"/>
  <c r="F202" i="20"/>
  <c r="B203" i="20"/>
  <c r="E203" i="20"/>
  <c r="F203" i="20"/>
  <c r="B204" i="20"/>
  <c r="E204" i="20"/>
  <c r="F204" i="20"/>
  <c r="B205" i="20"/>
  <c r="E205" i="20"/>
  <c r="F205" i="20"/>
  <c r="B206" i="20"/>
  <c r="E206" i="20"/>
  <c r="F206" i="20"/>
  <c r="B207" i="20"/>
  <c r="E207" i="20"/>
  <c r="F207" i="20"/>
  <c r="B208" i="20"/>
  <c r="E208" i="20"/>
  <c r="F208" i="20"/>
  <c r="B209" i="20"/>
  <c r="C209" i="20"/>
  <c r="C210" i="20" s="1"/>
  <c r="E209" i="20"/>
  <c r="F209" i="20"/>
  <c r="B210" i="20"/>
  <c r="E210" i="20"/>
  <c r="F210" i="20"/>
  <c r="B211" i="20"/>
  <c r="C211" i="20"/>
  <c r="C212" i="20" s="1"/>
  <c r="E211" i="20"/>
  <c r="F211" i="20"/>
  <c r="B212" i="20"/>
  <c r="E212" i="20"/>
  <c r="F212" i="20"/>
  <c r="B213" i="20"/>
  <c r="C213" i="20"/>
  <c r="E213" i="20"/>
  <c r="F213" i="20"/>
  <c r="B214" i="20"/>
  <c r="E214" i="20"/>
  <c r="F214" i="20"/>
  <c r="B215" i="20"/>
  <c r="E215" i="20"/>
  <c r="F215" i="20"/>
  <c r="B216" i="20"/>
  <c r="E216" i="20"/>
  <c r="F216" i="20"/>
  <c r="B217" i="20"/>
  <c r="E217" i="20"/>
  <c r="F217" i="20"/>
  <c r="B218" i="20"/>
  <c r="E218" i="20"/>
  <c r="F218" i="20"/>
  <c r="B219" i="20"/>
  <c r="E219" i="20"/>
  <c r="F219" i="20"/>
  <c r="B220" i="20"/>
  <c r="E220" i="20"/>
  <c r="F220" i="20"/>
  <c r="B221" i="20"/>
  <c r="E221" i="20"/>
  <c r="F221" i="20"/>
  <c r="B222" i="20"/>
  <c r="E222" i="20"/>
  <c r="F222" i="20"/>
  <c r="B223" i="20"/>
  <c r="E223" i="20"/>
  <c r="F223" i="20"/>
  <c r="B224" i="20"/>
  <c r="C224" i="20"/>
  <c r="E224" i="20"/>
  <c r="F224" i="20"/>
  <c r="B225" i="20"/>
  <c r="E225" i="20"/>
  <c r="F225" i="20"/>
  <c r="B226" i="20"/>
  <c r="E226" i="20"/>
  <c r="F226" i="20"/>
  <c r="B227" i="20"/>
  <c r="E227" i="20"/>
  <c r="F227" i="20"/>
  <c r="B228" i="20"/>
  <c r="E228" i="20"/>
  <c r="F228" i="20"/>
  <c r="B229" i="20"/>
  <c r="E229" i="20"/>
  <c r="F229" i="20"/>
  <c r="B230" i="20"/>
  <c r="E230" i="20"/>
  <c r="F230" i="20"/>
  <c r="B231" i="20"/>
  <c r="C231" i="20"/>
  <c r="C232" i="20" s="1"/>
  <c r="E231" i="20"/>
  <c r="F231" i="20"/>
  <c r="B232" i="20"/>
  <c r="C233" i="20"/>
  <c r="E232" i="20"/>
  <c r="F232" i="20"/>
  <c r="B233" i="20"/>
  <c r="E233" i="20"/>
  <c r="F233" i="20"/>
  <c r="B234" i="20"/>
  <c r="E234" i="20"/>
  <c r="F234" i="20"/>
  <c r="B235" i="20"/>
  <c r="E235" i="20"/>
  <c r="F235" i="20"/>
  <c r="B236" i="20"/>
  <c r="E236" i="20"/>
  <c r="F236" i="20"/>
  <c r="B237" i="20"/>
  <c r="E237" i="20"/>
  <c r="F237" i="20"/>
  <c r="B238" i="20"/>
  <c r="E238" i="20"/>
  <c r="F238" i="20"/>
  <c r="B239" i="20"/>
  <c r="E239" i="20"/>
  <c r="F239" i="20"/>
  <c r="B240" i="20"/>
  <c r="E240" i="20"/>
  <c r="F240" i="20"/>
  <c r="B241" i="20"/>
  <c r="E241" i="20"/>
  <c r="F241" i="20"/>
  <c r="B242" i="20"/>
  <c r="E242" i="20"/>
  <c r="F242" i="20"/>
  <c r="B243" i="20"/>
  <c r="E243" i="20"/>
  <c r="F243" i="20"/>
  <c r="B244" i="20"/>
  <c r="E244" i="20"/>
  <c r="F244" i="20"/>
  <c r="B245" i="20"/>
  <c r="E245" i="20"/>
  <c r="F245" i="20"/>
  <c r="B246" i="20"/>
  <c r="E246" i="20"/>
  <c r="F246" i="20"/>
  <c r="B247" i="20"/>
  <c r="E247" i="20"/>
  <c r="F247" i="20"/>
  <c r="B248" i="20"/>
  <c r="E248" i="20"/>
  <c r="F248" i="20"/>
  <c r="B249" i="20"/>
  <c r="C249" i="20"/>
  <c r="C250" i="20" s="1"/>
  <c r="C251" i="20" s="1"/>
  <c r="E249" i="20"/>
  <c r="F249" i="20"/>
  <c r="B250" i="20"/>
  <c r="E250" i="20"/>
  <c r="F250" i="20"/>
  <c r="B251" i="20"/>
  <c r="E251" i="20"/>
  <c r="F251" i="20"/>
  <c r="B252" i="20"/>
  <c r="E252" i="20"/>
  <c r="F252" i="20"/>
  <c r="B253" i="20"/>
  <c r="E253" i="20"/>
  <c r="F253" i="20"/>
  <c r="B254" i="20"/>
  <c r="E254" i="20"/>
  <c r="F254" i="20"/>
  <c r="B255" i="20"/>
  <c r="E255" i="20"/>
  <c r="F255" i="20"/>
  <c r="B256" i="20"/>
  <c r="E256" i="20"/>
  <c r="F256" i="20"/>
  <c r="B257" i="20"/>
  <c r="E257" i="20"/>
  <c r="F257" i="20"/>
  <c r="B258" i="20"/>
  <c r="E258" i="20"/>
  <c r="F258" i="20"/>
  <c r="B259" i="20"/>
  <c r="E259" i="20"/>
  <c r="F259" i="20"/>
  <c r="B260" i="20"/>
  <c r="E260" i="20"/>
  <c r="F260" i="20"/>
  <c r="B261" i="20"/>
  <c r="E261" i="20"/>
  <c r="F261" i="20"/>
  <c r="B262" i="20"/>
  <c r="E262" i="20"/>
  <c r="F262" i="20"/>
  <c r="B263" i="20"/>
  <c r="E263" i="20"/>
  <c r="F263" i="20"/>
  <c r="B264" i="20"/>
  <c r="E264" i="20"/>
  <c r="F264" i="20"/>
  <c r="B265" i="20"/>
  <c r="C265" i="20"/>
  <c r="C266" i="20" s="1"/>
  <c r="C267" i="20" s="1"/>
  <c r="E265" i="20"/>
  <c r="F265" i="20"/>
  <c r="B266" i="20"/>
  <c r="E266" i="20"/>
  <c r="F266" i="20"/>
  <c r="B267" i="20"/>
  <c r="E267" i="20"/>
  <c r="F267" i="20"/>
  <c r="B268" i="20"/>
  <c r="C268" i="20"/>
  <c r="C269" i="20" s="1"/>
  <c r="C270" i="20" s="1"/>
  <c r="E268" i="20"/>
  <c r="F268" i="20"/>
  <c r="B269" i="20"/>
  <c r="E269" i="20"/>
  <c r="F269" i="20"/>
  <c r="B270" i="20"/>
  <c r="E270" i="20"/>
  <c r="F270" i="20"/>
  <c r="B271" i="20"/>
  <c r="E271" i="20"/>
  <c r="F271" i="20"/>
  <c r="B272" i="20"/>
  <c r="E272" i="20"/>
  <c r="F272" i="20"/>
  <c r="B273" i="20"/>
  <c r="E273" i="20"/>
  <c r="F273" i="20"/>
  <c r="B274" i="20"/>
  <c r="E274" i="20"/>
  <c r="F274" i="20"/>
  <c r="B275" i="20"/>
  <c r="E275" i="20"/>
  <c r="F275" i="20"/>
  <c r="B276" i="20"/>
  <c r="C276" i="20"/>
  <c r="C277" i="20" s="1"/>
  <c r="C278" i="20" s="1"/>
  <c r="C279" i="20" s="1"/>
  <c r="C280" i="20" s="1"/>
  <c r="C281" i="20" s="1"/>
  <c r="E276" i="20"/>
  <c r="F276" i="20"/>
  <c r="B277" i="20"/>
  <c r="E277" i="20"/>
  <c r="F277" i="20"/>
  <c r="B278" i="20"/>
  <c r="E278" i="20"/>
  <c r="F278" i="20"/>
  <c r="B279" i="20"/>
  <c r="E279" i="20"/>
  <c r="F279" i="20"/>
  <c r="B280" i="20"/>
  <c r="E280" i="20"/>
  <c r="F280" i="20"/>
  <c r="B281" i="20"/>
  <c r="E281" i="20"/>
  <c r="F281" i="20"/>
  <c r="B282" i="20"/>
  <c r="E282" i="20"/>
  <c r="F282" i="20"/>
  <c r="B283" i="20"/>
  <c r="C283" i="20"/>
  <c r="E283" i="20"/>
  <c r="F283" i="20"/>
  <c r="B284" i="20"/>
  <c r="E284" i="20"/>
  <c r="F284" i="20"/>
  <c r="B285" i="20"/>
  <c r="E285" i="20"/>
  <c r="F285" i="20"/>
  <c r="B286" i="20"/>
  <c r="C286" i="20"/>
  <c r="C287" i="20" s="1"/>
  <c r="E286" i="20"/>
  <c r="F286" i="20"/>
  <c r="B287" i="20"/>
  <c r="E287" i="20"/>
  <c r="F287" i="20"/>
  <c r="B288" i="20"/>
  <c r="C288" i="20"/>
  <c r="C289" i="20" s="1"/>
  <c r="E288" i="20"/>
  <c r="F288" i="20"/>
  <c r="B289" i="20"/>
  <c r="E289" i="20"/>
  <c r="F289" i="20"/>
  <c r="B290" i="20"/>
  <c r="E290" i="20"/>
  <c r="F290" i="20"/>
  <c r="B291" i="20"/>
  <c r="E291" i="20"/>
  <c r="F291" i="20"/>
  <c r="B292" i="20"/>
  <c r="C292" i="20"/>
  <c r="C293" i="20" s="1"/>
  <c r="E292" i="20"/>
  <c r="F292" i="20"/>
  <c r="B293" i="20"/>
  <c r="E293" i="20"/>
  <c r="F293" i="20"/>
  <c r="B294" i="20"/>
  <c r="E294" i="20"/>
  <c r="F294" i="20"/>
  <c r="B295" i="20"/>
  <c r="E295" i="20"/>
  <c r="F295" i="20"/>
  <c r="B296" i="20"/>
  <c r="E296" i="20"/>
  <c r="F296" i="20"/>
  <c r="B297" i="20"/>
  <c r="E297" i="20"/>
  <c r="F297" i="20"/>
  <c r="B298" i="20"/>
  <c r="C298" i="20"/>
  <c r="C299" i="20" s="1"/>
  <c r="E298" i="20"/>
  <c r="F298" i="20"/>
  <c r="B299" i="20"/>
  <c r="E299" i="20"/>
  <c r="F299" i="20"/>
  <c r="B300" i="20"/>
  <c r="E300" i="20"/>
  <c r="F300" i="20"/>
  <c r="B301" i="20"/>
  <c r="E301" i="20"/>
  <c r="F301" i="20"/>
  <c r="B302" i="20"/>
  <c r="E302" i="20"/>
  <c r="F302" i="20"/>
  <c r="B303" i="20"/>
  <c r="E303" i="20"/>
  <c r="F303" i="20"/>
  <c r="B304" i="20"/>
  <c r="C304" i="20"/>
  <c r="C305" i="20" s="1"/>
  <c r="E304" i="20"/>
  <c r="F304" i="20"/>
  <c r="B305" i="20"/>
  <c r="E305" i="20"/>
  <c r="F305" i="20"/>
  <c r="B306" i="20"/>
  <c r="E306" i="20"/>
  <c r="F306" i="20"/>
  <c r="B307" i="20"/>
  <c r="E307" i="20"/>
  <c r="F307" i="20"/>
  <c r="B308" i="20"/>
  <c r="E308" i="20"/>
  <c r="F308" i="20"/>
  <c r="B309" i="20"/>
  <c r="E309" i="20"/>
  <c r="F309" i="20"/>
  <c r="B310" i="20"/>
  <c r="C310" i="20"/>
  <c r="C311" i="20" s="1"/>
  <c r="C312" i="20" s="1"/>
  <c r="E310" i="20"/>
  <c r="F310" i="20"/>
  <c r="B311" i="20"/>
  <c r="E311" i="20"/>
  <c r="F311" i="20"/>
  <c r="B312" i="20"/>
  <c r="E312" i="20"/>
  <c r="F312" i="20"/>
  <c r="B313" i="20"/>
  <c r="E313" i="20"/>
  <c r="F313" i="20"/>
  <c r="B314" i="20"/>
  <c r="E314" i="20"/>
  <c r="F314" i="20"/>
  <c r="B315" i="20"/>
  <c r="C315" i="20"/>
  <c r="C316" i="20" s="1"/>
  <c r="C317" i="20" s="1"/>
  <c r="C318" i="20" s="1"/>
  <c r="C319" i="20" s="1"/>
  <c r="C320" i="20" s="1"/>
  <c r="C321" i="20" s="1"/>
  <c r="C322" i="20" s="1"/>
  <c r="E315" i="20"/>
  <c r="F315" i="20"/>
  <c r="B316" i="20"/>
  <c r="E316" i="20"/>
  <c r="F316" i="20"/>
  <c r="B317" i="20"/>
  <c r="E317" i="20"/>
  <c r="F317" i="20"/>
  <c r="B318" i="20"/>
  <c r="E318" i="20"/>
  <c r="F318" i="20"/>
  <c r="B319" i="20"/>
  <c r="D319" i="20" s="1"/>
  <c r="E319" i="20"/>
  <c r="F319" i="20"/>
  <c r="B320" i="20"/>
  <c r="E320" i="20"/>
  <c r="F320" i="20"/>
  <c r="B321" i="20"/>
  <c r="E321" i="20"/>
  <c r="F321" i="20"/>
  <c r="B322" i="20"/>
  <c r="E322" i="20"/>
  <c r="F322" i="20"/>
  <c r="B323" i="20"/>
  <c r="E323" i="20"/>
  <c r="F323" i="20"/>
  <c r="B324" i="20"/>
  <c r="E324" i="20"/>
  <c r="F324" i="20"/>
  <c r="B325" i="20"/>
  <c r="C325" i="20"/>
  <c r="C326" i="20" s="1"/>
  <c r="C327" i="20" s="1"/>
  <c r="E325" i="20"/>
  <c r="F325" i="20"/>
  <c r="B326" i="20"/>
  <c r="E326" i="20"/>
  <c r="F326" i="20"/>
  <c r="B327" i="20"/>
  <c r="E327" i="20"/>
  <c r="F327" i="20"/>
  <c r="B328" i="20"/>
  <c r="C328" i="20"/>
  <c r="C329" i="20" s="1"/>
  <c r="C330" i="20" s="1"/>
  <c r="C331" i="20" s="1"/>
  <c r="E328" i="20"/>
  <c r="F328" i="20"/>
  <c r="B329" i="20"/>
  <c r="E329" i="20"/>
  <c r="F329" i="20"/>
  <c r="B330" i="20"/>
  <c r="E330" i="20"/>
  <c r="F330" i="20"/>
  <c r="B331" i="20"/>
  <c r="E331" i="20"/>
  <c r="F331" i="20"/>
  <c r="B332" i="20"/>
  <c r="C332" i="20"/>
  <c r="C333" i="20" s="1"/>
  <c r="C334" i="20" s="1"/>
  <c r="C335" i="20" s="1"/>
  <c r="E332" i="20"/>
  <c r="F332" i="20"/>
  <c r="B333" i="20"/>
  <c r="E333" i="20"/>
  <c r="F333" i="20"/>
  <c r="B334" i="20"/>
  <c r="D334" i="20" s="1"/>
  <c r="E334" i="20"/>
  <c r="F334" i="20"/>
  <c r="B335" i="20"/>
  <c r="E335" i="20"/>
  <c r="F335" i="20"/>
  <c r="B336" i="20"/>
  <c r="C336" i="20"/>
  <c r="C337" i="20" s="1"/>
  <c r="C338" i="20" s="1"/>
  <c r="C339" i="20" s="1"/>
  <c r="E336" i="20"/>
  <c r="F336" i="20"/>
  <c r="B337" i="20"/>
  <c r="E337" i="20"/>
  <c r="F337" i="20"/>
  <c r="B338" i="20"/>
  <c r="E338" i="20"/>
  <c r="F338" i="20"/>
  <c r="B339" i="20"/>
  <c r="D339" i="20" s="1"/>
  <c r="E339" i="20"/>
  <c r="F339" i="20"/>
  <c r="B340" i="20"/>
  <c r="C340" i="20"/>
  <c r="C341" i="20" s="1"/>
  <c r="C342" i="20" s="1"/>
  <c r="E340" i="20"/>
  <c r="F340" i="20"/>
  <c r="B341" i="20"/>
  <c r="E341" i="20"/>
  <c r="F341" i="20"/>
  <c r="B342" i="20"/>
  <c r="E342" i="20"/>
  <c r="F342" i="20"/>
  <c r="B343" i="20"/>
  <c r="E343" i="20"/>
  <c r="F343" i="20"/>
  <c r="B344" i="20"/>
  <c r="C344" i="20"/>
  <c r="C345" i="20" s="1"/>
  <c r="E344" i="20"/>
  <c r="F344" i="20"/>
  <c r="B345" i="20"/>
  <c r="E345" i="20"/>
  <c r="F345" i="20"/>
  <c r="B346" i="20"/>
  <c r="C346" i="20"/>
  <c r="C347" i="20" s="1"/>
  <c r="E346" i="20"/>
  <c r="F346" i="20"/>
  <c r="B347" i="20"/>
  <c r="E347" i="20"/>
  <c r="F347" i="20"/>
  <c r="B348" i="20"/>
  <c r="C348" i="20"/>
  <c r="C349" i="20" s="1"/>
  <c r="E348" i="20"/>
  <c r="F348" i="20"/>
  <c r="B349" i="20"/>
  <c r="E349" i="20"/>
  <c r="F349" i="20"/>
  <c r="B350" i="20"/>
  <c r="C350" i="20"/>
  <c r="C351" i="20" s="1"/>
  <c r="E350" i="20"/>
  <c r="F350" i="20"/>
  <c r="B351" i="20"/>
  <c r="E351" i="20"/>
  <c r="F351" i="20"/>
  <c r="B352" i="20"/>
  <c r="C352" i="20"/>
  <c r="C353" i="20" s="1"/>
  <c r="E352" i="20"/>
  <c r="F352" i="20"/>
  <c r="B353" i="20"/>
  <c r="E353" i="20"/>
  <c r="F353" i="20"/>
  <c r="B354" i="20"/>
  <c r="C354" i="20"/>
  <c r="C355" i="20" s="1"/>
  <c r="E354" i="20"/>
  <c r="F354" i="20"/>
  <c r="B355" i="20"/>
  <c r="E355" i="20"/>
  <c r="F355" i="20"/>
  <c r="B356" i="20"/>
  <c r="C356" i="20"/>
  <c r="C357" i="20" s="1"/>
  <c r="E356" i="20"/>
  <c r="F356" i="20"/>
  <c r="B357" i="20"/>
  <c r="E357" i="20"/>
  <c r="F357" i="20"/>
  <c r="B358" i="20"/>
  <c r="C358" i="20"/>
  <c r="E358" i="20"/>
  <c r="F358" i="20"/>
  <c r="B359" i="20"/>
  <c r="E359" i="20"/>
  <c r="F359" i="20"/>
  <c r="B360" i="20"/>
  <c r="E360" i="20"/>
  <c r="F360" i="20"/>
  <c r="B361" i="20"/>
  <c r="E361" i="20"/>
  <c r="F361" i="20"/>
  <c r="B362" i="20"/>
  <c r="C362" i="20"/>
  <c r="E362" i="20"/>
  <c r="F362" i="20"/>
  <c r="B363" i="20"/>
  <c r="E363" i="20"/>
  <c r="F363" i="20"/>
  <c r="B364" i="20"/>
  <c r="E364" i="20"/>
  <c r="F364" i="20"/>
  <c r="B365" i="20"/>
  <c r="E365" i="20"/>
  <c r="F365" i="20"/>
  <c r="B366" i="20"/>
  <c r="C366" i="20"/>
  <c r="C367" i="20" s="1"/>
  <c r="E366" i="20"/>
  <c r="F366" i="20"/>
  <c r="B367" i="20"/>
  <c r="E367" i="20"/>
  <c r="F367" i="20"/>
  <c r="B368" i="20"/>
  <c r="E368" i="20"/>
  <c r="F368" i="20"/>
  <c r="B369" i="20"/>
  <c r="E369" i="20"/>
  <c r="F369" i="20"/>
  <c r="B370" i="20"/>
  <c r="E370" i="20"/>
  <c r="F370" i="20"/>
  <c r="B371" i="20"/>
  <c r="C371" i="20"/>
  <c r="C372" i="20" s="1"/>
  <c r="C373" i="20" s="1"/>
  <c r="E371" i="20"/>
  <c r="F371" i="20"/>
  <c r="B372" i="20"/>
  <c r="E372" i="20"/>
  <c r="F372" i="20"/>
  <c r="B373" i="20"/>
  <c r="E373" i="20"/>
  <c r="F373" i="20"/>
  <c r="B374" i="20"/>
  <c r="E374" i="20"/>
  <c r="F374" i="20"/>
  <c r="B375" i="20"/>
  <c r="E375" i="20"/>
  <c r="F375" i="20"/>
  <c r="B376" i="20"/>
  <c r="C376" i="20"/>
  <c r="C377" i="20" s="1"/>
  <c r="E376" i="20"/>
  <c r="F376" i="20"/>
  <c r="B377" i="20"/>
  <c r="E377" i="20"/>
  <c r="F377" i="20"/>
  <c r="B378" i="20"/>
  <c r="E378" i="20"/>
  <c r="F378" i="20"/>
  <c r="B379" i="20"/>
  <c r="E379" i="20"/>
  <c r="F379" i="20"/>
  <c r="B380" i="20"/>
  <c r="C380" i="20"/>
  <c r="C381" i="20" s="1"/>
  <c r="C382" i="20" s="1"/>
  <c r="C383" i="20" s="1"/>
  <c r="E380" i="20"/>
  <c r="F380" i="20"/>
  <c r="B381" i="20"/>
  <c r="E381" i="20"/>
  <c r="F381" i="20"/>
  <c r="B382" i="20"/>
  <c r="E382" i="20"/>
  <c r="F382" i="20"/>
  <c r="B383" i="20"/>
  <c r="D383" i="20" s="1"/>
  <c r="E383" i="20"/>
  <c r="F383" i="20"/>
  <c r="B384" i="20"/>
  <c r="E384" i="20"/>
  <c r="F384" i="20"/>
  <c r="J3" i="22"/>
  <c r="J4" i="22"/>
  <c r="J5" i="22"/>
  <c r="J6" i="22"/>
  <c r="J7" i="22"/>
  <c r="J8" i="22"/>
  <c r="J9" i="22"/>
  <c r="J10" i="22"/>
  <c r="J11" i="22"/>
  <c r="J12" i="22"/>
  <c r="J13" i="22"/>
  <c r="J14" i="22"/>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J399" i="22"/>
  <c r="J400" i="22"/>
  <c r="J401" i="22"/>
  <c r="J402" i="22"/>
  <c r="J403" i="22"/>
  <c r="J404" i="22"/>
  <c r="J405" i="22"/>
  <c r="J406" i="22"/>
  <c r="J407" i="22"/>
  <c r="J408" i="22"/>
  <c r="J409" i="22"/>
  <c r="J410" i="22"/>
  <c r="J411" i="22"/>
  <c r="J412" i="22"/>
  <c r="J413" i="22"/>
  <c r="J414" i="22"/>
  <c r="J415" i="22"/>
  <c r="J416" i="22"/>
  <c r="J417" i="22"/>
  <c r="J418" i="22"/>
  <c r="J419" i="22"/>
  <c r="J420" i="22"/>
  <c r="J421" i="22"/>
  <c r="J422" i="22"/>
  <c r="J423" i="22"/>
  <c r="J424" i="22"/>
  <c r="J425" i="22"/>
  <c r="J426" i="22"/>
  <c r="J427" i="22"/>
  <c r="J428" i="22"/>
  <c r="J429" i="22"/>
  <c r="J430" i="22"/>
  <c r="J431" i="22"/>
  <c r="J432" i="22"/>
  <c r="J433" i="22"/>
  <c r="J434" i="22"/>
  <c r="J435" i="22"/>
  <c r="J436" i="22"/>
  <c r="J437" i="22"/>
  <c r="J438" i="22"/>
  <c r="J439" i="22"/>
  <c r="J440" i="22"/>
  <c r="J441" i="22"/>
  <c r="J442" i="22"/>
  <c r="J443" i="22"/>
  <c r="J444" i="22"/>
  <c r="J445" i="22"/>
  <c r="J446" i="22"/>
  <c r="J447" i="22"/>
  <c r="J448" i="22"/>
  <c r="J449" i="22"/>
  <c r="J450" i="22"/>
  <c r="J451" i="22"/>
  <c r="J452" i="22"/>
  <c r="J453" i="22"/>
  <c r="J454" i="22"/>
  <c r="J455" i="22"/>
  <c r="J456" i="22"/>
  <c r="J457" i="22"/>
  <c r="J458" i="22"/>
  <c r="J459" i="22"/>
  <c r="J460" i="22"/>
  <c r="J461" i="22"/>
  <c r="J462" i="22"/>
  <c r="J463" i="22"/>
  <c r="J464" i="22"/>
  <c r="J465" i="22"/>
  <c r="J466" i="22"/>
  <c r="J467" i="22"/>
  <c r="J468" i="22"/>
  <c r="J469" i="22"/>
  <c r="J470" i="22"/>
  <c r="J471" i="22"/>
  <c r="J472" i="22"/>
  <c r="J473" i="22"/>
  <c r="J474" i="22"/>
  <c r="J475" i="22"/>
  <c r="J476" i="22"/>
  <c r="J477" i="22"/>
  <c r="J478" i="22"/>
  <c r="J479" i="22"/>
  <c r="J480" i="22"/>
  <c r="J481" i="22"/>
  <c r="J482" i="22"/>
  <c r="J483" i="22"/>
  <c r="J484" i="22"/>
  <c r="J485" i="22"/>
  <c r="J486" i="22"/>
  <c r="J487" i="22"/>
  <c r="J488" i="22"/>
  <c r="J489" i="22"/>
  <c r="J490" i="22"/>
  <c r="J491" i="22"/>
  <c r="J492" i="22"/>
  <c r="J493" i="22"/>
  <c r="J494" i="22"/>
  <c r="J495" i="22"/>
  <c r="J496" i="22"/>
  <c r="J497" i="22"/>
  <c r="J498" i="22"/>
  <c r="J499" i="22"/>
  <c r="J500" i="22"/>
  <c r="J501" i="22"/>
  <c r="J502" i="22"/>
  <c r="J503" i="22"/>
  <c r="J504" i="22"/>
  <c r="J505" i="22"/>
  <c r="J506" i="22"/>
  <c r="J507" i="22"/>
  <c r="J508" i="22"/>
  <c r="J509" i="22"/>
  <c r="J510" i="22"/>
  <c r="J511" i="22"/>
  <c r="J512" i="22"/>
  <c r="J513" i="22"/>
  <c r="J514" i="22"/>
  <c r="J515" i="22"/>
  <c r="J516" i="22"/>
  <c r="J517" i="22"/>
  <c r="J518" i="22"/>
  <c r="J519" i="22"/>
  <c r="J520" i="22"/>
  <c r="J521" i="22"/>
  <c r="J522" i="22"/>
  <c r="J523" i="22"/>
  <c r="J524" i="22"/>
  <c r="J525" i="22"/>
  <c r="J526" i="22"/>
  <c r="J527" i="22"/>
  <c r="J528" i="22"/>
  <c r="J529" i="22"/>
  <c r="J530" i="22"/>
  <c r="J531" i="22"/>
  <c r="J532" i="22"/>
  <c r="J533" i="22"/>
  <c r="J534" i="22"/>
  <c r="J535" i="22"/>
  <c r="J536" i="22"/>
  <c r="J537" i="22"/>
  <c r="J538" i="22"/>
  <c r="J539" i="22"/>
  <c r="J540" i="22"/>
  <c r="J541" i="22"/>
  <c r="J542" i="22"/>
  <c r="J543" i="22"/>
  <c r="J544" i="22"/>
  <c r="J545" i="22"/>
  <c r="J546" i="22"/>
  <c r="J547" i="22"/>
  <c r="J548" i="22"/>
  <c r="J549" i="22"/>
  <c r="J550" i="22"/>
  <c r="J551" i="22"/>
  <c r="J552" i="22"/>
  <c r="J553" i="22"/>
  <c r="J554" i="22"/>
  <c r="J555" i="22"/>
  <c r="J556" i="22"/>
  <c r="J557" i="22"/>
  <c r="J558" i="22"/>
  <c r="J559" i="22"/>
  <c r="J560" i="22"/>
  <c r="J561" i="22"/>
  <c r="J562" i="22"/>
  <c r="J563" i="22"/>
  <c r="J564" i="22"/>
  <c r="J565" i="22"/>
  <c r="J566" i="22"/>
  <c r="J567" i="22"/>
  <c r="J568" i="22"/>
  <c r="J569" i="22"/>
  <c r="J570" i="22"/>
  <c r="J571" i="22"/>
  <c r="J572" i="22"/>
  <c r="J573" i="22"/>
  <c r="J574" i="22"/>
  <c r="J575" i="22"/>
  <c r="J576" i="22"/>
  <c r="J577" i="22"/>
  <c r="J578" i="22"/>
  <c r="J579" i="22"/>
  <c r="J580" i="22"/>
  <c r="J581" i="22"/>
  <c r="J582" i="22"/>
  <c r="J583" i="22"/>
  <c r="J584" i="22"/>
  <c r="J585" i="22"/>
  <c r="J586" i="22"/>
  <c r="J587" i="22"/>
  <c r="J588" i="22"/>
  <c r="J589" i="22"/>
  <c r="J590" i="22"/>
  <c r="J591" i="22"/>
  <c r="J592" i="22"/>
  <c r="J593" i="22"/>
  <c r="J594" i="22"/>
  <c r="J595" i="22"/>
  <c r="J596" i="22"/>
  <c r="J597" i="22"/>
  <c r="J598" i="22"/>
  <c r="J599" i="22"/>
  <c r="J600" i="22"/>
  <c r="J601" i="22"/>
  <c r="J602" i="22"/>
  <c r="J603" i="22"/>
  <c r="J604" i="22"/>
  <c r="J605" i="22"/>
  <c r="J606" i="22"/>
  <c r="J607" i="22"/>
  <c r="J608" i="22"/>
  <c r="J609" i="22"/>
  <c r="J610" i="22"/>
  <c r="J611" i="22"/>
  <c r="J612" i="22"/>
  <c r="J613" i="22"/>
  <c r="J614" i="22"/>
  <c r="J615" i="22"/>
  <c r="J616" i="22"/>
  <c r="J617" i="22"/>
  <c r="J618" i="22"/>
  <c r="J619" i="22"/>
  <c r="J620" i="22"/>
  <c r="J621" i="22"/>
  <c r="J622" i="22"/>
  <c r="J623" i="22"/>
  <c r="J624" i="22"/>
  <c r="J625" i="22"/>
  <c r="J626" i="22"/>
  <c r="J627" i="22"/>
  <c r="J628" i="22"/>
  <c r="J629" i="22"/>
  <c r="J630" i="22"/>
  <c r="J631" i="22"/>
  <c r="J632" i="22"/>
  <c r="J633" i="22"/>
  <c r="J634" i="22"/>
  <c r="J635" i="22"/>
  <c r="J636" i="22"/>
  <c r="J637" i="22"/>
  <c r="J638" i="22"/>
  <c r="J639" i="22"/>
  <c r="J640" i="22"/>
  <c r="J641" i="22"/>
  <c r="J642" i="22"/>
  <c r="J643" i="22"/>
  <c r="J644" i="22"/>
  <c r="J645" i="22"/>
  <c r="J646" i="22"/>
  <c r="J647" i="22"/>
  <c r="J648" i="22"/>
  <c r="J649" i="22"/>
  <c r="J650" i="22"/>
  <c r="J651" i="22"/>
  <c r="J652" i="22"/>
  <c r="J653" i="22"/>
  <c r="J654" i="22"/>
  <c r="J655" i="22"/>
  <c r="J656" i="22"/>
  <c r="J657" i="22"/>
  <c r="J658" i="22"/>
  <c r="J659" i="22"/>
  <c r="J660" i="22"/>
  <c r="J661" i="22"/>
  <c r="J662" i="22"/>
  <c r="J663" i="22"/>
  <c r="J664" i="22"/>
  <c r="J665" i="22"/>
  <c r="J666" i="22"/>
  <c r="J667" i="22"/>
  <c r="J668" i="22"/>
  <c r="J669" i="22"/>
  <c r="J670" i="22"/>
  <c r="J671" i="22"/>
  <c r="J672" i="22"/>
  <c r="J673" i="22"/>
  <c r="J674" i="22"/>
  <c r="J675" i="22"/>
  <c r="J676" i="22"/>
  <c r="J677" i="22"/>
  <c r="J678" i="22"/>
  <c r="J679" i="22"/>
  <c r="J680" i="22"/>
  <c r="J681" i="22"/>
  <c r="J682" i="22"/>
  <c r="J683" i="22"/>
  <c r="J684" i="22"/>
  <c r="J685" i="22"/>
  <c r="J686" i="22"/>
  <c r="J687" i="22"/>
  <c r="J688" i="22"/>
  <c r="J689" i="22"/>
  <c r="J690" i="22"/>
  <c r="J691" i="22"/>
  <c r="J692" i="22"/>
  <c r="J693" i="22"/>
  <c r="J694" i="22"/>
  <c r="J695" i="22"/>
  <c r="J696" i="22"/>
  <c r="J697" i="22"/>
  <c r="J698" i="22"/>
  <c r="J699" i="22"/>
  <c r="J700" i="22"/>
  <c r="J701" i="22"/>
  <c r="J702" i="22"/>
  <c r="J703" i="22"/>
  <c r="J704" i="22"/>
  <c r="J705" i="22"/>
  <c r="J706" i="22"/>
  <c r="J707" i="22"/>
  <c r="J708" i="22"/>
  <c r="J709" i="22"/>
  <c r="J710" i="22"/>
  <c r="J711" i="22"/>
  <c r="J712" i="22"/>
  <c r="J713" i="22"/>
  <c r="J714" i="22"/>
  <c r="J715" i="22"/>
  <c r="J716" i="22"/>
  <c r="J717" i="22"/>
  <c r="J718" i="22"/>
  <c r="J719" i="22"/>
  <c r="J720" i="22"/>
  <c r="J721" i="22"/>
  <c r="J722" i="22"/>
  <c r="J723" i="22"/>
  <c r="J724" i="22"/>
  <c r="J725" i="22"/>
  <c r="J726" i="22"/>
  <c r="J727" i="22"/>
  <c r="J728" i="22"/>
  <c r="J729" i="22"/>
  <c r="J730" i="22"/>
  <c r="J731" i="22"/>
  <c r="J732" i="22"/>
  <c r="J733" i="22"/>
  <c r="J734" i="22"/>
  <c r="J735" i="22"/>
  <c r="J736" i="22"/>
  <c r="J737" i="22"/>
  <c r="J738" i="22"/>
  <c r="J739" i="22"/>
  <c r="J740" i="22"/>
  <c r="J741" i="22"/>
  <c r="J742" i="22"/>
  <c r="J743" i="22"/>
  <c r="J744" i="22"/>
  <c r="J745" i="22"/>
  <c r="J746" i="22"/>
  <c r="J747" i="22"/>
  <c r="J748" i="22"/>
  <c r="J749" i="22"/>
  <c r="J750" i="22"/>
  <c r="J751" i="22"/>
  <c r="J752" i="22"/>
  <c r="J753" i="22"/>
  <c r="J754" i="22"/>
  <c r="J755" i="22"/>
  <c r="J756" i="22"/>
  <c r="J757" i="22"/>
  <c r="J758" i="22"/>
  <c r="J759" i="22"/>
  <c r="J760" i="22"/>
  <c r="J761" i="22"/>
  <c r="J762" i="22"/>
  <c r="J763" i="22"/>
  <c r="J764" i="22"/>
  <c r="J765" i="22"/>
  <c r="J766" i="22"/>
  <c r="J767" i="22"/>
  <c r="J768" i="22"/>
  <c r="J769" i="22"/>
  <c r="J770" i="22"/>
  <c r="J771" i="22"/>
  <c r="J772" i="22"/>
  <c r="J773" i="22"/>
  <c r="J774" i="22"/>
  <c r="J775" i="22"/>
  <c r="J776" i="22"/>
  <c r="J777" i="22"/>
  <c r="J778" i="22"/>
  <c r="J779" i="22"/>
  <c r="J780" i="22"/>
  <c r="J781" i="22"/>
  <c r="J782" i="22"/>
  <c r="J783" i="22"/>
  <c r="J784" i="22"/>
  <c r="J785" i="22"/>
  <c r="J786" i="22"/>
  <c r="J787" i="22"/>
  <c r="J788" i="22"/>
  <c r="J789" i="22"/>
  <c r="J790" i="22"/>
  <c r="J791" i="22"/>
  <c r="J792" i="22"/>
  <c r="J793" i="22"/>
  <c r="J794" i="22"/>
  <c r="J795" i="22"/>
  <c r="J796" i="22"/>
  <c r="J797" i="22"/>
  <c r="J798" i="22"/>
  <c r="J799" i="22"/>
  <c r="J800" i="22"/>
  <c r="J801" i="22"/>
  <c r="J802" i="22"/>
  <c r="J803" i="22"/>
  <c r="J804" i="22"/>
  <c r="J805" i="22"/>
  <c r="J806" i="22"/>
  <c r="J807" i="22"/>
  <c r="J808" i="22"/>
  <c r="J809" i="22"/>
  <c r="J810" i="22"/>
  <c r="J811" i="22"/>
  <c r="J812" i="22"/>
  <c r="J813" i="22"/>
  <c r="J814" i="22"/>
  <c r="J815" i="22"/>
  <c r="J816" i="22"/>
  <c r="J817" i="22"/>
  <c r="J818" i="22"/>
  <c r="J819" i="22"/>
  <c r="J820" i="22"/>
  <c r="J821" i="22"/>
  <c r="J822" i="22"/>
  <c r="J823" i="22"/>
  <c r="J824" i="22"/>
  <c r="J825" i="22"/>
  <c r="J826" i="22"/>
  <c r="J827" i="22"/>
  <c r="J828" i="22"/>
  <c r="J829" i="22"/>
  <c r="J830" i="22"/>
  <c r="J831" i="22"/>
  <c r="J832" i="22"/>
  <c r="J833" i="22"/>
  <c r="J834" i="22"/>
  <c r="J835" i="22"/>
  <c r="J836" i="22"/>
  <c r="J837" i="22"/>
  <c r="J838" i="22"/>
  <c r="J839" i="22"/>
  <c r="J840" i="22"/>
  <c r="J841" i="22"/>
  <c r="J842" i="22"/>
  <c r="J843" i="22"/>
  <c r="J844" i="22"/>
  <c r="J845" i="22"/>
  <c r="J846" i="22"/>
  <c r="J847" i="22"/>
  <c r="J848" i="22"/>
  <c r="J849" i="22"/>
  <c r="J850" i="22"/>
  <c r="J851" i="22"/>
  <c r="J852" i="22"/>
  <c r="J853" i="22"/>
  <c r="J854" i="22"/>
  <c r="J855" i="22"/>
  <c r="J856" i="22"/>
  <c r="J857" i="22"/>
  <c r="J858" i="22"/>
  <c r="J859" i="22"/>
  <c r="J860" i="22"/>
  <c r="J861" i="22"/>
  <c r="J862" i="22"/>
  <c r="J863" i="22"/>
  <c r="J864" i="22"/>
  <c r="J865" i="22"/>
  <c r="J866" i="22"/>
  <c r="J867" i="22"/>
  <c r="J868" i="22"/>
  <c r="J869" i="22"/>
  <c r="J870" i="22"/>
  <c r="J871" i="22"/>
  <c r="J872" i="22"/>
  <c r="J873" i="22"/>
  <c r="J874" i="22"/>
  <c r="J875" i="22"/>
  <c r="J876" i="22"/>
  <c r="J877" i="22"/>
  <c r="J878" i="22"/>
  <c r="J879" i="22"/>
  <c r="J880" i="22"/>
  <c r="J881" i="22"/>
  <c r="J882" i="22"/>
  <c r="J883" i="22"/>
  <c r="J884" i="22"/>
  <c r="J885" i="22"/>
  <c r="J886" i="22"/>
  <c r="J887" i="22"/>
  <c r="J888" i="22"/>
  <c r="J889" i="22"/>
  <c r="J890" i="22"/>
  <c r="J891" i="22"/>
  <c r="J892" i="22"/>
  <c r="J893" i="22"/>
  <c r="J894" i="22"/>
  <c r="J895" i="22"/>
  <c r="J896" i="22"/>
  <c r="J897" i="22"/>
  <c r="J898" i="22"/>
  <c r="J899" i="22"/>
  <c r="J900" i="22"/>
  <c r="J901" i="22"/>
  <c r="J902" i="22"/>
  <c r="J903" i="22"/>
  <c r="J904" i="22"/>
  <c r="J905" i="22"/>
  <c r="J906" i="22"/>
  <c r="J907" i="22"/>
  <c r="J908" i="22"/>
  <c r="J909" i="22"/>
  <c r="J910" i="22"/>
  <c r="J911" i="22"/>
  <c r="J912" i="22"/>
  <c r="J913" i="22"/>
  <c r="J914" i="22"/>
  <c r="J915" i="22"/>
  <c r="F2" i="19"/>
  <c r="C3" i="19" a="1"/>
  <c r="C3" i="19" s="1"/>
  <c r="F3" i="19"/>
  <c r="F4" i="19"/>
  <c r="F5" i="19"/>
  <c r="F6" i="19"/>
  <c r="F7" i="19"/>
  <c r="F8" i="19"/>
  <c r="F9" i="19"/>
  <c r="F10" i="19"/>
  <c r="F11" i="19"/>
  <c r="F12" i="19"/>
  <c r="F13" i="19"/>
  <c r="C22" i="19" a="1"/>
  <c r="C22" i="19" s="1"/>
  <c r="C23" i="19" s="1" a="1"/>
  <c r="C23" i="19" s="1"/>
  <c r="A1107" i="19" a="1"/>
  <c r="A1107" i="19" s="1"/>
  <c r="D326" i="20"/>
  <c r="AW63" i="33"/>
  <c r="AX63" i="33"/>
  <c r="AY63" i="33"/>
  <c r="AY61" i="33"/>
  <c r="AY39" i="33"/>
  <c r="AW59" i="33"/>
  <c r="AX59" i="33"/>
  <c r="AY59" i="33"/>
  <c r="AY57" i="33"/>
  <c r="AY33" i="33"/>
  <c r="AX57" i="33"/>
  <c r="A103" i="36"/>
  <c r="A99" i="36"/>
  <c r="I220" i="24" s="1"/>
  <c r="A95" i="36"/>
  <c r="P107" i="24" s="1"/>
  <c r="A91" i="36"/>
  <c r="A107" i="24" s="1"/>
  <c r="A87" i="36"/>
  <c r="M8" i="34" s="1"/>
  <c r="A83" i="36"/>
  <c r="A1" i="34" s="1"/>
  <c r="A79" i="36"/>
  <c r="C315" i="32" s="1"/>
  <c r="A75" i="36"/>
  <c r="E9" i="32" s="1"/>
  <c r="A71" i="36"/>
  <c r="E5" i="32" s="1"/>
  <c r="A67" i="36"/>
  <c r="J148" i="24" s="1"/>
  <c r="A63" i="36"/>
  <c r="P8" i="31" s="1"/>
  <c r="A59" i="36"/>
  <c r="A1" i="31" s="1"/>
  <c r="A55" i="36"/>
  <c r="A51" i="36"/>
  <c r="H8" i="31" s="1"/>
  <c r="A47" i="36"/>
  <c r="K13" i="1" s="1"/>
  <c r="A43" i="36"/>
  <c r="AC8" i="31" s="1"/>
  <c r="A39" i="36"/>
  <c r="AB8" i="31" s="1"/>
  <c r="A35" i="36"/>
  <c r="C8" i="34" s="1"/>
  <c r="A31" i="36"/>
  <c r="A27" i="36"/>
  <c r="E77" i="1" s="1"/>
  <c r="A23" i="36"/>
  <c r="A59" i="1" s="1"/>
  <c r="B39" i="24" s="1"/>
  <c r="A19" i="36"/>
  <c r="E46" i="1" s="1"/>
  <c r="A15" i="36"/>
  <c r="E26" i="1" s="1"/>
  <c r="A11" i="36"/>
  <c r="A16" i="24" s="1"/>
  <c r="A7" i="36"/>
  <c r="A7" i="1" s="1"/>
  <c r="C2" i="28"/>
  <c r="K2" i="28" s="1"/>
  <c r="F3" i="29"/>
  <c r="D4" i="16"/>
  <c r="C5" i="16"/>
  <c r="J5" i="16" s="1"/>
  <c r="D8" i="16"/>
  <c r="D5" i="16"/>
  <c r="C6" i="16"/>
  <c r="D9" i="16"/>
  <c r="C10" i="16"/>
  <c r="D6" i="16"/>
  <c r="C7" i="16"/>
  <c r="J7" i="16"/>
  <c r="D10" i="16"/>
  <c r="C8" i="16"/>
  <c r="J8" i="16" s="1"/>
  <c r="D12" i="16"/>
  <c r="C13" i="16"/>
  <c r="J13" i="16" s="1"/>
  <c r="D16" i="16"/>
  <c r="C17" i="16"/>
  <c r="J17" i="16" s="1"/>
  <c r="D25" i="16"/>
  <c r="D13" i="16"/>
  <c r="C14" i="16"/>
  <c r="J14" i="16" s="1"/>
  <c r="D17" i="16"/>
  <c r="C18" i="16"/>
  <c r="J18" i="16"/>
  <c r="C26" i="16"/>
  <c r="C28" i="16"/>
  <c r="C30" i="16"/>
  <c r="J30" i="16" s="1"/>
  <c r="C32" i="16"/>
  <c r="J32" i="16" s="1"/>
  <c r="C34" i="16"/>
  <c r="J34" i="16" s="1"/>
  <c r="C36" i="16"/>
  <c r="J36" i="16" s="1"/>
  <c r="C38" i="16"/>
  <c r="J38" i="16" s="1"/>
  <c r="C40" i="16"/>
  <c r="J40" i="16" s="1"/>
  <c r="C42" i="16"/>
  <c r="J42" i="16" s="1"/>
  <c r="C44" i="16"/>
  <c r="J44" i="16" s="1"/>
  <c r="C46" i="16"/>
  <c r="J46" i="16" s="1"/>
  <c r="C48" i="16"/>
  <c r="J48" i="16" s="1"/>
  <c r="C50" i="16"/>
  <c r="J50" i="16" s="1"/>
  <c r="C52" i="16"/>
  <c r="J52" i="16" s="1"/>
  <c r="C54" i="16"/>
  <c r="J54" i="16" s="1"/>
  <c r="C56" i="16"/>
  <c r="J56" i="16" s="1"/>
  <c r="C58" i="16"/>
  <c r="J58" i="16" s="1"/>
  <c r="C60" i="16"/>
  <c r="J60" i="16" s="1"/>
  <c r="C62" i="16"/>
  <c r="J62" i="16" s="1"/>
  <c r="C64" i="16"/>
  <c r="J64" i="16" s="1"/>
  <c r="C66" i="16"/>
  <c r="J66" i="16" s="1"/>
  <c r="C68" i="16"/>
  <c r="J68" i="16" s="1"/>
  <c r="C4" i="16"/>
  <c r="J4" i="16" s="1"/>
  <c r="D7" i="16"/>
  <c r="C11" i="16"/>
  <c r="J11" i="16" s="1"/>
  <c r="D14" i="16"/>
  <c r="D18" i="16"/>
  <c r="D26" i="16"/>
  <c r="C31" i="16"/>
  <c r="J31" i="16" s="1"/>
  <c r="D32" i="16"/>
  <c r="D33" i="16"/>
  <c r="C39" i="16"/>
  <c r="J39" i="16" s="1"/>
  <c r="D40" i="16"/>
  <c r="D41" i="16"/>
  <c r="C47" i="16"/>
  <c r="J47" i="16" s="1"/>
  <c r="D48" i="16"/>
  <c r="D49" i="16"/>
  <c r="C55" i="16"/>
  <c r="J55" i="16" s="1"/>
  <c r="D56" i="16"/>
  <c r="D57" i="16"/>
  <c r="C63" i="16"/>
  <c r="J63" i="16" s="1"/>
  <c r="D11" i="16"/>
  <c r="C25" i="16"/>
  <c r="I25" i="16" s="1" a="1"/>
  <c r="I25" i="16" s="1"/>
  <c r="C29" i="16"/>
  <c r="J29" i="16" s="1"/>
  <c r="D30" i="16"/>
  <c r="D31" i="16"/>
  <c r="C37" i="16"/>
  <c r="J37" i="16" s="1"/>
  <c r="D38" i="16"/>
  <c r="D39" i="16"/>
  <c r="C45" i="16"/>
  <c r="J45" i="16" s="1"/>
  <c r="D46" i="16"/>
  <c r="D47" i="16"/>
  <c r="C53" i="16"/>
  <c r="J53" i="16" s="1"/>
  <c r="D54" i="16"/>
  <c r="D55" i="16"/>
  <c r="C61" i="16"/>
  <c r="J61" i="16" s="1"/>
  <c r="C9" i="16"/>
  <c r="J9" i="16" s="1"/>
  <c r="C15" i="16"/>
  <c r="J15" i="16" s="1"/>
  <c r="C27" i="16"/>
  <c r="J27" i="16" s="1"/>
  <c r="D28" i="16"/>
  <c r="D29" i="16"/>
  <c r="C35" i="16"/>
  <c r="J35" i="16" s="1"/>
  <c r="D36" i="16"/>
  <c r="D37" i="16"/>
  <c r="C43" i="16"/>
  <c r="J43" i="16" s="1"/>
  <c r="D44" i="16"/>
  <c r="D45" i="16"/>
  <c r="C51" i="16"/>
  <c r="J51" i="16" s="1"/>
  <c r="D52" i="16"/>
  <c r="D53" i="16"/>
  <c r="C59" i="16"/>
  <c r="J59" i="16" s="1"/>
  <c r="C12" i="16"/>
  <c r="J12" i="16" s="1"/>
  <c r="D15" i="16"/>
  <c r="C16" i="16"/>
  <c r="J16" i="16" s="1"/>
  <c r="D27" i="16"/>
  <c r="C33" i="16"/>
  <c r="J33" i="16" s="1"/>
  <c r="D34" i="16"/>
  <c r="D35" i="16"/>
  <c r="C41" i="16"/>
  <c r="J41" i="16"/>
  <c r="D42" i="16"/>
  <c r="D43" i="16"/>
  <c r="C49" i="16"/>
  <c r="J49" i="16" s="1"/>
  <c r="D50" i="16"/>
  <c r="D51" i="16"/>
  <c r="C57" i="16"/>
  <c r="J57" i="16" s="1"/>
  <c r="D58" i="16"/>
  <c r="D59" i="16"/>
  <c r="C65" i="16"/>
  <c r="J65" i="16"/>
  <c r="D66" i="16"/>
  <c r="D67" i="16"/>
  <c r="C70" i="16"/>
  <c r="J70" i="16" s="1"/>
  <c r="D62" i="16"/>
  <c r="D65"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61" i="16"/>
  <c r="D63" i="16"/>
  <c r="D68" i="16"/>
  <c r="C71" i="16"/>
  <c r="J71" i="16" s="1"/>
  <c r="C72" i="16"/>
  <c r="J72" i="16" s="1"/>
  <c r="F159" i="16"/>
  <c r="F160" i="16"/>
  <c r="F161" i="16"/>
  <c r="F162" i="16"/>
  <c r="F163" i="16"/>
  <c r="F164" i="16"/>
  <c r="F165" i="16"/>
  <c r="F166" i="16"/>
  <c r="F167" i="16"/>
  <c r="F168" i="16"/>
  <c r="F169" i="16"/>
  <c r="F170" i="16"/>
  <c r="F171" i="16"/>
  <c r="F172" i="16"/>
  <c r="F173" i="16"/>
  <c r="F174" i="16"/>
  <c r="F175" i="16"/>
  <c r="F176" i="16"/>
  <c r="F177" i="16"/>
  <c r="F178" i="16"/>
  <c r="F179"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C215" i="16"/>
  <c r="C219" i="16"/>
  <c r="H219" i="16" s="1"/>
  <c r="C223" i="16"/>
  <c r="H223" i="16" s="1"/>
  <c r="C227" i="16"/>
  <c r="H227" i="16" s="1"/>
  <c r="C231" i="16"/>
  <c r="H231" i="16" s="1"/>
  <c r="C235" i="16"/>
  <c r="G235" i="16" s="1"/>
  <c r="C239" i="16"/>
  <c r="C243" i="16"/>
  <c r="G243" i="16" s="1"/>
  <c r="C247" i="16"/>
  <c r="G247" i="16" s="1"/>
  <c r="C251" i="16"/>
  <c r="G251" i="16" s="1"/>
  <c r="C255" i="16"/>
  <c r="H255" i="16" s="1"/>
  <c r="C259" i="16"/>
  <c r="H259" i="16" s="1"/>
  <c r="C263" i="16"/>
  <c r="H263" i="16" s="1"/>
  <c r="C267" i="16"/>
  <c r="G267" i="16" s="1"/>
  <c r="C271" i="16"/>
  <c r="C275" i="16"/>
  <c r="H275" i="16" s="1"/>
  <c r="C279" i="16"/>
  <c r="C283" i="16"/>
  <c r="G283" i="16" s="1"/>
  <c r="C287" i="16"/>
  <c r="G287" i="16" s="1"/>
  <c r="C291" i="16"/>
  <c r="C295" i="16"/>
  <c r="H295" i="16" s="1"/>
  <c r="C299" i="16"/>
  <c r="G299" i="16" s="1"/>
  <c r="C303" i="16"/>
  <c r="C307" i="16"/>
  <c r="C311" i="16"/>
  <c r="C315" i="16"/>
  <c r="H315" i="16" s="1"/>
  <c r="C319" i="16"/>
  <c r="H319" i="16" s="1"/>
  <c r="C323" i="16"/>
  <c r="H323" i="16" s="1"/>
  <c r="C327" i="16"/>
  <c r="H327" i="16" s="1"/>
  <c r="C331" i="16"/>
  <c r="G331" i="16" s="1"/>
  <c r="C335" i="16"/>
  <c r="C339" i="16"/>
  <c r="G339" i="16" s="1"/>
  <c r="C343" i="16"/>
  <c r="H343" i="16" s="1"/>
  <c r="C347" i="16"/>
  <c r="H347" i="16" s="1"/>
  <c r="C660" i="16"/>
  <c r="C664" i="16"/>
  <c r="C668" i="16"/>
  <c r="C672" i="16"/>
  <c r="C676" i="16"/>
  <c r="C680" i="16"/>
  <c r="C684" i="16"/>
  <c r="C688" i="16"/>
  <c r="C692" i="16"/>
  <c r="C696" i="16"/>
  <c r="C700" i="16"/>
  <c r="C704" i="16"/>
  <c r="C708" i="16"/>
  <c r="C712" i="16"/>
  <c r="C716" i="16"/>
  <c r="C720" i="16"/>
  <c r="C724" i="16"/>
  <c r="C728" i="16"/>
  <c r="C732" i="16"/>
  <c r="D60" i="16"/>
  <c r="D64" i="16"/>
  <c r="C69" i="16"/>
  <c r="J69" i="16" s="1"/>
  <c r="D70" i="16"/>
  <c r="D71" i="16"/>
  <c r="D72" i="16"/>
  <c r="D69" i="16"/>
  <c r="C79" i="16"/>
  <c r="E79" i="16" s="1"/>
  <c r="C81" i="16"/>
  <c r="E81" i="16" s="1"/>
  <c r="C83" i="16"/>
  <c r="E83" i="16" s="1"/>
  <c r="C85" i="16"/>
  <c r="E85" i="16"/>
  <c r="C87" i="16"/>
  <c r="E87" i="16" s="1"/>
  <c r="C89" i="16"/>
  <c r="E89" i="16" s="1"/>
  <c r="C91" i="16"/>
  <c r="E91" i="16" s="1"/>
  <c r="C93" i="16"/>
  <c r="E93" i="16" s="1"/>
  <c r="C95" i="16"/>
  <c r="E95" i="16" s="1"/>
  <c r="C97" i="16"/>
  <c r="E97" i="16" s="1"/>
  <c r="C99" i="16"/>
  <c r="E99" i="16" s="1"/>
  <c r="C101" i="16"/>
  <c r="E101" i="16" s="1"/>
  <c r="C103" i="16"/>
  <c r="E103" i="16" s="1"/>
  <c r="C105" i="16"/>
  <c r="E105" i="16" s="1"/>
  <c r="C107" i="16"/>
  <c r="E107" i="16" s="1"/>
  <c r="C109" i="16"/>
  <c r="E109" i="16" s="1"/>
  <c r="C111" i="16"/>
  <c r="E111" i="16"/>
  <c r="C113" i="16"/>
  <c r="E113" i="16" s="1"/>
  <c r="C115" i="16"/>
  <c r="E115" i="16" s="1"/>
  <c r="C117" i="16"/>
  <c r="E117" i="16" s="1"/>
  <c r="C119" i="16"/>
  <c r="E119" i="16" s="1"/>
  <c r="C121" i="16"/>
  <c r="E121" i="16" s="1"/>
  <c r="C123" i="16"/>
  <c r="E123" i="16" s="1"/>
  <c r="C125" i="16"/>
  <c r="E125" i="16" s="1"/>
  <c r="C127" i="16"/>
  <c r="E127" i="16" s="1"/>
  <c r="C129" i="16"/>
  <c r="E129" i="16" s="1"/>
  <c r="C131" i="16"/>
  <c r="E131" i="16" s="1"/>
  <c r="C133" i="16"/>
  <c r="E133" i="16" s="1"/>
  <c r="C135" i="16"/>
  <c r="E135" i="16" s="1"/>
  <c r="C137" i="16"/>
  <c r="E137" i="16" s="1"/>
  <c r="C139" i="16"/>
  <c r="E139" i="16" s="1"/>
  <c r="C141" i="16"/>
  <c r="E141" i="16" s="1"/>
  <c r="C143" i="16"/>
  <c r="E143" i="16" s="1"/>
  <c r="C145" i="16"/>
  <c r="E145" i="16"/>
  <c r="C147" i="16"/>
  <c r="E147" i="16" s="1"/>
  <c r="C149" i="16"/>
  <c r="E149" i="16" s="1"/>
  <c r="C151" i="16"/>
  <c r="E151" i="16" s="1"/>
  <c r="C153" i="16"/>
  <c r="E153" i="16" s="1"/>
  <c r="C155" i="16"/>
  <c r="E155" i="16" s="1"/>
  <c r="C86" i="16"/>
  <c r="E86" i="16" s="1"/>
  <c r="C94" i="16"/>
  <c r="E94" i="16" s="1"/>
  <c r="C102" i="16"/>
  <c r="E102" i="16" s="1"/>
  <c r="C110" i="16"/>
  <c r="E110" i="16" s="1"/>
  <c r="C118" i="16"/>
  <c r="E118" i="16" s="1"/>
  <c r="C126" i="16"/>
  <c r="E126" i="16" s="1"/>
  <c r="C134" i="16"/>
  <c r="E134" i="16" s="1"/>
  <c r="C142" i="16"/>
  <c r="E142" i="16" s="1"/>
  <c r="C150" i="16"/>
  <c r="E150" i="16" s="1"/>
  <c r="C214" i="16"/>
  <c r="H214" i="16" s="1"/>
  <c r="C218" i="16"/>
  <c r="C222" i="16"/>
  <c r="G222" i="16" s="1"/>
  <c r="C226" i="16"/>
  <c r="G226" i="16" s="1"/>
  <c r="C230" i="16"/>
  <c r="G230" i="16" s="1"/>
  <c r="C234" i="16"/>
  <c r="H234" i="16" s="1"/>
  <c r="C238" i="16"/>
  <c r="H238" i="16" s="1"/>
  <c r="C242" i="16"/>
  <c r="C246" i="16"/>
  <c r="C250" i="16"/>
  <c r="H250" i="16" s="1"/>
  <c r="C254" i="16"/>
  <c r="G254" i="16" s="1"/>
  <c r="C258" i="16"/>
  <c r="C262" i="16"/>
  <c r="G262" i="16" s="1"/>
  <c r="C266" i="16"/>
  <c r="H266" i="16" s="1"/>
  <c r="C270" i="16"/>
  <c r="G270" i="16" s="1"/>
  <c r="C274" i="16"/>
  <c r="H274" i="16" s="1"/>
  <c r="C658" i="16"/>
  <c r="C663" i="16"/>
  <c r="C84" i="16"/>
  <c r="E84" i="16" s="1"/>
  <c r="C92" i="16"/>
  <c r="E92" i="16" s="1"/>
  <c r="C100" i="16"/>
  <c r="E100" i="16" s="1"/>
  <c r="C108" i="16"/>
  <c r="E108" i="16" s="1"/>
  <c r="C116" i="16"/>
  <c r="E116" i="16" s="1"/>
  <c r="C124" i="16"/>
  <c r="E124" i="16" s="1"/>
  <c r="C132" i="16"/>
  <c r="E132" i="16" s="1"/>
  <c r="C140" i="16"/>
  <c r="E140" i="16" s="1"/>
  <c r="C148" i="16"/>
  <c r="E148" i="16" s="1"/>
  <c r="C82" i="16"/>
  <c r="E82" i="16" s="1"/>
  <c r="C90" i="16"/>
  <c r="E90" i="16" s="1"/>
  <c r="C98" i="16"/>
  <c r="E98" i="16" s="1"/>
  <c r="C106" i="16"/>
  <c r="E106" i="16" s="1"/>
  <c r="C114" i="16"/>
  <c r="E114" i="16" s="1"/>
  <c r="C122" i="16"/>
  <c r="E122" i="16" s="1"/>
  <c r="C130" i="16"/>
  <c r="E130" i="16" s="1"/>
  <c r="C138" i="16"/>
  <c r="E138" i="16" s="1"/>
  <c r="C146" i="16"/>
  <c r="E146" i="16" s="1"/>
  <c r="C154" i="16"/>
  <c r="E154" i="16" s="1"/>
  <c r="C216" i="16"/>
  <c r="C220" i="16"/>
  <c r="H220" i="16" s="1"/>
  <c r="C224" i="16"/>
  <c r="C228" i="16"/>
  <c r="H228" i="16" s="1"/>
  <c r="C232" i="16"/>
  <c r="G232" i="16" s="1"/>
  <c r="C236" i="16"/>
  <c r="H236" i="16" s="1"/>
  <c r="C240" i="16"/>
  <c r="G240" i="16" s="1"/>
  <c r="C244" i="16"/>
  <c r="C248" i="16"/>
  <c r="C252" i="16"/>
  <c r="H252" i="16" s="1"/>
  <c r="C256" i="16"/>
  <c r="H256" i="16" s="1"/>
  <c r="C260" i="16"/>
  <c r="C264" i="16"/>
  <c r="C268" i="16"/>
  <c r="G268" i="16" s="1"/>
  <c r="C272" i="16"/>
  <c r="H272" i="16" s="1"/>
  <c r="C276" i="16"/>
  <c r="H276" i="16" s="1"/>
  <c r="C661" i="16"/>
  <c r="C666" i="16"/>
  <c r="C671" i="16"/>
  <c r="C677" i="16"/>
  <c r="C682" i="16"/>
  <c r="C687" i="16"/>
  <c r="C693" i="16"/>
  <c r="C698" i="16"/>
  <c r="C703" i="16"/>
  <c r="C709" i="16"/>
  <c r="C714" i="16"/>
  <c r="C719" i="16"/>
  <c r="C725" i="16"/>
  <c r="C730" i="16"/>
  <c r="C67" i="16"/>
  <c r="J67" i="16" s="1"/>
  <c r="C80" i="16"/>
  <c r="E80" i="16" s="1"/>
  <c r="C88" i="16"/>
  <c r="E88" i="16" s="1"/>
  <c r="C96" i="16"/>
  <c r="E96" i="16" s="1"/>
  <c r="C104" i="16"/>
  <c r="E104" i="16" s="1"/>
  <c r="C112" i="16"/>
  <c r="E112" i="16" s="1"/>
  <c r="C120" i="16"/>
  <c r="E120" i="16" s="1"/>
  <c r="C128" i="16"/>
  <c r="C136" i="16"/>
  <c r="E136" i="16" s="1"/>
  <c r="C144" i="16"/>
  <c r="E144" i="16" s="1"/>
  <c r="C152" i="16"/>
  <c r="E152" i="16"/>
  <c r="C431" i="16"/>
  <c r="G431" i="16" s="1"/>
  <c r="C435" i="16"/>
  <c r="G435" i="16" s="1"/>
  <c r="C439" i="16"/>
  <c r="G439" i="16" s="1"/>
  <c r="C443" i="16"/>
  <c r="G443" i="16" s="1"/>
  <c r="C447" i="16"/>
  <c r="G447" i="16" s="1"/>
  <c r="C451" i="16"/>
  <c r="G451" i="16" s="1"/>
  <c r="C455" i="16"/>
  <c r="G455" i="16" s="1"/>
  <c r="C459" i="16"/>
  <c r="G459" i="16" s="1"/>
  <c r="C463" i="16"/>
  <c r="G463" i="16" s="1"/>
  <c r="C467" i="16"/>
  <c r="G467" i="16" s="1"/>
  <c r="C471" i="16"/>
  <c r="G471" i="16" s="1"/>
  <c r="C475" i="16"/>
  <c r="G475" i="16" s="1"/>
  <c r="C479" i="16"/>
  <c r="G479" i="16" s="1"/>
  <c r="C483" i="16"/>
  <c r="G483" i="16" s="1"/>
  <c r="C487" i="16"/>
  <c r="G487" i="16" s="1"/>
  <c r="C491" i="16"/>
  <c r="G491" i="16" s="1"/>
  <c r="C495" i="16"/>
  <c r="G495" i="16" s="1"/>
  <c r="C499" i="16"/>
  <c r="G499" i="16" s="1"/>
  <c r="C503" i="16"/>
  <c r="G503" i="16" s="1"/>
  <c r="C507" i="16"/>
  <c r="G507" i="16" s="1"/>
  <c r="C511" i="16"/>
  <c r="G511" i="16" s="1"/>
  <c r="C515" i="16"/>
  <c r="G515" i="16" s="1"/>
  <c r="C519" i="16"/>
  <c r="G519" i="16" s="1"/>
  <c r="C523" i="16"/>
  <c r="G523" i="16" s="1"/>
  <c r="C527" i="16"/>
  <c r="G527" i="16" s="1"/>
  <c r="C531" i="16"/>
  <c r="G531" i="16" s="1"/>
  <c r="C535" i="16"/>
  <c r="G535" i="16" s="1"/>
  <c r="C539" i="16"/>
  <c r="G539" i="16" s="1"/>
  <c r="C543" i="16"/>
  <c r="G543" i="16" s="1"/>
  <c r="C547" i="16"/>
  <c r="G547" i="16" s="1"/>
  <c r="C551" i="16"/>
  <c r="G551" i="16" s="1"/>
  <c r="C555" i="16"/>
  <c r="G555" i="16" s="1"/>
  <c r="C559" i="16"/>
  <c r="G559" i="16" s="1"/>
  <c r="C563" i="16"/>
  <c r="G563" i="16" s="1"/>
  <c r="C567" i="16"/>
  <c r="G567" i="16" s="1"/>
  <c r="C571" i="16"/>
  <c r="G571" i="16" s="1"/>
  <c r="C575" i="16"/>
  <c r="G575" i="16" s="1"/>
  <c r="C579" i="16"/>
  <c r="G579" i="16" s="1"/>
  <c r="C583" i="16"/>
  <c r="G583" i="16" s="1"/>
  <c r="C587" i="16"/>
  <c r="G587" i="16" s="1"/>
  <c r="C591" i="16"/>
  <c r="G591" i="16" s="1"/>
  <c r="C595" i="16"/>
  <c r="G595" i="16" s="1"/>
  <c r="C599" i="16"/>
  <c r="G599" i="16" s="1"/>
  <c r="C603" i="16"/>
  <c r="G603" i="16" s="1"/>
  <c r="C607" i="16"/>
  <c r="G607" i="16" s="1"/>
  <c r="C611" i="16"/>
  <c r="G611" i="16" s="1"/>
  <c r="C615" i="16"/>
  <c r="G615" i="16" s="1"/>
  <c r="C619" i="16"/>
  <c r="G619" i="16" s="1"/>
  <c r="C623" i="16"/>
  <c r="G623" i="16" s="1"/>
  <c r="C627" i="16"/>
  <c r="G627" i="16" s="1"/>
  <c r="C631" i="16"/>
  <c r="G631" i="16" s="1"/>
  <c r="C635" i="16"/>
  <c r="G635" i="16" s="1"/>
  <c r="C639" i="16"/>
  <c r="G639" i="16" s="1"/>
  <c r="C643" i="16"/>
  <c r="G643" i="16" s="1"/>
  <c r="C647" i="16"/>
  <c r="G647" i="16" s="1"/>
  <c r="C651" i="16"/>
  <c r="G651" i="16" s="1"/>
  <c r="C662" i="16"/>
  <c r="C670" i="16"/>
  <c r="C678" i="16"/>
  <c r="C685" i="16"/>
  <c r="C691" i="16"/>
  <c r="C699" i="16"/>
  <c r="C706" i="16"/>
  <c r="C713" i="16"/>
  <c r="C721" i="16"/>
  <c r="C727" i="16"/>
  <c r="C433" i="16"/>
  <c r="G433" i="16" s="1"/>
  <c r="C437" i="16"/>
  <c r="G437" i="16" s="1"/>
  <c r="C441" i="16"/>
  <c r="G441" i="16" s="1"/>
  <c r="C445" i="16"/>
  <c r="G445" i="16" s="1"/>
  <c r="C449" i="16"/>
  <c r="G449" i="16" s="1"/>
  <c r="C453" i="16"/>
  <c r="G453" i="16" s="1"/>
  <c r="C457" i="16"/>
  <c r="G457" i="16" s="1"/>
  <c r="C461" i="16"/>
  <c r="G461" i="16" s="1"/>
  <c r="C465" i="16"/>
  <c r="G465" i="16" s="1"/>
  <c r="C469" i="16"/>
  <c r="G469" i="16" s="1"/>
  <c r="C473" i="16"/>
  <c r="G473" i="16" s="1"/>
  <c r="C477" i="16"/>
  <c r="G477" i="16" s="1"/>
  <c r="C481" i="16"/>
  <c r="G481" i="16" s="1"/>
  <c r="C485" i="16"/>
  <c r="G485" i="16" s="1"/>
  <c r="C489" i="16"/>
  <c r="G489" i="16" s="1"/>
  <c r="C493" i="16"/>
  <c r="G493" i="16" s="1"/>
  <c r="C497" i="16"/>
  <c r="G497" i="16" s="1"/>
  <c r="C501" i="16"/>
  <c r="G501" i="16" s="1"/>
  <c r="C505" i="16"/>
  <c r="G505" i="16" s="1"/>
  <c r="C509" i="16"/>
  <c r="G509" i="16" s="1"/>
  <c r="C513" i="16"/>
  <c r="G513" i="16" s="1"/>
  <c r="C517" i="16"/>
  <c r="G517" i="16" s="1"/>
  <c r="C521" i="16"/>
  <c r="G521" i="16" s="1"/>
  <c r="C525" i="16"/>
  <c r="G525" i="16" s="1"/>
  <c r="C529" i="16"/>
  <c r="G529" i="16" s="1"/>
  <c r="C533" i="16"/>
  <c r="G533" i="16" s="1"/>
  <c r="C537" i="16"/>
  <c r="G537" i="16" s="1"/>
  <c r="C541" i="16"/>
  <c r="G541" i="16" s="1"/>
  <c r="C545" i="16"/>
  <c r="G545" i="16" s="1"/>
  <c r="C549" i="16"/>
  <c r="G549" i="16" s="1"/>
  <c r="C553" i="16"/>
  <c r="G553" i="16" s="1"/>
  <c r="C557" i="16"/>
  <c r="G557" i="16" s="1"/>
  <c r="C561" i="16"/>
  <c r="G561" i="16" s="1"/>
  <c r="C565" i="16"/>
  <c r="G565" i="16" s="1"/>
  <c r="C569" i="16"/>
  <c r="G569" i="16" s="1"/>
  <c r="C573" i="16"/>
  <c r="G573" i="16" s="1"/>
  <c r="C577" i="16"/>
  <c r="G577" i="16" s="1"/>
  <c r="C581" i="16"/>
  <c r="G581" i="16" s="1"/>
  <c r="C585" i="16"/>
  <c r="G585" i="16" s="1"/>
  <c r="C589" i="16"/>
  <c r="G589" i="16" s="1"/>
  <c r="C593" i="16"/>
  <c r="G593" i="16" s="1"/>
  <c r="C597" i="16"/>
  <c r="G597" i="16" s="1"/>
  <c r="C601" i="16"/>
  <c r="G601" i="16" s="1"/>
  <c r="C605" i="16"/>
  <c r="G605" i="16" s="1"/>
  <c r="C609" i="16"/>
  <c r="G609" i="16" s="1"/>
  <c r="C613" i="16"/>
  <c r="G613" i="16" s="1"/>
  <c r="C617" i="16"/>
  <c r="G617" i="16" s="1"/>
  <c r="C621" i="16"/>
  <c r="G621" i="16" s="1"/>
  <c r="C625" i="16"/>
  <c r="G625" i="16"/>
  <c r="C629" i="16"/>
  <c r="G629" i="16" s="1"/>
  <c r="C633" i="16"/>
  <c r="G633" i="16" s="1"/>
  <c r="C637" i="16"/>
  <c r="G637" i="16" s="1"/>
  <c r="C641" i="16"/>
  <c r="G641" i="16" s="1"/>
  <c r="C645" i="16"/>
  <c r="G645" i="16" s="1"/>
  <c r="C649" i="16"/>
  <c r="G649" i="16" s="1"/>
  <c r="C657" i="16"/>
  <c r="C667" i="16"/>
  <c r="C674" i="16"/>
  <c r="C681" i="16"/>
  <c r="C689" i="16"/>
  <c r="C695" i="16"/>
  <c r="C702" i="16"/>
  <c r="C710" i="16"/>
  <c r="C717" i="16"/>
  <c r="C723" i="16"/>
  <c r="C731" i="16"/>
  <c r="C213" i="16"/>
  <c r="H213" i="16" s="1"/>
  <c r="C217" i="16"/>
  <c r="H217" i="16" s="1"/>
  <c r="C221" i="16"/>
  <c r="H221" i="16" s="1"/>
  <c r="C225" i="16"/>
  <c r="G225" i="16" s="1"/>
  <c r="C229" i="16"/>
  <c r="H229" i="16" s="1"/>
  <c r="C233" i="16"/>
  <c r="G233" i="16" s="1"/>
  <c r="C237" i="16"/>
  <c r="G237" i="16" s="1"/>
  <c r="C241" i="16"/>
  <c r="C245" i="16"/>
  <c r="C249" i="16"/>
  <c r="C253" i="16"/>
  <c r="H253" i="16" s="1"/>
  <c r="C257" i="16"/>
  <c r="G257" i="16" s="1"/>
  <c r="C261" i="16"/>
  <c r="C265" i="16"/>
  <c r="H265" i="16" s="1"/>
  <c r="C269" i="16"/>
  <c r="C273" i="16"/>
  <c r="G273" i="16" s="1"/>
  <c r="C277" i="16"/>
  <c r="G277" i="16" s="1"/>
  <c r="C278" i="16"/>
  <c r="H278" i="16" s="1"/>
  <c r="C292" i="16"/>
  <c r="H292" i="16" s="1"/>
  <c r="C293" i="16"/>
  <c r="H293" i="16" s="1"/>
  <c r="C294" i="16"/>
  <c r="C308" i="16"/>
  <c r="C309" i="16"/>
  <c r="G309" i="16" s="1"/>
  <c r="C310" i="16"/>
  <c r="G310" i="16" s="1"/>
  <c r="C324" i="16"/>
  <c r="C325" i="16"/>
  <c r="C326" i="16"/>
  <c r="G326" i="16" s="1"/>
  <c r="C340" i="16"/>
  <c r="G340" i="16" s="1"/>
  <c r="C341" i="16"/>
  <c r="C342" i="16"/>
  <c r="H342" i="16" s="1"/>
  <c r="C438" i="16"/>
  <c r="G438" i="16" s="1"/>
  <c r="C446" i="16"/>
  <c r="G446" i="16" s="1"/>
  <c r="C454" i="16"/>
  <c r="G454" i="16" s="1"/>
  <c r="C462" i="16"/>
  <c r="G462" i="16" s="1"/>
  <c r="C470" i="16"/>
  <c r="G470" i="16" s="1"/>
  <c r="C478" i="16"/>
  <c r="G478" i="16" s="1"/>
  <c r="C486" i="16"/>
  <c r="G486" i="16" s="1"/>
  <c r="C494" i="16"/>
  <c r="G494" i="16" s="1"/>
  <c r="C502" i="16"/>
  <c r="G502" i="16" s="1"/>
  <c r="C510" i="16"/>
  <c r="G510" i="16" s="1"/>
  <c r="C518" i="16"/>
  <c r="G518" i="16" s="1"/>
  <c r="C526" i="16"/>
  <c r="G526" i="16" s="1"/>
  <c r="C534" i="16"/>
  <c r="G534" i="16" s="1"/>
  <c r="C542" i="16"/>
  <c r="G542" i="16" s="1"/>
  <c r="C550" i="16"/>
  <c r="G550" i="16" s="1"/>
  <c r="C558" i="16"/>
  <c r="G558" i="16" s="1"/>
  <c r="C566" i="16"/>
  <c r="G566" i="16" s="1"/>
  <c r="C574" i="16"/>
  <c r="G574" i="16"/>
  <c r="C582" i="16"/>
  <c r="G582" i="16" s="1"/>
  <c r="C590" i="16"/>
  <c r="G590" i="16" s="1"/>
  <c r="C598" i="16"/>
  <c r="G598" i="16" s="1"/>
  <c r="C606" i="16"/>
  <c r="G606" i="16" s="1"/>
  <c r="C614" i="16"/>
  <c r="G614" i="16" s="1"/>
  <c r="C622" i="16"/>
  <c r="G622" i="16" s="1"/>
  <c r="C630" i="16"/>
  <c r="G630" i="16" s="1"/>
  <c r="C638" i="16"/>
  <c r="G638" i="16" s="1"/>
  <c r="C646" i="16"/>
  <c r="G646" i="16" s="1"/>
  <c r="C669" i="16"/>
  <c r="C683" i="16"/>
  <c r="C697" i="16"/>
  <c r="C711" i="16"/>
  <c r="C726" i="16"/>
  <c r="C280" i="16"/>
  <c r="C281" i="16"/>
  <c r="H281" i="16" s="1"/>
  <c r="C282" i="16"/>
  <c r="G282" i="16" s="1"/>
  <c r="C296" i="16"/>
  <c r="C297" i="16"/>
  <c r="G297" i="16" s="1"/>
  <c r="C298" i="16"/>
  <c r="G298" i="16" s="1"/>
  <c r="C312" i="16"/>
  <c r="H312" i="16" s="1"/>
  <c r="C313" i="16"/>
  <c r="G313" i="16" s="1"/>
  <c r="C314" i="16"/>
  <c r="G314" i="16" s="1"/>
  <c r="C328" i="16"/>
  <c r="G328" i="16" s="1"/>
  <c r="C329" i="16"/>
  <c r="H329" i="16" s="1"/>
  <c r="C330" i="16"/>
  <c r="C344" i="16"/>
  <c r="C345" i="16"/>
  <c r="H345" i="16" s="1"/>
  <c r="C346" i="16"/>
  <c r="G346" i="16" s="1"/>
  <c r="C432" i="16"/>
  <c r="G432" i="16" s="1"/>
  <c r="C440" i="16"/>
  <c r="G440" i="16" s="1"/>
  <c r="C448" i="16"/>
  <c r="G448" i="16" s="1"/>
  <c r="C456" i="16"/>
  <c r="G456" i="16" s="1"/>
  <c r="C464" i="16"/>
  <c r="G464" i="16" s="1"/>
  <c r="C472" i="16"/>
  <c r="G472" i="16" s="1"/>
  <c r="C480" i="16"/>
  <c r="G480" i="16" s="1"/>
  <c r="C488" i="16"/>
  <c r="G488" i="16" s="1"/>
  <c r="C496" i="16"/>
  <c r="G496" i="16" s="1"/>
  <c r="C504" i="16"/>
  <c r="G504" i="16" s="1"/>
  <c r="C512" i="16"/>
  <c r="G512" i="16" s="1"/>
  <c r="C520" i="16"/>
  <c r="G520" i="16" s="1"/>
  <c r="C528" i="16"/>
  <c r="G528" i="16" s="1"/>
  <c r="C536" i="16"/>
  <c r="G536" i="16" s="1"/>
  <c r="C544" i="16"/>
  <c r="G544" i="16" s="1"/>
  <c r="C552" i="16"/>
  <c r="G552" i="16" s="1"/>
  <c r="C560" i="16"/>
  <c r="G560" i="16" s="1"/>
  <c r="C568" i="16"/>
  <c r="G568" i="16" s="1"/>
  <c r="C576" i="16"/>
  <c r="G576" i="16" s="1"/>
  <c r="C584" i="16"/>
  <c r="G584" i="16" s="1"/>
  <c r="C592" i="16"/>
  <c r="G592" i="16" s="1"/>
  <c r="C600" i="16"/>
  <c r="G600" i="16" s="1"/>
  <c r="C608" i="16"/>
  <c r="G608" i="16" s="1"/>
  <c r="C616" i="16"/>
  <c r="G616" i="16" s="1"/>
  <c r="C624" i="16"/>
  <c r="G624" i="16" s="1"/>
  <c r="C632" i="16"/>
  <c r="G632" i="16" s="1"/>
  <c r="C640" i="16"/>
  <c r="G640" i="16" s="1"/>
  <c r="C648" i="16"/>
  <c r="G648" i="16" s="1"/>
  <c r="C673" i="16"/>
  <c r="C686" i="16"/>
  <c r="C701" i="16"/>
  <c r="C715" i="16"/>
  <c r="C729" i="16"/>
  <c r="C284" i="16"/>
  <c r="H284" i="16" s="1"/>
  <c r="C285" i="16"/>
  <c r="C286" i="16"/>
  <c r="H286" i="16" s="1"/>
  <c r="C300" i="16"/>
  <c r="C301" i="16"/>
  <c r="H301" i="16" s="1"/>
  <c r="C302" i="16"/>
  <c r="H302" i="16" s="1"/>
  <c r="C316" i="16"/>
  <c r="C317" i="16"/>
  <c r="H317" i="16" s="1"/>
  <c r="C318" i="16"/>
  <c r="G318" i="16" s="1"/>
  <c r="C332" i="16"/>
  <c r="H332" i="16" s="1"/>
  <c r="C333" i="16"/>
  <c r="C334" i="16"/>
  <c r="G334" i="16" s="1"/>
  <c r="C348" i="16"/>
  <c r="H348" i="16" s="1"/>
  <c r="C349" i="16"/>
  <c r="C350" i="16"/>
  <c r="G350" i="16" s="1"/>
  <c r="C434" i="16"/>
  <c r="G434" i="16" s="1"/>
  <c r="C442" i="16"/>
  <c r="G442" i="16" s="1"/>
  <c r="C450" i="16"/>
  <c r="G450" i="16" s="1"/>
  <c r="C458" i="16"/>
  <c r="G458" i="16" s="1"/>
  <c r="C466" i="16"/>
  <c r="G466" i="16" s="1"/>
  <c r="C474" i="16"/>
  <c r="G474" i="16" s="1"/>
  <c r="C482" i="16"/>
  <c r="G482" i="16" s="1"/>
  <c r="C490" i="16"/>
  <c r="G490" i="16" s="1"/>
  <c r="C498" i="16"/>
  <c r="G498" i="16" s="1"/>
  <c r="C506" i="16"/>
  <c r="G506" i="16" s="1"/>
  <c r="C514" i="16"/>
  <c r="G514" i="16" s="1"/>
  <c r="C522" i="16"/>
  <c r="G522" i="16" s="1"/>
  <c r="C530" i="16"/>
  <c r="G530" i="16" s="1"/>
  <c r="C538" i="16"/>
  <c r="G538" i="16" s="1"/>
  <c r="C546" i="16"/>
  <c r="G546" i="16" s="1"/>
  <c r="C554" i="16"/>
  <c r="G554" i="16" s="1"/>
  <c r="C562" i="16"/>
  <c r="G562" i="16" s="1"/>
  <c r="C570" i="16"/>
  <c r="G570" i="16" s="1"/>
  <c r="C578" i="16"/>
  <c r="G578" i="16" s="1"/>
  <c r="C586" i="16"/>
  <c r="G586" i="16"/>
  <c r="C594" i="16"/>
  <c r="G594" i="16" s="1"/>
  <c r="C602" i="16"/>
  <c r="G602" i="16" s="1"/>
  <c r="C610" i="16"/>
  <c r="G610" i="16" s="1"/>
  <c r="C618" i="16"/>
  <c r="G618" i="16" s="1"/>
  <c r="C626" i="16"/>
  <c r="G626" i="16" s="1"/>
  <c r="C634" i="16"/>
  <c r="G634" i="16" s="1"/>
  <c r="C642" i="16"/>
  <c r="G642" i="16" s="1"/>
  <c r="C650" i="16"/>
  <c r="G650" i="16" s="1"/>
  <c r="C659" i="16"/>
  <c r="C675" i="16"/>
  <c r="C690" i="16"/>
  <c r="C705" i="16"/>
  <c r="C718" i="16"/>
  <c r="C733" i="16"/>
  <c r="C288" i="16"/>
  <c r="G288" i="16" s="1"/>
  <c r="C289" i="16"/>
  <c r="H289" i="16" s="1"/>
  <c r="C290" i="16"/>
  <c r="H290" i="16" s="1"/>
  <c r="C304" i="16"/>
  <c r="G304" i="16" s="1"/>
  <c r="C305" i="16"/>
  <c r="H305" i="16" s="1"/>
  <c r="C306" i="16"/>
  <c r="C320" i="16"/>
  <c r="C321" i="16"/>
  <c r="H321" i="16" s="1"/>
  <c r="C322" i="16"/>
  <c r="C336" i="16"/>
  <c r="H336" i="16" s="1"/>
  <c r="C337" i="16"/>
  <c r="H337" i="16" s="1"/>
  <c r="C338" i="16"/>
  <c r="H338" i="16" s="1"/>
  <c r="C436" i="16"/>
  <c r="G436" i="16"/>
  <c r="C444" i="16"/>
  <c r="G444" i="16" s="1"/>
  <c r="C452" i="16"/>
  <c r="G452" i="16" s="1"/>
  <c r="C460" i="16"/>
  <c r="G460" i="16"/>
  <c r="C468" i="16"/>
  <c r="G468" i="16" s="1"/>
  <c r="C476" i="16"/>
  <c r="G476" i="16" s="1"/>
  <c r="C484" i="16"/>
  <c r="G484" i="16" s="1"/>
  <c r="C492" i="16"/>
  <c r="G492" i="16" s="1"/>
  <c r="C500" i="16"/>
  <c r="G500" i="16" s="1"/>
  <c r="C508" i="16"/>
  <c r="G508" i="16" s="1"/>
  <c r="C516" i="16"/>
  <c r="G516" i="16" s="1"/>
  <c r="C524" i="16"/>
  <c r="G524" i="16" s="1"/>
  <c r="C532" i="16"/>
  <c r="G532" i="16"/>
  <c r="C540" i="16"/>
  <c r="G540" i="16" s="1"/>
  <c r="C548" i="16"/>
  <c r="G548" i="16" s="1"/>
  <c r="C556" i="16"/>
  <c r="G556" i="16" s="1"/>
  <c r="C564" i="16"/>
  <c r="G564" i="16" s="1"/>
  <c r="C572" i="16"/>
  <c r="G572" i="16" s="1"/>
  <c r="C580" i="16"/>
  <c r="G580" i="16" s="1"/>
  <c r="C588" i="16"/>
  <c r="G588" i="16" s="1"/>
  <c r="C596" i="16"/>
  <c r="G596" i="16" s="1"/>
  <c r="C604" i="16"/>
  <c r="G604" i="16" s="1"/>
  <c r="C612" i="16"/>
  <c r="G612" i="16" s="1"/>
  <c r="C620" i="16"/>
  <c r="G620" i="16" s="1"/>
  <c r="C628" i="16"/>
  <c r="G628" i="16" s="1"/>
  <c r="C636" i="16"/>
  <c r="G636" i="16" s="1"/>
  <c r="C644" i="16"/>
  <c r="G644" i="16" s="1"/>
  <c r="C652" i="16"/>
  <c r="G652" i="16"/>
  <c r="C665" i="16"/>
  <c r="C679" i="16"/>
  <c r="C694" i="16"/>
  <c r="C707" i="16"/>
  <c r="C722" i="16"/>
  <c r="F2" i="28"/>
  <c r="A101" i="36"/>
  <c r="L49" i="1" s="1"/>
  <c r="A97" i="36"/>
  <c r="A144" i="24" s="1"/>
  <c r="A93" i="36"/>
  <c r="H53" i="24" s="1"/>
  <c r="A89" i="36"/>
  <c r="A85" i="36"/>
  <c r="E8" i="34" s="1"/>
  <c r="A81" i="36"/>
  <c r="B620" i="32" s="1"/>
  <c r="A77" i="36"/>
  <c r="B315" i="32" s="1"/>
  <c r="A73" i="36"/>
  <c r="K9" i="32" s="1"/>
  <c r="A69" i="36"/>
  <c r="B1" i="32" s="1"/>
  <c r="A65" i="36"/>
  <c r="A8" i="33" s="1"/>
  <c r="A61" i="36"/>
  <c r="A57" i="36"/>
  <c r="Q8" i="33" s="1"/>
  <c r="A53" i="36"/>
  <c r="G8" i="34" s="1"/>
  <c r="A49" i="36"/>
  <c r="K30" i="1" s="1"/>
  <c r="A45" i="36"/>
  <c r="E13" i="1" s="1"/>
  <c r="A41" i="36"/>
  <c r="E8" i="30" s="1"/>
  <c r="A37" i="36"/>
  <c r="A33" i="36"/>
  <c r="K123" i="1" s="1"/>
  <c r="A29" i="36"/>
  <c r="A101" i="1" s="1"/>
  <c r="A25" i="36"/>
  <c r="A21" i="36"/>
  <c r="T46" i="1" s="1"/>
  <c r="A17" i="36"/>
  <c r="A45" i="1" s="1"/>
  <c r="A13" i="36"/>
  <c r="A18" i="1" s="1"/>
  <c r="A9" i="36"/>
  <c r="A14" i="24" s="1"/>
  <c r="A5" i="36"/>
  <c r="A10" i="24" s="1"/>
  <c r="E2" i="28"/>
  <c r="B454" i="27"/>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77" i="27" s="1"/>
  <c r="B478" i="27" s="1"/>
  <c r="B479" i="27" s="1"/>
  <c r="B480" i="27" s="1"/>
  <c r="B481" i="27" s="1"/>
  <c r="B482" i="27" s="1"/>
  <c r="B483" i="27" s="1"/>
  <c r="B484" i="27" s="1"/>
  <c r="C453" i="27"/>
  <c r="H454" i="27"/>
  <c r="H455" i="27" s="1"/>
  <c r="H456" i="27" s="1"/>
  <c r="H457" i="27" s="1"/>
  <c r="H458" i="27" s="1"/>
  <c r="H459" i="27" s="1"/>
  <c r="H460" i="27" s="1"/>
  <c r="H461" i="27" s="1"/>
  <c r="H462" i="27" s="1"/>
  <c r="H463" i="27" s="1"/>
  <c r="H464" i="27" s="1"/>
  <c r="H465" i="27" s="1"/>
  <c r="H466" i="27" s="1"/>
  <c r="H467" i="27" s="1"/>
  <c r="H468" i="27" s="1"/>
  <c r="H469" i="27" s="1"/>
  <c r="H470" i="27" s="1"/>
  <c r="H471" i="27" s="1"/>
  <c r="H472" i="27" s="1"/>
  <c r="H473" i="27" s="1"/>
  <c r="H474" i="27" s="1"/>
  <c r="H475" i="27" s="1"/>
  <c r="H476" i="27" s="1"/>
  <c r="H477" i="27" s="1"/>
  <c r="H478" i="27" s="1"/>
  <c r="H479" i="27" s="1"/>
  <c r="H480" i="27" s="1"/>
  <c r="H481" i="27" s="1"/>
  <c r="H482" i="27" s="1"/>
  <c r="H483" i="27" s="1"/>
  <c r="H484" i="27" s="1"/>
  <c r="H485" i="27" s="1"/>
  <c r="H486" i="27" s="1"/>
  <c r="H487" i="27" s="1"/>
  <c r="H488" i="27" s="1"/>
  <c r="H489" i="27" s="1"/>
  <c r="H490" i="27" s="1"/>
  <c r="H491" i="27" s="1"/>
  <c r="H492" i="27" s="1"/>
  <c r="H493" i="27" s="1"/>
  <c r="H494" i="27" s="1"/>
  <c r="H495" i="27" s="1"/>
  <c r="H496" i="27" s="1"/>
  <c r="H497" i="27" s="1"/>
  <c r="H498" i="27" s="1"/>
  <c r="H499" i="27" s="1"/>
  <c r="H500" i="27" s="1"/>
  <c r="H501" i="27" s="1"/>
  <c r="I20" i="27"/>
  <c r="C19" i="27"/>
  <c r="B20" i="27"/>
  <c r="C3" i="27"/>
  <c r="I160" i="16" a="1"/>
  <c r="I160" i="16" s="1"/>
  <c r="J160" i="16" s="1" a="1"/>
  <c r="J160" i="16" s="1"/>
  <c r="B160" i="16" a="1"/>
  <c r="B160" i="16" s="1"/>
  <c r="X153" i="1"/>
  <c r="AF153" i="1"/>
  <c r="W133" i="1"/>
  <c r="E133" i="1"/>
  <c r="X133" i="1" s="1"/>
  <c r="Y133" i="1"/>
  <c r="AD174" i="1"/>
  <c r="E167" i="1"/>
  <c r="AF167" i="1" s="1"/>
  <c r="Y167" i="1"/>
  <c r="AD166" i="1"/>
  <c r="E159" i="1"/>
  <c r="Y159" i="1"/>
  <c r="X151" i="1"/>
  <c r="AF151" i="1"/>
  <c r="AD151" i="1"/>
  <c r="E145" i="1"/>
  <c r="AF145" i="1" s="1"/>
  <c r="Y145" i="1"/>
  <c r="X173" i="1"/>
  <c r="AF173" i="1"/>
  <c r="X157" i="1"/>
  <c r="AF157" i="1"/>
  <c r="W145" i="1"/>
  <c r="X137" i="1"/>
  <c r="AF137" i="1"/>
  <c r="AD137" i="1"/>
  <c r="H5" i="16" a="1"/>
  <c r="H5" i="16" s="1"/>
  <c r="E171" i="1"/>
  <c r="Y171" i="1"/>
  <c r="AD170" i="1"/>
  <c r="E163" i="1"/>
  <c r="AF163" i="1" s="1"/>
  <c r="Y163" i="1"/>
  <c r="AD162" i="1"/>
  <c r="E155" i="1"/>
  <c r="Y155" i="1"/>
  <c r="AD154" i="1"/>
  <c r="AD153" i="1"/>
  <c r="E149" i="1"/>
  <c r="AF149" i="1" s="1"/>
  <c r="Y149" i="1"/>
  <c r="AD148" i="1"/>
  <c r="Y143" i="1"/>
  <c r="E143" i="1"/>
  <c r="AD143" i="1" s="1"/>
  <c r="W143" i="1"/>
  <c r="W139" i="1"/>
  <c r="E139" i="1"/>
  <c r="Y139" i="1"/>
  <c r="AF172" i="1"/>
  <c r="AF152" i="1"/>
  <c r="Y174" i="1"/>
  <c r="Y170" i="1"/>
  <c r="Y166" i="1"/>
  <c r="Y162" i="1"/>
  <c r="Y158" i="1"/>
  <c r="Y154" i="1"/>
  <c r="Y150" i="1"/>
  <c r="Y146" i="1"/>
  <c r="AD138" i="1"/>
  <c r="X129" i="1"/>
  <c r="AF129" i="1"/>
  <c r="AD129" i="1"/>
  <c r="AD140" i="1"/>
  <c r="AD134" i="1"/>
  <c r="Y148" i="1"/>
  <c r="Y144" i="1"/>
  <c r="AD142" i="1"/>
  <c r="AF138" i="1"/>
  <c r="X138" i="1"/>
  <c r="Y140" i="1"/>
  <c r="X124" i="1"/>
  <c r="AF124" i="1"/>
  <c r="AD124" i="1"/>
  <c r="Y138" i="1"/>
  <c r="Y134" i="1"/>
  <c r="E131" i="1"/>
  <c r="Y131" i="1"/>
  <c r="AD127" i="1"/>
  <c r="Y127" i="1"/>
  <c r="X125" i="1"/>
  <c r="AF125" i="1"/>
  <c r="Y128" i="1"/>
  <c r="Y124" i="1"/>
  <c r="M40" i="1"/>
  <c r="M38" i="1"/>
  <c r="M36" i="1"/>
  <c r="M34" i="1"/>
  <c r="L705" i="27"/>
  <c r="L703" i="27"/>
  <c r="L701" i="27"/>
  <c r="G290" i="16"/>
  <c r="G278" i="16"/>
  <c r="H291" i="16"/>
  <c r="G291" i="16"/>
  <c r="H233" i="16"/>
  <c r="H226" i="16"/>
  <c r="H243" i="16"/>
  <c r="G325" i="16"/>
  <c r="H325" i="16"/>
  <c r="G217" i="16"/>
  <c r="H339" i="16"/>
  <c r="H307" i="16"/>
  <c r="G307" i="16"/>
  <c r="F25" i="16" a="1"/>
  <c r="F25" i="16" s="1"/>
  <c r="J25" i="16"/>
  <c r="X145" i="1"/>
  <c r="C384" i="20"/>
  <c r="X143" i="1"/>
  <c r="H350" i="16"/>
  <c r="G333" i="16"/>
  <c r="H333" i="16"/>
  <c r="G286" i="16"/>
  <c r="G329" i="16"/>
  <c r="G220" i="16"/>
  <c r="H288" i="16"/>
  <c r="G332" i="16"/>
  <c r="G345" i="16"/>
  <c r="G281" i="16"/>
  <c r="G266" i="16"/>
  <c r="H331" i="16"/>
  <c r="H299" i="16"/>
  <c r="H283" i="16"/>
  <c r="H267" i="16"/>
  <c r="H235" i="16"/>
  <c r="H318" i="16"/>
  <c r="G301" i="16"/>
  <c r="H326" i="16"/>
  <c r="G292" i="16"/>
  <c r="G214" i="16"/>
  <c r="H247" i="16"/>
  <c r="G215" i="16"/>
  <c r="L706" i="27"/>
  <c r="L700" i="27"/>
  <c r="L704" i="27"/>
  <c r="L702" i="27"/>
  <c r="L707" i="27"/>
  <c r="L708" i="27"/>
  <c r="L709" i="27"/>
  <c r="L710" i="27"/>
  <c r="L712" i="27"/>
  <c r="L711" i="27"/>
  <c r="L713" i="27"/>
  <c r="L714" i="27"/>
  <c r="L715" i="27"/>
  <c r="L716" i="27"/>
  <c r="L718" i="27"/>
  <c r="L717" i="27"/>
  <c r="L719" i="27"/>
  <c r="L720" i="27"/>
  <c r="L721" i="27"/>
  <c r="L722" i="27"/>
  <c r="L723" i="27"/>
  <c r="L724" i="27"/>
  <c r="L725" i="27"/>
  <c r="L726" i="27"/>
  <c r="L727" i="27"/>
  <c r="L728" i="27"/>
  <c r="L730" i="27"/>
  <c r="L729" i="27"/>
  <c r="L731" i="27"/>
  <c r="L732" i="27"/>
  <c r="L733" i="27"/>
  <c r="L734" i="27"/>
  <c r="L736" i="27"/>
  <c r="L735" i="27"/>
  <c r="L737" i="27"/>
  <c r="L738" i="27"/>
  <c r="L739" i="27"/>
  <c r="L740" i="27"/>
  <c r="L741" i="27"/>
  <c r="L742" i="27"/>
  <c r="L519" i="27"/>
  <c r="L743" i="27"/>
  <c r="L744" i="27"/>
  <c r="L745" i="27"/>
  <c r="L746" i="27"/>
  <c r="L748" i="27"/>
  <c r="L747" i="27"/>
  <c r="L749" i="27"/>
  <c r="L750" i="27"/>
  <c r="L751" i="27"/>
  <c r="L752" i="27"/>
  <c r="L753" i="27"/>
  <c r="L754" i="27"/>
  <c r="L755" i="27"/>
  <c r="L756" i="27"/>
  <c r="L757" i="27"/>
  <c r="L758" i="27"/>
  <c r="L759" i="27"/>
  <c r="L760" i="27"/>
  <c r="L761" i="27"/>
  <c r="L762" i="27"/>
  <c r="L763" i="27"/>
  <c r="L764" i="27"/>
  <c r="L766" i="27"/>
  <c r="L765" i="27"/>
  <c r="L767" i="27"/>
  <c r="L768" i="27"/>
  <c r="L769" i="27"/>
  <c r="L770" i="27"/>
  <c r="L771" i="27"/>
  <c r="L772" i="27"/>
  <c r="L773" i="27"/>
  <c r="L774" i="27"/>
  <c r="L775" i="27"/>
  <c r="L776" i="27"/>
  <c r="L777" i="27"/>
  <c r="L778" i="27"/>
  <c r="L779" i="27"/>
  <c r="L780" i="27"/>
  <c r="L781" i="27"/>
  <c r="L782" i="27"/>
  <c r="L784" i="27"/>
  <c r="L783" i="27"/>
  <c r="L785" i="27"/>
  <c r="L786" i="27"/>
  <c r="L787" i="27"/>
  <c r="L788" i="27"/>
  <c r="L790" i="27"/>
  <c r="L789" i="27"/>
  <c r="L791" i="27"/>
  <c r="L792" i="27"/>
  <c r="L793" i="27"/>
  <c r="L794" i="27"/>
  <c r="L796" i="27"/>
  <c r="L795" i="27"/>
  <c r="L797" i="27"/>
  <c r="L798" i="27"/>
  <c r="L799" i="27"/>
  <c r="L800" i="27"/>
  <c r="L802" i="27"/>
  <c r="L801" i="27"/>
  <c r="L803" i="27"/>
  <c r="L804" i="27"/>
  <c r="L805" i="27"/>
  <c r="L806" i="27"/>
  <c r="L807" i="27"/>
  <c r="L808" i="27"/>
  <c r="L809" i="27"/>
  <c r="L810" i="27"/>
  <c r="L811" i="27"/>
  <c r="L812" i="27"/>
  <c r="L814" i="27"/>
  <c r="L813" i="27"/>
  <c r="L815" i="27"/>
  <c r="L816" i="27"/>
  <c r="L817" i="27"/>
  <c r="L818" i="27"/>
  <c r="L819" i="27"/>
  <c r="L820" i="27"/>
  <c r="L821" i="27"/>
  <c r="L822" i="27"/>
  <c r="L823" i="27"/>
  <c r="L824" i="27"/>
  <c r="L826" i="27"/>
  <c r="L825" i="27"/>
  <c r="L827" i="27"/>
  <c r="L828" i="27"/>
  <c r="L829" i="27"/>
  <c r="L830" i="27"/>
  <c r="L832" i="27"/>
  <c r="L831" i="27"/>
  <c r="L833" i="27"/>
  <c r="L834" i="27"/>
  <c r="L835" i="27"/>
  <c r="L836" i="27"/>
  <c r="L838" i="27"/>
  <c r="L837" i="27"/>
  <c r="L839" i="27"/>
  <c r="L840" i="27"/>
  <c r="L841" i="27"/>
  <c r="L842" i="27"/>
  <c r="L843" i="27"/>
  <c r="L844" i="27"/>
  <c r="L845" i="27"/>
  <c r="L846" i="27"/>
  <c r="L847" i="27"/>
  <c r="L848" i="27"/>
  <c r="L849" i="27"/>
  <c r="L850" i="27"/>
  <c r="L851" i="27"/>
  <c r="L852" i="27"/>
  <c r="L853" i="27"/>
  <c r="L854" i="27"/>
  <c r="L856" i="27"/>
  <c r="L855" i="27"/>
  <c r="L857" i="27"/>
  <c r="L858" i="27"/>
  <c r="L859" i="27"/>
  <c r="L860" i="27"/>
  <c r="L861" i="27"/>
  <c r="L862" i="27"/>
  <c r="L863" i="27"/>
  <c r="L864" i="27"/>
  <c r="L865" i="27"/>
  <c r="L866" i="27"/>
  <c r="L867" i="27"/>
  <c r="L868" i="27"/>
  <c r="L869" i="27"/>
  <c r="L870" i="27"/>
  <c r="L871" i="27"/>
  <c r="L872" i="27"/>
  <c r="L874" i="27"/>
  <c r="L873" i="27"/>
  <c r="L875" i="27"/>
  <c r="L876" i="27"/>
  <c r="L877" i="27"/>
  <c r="L878" i="27"/>
  <c r="L879" i="27"/>
  <c r="M3" i="27" a="1"/>
  <c r="K3" i="27"/>
  <c r="K484" i="27"/>
  <c r="G840" i="27"/>
  <c r="AI11" i="31"/>
  <c r="H227" i="27"/>
  <c r="E453" i="27"/>
  <c r="BD9" i="33"/>
  <c r="G871" i="27"/>
  <c r="G805" i="27"/>
  <c r="O3" i="27"/>
  <c r="G870" i="27"/>
  <c r="G869" i="27"/>
  <c r="G791" i="27"/>
  <c r="G812" i="27"/>
  <c r="Q243" i="27"/>
  <c r="G780" i="27"/>
  <c r="BC9" i="33"/>
  <c r="G779" i="27"/>
  <c r="A316" i="32"/>
  <c r="G784" i="27"/>
  <c r="G776" i="27"/>
  <c r="AB9" i="33"/>
  <c r="J2204" i="27"/>
  <c r="H19" i="27"/>
  <c r="G785" i="27"/>
  <c r="G873" i="27"/>
  <c r="G833" i="27"/>
  <c r="J453" i="27" a="1"/>
  <c r="Q244" i="27"/>
  <c r="G856" i="27"/>
  <c r="G820" i="27"/>
  <c r="Q453" i="27"/>
  <c r="G864" i="27"/>
  <c r="G801" i="27"/>
  <c r="H3" i="27"/>
  <c r="M2204" i="27"/>
  <c r="G790" i="27"/>
  <c r="H20" i="27"/>
  <c r="G19" i="27"/>
  <c r="G830" i="27"/>
  <c r="G742" i="27"/>
  <c r="G829" i="27"/>
  <c r="G860" i="27"/>
  <c r="G868" i="27"/>
  <c r="AK9" i="33"/>
  <c r="N484" i="27"/>
  <c r="L19" i="27"/>
  <c r="G453" i="27"/>
  <c r="G858" i="27"/>
  <c r="P9" i="33"/>
  <c r="G798" i="27"/>
  <c r="L20" i="27"/>
  <c r="P453" i="27"/>
  <c r="O453" i="27"/>
  <c r="G827" i="27"/>
  <c r="G836" i="27"/>
  <c r="G872" i="27"/>
  <c r="G794" i="27"/>
  <c r="D2204" i="27"/>
  <c r="G841" i="27"/>
  <c r="G777" i="27"/>
  <c r="G740" i="27"/>
  <c r="G621" i="32"/>
  <c r="G806" i="27"/>
  <c r="G821" i="27"/>
  <c r="F453" i="27"/>
  <c r="G3" i="27"/>
  <c r="G778" i="27"/>
  <c r="G853" i="27"/>
  <c r="G825" i="27"/>
  <c r="T484" i="27"/>
  <c r="G799" i="27"/>
  <c r="G741" i="27"/>
  <c r="G832" i="27"/>
  <c r="AI9" i="31"/>
  <c r="AE9" i="33"/>
  <c r="G850" i="27"/>
  <c r="G774" i="27"/>
  <c r="Q227" i="27"/>
  <c r="G865" i="27"/>
  <c r="G823" i="27"/>
  <c r="G862" i="27"/>
  <c r="G846" i="27"/>
  <c r="G837" i="27"/>
  <c r="G819" i="27"/>
  <c r="G817" i="27"/>
  <c r="G859" i="27"/>
  <c r="E19" i="27"/>
  <c r="F484" i="27"/>
  <c r="G782" i="27"/>
  <c r="G795" i="27"/>
  <c r="A10" i="32"/>
  <c r="J3" i="27"/>
  <c r="G800" i="27"/>
  <c r="T453" i="27"/>
  <c r="G792" i="27"/>
  <c r="G815" i="27"/>
  <c r="G857" i="27"/>
  <c r="V453" i="27"/>
  <c r="R20" i="27"/>
  <c r="V9" i="33"/>
  <c r="G796" i="27"/>
  <c r="G834" i="27"/>
  <c r="G852" i="27"/>
  <c r="Q3" i="27"/>
  <c r="G797" i="27"/>
  <c r="G811" i="27"/>
  <c r="M453" i="27"/>
  <c r="U453" i="27"/>
  <c r="G845" i="27"/>
  <c r="G855" i="27"/>
  <c r="F3" i="27"/>
  <c r="G851" i="27"/>
  <c r="G822" i="27"/>
  <c r="G849" i="27"/>
  <c r="D453" i="27"/>
  <c r="G789" i="27"/>
  <c r="Q19" i="27"/>
  <c r="AK9" i="30"/>
  <c r="E3" i="27"/>
  <c r="K2204" i="27"/>
  <c r="G793" i="27"/>
  <c r="I453" i="27"/>
  <c r="G831" i="27"/>
  <c r="G484" i="27"/>
  <c r="P2204" i="27"/>
  <c r="G847" i="27"/>
  <c r="G788" i="27"/>
  <c r="G861" i="27"/>
  <c r="G775" i="27"/>
  <c r="J19" i="27"/>
  <c r="K19" i="27"/>
  <c r="F19" i="27"/>
  <c r="G843" i="27"/>
  <c r="AH9" i="33"/>
  <c r="P3" i="27"/>
  <c r="G787" i="27"/>
  <c r="G808" i="27"/>
  <c r="L3" i="27"/>
  <c r="G804" i="27"/>
  <c r="G866" i="27"/>
  <c r="G813" i="27"/>
  <c r="G839" i="27"/>
  <c r="G803" i="27"/>
  <c r="G835" i="27"/>
  <c r="G781" i="27"/>
  <c r="G818" i="27"/>
  <c r="L2204" i="27"/>
  <c r="G826" i="27"/>
  <c r="N453" i="27"/>
  <c r="G810" i="27"/>
  <c r="G842" i="27"/>
  <c r="G863" i="27"/>
  <c r="G809" i="27"/>
  <c r="G786" i="27"/>
  <c r="G802" i="27"/>
  <c r="G867" i="27"/>
  <c r="D3" i="27"/>
  <c r="G519" i="27"/>
  <c r="AL9" i="30"/>
  <c r="S9" i="33"/>
  <c r="R453" i="27"/>
  <c r="R3" i="27"/>
  <c r="G854" i="27"/>
  <c r="H243" i="27"/>
  <c r="H244" i="27"/>
  <c r="P19" i="27"/>
  <c r="L453" i="27"/>
  <c r="G814" i="27"/>
  <c r="G838" i="27"/>
  <c r="G828" i="27"/>
  <c r="G816" i="27"/>
  <c r="Y9" i="33"/>
  <c r="R19" i="27"/>
  <c r="G807" i="27"/>
  <c r="M2" i="28"/>
  <c r="G844" i="27"/>
  <c r="K453" i="27"/>
  <c r="G848" i="27"/>
  <c r="G824" i="27"/>
  <c r="C434" i="32" l="1"/>
  <c r="C430" i="32"/>
  <c r="C428" i="32"/>
  <c r="C422" i="32"/>
  <c r="C448" i="32"/>
  <c r="C438" i="32"/>
  <c r="C1079" i="32"/>
  <c r="C1075" i="32"/>
  <c r="C568" i="32"/>
  <c r="Q568" i="32" s="1"/>
  <c r="C502" i="32"/>
  <c r="Q502" i="32" s="1"/>
  <c r="C460" i="32"/>
  <c r="C396" i="32"/>
  <c r="C354" i="32"/>
  <c r="W354" i="32" s="1"/>
  <c r="K354" i="32" s="1"/>
  <c r="C336" i="32"/>
  <c r="W336" i="32" s="1"/>
  <c r="K336" i="32" s="1"/>
  <c r="C566" i="32"/>
  <c r="Q566" i="32" s="1"/>
  <c r="C500" i="32"/>
  <c r="Q500" i="32" s="1"/>
  <c r="C458" i="32"/>
  <c r="C414" i="32"/>
  <c r="C350" i="32"/>
  <c r="W350" i="32" s="1"/>
  <c r="K350" i="32" s="1"/>
  <c r="C352" i="32"/>
  <c r="W352" i="32" s="1"/>
  <c r="K352" i="32" s="1"/>
  <c r="C564" i="32"/>
  <c r="Q564" i="32" s="1"/>
  <c r="C562" i="32"/>
  <c r="C496" i="32"/>
  <c r="Q496" i="32" s="1"/>
  <c r="C474" i="32"/>
  <c r="C410" i="32"/>
  <c r="C346" i="32"/>
  <c r="W346" i="32" s="1"/>
  <c r="K346" i="32" s="1"/>
  <c r="C456" i="32"/>
  <c r="C558" i="32"/>
  <c r="Q558" i="32" s="1"/>
  <c r="C512" i="32"/>
  <c r="Q512" i="32" s="1"/>
  <c r="C408" i="32"/>
  <c r="C556" i="32"/>
  <c r="Q556" i="32" s="1"/>
  <c r="C510" i="32"/>
  <c r="Q510" i="32" s="1"/>
  <c r="C468" i="32"/>
  <c r="C406" i="32"/>
  <c r="C342" i="32"/>
  <c r="W342" i="32" s="1"/>
  <c r="K342" i="32" s="1"/>
  <c r="C412" i="32"/>
  <c r="C466" i="32"/>
  <c r="C402" i="32"/>
  <c r="C340" i="32"/>
  <c r="W340" i="32" s="1"/>
  <c r="K340" i="32" s="1"/>
  <c r="C398" i="32"/>
  <c r="C332" i="32"/>
  <c r="C328" i="32"/>
  <c r="C324" i="32"/>
  <c r="C320" i="32"/>
  <c r="C316" i="32"/>
  <c r="P316" i="32" s="1"/>
  <c r="D331" i="20"/>
  <c r="D48" i="20"/>
  <c r="U172" i="1"/>
  <c r="G263" i="16"/>
  <c r="G337" i="16"/>
  <c r="H262" i="16"/>
  <c r="G338" i="16"/>
  <c r="H232" i="16"/>
  <c r="H254" i="16"/>
  <c r="G259" i="16"/>
  <c r="A100" i="36"/>
  <c r="H220" i="24" s="1"/>
  <c r="H222" i="16"/>
  <c r="G276" i="16"/>
  <c r="A76" i="36"/>
  <c r="B314" i="32" s="1"/>
  <c r="G253" i="16"/>
  <c r="H328" i="16"/>
  <c r="H270" i="16"/>
  <c r="G336" i="16"/>
  <c r="A34" i="36"/>
  <c r="T123" i="1" s="1"/>
  <c r="B26" i="29"/>
  <c r="G231" i="16"/>
  <c r="G302" i="16"/>
  <c r="H268" i="16"/>
  <c r="G265" i="16"/>
  <c r="G342" i="16"/>
  <c r="B2286" i="27"/>
  <c r="D199" i="20"/>
  <c r="C200" i="20"/>
  <c r="AY13" i="34"/>
  <c r="AY14" i="34" s="1"/>
  <c r="AY15" i="34" s="1"/>
  <c r="Y172" i="1"/>
  <c r="G327" i="16"/>
  <c r="G221" i="16"/>
  <c r="H251" i="16"/>
  <c r="G347" i="16"/>
  <c r="H298" i="16"/>
  <c r="G305" i="16"/>
  <c r="G236" i="16"/>
  <c r="H346" i="16"/>
  <c r="A92" i="36"/>
  <c r="E107" i="24" s="1"/>
  <c r="B27" i="29"/>
  <c r="U139" i="1"/>
  <c r="G343" i="16"/>
  <c r="H237" i="16"/>
  <c r="G234" i="16"/>
  <c r="G223" i="16"/>
  <c r="G252" i="16"/>
  <c r="D384" i="20"/>
  <c r="G213" i="16"/>
  <c r="D357" i="20"/>
  <c r="D196" i="20"/>
  <c r="G321" i="16"/>
  <c r="G250" i="16"/>
  <c r="H287" i="16"/>
  <c r="AD145" i="1"/>
  <c r="H313" i="16"/>
  <c r="D372" i="20"/>
  <c r="D332" i="20"/>
  <c r="D292" i="20"/>
  <c r="D251" i="20"/>
  <c r="D103" i="20"/>
  <c r="A60" i="36"/>
  <c r="AD167" i="1"/>
  <c r="Y125" i="1"/>
  <c r="G228" i="16"/>
  <c r="X167" i="1"/>
  <c r="H273" i="16"/>
  <c r="H277" i="16"/>
  <c r="G317" i="16"/>
  <c r="D195" i="20"/>
  <c r="D97" i="20"/>
  <c r="D45" i="20"/>
  <c r="A22" i="36"/>
  <c r="A33" i="24" s="1"/>
  <c r="H309" i="16"/>
  <c r="G219" i="16"/>
  <c r="G289" i="16"/>
  <c r="AX43" i="33"/>
  <c r="D371" i="20"/>
  <c r="D333" i="20"/>
  <c r="D330" i="20"/>
  <c r="D197" i="20"/>
  <c r="D134" i="20"/>
  <c r="D96" i="20"/>
  <c r="A104" i="36"/>
  <c r="A16" i="36"/>
  <c r="E30" i="1" s="1"/>
  <c r="W142" i="1"/>
  <c r="C51" i="20"/>
  <c r="D50" i="20"/>
  <c r="X171" i="1"/>
  <c r="AD171" i="1"/>
  <c r="AF159" i="1"/>
  <c r="AD159" i="1"/>
  <c r="C1621" i="32"/>
  <c r="Q1621" i="32" s="1"/>
  <c r="C1635" i="32"/>
  <c r="Q1635" i="32" s="1"/>
  <c r="C1651" i="32"/>
  <c r="Q1651" i="32" s="1"/>
  <c r="C1623" i="32"/>
  <c r="Q1623" i="32" s="1"/>
  <c r="C1649" i="32"/>
  <c r="Q1649" i="32" s="1"/>
  <c r="C1629" i="32"/>
  <c r="Q1629" i="32" s="1"/>
  <c r="C1653" i="32"/>
  <c r="Q1653" i="32" s="1"/>
  <c r="C1637" i="32"/>
  <c r="Q1637" i="32" s="1"/>
  <c r="C1657" i="32"/>
  <c r="Q1657" i="32" s="1"/>
  <c r="AY16" i="34"/>
  <c r="AF143" i="1"/>
  <c r="D280" i="20"/>
  <c r="X159" i="1"/>
  <c r="AF139" i="1"/>
  <c r="AD163" i="1"/>
  <c r="AD131" i="1"/>
  <c r="X131" i="1"/>
  <c r="H330" i="16"/>
  <c r="G330" i="16"/>
  <c r="H341" i="16"/>
  <c r="G341" i="16"/>
  <c r="H324" i="16"/>
  <c r="G324" i="16"/>
  <c r="G260" i="16"/>
  <c r="H260" i="16"/>
  <c r="H218" i="16"/>
  <c r="G218" i="16"/>
  <c r="H271" i="16"/>
  <c r="G271" i="16"/>
  <c r="C1659" i="32"/>
  <c r="Q1659" i="32" s="1"/>
  <c r="AX65" i="33"/>
  <c r="AY65" i="33"/>
  <c r="H297" i="16"/>
  <c r="AF171" i="1"/>
  <c r="D279" i="20"/>
  <c r="AD149" i="1"/>
  <c r="AF131" i="1"/>
  <c r="B2287" i="27"/>
  <c r="AZ65" i="33"/>
  <c r="C113" i="20"/>
  <c r="C114" i="20" s="1"/>
  <c r="C115" i="20" s="1"/>
  <c r="D115" i="20" s="1"/>
  <c r="D112" i="20"/>
  <c r="C108" i="20"/>
  <c r="D107" i="20"/>
  <c r="C1645" i="32"/>
  <c r="Q1645" i="32" s="1"/>
  <c r="D266" i="20"/>
  <c r="D106" i="20"/>
  <c r="D49" i="20"/>
  <c r="H230" i="16"/>
  <c r="G315" i="16"/>
  <c r="C20" i="27"/>
  <c r="B21" i="27"/>
  <c r="B22" i="27" s="1"/>
  <c r="C22" i="27" s="1"/>
  <c r="H242" i="16"/>
  <c r="G242" i="16"/>
  <c r="D329" i="20"/>
  <c r="D366" i="20"/>
  <c r="D354" i="20"/>
  <c r="D269" i="20"/>
  <c r="C87" i="20"/>
  <c r="C88" i="20" s="1"/>
  <c r="D88" i="20" s="1"/>
  <c r="D86" i="20"/>
  <c r="D145" i="20"/>
  <c r="D125" i="20"/>
  <c r="D116" i="20"/>
  <c r="D21" i="20"/>
  <c r="D20" i="20"/>
  <c r="I227" i="27"/>
  <c r="W164" i="1"/>
  <c r="E156" i="1"/>
  <c r="AF156" i="1" s="1"/>
  <c r="Y151" i="1"/>
  <c r="E130" i="1"/>
  <c r="X126" i="1"/>
  <c r="A47" i="1"/>
  <c r="E47" i="1" s="1"/>
  <c r="N47" i="1" s="1"/>
  <c r="A88" i="36"/>
  <c r="A1" i="24" s="1"/>
  <c r="A40" i="36"/>
  <c r="D8" i="30" s="1"/>
  <c r="A6" i="36"/>
  <c r="A6" i="1" s="1"/>
  <c r="W172" i="1"/>
  <c r="W169" i="1"/>
  <c r="E169" i="1"/>
  <c r="W153" i="1"/>
  <c r="W137" i="1"/>
  <c r="D287" i="20"/>
  <c r="D198" i="20"/>
  <c r="D177" i="20"/>
  <c r="D158" i="20"/>
  <c r="D155" i="20"/>
  <c r="D111" i="20"/>
  <c r="D104" i="20"/>
  <c r="D44" i="20"/>
  <c r="C1571" i="32"/>
  <c r="Q1571" i="32" s="1"/>
  <c r="C1559" i="32"/>
  <c r="Q1559" i="32" s="1"/>
  <c r="C1493" i="32"/>
  <c r="Q1493" i="32" s="1"/>
  <c r="C1475" i="32"/>
  <c r="Q1475" i="32" s="1"/>
  <c r="C1401" i="32"/>
  <c r="Q1401" i="32" s="1"/>
  <c r="C1333" i="32"/>
  <c r="Q1333" i="32" s="1"/>
  <c r="C1325" i="32"/>
  <c r="Q1325" i="32" s="1"/>
  <c r="C1315" i="32"/>
  <c r="Q1315" i="32" s="1"/>
  <c r="C1303" i="32"/>
  <c r="Q1303" i="32" s="1"/>
  <c r="C1251" i="32"/>
  <c r="Q1251" i="32" s="1"/>
  <c r="C1237" i="32"/>
  <c r="Q1237" i="32" s="1"/>
  <c r="C1173" i="32"/>
  <c r="Q1173" i="32" s="1"/>
  <c r="C1157" i="32"/>
  <c r="Q1157" i="32" s="1"/>
  <c r="C1053" i="32"/>
  <c r="C867" i="32"/>
  <c r="C739" i="32"/>
  <c r="W739" i="32" s="1"/>
  <c r="K739" i="32" s="1"/>
  <c r="C729" i="32"/>
  <c r="W729" i="32" s="1"/>
  <c r="K729" i="32" s="1"/>
  <c r="C717" i="32"/>
  <c r="W717" i="32" s="1"/>
  <c r="K717" i="32" s="1"/>
  <c r="C707" i="32"/>
  <c r="W707" i="32" s="1"/>
  <c r="K707" i="32" s="1"/>
  <c r="C653" i="32"/>
  <c r="W653" i="32" s="1"/>
  <c r="K653" i="32" s="1"/>
  <c r="C548" i="32"/>
  <c r="Q548" i="32" s="1"/>
  <c r="C470" i="32"/>
  <c r="C462" i="32"/>
  <c r="C378" i="32"/>
  <c r="X170" i="1"/>
  <c r="E144" i="1"/>
  <c r="C1771" i="32"/>
  <c r="Q1771" i="32" s="1"/>
  <c r="C1753" i="32"/>
  <c r="Q1753" i="32" s="1"/>
  <c r="C1765" i="32"/>
  <c r="Q1765" i="32" s="1"/>
  <c r="AQ11" i="33" a="1"/>
  <c r="AQ11" i="33" s="1"/>
  <c r="J11" i="33" s="1"/>
  <c r="G151" i="24" s="1"/>
  <c r="H225" i="16"/>
  <c r="H310" i="16"/>
  <c r="J26" i="16"/>
  <c r="AE11" i="31" a="1"/>
  <c r="AE11" i="31" s="1"/>
  <c r="H9" i="31" s="1"/>
  <c r="AV27" i="33" a="1"/>
  <c r="AV27" i="33" s="1"/>
  <c r="AW27" i="33" s="1"/>
  <c r="AV31" i="33" a="1"/>
  <c r="AV31" i="33" s="1"/>
  <c r="AW31" i="33" s="1"/>
  <c r="AV29" i="33" a="1"/>
  <c r="AV29" i="33" s="1"/>
  <c r="AW29" i="33" s="1"/>
  <c r="AV25" i="33" a="1"/>
  <c r="AV25" i="33" s="1"/>
  <c r="AX25" i="33" s="1"/>
  <c r="C323" i="20"/>
  <c r="D322" i="20"/>
  <c r="D270" i="20"/>
  <c r="C271" i="20"/>
  <c r="C190" i="20"/>
  <c r="D190" i="20" s="1"/>
  <c r="D189" i="20"/>
  <c r="H240" i="16"/>
  <c r="G320" i="16"/>
  <c r="H320" i="16"/>
  <c r="H257" i="16"/>
  <c r="H340" i="16"/>
  <c r="G256" i="16"/>
  <c r="AH33" i="30" a="1"/>
  <c r="AH33" i="30" s="1"/>
  <c r="H335" i="16"/>
  <c r="G335" i="16"/>
  <c r="G239" i="16"/>
  <c r="H239" i="16"/>
  <c r="AZ19" i="33"/>
  <c r="U153" i="1"/>
  <c r="AZ11" i="33"/>
  <c r="AX45" i="33"/>
  <c r="AY45" i="33"/>
  <c r="AW45" i="33"/>
  <c r="G293" i="16"/>
  <c r="X127" i="1"/>
  <c r="AF127" i="1"/>
  <c r="G300" i="16"/>
  <c r="H300" i="16"/>
  <c r="G296" i="16"/>
  <c r="H296" i="16"/>
  <c r="D181" i="20"/>
  <c r="F26" i="16" a="1"/>
  <c r="F26" i="16" s="1"/>
  <c r="F27" i="16" s="1" a="1"/>
  <c r="F27" i="16" s="1"/>
  <c r="AO88" i="34"/>
  <c r="AP88" i="34" s="1"/>
  <c r="AR88" i="34" s="1"/>
  <c r="D318" i="20"/>
  <c r="D101" i="20"/>
  <c r="D87" i="20"/>
  <c r="D78" i="20"/>
  <c r="G284" i="16"/>
  <c r="H304" i="16"/>
  <c r="G229" i="16"/>
  <c r="G227" i="16"/>
  <c r="G275" i="16"/>
  <c r="G323" i="16"/>
  <c r="D316" i="20"/>
  <c r="D85" i="20"/>
  <c r="D79" i="20"/>
  <c r="D56" i="20"/>
  <c r="AV23" i="33" a="1"/>
  <c r="AV23" i="33" s="1"/>
  <c r="AW23" i="33" s="1"/>
  <c r="AH13" i="31"/>
  <c r="U318" i="32"/>
  <c r="BA11" i="33"/>
  <c r="AJ11" i="30"/>
  <c r="C334" i="32"/>
  <c r="C326" i="32"/>
  <c r="C330" i="32"/>
  <c r="C322" i="32"/>
  <c r="C817" i="32"/>
  <c r="W817" i="32" s="1"/>
  <c r="K817" i="32" s="1"/>
  <c r="C689" i="32"/>
  <c r="W689" i="32" s="1"/>
  <c r="K689" i="32" s="1"/>
  <c r="C785" i="32"/>
  <c r="W785" i="32" s="1"/>
  <c r="K785" i="32" s="1"/>
  <c r="C651" i="32"/>
  <c r="W651" i="32" s="1"/>
  <c r="K651" i="32" s="1"/>
  <c r="C895" i="32"/>
  <c r="C815" i="32"/>
  <c r="W815" i="32" s="1"/>
  <c r="K815" i="32" s="1"/>
  <c r="C781" i="32"/>
  <c r="W781" i="32" s="1"/>
  <c r="K781" i="32" s="1"/>
  <c r="C749" i="32"/>
  <c r="W749" i="32" s="1"/>
  <c r="K749" i="32" s="1"/>
  <c r="C685" i="32"/>
  <c r="W685" i="32" s="1"/>
  <c r="K685" i="32" s="1"/>
  <c r="C649" i="32"/>
  <c r="W649" i="32" s="1"/>
  <c r="K649" i="32" s="1"/>
  <c r="C621" i="32"/>
  <c r="P621" i="32" s="1"/>
  <c r="Q621" i="32" s="1"/>
  <c r="C813" i="32"/>
  <c r="W813" i="32" s="1"/>
  <c r="K813" i="32" s="1"/>
  <c r="C647" i="32"/>
  <c r="W647" i="32" s="1"/>
  <c r="K647" i="32" s="1"/>
  <c r="C811" i="32"/>
  <c r="W811" i="32" s="1"/>
  <c r="K811" i="32" s="1"/>
  <c r="C745" i="32"/>
  <c r="W745" i="32" s="1"/>
  <c r="K745" i="32" s="1"/>
  <c r="C677" i="32"/>
  <c r="W677" i="32" s="1"/>
  <c r="K677" i="32" s="1"/>
  <c r="C775" i="32"/>
  <c r="W775" i="32" s="1"/>
  <c r="K775" i="32" s="1"/>
  <c r="C645" i="32"/>
  <c r="W645" i="32" s="1"/>
  <c r="K645" i="32" s="1"/>
  <c r="C889" i="32"/>
  <c r="C805" i="32"/>
  <c r="W805" i="32" s="1"/>
  <c r="K805" i="32" s="1"/>
  <c r="C773" i="32"/>
  <c r="W773" i="32" s="1"/>
  <c r="K773" i="32" s="1"/>
  <c r="C743" i="32"/>
  <c r="W743" i="32" s="1"/>
  <c r="K743" i="32" s="1"/>
  <c r="C675" i="32"/>
  <c r="W675" i="32" s="1"/>
  <c r="K675" i="32" s="1"/>
  <c r="C641" i="32"/>
  <c r="W641" i="32" s="1"/>
  <c r="K641" i="32" s="1"/>
  <c r="C769" i="32"/>
  <c r="W769" i="32" s="1"/>
  <c r="K769" i="32" s="1"/>
  <c r="C635" i="32"/>
  <c r="W635" i="32" s="1"/>
  <c r="K635" i="32" s="1"/>
  <c r="C803" i="32"/>
  <c r="W803" i="32" s="1"/>
  <c r="K803" i="32" s="1"/>
  <c r="C799" i="32"/>
  <c r="W799" i="32" s="1"/>
  <c r="K799" i="32" s="1"/>
  <c r="C667" i="32"/>
  <c r="W667" i="32" s="1"/>
  <c r="K667" i="32" s="1"/>
  <c r="C797" i="32"/>
  <c r="W797" i="32" s="1"/>
  <c r="K797" i="32" s="1"/>
  <c r="C765" i="32"/>
  <c r="W765" i="32" s="1"/>
  <c r="K765" i="32" s="1"/>
  <c r="C665" i="32"/>
  <c r="W665" i="32" s="1"/>
  <c r="K665" i="32" s="1"/>
  <c r="C633" i="32"/>
  <c r="W633" i="32" s="1"/>
  <c r="K633" i="32" s="1"/>
  <c r="C795" i="32"/>
  <c r="W795" i="32" s="1"/>
  <c r="K795" i="32" s="1"/>
  <c r="C631" i="32"/>
  <c r="W631" i="32" s="1"/>
  <c r="K631" i="32" s="1"/>
  <c r="C761" i="32"/>
  <c r="W761" i="32" s="1"/>
  <c r="K761" i="32" s="1"/>
  <c r="C659" i="32"/>
  <c r="W659" i="32" s="1"/>
  <c r="K659" i="32" s="1"/>
  <c r="C791" i="32"/>
  <c r="W791" i="32" s="1"/>
  <c r="K791" i="32" s="1"/>
  <c r="C695" i="32"/>
  <c r="W695" i="32" s="1"/>
  <c r="K695" i="32" s="1"/>
  <c r="C627" i="32"/>
  <c r="W627" i="32" s="1"/>
  <c r="K627" i="32" s="1"/>
  <c r="C657" i="32"/>
  <c r="W657" i="32" s="1"/>
  <c r="K657" i="32" s="1"/>
  <c r="C394" i="32"/>
  <c r="C364" i="32"/>
  <c r="C390" i="32"/>
  <c r="C388" i="32"/>
  <c r="C382" i="32"/>
  <c r="C1065" i="32"/>
  <c r="C973" i="32"/>
  <c r="C1033" i="32"/>
  <c r="C949" i="32"/>
  <c r="C1099" i="32"/>
  <c r="C1095" i="32"/>
  <c r="C1021" i="32"/>
  <c r="C963" i="32"/>
  <c r="C1083" i="32"/>
  <c r="C947" i="32"/>
  <c r="C1067" i="32"/>
  <c r="C1041" i="32"/>
  <c r="C977" i="32"/>
  <c r="C929" i="32"/>
  <c r="C917" i="32"/>
  <c r="C905" i="32"/>
  <c r="C925" i="32"/>
  <c r="C1055" i="32"/>
  <c r="C965" i="32"/>
  <c r="C919" i="32"/>
  <c r="C913" i="32"/>
  <c r="C1051" i="32"/>
  <c r="C1097" i="32"/>
  <c r="C1047" i="32"/>
  <c r="C957" i="32"/>
  <c r="C911" i="32"/>
  <c r="C1039" i="32"/>
  <c r="C1081" i="32"/>
  <c r="C1035" i="32"/>
  <c r="C945" i="32"/>
  <c r="C1027" i="32"/>
  <c r="C933" i="32"/>
  <c r="C1069" i="32"/>
  <c r="C1023" i="32"/>
  <c r="C975" i="32"/>
  <c r="C931" i="32"/>
  <c r="C1073" i="32"/>
  <c r="C1045" i="32"/>
  <c r="C969" i="32"/>
  <c r="C937" i="32"/>
  <c r="C909" i="32"/>
  <c r="C1071" i="32"/>
  <c r="C1043" i="32"/>
  <c r="C967" i="32"/>
  <c r="C935" i="32"/>
  <c r="C907" i="32"/>
  <c r="C1063" i="32"/>
  <c r="C1091" i="32"/>
  <c r="C923" i="32"/>
  <c r="C1089" i="32"/>
  <c r="C1059" i="32"/>
  <c r="C1031" i="32"/>
  <c r="C955" i="32"/>
  <c r="C1085" i="32"/>
  <c r="C1057" i="32"/>
  <c r="C951" i="32"/>
  <c r="C424" i="32"/>
  <c r="C452" i="32"/>
  <c r="C450" i="32"/>
  <c r="C418" i="32"/>
  <c r="C444" i="32"/>
  <c r="AQ88" i="34"/>
  <c r="AZ25" i="33"/>
  <c r="C282" i="20"/>
  <c r="D282" i="20" s="1"/>
  <c r="D281" i="20"/>
  <c r="D321" i="20"/>
  <c r="AZ63" i="33"/>
  <c r="G255" i="16"/>
  <c r="H322" i="16"/>
  <c r="G322" i="16"/>
  <c r="H308" i="16"/>
  <c r="G308" i="16"/>
  <c r="G249" i="16"/>
  <c r="H249" i="16"/>
  <c r="AY17" i="34"/>
  <c r="C21" i="27"/>
  <c r="W673" i="32"/>
  <c r="K673" i="32" s="1"/>
  <c r="W637" i="32"/>
  <c r="K637" i="32" s="1"/>
  <c r="C1729" i="32"/>
  <c r="Q1729" i="32" s="1"/>
  <c r="C1709" i="32"/>
  <c r="Q1709" i="32" s="1"/>
  <c r="C1719" i="32"/>
  <c r="Q1719" i="32" s="1"/>
  <c r="C1727" i="32"/>
  <c r="Q1727" i="32" s="1"/>
  <c r="C1737" i="32"/>
  <c r="Q1737" i="32" s="1"/>
  <c r="C1705" i="32"/>
  <c r="Q1705" i="32" s="1"/>
  <c r="C1707" i="32"/>
  <c r="Q1707" i="32" s="1"/>
  <c r="C1721" i="32"/>
  <c r="Q1721" i="32" s="1"/>
  <c r="C1735" i="32"/>
  <c r="Q1735" i="32" s="1"/>
  <c r="AX51" i="33"/>
  <c r="AW51" i="33"/>
  <c r="AY51" i="33"/>
  <c r="AZ31" i="33"/>
  <c r="B2288" i="27"/>
  <c r="C252" i="20"/>
  <c r="G312" i="16"/>
  <c r="H241" i="16"/>
  <c r="G241" i="16"/>
  <c r="AW49" i="33"/>
  <c r="AX49" i="33"/>
  <c r="AY49" i="33"/>
  <c r="AZ61" i="33"/>
  <c r="AZ37" i="33"/>
  <c r="H279" i="16"/>
  <c r="G279" i="16"/>
  <c r="U137" i="1"/>
  <c r="U125" i="1"/>
  <c r="AZ13" i="33"/>
  <c r="AZ23" i="33"/>
  <c r="J159" i="16" a="1"/>
  <c r="J159" i="16" s="1"/>
  <c r="AZ27" i="33"/>
  <c r="AZ47" i="33"/>
  <c r="AZ51" i="33"/>
  <c r="AZ41" i="33"/>
  <c r="U152" i="1"/>
  <c r="AZ21" i="33"/>
  <c r="AZ49" i="33"/>
  <c r="U156" i="1"/>
  <c r="AZ29" i="33"/>
  <c r="AZ57" i="33"/>
  <c r="U171" i="1"/>
  <c r="U157" i="1"/>
  <c r="AZ53" i="33"/>
  <c r="U162" i="1"/>
  <c r="AZ9" i="33"/>
  <c r="AZ39" i="33"/>
  <c r="U126" i="1"/>
  <c r="AZ35" i="33"/>
  <c r="AZ15" i="33"/>
  <c r="AR15" i="33" a="1"/>
  <c r="AR15" i="33" s="1"/>
  <c r="G244" i="16"/>
  <c r="H244" i="16"/>
  <c r="AW47" i="33"/>
  <c r="AY47" i="33"/>
  <c r="G303" i="16"/>
  <c r="H303" i="16"/>
  <c r="U129" i="1"/>
  <c r="B23" i="27"/>
  <c r="AZ43" i="33"/>
  <c r="U167" i="1"/>
  <c r="AO45" i="34"/>
  <c r="AP45" i="34" s="1"/>
  <c r="H314" i="16"/>
  <c r="AR63" i="33" a="1"/>
  <c r="AR63" i="33" s="1"/>
  <c r="AT63" i="33" s="1"/>
  <c r="AR47" i="33" a="1"/>
  <c r="AR47" i="33" s="1"/>
  <c r="I5" i="16" a="1"/>
  <c r="I5" i="16" s="1"/>
  <c r="H6" i="16" a="1"/>
  <c r="H6" i="16" s="1"/>
  <c r="I6" i="16" s="1" a="1"/>
  <c r="I6" i="16" s="1"/>
  <c r="AQ65" i="33" a="1"/>
  <c r="AQ65" i="33" s="1"/>
  <c r="J65" i="33" s="1"/>
  <c r="G177" i="24" s="1"/>
  <c r="AR55" i="33" a="1"/>
  <c r="AR55" i="33" s="1"/>
  <c r="AR45" i="33" a="1"/>
  <c r="AR45" i="33" s="1"/>
  <c r="AS45" i="33" s="1"/>
  <c r="AQ15" i="33" a="1"/>
  <c r="AQ15" i="33" s="1"/>
  <c r="J15" i="33" s="1"/>
  <c r="AR37" i="33" a="1"/>
  <c r="AR37" i="33" s="1"/>
  <c r="AT37" i="33" s="1"/>
  <c r="AR13" i="33" a="1"/>
  <c r="AR13" i="33" s="1"/>
  <c r="AQ17" i="33" a="1"/>
  <c r="AQ17" i="33" s="1"/>
  <c r="J17" i="33" s="1"/>
  <c r="G153" i="24" s="1"/>
  <c r="AR23" i="33" a="1"/>
  <c r="AR23" i="33" s="1"/>
  <c r="AR31" i="33" a="1"/>
  <c r="AR31" i="33" s="1"/>
  <c r="AT31" i="33" s="1"/>
  <c r="AQ13" i="33" a="1"/>
  <c r="AQ13" i="33" s="1"/>
  <c r="J13" i="33" s="1"/>
  <c r="G311" i="16"/>
  <c r="H311" i="16"/>
  <c r="H215" i="16"/>
  <c r="AO68" i="34"/>
  <c r="AP68" i="34" s="1"/>
  <c r="J6" i="16"/>
  <c r="AH9" i="30" a="1"/>
  <c r="AH9" i="30" s="1"/>
  <c r="AH11" i="30" a="1"/>
  <c r="AH11" i="30" s="1"/>
  <c r="AE9" i="30" a="1"/>
  <c r="AE9" i="30" s="1"/>
  <c r="H9" i="30" s="1"/>
  <c r="AF9" i="30" s="1"/>
  <c r="AE11" i="30" a="1"/>
  <c r="AE11" i="30" s="1"/>
  <c r="H11" i="30" s="1"/>
  <c r="AF11" i="30" s="1"/>
  <c r="AR39" i="33" a="1"/>
  <c r="AR39" i="33" s="1"/>
  <c r="H344" i="16"/>
  <c r="G344" i="16"/>
  <c r="G280" i="16"/>
  <c r="H280" i="16"/>
  <c r="D17" i="20"/>
  <c r="C18" i="20"/>
  <c r="U12" i="32"/>
  <c r="H282" i="16"/>
  <c r="H334" i="16"/>
  <c r="AF133" i="1"/>
  <c r="U133" i="1"/>
  <c r="G261" i="16"/>
  <c r="H261" i="16"/>
  <c r="AO23" i="34"/>
  <c r="AP23" i="34" s="1"/>
  <c r="AQ23" i="34" s="1"/>
  <c r="D40" i="20"/>
  <c r="C41" i="20"/>
  <c r="G238" i="16"/>
  <c r="I21" i="27"/>
  <c r="X149" i="1"/>
  <c r="H306" i="16"/>
  <c r="G306" i="16"/>
  <c r="G349" i="16"/>
  <c r="H349" i="16"/>
  <c r="AO22" i="34"/>
  <c r="AP22" i="34" s="1"/>
  <c r="AE9" i="31" a="1"/>
  <c r="AE9" i="31" s="1"/>
  <c r="AE15" i="31" a="1"/>
  <c r="AE15" i="31" s="1"/>
  <c r="H13" i="31" s="1"/>
  <c r="AX39" i="33"/>
  <c r="AW39" i="33"/>
  <c r="C7" i="20"/>
  <c r="C8" i="20" s="1"/>
  <c r="C9" i="20" s="1"/>
  <c r="D6" i="20"/>
  <c r="D382" i="20"/>
  <c r="C368" i="20"/>
  <c r="C369" i="20" s="1"/>
  <c r="C370" i="20" s="1"/>
  <c r="D367" i="20"/>
  <c r="W733" i="32"/>
  <c r="K733" i="32" s="1"/>
  <c r="W703" i="32"/>
  <c r="K703" i="32" s="1"/>
  <c r="C1683" i="32"/>
  <c r="Q1683" i="32" s="1"/>
  <c r="C1697" i="32"/>
  <c r="Q1697" i="32" s="1"/>
  <c r="C1663" i="32"/>
  <c r="Q1663" i="32" s="1"/>
  <c r="C1671" i="32"/>
  <c r="Q1671" i="32" s="1"/>
  <c r="C1677" i="32"/>
  <c r="Q1677" i="32" s="1"/>
  <c r="C1687" i="32"/>
  <c r="Q1687" i="32" s="1"/>
  <c r="X139" i="1"/>
  <c r="AD139" i="1"/>
  <c r="H216" i="16"/>
  <c r="G216" i="16"/>
  <c r="D338" i="20"/>
  <c r="D160" i="20"/>
  <c r="C1685" i="32"/>
  <c r="Q1685" i="32" s="1"/>
  <c r="U155" i="1"/>
  <c r="D137" i="20"/>
  <c r="C138" i="20"/>
  <c r="D138" i="20" s="1"/>
  <c r="C1675" i="32"/>
  <c r="Q1675" i="32" s="1"/>
  <c r="AE33" i="31" a="1"/>
  <c r="AE33" i="31" s="1"/>
  <c r="H31" i="31" s="1"/>
  <c r="D320" i="20"/>
  <c r="C64" i="20"/>
  <c r="C65" i="20" s="1"/>
  <c r="D63" i="20"/>
  <c r="C1665" i="32"/>
  <c r="Q1665" i="32" s="1"/>
  <c r="AE27" i="31" a="1"/>
  <c r="AE27" i="31" s="1"/>
  <c r="H25" i="31" s="1"/>
  <c r="G316" i="16"/>
  <c r="H316" i="16"/>
  <c r="D15" i="20"/>
  <c r="W819" i="32"/>
  <c r="K819" i="32" s="1"/>
  <c r="W755" i="32"/>
  <c r="K755" i="32" s="1"/>
  <c r="W721" i="32"/>
  <c r="K721" i="32" s="1"/>
  <c r="W691" i="32"/>
  <c r="K691" i="32" s="1"/>
  <c r="AF155" i="1"/>
  <c r="G295" i="16"/>
  <c r="AD133" i="1"/>
  <c r="G319" i="16"/>
  <c r="AE25" i="31" a="1"/>
  <c r="AE25" i="31" s="1"/>
  <c r="H23" i="31" s="1"/>
  <c r="X163" i="1"/>
  <c r="U163" i="1"/>
  <c r="H269" i="16"/>
  <c r="G269" i="16"/>
  <c r="H248" i="16"/>
  <c r="G248" i="16"/>
  <c r="AV21" i="33" a="1"/>
  <c r="AV21" i="33" s="1"/>
  <c r="AW21" i="33" s="1"/>
  <c r="AV19" i="33" a="1"/>
  <c r="AV19" i="33" s="1"/>
  <c r="AX19" i="33" s="1"/>
  <c r="AH35" i="30" a="1"/>
  <c r="AH35" i="30" s="1"/>
  <c r="I4" i="16" a="1"/>
  <c r="I4" i="16" s="1"/>
  <c r="F4" i="16" a="1"/>
  <c r="F4" i="16" s="1"/>
  <c r="F5" i="16" s="1" a="1"/>
  <c r="F5" i="16" s="1"/>
  <c r="F6" i="16" s="1" a="1"/>
  <c r="F6" i="16" s="1"/>
  <c r="AE15" i="30" a="1"/>
  <c r="AE15" i="30" s="1"/>
  <c r="H15" i="30" s="1"/>
  <c r="AF15" i="30" s="1"/>
  <c r="D327" i="20"/>
  <c r="D133" i="20"/>
  <c r="D348" i="20"/>
  <c r="D286" i="20"/>
  <c r="D178" i="20"/>
  <c r="D144" i="20"/>
  <c r="W679" i="32"/>
  <c r="K679" i="32" s="1"/>
  <c r="W147" i="1"/>
  <c r="Y147" i="1"/>
  <c r="E147" i="1"/>
  <c r="C4" i="19" a="1"/>
  <c r="C4" i="19" s="1"/>
  <c r="D355" i="20"/>
  <c r="D345" i="20"/>
  <c r="D202" i="20"/>
  <c r="W709" i="32"/>
  <c r="K709" i="32" s="1"/>
  <c r="C671" i="32"/>
  <c r="W671" i="32" s="1"/>
  <c r="K671" i="32" s="1"/>
  <c r="C669" i="32"/>
  <c r="W669" i="32" s="1"/>
  <c r="K669" i="32" s="1"/>
  <c r="C699" i="32"/>
  <c r="W699" i="32" s="1"/>
  <c r="K699" i="32" s="1"/>
  <c r="C683" i="32"/>
  <c r="W683" i="32" s="1"/>
  <c r="K683" i="32" s="1"/>
  <c r="C681" i="32"/>
  <c r="W681" i="32" s="1"/>
  <c r="K681" i="32" s="1"/>
  <c r="C436" i="32"/>
  <c r="C454" i="32"/>
  <c r="C440" i="32"/>
  <c r="D277" i="20"/>
  <c r="D126" i="20"/>
  <c r="D13" i="20"/>
  <c r="W737" i="32"/>
  <c r="K737" i="32" s="1"/>
  <c r="W705" i="32"/>
  <c r="K705" i="32" s="1"/>
  <c r="AX61" i="33"/>
  <c r="AW61" i="33"/>
  <c r="D184" i="20"/>
  <c r="W763" i="32"/>
  <c r="K763" i="32" s="1"/>
  <c r="W731" i="32"/>
  <c r="K731" i="32" s="1"/>
  <c r="W701" i="32"/>
  <c r="K701" i="32" s="1"/>
  <c r="W661" i="32"/>
  <c r="K661" i="32" s="1"/>
  <c r="W348" i="32"/>
  <c r="K348" i="32" s="1"/>
  <c r="D298" i="20"/>
  <c r="D16" i="20"/>
  <c r="W757" i="32"/>
  <c r="K757" i="32" s="1"/>
  <c r="W725" i="32"/>
  <c r="K725" i="32" s="1"/>
  <c r="W693" i="32"/>
  <c r="K693" i="32" s="1"/>
  <c r="W625" i="32"/>
  <c r="K625" i="32" s="1"/>
  <c r="W344" i="32"/>
  <c r="K344" i="32" s="1"/>
  <c r="G348" i="16"/>
  <c r="D203" i="20"/>
  <c r="D157" i="20"/>
  <c r="D100" i="20"/>
  <c r="D89" i="20"/>
  <c r="W751" i="32"/>
  <c r="K751" i="32" s="1"/>
  <c r="W719" i="32"/>
  <c r="K719" i="32" s="1"/>
  <c r="C1471" i="32"/>
  <c r="Q1471" i="32" s="1"/>
  <c r="C1465" i="32"/>
  <c r="Q1465" i="32" s="1"/>
  <c r="C1481" i="32"/>
  <c r="Q1481" i="32" s="1"/>
  <c r="C1249" i="32"/>
  <c r="Q1249" i="32" s="1"/>
  <c r="C1245" i="32"/>
  <c r="Q1245" i="32" s="1"/>
  <c r="C1231" i="32"/>
  <c r="Q1231" i="32" s="1"/>
  <c r="C991" i="32"/>
  <c r="C1003" i="32"/>
  <c r="C983" i="32"/>
  <c r="C416" i="32"/>
  <c r="C426" i="32"/>
  <c r="C639" i="32"/>
  <c r="W639" i="32" s="1"/>
  <c r="K639" i="32" s="1"/>
  <c r="C643" i="32"/>
  <c r="W643" i="32" s="1"/>
  <c r="K643" i="32" s="1"/>
  <c r="C629" i="32"/>
  <c r="W629" i="32" s="1"/>
  <c r="K629" i="32" s="1"/>
  <c r="C655" i="32"/>
  <c r="W655" i="32" s="1"/>
  <c r="K655" i="32" s="1"/>
  <c r="C376" i="32"/>
  <c r="P376" i="32" s="1"/>
  <c r="C384" i="32"/>
  <c r="B22" i="29"/>
  <c r="D36" i="1"/>
  <c r="G37" i="29" s="1"/>
  <c r="G28" i="29"/>
  <c r="N36" i="1"/>
  <c r="C612" i="32"/>
  <c r="Q612" i="32" s="1"/>
  <c r="C614" i="32"/>
  <c r="Q614" i="32" s="1"/>
  <c r="C600" i="32"/>
  <c r="Q600" i="32" s="1"/>
  <c r="C356" i="32"/>
  <c r="C370" i="32"/>
  <c r="C358" i="32"/>
  <c r="C1413" i="32"/>
  <c r="Q1413" i="32" s="1"/>
  <c r="C1405" i="32"/>
  <c r="Q1405" i="32" s="1"/>
  <c r="C1393" i="32"/>
  <c r="Q1393" i="32" s="1"/>
  <c r="C1155" i="32"/>
  <c r="Q1155" i="32" s="1"/>
  <c r="C1145" i="32"/>
  <c r="Q1145" i="32" s="1"/>
  <c r="C1169" i="32"/>
  <c r="Q1169" i="32" s="1"/>
  <c r="C903" i="32"/>
  <c r="C915" i="32"/>
  <c r="C939" i="32"/>
  <c r="C901" i="32"/>
  <c r="C927" i="32"/>
  <c r="C865" i="32"/>
  <c r="C873" i="32"/>
  <c r="C574" i="32"/>
  <c r="Q574" i="32" s="1"/>
  <c r="C560" i="32"/>
  <c r="Q560" i="32" s="1"/>
  <c r="C572" i="32"/>
  <c r="Q572" i="32" s="1"/>
  <c r="E132" i="1"/>
  <c r="W132" i="1"/>
  <c r="U130" i="1"/>
  <c r="D381" i="20"/>
  <c r="D353" i="20"/>
  <c r="D84" i="20"/>
  <c r="W777" i="32"/>
  <c r="K777" i="32" s="1"/>
  <c r="W715" i="32"/>
  <c r="K715" i="32" s="1"/>
  <c r="W338" i="32"/>
  <c r="K338" i="32" s="1"/>
  <c r="C1361" i="32"/>
  <c r="Q1361" i="32" s="1"/>
  <c r="C1375" i="32"/>
  <c r="Q1375" i="32" s="1"/>
  <c r="C1353" i="32"/>
  <c r="Q1353" i="32" s="1"/>
  <c r="C1115" i="32"/>
  <c r="Q1115" i="32" s="1"/>
  <c r="C1117" i="32"/>
  <c r="Q1117" i="32" s="1"/>
  <c r="C1101" i="32"/>
  <c r="Q1101" i="32" s="1"/>
  <c r="C1131" i="32"/>
  <c r="Q1131" i="32" s="1"/>
  <c r="C554" i="32"/>
  <c r="Q554" i="32" s="1"/>
  <c r="C544" i="32"/>
  <c r="Q544" i="32" s="1"/>
  <c r="Y141" i="1"/>
  <c r="W141" i="1"/>
  <c r="C1573" i="32"/>
  <c r="Q1573" i="32" s="1"/>
  <c r="C1567" i="32"/>
  <c r="Q1567" i="32" s="1"/>
  <c r="C1553" i="32"/>
  <c r="Q1553" i="32" s="1"/>
  <c r="C801" i="32"/>
  <c r="W801" i="32" s="1"/>
  <c r="K801" i="32" s="1"/>
  <c r="C809" i="32"/>
  <c r="W809" i="32" s="1"/>
  <c r="K809" i="32" s="1"/>
  <c r="C793" i="32"/>
  <c r="W793" i="32" s="1"/>
  <c r="K793" i="32" s="1"/>
  <c r="C514" i="32"/>
  <c r="Q514" i="32" s="1"/>
  <c r="C506" i="32"/>
  <c r="Q506" i="32" s="1"/>
  <c r="C759" i="32"/>
  <c r="W759" i="32" s="1"/>
  <c r="K759" i="32" s="1"/>
  <c r="C753" i="32"/>
  <c r="W753" i="32" s="1"/>
  <c r="K753" i="32" s="1"/>
  <c r="C779" i="32"/>
  <c r="W779" i="32" s="1"/>
  <c r="K779" i="32" s="1"/>
  <c r="C741" i="32"/>
  <c r="W741" i="32" s="1"/>
  <c r="K741" i="32" s="1"/>
  <c r="C767" i="32"/>
  <c r="W767" i="32" s="1"/>
  <c r="K767" i="32" s="1"/>
  <c r="C490" i="32"/>
  <c r="Q490" i="32" s="1"/>
  <c r="C480" i="32"/>
  <c r="Q480" i="32" s="1"/>
  <c r="C494" i="32"/>
  <c r="Q494" i="32" s="1"/>
  <c r="A3" i="36"/>
  <c r="K3" i="1" s="1"/>
  <c r="A64" i="36"/>
  <c r="A1" i="33" s="1"/>
  <c r="A14" i="36"/>
  <c r="A30" i="1" s="1"/>
  <c r="A86" i="36"/>
  <c r="N8" i="34" s="1"/>
  <c r="D9" i="23"/>
  <c r="D27" i="23"/>
  <c r="D40" i="23"/>
  <c r="D53" i="23"/>
  <c r="D66" i="23"/>
  <c r="D79" i="23"/>
  <c r="D92" i="23"/>
  <c r="D105" i="23"/>
  <c r="D122" i="23"/>
  <c r="D136" i="23"/>
  <c r="D149" i="23"/>
  <c r="D167" i="23"/>
  <c r="D179" i="23"/>
  <c r="D191" i="23"/>
  <c r="D203" i="23"/>
  <c r="D215" i="23"/>
  <c r="D227" i="23"/>
  <c r="D239" i="23"/>
  <c r="D257" i="23"/>
  <c r="D269" i="23"/>
  <c r="D281" i="23"/>
  <c r="D293" i="23"/>
  <c r="D305" i="23"/>
  <c r="D317" i="23"/>
  <c r="D329" i="23"/>
  <c r="D341" i="23"/>
  <c r="D353" i="23"/>
  <c r="D365" i="23"/>
  <c r="D377" i="23"/>
  <c r="E6" i="20"/>
  <c r="E10" i="20"/>
  <c r="B14" i="20"/>
  <c r="B18" i="20"/>
  <c r="E21" i="20"/>
  <c r="B25" i="20"/>
  <c r="B29" i="20"/>
  <c r="D29" i="20" s="1"/>
  <c r="B32" i="20"/>
  <c r="F35" i="20"/>
  <c r="B39" i="20"/>
  <c r="D39" i="20" s="1"/>
  <c r="B43" i="20"/>
  <c r="D43" i="20" s="1"/>
  <c r="F46" i="20"/>
  <c r="A28" i="36"/>
  <c r="A100" i="1" s="1"/>
  <c r="A96" i="36"/>
  <c r="A104" i="24" s="1"/>
  <c r="A48" i="36"/>
  <c r="B4" i="33" s="1"/>
  <c r="C1501" i="32"/>
  <c r="Q1501" i="32" s="1"/>
  <c r="C1539" i="32"/>
  <c r="Q1539" i="32" s="1"/>
  <c r="C1519" i="32"/>
  <c r="Q1519" i="32" s="1"/>
  <c r="C1281" i="32"/>
  <c r="Q1281" i="32" s="1"/>
  <c r="C1265" i="32"/>
  <c r="Q1265" i="32" s="1"/>
  <c r="C1297" i="32"/>
  <c r="Q1297" i="32" s="1"/>
  <c r="C1037" i="32"/>
  <c r="C1025" i="32"/>
  <c r="C1049" i="32"/>
  <c r="W713" i="32"/>
  <c r="K713" i="32" s="1"/>
  <c r="B228" i="27"/>
  <c r="W166" i="1"/>
  <c r="N34" i="1"/>
  <c r="W170" i="1"/>
  <c r="L38" i="1"/>
  <c r="L34" i="1"/>
  <c r="W723" i="32"/>
  <c r="K723" i="32" s="1"/>
  <c r="E146" i="1"/>
  <c r="X142" i="1"/>
  <c r="Y137" i="1"/>
  <c r="D38" i="1"/>
  <c r="G39" i="29" s="1"/>
  <c r="C1339" i="32"/>
  <c r="Q1339" i="32" s="1"/>
  <c r="C1309" i="32"/>
  <c r="Q1309" i="32" s="1"/>
  <c r="C1087" i="32"/>
  <c r="C837" i="32"/>
  <c r="C727" i="32"/>
  <c r="W727" i="32" s="1"/>
  <c r="K727" i="32" s="1"/>
  <c r="E161" i="1"/>
  <c r="C871" i="32"/>
  <c r="C897" i="32"/>
  <c r="W897" i="32" s="1"/>
  <c r="K897" i="32" s="1"/>
  <c r="C869" i="32"/>
  <c r="C885" i="32"/>
  <c r="C881" i="32"/>
  <c r="C877" i="32"/>
  <c r="C875" i="32"/>
  <c r="W623" i="32"/>
  <c r="K623" i="32" s="1"/>
  <c r="O98" i="27"/>
  <c r="O112" i="27"/>
  <c r="E52" i="27"/>
  <c r="E51" i="27"/>
  <c r="E50" i="27"/>
  <c r="E49" i="27"/>
  <c r="E48" i="27"/>
  <c r="E47" i="27"/>
  <c r="E46" i="27"/>
  <c r="E45" i="27"/>
  <c r="E44" i="27"/>
  <c r="E273" i="27"/>
  <c r="E274" i="27"/>
  <c r="E276" i="27"/>
  <c r="E268" i="27"/>
  <c r="E701" i="27"/>
  <c r="E269" i="27"/>
  <c r="E270" i="27"/>
  <c r="E275" i="27"/>
  <c r="E272" i="27"/>
  <c r="E271" i="27"/>
  <c r="O52" i="27"/>
  <c r="O108" i="27"/>
  <c r="O90" i="27"/>
  <c r="O120" i="27"/>
  <c r="O86" i="27"/>
  <c r="O132" i="27"/>
  <c r="O78" i="27"/>
  <c r="O66" i="27"/>
  <c r="O51" i="27"/>
  <c r="O49" i="27"/>
  <c r="O100" i="27"/>
  <c r="O84" i="27"/>
  <c r="O45" i="27"/>
  <c r="O113" i="27"/>
  <c r="O125" i="27"/>
  <c r="O76" i="27"/>
  <c r="O72" i="27"/>
  <c r="J267" i="27"/>
  <c r="N267" i="27"/>
  <c r="K267" i="27"/>
  <c r="L267" i="27"/>
  <c r="H267" i="27"/>
  <c r="I267" i="27"/>
  <c r="M267" i="27"/>
  <c r="E367" i="27"/>
  <c r="E3128" i="27"/>
  <c r="E439" i="27"/>
  <c r="E397" i="27"/>
  <c r="E371" i="27"/>
  <c r="E183" i="27"/>
  <c r="E177" i="27"/>
  <c r="E143" i="27"/>
  <c r="E394" i="27"/>
  <c r="E374" i="27"/>
  <c r="M374" i="27" s="1"/>
  <c r="E370" i="27"/>
  <c r="E194" i="27"/>
  <c r="E190" i="27"/>
  <c r="E180" i="27"/>
  <c r="J180" i="27" s="1"/>
  <c r="E437" i="27"/>
  <c r="E431" i="27"/>
  <c r="E409" i="27"/>
  <c r="E399" i="27"/>
  <c r="J399" i="27" s="1"/>
  <c r="E393" i="27"/>
  <c r="N393" i="27" s="1"/>
  <c r="E387" i="27"/>
  <c r="I387" i="27" s="1"/>
  <c r="E215" i="27"/>
  <c r="V8" i="33"/>
  <c r="E212" i="27"/>
  <c r="E429" i="27"/>
  <c r="K429" i="27" s="1"/>
  <c r="E385" i="27"/>
  <c r="E400" i="27"/>
  <c r="E780" i="27"/>
  <c r="E766" i="27"/>
  <c r="E2985" i="27"/>
  <c r="E442" i="27"/>
  <c r="E447" i="27"/>
  <c r="L447" i="27" s="1"/>
  <c r="E443" i="27"/>
  <c r="E430" i="27"/>
  <c r="E432" i="27"/>
  <c r="E422" i="27"/>
  <c r="I422" i="27" s="1"/>
  <c r="E427" i="27"/>
  <c r="E423" i="27"/>
  <c r="M423" i="27" s="1"/>
  <c r="E417" i="27"/>
  <c r="J417" i="27" s="1"/>
  <c r="E415" i="27"/>
  <c r="E411" i="27"/>
  <c r="J411" i="27" s="1"/>
  <c r="E407" i="27"/>
  <c r="E401" i="27"/>
  <c r="E390" i="27"/>
  <c r="E392" i="27"/>
  <c r="N392" i="27" s="1"/>
  <c r="E391" i="27"/>
  <c r="E378" i="27"/>
  <c r="E383" i="27"/>
  <c r="E379" i="27"/>
  <c r="E373" i="27"/>
  <c r="E222" i="27"/>
  <c r="J222" i="27" s="1"/>
  <c r="E218" i="27"/>
  <c r="E214" i="27"/>
  <c r="E219" i="27"/>
  <c r="E206" i="27"/>
  <c r="E202" i="27"/>
  <c r="E205" i="27"/>
  <c r="L205" i="27" s="1"/>
  <c r="E203" i="27"/>
  <c r="E196" i="27"/>
  <c r="E193" i="27"/>
  <c r="M193" i="27" s="1"/>
  <c r="E189" i="27"/>
  <c r="E185" i="27"/>
  <c r="E174" i="27"/>
  <c r="M174" i="27" s="1"/>
  <c r="E179" i="27"/>
  <c r="E172" i="27"/>
  <c r="E171" i="27"/>
  <c r="E164" i="27"/>
  <c r="E160" i="27"/>
  <c r="E157" i="27"/>
  <c r="J157" i="27" s="1"/>
  <c r="E152" i="27"/>
  <c r="E148" i="27"/>
  <c r="E700" i="27"/>
  <c r="J8" i="31"/>
  <c r="E175" i="27"/>
  <c r="N175" i="27" s="1"/>
  <c r="E208" i="27"/>
  <c r="E366" i="27"/>
  <c r="E182" i="27"/>
  <c r="E363" i="27"/>
  <c r="K363" i="27" s="1"/>
  <c r="E386" i="27"/>
  <c r="I386" i="27" s="1"/>
  <c r="E435" i="27"/>
  <c r="N435" i="27" s="1"/>
  <c r="E398" i="27"/>
  <c r="L398" i="27" s="1"/>
  <c r="E209" i="27"/>
  <c r="E433" i="27"/>
  <c r="E384" i="27"/>
  <c r="E396" i="27"/>
  <c r="E137" i="27"/>
  <c r="E184" i="27"/>
  <c r="E216" i="27"/>
  <c r="I216" i="27" s="1"/>
  <c r="E375" i="27"/>
  <c r="M375" i="27" s="1"/>
  <c r="E395" i="27"/>
  <c r="E441" i="27"/>
  <c r="N441" i="27" s="1"/>
  <c r="E406" i="27"/>
  <c r="E178" i="27"/>
  <c r="E425" i="27"/>
  <c r="E364" i="27"/>
  <c r="E138" i="27"/>
  <c r="I138" i="27" s="1"/>
  <c r="E188" i="27"/>
  <c r="E382" i="27"/>
  <c r="E402" i="27"/>
  <c r="E405" i="27"/>
  <c r="L405" i="27" s="1"/>
  <c r="E376" i="27"/>
  <c r="E408" i="27"/>
  <c r="E372" i="27"/>
  <c r="E145" i="27"/>
  <c r="N145" i="27" s="1"/>
  <c r="E191" i="27"/>
  <c r="E220" i="27"/>
  <c r="E403" i="27"/>
  <c r="E377" i="27"/>
  <c r="E424" i="27"/>
  <c r="E445" i="27"/>
  <c r="E146" i="27"/>
  <c r="E192" i="27"/>
  <c r="J192" i="27" s="1"/>
  <c r="E410" i="27"/>
  <c r="N410" i="27" s="1"/>
  <c r="E414" i="27"/>
  <c r="E2947" i="27"/>
  <c r="E388" i="27"/>
  <c r="E147" i="27"/>
  <c r="E154" i="27"/>
  <c r="E195" i="27"/>
  <c r="E161" i="27"/>
  <c r="E144" i="27"/>
  <c r="I144" i="27" s="1"/>
  <c r="E381" i="27"/>
  <c r="L381" i="27" s="1"/>
  <c r="E413" i="27"/>
  <c r="F2852" i="27"/>
  <c r="E416" i="27"/>
  <c r="L416" i="27" s="1"/>
  <c r="E412" i="27"/>
  <c r="E166" i="27"/>
  <c r="E168" i="27"/>
  <c r="I168" i="27" s="1"/>
  <c r="E418" i="27"/>
  <c r="E134" i="27"/>
  <c r="E365" i="27"/>
  <c r="E420" i="27"/>
  <c r="E3018" i="27"/>
  <c r="E2938" i="27"/>
  <c r="E3031" i="27"/>
  <c r="E2984" i="27"/>
  <c r="E139" i="27"/>
  <c r="M139" i="27" s="1"/>
  <c r="E419" i="27"/>
  <c r="E159" i="27"/>
  <c r="E141" i="27"/>
  <c r="E200" i="27"/>
  <c r="E169" i="27"/>
  <c r="K169" i="27" s="1"/>
  <c r="E140" i="27"/>
  <c r="E176" i="27"/>
  <c r="E359" i="27"/>
  <c r="E426" i="27"/>
  <c r="E389" i="27"/>
  <c r="E421" i="27"/>
  <c r="E170" i="27"/>
  <c r="E207" i="27"/>
  <c r="E362" i="27"/>
  <c r="L362" i="27" s="1"/>
  <c r="E369" i="27"/>
  <c r="M369" i="27" s="1"/>
  <c r="E3048" i="27"/>
  <c r="E3102" i="27"/>
  <c r="E3016" i="27"/>
  <c r="E2899" i="27"/>
  <c r="E2977" i="27"/>
  <c r="E2957" i="27"/>
  <c r="F2854" i="27"/>
  <c r="E2892" i="27"/>
  <c r="E2952" i="27"/>
  <c r="E752" i="27"/>
  <c r="E3006" i="27"/>
  <c r="E3045" i="27"/>
  <c r="E2920" i="27"/>
  <c r="E3086" i="27"/>
  <c r="E2995" i="27"/>
  <c r="E2426" i="27"/>
  <c r="E843" i="27"/>
  <c r="E819" i="27"/>
  <c r="E874" i="27"/>
  <c r="E799" i="27"/>
  <c r="E845" i="27"/>
  <c r="E814" i="27"/>
  <c r="E796" i="27"/>
  <c r="E711" i="27"/>
  <c r="E702" i="27"/>
  <c r="H8" i="30"/>
  <c r="J2" i="28"/>
  <c r="E730" i="27"/>
  <c r="E3059" i="27"/>
  <c r="E3051" i="27"/>
  <c r="E3047" i="27"/>
  <c r="E3043" i="27"/>
  <c r="E3039" i="27"/>
  <c r="E3027" i="27"/>
  <c r="E3023" i="27"/>
  <c r="E3015" i="27"/>
  <c r="E3011" i="27"/>
  <c r="E3007" i="27"/>
  <c r="E3003" i="27"/>
  <c r="E2991" i="27"/>
  <c r="E2987" i="27"/>
  <c r="E2983" i="27"/>
  <c r="E2975" i="27"/>
  <c r="E2971" i="27"/>
  <c r="E2967" i="27"/>
  <c r="E2963" i="27"/>
  <c r="E2959" i="27"/>
  <c r="E2955" i="27"/>
  <c r="E2951" i="27"/>
  <c r="E2943" i="27"/>
  <c r="E2939" i="27"/>
  <c r="E2935" i="27"/>
  <c r="E2931" i="27"/>
  <c r="E2919" i="27"/>
  <c r="E2915" i="27"/>
  <c r="E2536" i="27"/>
  <c r="E770" i="27"/>
  <c r="U8" i="33"/>
  <c r="E3157" i="27"/>
  <c r="E3113" i="27"/>
  <c r="E3101" i="27"/>
  <c r="E706" i="27"/>
  <c r="D323" i="20"/>
  <c r="C324" i="20"/>
  <c r="D324" i="20" s="1"/>
  <c r="AS63" i="33"/>
  <c r="AT45" i="33"/>
  <c r="C201" i="20"/>
  <c r="D201" i="20" s="1"/>
  <c r="D200" i="20"/>
  <c r="D8" i="20"/>
  <c r="H246" i="16"/>
  <c r="G246" i="16"/>
  <c r="E128" i="16"/>
  <c r="AQ39" i="33" a="1"/>
  <c r="AQ39" i="33" s="1"/>
  <c r="J39" i="33" s="1"/>
  <c r="AR61" i="33" a="1"/>
  <c r="AR61" i="33" s="1"/>
  <c r="AQ43" i="33" a="1"/>
  <c r="AQ43" i="33" s="1"/>
  <c r="J43" i="33" s="1"/>
  <c r="G167" i="24" s="1"/>
  <c r="AR33" i="33" a="1"/>
  <c r="AR33" i="33" s="1"/>
  <c r="AS33" i="33" s="1"/>
  <c r="AR41" i="33" a="1"/>
  <c r="AR41" i="33" s="1"/>
  <c r="AQ19" i="33" a="1"/>
  <c r="AQ19" i="33" s="1"/>
  <c r="J19" i="33" s="1"/>
  <c r="G155" i="24" s="1"/>
  <c r="AQ25" i="33" a="1"/>
  <c r="AQ25" i="33" s="1"/>
  <c r="J25" i="33" s="1"/>
  <c r="G157" i="24" s="1"/>
  <c r="AQ51" i="33" a="1"/>
  <c r="AQ51" i="33" s="1"/>
  <c r="J51" i="33" s="1"/>
  <c r="G171" i="24" s="1"/>
  <c r="AR19" i="33" a="1"/>
  <c r="AR19" i="33" s="1"/>
  <c r="AR27" i="33" a="1"/>
  <c r="AR27" i="33" s="1"/>
  <c r="AQ53" i="33" a="1"/>
  <c r="AQ53" i="33" s="1"/>
  <c r="J53" i="33" s="1"/>
  <c r="AR35" i="33" a="1"/>
  <c r="AR35" i="33" s="1"/>
  <c r="AQ29" i="33" a="1"/>
  <c r="AQ29" i="33" s="1"/>
  <c r="J29" i="33" s="1"/>
  <c r="AR59" i="33" a="1"/>
  <c r="AR59" i="33" s="1"/>
  <c r="AQ57" i="33" a="1"/>
  <c r="AQ57" i="33" s="1"/>
  <c r="J57" i="33" s="1"/>
  <c r="G173" i="24" s="1"/>
  <c r="AQ59" i="33" a="1"/>
  <c r="AQ59" i="33" s="1"/>
  <c r="J59" i="33" s="1"/>
  <c r="G175" i="24" s="1"/>
  <c r="AR29" i="33" a="1"/>
  <c r="AR29" i="33" s="1"/>
  <c r="H224" i="16"/>
  <c r="G224" i="16"/>
  <c r="AO26" i="34"/>
  <c r="AP26" i="34" s="1"/>
  <c r="AO48" i="34"/>
  <c r="AP48" i="34" s="1"/>
  <c r="AO70" i="34"/>
  <c r="AP70" i="34" s="1"/>
  <c r="AO10" i="34"/>
  <c r="AP10" i="34" s="1"/>
  <c r="AO27" i="34"/>
  <c r="AP27" i="34" s="1"/>
  <c r="AO49" i="34"/>
  <c r="AP49" i="34" s="1"/>
  <c r="AO71" i="34"/>
  <c r="AP71" i="34" s="1"/>
  <c r="AO14" i="34"/>
  <c r="AP14" i="34" s="1"/>
  <c r="AO28" i="34"/>
  <c r="AP28" i="34" s="1"/>
  <c r="AO51" i="34"/>
  <c r="AP51" i="34" s="1"/>
  <c r="AO73" i="34"/>
  <c r="AP73" i="34" s="1"/>
  <c r="AO33" i="34"/>
  <c r="AP33" i="34" s="1"/>
  <c r="AO55" i="34"/>
  <c r="AP55" i="34" s="1"/>
  <c r="AO76" i="34"/>
  <c r="AP76" i="34" s="1"/>
  <c r="AO56" i="34"/>
  <c r="AP56" i="34" s="1"/>
  <c r="AO77" i="34"/>
  <c r="AP77" i="34" s="1"/>
  <c r="AO34" i="34"/>
  <c r="AP34" i="34" s="1"/>
  <c r="AO57" i="34"/>
  <c r="AP57" i="34" s="1"/>
  <c r="AO78" i="34"/>
  <c r="AP78" i="34" s="1"/>
  <c r="AO12" i="34"/>
  <c r="AP12" i="34" s="1"/>
  <c r="AO37" i="34"/>
  <c r="AP37" i="34" s="1"/>
  <c r="AO59" i="34"/>
  <c r="AP59" i="34" s="1"/>
  <c r="AO81" i="34"/>
  <c r="AP81" i="34" s="1"/>
  <c r="AO38" i="34"/>
  <c r="AP38" i="34" s="1"/>
  <c r="AO60" i="34"/>
  <c r="AP60" i="34" s="1"/>
  <c r="AO17" i="34"/>
  <c r="AP17" i="34" s="1"/>
  <c r="AO63" i="34"/>
  <c r="AP63" i="34" s="1"/>
  <c r="AO83" i="34"/>
  <c r="AP83" i="34" s="1"/>
  <c r="AO44" i="34"/>
  <c r="AP44" i="34" s="1"/>
  <c r="AO66" i="34"/>
  <c r="AP66" i="34" s="1"/>
  <c r="AO87" i="34"/>
  <c r="AP87" i="34" s="1"/>
  <c r="W747" i="32"/>
  <c r="K747" i="32" s="1"/>
  <c r="W771" i="32"/>
  <c r="K771" i="32" s="1"/>
  <c r="W787" i="32"/>
  <c r="K787" i="32" s="1"/>
  <c r="W789" i="32"/>
  <c r="K789" i="32" s="1"/>
  <c r="AO67" i="34"/>
  <c r="AP67" i="34" s="1"/>
  <c r="AV15" i="33" a="1"/>
  <c r="AV15" i="33" s="1"/>
  <c r="AO21" i="34"/>
  <c r="AP21" i="34" s="1"/>
  <c r="AO31" i="34"/>
  <c r="AP31" i="34" s="1"/>
  <c r="AO41" i="34"/>
  <c r="AP41" i="34" s="1"/>
  <c r="AO62" i="34"/>
  <c r="AP62" i="34" s="1"/>
  <c r="AO11" i="34"/>
  <c r="AP11" i="34" s="1"/>
  <c r="AO24" i="34"/>
  <c r="AP24" i="34" s="1"/>
  <c r="AO35" i="34"/>
  <c r="AP35" i="34" s="1"/>
  <c r="AO46" i="34"/>
  <c r="AP46" i="34" s="1"/>
  <c r="AO69" i="34"/>
  <c r="AP69" i="34" s="1"/>
  <c r="AO79" i="34"/>
  <c r="AP79" i="34" s="1"/>
  <c r="AO9" i="34"/>
  <c r="AP9" i="34" s="1"/>
  <c r="AO15" i="34"/>
  <c r="AP15" i="34" s="1"/>
  <c r="AO25" i="34"/>
  <c r="AP25" i="34" s="1"/>
  <c r="AO36" i="34"/>
  <c r="AP36" i="34" s="1"/>
  <c r="AO47" i="34"/>
  <c r="AP47" i="34" s="1"/>
  <c r="AO58" i="34"/>
  <c r="AP58" i="34" s="1"/>
  <c r="AO80" i="34"/>
  <c r="AP80" i="34" s="1"/>
  <c r="AO13" i="34"/>
  <c r="AP13" i="34" s="1"/>
  <c r="AO16" i="34"/>
  <c r="AP16" i="34" s="1"/>
  <c r="AO39" i="34"/>
  <c r="AP39" i="34" s="1"/>
  <c r="AO50" i="34"/>
  <c r="AP50" i="34" s="1"/>
  <c r="AO61" i="34"/>
  <c r="AP61" i="34" s="1"/>
  <c r="AO72" i="34"/>
  <c r="AP72" i="34" s="1"/>
  <c r="AO82" i="34"/>
  <c r="AP82" i="34" s="1"/>
  <c r="AO18" i="34"/>
  <c r="AP18" i="34" s="1"/>
  <c r="AO29" i="34"/>
  <c r="AP29" i="34" s="1"/>
  <c r="AO40" i="34"/>
  <c r="AP40" i="34" s="1"/>
  <c r="AO52" i="34"/>
  <c r="AP52" i="34" s="1"/>
  <c r="AO74" i="34"/>
  <c r="AP74" i="34" s="1"/>
  <c r="AO84" i="34"/>
  <c r="AP84" i="34" s="1"/>
  <c r="AO19" i="34"/>
  <c r="AP19" i="34" s="1"/>
  <c r="AO30" i="34"/>
  <c r="AP30" i="34" s="1"/>
  <c r="AO42" i="34"/>
  <c r="AP42" i="34" s="1"/>
  <c r="AO53" i="34"/>
  <c r="AP53" i="34" s="1"/>
  <c r="AO64" i="34"/>
  <c r="AP64" i="34" s="1"/>
  <c r="AO75" i="34"/>
  <c r="AP75" i="34" s="1"/>
  <c r="AO85" i="34"/>
  <c r="AP85" i="34" s="1"/>
  <c r="AO20" i="34"/>
  <c r="AP20" i="34" s="1"/>
  <c r="AO32" i="34"/>
  <c r="AP32" i="34" s="1"/>
  <c r="AO43" i="34"/>
  <c r="AP43" i="34" s="1"/>
  <c r="AO54" i="34"/>
  <c r="AP54" i="34" s="1"/>
  <c r="AO65" i="34"/>
  <c r="AP65" i="34" s="1"/>
  <c r="AO86" i="34"/>
  <c r="AP86" i="34" s="1"/>
  <c r="H264" i="16"/>
  <c r="G264" i="16"/>
  <c r="J28" i="16"/>
  <c r="AE13" i="31" a="1"/>
  <c r="AE13" i="31" s="1"/>
  <c r="H11" i="31" s="1"/>
  <c r="AE29" i="31" a="1"/>
  <c r="AE29" i="31" s="1"/>
  <c r="H27" i="31" s="1"/>
  <c r="AE35" i="31" a="1"/>
  <c r="AE35" i="31" s="1"/>
  <c r="H33" i="31" s="1"/>
  <c r="AE21" i="31" a="1"/>
  <c r="AE21" i="31" s="1"/>
  <c r="H19" i="31" s="1"/>
  <c r="AE37" i="31" a="1"/>
  <c r="AE37" i="31" s="1"/>
  <c r="H35" i="31" s="1"/>
  <c r="AE23" i="31" a="1"/>
  <c r="AE23" i="31" s="1"/>
  <c r="H21" i="31" s="1"/>
  <c r="D342" i="20"/>
  <c r="C343" i="20"/>
  <c r="D343" i="20" s="1"/>
  <c r="AE31" i="31" a="1"/>
  <c r="AE31" i="31" s="1"/>
  <c r="H29" i="31" s="1"/>
  <c r="AE31" i="30" a="1"/>
  <c r="AE31" i="30" s="1"/>
  <c r="H31" i="30" s="1"/>
  <c r="AF31" i="30" s="1"/>
  <c r="C234" i="20"/>
  <c r="D233" i="20"/>
  <c r="C118" i="20"/>
  <c r="C119" i="20" s="1"/>
  <c r="C120" i="20" s="1"/>
  <c r="D117" i="20"/>
  <c r="C294" i="20"/>
  <c r="C295" i="20" s="1"/>
  <c r="C296" i="20" s="1"/>
  <c r="D293" i="20"/>
  <c r="H294" i="16"/>
  <c r="G294" i="16"/>
  <c r="G245" i="16"/>
  <c r="H245" i="16"/>
  <c r="AQ9" i="33" a="1"/>
  <c r="AQ9" i="33" s="1"/>
  <c r="J9" i="33" s="1"/>
  <c r="G149" i="24" s="1"/>
  <c r="AQ27" i="33" a="1"/>
  <c r="AQ27" i="33" s="1"/>
  <c r="J27" i="33" s="1"/>
  <c r="G159" i="24" s="1"/>
  <c r="AR9" i="33" a="1"/>
  <c r="AR9" i="33" s="1"/>
  <c r="AR43" i="33" a="1"/>
  <c r="AR43" i="33" s="1"/>
  <c r="AR11" i="33" a="1"/>
  <c r="AR11" i="33" s="1"/>
  <c r="AQ41" i="33" a="1"/>
  <c r="AQ41" i="33" s="1"/>
  <c r="J41" i="33" s="1"/>
  <c r="G165" i="24" s="1"/>
  <c r="AQ55" i="33" a="1"/>
  <c r="AQ55" i="33" s="1"/>
  <c r="J55" i="33" s="1"/>
  <c r="AR25" i="33" a="1"/>
  <c r="AR25" i="33" s="1"/>
  <c r="AR51" i="33" a="1"/>
  <c r="AR51" i="33" s="1"/>
  <c r="AQ31" i="33" a="1"/>
  <c r="AQ31" i="33" s="1"/>
  <c r="J31" i="33" s="1"/>
  <c r="AQ45" i="33" a="1"/>
  <c r="AQ45" i="33" s="1"/>
  <c r="J45" i="33" s="1"/>
  <c r="AR49" i="33" a="1"/>
  <c r="AR49" i="33" s="1"/>
  <c r="AR21" i="33" a="1"/>
  <c r="AR21" i="33" s="1"/>
  <c r="AQ21" i="33" a="1"/>
  <c r="AQ21" i="33" s="1"/>
  <c r="J21" i="33" s="1"/>
  <c r="AQ33" i="33" a="1"/>
  <c r="AQ33" i="33" s="1"/>
  <c r="J33" i="33" s="1"/>
  <c r="G161" i="24" s="1"/>
  <c r="AQ47" i="33" a="1"/>
  <c r="AQ47" i="33" s="1"/>
  <c r="J47" i="33" s="1"/>
  <c r="AQ61" i="33" a="1"/>
  <c r="AQ61" i="33" s="1"/>
  <c r="J61" i="33" s="1"/>
  <c r="AR57" i="33" a="1"/>
  <c r="AR57" i="33" s="1"/>
  <c r="AQ23" i="33" a="1"/>
  <c r="AQ23" i="33" s="1"/>
  <c r="J23" i="33" s="1"/>
  <c r="AQ35" i="33" a="1"/>
  <c r="AQ35" i="33" s="1"/>
  <c r="J35" i="33" s="1"/>
  <c r="G163" i="24" s="1"/>
  <c r="AQ49" i="33" a="1"/>
  <c r="AQ49" i="33" s="1"/>
  <c r="J49" i="33" s="1"/>
  <c r="G169" i="24" s="1"/>
  <c r="AQ63" i="33" a="1"/>
  <c r="AQ63" i="33" s="1"/>
  <c r="J63" i="33" s="1"/>
  <c r="AR65" i="33" a="1"/>
  <c r="AR65" i="33" s="1"/>
  <c r="AQ37" i="33" a="1"/>
  <c r="AQ37" i="33" s="1"/>
  <c r="J37" i="33" s="1"/>
  <c r="AR17" i="33" a="1"/>
  <c r="AR17" i="33" s="1"/>
  <c r="AR53" i="33" a="1"/>
  <c r="AR53" i="33" s="1"/>
  <c r="A76" i="1"/>
  <c r="E14" i="1"/>
  <c r="D289" i="20"/>
  <c r="C290" i="20"/>
  <c r="C291" i="20" s="1"/>
  <c r="D291" i="20" s="1"/>
  <c r="G285" i="16"/>
  <c r="H285" i="16"/>
  <c r="AE17" i="31" a="1"/>
  <c r="AE17" i="31" s="1"/>
  <c r="H15" i="31" s="1"/>
  <c r="C378" i="20"/>
  <c r="D377" i="20"/>
  <c r="AW55" i="33"/>
  <c r="AX55" i="33"/>
  <c r="AY55" i="33"/>
  <c r="AE23" i="30" a="1"/>
  <c r="AE23" i="30" s="1"/>
  <c r="H23" i="30" s="1"/>
  <c r="AF23" i="30" s="1"/>
  <c r="AH21" i="30" a="1"/>
  <c r="AH21" i="30" s="1"/>
  <c r="AH31" i="30" a="1"/>
  <c r="AH31" i="30" s="1"/>
  <c r="AH13" i="30" a="1"/>
  <c r="AH13" i="30" s="1"/>
  <c r="J10" i="16"/>
  <c r="AH17" i="30" a="1"/>
  <c r="AH17" i="30" s="1"/>
  <c r="AH27" i="30" a="1"/>
  <c r="AH27" i="30" s="1"/>
  <c r="AE25" i="30" a="1"/>
  <c r="AE25" i="30" s="1"/>
  <c r="H25" i="30" s="1"/>
  <c r="AF25" i="30" s="1"/>
  <c r="AE29" i="30" a="1"/>
  <c r="AE29" i="30" s="1"/>
  <c r="H29" i="30" s="1"/>
  <c r="AF29" i="30" s="1"/>
  <c r="AH29" i="30" a="1"/>
  <c r="AH29" i="30" s="1"/>
  <c r="AH37" i="30" a="1"/>
  <c r="AH37" i="30" s="1"/>
  <c r="AV17" i="33" a="1"/>
  <c r="AV17" i="33" s="1"/>
  <c r="U142" i="1"/>
  <c r="AZ17" i="33"/>
  <c r="AZ45" i="33"/>
  <c r="AZ33" i="33"/>
  <c r="U149" i="1"/>
  <c r="U145" i="1"/>
  <c r="U170" i="1"/>
  <c r="U140" i="1"/>
  <c r="U143" i="1"/>
  <c r="U159" i="1"/>
  <c r="U134" i="1"/>
  <c r="U124" i="1"/>
  <c r="U154" i="1"/>
  <c r="U173" i="1"/>
  <c r="AZ59" i="33"/>
  <c r="AZ55" i="33"/>
  <c r="A1108" i="19" a="1"/>
  <c r="A1108" i="19" s="1"/>
  <c r="B1107" i="19"/>
  <c r="C90" i="20"/>
  <c r="C91" i="20" s="1"/>
  <c r="C92" i="20" s="1"/>
  <c r="D57" i="20"/>
  <c r="AY41" i="33"/>
  <c r="AW41" i="33"/>
  <c r="AX41" i="33"/>
  <c r="D23" i="20"/>
  <c r="C24" i="20"/>
  <c r="U138" i="1"/>
  <c r="U144" i="1"/>
  <c r="U174" i="1"/>
  <c r="U166" i="1"/>
  <c r="U151" i="1"/>
  <c r="U148" i="1"/>
  <c r="D344" i="20"/>
  <c r="D231" i="20"/>
  <c r="D4" i="20"/>
  <c r="G274" i="16"/>
  <c r="D370" i="20"/>
  <c r="P821" i="32"/>
  <c r="P823" i="32" s="1"/>
  <c r="P825" i="32" s="1"/>
  <c r="Q825" i="32" s="1"/>
  <c r="D380" i="20"/>
  <c r="D340" i="20"/>
  <c r="D161" i="20"/>
  <c r="C162" i="20"/>
  <c r="C163" i="20" s="1"/>
  <c r="D142" i="20"/>
  <c r="D127" i="20"/>
  <c r="C128" i="20"/>
  <c r="D54" i="20"/>
  <c r="H258" i="16"/>
  <c r="G258" i="16"/>
  <c r="D249" i="20"/>
  <c r="D171" i="20"/>
  <c r="AW35" i="33"/>
  <c r="AY35" i="33"/>
  <c r="AH23" i="30" a="1"/>
  <c r="AH23" i="30" s="1"/>
  <c r="AV9" i="33" a="1"/>
  <c r="AV9" i="33" s="1"/>
  <c r="AE19" i="30" a="1"/>
  <c r="AE19" i="30" s="1"/>
  <c r="H19" i="30" s="1"/>
  <c r="AF19" i="30" s="1"/>
  <c r="AE13" i="30" a="1"/>
  <c r="AE13" i="30" s="1"/>
  <c r="H13" i="30" s="1"/>
  <c r="AF13" i="30" s="1"/>
  <c r="AE37" i="30" a="1"/>
  <c r="AE37" i="30" s="1"/>
  <c r="H37" i="30" s="1"/>
  <c r="AF37" i="30" s="1"/>
  <c r="AH19" i="30" a="1"/>
  <c r="AH19" i="30" s="1"/>
  <c r="AH25" i="30" a="1"/>
  <c r="AH25" i="30" s="1"/>
  <c r="AV13" i="33" a="1"/>
  <c r="AV13" i="33" s="1"/>
  <c r="AE21" i="30" a="1"/>
  <c r="AE21" i="30" s="1"/>
  <c r="H21" i="30" s="1"/>
  <c r="AF21" i="30" s="1"/>
  <c r="AE27" i="30" a="1"/>
  <c r="AE27" i="30" s="1"/>
  <c r="H27" i="30" s="1"/>
  <c r="AF27" i="30" s="1"/>
  <c r="AE33" i="30" a="1"/>
  <c r="AE33" i="30" s="1"/>
  <c r="H33" i="30" s="1"/>
  <c r="AF33" i="30" s="1"/>
  <c r="AV11" i="33" a="1"/>
  <c r="AV11" i="33" s="1"/>
  <c r="D376" i="20"/>
  <c r="D135" i="20"/>
  <c r="D141" i="20"/>
  <c r="D53" i="20"/>
  <c r="AE19" i="31" a="1"/>
  <c r="AE19" i="31" s="1"/>
  <c r="H17" i="31" s="1"/>
  <c r="D328" i="20"/>
  <c r="D162" i="20"/>
  <c r="D5" i="20"/>
  <c r="A11" i="1"/>
  <c r="U131" i="1"/>
  <c r="AE17" i="30" a="1"/>
  <c r="AE17" i="30" s="1"/>
  <c r="H17" i="30" s="1"/>
  <c r="AF17" i="30" s="1"/>
  <c r="AE35" i="30" a="1"/>
  <c r="AE35" i="30" s="1"/>
  <c r="H35" i="30" s="1"/>
  <c r="AF35" i="30" s="1"/>
  <c r="AH15" i="30" a="1"/>
  <c r="AH15" i="30" s="1"/>
  <c r="X155" i="1"/>
  <c r="AD155" i="1"/>
  <c r="D351" i="20"/>
  <c r="D341" i="20"/>
  <c r="D113" i="20"/>
  <c r="C1763" i="32"/>
  <c r="C1775" i="32"/>
  <c r="C1759" i="32"/>
  <c r="Q1759" i="32" s="1"/>
  <c r="C1777" i="32"/>
  <c r="C1741" i="32"/>
  <c r="C1745" i="32"/>
  <c r="C1751" i="32"/>
  <c r="C1757" i="32"/>
  <c r="AW53" i="33"/>
  <c r="AX53" i="33"/>
  <c r="AW43" i="33"/>
  <c r="D352" i="20"/>
  <c r="D336" i="20"/>
  <c r="C1647" i="32"/>
  <c r="C1433" i="32"/>
  <c r="C1723" i="32"/>
  <c r="C1733" i="32"/>
  <c r="Q1733" i="32" s="1"/>
  <c r="C1529" i="32"/>
  <c r="C1517" i="32"/>
  <c r="C1505" i="32"/>
  <c r="D368" i="20"/>
  <c r="D209" i="20"/>
  <c r="D95" i="20"/>
  <c r="D55" i="20"/>
  <c r="D12" i="20"/>
  <c r="C1641" i="32"/>
  <c r="C1667" i="32"/>
  <c r="C1661" i="32"/>
  <c r="C1681" i="32"/>
  <c r="C1699" i="32"/>
  <c r="D335" i="20"/>
  <c r="D265" i="20"/>
  <c r="D187" i="20"/>
  <c r="D174" i="20"/>
  <c r="D139" i="20"/>
  <c r="D47" i="20"/>
  <c r="C1631" i="32"/>
  <c r="C1625" i="32"/>
  <c r="C1639" i="32"/>
  <c r="Q1639" i="32" s="1"/>
  <c r="C1439" i="32"/>
  <c r="C1451" i="32"/>
  <c r="D350" i="20"/>
  <c r="D288" i="20"/>
  <c r="D179" i="20"/>
  <c r="D173" i="20"/>
  <c r="D170" i="20"/>
  <c r="D77" i="20"/>
  <c r="D61" i="20"/>
  <c r="C1695" i="32"/>
  <c r="C1673" i="32"/>
  <c r="C1633" i="32"/>
  <c r="C1453" i="32"/>
  <c r="AX33" i="33"/>
  <c r="D346" i="20"/>
  <c r="D232" i="20"/>
  <c r="D156" i="20"/>
  <c r="D65" i="20"/>
  <c r="D59" i="20"/>
  <c r="C1689" i="32"/>
  <c r="C1669" i="32"/>
  <c r="C1627" i="32"/>
  <c r="Q1627" i="32" s="1"/>
  <c r="D250" i="20"/>
  <c r="D188" i="20"/>
  <c r="D143" i="20"/>
  <c r="D76" i="20"/>
  <c r="D69" i="20"/>
  <c r="D38" i="20"/>
  <c r="D31" i="20"/>
  <c r="C1479" i="32"/>
  <c r="C1359" i="32"/>
  <c r="C1259" i="32"/>
  <c r="C1243" i="32"/>
  <c r="C1225" i="32"/>
  <c r="C1207" i="32"/>
  <c r="C1133" i="32"/>
  <c r="C1009" i="32"/>
  <c r="C979" i="32"/>
  <c r="C961" i="32"/>
  <c r="C941" i="32"/>
  <c r="W941" i="32" s="1"/>
  <c r="K941" i="32" s="1"/>
  <c r="C887" i="32"/>
  <c r="C845" i="32"/>
  <c r="C697" i="32"/>
  <c r="W697" i="32" s="1"/>
  <c r="K697" i="32" s="1"/>
  <c r="C550" i="32"/>
  <c r="C446" i="32"/>
  <c r="C404" i="32"/>
  <c r="A80" i="36"/>
  <c r="B619" i="32" s="1"/>
  <c r="A46" i="36"/>
  <c r="T14" i="1" s="1"/>
  <c r="A10" i="36"/>
  <c r="A10" i="1" s="1"/>
  <c r="A78" i="36"/>
  <c r="D5" i="32" s="1"/>
  <c r="A44" i="36"/>
  <c r="A183" i="1" s="1"/>
  <c r="A8" i="36"/>
  <c r="A8" i="1" s="1"/>
  <c r="E3176" i="27"/>
  <c r="E3144" i="27"/>
  <c r="E3120" i="27"/>
  <c r="C711" i="32"/>
  <c r="W711" i="32" s="1"/>
  <c r="K711" i="32" s="1"/>
  <c r="C735" i="32"/>
  <c r="W735" i="32" s="1"/>
  <c r="K735" i="32" s="1"/>
  <c r="A102" i="36"/>
  <c r="A74" i="36"/>
  <c r="D315" i="32" s="1"/>
  <c r="A36" i="36"/>
  <c r="A1" i="30" s="1"/>
  <c r="C1545" i="32"/>
  <c r="C1563" i="32"/>
  <c r="C1579" i="32"/>
  <c r="C1391" i="32"/>
  <c r="C1409" i="32"/>
  <c r="C1199" i="32"/>
  <c r="C1217" i="32"/>
  <c r="C663" i="32"/>
  <c r="C687" i="32"/>
  <c r="W687" i="32" s="1"/>
  <c r="K687" i="32" s="1"/>
  <c r="A12" i="36"/>
  <c r="A5" i="31" s="1"/>
  <c r="A18" i="36"/>
  <c r="A46" i="1" s="1"/>
  <c r="A52" i="36"/>
  <c r="I148" i="24" s="1"/>
  <c r="A82" i="36"/>
  <c r="K620" i="32" s="1"/>
  <c r="D6" i="23"/>
  <c r="D18" i="23"/>
  <c r="D35" i="23"/>
  <c r="D47" i="23"/>
  <c r="D59" i="23"/>
  <c r="D71" i="23"/>
  <c r="D83" i="23"/>
  <c r="D95" i="23"/>
  <c r="D107" i="23"/>
  <c r="D123" i="23"/>
  <c r="I109" i="1" s="1"/>
  <c r="D135" i="23"/>
  <c r="D147" i="23"/>
  <c r="D159" i="23"/>
  <c r="E3227" i="27"/>
  <c r="E3219" i="27"/>
  <c r="E3203" i="27"/>
  <c r="E3195" i="27"/>
  <c r="E3191" i="27"/>
  <c r="E3183" i="27"/>
  <c r="E3171" i="27"/>
  <c r="E3167" i="27"/>
  <c r="E3159" i="27"/>
  <c r="E3155" i="27"/>
  <c r="E3143" i="27"/>
  <c r="E3135" i="27"/>
  <c r="E3131" i="27"/>
  <c r="E3123" i="27"/>
  <c r="E3107" i="27"/>
  <c r="E3099" i="27"/>
  <c r="E3095" i="27"/>
  <c r="E3087" i="27"/>
  <c r="E3083" i="27"/>
  <c r="E3075" i="27"/>
  <c r="E3071" i="27"/>
  <c r="E3063" i="27"/>
  <c r="E3204" i="27"/>
  <c r="E3200" i="27"/>
  <c r="E3189" i="27"/>
  <c r="E3168" i="27"/>
  <c r="A98" i="36"/>
  <c r="A213" i="24" s="1"/>
  <c r="A68" i="36"/>
  <c r="K148" i="24" s="1"/>
  <c r="A32" i="36"/>
  <c r="A123" i="1" s="1"/>
  <c r="C1147" i="32"/>
  <c r="C1179" i="32"/>
  <c r="A94" i="36"/>
  <c r="I53" i="24" s="1"/>
  <c r="A62" i="36"/>
  <c r="A24" i="36"/>
  <c r="E59" i="1" s="1"/>
  <c r="E3214" i="27"/>
  <c r="E3130" i="27"/>
  <c r="E3126" i="27"/>
  <c r="E3122" i="27"/>
  <c r="E3098" i="27"/>
  <c r="E3078" i="27"/>
  <c r="C1317" i="32"/>
  <c r="C1335" i="32"/>
  <c r="C1113" i="32"/>
  <c r="Q1113" i="32" s="1"/>
  <c r="C1129" i="32"/>
  <c r="C863" i="32"/>
  <c r="C883" i="32"/>
  <c r="C899" i="32"/>
  <c r="A90" i="36"/>
  <c r="A50" i="24" s="1"/>
  <c r="A58" i="36"/>
  <c r="AD8" i="30" s="1"/>
  <c r="A20" i="36"/>
  <c r="K46" i="1" s="1"/>
  <c r="C1077" i="32"/>
  <c r="C1093" i="32"/>
  <c r="C827" i="32"/>
  <c r="C847" i="32"/>
  <c r="C783" i="32"/>
  <c r="W783" i="32" s="1"/>
  <c r="K783" i="32" s="1"/>
  <c r="C807" i="32"/>
  <c r="W807" i="32" s="1"/>
  <c r="K807" i="32" s="1"/>
  <c r="E135" i="27"/>
  <c r="E3149" i="27"/>
  <c r="E3117" i="27"/>
  <c r="E3096" i="27"/>
  <c r="E3092" i="27"/>
  <c r="E3080" i="27"/>
  <c r="E2907" i="27"/>
  <c r="E3072" i="27"/>
  <c r="E3066" i="27"/>
  <c r="E2895" i="27"/>
  <c r="E3060" i="27"/>
  <c r="E2887" i="27"/>
  <c r="E2883" i="27"/>
  <c r="E2879" i="27"/>
  <c r="E3042" i="27"/>
  <c r="E2871" i="27"/>
  <c r="E2867" i="27"/>
  <c r="E3032" i="27"/>
  <c r="E3028" i="27"/>
  <c r="E2409" i="27"/>
  <c r="E879" i="27"/>
  <c r="E875" i="27"/>
  <c r="E871" i="27"/>
  <c r="E867" i="27"/>
  <c r="E859" i="27"/>
  <c r="E855" i="27"/>
  <c r="E847" i="27"/>
  <c r="E835" i="27"/>
  <c r="E831" i="27"/>
  <c r="E823" i="27"/>
  <c r="E815" i="27"/>
  <c r="E876" i="27"/>
  <c r="E872" i="27"/>
  <c r="E868" i="27"/>
  <c r="E866" i="27"/>
  <c r="E861" i="27"/>
  <c r="E858" i="27"/>
  <c r="E854" i="27"/>
  <c r="E848" i="27"/>
  <c r="E779" i="27"/>
  <c r="E842" i="27"/>
  <c r="E836" i="27"/>
  <c r="E832" i="27"/>
  <c r="E828" i="27"/>
  <c r="E824" i="27"/>
  <c r="E821" i="27"/>
  <c r="E816" i="27"/>
  <c r="E813" i="27"/>
  <c r="E809" i="27"/>
  <c r="E805" i="27"/>
  <c r="E801" i="27"/>
  <c r="E797" i="27"/>
  <c r="E727" i="27"/>
  <c r="E723" i="27"/>
  <c r="E719" i="27"/>
  <c r="E782" i="27"/>
  <c r="E776" i="27"/>
  <c r="E773" i="27"/>
  <c r="W162" i="1"/>
  <c r="W135" i="1"/>
  <c r="Y173" i="1"/>
  <c r="Y126" i="1"/>
  <c r="M39" i="1"/>
  <c r="W173" i="1"/>
  <c r="Y156" i="1"/>
  <c r="E135" i="1"/>
  <c r="L36" i="1"/>
  <c r="E3058" i="27"/>
  <c r="E3046" i="27"/>
  <c r="E3034" i="27"/>
  <c r="E3014" i="27"/>
  <c r="E2998" i="27"/>
  <c r="E2982" i="27"/>
  <c r="E164" i="1"/>
  <c r="X164" i="1" s="1"/>
  <c r="Y152" i="1"/>
  <c r="W126" i="1"/>
  <c r="L39" i="1"/>
  <c r="E158" i="1"/>
  <c r="W152" i="1"/>
  <c r="Y142" i="1"/>
  <c r="E141" i="1"/>
  <c r="N32" i="1"/>
  <c r="E221" i="27"/>
  <c r="D39" i="1"/>
  <c r="G40" i="29" s="1"/>
  <c r="M32" i="1"/>
  <c r="W161" i="1"/>
  <c r="L35" i="1"/>
  <c r="L32" i="1"/>
  <c r="E136" i="27"/>
  <c r="Y157" i="1"/>
  <c r="Y153" i="1"/>
  <c r="Y129" i="1"/>
  <c r="D35" i="1"/>
  <c r="G36" i="29" s="1"/>
  <c r="G220" i="24"/>
  <c r="E724" i="27"/>
  <c r="E767" i="27"/>
  <c r="E753" i="27"/>
  <c r="E739" i="27"/>
  <c r="E787" i="27"/>
  <c r="E746" i="27"/>
  <c r="E825" i="27"/>
  <c r="E2860" i="27"/>
  <c r="E2884" i="27"/>
  <c r="E2912" i="27"/>
  <c r="E2976" i="27"/>
  <c r="E3108" i="27"/>
  <c r="E2911" i="27"/>
  <c r="E2863" i="27"/>
  <c r="E2918" i="27"/>
  <c r="E2990" i="27"/>
  <c r="E3062" i="27"/>
  <c r="E860" i="27"/>
  <c r="E731" i="27"/>
  <c r="E2885" i="27"/>
  <c r="E3013" i="27"/>
  <c r="E2925" i="27"/>
  <c r="E2937" i="27"/>
  <c r="E2929" i="27"/>
  <c r="E793" i="27"/>
  <c r="E3296" i="27"/>
  <c r="E3292" i="27"/>
  <c r="E3288" i="27"/>
  <c r="E3284" i="27"/>
  <c r="E3280" i="27"/>
  <c r="E3276" i="27"/>
  <c r="E3272" i="27"/>
  <c r="E3268" i="27"/>
  <c r="E3264" i="27"/>
  <c r="E3260" i="27"/>
  <c r="E3256" i="27"/>
  <c r="E3252" i="27"/>
  <c r="E3248" i="27"/>
  <c r="E3244" i="27"/>
  <c r="E3240" i="27"/>
  <c r="E3236" i="27"/>
  <c r="E3269" i="27"/>
  <c r="E3228" i="27"/>
  <c r="E3224" i="27"/>
  <c r="E3220" i="27"/>
  <c r="E3216" i="27"/>
  <c r="E3212" i="27"/>
  <c r="E3208" i="27"/>
  <c r="E3196" i="27"/>
  <c r="E3192" i="27"/>
  <c r="E3188" i="27"/>
  <c r="E3184" i="27"/>
  <c r="E3180" i="27"/>
  <c r="E3172" i="27"/>
  <c r="E3164" i="27"/>
  <c r="E3160" i="27"/>
  <c r="E3156" i="27"/>
  <c r="E3148" i="27"/>
  <c r="E3140" i="27"/>
  <c r="E3136" i="27"/>
  <c r="E3124" i="27"/>
  <c r="E3112" i="27"/>
  <c r="E3104" i="27"/>
  <c r="E3100" i="27"/>
  <c r="E3093" i="27"/>
  <c r="E3088" i="27"/>
  <c r="E3085" i="27"/>
  <c r="E3076" i="27"/>
  <c r="E3068" i="27"/>
  <c r="E3064" i="27"/>
  <c r="E2973" i="27"/>
  <c r="E758" i="27"/>
  <c r="E2916" i="27"/>
  <c r="E2926" i="27"/>
  <c r="E2398" i="27"/>
  <c r="E2958" i="27"/>
  <c r="E3194" i="27"/>
  <c r="E802" i="27"/>
  <c r="E2519" i="27"/>
  <c r="E2475" i="27"/>
  <c r="E2462" i="27"/>
  <c r="E2420" i="27"/>
  <c r="E3119" i="27"/>
  <c r="O53" i="24"/>
  <c r="E726" i="27"/>
  <c r="E772" i="27"/>
  <c r="E744" i="27"/>
  <c r="E795" i="27"/>
  <c r="E754" i="27"/>
  <c r="E826" i="27"/>
  <c r="E2944" i="27"/>
  <c r="E3008" i="27"/>
  <c r="E3040" i="27"/>
  <c r="E3116" i="27"/>
  <c r="E2859" i="27"/>
  <c r="E2994" i="27"/>
  <c r="E757" i="27"/>
  <c r="E2372" i="27"/>
  <c r="E2941" i="27"/>
  <c r="E3190" i="27"/>
  <c r="E3030" i="27"/>
  <c r="E3134" i="27"/>
  <c r="E2945" i="27"/>
  <c r="E833" i="27"/>
  <c r="E781" i="27"/>
  <c r="O107" i="24"/>
  <c r="E704" i="27"/>
  <c r="E728" i="27"/>
  <c r="E775" i="27"/>
  <c r="E761" i="27"/>
  <c r="E747" i="27"/>
  <c r="E762" i="27"/>
  <c r="E811" i="27"/>
  <c r="E870" i="27"/>
  <c r="E2864" i="27"/>
  <c r="E2888" i="27"/>
  <c r="E2948" i="27"/>
  <c r="E2980" i="27"/>
  <c r="E3012" i="27"/>
  <c r="E3044" i="27"/>
  <c r="E2999" i="27"/>
  <c r="E2903" i="27"/>
  <c r="E2855" i="27"/>
  <c r="E2930" i="27"/>
  <c r="E789" i="27"/>
  <c r="E2901" i="27"/>
  <c r="E3029" i="27"/>
  <c r="E806" i="27"/>
  <c r="E2854" i="27"/>
  <c r="E2921" i="27"/>
  <c r="E2969" i="27"/>
  <c r="E2961" i="27"/>
  <c r="E837" i="27"/>
  <c r="E2858" i="27"/>
  <c r="E735" i="27"/>
  <c r="E2868" i="27"/>
  <c r="E2942" i="27"/>
  <c r="E804" i="27"/>
  <c r="E2861" i="27"/>
  <c r="E2902" i="27"/>
  <c r="E3001" i="27"/>
  <c r="E2993" i="27"/>
  <c r="E2445" i="27"/>
  <c r="E708" i="27"/>
  <c r="E783" i="27"/>
  <c r="E769" i="27"/>
  <c r="E755" i="27"/>
  <c r="E778" i="27"/>
  <c r="E812" i="27"/>
  <c r="E878" i="27"/>
  <c r="E2956" i="27"/>
  <c r="E2988" i="27"/>
  <c r="E3132" i="27"/>
  <c r="E2866" i="27"/>
  <c r="E3010" i="27"/>
  <c r="E2917" i="27"/>
  <c r="E3061" i="27"/>
  <c r="E818" i="27"/>
  <c r="E2989" i="27"/>
  <c r="E2953" i="27"/>
  <c r="E725" i="27"/>
  <c r="E849" i="27"/>
  <c r="A148" i="24"/>
  <c r="B40" i="24"/>
  <c r="E710" i="27"/>
  <c r="E740" i="27"/>
  <c r="E788" i="27"/>
  <c r="E774" i="27"/>
  <c r="E760" i="27"/>
  <c r="E803" i="27"/>
  <c r="E786" i="27"/>
  <c r="E817" i="27"/>
  <c r="E869" i="27"/>
  <c r="E3035" i="27"/>
  <c r="E2896" i="27"/>
  <c r="E2924" i="27"/>
  <c r="E3020" i="27"/>
  <c r="E3056" i="27"/>
  <c r="E2891" i="27"/>
  <c r="E2874" i="27"/>
  <c r="E2950" i="27"/>
  <c r="E808" i="27"/>
  <c r="E822" i="27"/>
  <c r="E2890" i="27"/>
  <c r="E3005" i="27"/>
  <c r="E2946" i="27"/>
  <c r="E3017" i="27"/>
  <c r="E765" i="27"/>
  <c r="E857" i="27"/>
  <c r="E2872" i="27"/>
  <c r="E3186" i="27"/>
  <c r="E3182" i="27"/>
  <c r="E3178" i="27"/>
  <c r="E3150" i="27"/>
  <c r="E3090" i="27"/>
  <c r="E3074" i="27"/>
  <c r="E3050" i="27"/>
  <c r="E2974" i="27"/>
  <c r="E3147" i="27"/>
  <c r="A53" i="24"/>
  <c r="E712" i="27"/>
  <c r="E777" i="27"/>
  <c r="E2928" i="27"/>
  <c r="E3024" i="27"/>
  <c r="E3152" i="27"/>
  <c r="E2878" i="27"/>
  <c r="E3022" i="27"/>
  <c r="E2933" i="27"/>
  <c r="E830" i="27"/>
  <c r="E3021" i="27"/>
  <c r="E3002" i="27"/>
  <c r="E3033" i="27"/>
  <c r="E714" i="27"/>
  <c r="E792" i="27"/>
  <c r="E807" i="27"/>
  <c r="E877" i="27"/>
  <c r="E2964" i="27"/>
  <c r="E2979" i="27"/>
  <c r="E2962" i="27"/>
  <c r="E3026" i="27"/>
  <c r="E2853" i="27"/>
  <c r="E834" i="27"/>
  <c r="E2882" i="27"/>
  <c r="E3081" i="27"/>
  <c r="O8" i="30"/>
  <c r="E743" i="27"/>
  <c r="E791" i="27"/>
  <c r="E763" i="27"/>
  <c r="E820" i="27"/>
  <c r="E873" i="27"/>
  <c r="E2954" i="27"/>
  <c r="E2877" i="27"/>
  <c r="E748" i="27"/>
  <c r="E768" i="27"/>
  <c r="E2900" i="27"/>
  <c r="E2886" i="27"/>
  <c r="E2949" i="27"/>
  <c r="E2934" i="27"/>
  <c r="E3037" i="27"/>
  <c r="E3094" i="27"/>
  <c r="E2862" i="27"/>
  <c r="E716" i="27"/>
  <c r="E751" i="27"/>
  <c r="E737" i="27"/>
  <c r="E785" i="27"/>
  <c r="E771" i="27"/>
  <c r="E2876" i="27"/>
  <c r="E2904" i="27"/>
  <c r="E2932" i="27"/>
  <c r="E2996" i="27"/>
  <c r="E2852" i="27"/>
  <c r="E2927" i="27"/>
  <c r="E2894" i="27"/>
  <c r="E2966" i="27"/>
  <c r="E2857" i="27"/>
  <c r="E2893" i="27"/>
  <c r="E2873" i="27"/>
  <c r="E2865" i="27"/>
  <c r="E2992" i="27"/>
  <c r="E742" i="27"/>
  <c r="E790" i="27"/>
  <c r="E732" i="27"/>
  <c r="E2856" i="27"/>
  <c r="E2968" i="27"/>
  <c r="E3000" i="27"/>
  <c r="E3019" i="27"/>
  <c r="E2923" i="27"/>
  <c r="E2875" i="27"/>
  <c r="E2898" i="27"/>
  <c r="E2970" i="27"/>
  <c r="E3038" i="27"/>
  <c r="E844" i="27"/>
  <c r="E2870" i="27"/>
  <c r="E2965" i="27"/>
  <c r="E846" i="27"/>
  <c r="E2986" i="27"/>
  <c r="E2922" i="27"/>
  <c r="E3193" i="27"/>
  <c r="E2881" i="27"/>
  <c r="E3237" i="27"/>
  <c r="E3109" i="27"/>
  <c r="E3065" i="27"/>
  <c r="E3053" i="27"/>
  <c r="E3009" i="27"/>
  <c r="E718" i="27"/>
  <c r="E745" i="27"/>
  <c r="E2880" i="27"/>
  <c r="E2936" i="27"/>
  <c r="E2869" i="27"/>
  <c r="E2897" i="27"/>
  <c r="E2960" i="27"/>
  <c r="E756" i="27"/>
  <c r="E720" i="27"/>
  <c r="E759" i="27"/>
  <c r="E734" i="27"/>
  <c r="E733" i="27"/>
  <c r="E2908" i="27"/>
  <c r="E2906" i="27"/>
  <c r="E2978" i="27"/>
  <c r="E2981" i="27"/>
  <c r="E2909" i="27"/>
  <c r="E2889" i="27"/>
  <c r="E703" i="27"/>
  <c r="W2" i="27"/>
  <c r="E722" i="27"/>
  <c r="E764" i="27"/>
  <c r="E750" i="27"/>
  <c r="E736" i="27"/>
  <c r="E784" i="27"/>
  <c r="E738" i="27"/>
  <c r="E2940" i="27"/>
  <c r="E2972" i="27"/>
  <c r="E3004" i="27"/>
  <c r="E3036" i="27"/>
  <c r="E2914" i="27"/>
  <c r="E856" i="27"/>
  <c r="E2910" i="27"/>
  <c r="E2997" i="27"/>
  <c r="E2905" i="27"/>
  <c r="E2913" i="27"/>
  <c r="E713" i="27"/>
  <c r="E3314" i="27"/>
  <c r="AA8" i="34"/>
  <c r="E3275" i="27"/>
  <c r="E3255" i="27"/>
  <c r="E3239" i="27"/>
  <c r="E2539" i="27"/>
  <c r="M148" i="24"/>
  <c r="I8" i="34"/>
  <c r="E3221" i="27"/>
  <c r="E3232" i="27"/>
  <c r="L148" i="24"/>
  <c r="A220" i="24"/>
  <c r="S148" i="24"/>
  <c r="E3245" i="27"/>
  <c r="E3286" i="27"/>
  <c r="P53" i="24"/>
  <c r="G8" i="31"/>
  <c r="K315" i="32"/>
  <c r="A8" i="31"/>
  <c r="AC8" i="30"/>
  <c r="E3111" i="27"/>
  <c r="E3084" i="27"/>
  <c r="J53" i="24"/>
  <c r="E3281" i="27"/>
  <c r="E3257" i="27"/>
  <c r="E3233" i="27"/>
  <c r="E3197" i="27"/>
  <c r="E217" i="27"/>
  <c r="J217" i="27" s="1"/>
  <c r="E213" i="27"/>
  <c r="G148" i="24"/>
  <c r="J8" i="33"/>
  <c r="E3324" i="27"/>
  <c r="E3320" i="27"/>
  <c r="E3316" i="27"/>
  <c r="E3312" i="27"/>
  <c r="E3322" i="27"/>
  <c r="E3267" i="27"/>
  <c r="T8" i="30"/>
  <c r="R107" i="24"/>
  <c r="L8" i="31"/>
  <c r="N8" i="31"/>
  <c r="D148" i="24"/>
  <c r="L48" i="1"/>
  <c r="E165" i="27"/>
  <c r="E163" i="27"/>
  <c r="J163" i="27" s="1"/>
  <c r="E156" i="27"/>
  <c r="J156" i="27" s="1"/>
  <c r="E153" i="27"/>
  <c r="E151" i="27"/>
  <c r="J151" i="27" s="1"/>
  <c r="N8" i="30"/>
  <c r="E3329" i="27"/>
  <c r="E3293" i="27"/>
  <c r="E3261" i="27"/>
  <c r="E3209" i="27"/>
  <c r="E3205" i="27"/>
  <c r="E3181" i="27"/>
  <c r="E3129" i="27"/>
  <c r="AE8" i="33"/>
  <c r="S8" i="33"/>
  <c r="E211" i="27"/>
  <c r="J211" i="27" s="1"/>
  <c r="E210" i="27"/>
  <c r="I210" i="27" s="1"/>
  <c r="E204" i="27"/>
  <c r="E199" i="27"/>
  <c r="M199" i="27" s="1"/>
  <c r="E198" i="27"/>
  <c r="J198" i="27" s="1"/>
  <c r="E187" i="27"/>
  <c r="K187" i="27" s="1"/>
  <c r="J107" i="24"/>
  <c r="AB8" i="33"/>
  <c r="A9" i="1"/>
  <c r="E3328" i="27"/>
  <c r="E3308" i="27"/>
  <c r="E3304" i="27"/>
  <c r="X2" i="27"/>
  <c r="AZ10" i="34" s="1"/>
  <c r="AZ11" i="34" s="1"/>
  <c r="AZ12" i="34" s="1"/>
  <c r="AZ13" i="34" s="1"/>
  <c r="AZ14" i="34" s="1"/>
  <c r="AZ15" i="34" s="1"/>
  <c r="AZ16" i="34" s="1"/>
  <c r="AZ17" i="34" s="1"/>
  <c r="AZ18" i="34" s="1"/>
  <c r="AZ19" i="34" s="1"/>
  <c r="AZ20" i="34" s="1"/>
  <c r="AZ21" i="34" s="1"/>
  <c r="AZ22" i="34" s="1"/>
  <c r="AZ23" i="34" s="1"/>
  <c r="AZ24" i="34" s="1"/>
  <c r="AZ25" i="34" s="1"/>
  <c r="AZ26" i="34" s="1"/>
  <c r="AZ27" i="34" s="1"/>
  <c r="AZ28" i="34" s="1"/>
  <c r="AZ29" i="34" s="1"/>
  <c r="AZ30" i="34" s="1"/>
  <c r="AZ31" i="34" s="1"/>
  <c r="AZ32" i="34" s="1"/>
  <c r="AZ33" i="34" s="1"/>
  <c r="AZ34" i="34" s="1"/>
  <c r="AZ35" i="34" s="1"/>
  <c r="AZ36" i="34" s="1"/>
  <c r="AZ37" i="34" s="1"/>
  <c r="AZ38" i="34" s="1"/>
  <c r="AZ39" i="34" s="1"/>
  <c r="AZ40" i="34" s="1"/>
  <c r="AZ41" i="34" s="1"/>
  <c r="AZ42" i="34" s="1"/>
  <c r="AZ43" i="34" s="1"/>
  <c r="AZ44" i="34" s="1"/>
  <c r="AZ45" i="34" s="1"/>
  <c r="AZ46" i="34" s="1"/>
  <c r="AZ47" i="34" s="1"/>
  <c r="AZ48" i="34" s="1"/>
  <c r="AZ49" i="34" s="1"/>
  <c r="AZ50" i="34" s="1"/>
  <c r="AZ51" i="34" s="1"/>
  <c r="AZ52" i="34" s="1"/>
  <c r="AZ53" i="34" s="1"/>
  <c r="AZ54" i="34" s="1"/>
  <c r="AZ55" i="34" s="1"/>
  <c r="AZ56" i="34" s="1"/>
  <c r="AZ57" i="34" s="1"/>
  <c r="AZ58" i="34" s="1"/>
  <c r="AZ59" i="34" s="1"/>
  <c r="AZ60" i="34" s="1"/>
  <c r="AZ61" i="34" s="1"/>
  <c r="AZ62" i="34" s="1"/>
  <c r="AZ63" i="34" s="1"/>
  <c r="AZ64" i="34" s="1"/>
  <c r="AZ65" i="34" s="1"/>
  <c r="AZ66" i="34" s="1"/>
  <c r="AZ67" i="34" s="1"/>
  <c r="AZ68" i="34" s="1"/>
  <c r="AZ69" i="34" s="1"/>
  <c r="AZ70" i="34" s="1"/>
  <c r="AZ71" i="34" s="1"/>
  <c r="AZ72" i="34" s="1"/>
  <c r="AZ73" i="34" s="1"/>
  <c r="AZ74" i="34" s="1"/>
  <c r="AZ75" i="34" s="1"/>
  <c r="AZ76" i="34" s="1"/>
  <c r="AZ77" i="34" s="1"/>
  <c r="AZ78" i="34" s="1"/>
  <c r="AZ79" i="34" s="1"/>
  <c r="AZ80" i="34" s="1"/>
  <c r="AZ81" i="34" s="1"/>
  <c r="AZ82" i="34" s="1"/>
  <c r="AZ83" i="34" s="1"/>
  <c r="AZ84" i="34" s="1"/>
  <c r="AZ85" i="34" s="1"/>
  <c r="AZ86" i="34" s="1"/>
  <c r="AZ87" i="34" s="1"/>
  <c r="AZ88" i="34" s="1"/>
  <c r="E3179" i="27"/>
  <c r="E3215" i="27"/>
  <c r="E2517" i="27"/>
  <c r="E2499" i="27"/>
  <c r="E2497" i="27"/>
  <c r="E2485" i="27"/>
  <c r="E2471" i="27"/>
  <c r="E2413" i="27"/>
  <c r="E2530" i="27"/>
  <c r="AK8" i="33"/>
  <c r="Y8" i="33"/>
  <c r="E3231" i="27"/>
  <c r="E3125" i="27"/>
  <c r="AH8" i="33"/>
  <c r="L8" i="30"/>
  <c r="E3251" i="27"/>
  <c r="E3243" i="27"/>
  <c r="E2540" i="27"/>
  <c r="E2524" i="27"/>
  <c r="P8" i="33"/>
  <c r="X8" i="30"/>
  <c r="X8" i="31"/>
  <c r="P8" i="30"/>
  <c r="H107" i="24"/>
  <c r="C9" i="32"/>
  <c r="S8" i="34"/>
  <c r="E3306" i="27"/>
  <c r="E3298" i="27"/>
  <c r="E3206" i="27"/>
  <c r="E3198" i="27"/>
  <c r="E3170" i="27"/>
  <c r="E3146" i="27"/>
  <c r="E3142" i="27"/>
  <c r="E3138" i="27"/>
  <c r="E3118" i="27"/>
  <c r="T8" i="31"/>
  <c r="Z8" i="31"/>
  <c r="V8" i="31"/>
  <c r="C220" i="24"/>
  <c r="C8" i="31"/>
  <c r="E201" i="27"/>
  <c r="E162" i="27"/>
  <c r="M162" i="27" s="1"/>
  <c r="E2373" i="27"/>
  <c r="E3301" i="27"/>
  <c r="E3278" i="27"/>
  <c r="E150" i="27"/>
  <c r="L150" i="27" s="1"/>
  <c r="E2478" i="27"/>
  <c r="E2436" i="27"/>
  <c r="E2442" i="27"/>
  <c r="E2521" i="27"/>
  <c r="E2443" i="27"/>
  <c r="E2407" i="27"/>
  <c r="E2473" i="27"/>
  <c r="E3299" i="27"/>
  <c r="E3271" i="27"/>
  <c r="E3259" i="27"/>
  <c r="E3235" i="27"/>
  <c r="C8" i="30"/>
  <c r="E2375" i="27"/>
  <c r="E2444" i="27"/>
  <c r="E2450" i="27"/>
  <c r="E2523" i="27"/>
  <c r="E2439" i="27"/>
  <c r="E2477" i="27"/>
  <c r="E444" i="27"/>
  <c r="E438" i="27"/>
  <c r="E404" i="27"/>
  <c r="K404" i="27" s="1"/>
  <c r="E3317" i="27"/>
  <c r="E2486" i="27"/>
  <c r="E2403" i="27"/>
  <c r="G9" i="32"/>
  <c r="B38" i="24"/>
  <c r="E155" i="27"/>
  <c r="E167" i="27"/>
  <c r="E223" i="27"/>
  <c r="L223" i="27" s="1"/>
  <c r="E186" i="27"/>
  <c r="E3207" i="27"/>
  <c r="E197" i="27"/>
  <c r="E2376" i="27"/>
  <c r="E2502" i="27"/>
  <c r="E2460" i="27"/>
  <c r="E2466" i="27"/>
  <c r="E2525" i="27"/>
  <c r="E2437" i="27"/>
  <c r="E2401" i="27"/>
  <c r="E2483" i="27"/>
  <c r="E2537" i="27"/>
  <c r="G315" i="32"/>
  <c r="E2378" i="27"/>
  <c r="E3326" i="27"/>
  <c r="E2506" i="27"/>
  <c r="E2468" i="27"/>
  <c r="E2474" i="27"/>
  <c r="E2527" i="27"/>
  <c r="E2433" i="27"/>
  <c r="E2385" i="27"/>
  <c r="E2487" i="27"/>
  <c r="E3318" i="27"/>
  <c r="E3294" i="27"/>
  <c r="E3290" i="27"/>
  <c r="E3282" i="27"/>
  <c r="E3210" i="27"/>
  <c r="E3202" i="27"/>
  <c r="E3174" i="27"/>
  <c r="E3166" i="27"/>
  <c r="E3162" i="27"/>
  <c r="E3158" i="27"/>
  <c r="E3154" i="27"/>
  <c r="E3114" i="27"/>
  <c r="E3110" i="27"/>
  <c r="E3106" i="27"/>
  <c r="E3082" i="27"/>
  <c r="E3247" i="27"/>
  <c r="E3070" i="27"/>
  <c r="E584" i="27"/>
  <c r="E2382" i="27"/>
  <c r="E2514" i="27"/>
  <c r="E2484" i="27"/>
  <c r="E2490" i="27"/>
  <c r="E2529" i="27"/>
  <c r="E2431" i="27"/>
  <c r="E2395" i="27"/>
  <c r="E2516" i="27"/>
  <c r="E2500" i="27"/>
  <c r="E2481" i="27"/>
  <c r="E2480" i="27"/>
  <c r="E2457" i="27"/>
  <c r="E863" i="27"/>
  <c r="E851" i="27"/>
  <c r="E839" i="27"/>
  <c r="E827" i="27"/>
  <c r="E852" i="27"/>
  <c r="E840" i="27"/>
  <c r="E865" i="27"/>
  <c r="E862" i="27"/>
  <c r="E853" i="27"/>
  <c r="E850" i="27"/>
  <c r="E841" i="27"/>
  <c r="E838" i="27"/>
  <c r="E829" i="27"/>
  <c r="E810" i="27"/>
  <c r="E800" i="27"/>
  <c r="E794" i="27"/>
  <c r="E715" i="27"/>
  <c r="B36" i="24"/>
  <c r="E2383" i="27"/>
  <c r="A87" i="24"/>
  <c r="N220" i="24"/>
  <c r="A12" i="24"/>
  <c r="E2386" i="27"/>
  <c r="E2518" i="27"/>
  <c r="E2492" i="27"/>
  <c r="E2498" i="27"/>
  <c r="E2531" i="27"/>
  <c r="E2427" i="27"/>
  <c r="E2380" i="27"/>
  <c r="E2489" i="27"/>
  <c r="E2390" i="27"/>
  <c r="E3309" i="27"/>
  <c r="E142" i="27"/>
  <c r="E2406" i="27"/>
  <c r="E2522" i="27"/>
  <c r="E2505" i="27"/>
  <c r="E2399" i="27"/>
  <c r="E2425" i="27"/>
  <c r="E2459" i="27"/>
  <c r="E2495" i="27"/>
  <c r="E3325" i="27"/>
  <c r="E3313" i="27"/>
  <c r="E3297" i="27"/>
  <c r="E3285" i="27"/>
  <c r="E3277" i="27"/>
  <c r="E3265" i="27"/>
  <c r="E3253" i="27"/>
  <c r="E3241" i="27"/>
  <c r="E3229" i="27"/>
  <c r="E3217" i="27"/>
  <c r="E3213" i="27"/>
  <c r="E3177" i="27"/>
  <c r="E3173" i="27"/>
  <c r="E3165" i="27"/>
  <c r="E3145" i="27"/>
  <c r="E3141" i="27"/>
  <c r="E3133" i="27"/>
  <c r="E3097" i="27"/>
  <c r="E3041" i="27"/>
  <c r="E3287" i="27"/>
  <c r="E2414" i="27"/>
  <c r="E2526" i="27"/>
  <c r="E3289" i="27"/>
  <c r="E2507" i="27"/>
  <c r="E2384" i="27"/>
  <c r="E2421" i="27"/>
  <c r="E2463" i="27"/>
  <c r="E315" i="32"/>
  <c r="E2392" i="27"/>
  <c r="E620" i="32"/>
  <c r="Y8" i="34"/>
  <c r="E2396" i="27"/>
  <c r="E2430" i="27"/>
  <c r="E2381" i="27"/>
  <c r="E2511" i="27"/>
  <c r="E2455" i="27"/>
  <c r="E2419" i="27"/>
  <c r="E2461" i="27"/>
  <c r="E2438" i="27"/>
  <c r="E2402" i="27"/>
  <c r="E2513" i="27"/>
  <c r="E2451" i="27"/>
  <c r="E2415" i="27"/>
  <c r="E2465" i="27"/>
  <c r="E3330" i="27"/>
  <c r="E3263" i="27"/>
  <c r="E3305" i="27"/>
  <c r="E3319" i="27"/>
  <c r="E3302" i="27"/>
  <c r="E3225" i="27"/>
  <c r="E3273" i="27"/>
  <c r="E3161" i="27"/>
  <c r="E3223" i="27"/>
  <c r="E3052" i="27"/>
  <c r="E3049" i="27"/>
  <c r="E2370" i="27"/>
  <c r="F2370" i="27" s="1"/>
  <c r="E2379" i="27"/>
  <c r="E2454" i="27"/>
  <c r="E2412" i="27"/>
  <c r="E2418" i="27"/>
  <c r="E2449" i="27"/>
  <c r="B9" i="32"/>
  <c r="A8" i="30"/>
  <c r="W8" i="31"/>
  <c r="E8" i="31"/>
  <c r="G8" i="33"/>
  <c r="G620" i="32"/>
  <c r="B2" i="28"/>
  <c r="I2" i="28"/>
  <c r="N2" i="28"/>
  <c r="A2" i="28" s="1"/>
  <c r="U2" i="28" s="1"/>
  <c r="H2" i="28"/>
  <c r="Q8" i="34"/>
  <c r="AI8" i="34"/>
  <c r="U8" i="34"/>
  <c r="AM8" i="34"/>
  <c r="AC8" i="34"/>
  <c r="AG8" i="34"/>
  <c r="K8" i="34"/>
  <c r="O8" i="34"/>
  <c r="W8" i="34"/>
  <c r="G10" i="24"/>
  <c r="AE8" i="34"/>
  <c r="R53" i="24"/>
  <c r="P148" i="24"/>
  <c r="Q107" i="24"/>
  <c r="Q148" i="24"/>
  <c r="S53" i="24"/>
  <c r="S107" i="24"/>
  <c r="N148" i="24"/>
  <c r="O148" i="24"/>
  <c r="R148" i="24"/>
  <c r="Q53" i="24"/>
  <c r="W8" i="30"/>
  <c r="O8" i="31"/>
  <c r="X8" i="33"/>
  <c r="K8" i="31"/>
  <c r="AK8" i="34"/>
  <c r="A5" i="1"/>
  <c r="E2432" i="27"/>
  <c r="R8" i="33"/>
  <c r="AB8" i="30"/>
  <c r="L50" i="1"/>
  <c r="E3055" i="27"/>
  <c r="E3079" i="27"/>
  <c r="E3103" i="27"/>
  <c r="E3127" i="27"/>
  <c r="E3151" i="27"/>
  <c r="E3175" i="27"/>
  <c r="E3199" i="27"/>
  <c r="E3054" i="27"/>
  <c r="E2394" i="27"/>
  <c r="E2374" i="27"/>
  <c r="E2422" i="27"/>
  <c r="E2510" i="27"/>
  <c r="E2428" i="27"/>
  <c r="E2482" i="27"/>
  <c r="E2453" i="27"/>
  <c r="E2429" i="27"/>
  <c r="E2405" i="27"/>
  <c r="E2467" i="27"/>
  <c r="E2491" i="27"/>
  <c r="H135" i="27"/>
  <c r="E3315" i="27"/>
  <c r="E3323" i="27"/>
  <c r="E583" i="27"/>
  <c r="E181" i="27"/>
  <c r="L181" i="27" s="1"/>
  <c r="T8" i="33"/>
  <c r="B41" i="24"/>
  <c r="E3249" i="27"/>
  <c r="W8" i="33"/>
  <c r="O8" i="33"/>
  <c r="B37" i="24"/>
  <c r="E2400" i="27"/>
  <c r="E798" i="27"/>
  <c r="E2377" i="27"/>
  <c r="E2446" i="27"/>
  <c r="E2452" i="27"/>
  <c r="E2410" i="27"/>
  <c r="E2503" i="27"/>
  <c r="E2447" i="27"/>
  <c r="E2423" i="27"/>
  <c r="E2393" i="27"/>
  <c r="E2469" i="27"/>
  <c r="E2493" i="27"/>
  <c r="E2533" i="27"/>
  <c r="E581" i="27"/>
  <c r="E749" i="27"/>
  <c r="E3310" i="27"/>
  <c r="R8" i="31"/>
  <c r="E3067" i="27"/>
  <c r="E3091" i="27"/>
  <c r="E3115" i="27"/>
  <c r="E3139" i="27"/>
  <c r="E3163" i="27"/>
  <c r="E3187" i="27"/>
  <c r="E3211" i="27"/>
  <c r="E864" i="27"/>
  <c r="E3077" i="27"/>
  <c r="E3069" i="27"/>
  <c r="E705" i="27"/>
  <c r="E2470" i="27"/>
  <c r="E2476" i="27"/>
  <c r="E2434" i="27"/>
  <c r="E2509" i="27"/>
  <c r="E2441" i="27"/>
  <c r="E2417" i="27"/>
  <c r="E2387" i="27"/>
  <c r="E2479" i="27"/>
  <c r="E2501" i="27"/>
  <c r="E2538" i="27"/>
  <c r="E2532" i="27"/>
  <c r="E3307" i="27"/>
  <c r="A21" i="24"/>
  <c r="E586" i="27"/>
  <c r="E440" i="27"/>
  <c r="I440" i="27" s="1"/>
  <c r="V8" i="30"/>
  <c r="E3303" i="27"/>
  <c r="Z8" i="30"/>
  <c r="E2388" i="27"/>
  <c r="E2371" i="27"/>
  <c r="E729" i="27"/>
  <c r="E2397" i="27"/>
  <c r="E2494" i="27"/>
  <c r="E2404" i="27"/>
  <c r="E2458" i="27"/>
  <c r="E2515" i="27"/>
  <c r="E2391" i="27"/>
  <c r="E2435" i="27"/>
  <c r="E2411" i="27"/>
  <c r="E3121" i="27"/>
  <c r="E3089" i="27"/>
  <c r="E3250" i="27"/>
  <c r="E3025" i="27"/>
  <c r="J43" i="27"/>
  <c r="M43" i="27"/>
  <c r="I43" i="27"/>
  <c r="L43" i="27"/>
  <c r="H43" i="27"/>
  <c r="B44" i="24"/>
  <c r="B45" i="24"/>
  <c r="B34" i="24"/>
  <c r="B42" i="24"/>
  <c r="B35" i="24"/>
  <c r="B43" i="24"/>
  <c r="N43" i="27"/>
  <c r="E220" i="24"/>
  <c r="AU8" i="34"/>
  <c r="O85" i="27"/>
  <c r="O122" i="27"/>
  <c r="O131" i="27"/>
  <c r="O105" i="27"/>
  <c r="O114" i="27"/>
  <c r="O123" i="27"/>
  <c r="O91" i="27"/>
  <c r="O104" i="27"/>
  <c r="O46" i="27"/>
  <c r="O94" i="27"/>
  <c r="O80" i="27"/>
  <c r="O87" i="27"/>
  <c r="O133" i="27"/>
  <c r="O77" i="27"/>
  <c r="O97" i="27"/>
  <c r="O106" i="27"/>
  <c r="O115" i="27"/>
  <c r="O71" i="27"/>
  <c r="O54" i="27"/>
  <c r="O102" i="27"/>
  <c r="O88" i="27"/>
  <c r="O65" i="27"/>
  <c r="O58" i="27"/>
  <c r="O47" i="27"/>
  <c r="O92" i="27"/>
  <c r="O50" i="27"/>
  <c r="O69" i="27"/>
  <c r="O79" i="27"/>
  <c r="O89" i="27"/>
  <c r="O107" i="27"/>
  <c r="O83" i="27"/>
  <c r="O129" i="27"/>
  <c r="O62" i="27"/>
  <c r="O96" i="27"/>
  <c r="O99" i="27"/>
  <c r="O75" i="27"/>
  <c r="O61" i="27"/>
  <c r="O67" i="27"/>
  <c r="O128" i="27"/>
  <c r="O121" i="27"/>
  <c r="O70" i="27"/>
  <c r="O56" i="27"/>
  <c r="O55" i="27"/>
  <c r="O59" i="27"/>
  <c r="O124" i="27"/>
  <c r="O117" i="27"/>
  <c r="O74" i="27"/>
  <c r="O60" i="27"/>
  <c r="O53" i="27"/>
  <c r="O101" i="27"/>
  <c r="O130" i="27"/>
  <c r="O63" i="27"/>
  <c r="O73" i="27"/>
  <c r="O93" i="27"/>
  <c r="O116" i="27"/>
  <c r="O109" i="27"/>
  <c r="O82" i="27"/>
  <c r="O68" i="27"/>
  <c r="E2424" i="27"/>
  <c r="E3327" i="27"/>
  <c r="E3311" i="27"/>
  <c r="E3295" i="27"/>
  <c r="E3291" i="27"/>
  <c r="E3279" i="27"/>
  <c r="E3242" i="27"/>
  <c r="E3230" i="27"/>
  <c r="E3222" i="27"/>
  <c r="E3073" i="27"/>
  <c r="E2456" i="27"/>
  <c r="H358" i="27"/>
  <c r="E3283" i="27"/>
  <c r="E2448" i="27"/>
  <c r="E2508" i="27"/>
  <c r="E2440" i="27"/>
  <c r="E361" i="27"/>
  <c r="E3270" i="27"/>
  <c r="E3262" i="27"/>
  <c r="E3218" i="27"/>
  <c r="E2851" i="27"/>
  <c r="E158" i="27"/>
  <c r="E3274" i="27"/>
  <c r="E3258" i="27"/>
  <c r="E3254" i="27"/>
  <c r="E2488" i="27"/>
  <c r="E2472" i="27"/>
  <c r="E2389" i="27"/>
  <c r="E585" i="27"/>
  <c r="S8" i="31"/>
  <c r="E3246" i="27"/>
  <c r="E3234" i="27"/>
  <c r="E3226" i="27"/>
  <c r="E3321" i="27"/>
  <c r="E428" i="27"/>
  <c r="E380" i="27"/>
  <c r="E3266" i="27"/>
  <c r="E3185" i="27"/>
  <c r="E3137" i="27"/>
  <c r="E3057" i="27"/>
  <c r="E3201" i="27"/>
  <c r="E3300" i="27"/>
  <c r="E3238" i="27"/>
  <c r="E3169" i="27"/>
  <c r="E3153" i="27"/>
  <c r="A2204" i="27"/>
  <c r="J453" i="27"/>
  <c r="A453" i="27" s="1"/>
  <c r="G1037" i="27"/>
  <c r="J1037" i="27"/>
  <c r="O1037" i="27"/>
  <c r="H1037" i="27"/>
  <c r="N1037" i="27"/>
  <c r="I1037" i="27"/>
  <c r="L1037" i="27"/>
  <c r="Q2" i="28"/>
  <c r="M3" i="27"/>
  <c r="A3" i="27" s="1"/>
  <c r="J1341" i="27"/>
  <c r="I1341" i="27"/>
  <c r="H1341" i="27"/>
  <c r="N1341" i="27"/>
  <c r="O1341" i="27"/>
  <c r="L1341" i="27"/>
  <c r="G1341" i="27"/>
  <c r="H502" i="27"/>
  <c r="F7" i="16" a="1"/>
  <c r="F7" i="16" s="1"/>
  <c r="F8" i="16" s="1" a="1"/>
  <c r="F8" i="16" s="1"/>
  <c r="D252" i="20"/>
  <c r="C253" i="20"/>
  <c r="AT55" i="33"/>
  <c r="AS55" i="33"/>
  <c r="L137" i="1"/>
  <c r="AT39" i="33"/>
  <c r="AS39" i="33"/>
  <c r="I161" i="16" a="1"/>
  <c r="I161" i="16" s="1"/>
  <c r="B485" i="27"/>
  <c r="C484" i="27"/>
  <c r="U127" i="1"/>
  <c r="B161" i="16" a="1"/>
  <c r="B161" i="16" s="1"/>
  <c r="G272" i="16"/>
  <c r="Q1345" i="32"/>
  <c r="Q1191" i="32"/>
  <c r="C363" i="20"/>
  <c r="D362" i="20"/>
  <c r="C306" i="20"/>
  <c r="D305" i="20"/>
  <c r="Q1241" i="32"/>
  <c r="C374" i="20"/>
  <c r="C375" i="20" s="1"/>
  <c r="D375" i="20" s="1"/>
  <c r="D373" i="20"/>
  <c r="D213" i="20"/>
  <c r="C214" i="20"/>
  <c r="D136" i="20"/>
  <c r="D81" i="20"/>
  <c r="D33" i="20"/>
  <c r="C34" i="20"/>
  <c r="C35" i="20" s="1"/>
  <c r="Q1159" i="32"/>
  <c r="C99" i="20"/>
  <c r="D98" i="20"/>
  <c r="D64" i="20"/>
  <c r="Q1443" i="32"/>
  <c r="Q1137" i="32"/>
  <c r="D224" i="20"/>
  <c r="C225" i="20"/>
  <c r="D70" i="20"/>
  <c r="C71" i="20"/>
  <c r="Q1183" i="32"/>
  <c r="C205" i="20"/>
  <c r="D204" i="20"/>
  <c r="C300" i="20"/>
  <c r="D299" i="20"/>
  <c r="D212" i="20"/>
  <c r="C151" i="20"/>
  <c r="D151" i="20" s="1"/>
  <c r="D150" i="20"/>
  <c r="D32" i="20"/>
  <c r="Q486" i="32"/>
  <c r="L5" i="29" a="1"/>
  <c r="L5" i="29" s="1"/>
  <c r="L6" i="29" s="1" a="1"/>
  <c r="L6" i="29" s="1"/>
  <c r="D317" i="20"/>
  <c r="D175" i="20"/>
  <c r="C176" i="20"/>
  <c r="D176" i="20" s="1"/>
  <c r="D165" i="20"/>
  <c r="C166" i="20"/>
  <c r="D83" i="20"/>
  <c r="Q1591" i="32"/>
  <c r="U623" i="32"/>
  <c r="Q582" i="32"/>
  <c r="Q562" i="32"/>
  <c r="D337" i="20"/>
  <c r="C185" i="20"/>
  <c r="D99" i="20"/>
  <c r="Q1427" i="32"/>
  <c r="D82" i="20"/>
  <c r="Q1609" i="32"/>
  <c r="D312" i="20"/>
  <c r="C313" i="20"/>
  <c r="Q1551" i="32"/>
  <c r="Q1397" i="32"/>
  <c r="D267" i="20"/>
  <c r="D94" i="20"/>
  <c r="D60" i="20"/>
  <c r="D30" i="20"/>
  <c r="Q1351" i="32"/>
  <c r="D102" i="20"/>
  <c r="D315" i="20"/>
  <c r="D172" i="20"/>
  <c r="D75" i="20"/>
  <c r="D22" i="20"/>
  <c r="Q1327" i="32"/>
  <c r="C24" i="19" a="1"/>
  <c r="C24" i="19" s="1"/>
  <c r="D211" i="20"/>
  <c r="D180" i="20"/>
  <c r="D80" i="20"/>
  <c r="D3" i="20"/>
  <c r="C1769" i="32"/>
  <c r="C1743" i="32"/>
  <c r="C1761" i="32"/>
  <c r="C1779" i="32"/>
  <c r="C1747" i="32"/>
  <c r="C1749" i="32"/>
  <c r="C1767" i="32"/>
  <c r="C1755" i="32"/>
  <c r="C1441" i="32"/>
  <c r="C1455" i="32"/>
  <c r="C1429" i="32"/>
  <c r="C1459" i="32"/>
  <c r="C1447" i="32"/>
  <c r="C1435" i="32"/>
  <c r="C1449" i="32"/>
  <c r="D356" i="20"/>
  <c r="D347" i="20"/>
  <c r="C284" i="20"/>
  <c r="C285" i="20" s="1"/>
  <c r="D285" i="20" s="1"/>
  <c r="D283" i="20"/>
  <c r="D276" i="20"/>
  <c r="Q1279" i="32"/>
  <c r="AW37" i="33"/>
  <c r="AX37" i="33"/>
  <c r="D210" i="20"/>
  <c r="Q1543" i="32"/>
  <c r="Q1255" i="32"/>
  <c r="D349" i="20"/>
  <c r="D268" i="20"/>
  <c r="C192" i="20"/>
  <c r="C193" i="20" s="1"/>
  <c r="C194" i="20" s="1"/>
  <c r="D194" i="20" s="1"/>
  <c r="D191" i="20"/>
  <c r="C147" i="20"/>
  <c r="D14" i="20"/>
  <c r="D358" i="20"/>
  <c r="C359" i="20"/>
  <c r="C360" i="20" s="1"/>
  <c r="C361" i="20" s="1"/>
  <c r="D361" i="20" s="1"/>
  <c r="D294" i="20"/>
  <c r="D278" i="20"/>
  <c r="D140" i="20"/>
  <c r="D7" i="20"/>
  <c r="Q534" i="32"/>
  <c r="C1485" i="32"/>
  <c r="C1499" i="32"/>
  <c r="C1489" i="32"/>
  <c r="C1461" i="32"/>
  <c r="C1491" i="32"/>
  <c r="D325" i="20"/>
  <c r="D183" i="20"/>
  <c r="D62" i="20"/>
  <c r="C1605" i="32"/>
  <c r="C1617" i="32"/>
  <c r="C1607" i="32"/>
  <c r="C1619" i="32"/>
  <c r="C1271" i="32"/>
  <c r="C1285" i="32"/>
  <c r="C1261" i="32"/>
  <c r="C1263" i="32"/>
  <c r="C1277" i="32"/>
  <c r="C1293" i="32"/>
  <c r="C999" i="32"/>
  <c r="C1013" i="32"/>
  <c r="C1001" i="32"/>
  <c r="C987" i="32"/>
  <c r="C1017" i="32"/>
  <c r="C1005" i="32"/>
  <c r="C1019" i="32"/>
  <c r="D311" i="20"/>
  <c r="D182" i="20"/>
  <c r="C1711" i="32"/>
  <c r="C1725" i="32"/>
  <c r="C1739" i="32"/>
  <c r="C1701" i="32"/>
  <c r="C1715" i="32"/>
  <c r="C1703" i="32"/>
  <c r="C1717" i="32"/>
  <c r="C1731" i="32"/>
  <c r="C1383" i="32"/>
  <c r="C1411" i="32"/>
  <c r="C1415" i="32"/>
  <c r="C1389" i="32"/>
  <c r="C1417" i="32"/>
  <c r="D304" i="20"/>
  <c r="D58" i="20"/>
  <c r="C1367" i="32"/>
  <c r="C1355" i="32"/>
  <c r="C1343" i="32"/>
  <c r="C1373" i="32"/>
  <c r="C1161" i="32"/>
  <c r="C1175" i="32"/>
  <c r="C1165" i="32"/>
  <c r="C1153" i="32"/>
  <c r="C1167" i="32"/>
  <c r="D310" i="20"/>
  <c r="C1691" i="32"/>
  <c r="C1679" i="32"/>
  <c r="C1655" i="32"/>
  <c r="C1643" i="32"/>
  <c r="C1535" i="32"/>
  <c r="C1521" i="32"/>
  <c r="B9" i="29"/>
  <c r="C1533" i="32"/>
  <c r="C1503" i="32"/>
  <c r="E3105" i="27"/>
  <c r="A84" i="36"/>
  <c r="A8" i="34" s="1"/>
  <c r="A70" i="36"/>
  <c r="C5" i="32" s="1"/>
  <c r="A56" i="36"/>
  <c r="A42" i="36"/>
  <c r="F8" i="31" s="1"/>
  <c r="A30" i="36"/>
  <c r="A4" i="36"/>
  <c r="A1" i="1" s="1"/>
  <c r="A66" i="36"/>
  <c r="H148" i="24" s="1"/>
  <c r="A50" i="36"/>
  <c r="A121" i="1" s="1"/>
  <c r="A38" i="36"/>
  <c r="A26" i="36"/>
  <c r="A77" i="1" s="1"/>
  <c r="E2504" i="27"/>
  <c r="E721" i="27"/>
  <c r="E2408" i="27"/>
  <c r="E2464" i="27"/>
  <c r="E2512" i="27"/>
  <c r="E2534" i="27"/>
  <c r="E2416" i="27"/>
  <c r="E707" i="27"/>
  <c r="E717" i="27"/>
  <c r="E741" i="27"/>
  <c r="E2496" i="27"/>
  <c r="E2520" i="27"/>
  <c r="E2528" i="27"/>
  <c r="E360" i="27"/>
  <c r="H360" i="27"/>
  <c r="E709" i="27"/>
  <c r="E434" i="27"/>
  <c r="X140" i="1"/>
  <c r="AF140" i="1"/>
  <c r="A48" i="1"/>
  <c r="K7" i="30" s="1"/>
  <c r="B49" i="1"/>
  <c r="H26" i="16" a="1"/>
  <c r="H26" i="16" s="1"/>
  <c r="H27" i="16" s="1" a="1"/>
  <c r="H27" i="16" s="1"/>
  <c r="I27" i="16" s="1" a="1"/>
  <c r="I27" i="16" s="1"/>
  <c r="X172" i="1"/>
  <c r="C113" i="1"/>
  <c r="G113" i="1"/>
  <c r="E446" i="27"/>
  <c r="X166" i="1"/>
  <c r="AF166" i="1"/>
  <c r="E173" i="27"/>
  <c r="AF162" i="1"/>
  <c r="X162" i="1"/>
  <c r="E149" i="27"/>
  <c r="E160" i="1"/>
  <c r="Y160" i="1"/>
  <c r="W128" i="1"/>
  <c r="AF170" i="1"/>
  <c r="X154" i="1"/>
  <c r="AF154" i="1"/>
  <c r="X148" i="1"/>
  <c r="AF148" i="1"/>
  <c r="G102" i="1"/>
  <c r="E436" i="27"/>
  <c r="X174" i="1"/>
  <c r="AF174" i="1"/>
  <c r="AF126" i="1"/>
  <c r="AD126" i="1"/>
  <c r="C117" i="1"/>
  <c r="G117" i="1"/>
  <c r="AD156" i="1"/>
  <c r="X156" i="1"/>
  <c r="E150" i="1"/>
  <c r="W150" i="1"/>
  <c r="Y136" i="1"/>
  <c r="E136" i="1"/>
  <c r="W136" i="1"/>
  <c r="X134" i="1"/>
  <c r="AF134" i="1"/>
  <c r="C116" i="1"/>
  <c r="G116" i="1"/>
  <c r="E368" i="27"/>
  <c r="AD152" i="1"/>
  <c r="X152" i="1"/>
  <c r="E168" i="1"/>
  <c r="E165" i="1"/>
  <c r="W125" i="1"/>
  <c r="D37" i="1"/>
  <c r="G38" i="29" s="1"/>
  <c r="O81" i="27"/>
  <c r="O48" i="27"/>
  <c r="O44" i="27"/>
  <c r="W157" i="1"/>
  <c r="W129" i="1"/>
  <c r="G112" i="1"/>
  <c r="N40" i="1"/>
  <c r="W174" i="1"/>
  <c r="W154" i="1"/>
  <c r="W148" i="1"/>
  <c r="W140" i="1"/>
  <c r="W138" i="1"/>
  <c r="W134" i="1"/>
  <c r="Y132" i="1"/>
  <c r="L40" i="1"/>
  <c r="AN12" i="1"/>
  <c r="N33" i="1"/>
  <c r="N31" i="1"/>
  <c r="Y168" i="1"/>
  <c r="W151" i="1"/>
  <c r="Y130" i="1"/>
  <c r="G115" i="1"/>
  <c r="G111" i="1"/>
  <c r="N35" i="1"/>
  <c r="M33" i="1"/>
  <c r="M31" i="1"/>
  <c r="Y165" i="1"/>
  <c r="W124" i="1"/>
  <c r="N37" i="1"/>
  <c r="O127" i="27"/>
  <c r="O119" i="27"/>
  <c r="O111" i="27"/>
  <c r="O103" i="27"/>
  <c r="O95" i="27"/>
  <c r="M37" i="1"/>
  <c r="L33" i="1"/>
  <c r="L31" i="1"/>
  <c r="O57" i="27"/>
  <c r="G114" i="1"/>
  <c r="O126" i="27"/>
  <c r="O118" i="27"/>
  <c r="O110" i="27"/>
  <c r="F2287" i="27"/>
  <c r="AL11" i="30"/>
  <c r="G726" i="27"/>
  <c r="P9" i="30"/>
  <c r="BC13" i="34"/>
  <c r="J2285" i="27"/>
  <c r="E20" i="27"/>
  <c r="A318" i="32"/>
  <c r="BB12" i="34"/>
  <c r="BD12" i="34"/>
  <c r="A621" i="32"/>
  <c r="U484" i="27"/>
  <c r="G623" i="32"/>
  <c r="L2288" i="27"/>
  <c r="O19" i="27"/>
  <c r="J2851" i="27"/>
  <c r="H2855" i="27"/>
  <c r="M2285" i="27"/>
  <c r="O2287" i="27"/>
  <c r="M484" i="27"/>
  <c r="L2285" i="27"/>
  <c r="BD13" i="34"/>
  <c r="BD16" i="34"/>
  <c r="S453" i="27"/>
  <c r="BC16" i="34"/>
  <c r="BB10" i="34"/>
  <c r="BD14" i="34"/>
  <c r="O20" i="27"/>
  <c r="I700" i="27"/>
  <c r="G316" i="32"/>
  <c r="J702" i="27"/>
  <c r="G732" i="27"/>
  <c r="N2285" i="27"/>
  <c r="J2854" i="27"/>
  <c r="O2285" i="27"/>
  <c r="BB11" i="34"/>
  <c r="O484" i="27"/>
  <c r="N2287" i="27"/>
  <c r="X9" i="30"/>
  <c r="F2204" i="27"/>
  <c r="G9" i="33"/>
  <c r="I136" i="27"/>
  <c r="J2287" i="27"/>
  <c r="V484" i="27"/>
  <c r="BD10" i="34"/>
  <c r="BC12" i="34"/>
  <c r="J137" i="27"/>
  <c r="F2286" i="27"/>
  <c r="G10" i="32"/>
  <c r="K703" i="27"/>
  <c r="K700" i="27"/>
  <c r="BD9" i="34"/>
  <c r="P484" i="27"/>
  <c r="I701" i="27"/>
  <c r="F2285" i="27"/>
  <c r="BD11" i="34"/>
  <c r="Q20" i="27"/>
  <c r="BB15" i="34"/>
  <c r="I359" i="27"/>
  <c r="L2286" i="27"/>
  <c r="I704" i="27"/>
  <c r="L9" i="30"/>
  <c r="G12" i="32"/>
  <c r="G783" i="27"/>
  <c r="J484" i="27" a="1"/>
  <c r="K2852" i="27"/>
  <c r="G20" i="27"/>
  <c r="I705" i="27"/>
  <c r="BD15" i="34"/>
  <c r="L484" i="27"/>
  <c r="H2856" i="27"/>
  <c r="BC11" i="34"/>
  <c r="BB13" i="34"/>
  <c r="H2853" i="27"/>
  <c r="R484" i="27"/>
  <c r="BC15" i="34"/>
  <c r="BC9" i="34"/>
  <c r="J701" i="27"/>
  <c r="BC10" i="34"/>
  <c r="J20" i="27"/>
  <c r="O2286" i="27"/>
  <c r="Q484" i="27"/>
  <c r="F20" i="27"/>
  <c r="L2287" i="27"/>
  <c r="I484" i="27"/>
  <c r="D19" i="27"/>
  <c r="M2287" i="27"/>
  <c r="K20" i="27"/>
  <c r="BC14" i="34"/>
  <c r="P20" i="27"/>
  <c r="E484" i="27"/>
  <c r="J134" i="27"/>
  <c r="M135" i="27"/>
  <c r="K701" i="27"/>
  <c r="BB9" i="34"/>
  <c r="BB14" i="34"/>
  <c r="J361" i="27"/>
  <c r="I358" i="27"/>
  <c r="K1037" i="27" l="1"/>
  <c r="K887" i="27"/>
  <c r="AX27" i="33"/>
  <c r="AY27" i="33"/>
  <c r="P396" i="32"/>
  <c r="P398" i="32" s="1"/>
  <c r="Q398" i="32" s="1"/>
  <c r="P356" i="32"/>
  <c r="P358" i="32" s="1"/>
  <c r="A58" i="1"/>
  <c r="T13" i="1"/>
  <c r="P8" i="34"/>
  <c r="W1645" i="32"/>
  <c r="K1645" i="32" s="1"/>
  <c r="AY29" i="33"/>
  <c r="D284" i="20"/>
  <c r="D114" i="20"/>
  <c r="AX29" i="33"/>
  <c r="AX23" i="33"/>
  <c r="P661" i="32"/>
  <c r="Q661" i="32" s="1"/>
  <c r="W1163" i="32"/>
  <c r="K1163" i="32" s="1"/>
  <c r="AS37" i="33"/>
  <c r="AY31" i="33"/>
  <c r="E53" i="24"/>
  <c r="W621" i="32"/>
  <c r="K621" i="32" s="1"/>
  <c r="A11" i="24"/>
  <c r="D8" i="31"/>
  <c r="J484" i="27"/>
  <c r="A484" i="27" s="1"/>
  <c r="A2285" i="27"/>
  <c r="W404" i="32"/>
  <c r="K404" i="32" s="1"/>
  <c r="AY25" i="33"/>
  <c r="AW25" i="33"/>
  <c r="F28" i="16" a="1"/>
  <c r="F28" i="16" s="1"/>
  <c r="AR23" i="34"/>
  <c r="AX31" i="33"/>
  <c r="F5" i="32"/>
  <c r="L144" i="1"/>
  <c r="L124" i="1"/>
  <c r="L129" i="1"/>
  <c r="W1513" i="32"/>
  <c r="K1513" i="32" s="1"/>
  <c r="X169" i="1"/>
  <c r="U169" i="1"/>
  <c r="L169" i="1" s="1"/>
  <c r="AD169" i="1"/>
  <c r="AF169" i="1"/>
  <c r="AF130" i="1"/>
  <c r="AD130" i="1"/>
  <c r="X130" i="1"/>
  <c r="D108" i="20"/>
  <c r="C109" i="20"/>
  <c r="I105" i="1"/>
  <c r="AT33" i="33"/>
  <c r="W1279" i="32"/>
  <c r="K1279" i="32" s="1"/>
  <c r="I104" i="1"/>
  <c r="AD144" i="1"/>
  <c r="AF144" i="1"/>
  <c r="X144" i="1"/>
  <c r="C52" i="20"/>
  <c r="D52" i="20" s="1"/>
  <c r="D51" i="20"/>
  <c r="H1038" i="27"/>
  <c r="J1038" i="27"/>
  <c r="N1038" i="27"/>
  <c r="K888" i="27"/>
  <c r="I1038" i="27"/>
  <c r="G1038" i="27"/>
  <c r="L1038" i="27"/>
  <c r="K1038" i="27"/>
  <c r="O1038" i="27"/>
  <c r="A2287" i="27"/>
  <c r="E1037" i="27"/>
  <c r="D360" i="20"/>
  <c r="L171" i="1"/>
  <c r="L173" i="1"/>
  <c r="AH15" i="31"/>
  <c r="D271" i="20"/>
  <c r="C272" i="20"/>
  <c r="BA13" i="33"/>
  <c r="H7" i="16" a="1"/>
  <c r="H7" i="16" s="1"/>
  <c r="AY23" i="33"/>
  <c r="AJ13" i="30"/>
  <c r="U320" i="32"/>
  <c r="K180" i="27"/>
  <c r="A26" i="1"/>
  <c r="H8" i="34"/>
  <c r="AY21" i="33"/>
  <c r="B220" i="24"/>
  <c r="B5" i="31"/>
  <c r="P741" i="32"/>
  <c r="P743" i="32" s="1"/>
  <c r="Q743" i="32" s="1"/>
  <c r="Q821" i="32"/>
  <c r="L216" i="27"/>
  <c r="J405" i="27"/>
  <c r="K192" i="27"/>
  <c r="N405" i="27"/>
  <c r="N192" i="27"/>
  <c r="M405" i="27"/>
  <c r="K405" i="27"/>
  <c r="M192" i="27"/>
  <c r="L192" i="27"/>
  <c r="K216" i="27"/>
  <c r="M216" i="27"/>
  <c r="J216" i="27"/>
  <c r="I405" i="27"/>
  <c r="N216" i="27"/>
  <c r="I192" i="27"/>
  <c r="V13" i="1"/>
  <c r="B5" i="30"/>
  <c r="B5" i="34"/>
  <c r="M447" i="27"/>
  <c r="W1353" i="32"/>
  <c r="K1353" i="32" s="1"/>
  <c r="I369" i="27"/>
  <c r="AD8" i="34"/>
  <c r="AJ8" i="34"/>
  <c r="AB8" i="34"/>
  <c r="AH8" i="34"/>
  <c r="V8" i="34"/>
  <c r="R8" i="34"/>
  <c r="J8" i="34"/>
  <c r="L8" i="34"/>
  <c r="AF8" i="34"/>
  <c r="AL8" i="34"/>
  <c r="X8" i="34"/>
  <c r="Q376" i="32"/>
  <c r="P378" i="32"/>
  <c r="P380" i="32" s="1"/>
  <c r="P382" i="32" s="1"/>
  <c r="K14" i="1"/>
  <c r="E1341" i="27"/>
  <c r="B229" i="27"/>
  <c r="I228" i="27"/>
  <c r="AT47" i="33"/>
  <c r="AS47" i="33"/>
  <c r="AS23" i="33"/>
  <c r="AT23" i="33"/>
  <c r="AD132" i="1"/>
  <c r="U132" i="1"/>
  <c r="L132" i="1" s="1"/>
  <c r="X132" i="1"/>
  <c r="AF132" i="1"/>
  <c r="I22" i="27"/>
  <c r="U14" i="32"/>
  <c r="C42" i="32"/>
  <c r="W42" i="32" s="1"/>
  <c r="K42" i="32" s="1"/>
  <c r="C46" i="32"/>
  <c r="W46" i="32" s="1"/>
  <c r="K46" i="32" s="1"/>
  <c r="C40" i="32"/>
  <c r="W40" i="32" s="1"/>
  <c r="K40" i="32" s="1"/>
  <c r="C30" i="32"/>
  <c r="W30" i="32" s="1"/>
  <c r="K30" i="32" s="1"/>
  <c r="C38" i="32"/>
  <c r="W38" i="32" s="1"/>
  <c r="K38" i="32" s="1"/>
  <c r="C36" i="32"/>
  <c r="W36" i="32" s="1"/>
  <c r="K36" i="32" s="1"/>
  <c r="C44" i="32"/>
  <c r="W44" i="32" s="1"/>
  <c r="K44" i="32" s="1"/>
  <c r="C34" i="32"/>
  <c r="W34" i="32" s="1"/>
  <c r="K34" i="32" s="1"/>
  <c r="C32" i="32"/>
  <c r="W32" i="32" s="1"/>
  <c r="K32" i="32" s="1"/>
  <c r="C48" i="32"/>
  <c r="W48" i="32" s="1"/>
  <c r="K48" i="32" s="1"/>
  <c r="L145" i="1"/>
  <c r="I106" i="1"/>
  <c r="AX21" i="33"/>
  <c r="C24" i="32"/>
  <c r="W24" i="32" s="1"/>
  <c r="K24" i="32" s="1"/>
  <c r="C20" i="32"/>
  <c r="W20" i="32" s="1"/>
  <c r="K20" i="32" s="1"/>
  <c r="C28" i="32"/>
  <c r="W28" i="32" s="1"/>
  <c r="K28" i="32" s="1"/>
  <c r="C14" i="32"/>
  <c r="W14" i="32" s="1"/>
  <c r="K14" i="32" s="1"/>
  <c r="C12" i="32"/>
  <c r="C10" i="32"/>
  <c r="C26" i="32"/>
  <c r="W26" i="32" s="1"/>
  <c r="K26" i="32" s="1"/>
  <c r="C16" i="32"/>
  <c r="W16" i="32" s="1"/>
  <c r="K16" i="32" s="1"/>
  <c r="C22" i="32"/>
  <c r="W22" i="32" s="1"/>
  <c r="K22" i="32" s="1"/>
  <c r="C18" i="32"/>
  <c r="W18" i="32" s="1"/>
  <c r="K18" i="32" s="1"/>
  <c r="AT13" i="33"/>
  <c r="AS13" i="33"/>
  <c r="AS31" i="33"/>
  <c r="X146" i="1"/>
  <c r="AD146" i="1"/>
  <c r="U146" i="1"/>
  <c r="AF146" i="1"/>
  <c r="AQ22" i="34"/>
  <c r="AR22" i="34"/>
  <c r="D369" i="20"/>
  <c r="L126" i="1"/>
  <c r="N126" i="1" s="1"/>
  <c r="D119" i="20"/>
  <c r="L134" i="1"/>
  <c r="AS15" i="33"/>
  <c r="AT15" i="33"/>
  <c r="AY18" i="34"/>
  <c r="L159" i="1"/>
  <c r="AY19" i="33"/>
  <c r="X161" i="1"/>
  <c r="AD161" i="1"/>
  <c r="AF161" i="1"/>
  <c r="U161" i="1"/>
  <c r="L161" i="1" s="1"/>
  <c r="AQ45" i="34"/>
  <c r="AR45" i="34"/>
  <c r="L138" i="1"/>
  <c r="L149" i="1"/>
  <c r="I117" i="1"/>
  <c r="L174" i="1"/>
  <c r="D290" i="20"/>
  <c r="AW19" i="33"/>
  <c r="D18" i="20"/>
  <c r="C19" i="20"/>
  <c r="D19" i="20" s="1"/>
  <c r="AR68" i="34"/>
  <c r="AQ68" i="34"/>
  <c r="L153" i="1"/>
  <c r="L127" i="1"/>
  <c r="L163" i="1"/>
  <c r="L172" i="1"/>
  <c r="E123" i="1"/>
  <c r="I102" i="1"/>
  <c r="L151" i="1"/>
  <c r="AO151" i="1" s="1"/>
  <c r="T8" i="34"/>
  <c r="C5" i="19" a="1"/>
  <c r="C5" i="19" s="1"/>
  <c r="D41" i="20"/>
  <c r="C42" i="20"/>
  <c r="D42" i="20" s="1"/>
  <c r="L152" i="1"/>
  <c r="I108" i="1"/>
  <c r="L143" i="1"/>
  <c r="I107" i="1"/>
  <c r="L130" i="1"/>
  <c r="I103" i="1"/>
  <c r="D118" i="20"/>
  <c r="L166" i="1"/>
  <c r="AC166" i="1" s="1"/>
  <c r="L170" i="1"/>
  <c r="M170" i="1" s="1"/>
  <c r="P701" i="32"/>
  <c r="AD147" i="1"/>
  <c r="U147" i="1"/>
  <c r="X147" i="1"/>
  <c r="AF147" i="1"/>
  <c r="C76" i="32"/>
  <c r="W76" i="32" s="1"/>
  <c r="K76" i="32" s="1"/>
  <c r="C72" i="32"/>
  <c r="W72" i="32" s="1"/>
  <c r="K72" i="32" s="1"/>
  <c r="C78" i="32"/>
  <c r="W78" i="32" s="1"/>
  <c r="K78" i="32" s="1"/>
  <c r="C86" i="32"/>
  <c r="W86" i="32" s="1"/>
  <c r="K86" i="32" s="1"/>
  <c r="C74" i="32"/>
  <c r="W74" i="32" s="1"/>
  <c r="K74" i="32" s="1"/>
  <c r="C82" i="32"/>
  <c r="C80" i="32"/>
  <c r="C84" i="32"/>
  <c r="W84" i="32" s="1"/>
  <c r="K84" i="32" s="1"/>
  <c r="C88" i="32"/>
  <c r="W88" i="32" s="1"/>
  <c r="K88" i="32" s="1"/>
  <c r="C70" i="32"/>
  <c r="W70" i="32" s="1"/>
  <c r="K70" i="32" s="1"/>
  <c r="B24" i="27"/>
  <c r="C23" i="27"/>
  <c r="B2289" i="27"/>
  <c r="D295" i="20"/>
  <c r="Z8" i="34"/>
  <c r="P781" i="32"/>
  <c r="Q781" i="32" s="1"/>
  <c r="I107" i="24"/>
  <c r="J136" i="24"/>
  <c r="B5" i="32"/>
  <c r="A5" i="34"/>
  <c r="G253" i="24" s="1"/>
  <c r="L174" i="27"/>
  <c r="I174" i="27"/>
  <c r="I180" i="27"/>
  <c r="K174" i="27"/>
  <c r="N174" i="27"/>
  <c r="L222" i="27"/>
  <c r="K222" i="27"/>
  <c r="P623" i="32"/>
  <c r="P625" i="32" s="1"/>
  <c r="Q625" i="32" s="1"/>
  <c r="Q823" i="32"/>
  <c r="N169" i="27"/>
  <c r="L169" i="27"/>
  <c r="M169" i="27"/>
  <c r="N374" i="27"/>
  <c r="J387" i="27"/>
  <c r="J398" i="27"/>
  <c r="I398" i="27"/>
  <c r="AV8" i="34"/>
  <c r="J205" i="27"/>
  <c r="N398" i="27"/>
  <c r="J381" i="27"/>
  <c r="N381" i="27"/>
  <c r="I222" i="27"/>
  <c r="N180" i="27"/>
  <c r="N222" i="27"/>
  <c r="I374" i="27"/>
  <c r="L374" i="27"/>
  <c r="K374" i="27"/>
  <c r="M222" i="27"/>
  <c r="J374" i="27"/>
  <c r="J174" i="27"/>
  <c r="N417" i="27"/>
  <c r="M180" i="27"/>
  <c r="M187" i="27"/>
  <c r="J404" i="27"/>
  <c r="M404" i="27"/>
  <c r="L404" i="27"/>
  <c r="J187" i="27"/>
  <c r="N399" i="27"/>
  <c r="B133" i="24"/>
  <c r="N205" i="27"/>
  <c r="I205" i="27"/>
  <c r="K387" i="27"/>
  <c r="M205" i="27"/>
  <c r="M387" i="27"/>
  <c r="AD8" i="31"/>
  <c r="M398" i="27"/>
  <c r="K157" i="27"/>
  <c r="M150" i="27"/>
  <c r="J369" i="27"/>
  <c r="K168" i="27"/>
  <c r="N168" i="27"/>
  <c r="H50" i="27"/>
  <c r="H51" i="27" s="1"/>
  <c r="H52" i="27" s="1"/>
  <c r="H53" i="27" s="1"/>
  <c r="H54" i="27" s="1"/>
  <c r="H55" i="27" s="1"/>
  <c r="M393" i="27"/>
  <c r="M168" i="27"/>
  <c r="L145" i="27"/>
  <c r="J168" i="27"/>
  <c r="M145" i="27"/>
  <c r="N217" i="27"/>
  <c r="I435" i="27"/>
  <c r="I145" i="27"/>
  <c r="M157" i="27"/>
  <c r="J435" i="27"/>
  <c r="I112" i="24"/>
  <c r="K145" i="27"/>
  <c r="K205" i="27"/>
  <c r="J392" i="27"/>
  <c r="M392" i="27"/>
  <c r="J145" i="27"/>
  <c r="N387" i="27"/>
  <c r="AN8" i="34"/>
  <c r="K392" i="27"/>
  <c r="K435" i="27"/>
  <c r="I447" i="27"/>
  <c r="L387" i="27"/>
  <c r="M435" i="27"/>
  <c r="N447" i="27"/>
  <c r="L168" i="27"/>
  <c r="B122" i="24"/>
  <c r="L435" i="27"/>
  <c r="K447" i="27"/>
  <c r="I392" i="27"/>
  <c r="I393" i="27"/>
  <c r="L392" i="27"/>
  <c r="I157" i="27"/>
  <c r="L369" i="27"/>
  <c r="J447" i="27"/>
  <c r="L157" i="27"/>
  <c r="N157" i="27"/>
  <c r="J393" i="27"/>
  <c r="K393" i="27"/>
  <c r="L393" i="27"/>
  <c r="K398" i="27"/>
  <c r="N369" i="27"/>
  <c r="K369" i="27"/>
  <c r="M441" i="27"/>
  <c r="I362" i="27"/>
  <c r="M399" i="27"/>
  <c r="J441" i="27"/>
  <c r="N386" i="27"/>
  <c r="L399" i="27"/>
  <c r="K399" i="27"/>
  <c r="L217" i="27"/>
  <c r="L441" i="27"/>
  <c r="L386" i="27"/>
  <c r="K441" i="27"/>
  <c r="K386" i="27"/>
  <c r="J362" i="27"/>
  <c r="K362" i="27"/>
  <c r="J386" i="27"/>
  <c r="N362" i="27"/>
  <c r="M386" i="27"/>
  <c r="I399" i="27"/>
  <c r="A15" i="24"/>
  <c r="I441" i="27"/>
  <c r="M362" i="27"/>
  <c r="M411" i="27"/>
  <c r="J144" i="27"/>
  <c r="J169" i="27"/>
  <c r="N187" i="27"/>
  <c r="I187" i="27"/>
  <c r="L187" i="27"/>
  <c r="I169" i="27"/>
  <c r="K2370" i="27"/>
  <c r="H274" i="27"/>
  <c r="H275" i="27" s="1"/>
  <c r="H276" i="27" s="1"/>
  <c r="H277" i="27" s="1"/>
  <c r="H278" i="27" s="1"/>
  <c r="H279" i="27" s="1"/>
  <c r="M144" i="27"/>
  <c r="I429" i="27"/>
  <c r="N144" i="27"/>
  <c r="J429" i="27"/>
  <c r="L144" i="27"/>
  <c r="K144" i="27"/>
  <c r="M429" i="27"/>
  <c r="L429" i="27"/>
  <c r="N429" i="27"/>
  <c r="N211" i="27"/>
  <c r="K211" i="27"/>
  <c r="I211" i="27"/>
  <c r="L211" i="27"/>
  <c r="N223" i="27"/>
  <c r="M223" i="27"/>
  <c r="K223" i="27"/>
  <c r="I223" i="27"/>
  <c r="J223" i="27"/>
  <c r="A701" i="27"/>
  <c r="A267" i="27"/>
  <c r="L422" i="27"/>
  <c r="K138" i="27"/>
  <c r="J138" i="27"/>
  <c r="I193" i="27"/>
  <c r="L193" i="27"/>
  <c r="K193" i="27"/>
  <c r="J422" i="27"/>
  <c r="K422" i="27"/>
  <c r="J193" i="27"/>
  <c r="L138" i="27"/>
  <c r="N193" i="27"/>
  <c r="M422" i="27"/>
  <c r="M138" i="27"/>
  <c r="L180" i="27"/>
  <c r="N363" i="27"/>
  <c r="D620" i="32"/>
  <c r="L315" i="32"/>
  <c r="J363" i="27"/>
  <c r="H364" i="27"/>
  <c r="H365" i="27" s="1"/>
  <c r="I363" i="27"/>
  <c r="M363" i="27"/>
  <c r="L363" i="27"/>
  <c r="N199" i="27"/>
  <c r="I199" i="27"/>
  <c r="K199" i="27"/>
  <c r="L199" i="27"/>
  <c r="H108" i="24"/>
  <c r="I136" i="24"/>
  <c r="H110" i="24"/>
  <c r="E134" i="24"/>
  <c r="J114" i="24"/>
  <c r="B121" i="24"/>
  <c r="B126" i="24"/>
  <c r="I411" i="27"/>
  <c r="I139" i="27"/>
  <c r="I124" i="24"/>
  <c r="B137" i="24"/>
  <c r="H140" i="27"/>
  <c r="H141" i="27" s="1"/>
  <c r="L375" i="27"/>
  <c r="K139" i="27"/>
  <c r="M410" i="27"/>
  <c r="N375" i="27"/>
  <c r="J122" i="24"/>
  <c r="J126" i="24"/>
  <c r="E112" i="24"/>
  <c r="E126" i="24"/>
  <c r="B113" i="24"/>
  <c r="I375" i="27"/>
  <c r="L411" i="27"/>
  <c r="B109" i="24"/>
  <c r="B132" i="24"/>
  <c r="J139" i="27"/>
  <c r="I118" i="24"/>
  <c r="I116" i="24"/>
  <c r="I110" i="24"/>
  <c r="J410" i="27"/>
  <c r="I151" i="27"/>
  <c r="N411" i="27"/>
  <c r="B111" i="24"/>
  <c r="J118" i="24"/>
  <c r="J116" i="24"/>
  <c r="I416" i="27"/>
  <c r="M151" i="27"/>
  <c r="E108" i="24"/>
  <c r="I134" i="24"/>
  <c r="L139" i="27"/>
  <c r="J134" i="24"/>
  <c r="B117" i="24"/>
  <c r="J110" i="24"/>
  <c r="B134" i="24"/>
  <c r="K416" i="27"/>
  <c r="K410" i="27"/>
  <c r="B116" i="24"/>
  <c r="K375" i="27"/>
  <c r="E136" i="24"/>
  <c r="N416" i="27"/>
  <c r="B125" i="24"/>
  <c r="K411" i="27"/>
  <c r="M416" i="27"/>
  <c r="J416" i="27"/>
  <c r="N139" i="27"/>
  <c r="I122" i="24"/>
  <c r="B120" i="24"/>
  <c r="I132" i="24"/>
  <c r="E110" i="24"/>
  <c r="E114" i="24"/>
  <c r="L410" i="27"/>
  <c r="I410" i="27"/>
  <c r="J375" i="27"/>
  <c r="M211" i="27"/>
  <c r="N181" i="27"/>
  <c r="L156" i="27"/>
  <c r="E128" i="24"/>
  <c r="K381" i="27"/>
  <c r="F8" i="34"/>
  <c r="K423" i="27"/>
  <c r="J175" i="27"/>
  <c r="I423" i="27"/>
  <c r="L423" i="27"/>
  <c r="D220" i="24"/>
  <c r="M381" i="27"/>
  <c r="K417" i="27"/>
  <c r="M417" i="27"/>
  <c r="N423" i="27"/>
  <c r="I175" i="27"/>
  <c r="L417" i="27"/>
  <c r="M175" i="27"/>
  <c r="I417" i="27"/>
  <c r="L175" i="27"/>
  <c r="D9" i="32"/>
  <c r="J423" i="27"/>
  <c r="D8" i="34"/>
  <c r="I381" i="27"/>
  <c r="K175" i="27"/>
  <c r="N422" i="27"/>
  <c r="N138" i="27"/>
  <c r="N198" i="27"/>
  <c r="L198" i="27"/>
  <c r="K198" i="27"/>
  <c r="J2370" i="27"/>
  <c r="J181" i="27"/>
  <c r="I198" i="27"/>
  <c r="M181" i="27"/>
  <c r="M198" i="27"/>
  <c r="K163" i="27"/>
  <c r="J199" i="27"/>
  <c r="E118" i="24"/>
  <c r="AC134" i="1"/>
  <c r="N134" i="1"/>
  <c r="M134" i="1"/>
  <c r="AO134" i="1"/>
  <c r="O134" i="1"/>
  <c r="AY15" i="33"/>
  <c r="AW15" i="33"/>
  <c r="AX15" i="33"/>
  <c r="I204" i="27"/>
  <c r="N204" i="27"/>
  <c r="M204" i="27"/>
  <c r="J204" i="27"/>
  <c r="K204" i="27"/>
  <c r="L204" i="27"/>
  <c r="Q316" i="32"/>
  <c r="P318" i="32"/>
  <c r="C126" i="32"/>
  <c r="C118" i="32"/>
  <c r="C120" i="32"/>
  <c r="C116" i="32"/>
  <c r="C110" i="32"/>
  <c r="C114" i="32"/>
  <c r="C128" i="32"/>
  <c r="C124" i="32"/>
  <c r="C122" i="32"/>
  <c r="C112" i="32"/>
  <c r="AW9" i="33"/>
  <c r="AX9" i="33"/>
  <c r="AY9" i="33"/>
  <c r="W1077" i="32"/>
  <c r="K1077" i="32" s="1"/>
  <c r="Q1409" i="32"/>
  <c r="W1409" i="32"/>
  <c r="K1409" i="32" s="1"/>
  <c r="W887" i="32"/>
  <c r="K887" i="32" s="1"/>
  <c r="S621" i="32" a="1"/>
  <c r="S621" i="32" s="1"/>
  <c r="E621" i="32" s="1"/>
  <c r="F2020" i="27" s="1"/>
  <c r="V621" i="32" a="1"/>
  <c r="V621" i="32" s="1"/>
  <c r="L621" i="32" s="1"/>
  <c r="T621" i="32" a="1"/>
  <c r="T621" i="32" s="1"/>
  <c r="M2020" i="27" s="1"/>
  <c r="A2020" i="27" s="1"/>
  <c r="R621" i="32" a="1"/>
  <c r="R621" i="32" s="1"/>
  <c r="D621" i="32" s="1"/>
  <c r="AW11" i="33"/>
  <c r="AX11" i="33"/>
  <c r="AY11" i="33"/>
  <c r="B1108" i="19"/>
  <c r="A1109" i="19" a="1"/>
  <c r="A1109" i="19" s="1"/>
  <c r="B1109" i="19" s="1"/>
  <c r="AX13" i="33"/>
  <c r="AW13" i="33"/>
  <c r="AY13" i="33"/>
  <c r="AW17" i="33"/>
  <c r="AX17" i="33"/>
  <c r="AY17" i="33"/>
  <c r="W1563" i="32"/>
  <c r="K1563" i="32" s="1"/>
  <c r="Q1563" i="32"/>
  <c r="W979" i="32"/>
  <c r="K979" i="32" s="1"/>
  <c r="I115" i="1"/>
  <c r="N156" i="27"/>
  <c r="W899" i="32"/>
  <c r="K899" i="32" s="1"/>
  <c r="Q1545" i="32"/>
  <c r="W1545" i="32"/>
  <c r="K1545" i="32" s="1"/>
  <c r="W1009" i="32"/>
  <c r="K1009" i="32" s="1"/>
  <c r="Q1699" i="32"/>
  <c r="W1699" i="32"/>
  <c r="K1699" i="32" s="1"/>
  <c r="Q1505" i="32"/>
  <c r="W1505" i="32"/>
  <c r="K1505" i="32" s="1"/>
  <c r="Q1757" i="32"/>
  <c r="W1757" i="32"/>
  <c r="K1757" i="32" s="1"/>
  <c r="C264" i="32"/>
  <c r="C268" i="32"/>
  <c r="C266" i="32"/>
  <c r="C258" i="32"/>
  <c r="C254" i="32"/>
  <c r="C252" i="32"/>
  <c r="C262" i="32"/>
  <c r="C256" i="32"/>
  <c r="C250" i="32"/>
  <c r="C260" i="32"/>
  <c r="A4" i="33"/>
  <c r="K163" i="24" s="1"/>
  <c r="I128" i="24"/>
  <c r="J132" i="24"/>
  <c r="B115" i="24"/>
  <c r="B136" i="24"/>
  <c r="M210" i="27"/>
  <c r="E148" i="24"/>
  <c r="K156" i="27"/>
  <c r="B127" i="24"/>
  <c r="AD164" i="1"/>
  <c r="AF164" i="1"/>
  <c r="U164" i="1"/>
  <c r="L164" i="1" s="1"/>
  <c r="AO164" i="1" s="1"/>
  <c r="W883" i="32"/>
  <c r="K883" i="32" s="1"/>
  <c r="N107" i="24"/>
  <c r="I8" i="31"/>
  <c r="F220" i="24"/>
  <c r="N53" i="24"/>
  <c r="Q1133" i="32"/>
  <c r="W1133" i="32"/>
  <c r="K1133" i="32" s="1"/>
  <c r="Q1451" i="32"/>
  <c r="W1451" i="32"/>
  <c r="K1451" i="32" s="1"/>
  <c r="Q1681" i="32"/>
  <c r="W1681" i="32"/>
  <c r="K1681" i="32" s="1"/>
  <c r="Q1517" i="32"/>
  <c r="W1517" i="32"/>
  <c r="K1517" i="32" s="1"/>
  <c r="Q1751" i="32"/>
  <c r="W1751" i="32"/>
  <c r="K1751" i="32" s="1"/>
  <c r="C204" i="32"/>
  <c r="C194" i="32"/>
  <c r="C198" i="32"/>
  <c r="C192" i="32"/>
  <c r="C200" i="32"/>
  <c r="C208" i="32"/>
  <c r="C190" i="32"/>
  <c r="C206" i="32"/>
  <c r="C202" i="32"/>
  <c r="C196" i="32"/>
  <c r="D163" i="20"/>
  <c r="C164" i="20"/>
  <c r="D164" i="20" s="1"/>
  <c r="AT57" i="33"/>
  <c r="AS57" i="33"/>
  <c r="C297" i="20"/>
  <c r="D297" i="20" s="1"/>
  <c r="D296" i="20"/>
  <c r="AR85" i="34"/>
  <c r="AQ85" i="34"/>
  <c r="AR18" i="34"/>
  <c r="AQ18" i="34"/>
  <c r="AR25" i="34"/>
  <c r="AQ25" i="34"/>
  <c r="AQ21" i="34"/>
  <c r="AR21" i="34"/>
  <c r="W1677" i="32"/>
  <c r="K1677" i="32" s="1"/>
  <c r="W969" i="32"/>
  <c r="K969" i="32" s="1"/>
  <c r="W1445" i="32"/>
  <c r="K1445" i="32" s="1"/>
  <c r="W963" i="32"/>
  <c r="K963" i="32" s="1"/>
  <c r="AR66" i="34"/>
  <c r="AQ66" i="34"/>
  <c r="AR57" i="34"/>
  <c r="AQ57" i="34"/>
  <c r="AR49" i="34"/>
  <c r="AQ49" i="34"/>
  <c r="M156" i="27"/>
  <c r="I110" i="1"/>
  <c r="I111" i="1"/>
  <c r="I114" i="1"/>
  <c r="I116" i="1"/>
  <c r="I113" i="1"/>
  <c r="Q1207" i="32"/>
  <c r="W1207" i="32"/>
  <c r="K1207" i="32" s="1"/>
  <c r="Q1453" i="32"/>
  <c r="W1453" i="32"/>
  <c r="K1453" i="32" s="1"/>
  <c r="Q1439" i="32"/>
  <c r="W1439" i="32"/>
  <c r="K1439" i="32" s="1"/>
  <c r="Q1529" i="32"/>
  <c r="W1529" i="32"/>
  <c r="K1529" i="32" s="1"/>
  <c r="Q1745" i="32"/>
  <c r="W1745" i="32"/>
  <c r="K1745" i="32" s="1"/>
  <c r="AR75" i="34"/>
  <c r="AQ75" i="34"/>
  <c r="AS35" i="33"/>
  <c r="AT35" i="33"/>
  <c r="W1145" i="32"/>
  <c r="K1145" i="32" s="1"/>
  <c r="W1025" i="32"/>
  <c r="K1025" i="32" s="1"/>
  <c r="W935" i="32"/>
  <c r="K935" i="32" s="1"/>
  <c r="W1105" i="32"/>
  <c r="K1105" i="32" s="1"/>
  <c r="W925" i="32"/>
  <c r="K925" i="32" s="1"/>
  <c r="W1249" i="32"/>
  <c r="K1249" i="32" s="1"/>
  <c r="W1337" i="32"/>
  <c r="K1337" i="32" s="1"/>
  <c r="W1593" i="32"/>
  <c r="K1593" i="32" s="1"/>
  <c r="W1385" i="32"/>
  <c r="K1385" i="32" s="1"/>
  <c r="W1581" i="32"/>
  <c r="K1581" i="32" s="1"/>
  <c r="W1685" i="32"/>
  <c r="K1685" i="32" s="1"/>
  <c r="W1305" i="32"/>
  <c r="K1305" i="32" s="1"/>
  <c r="W1765" i="32"/>
  <c r="K1765" i="32" s="1"/>
  <c r="W1399" i="32"/>
  <c r="K1399" i="32" s="1"/>
  <c r="W1471" i="32"/>
  <c r="K1471" i="32" s="1"/>
  <c r="W1283" i="32"/>
  <c r="K1283" i="32" s="1"/>
  <c r="W869" i="32"/>
  <c r="K869" i="32" s="1"/>
  <c r="W1683" i="32"/>
  <c r="K1683" i="32" s="1"/>
  <c r="W1227" i="32"/>
  <c r="K1227" i="32" s="1"/>
  <c r="W1155" i="32"/>
  <c r="K1155" i="32" s="1"/>
  <c r="W909" i="32"/>
  <c r="K909" i="32" s="1"/>
  <c r="W1309" i="32"/>
  <c r="K1309" i="32" s="1"/>
  <c r="W981" i="32"/>
  <c r="K981" i="32" s="1"/>
  <c r="W965" i="32"/>
  <c r="K965" i="32" s="1"/>
  <c r="W895" i="32"/>
  <c r="K895" i="32" s="1"/>
  <c r="W865" i="32"/>
  <c r="K865" i="32" s="1"/>
  <c r="W1033" i="32"/>
  <c r="K1033" i="32" s="1"/>
  <c r="W1273" i="32"/>
  <c r="K1273" i="32" s="1"/>
  <c r="W1149" i="32"/>
  <c r="K1149" i="32" s="1"/>
  <c r="W1121" i="32"/>
  <c r="K1121" i="32" s="1"/>
  <c r="W1465" i="32"/>
  <c r="K1465" i="32" s="1"/>
  <c r="W1637" i="32"/>
  <c r="K1637" i="32" s="1"/>
  <c r="W1729" i="32"/>
  <c r="K1729" i="32" s="1"/>
  <c r="W1357" i="32"/>
  <c r="K1357" i="32" s="1"/>
  <c r="W1687" i="32"/>
  <c r="K1687" i="32" s="1"/>
  <c r="W1541" i="32"/>
  <c r="K1541" i="32" s="1"/>
  <c r="W951" i="32"/>
  <c r="K951" i="32" s="1"/>
  <c r="W971" i="32"/>
  <c r="K971" i="32" s="1"/>
  <c r="W1119" i="32"/>
  <c r="K1119" i="32" s="1"/>
  <c r="W1205" i="32"/>
  <c r="K1205" i="32" s="1"/>
  <c r="W1519" i="32"/>
  <c r="K1519" i="32" s="1"/>
  <c r="W1493" i="32"/>
  <c r="K1493" i="32" s="1"/>
  <c r="W905" i="32"/>
  <c r="K905" i="32" s="1"/>
  <c r="W985" i="32"/>
  <c r="K985" i="32" s="1"/>
  <c r="W1181" i="32"/>
  <c r="K1181" i="32" s="1"/>
  <c r="W841" i="32"/>
  <c r="K841" i="32" s="1"/>
  <c r="W1501" i="32"/>
  <c r="K1501" i="32" s="1"/>
  <c r="W1697" i="32"/>
  <c r="K1697" i="32" s="1"/>
  <c r="W1481" i="32"/>
  <c r="K1481" i="32" s="1"/>
  <c r="W1737" i="32"/>
  <c r="K1737" i="32" s="1"/>
  <c r="W1709" i="32"/>
  <c r="K1709" i="32" s="1"/>
  <c r="W1509" i="32"/>
  <c r="K1509" i="32" s="1"/>
  <c r="W1347" i="32"/>
  <c r="K1347" i="32" s="1"/>
  <c r="W1255" i="32"/>
  <c r="K1255" i="32" s="1"/>
  <c r="W1055" i="32"/>
  <c r="K1055" i="32" s="1"/>
  <c r="W1115" i="32"/>
  <c r="K1115" i="32" s="1"/>
  <c r="W875" i="32"/>
  <c r="K875" i="32" s="1"/>
  <c r="W1043" i="32"/>
  <c r="K1043" i="32" s="1"/>
  <c r="W855" i="32"/>
  <c r="K855" i="32" s="1"/>
  <c r="W1573" i="32"/>
  <c r="K1573" i="32" s="1"/>
  <c r="W1467" i="32"/>
  <c r="K1467" i="32" s="1"/>
  <c r="W1127" i="32"/>
  <c r="K1127" i="32" s="1"/>
  <c r="W1245" i="32"/>
  <c r="K1245" i="32" s="1"/>
  <c r="W1117" i="32"/>
  <c r="K1117" i="32" s="1"/>
  <c r="W913" i="32"/>
  <c r="K913" i="32" s="1"/>
  <c r="W1097" i="32"/>
  <c r="K1097" i="32" s="1"/>
  <c r="W1021" i="32"/>
  <c r="K1021" i="32" s="1"/>
  <c r="W873" i="32"/>
  <c r="K873" i="32" s="1"/>
  <c r="W1169" i="32"/>
  <c r="K1169" i="32" s="1"/>
  <c r="W1345" i="32"/>
  <c r="K1345" i="32" s="1"/>
  <c r="W1653" i="32"/>
  <c r="K1653" i="32" s="1"/>
  <c r="W1569" i="32"/>
  <c r="K1569" i="32" s="1"/>
  <c r="W1735" i="32"/>
  <c r="K1735" i="32" s="1"/>
  <c r="W1063" i="32"/>
  <c r="K1063" i="32" s="1"/>
  <c r="W1365" i="32"/>
  <c r="K1365" i="32" s="1"/>
  <c r="W1595" i="32"/>
  <c r="K1595" i="32" s="1"/>
  <c r="W1507" i="32"/>
  <c r="K1507" i="32" s="1"/>
  <c r="W1135" i="32"/>
  <c r="K1135" i="32" s="1"/>
  <c r="W1053" i="32"/>
  <c r="K1053" i="32" s="1"/>
  <c r="W933" i="32"/>
  <c r="K933" i="32" s="1"/>
  <c r="W851" i="32"/>
  <c r="K851" i="32" s="1"/>
  <c r="W1231" i="32"/>
  <c r="K1231" i="32" s="1"/>
  <c r="W1395" i="32"/>
  <c r="K1395" i="32" s="1"/>
  <c r="W1061" i="32"/>
  <c r="K1061" i="32" s="1"/>
  <c r="W1229" i="32"/>
  <c r="K1229" i="32" s="1"/>
  <c r="W1059" i="32"/>
  <c r="K1059" i="32" s="1"/>
  <c r="W907" i="32"/>
  <c r="K907" i="32" s="1"/>
  <c r="W1159" i="32"/>
  <c r="K1159" i="32" s="1"/>
  <c r="W1057" i="32"/>
  <c r="K1057" i="32" s="1"/>
  <c r="W1361" i="32"/>
  <c r="K1361" i="32" s="1"/>
  <c r="W1537" i="32"/>
  <c r="K1537" i="32" s="1"/>
  <c r="W1657" i="32"/>
  <c r="K1657" i="32" s="1"/>
  <c r="W1387" i="32"/>
  <c r="K1387" i="32" s="1"/>
  <c r="W1251" i="32"/>
  <c r="K1251" i="32" s="1"/>
  <c r="W1123" i="32"/>
  <c r="K1123" i="32" s="1"/>
  <c r="W901" i="32"/>
  <c r="K901" i="32" s="1"/>
  <c r="W835" i="32"/>
  <c r="K835" i="32" s="1"/>
  <c r="W1547" i="32"/>
  <c r="K1547" i="32" s="1"/>
  <c r="W1371" i="32"/>
  <c r="K1371" i="32" s="1"/>
  <c r="W959" i="32"/>
  <c r="K959" i="32" s="1"/>
  <c r="W1177" i="32"/>
  <c r="K1177" i="32" s="1"/>
  <c r="W1213" i="32"/>
  <c r="K1213" i="32" s="1"/>
  <c r="W1377" i="32"/>
  <c r="K1377" i="32" s="1"/>
  <c r="W1649" i="32"/>
  <c r="K1649" i="32" s="1"/>
  <c r="W1705" i="32"/>
  <c r="K1705" i="32" s="1"/>
  <c r="W1671" i="32"/>
  <c r="K1671" i="32" s="1"/>
  <c r="W1651" i="32"/>
  <c r="K1651" i="32" s="1"/>
  <c r="W1323" i="32"/>
  <c r="K1323" i="32" s="1"/>
  <c r="W1333" i="32"/>
  <c r="K1333" i="32" s="1"/>
  <c r="W1419" i="32"/>
  <c r="K1419" i="32" s="1"/>
  <c r="W1423" i="32"/>
  <c r="K1423" i="32" s="1"/>
  <c r="W1203" i="32"/>
  <c r="K1203" i="32" s="1"/>
  <c r="W995" i="32"/>
  <c r="K995" i="32" s="1"/>
  <c r="W885" i="32"/>
  <c r="K885" i="32" s="1"/>
  <c r="W1531" i="32"/>
  <c r="K1531" i="32" s="1"/>
  <c r="W829" i="32"/>
  <c r="K829" i="32" s="1"/>
  <c r="W1379" i="32"/>
  <c r="K1379" i="32" s="1"/>
  <c r="W1193" i="32"/>
  <c r="K1193" i="32" s="1"/>
  <c r="W1065" i="32"/>
  <c r="K1065" i="32" s="1"/>
  <c r="W1393" i="32"/>
  <c r="K1393" i="32" s="1"/>
  <c r="W1713" i="32"/>
  <c r="K1713" i="32" s="1"/>
  <c r="W1289" i="32"/>
  <c r="K1289" i="32" s="1"/>
  <c r="W1495" i="32"/>
  <c r="K1495" i="32" s="1"/>
  <c r="W1253" i="32"/>
  <c r="K1253" i="32" s="1"/>
  <c r="W1037" i="32"/>
  <c r="K1037" i="32" s="1"/>
  <c r="W931" i="32"/>
  <c r="K931" i="32" s="1"/>
  <c r="W973" i="32"/>
  <c r="K973" i="32" s="1"/>
  <c r="W1307" i="32"/>
  <c r="K1307" i="32" s="1"/>
  <c r="W1157" i="32"/>
  <c r="K1157" i="32" s="1"/>
  <c r="W1327" i="32"/>
  <c r="K1327" i="32" s="1"/>
  <c r="W831" i="32"/>
  <c r="K831" i="32" s="1"/>
  <c r="W1041" i="32"/>
  <c r="K1041" i="32" s="1"/>
  <c r="W1401" i="32"/>
  <c r="K1401" i="32" s="1"/>
  <c r="W1707" i="32"/>
  <c r="K1707" i="32" s="1"/>
  <c r="W1599" i="32"/>
  <c r="K1599" i="32" s="1"/>
  <c r="W1331" i="32"/>
  <c r="K1331" i="32" s="1"/>
  <c r="W997" i="32"/>
  <c r="K997" i="32" s="1"/>
  <c r="W1189" i="32"/>
  <c r="K1189" i="32" s="1"/>
  <c r="W1635" i="32"/>
  <c r="K1635" i="32" s="1"/>
  <c r="W1339" i="32"/>
  <c r="K1339" i="32" s="1"/>
  <c r="W837" i="32"/>
  <c r="K837" i="32" s="1"/>
  <c r="W1525" i="32"/>
  <c r="K1525" i="32" s="1"/>
  <c r="W1109" i="32"/>
  <c r="K1109" i="32" s="1"/>
  <c r="W943" i="32"/>
  <c r="K943" i="32" s="1"/>
  <c r="W833" i="32"/>
  <c r="K833" i="32" s="1"/>
  <c r="W967" i="32"/>
  <c r="K967" i="32" s="1"/>
  <c r="W1257" i="32"/>
  <c r="K1257" i="32" s="1"/>
  <c r="W1047" i="32"/>
  <c r="K1047" i="32" s="1"/>
  <c r="W1185" i="32"/>
  <c r="K1185" i="32" s="1"/>
  <c r="W1437" i="32"/>
  <c r="K1437" i="32" s="1"/>
  <c r="W1753" i="32"/>
  <c r="K1753" i="32" s="1"/>
  <c r="W1321" i="32"/>
  <c r="K1321" i="32" s="1"/>
  <c r="W1299" i="32"/>
  <c r="K1299" i="32" s="1"/>
  <c r="W1275" i="32"/>
  <c r="K1275" i="32" s="1"/>
  <c r="W991" i="32"/>
  <c r="K991" i="32" s="1"/>
  <c r="W821" i="32"/>
  <c r="K821" i="32" s="1"/>
  <c r="W1091" i="32"/>
  <c r="K1091" i="32" s="1"/>
  <c r="W1559" i="32"/>
  <c r="K1559" i="32" s="1"/>
  <c r="W1083" i="32"/>
  <c r="K1083" i="32" s="1"/>
  <c r="W1029" i="32"/>
  <c r="K1029" i="32" s="1"/>
  <c r="W1237" i="32"/>
  <c r="K1237" i="32" s="1"/>
  <c r="W879" i="32"/>
  <c r="K879" i="32" s="1"/>
  <c r="W881" i="32"/>
  <c r="K881" i="32" s="1"/>
  <c r="W1073" i="32"/>
  <c r="K1073" i="32" s="1"/>
  <c r="W1457" i="32"/>
  <c r="K1457" i="32" s="1"/>
  <c r="W1771" i="32"/>
  <c r="K1771" i="32" s="1"/>
  <c r="W1615" i="32"/>
  <c r="K1615" i="32" s="1"/>
  <c r="W1425" i="32"/>
  <c r="K1425" i="32" s="1"/>
  <c r="W1351" i="32"/>
  <c r="K1351" i="32" s="1"/>
  <c r="W1287" i="32"/>
  <c r="K1287" i="32" s="1"/>
  <c r="W1039" i="32"/>
  <c r="K1039" i="32" s="1"/>
  <c r="W1583" i="32"/>
  <c r="K1583" i="32" s="1"/>
  <c r="W957" i="32"/>
  <c r="K957" i="32" s="1"/>
  <c r="W939" i="32"/>
  <c r="K939" i="32" s="1"/>
  <c r="W1487" i="32"/>
  <c r="K1487" i="32" s="1"/>
  <c r="W1027" i="32"/>
  <c r="K1027" i="32" s="1"/>
  <c r="W1539" i="32"/>
  <c r="K1539" i="32" s="1"/>
  <c r="W1035" i="32"/>
  <c r="K1035" i="32" s="1"/>
  <c r="W1045" i="32"/>
  <c r="K1045" i="32" s="1"/>
  <c r="W1183" i="32"/>
  <c r="K1183" i="32" s="1"/>
  <c r="W929" i="32"/>
  <c r="K929" i="32" s="1"/>
  <c r="W1081" i="32"/>
  <c r="K1081" i="32" s="1"/>
  <c r="W1085" i="32"/>
  <c r="K1085" i="32" s="1"/>
  <c r="W825" i="32"/>
  <c r="K825" i="32" s="1"/>
  <c r="W1233" i="32"/>
  <c r="K1233" i="32" s="1"/>
  <c r="W1515" i="32"/>
  <c r="K1515" i="32" s="1"/>
  <c r="W1235" i="32"/>
  <c r="K1235" i="32" s="1"/>
  <c r="W1319" i="32"/>
  <c r="K1319" i="32" s="1"/>
  <c r="W1107" i="32"/>
  <c r="K1107" i="32" s="1"/>
  <c r="W1291" i="32"/>
  <c r="K1291" i="32" s="1"/>
  <c r="W1141" i="32"/>
  <c r="K1141" i="32" s="1"/>
  <c r="W947" i="32"/>
  <c r="K947" i="32" s="1"/>
  <c r="W945" i="32"/>
  <c r="K945" i="32" s="1"/>
  <c r="W1031" i="32"/>
  <c r="K1031" i="32" s="1"/>
  <c r="W889" i="32"/>
  <c r="K889" i="32" s="1"/>
  <c r="W1281" i="32"/>
  <c r="K1281" i="32" s="1"/>
  <c r="W1565" i="32"/>
  <c r="K1565" i="32" s="1"/>
  <c r="W1553" i="32"/>
  <c r="K1553" i="32" s="1"/>
  <c r="W1577" i="32"/>
  <c r="K1577" i="32" s="1"/>
  <c r="W1549" i="32"/>
  <c r="K1549" i="32" s="1"/>
  <c r="W1075" i="32"/>
  <c r="K1075" i="32" s="1"/>
  <c r="W923" i="32"/>
  <c r="K923" i="32" s="1"/>
  <c r="W1311" i="32"/>
  <c r="K1311" i="32" s="1"/>
  <c r="W1597" i="32"/>
  <c r="K1597" i="32" s="1"/>
  <c r="W1211" i="32"/>
  <c r="K1211" i="32" s="1"/>
  <c r="W871" i="32"/>
  <c r="K871" i="32" s="1"/>
  <c r="W1103" i="32"/>
  <c r="K1103" i="32" s="1"/>
  <c r="W1589" i="32"/>
  <c r="K1589" i="32" s="1"/>
  <c r="W1143" i="32"/>
  <c r="K1143" i="32" s="1"/>
  <c r="W911" i="32"/>
  <c r="K911" i="32" s="1"/>
  <c r="W1069" i="32"/>
  <c r="K1069" i="32" s="1"/>
  <c r="W919" i="32"/>
  <c r="K919" i="32" s="1"/>
  <c r="W1297" i="32"/>
  <c r="K1297" i="32" s="1"/>
  <c r="W1473" i="32"/>
  <c r="K1473" i="32" s="1"/>
  <c r="W1561" i="32"/>
  <c r="K1561" i="32" s="1"/>
  <c r="W1623" i="32"/>
  <c r="K1623" i="32" s="1"/>
  <c r="W1575" i="32"/>
  <c r="K1575" i="32" s="1"/>
  <c r="W1659" i="32"/>
  <c r="K1659" i="32" s="1"/>
  <c r="W1011" i="32"/>
  <c r="K1011" i="32" s="1"/>
  <c r="W1523" i="32"/>
  <c r="K1523" i="32" s="1"/>
  <c r="W1007" i="32"/>
  <c r="K1007" i="32" s="1"/>
  <c r="W949" i="32"/>
  <c r="K949" i="32" s="1"/>
  <c r="W1421" i="32"/>
  <c r="K1421" i="32" s="1"/>
  <c r="W839" i="32"/>
  <c r="K839" i="32" s="1"/>
  <c r="W893" i="32"/>
  <c r="K893" i="32" s="1"/>
  <c r="W955" i="32"/>
  <c r="K955" i="32" s="1"/>
  <c r="W1341" i="32"/>
  <c r="K1341" i="32" s="1"/>
  <c r="W1051" i="32"/>
  <c r="K1051" i="32" s="1"/>
  <c r="W1693" i="32"/>
  <c r="K1693" i="32" s="1"/>
  <c r="W903" i="32"/>
  <c r="K903" i="32" s="1"/>
  <c r="W1195" i="32"/>
  <c r="K1195" i="32" s="1"/>
  <c r="W1173" i="32"/>
  <c r="K1173" i="32" s="1"/>
  <c r="W1469" i="32"/>
  <c r="K1469" i="32" s="1"/>
  <c r="W1511" i="32"/>
  <c r="K1511" i="32" s="1"/>
  <c r="W1099" i="32"/>
  <c r="K1099" i="32" s="1"/>
  <c r="W975" i="32"/>
  <c r="K975" i="32" s="1"/>
  <c r="W1551" i="32"/>
  <c r="K1551" i="32" s="1"/>
  <c r="W1555" i="32"/>
  <c r="K1555" i="32" s="1"/>
  <c r="W877" i="32"/>
  <c r="K877" i="32" s="1"/>
  <c r="W1325" i="32"/>
  <c r="K1325" i="32" s="1"/>
  <c r="W1015" i="32"/>
  <c r="K1015" i="32" s="1"/>
  <c r="W1475" i="32"/>
  <c r="K1475" i="32" s="1"/>
  <c r="W1567" i="32"/>
  <c r="K1567" i="32" s="1"/>
  <c r="W1663" i="32"/>
  <c r="K1663" i="32" s="1"/>
  <c r="W1413" i="32"/>
  <c r="K1413" i="32" s="1"/>
  <c r="W1209" i="32"/>
  <c r="K1209" i="32" s="1"/>
  <c r="W921" i="32"/>
  <c r="K921" i="32" s="1"/>
  <c r="W1443" i="32"/>
  <c r="K1443" i="32" s="1"/>
  <c r="W1403" i="32"/>
  <c r="K1403" i="32" s="1"/>
  <c r="W1067" i="32"/>
  <c r="K1067" i="32" s="1"/>
  <c r="W1087" i="32"/>
  <c r="K1087" i="32" s="1"/>
  <c r="W917" i="32"/>
  <c r="K917" i="32" s="1"/>
  <c r="W1003" i="32"/>
  <c r="K1003" i="32" s="1"/>
  <c r="W1071" i="32"/>
  <c r="K1071" i="32" s="1"/>
  <c r="W1313" i="32"/>
  <c r="K1313" i="32" s="1"/>
  <c r="W1609" i="32"/>
  <c r="K1609" i="32" s="1"/>
  <c r="W1187" i="32"/>
  <c r="K1187" i="32" s="1"/>
  <c r="W983" i="32"/>
  <c r="K983" i="32" s="1"/>
  <c r="W1585" i="32"/>
  <c r="K1585" i="32" s="1"/>
  <c r="W1613" i="32"/>
  <c r="K1613" i="32" s="1"/>
  <c r="W1269" i="32"/>
  <c r="K1269" i="32" s="1"/>
  <c r="W1719" i="32"/>
  <c r="K1719" i="32" s="1"/>
  <c r="W1629" i="32"/>
  <c r="K1629" i="32" s="1"/>
  <c r="W1215" i="32"/>
  <c r="K1215" i="32" s="1"/>
  <c r="W1591" i="32"/>
  <c r="K1591" i="32" s="1"/>
  <c r="W1295" i="32"/>
  <c r="K1295" i="32" s="1"/>
  <c r="W1315" i="32"/>
  <c r="K1315" i="32" s="1"/>
  <c r="P827" i="32"/>
  <c r="P829" i="32" s="1"/>
  <c r="C25" i="20"/>
  <c r="D24" i="20"/>
  <c r="L133" i="1"/>
  <c r="AT43" i="33"/>
  <c r="AS43" i="33"/>
  <c r="D120" i="20"/>
  <c r="C121" i="20"/>
  <c r="AR64" i="34"/>
  <c r="AQ64" i="34"/>
  <c r="AR72" i="34"/>
  <c r="AQ72" i="34"/>
  <c r="AQ9" i="34"/>
  <c r="AR9" i="34"/>
  <c r="AQ67" i="34"/>
  <c r="AR67" i="34"/>
  <c r="W1171" i="32"/>
  <c r="K1171" i="32" s="1"/>
  <c r="W1497" i="32"/>
  <c r="K1497" i="32" s="1"/>
  <c r="W1363" i="32"/>
  <c r="K1363" i="32" s="1"/>
  <c r="W1571" i="32"/>
  <c r="K1571" i="32" s="1"/>
  <c r="W1621" i="32"/>
  <c r="K1621" i="32" s="1"/>
  <c r="AR83" i="34"/>
  <c r="AQ83" i="34"/>
  <c r="AR77" i="34"/>
  <c r="AQ77" i="34"/>
  <c r="AQ10" i="34"/>
  <c r="AR10" i="34"/>
  <c r="AS11" i="33"/>
  <c r="AT11" i="33"/>
  <c r="AR82" i="34"/>
  <c r="AQ82" i="34"/>
  <c r="AQ34" i="34"/>
  <c r="AR34" i="34"/>
  <c r="N151" i="27"/>
  <c r="R108" i="24"/>
  <c r="L9" i="32"/>
  <c r="J108" i="24"/>
  <c r="B110" i="24"/>
  <c r="E120" i="24"/>
  <c r="E116" i="24"/>
  <c r="I126" i="24"/>
  <c r="B114" i="24"/>
  <c r="I108" i="24"/>
  <c r="I130" i="24"/>
  <c r="F2377" i="27"/>
  <c r="F2378" i="27" s="1"/>
  <c r="F2379" i="27" s="1"/>
  <c r="F2380" i="27" s="1"/>
  <c r="F2381" i="27" s="1"/>
  <c r="F2382" i="27" s="1"/>
  <c r="E132" i="24"/>
  <c r="J130" i="24"/>
  <c r="K210" i="27"/>
  <c r="M163" i="27"/>
  <c r="W1113" i="32"/>
  <c r="K1113" i="32" s="1"/>
  <c r="Q1179" i="32"/>
  <c r="W1179" i="32"/>
  <c r="K1179" i="32" s="1"/>
  <c r="W446" i="32"/>
  <c r="K446" i="32" s="1"/>
  <c r="Q1243" i="32"/>
  <c r="W1243" i="32"/>
  <c r="K1243" i="32" s="1"/>
  <c r="Q1669" i="32"/>
  <c r="W1669" i="32"/>
  <c r="K1669" i="32" s="1"/>
  <c r="Q1673" i="32"/>
  <c r="W1673" i="32"/>
  <c r="K1673" i="32" s="1"/>
  <c r="Q1625" i="32"/>
  <c r="W1625" i="32"/>
  <c r="K1625" i="32" s="1"/>
  <c r="Q1641" i="32"/>
  <c r="W1641" i="32"/>
  <c r="K1641" i="32" s="1"/>
  <c r="Q1723" i="32"/>
  <c r="W1723" i="32"/>
  <c r="K1723" i="32" s="1"/>
  <c r="Q1777" i="32"/>
  <c r="W1777" i="32"/>
  <c r="K1777" i="32" s="1"/>
  <c r="L131" i="1"/>
  <c r="AS9" i="33"/>
  <c r="AT9" i="33"/>
  <c r="W388" i="32"/>
  <c r="K388" i="32" s="1"/>
  <c r="W468" i="32"/>
  <c r="K468" i="32" s="1"/>
  <c r="W556" i="32"/>
  <c r="K556" i="32" s="1"/>
  <c r="W328" i="32"/>
  <c r="K328" i="32" s="1"/>
  <c r="W480" i="32"/>
  <c r="K480" i="32" s="1"/>
  <c r="W430" i="32"/>
  <c r="K430" i="32" s="1"/>
  <c r="W510" i="32"/>
  <c r="K510" i="32" s="1"/>
  <c r="W410" i="32"/>
  <c r="K410" i="32" s="1"/>
  <c r="W578" i="32"/>
  <c r="K578" i="32" s="1"/>
  <c r="W608" i="32"/>
  <c r="K608" i="32" s="1"/>
  <c r="W434" i="32"/>
  <c r="K434" i="32" s="1"/>
  <c r="W420" i="32"/>
  <c r="K420" i="32" s="1"/>
  <c r="W500" i="32"/>
  <c r="K500" i="32" s="1"/>
  <c r="W588" i="32"/>
  <c r="K588" i="32" s="1"/>
  <c r="W360" i="32"/>
  <c r="K360" i="32" s="1"/>
  <c r="W412" i="32"/>
  <c r="K412" i="32" s="1"/>
  <c r="W516" i="32"/>
  <c r="K516" i="32" s="1"/>
  <c r="W392" i="32"/>
  <c r="K392" i="32" s="1"/>
  <c r="W488" i="32"/>
  <c r="K488" i="32" s="1"/>
  <c r="W534" i="32"/>
  <c r="K534" i="32" s="1"/>
  <c r="W594" i="32"/>
  <c r="K594" i="32" s="1"/>
  <c r="W426" i="32"/>
  <c r="K426" i="32" s="1"/>
  <c r="W394" i="32"/>
  <c r="K394" i="32" s="1"/>
  <c r="W460" i="32"/>
  <c r="K460" i="32" s="1"/>
  <c r="W432" i="32"/>
  <c r="K432" i="32" s="1"/>
  <c r="W528" i="32"/>
  <c r="K528" i="32" s="1"/>
  <c r="W398" i="32"/>
  <c r="K398" i="32" s="1"/>
  <c r="W486" i="32"/>
  <c r="K486" i="32" s="1"/>
  <c r="W574" i="32"/>
  <c r="K574" i="32" s="1"/>
  <c r="W576" i="32"/>
  <c r="K576" i="32" s="1"/>
  <c r="W506" i="32"/>
  <c r="K506" i="32" s="1"/>
  <c r="W570" i="32"/>
  <c r="K570" i="32" s="1"/>
  <c r="W442" i="32"/>
  <c r="K442" i="32" s="1"/>
  <c r="W380" i="32"/>
  <c r="K380" i="32" s="1"/>
  <c r="W572" i="32"/>
  <c r="K572" i="32" s="1"/>
  <c r="W440" i="32"/>
  <c r="K440" i="32" s="1"/>
  <c r="W318" i="32"/>
  <c r="K318" i="32" s="1"/>
  <c r="W494" i="32"/>
  <c r="K494" i="32" s="1"/>
  <c r="W582" i="32"/>
  <c r="K582" i="32" s="1"/>
  <c r="W538" i="32"/>
  <c r="K538" i="32" s="1"/>
  <c r="W552" i="32"/>
  <c r="K552" i="32" s="1"/>
  <c r="W544" i="32"/>
  <c r="K544" i="32" s="1"/>
  <c r="W610" i="32"/>
  <c r="K610" i="32" s="1"/>
  <c r="W332" i="32"/>
  <c r="K332" i="32" s="1"/>
  <c r="W436" i="32"/>
  <c r="K436" i="32" s="1"/>
  <c r="W580" i="32"/>
  <c r="K580" i="32" s="1"/>
  <c r="W376" i="32"/>
  <c r="K376" i="32" s="1"/>
  <c r="W504" i="32"/>
  <c r="K504" i="32" s="1"/>
  <c r="W382" i="32"/>
  <c r="K382" i="32" s="1"/>
  <c r="W502" i="32"/>
  <c r="K502" i="32" s="1"/>
  <c r="W568" i="32"/>
  <c r="K568" i="32" s="1"/>
  <c r="W458" i="32"/>
  <c r="K458" i="32" s="1"/>
  <c r="W474" i="32"/>
  <c r="K474" i="32" s="1"/>
  <c r="W560" i="32"/>
  <c r="K560" i="32" s="1"/>
  <c r="W444" i="32"/>
  <c r="K444" i="32" s="1"/>
  <c r="W596" i="32"/>
  <c r="K596" i="32" s="1"/>
  <c r="W384" i="32"/>
  <c r="K384" i="32" s="1"/>
  <c r="W512" i="32"/>
  <c r="K512" i="32" s="1"/>
  <c r="W390" i="32"/>
  <c r="K390" i="32" s="1"/>
  <c r="W518" i="32"/>
  <c r="K518" i="32" s="1"/>
  <c r="W530" i="32"/>
  <c r="K530" i="32" s="1"/>
  <c r="W450" i="32"/>
  <c r="K450" i="32" s="1"/>
  <c r="W490" i="32"/>
  <c r="K490" i="32" s="1"/>
  <c r="W452" i="32"/>
  <c r="K452" i="32" s="1"/>
  <c r="W604" i="32"/>
  <c r="K604" i="32" s="1"/>
  <c r="W400" i="32"/>
  <c r="K400" i="32" s="1"/>
  <c r="W406" i="32"/>
  <c r="K406" i="32" s="1"/>
  <c r="W526" i="32"/>
  <c r="K526" i="32" s="1"/>
  <c r="W498" i="32"/>
  <c r="K498" i="32" s="1"/>
  <c r="W522" i="32"/>
  <c r="K522" i="32" s="1"/>
  <c r="W586" i="32"/>
  <c r="K586" i="32" s="1"/>
  <c r="W364" i="32"/>
  <c r="K364" i="32" s="1"/>
  <c r="W484" i="32"/>
  <c r="K484" i="32" s="1"/>
  <c r="W320" i="32"/>
  <c r="K320" i="32" s="1"/>
  <c r="W416" i="32"/>
  <c r="K416" i="32" s="1"/>
  <c r="W326" i="32"/>
  <c r="K326" i="32" s="1"/>
  <c r="W422" i="32"/>
  <c r="K422" i="32" s="1"/>
  <c r="W602" i="32"/>
  <c r="K602" i="32" s="1"/>
  <c r="W592" i="32"/>
  <c r="K592" i="32" s="1"/>
  <c r="W378" i="32"/>
  <c r="K378" i="32" s="1"/>
  <c r="W372" i="32"/>
  <c r="K372" i="32" s="1"/>
  <c r="W492" i="32"/>
  <c r="K492" i="32" s="1"/>
  <c r="W334" i="32"/>
  <c r="K334" i="32" s="1"/>
  <c r="W438" i="32"/>
  <c r="K438" i="32" s="1"/>
  <c r="W386" i="32"/>
  <c r="K386" i="32" s="1"/>
  <c r="W362" i="32"/>
  <c r="K362" i="32" s="1"/>
  <c r="W508" i="32"/>
  <c r="K508" i="32" s="1"/>
  <c r="W424" i="32"/>
  <c r="K424" i="32" s="1"/>
  <c r="W558" i="32"/>
  <c r="K558" i="32" s="1"/>
  <c r="W554" i="32"/>
  <c r="K554" i="32" s="1"/>
  <c r="W532" i="32"/>
  <c r="K532" i="32" s="1"/>
  <c r="W456" i="32"/>
  <c r="K456" i="32" s="1"/>
  <c r="W462" i="32"/>
  <c r="K462" i="32" s="1"/>
  <c r="W590" i="32"/>
  <c r="K590" i="32" s="1"/>
  <c r="W562" i="32"/>
  <c r="K562" i="32" s="1"/>
  <c r="W316" i="32"/>
  <c r="K316" i="32" s="1"/>
  <c r="W428" i="32"/>
  <c r="K428" i="32" s="1"/>
  <c r="W548" i="32"/>
  <c r="K548" i="32" s="1"/>
  <c r="W368" i="32"/>
  <c r="K368" i="32" s="1"/>
  <c r="W472" i="32"/>
  <c r="K472" i="32" s="1"/>
  <c r="W366" i="32"/>
  <c r="K366" i="32" s="1"/>
  <c r="W478" i="32"/>
  <c r="K478" i="32" s="1"/>
  <c r="W606" i="32"/>
  <c r="K606" i="32" s="1"/>
  <c r="W322" i="32"/>
  <c r="K322" i="32" s="1"/>
  <c r="W466" i="32"/>
  <c r="K466" i="32" s="1"/>
  <c r="W546" i="32"/>
  <c r="K546" i="32" s="1"/>
  <c r="W414" i="32"/>
  <c r="K414" i="32" s="1"/>
  <c r="W514" i="32"/>
  <c r="K514" i="32" s="1"/>
  <c r="W356" i="32"/>
  <c r="K356" i="32" s="1"/>
  <c r="W454" i="32"/>
  <c r="K454" i="32" s="1"/>
  <c r="W482" i="32"/>
  <c r="K482" i="32" s="1"/>
  <c r="W396" i="32"/>
  <c r="K396" i="32" s="1"/>
  <c r="W470" i="32"/>
  <c r="K470" i="32" s="1"/>
  <c r="W600" i="32"/>
  <c r="K600" i="32" s="1"/>
  <c r="W408" i="32"/>
  <c r="K408" i="32" s="1"/>
  <c r="W536" i="32"/>
  <c r="K536" i="32" s="1"/>
  <c r="W448" i="32"/>
  <c r="K448" i="32" s="1"/>
  <c r="W542" i="32"/>
  <c r="K542" i="32" s="1"/>
  <c r="W476" i="32"/>
  <c r="K476" i="32" s="1"/>
  <c r="W464" i="32"/>
  <c r="K464" i="32" s="1"/>
  <c r="W566" i="32"/>
  <c r="K566" i="32" s="1"/>
  <c r="W524" i="32"/>
  <c r="K524" i="32" s="1"/>
  <c r="W496" i="32"/>
  <c r="K496" i="32" s="1"/>
  <c r="W598" i="32"/>
  <c r="K598" i="32" s="1"/>
  <c r="W540" i="32"/>
  <c r="K540" i="32" s="1"/>
  <c r="W520" i="32"/>
  <c r="K520" i="32" s="1"/>
  <c r="W614" i="32"/>
  <c r="K614" i="32" s="1"/>
  <c r="W330" i="32"/>
  <c r="K330" i="32" s="1"/>
  <c r="W564" i="32"/>
  <c r="K564" i="32" s="1"/>
  <c r="W402" i="32"/>
  <c r="K402" i="32" s="1"/>
  <c r="W584" i="32"/>
  <c r="K584" i="32" s="1"/>
  <c r="W370" i="32"/>
  <c r="K370" i="32" s="1"/>
  <c r="W612" i="32"/>
  <c r="K612" i="32" s="1"/>
  <c r="W418" i="32"/>
  <c r="K418" i="32" s="1"/>
  <c r="W324" i="32"/>
  <c r="K324" i="32" s="1"/>
  <c r="W358" i="32"/>
  <c r="K358" i="32" s="1"/>
  <c r="W374" i="32"/>
  <c r="K374" i="32" s="1"/>
  <c r="AR53" i="34"/>
  <c r="AQ53" i="34"/>
  <c r="AR61" i="34"/>
  <c r="AQ61" i="34"/>
  <c r="AQ79" i="34"/>
  <c r="AR79" i="34"/>
  <c r="L147" i="1"/>
  <c r="W1239" i="32"/>
  <c r="K1239" i="32" s="1"/>
  <c r="W1721" i="32"/>
  <c r="K1721" i="32" s="1"/>
  <c r="W861" i="32"/>
  <c r="K861" i="32" s="1"/>
  <c r="W1369" i="32"/>
  <c r="K1369" i="32" s="1"/>
  <c r="W989" i="32"/>
  <c r="K989" i="32" s="1"/>
  <c r="W1427" i="32"/>
  <c r="K1427" i="32" s="1"/>
  <c r="W1601" i="32"/>
  <c r="K1601" i="32" s="1"/>
  <c r="AR63" i="34"/>
  <c r="AQ63" i="34"/>
  <c r="AR56" i="34"/>
  <c r="AQ56" i="34"/>
  <c r="AR70" i="34"/>
  <c r="AQ70" i="34"/>
  <c r="AS27" i="33"/>
  <c r="AT27" i="33"/>
  <c r="L620" i="32"/>
  <c r="L210" i="27"/>
  <c r="I156" i="27"/>
  <c r="K47" i="1"/>
  <c r="K51" i="1"/>
  <c r="L51" i="1" s="1"/>
  <c r="Q1225" i="32"/>
  <c r="W1225" i="32"/>
  <c r="K1225" i="32" s="1"/>
  <c r="W1639" i="32"/>
  <c r="K1639" i="32" s="1"/>
  <c r="W1733" i="32"/>
  <c r="K1733" i="32" s="1"/>
  <c r="E124" i="24"/>
  <c r="E122" i="24"/>
  <c r="I120" i="24"/>
  <c r="J124" i="24"/>
  <c r="B108" i="24"/>
  <c r="B135" i="24"/>
  <c r="A13" i="1"/>
  <c r="K217" i="27"/>
  <c r="J150" i="27"/>
  <c r="B119" i="24"/>
  <c r="N210" i="27"/>
  <c r="I163" i="27"/>
  <c r="K52" i="1"/>
  <c r="L52" i="1" s="1"/>
  <c r="F148" i="24"/>
  <c r="W847" i="32"/>
  <c r="K847" i="32" s="1"/>
  <c r="Q1335" i="32"/>
  <c r="W1335" i="32"/>
  <c r="K1335" i="32" s="1"/>
  <c r="Q1147" i="32"/>
  <c r="W1147" i="32"/>
  <c r="K1147" i="32" s="1"/>
  <c r="W663" i="32"/>
  <c r="K663" i="32" s="1"/>
  <c r="Q550" i="32"/>
  <c r="W550" i="32"/>
  <c r="K550" i="32" s="1"/>
  <c r="Q1259" i="32"/>
  <c r="W1259" i="32"/>
  <c r="K1259" i="32" s="1"/>
  <c r="Q1689" i="32"/>
  <c r="W1689" i="32"/>
  <c r="K1689" i="32" s="1"/>
  <c r="Q1695" i="32"/>
  <c r="W1695" i="32"/>
  <c r="K1695" i="32" s="1"/>
  <c r="Q1631" i="32"/>
  <c r="W1631" i="32"/>
  <c r="K1631" i="32" s="1"/>
  <c r="I112" i="1"/>
  <c r="Q1433" i="32"/>
  <c r="W1433" i="32"/>
  <c r="K1433" i="32" s="1"/>
  <c r="W1759" i="32"/>
  <c r="K1759" i="32" s="1"/>
  <c r="AS53" i="33"/>
  <c r="AT53" i="33"/>
  <c r="D234" i="20"/>
  <c r="C235" i="20"/>
  <c r="AR42" i="34"/>
  <c r="AQ42" i="34"/>
  <c r="AQ50" i="34"/>
  <c r="AR50" i="34"/>
  <c r="AQ69" i="34"/>
  <c r="AR69" i="34"/>
  <c r="W927" i="32"/>
  <c r="K927" i="32" s="1"/>
  <c r="W1405" i="32"/>
  <c r="K1405" i="32" s="1"/>
  <c r="W1543" i="32"/>
  <c r="K1543" i="32" s="1"/>
  <c r="W1349" i="32"/>
  <c r="K1349" i="32" s="1"/>
  <c r="W1463" i="32"/>
  <c r="K1463" i="32" s="1"/>
  <c r="W1247" i="32"/>
  <c r="K1247" i="32" s="1"/>
  <c r="W853" i="32"/>
  <c r="K853" i="32" s="1"/>
  <c r="W1329" i="32"/>
  <c r="K1329" i="32" s="1"/>
  <c r="AQ17" i="34"/>
  <c r="AR17" i="34"/>
  <c r="AQ76" i="34"/>
  <c r="AR76" i="34"/>
  <c r="AR48" i="34"/>
  <c r="AQ48" i="34"/>
  <c r="AS19" i="33"/>
  <c r="AT19" i="33"/>
  <c r="D378" i="20"/>
  <c r="C379" i="20"/>
  <c r="D379" i="20" s="1"/>
  <c r="AR15" i="34"/>
  <c r="AQ15" i="34"/>
  <c r="AR27" i="34"/>
  <c r="AQ27" i="34"/>
  <c r="W1627" i="32"/>
  <c r="K1627" i="32" s="1"/>
  <c r="Q1633" i="32"/>
  <c r="W1633" i="32"/>
  <c r="K1633" i="32" s="1"/>
  <c r="Q1667" i="32"/>
  <c r="W1667" i="32"/>
  <c r="K1667" i="32" s="1"/>
  <c r="C100" i="32"/>
  <c r="C90" i="32"/>
  <c r="C108" i="32"/>
  <c r="C98" i="32"/>
  <c r="C94" i="32"/>
  <c r="C92" i="32"/>
  <c r="C106" i="32"/>
  <c r="C96" i="32"/>
  <c r="C104" i="32"/>
  <c r="C102" i="32"/>
  <c r="AH134" i="1"/>
  <c r="B129" i="24"/>
  <c r="A13" i="24"/>
  <c r="I15" i="29"/>
  <c r="G11" i="24" s="1"/>
  <c r="D34" i="20"/>
  <c r="B128" i="24"/>
  <c r="B131" i="24"/>
  <c r="I114" i="24"/>
  <c r="J112" i="24"/>
  <c r="B124" i="24"/>
  <c r="E130" i="24"/>
  <c r="K181" i="27"/>
  <c r="I217" i="27"/>
  <c r="K150" i="27"/>
  <c r="J128" i="24"/>
  <c r="C620" i="32"/>
  <c r="J210" i="27"/>
  <c r="L163" i="27"/>
  <c r="A5" i="30"/>
  <c r="E60" i="24" s="1"/>
  <c r="K53" i="1"/>
  <c r="L53" i="1" s="1"/>
  <c r="AF141" i="1"/>
  <c r="X141" i="1"/>
  <c r="AD141" i="1"/>
  <c r="U141" i="1"/>
  <c r="L141" i="1" s="1"/>
  <c r="W827" i="32"/>
  <c r="K827" i="32" s="1"/>
  <c r="Q1317" i="32"/>
  <c r="W1317" i="32"/>
  <c r="K1317" i="32" s="1"/>
  <c r="Q1217" i="32"/>
  <c r="W1217" i="32"/>
  <c r="K1217" i="32" s="1"/>
  <c r="Q1359" i="32"/>
  <c r="W1359" i="32"/>
  <c r="K1359" i="32" s="1"/>
  <c r="Q1647" i="32"/>
  <c r="W1647" i="32"/>
  <c r="K1647" i="32" s="1"/>
  <c r="Q1775" i="32"/>
  <c r="W1775" i="32"/>
  <c r="K1775" i="32" s="1"/>
  <c r="C308" i="32"/>
  <c r="C292" i="32"/>
  <c r="C300" i="32"/>
  <c r="C306" i="32"/>
  <c r="C302" i="32"/>
  <c r="C296" i="32"/>
  <c r="C294" i="32"/>
  <c r="C298" i="32"/>
  <c r="C304" i="32"/>
  <c r="C290" i="32"/>
  <c r="L154" i="1"/>
  <c r="L142" i="1"/>
  <c r="AS17" i="33"/>
  <c r="AT17" i="33"/>
  <c r="AT21" i="33"/>
  <c r="AS21" i="33"/>
  <c r="C236" i="32"/>
  <c r="C242" i="32"/>
  <c r="C244" i="32"/>
  <c r="C238" i="32"/>
  <c r="C246" i="32"/>
  <c r="C248" i="32"/>
  <c r="C232" i="32"/>
  <c r="C240" i="32"/>
  <c r="C230" i="32"/>
  <c r="C234" i="32"/>
  <c r="AR30" i="34"/>
  <c r="AQ30" i="34"/>
  <c r="AR39" i="34"/>
  <c r="AQ39" i="34"/>
  <c r="AR46" i="34"/>
  <c r="AQ46" i="34"/>
  <c r="W843" i="32"/>
  <c r="K843" i="32" s="1"/>
  <c r="W1587" i="32"/>
  <c r="K1587" i="32" s="1"/>
  <c r="W1665" i="32"/>
  <c r="K1665" i="32" s="1"/>
  <c r="W1131" i="32"/>
  <c r="K1131" i="32" s="1"/>
  <c r="W1201" i="32"/>
  <c r="K1201" i="32" s="1"/>
  <c r="AR60" i="34"/>
  <c r="AQ60" i="34"/>
  <c r="AR55" i="34"/>
  <c r="AQ55" i="34"/>
  <c r="AR26" i="34"/>
  <c r="AQ26" i="34"/>
  <c r="W863" i="32"/>
  <c r="K863" i="32" s="1"/>
  <c r="Q1661" i="32"/>
  <c r="W1661" i="32"/>
  <c r="K1661" i="32" s="1"/>
  <c r="C270" i="32"/>
  <c r="C284" i="32"/>
  <c r="C272" i="32"/>
  <c r="C282" i="32"/>
  <c r="C288" i="32"/>
  <c r="C274" i="32"/>
  <c r="C286" i="32"/>
  <c r="C278" i="32"/>
  <c r="C276" i="32"/>
  <c r="C280" i="32"/>
  <c r="C138" i="32"/>
  <c r="C132" i="32"/>
  <c r="C140" i="32"/>
  <c r="C134" i="32"/>
  <c r="C142" i="32"/>
  <c r="C146" i="32"/>
  <c r="C136" i="32"/>
  <c r="C144" i="32"/>
  <c r="C130" i="32"/>
  <c r="C148" i="32"/>
  <c r="AR44" i="34"/>
  <c r="AQ44" i="34"/>
  <c r="Q1129" i="32"/>
  <c r="W1129" i="32"/>
  <c r="K1129" i="32" s="1"/>
  <c r="Q1741" i="32"/>
  <c r="W1741" i="32"/>
  <c r="K1741" i="32" s="1"/>
  <c r="N163" i="27"/>
  <c r="B130" i="24"/>
  <c r="J120" i="24"/>
  <c r="B118" i="24"/>
  <c r="B112" i="24"/>
  <c r="B123" i="24"/>
  <c r="I181" i="27"/>
  <c r="L151" i="27"/>
  <c r="M217" i="27"/>
  <c r="W1093" i="32"/>
  <c r="K1093" i="32" s="1"/>
  <c r="Q1199" i="32"/>
  <c r="W1199" i="32"/>
  <c r="K1199" i="32" s="1"/>
  <c r="W845" i="32"/>
  <c r="K845" i="32" s="1"/>
  <c r="Q1479" i="32"/>
  <c r="W1479" i="32"/>
  <c r="K1479" i="32" s="1"/>
  <c r="Q1763" i="32"/>
  <c r="W1763" i="32"/>
  <c r="K1763" i="32" s="1"/>
  <c r="C66" i="32"/>
  <c r="C54" i="32"/>
  <c r="C50" i="32"/>
  <c r="C64" i="32"/>
  <c r="C56" i="32"/>
  <c r="C60" i="32"/>
  <c r="C68" i="32"/>
  <c r="C58" i="32"/>
  <c r="C62" i="32"/>
  <c r="C52" i="32"/>
  <c r="L148" i="1"/>
  <c r="D90" i="20"/>
  <c r="C156" i="32"/>
  <c r="C150" i="32"/>
  <c r="C154" i="32"/>
  <c r="C162" i="32"/>
  <c r="C152" i="32"/>
  <c r="C160" i="32"/>
  <c r="C164" i="32"/>
  <c r="C158" i="32"/>
  <c r="C166" i="32"/>
  <c r="C168" i="32"/>
  <c r="D91" i="20"/>
  <c r="AT49" i="33"/>
  <c r="AS49" i="33"/>
  <c r="AQ86" i="34"/>
  <c r="AR86" i="34"/>
  <c r="AR19" i="34"/>
  <c r="AQ19" i="34"/>
  <c r="AQ16" i="34"/>
  <c r="AR16" i="34"/>
  <c r="AQ35" i="34"/>
  <c r="AR35" i="34"/>
  <c r="W1603" i="32"/>
  <c r="K1603" i="32" s="1"/>
  <c r="W1727" i="32"/>
  <c r="K1727" i="32" s="1"/>
  <c r="W1527" i="32"/>
  <c r="K1527" i="32" s="1"/>
  <c r="W1125" i="32"/>
  <c r="K1125" i="32" s="1"/>
  <c r="W1197" i="32"/>
  <c r="K1197" i="32" s="1"/>
  <c r="W1151" i="32"/>
  <c r="K1151" i="32" s="1"/>
  <c r="W1407" i="32"/>
  <c r="K1407" i="32" s="1"/>
  <c r="W993" i="32"/>
  <c r="K993" i="32" s="1"/>
  <c r="AQ38" i="34"/>
  <c r="AR38" i="34"/>
  <c r="AR33" i="34"/>
  <c r="AQ33" i="34"/>
  <c r="L125" i="1"/>
  <c r="AT65" i="33"/>
  <c r="AS65" i="33"/>
  <c r="AQ65" i="34"/>
  <c r="AR65" i="34"/>
  <c r="AR84" i="34"/>
  <c r="AQ84" i="34"/>
  <c r="AQ13" i="34"/>
  <c r="AR13" i="34"/>
  <c r="AQ24" i="34"/>
  <c r="AR24" i="34"/>
  <c r="W891" i="32"/>
  <c r="K891" i="32" s="1"/>
  <c r="W859" i="32"/>
  <c r="K859" i="32" s="1"/>
  <c r="W1265" i="32"/>
  <c r="K1265" i="32" s="1"/>
  <c r="W1079" i="32"/>
  <c r="K1079" i="32" s="1"/>
  <c r="W1049" i="32"/>
  <c r="K1049" i="32" s="1"/>
  <c r="W1303" i="32"/>
  <c r="K1303" i="32" s="1"/>
  <c r="W1219" i="32"/>
  <c r="K1219" i="32" s="1"/>
  <c r="W1191" i="32"/>
  <c r="K1191" i="32" s="1"/>
  <c r="AR81" i="34"/>
  <c r="AQ81" i="34"/>
  <c r="AR73" i="34"/>
  <c r="AQ73" i="34"/>
  <c r="L139" i="1"/>
  <c r="L162" i="1"/>
  <c r="L155" i="1"/>
  <c r="L167" i="1"/>
  <c r="L146" i="1"/>
  <c r="L157" i="1"/>
  <c r="L156" i="1"/>
  <c r="F29" i="16" a="1"/>
  <c r="F29" i="16" s="1"/>
  <c r="C129" i="20"/>
  <c r="D128" i="20"/>
  <c r="N166" i="1"/>
  <c r="AC159" i="1"/>
  <c r="M159" i="1"/>
  <c r="AO159" i="1"/>
  <c r="O159" i="1"/>
  <c r="N159" i="1"/>
  <c r="AR54" i="34"/>
  <c r="AQ54" i="34"/>
  <c r="AQ74" i="34"/>
  <c r="AR74" i="34"/>
  <c r="AR80" i="34"/>
  <c r="AQ80" i="34"/>
  <c r="AQ11" i="34"/>
  <c r="AR11" i="34"/>
  <c r="W1221" i="32"/>
  <c r="K1221" i="32" s="1"/>
  <c r="W1301" i="32"/>
  <c r="K1301" i="32" s="1"/>
  <c r="W857" i="32"/>
  <c r="K857" i="32" s="1"/>
  <c r="W1375" i="32"/>
  <c r="K1375" i="32" s="1"/>
  <c r="W937" i="32"/>
  <c r="K937" i="32" s="1"/>
  <c r="W1101" i="32"/>
  <c r="K1101" i="32" s="1"/>
  <c r="W1675" i="32"/>
  <c r="K1675" i="32" s="1"/>
  <c r="W1089" i="32"/>
  <c r="K1089" i="32" s="1"/>
  <c r="AR59" i="34"/>
  <c r="AQ59" i="34"/>
  <c r="AQ51" i="34"/>
  <c r="AR51" i="34"/>
  <c r="AS29" i="33"/>
  <c r="AT29" i="33"/>
  <c r="AS41" i="33"/>
  <c r="AT41" i="33"/>
  <c r="C10" i="20"/>
  <c r="D9" i="20"/>
  <c r="AF158" i="1"/>
  <c r="X158" i="1"/>
  <c r="AD158" i="1"/>
  <c r="U158" i="1"/>
  <c r="L158" i="1" s="1"/>
  <c r="X135" i="1"/>
  <c r="AD135" i="1"/>
  <c r="AF135" i="1"/>
  <c r="U135" i="1"/>
  <c r="L135" i="1" s="1"/>
  <c r="M135" i="1" s="1"/>
  <c r="Q1391" i="32"/>
  <c r="W1391" i="32"/>
  <c r="K1391" i="32" s="1"/>
  <c r="K151" i="27"/>
  <c r="AA8" i="31"/>
  <c r="AA8" i="30"/>
  <c r="Q1579" i="32"/>
  <c r="W1579" i="32"/>
  <c r="K1579" i="32" s="1"/>
  <c r="W961" i="32"/>
  <c r="K961" i="32" s="1"/>
  <c r="C93" i="20"/>
  <c r="D93" i="20" s="1"/>
  <c r="D92" i="20"/>
  <c r="AT51" i="33"/>
  <c r="AS51" i="33"/>
  <c r="AR43" i="34"/>
  <c r="AQ43" i="34"/>
  <c r="AQ52" i="34"/>
  <c r="AR52" i="34"/>
  <c r="AQ58" i="34"/>
  <c r="AR58" i="34"/>
  <c r="AR62" i="34"/>
  <c r="AQ62" i="34"/>
  <c r="W915" i="32"/>
  <c r="K915" i="32" s="1"/>
  <c r="W1139" i="32"/>
  <c r="K1139" i="32" s="1"/>
  <c r="W1223" i="32"/>
  <c r="K1223" i="32" s="1"/>
  <c r="W1023" i="32"/>
  <c r="K1023" i="32" s="1"/>
  <c r="W1241" i="32"/>
  <c r="K1241" i="32" s="1"/>
  <c r="W1381" i="32"/>
  <c r="K1381" i="32" s="1"/>
  <c r="W953" i="32"/>
  <c r="K953" i="32" s="1"/>
  <c r="AQ37" i="34"/>
  <c r="AR37" i="34"/>
  <c r="AR28" i="34"/>
  <c r="AQ28" i="34"/>
  <c r="L140" i="1"/>
  <c r="C218" i="32"/>
  <c r="C212" i="32"/>
  <c r="C222" i="32"/>
  <c r="C220" i="32"/>
  <c r="C210" i="32"/>
  <c r="C224" i="32"/>
  <c r="C228" i="32"/>
  <c r="C214" i="32"/>
  <c r="C226" i="32"/>
  <c r="C216" i="32"/>
  <c r="AT25" i="33"/>
  <c r="AS25" i="33"/>
  <c r="AR32" i="34"/>
  <c r="AQ32" i="34"/>
  <c r="AR40" i="34"/>
  <c r="AQ40" i="34"/>
  <c r="AR47" i="34"/>
  <c r="AQ47" i="34"/>
  <c r="AR41" i="34"/>
  <c r="AQ41" i="34"/>
  <c r="W867" i="32"/>
  <c r="K867" i="32" s="1"/>
  <c r="W1477" i="32"/>
  <c r="K1477" i="32" s="1"/>
  <c r="W1111" i="32"/>
  <c r="K1111" i="32" s="1"/>
  <c r="W1611" i="32"/>
  <c r="K1611" i="32" s="1"/>
  <c r="W1095" i="32"/>
  <c r="K1095" i="32" s="1"/>
  <c r="W1267" i="32"/>
  <c r="K1267" i="32" s="1"/>
  <c r="W1397" i="32"/>
  <c r="K1397" i="32" s="1"/>
  <c r="W849" i="32"/>
  <c r="K849" i="32" s="1"/>
  <c r="AR12" i="34"/>
  <c r="AQ12" i="34"/>
  <c r="AQ14" i="34"/>
  <c r="AR14" i="34"/>
  <c r="C172" i="32"/>
  <c r="C170" i="32"/>
  <c r="C184" i="32"/>
  <c r="C186" i="32"/>
  <c r="C174" i="32"/>
  <c r="C180" i="32"/>
  <c r="C176" i="32"/>
  <c r="C188" i="32"/>
  <c r="C182" i="32"/>
  <c r="C178" i="32"/>
  <c r="AQ20" i="34"/>
  <c r="AR20" i="34"/>
  <c r="AQ29" i="34"/>
  <c r="AR29" i="34"/>
  <c r="AR36" i="34"/>
  <c r="AQ36" i="34"/>
  <c r="AR31" i="34"/>
  <c r="AQ31" i="34"/>
  <c r="W1557" i="32"/>
  <c r="K1557" i="32" s="1"/>
  <c r="W1773" i="32"/>
  <c r="K1773" i="32" s="1"/>
  <c r="W977" i="32"/>
  <c r="K977" i="32" s="1"/>
  <c r="W1431" i="32"/>
  <c r="K1431" i="32" s="1"/>
  <c r="W1137" i="32"/>
  <c r="K1137" i="32" s="1"/>
  <c r="W823" i="32"/>
  <c r="K823" i="32" s="1"/>
  <c r="W1483" i="32"/>
  <c r="K1483" i="32" s="1"/>
  <c r="AR87" i="34"/>
  <c r="AQ87" i="34"/>
  <c r="AR78" i="34"/>
  <c r="AQ78" i="34"/>
  <c r="AR71" i="34"/>
  <c r="AQ71" i="34"/>
  <c r="AS59" i="33"/>
  <c r="AT59" i="33"/>
  <c r="AT61" i="33"/>
  <c r="AS61" i="33"/>
  <c r="L440" i="27"/>
  <c r="I2370" i="27"/>
  <c r="F2857" i="27"/>
  <c r="J440" i="27"/>
  <c r="H2370" i="27"/>
  <c r="I186" i="27"/>
  <c r="L186" i="27"/>
  <c r="J186" i="27"/>
  <c r="N186" i="27"/>
  <c r="M186" i="27"/>
  <c r="K186" i="27"/>
  <c r="N404" i="27"/>
  <c r="I404" i="27"/>
  <c r="I150" i="27"/>
  <c r="N150" i="27"/>
  <c r="N162" i="27"/>
  <c r="I162" i="27"/>
  <c r="J162" i="27"/>
  <c r="K162" i="27"/>
  <c r="L162" i="27"/>
  <c r="M440" i="27"/>
  <c r="K440" i="27"/>
  <c r="N440" i="27"/>
  <c r="H706" i="27"/>
  <c r="H707" i="27" s="1"/>
  <c r="H708" i="27" s="1"/>
  <c r="A43" i="27"/>
  <c r="T43" i="27" s="1"/>
  <c r="J380" i="27"/>
  <c r="N380" i="27"/>
  <c r="L380" i="27"/>
  <c r="I380" i="27"/>
  <c r="K380" i="27"/>
  <c r="M380" i="27"/>
  <c r="J428" i="27"/>
  <c r="K428" i="27"/>
  <c r="L428" i="27"/>
  <c r="I428" i="27"/>
  <c r="N428" i="27"/>
  <c r="M428" i="27"/>
  <c r="H2020" i="27"/>
  <c r="K1420" i="27"/>
  <c r="O2020" i="27"/>
  <c r="I2020" i="27"/>
  <c r="J2020" i="27"/>
  <c r="E2020" i="27"/>
  <c r="N2020" i="27"/>
  <c r="P2020" i="27"/>
  <c r="K2020" i="27"/>
  <c r="G2020" i="27"/>
  <c r="Q1711" i="32"/>
  <c r="W1711" i="32"/>
  <c r="K1711" i="32" s="1"/>
  <c r="C148" i="20"/>
  <c r="D147" i="20"/>
  <c r="J161" i="16" a="1"/>
  <c r="J161" i="16" s="1"/>
  <c r="M126" i="1"/>
  <c r="AO126" i="1"/>
  <c r="AC126" i="1"/>
  <c r="O126" i="1"/>
  <c r="N368" i="27"/>
  <c r="J368" i="27"/>
  <c r="M368" i="27"/>
  <c r="K368" i="27"/>
  <c r="I368" i="27"/>
  <c r="L368" i="27"/>
  <c r="Q1415" i="32"/>
  <c r="W1415" i="32"/>
  <c r="K1415" i="32" s="1"/>
  <c r="Q1491" i="32"/>
  <c r="W1491" i="32"/>
  <c r="K1491" i="32" s="1"/>
  <c r="B88" i="24"/>
  <c r="B91" i="24"/>
  <c r="B95" i="24"/>
  <c r="B89" i="24"/>
  <c r="B97" i="24"/>
  <c r="B92" i="24"/>
  <c r="B96" i="24"/>
  <c r="B93" i="24"/>
  <c r="B99" i="24"/>
  <c r="B94" i="24"/>
  <c r="B90" i="24"/>
  <c r="B98" i="24"/>
  <c r="Q1411" i="32"/>
  <c r="W1411" i="32"/>
  <c r="K1411" i="32" s="1"/>
  <c r="Q1271" i="32"/>
  <c r="W1271" i="32"/>
  <c r="K1271" i="32" s="1"/>
  <c r="C314" i="20"/>
  <c r="D314" i="20" s="1"/>
  <c r="D313" i="20"/>
  <c r="D306" i="20"/>
  <c r="C307" i="20"/>
  <c r="Q1619" i="32"/>
  <c r="W1619" i="32"/>
  <c r="K1619" i="32" s="1"/>
  <c r="Q1731" i="32"/>
  <c r="W1731" i="32"/>
  <c r="K1731" i="32" s="1"/>
  <c r="Q1607" i="32"/>
  <c r="W1607" i="32"/>
  <c r="K1607" i="32" s="1"/>
  <c r="Q1441" i="32"/>
  <c r="W1441" i="32"/>
  <c r="K1441" i="32" s="1"/>
  <c r="D359" i="20"/>
  <c r="L7" i="29" a="1"/>
  <c r="L7" i="29" s="1"/>
  <c r="L8" i="29" s="1" a="1"/>
  <c r="L8" i="29" s="1"/>
  <c r="N130" i="1"/>
  <c r="O130" i="1"/>
  <c r="M130" i="1"/>
  <c r="AC130" i="1"/>
  <c r="AO130" i="1"/>
  <c r="AE124" i="1" a="1"/>
  <c r="AE124" i="1" s="1"/>
  <c r="AE125" i="1" s="1" a="1"/>
  <c r="AE125" i="1" s="1"/>
  <c r="Q1153" i="32"/>
  <c r="W1153" i="32"/>
  <c r="K1153" i="32" s="1"/>
  <c r="Q1285" i="32"/>
  <c r="W1285" i="32"/>
  <c r="K1285" i="32" s="1"/>
  <c r="Q1533" i="32"/>
  <c r="W1533" i="32"/>
  <c r="K1533" i="32" s="1"/>
  <c r="W1019" i="32"/>
  <c r="K1019" i="32" s="1"/>
  <c r="Q1461" i="32"/>
  <c r="W1461" i="32"/>
  <c r="K1461" i="32" s="1"/>
  <c r="Q1429" i="32"/>
  <c r="W1429" i="32"/>
  <c r="K1429" i="32" s="1"/>
  <c r="C301" i="20"/>
  <c r="D300" i="20"/>
  <c r="X160" i="1"/>
  <c r="AD160" i="1"/>
  <c r="AF160" i="1"/>
  <c r="U160" i="1"/>
  <c r="L160" i="1" s="1"/>
  <c r="B8" i="30"/>
  <c r="B53" i="24"/>
  <c r="C148" i="24"/>
  <c r="B107" i="24"/>
  <c r="B8" i="31"/>
  <c r="Q1175" i="32"/>
  <c r="W1175" i="32"/>
  <c r="K1175" i="32" s="1"/>
  <c r="Q1489" i="32"/>
  <c r="W1489" i="32"/>
  <c r="K1489" i="32" s="1"/>
  <c r="Q1455" i="32"/>
  <c r="W1455" i="32"/>
  <c r="K1455" i="32" s="1"/>
  <c r="C226" i="20"/>
  <c r="D225" i="20"/>
  <c r="Q1161" i="32"/>
  <c r="W1161" i="32"/>
  <c r="K1161" i="32" s="1"/>
  <c r="W1017" i="32"/>
  <c r="K1017" i="32" s="1"/>
  <c r="Q1499" i="32"/>
  <c r="W1499" i="32"/>
  <c r="K1499" i="32" s="1"/>
  <c r="C364" i="20"/>
  <c r="D363" i="20"/>
  <c r="B50" i="1"/>
  <c r="Q1535" i="32"/>
  <c r="W1535" i="32"/>
  <c r="K1535" i="32" s="1"/>
  <c r="Q1373" i="32"/>
  <c r="W1373" i="32"/>
  <c r="K1373" i="32" s="1"/>
  <c r="Q1717" i="32"/>
  <c r="W1717" i="32"/>
  <c r="K1717" i="32" s="1"/>
  <c r="W987" i="32"/>
  <c r="K987" i="32" s="1"/>
  <c r="Q1617" i="32"/>
  <c r="W1617" i="32"/>
  <c r="K1617" i="32" s="1"/>
  <c r="Q1485" i="32"/>
  <c r="W1485" i="32"/>
  <c r="K1485" i="32" s="1"/>
  <c r="Q1755" i="32"/>
  <c r="W1755" i="32"/>
  <c r="K1755" i="32" s="1"/>
  <c r="AD165" i="1"/>
  <c r="X165" i="1"/>
  <c r="AF165" i="1"/>
  <c r="U165" i="1"/>
  <c r="L165" i="1" s="1"/>
  <c r="E48" i="1"/>
  <c r="H221" i="24" s="1"/>
  <c r="K7" i="31"/>
  <c r="L146" i="24"/>
  <c r="A23" i="24"/>
  <c r="P52" i="24"/>
  <c r="Q1643" i="32"/>
  <c r="W1643" i="32"/>
  <c r="K1643" i="32" s="1"/>
  <c r="Q1343" i="32"/>
  <c r="W1343" i="32"/>
  <c r="K1343" i="32" s="1"/>
  <c r="Q1703" i="32"/>
  <c r="W1703" i="32"/>
  <c r="K1703" i="32" s="1"/>
  <c r="W1001" i="32"/>
  <c r="K1001" i="32" s="1"/>
  <c r="Q1605" i="32"/>
  <c r="W1605" i="32"/>
  <c r="K1605" i="32" s="1"/>
  <c r="Q1767" i="32"/>
  <c r="W1767" i="32"/>
  <c r="K1767" i="32" s="1"/>
  <c r="D374" i="20"/>
  <c r="U625" i="32"/>
  <c r="N164" i="1"/>
  <c r="AC151" i="1"/>
  <c r="O151" i="1"/>
  <c r="M174" i="1"/>
  <c r="AO174" i="1"/>
  <c r="AC174" i="1"/>
  <c r="AH174" i="1" s="1"/>
  <c r="N174" i="1"/>
  <c r="O174" i="1"/>
  <c r="X128" i="1"/>
  <c r="AF128" i="1"/>
  <c r="AT83" i="34" s="1"/>
  <c r="AD128" i="1"/>
  <c r="U128" i="1"/>
  <c r="L128" i="1" s="1"/>
  <c r="X136" i="1"/>
  <c r="AD136" i="1"/>
  <c r="AF136" i="1"/>
  <c r="U136" i="1"/>
  <c r="L136" i="1" s="1"/>
  <c r="O7" i="30"/>
  <c r="L134" i="27"/>
  <c r="L170" i="27"/>
  <c r="L164" i="27"/>
  <c r="L182" i="27"/>
  <c r="L194" i="27"/>
  <c r="L212" i="27"/>
  <c r="L158" i="27"/>
  <c r="L218" i="27"/>
  <c r="L188" i="27"/>
  <c r="L206" i="27"/>
  <c r="L200" i="27"/>
  <c r="L140" i="27"/>
  <c r="L176" i="27"/>
  <c r="L146" i="27"/>
  <c r="L152" i="27"/>
  <c r="Q1521" i="32"/>
  <c r="W1521" i="32"/>
  <c r="K1521" i="32" s="1"/>
  <c r="AD168" i="1"/>
  <c r="X168" i="1"/>
  <c r="AF168" i="1"/>
  <c r="U168" i="1"/>
  <c r="L168" i="1" s="1"/>
  <c r="X150" i="1"/>
  <c r="AF150" i="1"/>
  <c r="AD150" i="1"/>
  <c r="U150" i="1"/>
  <c r="L150" i="1" s="1"/>
  <c r="E101" i="1"/>
  <c r="B8" i="34"/>
  <c r="B148" i="24"/>
  <c r="Q1655" i="32"/>
  <c r="W1655" i="32"/>
  <c r="K1655" i="32" s="1"/>
  <c r="Q1355" i="32"/>
  <c r="W1355" i="32"/>
  <c r="K1355" i="32" s="1"/>
  <c r="Q1715" i="32"/>
  <c r="W1715" i="32"/>
  <c r="K1715" i="32" s="1"/>
  <c r="W1013" i="32"/>
  <c r="K1013" i="32" s="1"/>
  <c r="Q1749" i="32"/>
  <c r="W1749" i="32"/>
  <c r="K1749" i="32" s="1"/>
  <c r="B162" i="16" a="1"/>
  <c r="B162" i="16" s="1"/>
  <c r="B163" i="16" s="1" a="1"/>
  <c r="B163" i="16" s="1"/>
  <c r="AC172" i="1"/>
  <c r="AH172" i="1" s="1"/>
  <c r="AO172" i="1"/>
  <c r="O172" i="1"/>
  <c r="M172" i="1"/>
  <c r="N172" i="1"/>
  <c r="C25" i="19" a="1"/>
  <c r="C25" i="19" s="1"/>
  <c r="C26" i="19" s="1" a="1"/>
  <c r="C26" i="19" s="1"/>
  <c r="O124" i="1"/>
  <c r="AC124" i="1"/>
  <c r="M124" i="1"/>
  <c r="AO124" i="1"/>
  <c r="N124" i="1"/>
  <c r="H503" i="27"/>
  <c r="Q1165" i="32"/>
  <c r="W1165" i="32"/>
  <c r="K1165" i="32" s="1"/>
  <c r="C9" i="29"/>
  <c r="B10" i="29"/>
  <c r="C10" i="29" s="1"/>
  <c r="W1005" i="32"/>
  <c r="K1005" i="32" s="1"/>
  <c r="D192" i="20"/>
  <c r="Q1679" i="32"/>
  <c r="W1679" i="32"/>
  <c r="K1679" i="32" s="1"/>
  <c r="Q1367" i="32"/>
  <c r="W1367" i="32"/>
  <c r="K1367" i="32" s="1"/>
  <c r="Q1701" i="32"/>
  <c r="W1701" i="32"/>
  <c r="K1701" i="32" s="1"/>
  <c r="W999" i="32"/>
  <c r="K999" i="32" s="1"/>
  <c r="Q1747" i="32"/>
  <c r="W1747" i="32"/>
  <c r="K1747" i="32" s="1"/>
  <c r="N434" i="27"/>
  <c r="L434" i="27"/>
  <c r="K434" i="27"/>
  <c r="I434" i="27"/>
  <c r="M434" i="27"/>
  <c r="J434" i="27"/>
  <c r="Q8" i="31"/>
  <c r="U8" i="31"/>
  <c r="Y8" i="31"/>
  <c r="M8" i="30"/>
  <c r="M8" i="31"/>
  <c r="U8" i="30"/>
  <c r="Y8" i="30"/>
  <c r="Q1691" i="32"/>
  <c r="W1691" i="32"/>
  <c r="K1691" i="32" s="1"/>
  <c r="Q1739" i="32"/>
  <c r="W1739" i="32"/>
  <c r="K1739" i="32" s="1"/>
  <c r="Q1293" i="32"/>
  <c r="W1293" i="32"/>
  <c r="K1293" i="32" s="1"/>
  <c r="Q1779" i="32"/>
  <c r="W1779" i="32"/>
  <c r="K1779" i="32" s="1"/>
  <c r="D35" i="20"/>
  <c r="C36" i="20"/>
  <c r="N137" i="1"/>
  <c r="AC137" i="1"/>
  <c r="AO137" i="1"/>
  <c r="M137" i="1"/>
  <c r="O137" i="1"/>
  <c r="O129" i="1"/>
  <c r="AC129" i="1"/>
  <c r="AO129" i="1"/>
  <c r="M129" i="1"/>
  <c r="N129" i="1"/>
  <c r="C254" i="20"/>
  <c r="D253" i="20"/>
  <c r="Q1725" i="32"/>
  <c r="W1725" i="32"/>
  <c r="K1725" i="32" s="1"/>
  <c r="Q1277" i="32"/>
  <c r="W1277" i="32"/>
  <c r="K1277" i="32" s="1"/>
  <c r="Q1449" i="32"/>
  <c r="W1449" i="32"/>
  <c r="K1449" i="32" s="1"/>
  <c r="Q1761" i="32"/>
  <c r="W1761" i="32"/>
  <c r="K1761" i="32" s="1"/>
  <c r="C186" i="20"/>
  <c r="D186" i="20" s="1"/>
  <c r="D185" i="20"/>
  <c r="M144" i="1"/>
  <c r="AO144" i="1"/>
  <c r="O144" i="1"/>
  <c r="N144" i="1"/>
  <c r="AC144" i="1"/>
  <c r="M152" i="1"/>
  <c r="AO152" i="1"/>
  <c r="AC152" i="1"/>
  <c r="N152" i="1"/>
  <c r="O152" i="1"/>
  <c r="F9" i="16" a="1"/>
  <c r="F9" i="16" s="1"/>
  <c r="F10" i="16" s="1" a="1"/>
  <c r="F10" i="16" s="1"/>
  <c r="N446" i="27"/>
  <c r="L446" i="27"/>
  <c r="I446" i="27"/>
  <c r="M446" i="27"/>
  <c r="K446" i="27"/>
  <c r="J446" i="27"/>
  <c r="Q1417" i="32"/>
  <c r="W1417" i="32"/>
  <c r="K1417" i="32" s="1"/>
  <c r="Q1263" i="32"/>
  <c r="W1263" i="32"/>
  <c r="K1263" i="32" s="1"/>
  <c r="Q1435" i="32"/>
  <c r="W1435" i="32"/>
  <c r="K1435" i="32" s="1"/>
  <c r="Q1743" i="32"/>
  <c r="W1743" i="32"/>
  <c r="K1743" i="32" s="1"/>
  <c r="C167" i="20"/>
  <c r="D166" i="20"/>
  <c r="D193" i="20"/>
  <c r="M145" i="1"/>
  <c r="AO145" i="1"/>
  <c r="N145" i="1"/>
  <c r="O145" i="1"/>
  <c r="AC145" i="1"/>
  <c r="N153" i="1"/>
  <c r="O153" i="1"/>
  <c r="AC153" i="1"/>
  <c r="M153" i="1"/>
  <c r="AO153" i="1"/>
  <c r="Q1167" i="32"/>
  <c r="W1167" i="32"/>
  <c r="K1167" i="32" s="1"/>
  <c r="Q1389" i="32"/>
  <c r="W1389" i="32"/>
  <c r="K1389" i="32" s="1"/>
  <c r="Q1261" i="32"/>
  <c r="W1261" i="32"/>
  <c r="K1261" i="32" s="1"/>
  <c r="Q1447" i="32"/>
  <c r="W1447" i="32"/>
  <c r="K1447" i="32" s="1"/>
  <c r="Q1769" i="32"/>
  <c r="W1769" i="32"/>
  <c r="K1769" i="32" s="1"/>
  <c r="C206" i="20"/>
  <c r="D205" i="20"/>
  <c r="C485" i="27"/>
  <c r="B486" i="27"/>
  <c r="AC171" i="1"/>
  <c r="M171" i="1"/>
  <c r="AO171" i="1"/>
  <c r="N171" i="1"/>
  <c r="O171" i="1"/>
  <c r="AC149" i="1"/>
  <c r="M149" i="1"/>
  <c r="AO149" i="1"/>
  <c r="N149" i="1"/>
  <c r="O149" i="1"/>
  <c r="Q1503" i="32"/>
  <c r="W1503" i="32"/>
  <c r="K1503" i="32" s="1"/>
  <c r="Q1459" i="32"/>
  <c r="W1459" i="32"/>
  <c r="K1459" i="32" s="1"/>
  <c r="C72" i="20"/>
  <c r="D71" i="20"/>
  <c r="D214" i="20"/>
  <c r="C215" i="20"/>
  <c r="AC127" i="1"/>
  <c r="M127" i="1"/>
  <c r="AO127" i="1"/>
  <c r="N127" i="1"/>
  <c r="O127" i="1"/>
  <c r="AC163" i="1"/>
  <c r="M163" i="1"/>
  <c r="AO163" i="1"/>
  <c r="N163" i="1"/>
  <c r="O163" i="1"/>
  <c r="N173" i="1"/>
  <c r="O173" i="1"/>
  <c r="AO173" i="1"/>
  <c r="AC173" i="1"/>
  <c r="M173" i="1"/>
  <c r="I26" i="16" a="1"/>
  <c r="I26" i="16" s="1"/>
  <c r="H28" i="16" a="1"/>
  <c r="H28" i="16" s="1"/>
  <c r="I28" i="16" s="1" a="1"/>
  <c r="I28" i="16" s="1"/>
  <c r="Q1383" i="32"/>
  <c r="W1383" i="32"/>
  <c r="K1383" i="32" s="1"/>
  <c r="I162" i="16" a="1"/>
  <c r="I162" i="16" s="1"/>
  <c r="I163" i="16" s="1" a="1"/>
  <c r="I163" i="16" s="1"/>
  <c r="J163" i="16" s="1" a="1"/>
  <c r="J163" i="16" s="1"/>
  <c r="N143" i="1"/>
  <c r="M143" i="1"/>
  <c r="O143" i="1"/>
  <c r="AO143" i="1"/>
  <c r="AC143" i="1"/>
  <c r="K136" i="27"/>
  <c r="K2856" i="27"/>
  <c r="M134" i="27"/>
  <c r="E485" i="27"/>
  <c r="R485" i="27"/>
  <c r="I2853" i="27"/>
  <c r="H21" i="27"/>
  <c r="J358" i="27"/>
  <c r="H2851" i="27"/>
  <c r="N361" i="27"/>
  <c r="G874" i="27"/>
  <c r="I703" i="27"/>
  <c r="G739" i="27"/>
  <c r="E21" i="27"/>
  <c r="N137" i="27"/>
  <c r="I2855" i="27"/>
  <c r="K2855" i="27"/>
  <c r="K2854" i="27"/>
  <c r="J705" i="27"/>
  <c r="K360" i="27"/>
  <c r="M359" i="27"/>
  <c r="N134" i="27"/>
  <c r="J2288" i="27"/>
  <c r="J227" i="27"/>
  <c r="M361" i="27"/>
  <c r="L227" i="27"/>
  <c r="N2204" i="27"/>
  <c r="K485" i="27"/>
  <c r="Q21" i="27"/>
  <c r="J703" i="27"/>
  <c r="J2852" i="27"/>
  <c r="J485" i="27" a="1"/>
  <c r="M137" i="27"/>
  <c r="I360" i="27"/>
  <c r="N359" i="27"/>
  <c r="G11" i="33"/>
  <c r="I2854" i="27"/>
  <c r="K2853" i="27"/>
  <c r="J2286" i="27"/>
  <c r="N136" i="27"/>
  <c r="AI13" i="31"/>
  <c r="P21" i="27"/>
  <c r="L21" i="27"/>
  <c r="N135" i="27"/>
  <c r="P485" i="27"/>
  <c r="G727" i="27"/>
  <c r="I2204" i="27"/>
  <c r="O22" i="27"/>
  <c r="I135" i="27"/>
  <c r="BC17" i="34"/>
  <c r="I2852" i="27"/>
  <c r="D484" i="27"/>
  <c r="G879" i="27"/>
  <c r="F21" i="27"/>
  <c r="K135" i="27"/>
  <c r="O2204" i="27"/>
  <c r="Q245" i="27"/>
  <c r="G318" i="32"/>
  <c r="G227" i="27"/>
  <c r="G721" i="27"/>
  <c r="F227" i="27"/>
  <c r="K705" i="27"/>
  <c r="N227" i="27"/>
  <c r="H245" i="27"/>
  <c r="K2851" i="27"/>
  <c r="BD17" i="34"/>
  <c r="J135" i="27"/>
  <c r="M360" i="27"/>
  <c r="A12" i="32"/>
  <c r="I137" i="27"/>
  <c r="K21" i="27"/>
  <c r="N360" i="27"/>
  <c r="T485" i="27"/>
  <c r="J2853" i="27"/>
  <c r="I361" i="27"/>
  <c r="N2286" i="27"/>
  <c r="A623" i="32"/>
  <c r="G21" i="27"/>
  <c r="L485" i="27"/>
  <c r="G714" i="27"/>
  <c r="U485" i="27"/>
  <c r="M136" i="27"/>
  <c r="G744" i="27"/>
  <c r="K134" i="27"/>
  <c r="G720" i="27"/>
  <c r="F2288" i="27"/>
  <c r="G733" i="27"/>
  <c r="J136" i="27"/>
  <c r="N2288" i="27"/>
  <c r="D21" i="27"/>
  <c r="G875" i="27"/>
  <c r="K704" i="27"/>
  <c r="O21" i="27"/>
  <c r="G703" i="27"/>
  <c r="H2854" i="27"/>
  <c r="V485" i="27"/>
  <c r="I2851" i="27"/>
  <c r="I134" i="27"/>
  <c r="K702" i="27"/>
  <c r="O485" i="27"/>
  <c r="J360" i="27"/>
  <c r="Q485" i="27"/>
  <c r="J2855" i="27"/>
  <c r="M2286" i="27"/>
  <c r="R227" i="27"/>
  <c r="O2288" i="27"/>
  <c r="I702" i="27"/>
  <c r="M227" i="27" a="1"/>
  <c r="F485" i="27"/>
  <c r="N365" i="27"/>
  <c r="N358" i="27"/>
  <c r="I485" i="27"/>
  <c r="H2852" i="27"/>
  <c r="J359" i="27"/>
  <c r="J704" i="27"/>
  <c r="J700" i="27"/>
  <c r="G485" i="27"/>
  <c r="O227" i="27"/>
  <c r="E227" i="27"/>
  <c r="M2288" i="27"/>
  <c r="D227" i="27"/>
  <c r="G878" i="27"/>
  <c r="J365" i="27"/>
  <c r="I2856" i="27"/>
  <c r="BD11" i="33"/>
  <c r="R21" i="27"/>
  <c r="G708" i="27"/>
  <c r="J21" i="27"/>
  <c r="K2857" i="27"/>
  <c r="K137" i="27"/>
  <c r="M358" i="27"/>
  <c r="P227" i="27"/>
  <c r="M485" i="27"/>
  <c r="G715" i="27"/>
  <c r="N485" i="27"/>
  <c r="G743" i="27"/>
  <c r="G709" i="27"/>
  <c r="J2856" i="27"/>
  <c r="G738" i="27"/>
  <c r="M141" i="27"/>
  <c r="G702" i="27"/>
  <c r="Q396" i="32" l="1"/>
  <c r="P663" i="32"/>
  <c r="P665" i="32" s="1"/>
  <c r="Q356" i="32"/>
  <c r="P400" i="32"/>
  <c r="Q400" i="32" s="1"/>
  <c r="AT19" i="34"/>
  <c r="AT56" i="34"/>
  <c r="AT46" i="34"/>
  <c r="AT62" i="34"/>
  <c r="AT10" i="34"/>
  <c r="AT12" i="34"/>
  <c r="AT44" i="34"/>
  <c r="AT60" i="34"/>
  <c r="AT72" i="34"/>
  <c r="AT76" i="34"/>
  <c r="AT20" i="34"/>
  <c r="AT65" i="34"/>
  <c r="AT27" i="34"/>
  <c r="AT47" i="34"/>
  <c r="AT25" i="34"/>
  <c r="AT66" i="34"/>
  <c r="AT57" i="34"/>
  <c r="AT86" i="34"/>
  <c r="AT31" i="34"/>
  <c r="AT51" i="34"/>
  <c r="AT50" i="34"/>
  <c r="AT28" i="34"/>
  <c r="AT88" i="34"/>
  <c r="AT53" i="34"/>
  <c r="AT40" i="34"/>
  <c r="AT22" i="34"/>
  <c r="AT75" i="34"/>
  <c r="AT21" i="34"/>
  <c r="AT87" i="34"/>
  <c r="AT29" i="34"/>
  <c r="AT39" i="34"/>
  <c r="AT78" i="34"/>
  <c r="AT85" i="34"/>
  <c r="AT34" i="34"/>
  <c r="AT59" i="34"/>
  <c r="AT81" i="34"/>
  <c r="AT74" i="34"/>
  <c r="AT63" i="34"/>
  <c r="AT26" i="34"/>
  <c r="AT68" i="34"/>
  <c r="AT17" i="34"/>
  <c r="AT71" i="34"/>
  <c r="AT48" i="34"/>
  <c r="AT15" i="34"/>
  <c r="AT16" i="34"/>
  <c r="AT82" i="34"/>
  <c r="AT41" i="34"/>
  <c r="AT55" i="34"/>
  <c r="AT69" i="34"/>
  <c r="AT24" i="34"/>
  <c r="AT79" i="34"/>
  <c r="AT37" i="34"/>
  <c r="AT80" i="34"/>
  <c r="AT73" i="34"/>
  <c r="AT33" i="34"/>
  <c r="AT35" i="34"/>
  <c r="AT45" i="34"/>
  <c r="AT43" i="34"/>
  <c r="AT84" i="34"/>
  <c r="AT52" i="34"/>
  <c r="AT54" i="34"/>
  <c r="AT9" i="34"/>
  <c r="AT61" i="34"/>
  <c r="AT14" i="34"/>
  <c r="AT13" i="34"/>
  <c r="AT42" i="34"/>
  <c r="AT77" i="34"/>
  <c r="AT18" i="34"/>
  <c r="AT32" i="34"/>
  <c r="AT58" i="34"/>
  <c r="AT38" i="34"/>
  <c r="AT36" i="34"/>
  <c r="AT23" i="34"/>
  <c r="AT49" i="34"/>
  <c r="AT64" i="34"/>
  <c r="AT30" i="34"/>
  <c r="AT67" i="34"/>
  <c r="AT11" i="34"/>
  <c r="AT70" i="34"/>
  <c r="A704" i="27"/>
  <c r="A702" i="27"/>
  <c r="A700" i="27"/>
  <c r="A2286" i="27"/>
  <c r="O169" i="1"/>
  <c r="N169" i="1"/>
  <c r="AC169" i="1"/>
  <c r="M169" i="1"/>
  <c r="AO169" i="1"/>
  <c r="A137" i="27"/>
  <c r="T137" i="27" s="1"/>
  <c r="M227" i="27"/>
  <c r="A227" i="27" s="1"/>
  <c r="A134" i="27"/>
  <c r="T134" i="27" s="1"/>
  <c r="AC164" i="1"/>
  <c r="M164" i="1"/>
  <c r="C110" i="20"/>
  <c r="D110" i="20" s="1"/>
  <c r="D109" i="20"/>
  <c r="O164" i="1"/>
  <c r="E1038" i="27"/>
  <c r="AJ15" i="30"/>
  <c r="AH17" i="31"/>
  <c r="U322" i="32"/>
  <c r="I7" i="16" a="1"/>
  <c r="I7" i="16" s="1"/>
  <c r="H8" i="16" a="1"/>
  <c r="H8" i="16" s="1"/>
  <c r="C273" i="20"/>
  <c r="D272" i="20"/>
  <c r="N135" i="1"/>
  <c r="BA15" i="33"/>
  <c r="Q380" i="32"/>
  <c r="Q378" i="32"/>
  <c r="N246" i="24"/>
  <c r="N243" i="24"/>
  <c r="G274" i="24"/>
  <c r="E277" i="24"/>
  <c r="G280" i="24"/>
  <c r="I289" i="24"/>
  <c r="A405" i="27"/>
  <c r="N296" i="24"/>
  <c r="C295" i="24"/>
  <c r="C291" i="24"/>
  <c r="E293" i="24"/>
  <c r="G296" i="24"/>
  <c r="F221" i="24"/>
  <c r="A192" i="27"/>
  <c r="T192" i="27" s="1"/>
  <c r="G255" i="24"/>
  <c r="I234" i="24"/>
  <c r="I251" i="24"/>
  <c r="D253" i="24"/>
  <c r="E253" i="24"/>
  <c r="G290" i="24"/>
  <c r="B292" i="24"/>
  <c r="N283" i="24"/>
  <c r="B237" i="24"/>
  <c r="I243" i="24"/>
  <c r="N239" i="24"/>
  <c r="C298" i="24"/>
  <c r="I241" i="24"/>
  <c r="I226" i="24"/>
  <c r="C296" i="24"/>
  <c r="B285" i="24"/>
  <c r="G297" i="24"/>
  <c r="N286" i="24"/>
  <c r="N256" i="24"/>
  <c r="N223" i="24"/>
  <c r="I278" i="24"/>
  <c r="N262" i="24"/>
  <c r="I247" i="24"/>
  <c r="N226" i="24"/>
  <c r="C275" i="24"/>
  <c r="G295" i="24"/>
  <c r="I282" i="24"/>
  <c r="G294" i="24"/>
  <c r="N275" i="24"/>
  <c r="C297" i="24"/>
  <c r="B245" i="24"/>
  <c r="B229" i="24"/>
  <c r="D221" i="24"/>
  <c r="G275" i="24"/>
  <c r="I267" i="24"/>
  <c r="G286" i="24"/>
  <c r="C272" i="24"/>
  <c r="I222" i="24"/>
  <c r="G285" i="24"/>
  <c r="N271" i="24"/>
  <c r="C288" i="24"/>
  <c r="I233" i="24"/>
  <c r="I293" i="24"/>
  <c r="C299" i="24"/>
  <c r="C253" i="24"/>
  <c r="C271" i="24"/>
  <c r="C256" i="24"/>
  <c r="N290" i="24"/>
  <c r="N274" i="24"/>
  <c r="N238" i="24"/>
  <c r="I285" i="24"/>
  <c r="I246" i="24"/>
  <c r="G299" i="24"/>
  <c r="B276" i="24"/>
  <c r="N247" i="24"/>
  <c r="I297" i="24"/>
  <c r="G245" i="24"/>
  <c r="I299" i="24"/>
  <c r="F293" i="24"/>
  <c r="Q741" i="32"/>
  <c r="P745" i="32"/>
  <c r="Q745" i="32" s="1"/>
  <c r="A216" i="27"/>
  <c r="T216" i="27" s="1"/>
  <c r="A135" i="27"/>
  <c r="T135" i="27" s="1"/>
  <c r="A2288" i="27"/>
  <c r="A2855" i="27"/>
  <c r="A2856" i="27"/>
  <c r="A2853" i="27"/>
  <c r="N1342" i="27"/>
  <c r="H1342" i="27"/>
  <c r="E1342" i="27"/>
  <c r="K1342" i="27"/>
  <c r="I1342" i="27"/>
  <c r="J1342" i="27"/>
  <c r="G1342" i="27"/>
  <c r="O1342" i="27"/>
  <c r="K1192" i="27"/>
  <c r="L1342" i="27"/>
  <c r="N161" i="1"/>
  <c r="AO161" i="1"/>
  <c r="AC161" i="1"/>
  <c r="O161" i="1"/>
  <c r="M161" i="1"/>
  <c r="M132" i="1"/>
  <c r="O132" i="1"/>
  <c r="N132" i="1"/>
  <c r="AC132" i="1"/>
  <c r="AO132" i="1"/>
  <c r="W80" i="32"/>
  <c r="K80" i="32" s="1"/>
  <c r="Q701" i="32"/>
  <c r="P703" i="32"/>
  <c r="C6" i="19" a="1"/>
  <c r="C6" i="19" s="1"/>
  <c r="AY19" i="34"/>
  <c r="I23" i="27"/>
  <c r="B230" i="27"/>
  <c r="I229" i="27"/>
  <c r="N151" i="1"/>
  <c r="O166" i="1"/>
  <c r="M151" i="1"/>
  <c r="AC170" i="1"/>
  <c r="AO166" i="1"/>
  <c r="W10" i="32"/>
  <c r="K10" i="32" s="1"/>
  <c r="P10" i="32"/>
  <c r="Q10" i="32" s="1"/>
  <c r="K1191" i="27"/>
  <c r="K1341" i="27"/>
  <c r="M138" i="1"/>
  <c r="N138" i="1"/>
  <c r="AC138" i="1"/>
  <c r="AO138" i="1"/>
  <c r="O138" i="1"/>
  <c r="W12" i="32"/>
  <c r="K12" i="32" s="1"/>
  <c r="M166" i="1"/>
  <c r="B2290" i="27"/>
  <c r="P30" i="32"/>
  <c r="Q30" i="32" s="1"/>
  <c r="W82" i="32"/>
  <c r="K82" i="32" s="1"/>
  <c r="O170" i="1"/>
  <c r="N170" i="1"/>
  <c r="AO170" i="1"/>
  <c r="P783" i="32"/>
  <c r="C24" i="27"/>
  <c r="B25" i="27"/>
  <c r="AE126" i="1" a="1"/>
  <c r="AE126" i="1" s="1"/>
  <c r="U16" i="32"/>
  <c r="A703" i="27"/>
  <c r="G293" i="24"/>
  <c r="N248" i="24"/>
  <c r="N240" i="24"/>
  <c r="I231" i="24"/>
  <c r="F253" i="24"/>
  <c r="N237" i="24"/>
  <c r="F229" i="24"/>
  <c r="N250" i="24"/>
  <c r="F277" i="24"/>
  <c r="C294" i="24"/>
  <c r="I245" i="24"/>
  <c r="N273" i="24"/>
  <c r="I291" i="24"/>
  <c r="E221" i="24"/>
  <c r="N225" i="24"/>
  <c r="C258" i="24"/>
  <c r="N279" i="24"/>
  <c r="B221" i="24"/>
  <c r="C254" i="24"/>
  <c r="I257" i="24"/>
  <c r="N258" i="24"/>
  <c r="I253" i="24"/>
  <c r="N254" i="24"/>
  <c r="B236" i="24"/>
  <c r="I235" i="24"/>
  <c r="N281" i="24"/>
  <c r="N269" i="24"/>
  <c r="B261" i="24"/>
  <c r="I273" i="24"/>
  <c r="N264" i="24"/>
  <c r="G259" i="24"/>
  <c r="I229" i="24"/>
  <c r="N261" i="24"/>
  <c r="G281" i="24"/>
  <c r="I225" i="24"/>
  <c r="N257" i="24"/>
  <c r="G277" i="24"/>
  <c r="D285" i="24"/>
  <c r="N288" i="24"/>
  <c r="C237" i="24"/>
  <c r="C263" i="24"/>
  <c r="E285" i="24"/>
  <c r="G229" i="24"/>
  <c r="B244" i="24"/>
  <c r="C245" i="24"/>
  <c r="I237" i="24"/>
  <c r="G237" i="24"/>
  <c r="N299" i="24"/>
  <c r="N221" i="24"/>
  <c r="G291" i="24"/>
  <c r="N280" i="24"/>
  <c r="G298" i="24"/>
  <c r="I288" i="24"/>
  <c r="C283" i="24"/>
  <c r="N291" i="24"/>
  <c r="N241" i="24"/>
  <c r="N266" i="24"/>
  <c r="C287" i="24"/>
  <c r="N233" i="24"/>
  <c r="C262" i="24"/>
  <c r="D269" i="24"/>
  <c r="N272" i="24"/>
  <c r="I298" i="24"/>
  <c r="D245" i="24"/>
  <c r="E269" i="24"/>
  <c r="C229" i="24"/>
  <c r="B228" i="24"/>
  <c r="N224" i="24"/>
  <c r="I221" i="24"/>
  <c r="I290" i="24"/>
  <c r="N287" i="24"/>
  <c r="C279" i="24"/>
  <c r="C267" i="24"/>
  <c r="I256" i="24"/>
  <c r="G273" i="24"/>
  <c r="G265" i="24"/>
  <c r="I259" i="24"/>
  <c r="N259" i="24"/>
  <c r="G283" i="24"/>
  <c r="I223" i="24"/>
  <c r="N255" i="24"/>
  <c r="G279" i="24"/>
  <c r="G288" i="24"/>
  <c r="N227" i="24"/>
  <c r="E237" i="24"/>
  <c r="N265" i="24"/>
  <c r="C285" i="24"/>
  <c r="N230" i="24"/>
  <c r="F285" i="24"/>
  <c r="G282" i="24"/>
  <c r="C281" i="24"/>
  <c r="G278" i="24"/>
  <c r="I266" i="24"/>
  <c r="N263" i="24"/>
  <c r="N298" i="24"/>
  <c r="I287" i="24"/>
  <c r="N278" i="24"/>
  <c r="N297" i="24"/>
  <c r="I286" i="24"/>
  <c r="I294" i="24"/>
  <c r="I238" i="24"/>
  <c r="G267" i="24"/>
  <c r="N289" i="24"/>
  <c r="I230" i="24"/>
  <c r="I261" i="24"/>
  <c r="G272" i="24"/>
  <c r="C290" i="24"/>
  <c r="I296" i="24"/>
  <c r="N249" i="24"/>
  <c r="N270" i="24"/>
  <c r="D293" i="24"/>
  <c r="C273" i="24"/>
  <c r="G270" i="24"/>
  <c r="F269" i="24"/>
  <c r="G266" i="24"/>
  <c r="I254" i="24"/>
  <c r="N251" i="24"/>
  <c r="I255" i="24"/>
  <c r="G221" i="24"/>
  <c r="N229" i="24"/>
  <c r="N294" i="24"/>
  <c r="I249" i="24"/>
  <c r="I274" i="24"/>
  <c r="C293" i="24"/>
  <c r="E245" i="24"/>
  <c r="G256" i="24"/>
  <c r="I275" i="24"/>
  <c r="I280" i="24"/>
  <c r="I224" i="24"/>
  <c r="G257" i="24"/>
  <c r="D277" i="24"/>
  <c r="F261" i="24"/>
  <c r="G258" i="24"/>
  <c r="C257" i="24"/>
  <c r="G254" i="24"/>
  <c r="F237" i="24"/>
  <c r="N231" i="24"/>
  <c r="I239" i="24"/>
  <c r="I248" i="24"/>
  <c r="N277" i="24"/>
  <c r="B277" i="24"/>
  <c r="I270" i="24"/>
  <c r="C265" i="24"/>
  <c r="N253" i="24"/>
  <c r="G271" i="24"/>
  <c r="B260" i="24"/>
  <c r="I262" i="24"/>
  <c r="C282" i="24"/>
  <c r="E229" i="24"/>
  <c r="I258" i="24"/>
  <c r="C278" i="24"/>
  <c r="N222" i="24"/>
  <c r="I232" i="24"/>
  <c r="G261" i="24"/>
  <c r="I264" i="24"/>
  <c r="G287" i="24"/>
  <c r="N232" i="24"/>
  <c r="D261" i="24"/>
  <c r="N245" i="24"/>
  <c r="I242" i="24"/>
  <c r="I240" i="24"/>
  <c r="N235" i="24"/>
  <c r="B300" i="24"/>
  <c r="I295" i="24"/>
  <c r="I272" i="24"/>
  <c r="N267" i="24"/>
  <c r="G262" i="24"/>
  <c r="I250" i="24"/>
  <c r="C270" i="24"/>
  <c r="C261" i="24"/>
  <c r="B284" i="24"/>
  <c r="I227" i="24"/>
  <c r="C259" i="24"/>
  <c r="C280" i="24"/>
  <c r="C221" i="24"/>
  <c r="C255" i="24"/>
  <c r="E261" i="24"/>
  <c r="B269" i="24"/>
  <c r="C286" i="24"/>
  <c r="N234" i="24"/>
  <c r="G264" i="24"/>
  <c r="N282" i="24"/>
  <c r="I281" i="24"/>
  <c r="I279" i="24"/>
  <c r="I277" i="24"/>
  <c r="C277" i="24"/>
  <c r="C264" i="24"/>
  <c r="I263" i="24"/>
  <c r="G289" i="24"/>
  <c r="I283" i="24"/>
  <c r="C274" i="24"/>
  <c r="B293" i="24"/>
  <c r="N285" i="24"/>
  <c r="B268" i="24"/>
  <c r="N293" i="24"/>
  <c r="D237" i="24"/>
  <c r="G263" i="24"/>
  <c r="C289" i="24"/>
  <c r="D229" i="24"/>
  <c r="N242" i="24"/>
  <c r="B253" i="24"/>
  <c r="I271" i="24"/>
  <c r="N295" i="24"/>
  <c r="F245" i="24"/>
  <c r="C269" i="24"/>
  <c r="I269" i="24"/>
  <c r="G269" i="24"/>
  <c r="I265" i="24"/>
  <c r="C266" i="24"/>
  <c r="B252" i="24"/>
  <c r="A174" i="27"/>
  <c r="T174" i="27" s="1"/>
  <c r="P627" i="32"/>
  <c r="Q627" i="32" s="1"/>
  <c r="Q827" i="32"/>
  <c r="Q623" i="32"/>
  <c r="P831" i="32"/>
  <c r="Q829" i="32"/>
  <c r="A222" i="27"/>
  <c r="T222" i="27" s="1"/>
  <c r="N108" i="24"/>
  <c r="N122" i="24"/>
  <c r="K205" i="24"/>
  <c r="J201" i="24"/>
  <c r="H280" i="27"/>
  <c r="H281" i="27" s="1"/>
  <c r="H282" i="27" s="1"/>
  <c r="H283" i="27" s="1"/>
  <c r="H284" i="27" s="1"/>
  <c r="H285" i="27" s="1"/>
  <c r="A205" i="27"/>
  <c r="T205" i="27" s="1"/>
  <c r="A374" i="27"/>
  <c r="A180" i="27"/>
  <c r="T180" i="27" s="1"/>
  <c r="A398" i="27"/>
  <c r="A157" i="27"/>
  <c r="T157" i="27" s="1"/>
  <c r="B151" i="24"/>
  <c r="J179" i="24"/>
  <c r="D199" i="24"/>
  <c r="H203" i="24"/>
  <c r="J187" i="24"/>
  <c r="AO185" i="24"/>
  <c r="K203" i="24"/>
  <c r="B161" i="24"/>
  <c r="AO201" i="24"/>
  <c r="A387" i="27"/>
  <c r="AO197" i="24"/>
  <c r="C201" i="24"/>
  <c r="D179" i="24"/>
  <c r="H199" i="24"/>
  <c r="F185" i="24"/>
  <c r="J159" i="24"/>
  <c r="F183" i="24"/>
  <c r="C181" i="24"/>
  <c r="B166" i="24"/>
  <c r="A399" i="27"/>
  <c r="AO195" i="24"/>
  <c r="K165" i="24"/>
  <c r="N126" i="24"/>
  <c r="A392" i="27"/>
  <c r="A145" i="27"/>
  <c r="T145" i="27" s="1"/>
  <c r="A386" i="27"/>
  <c r="N112" i="24"/>
  <c r="A169" i="27"/>
  <c r="T169" i="27" s="1"/>
  <c r="A168" i="27"/>
  <c r="T168" i="27" s="1"/>
  <c r="A369" i="27"/>
  <c r="A393" i="27"/>
  <c r="A362" i="27"/>
  <c r="A447" i="27"/>
  <c r="A435" i="27"/>
  <c r="A441" i="27"/>
  <c r="A2370" i="27"/>
  <c r="N110" i="24"/>
  <c r="A375" i="27"/>
  <c r="N134" i="24"/>
  <c r="A193" i="27"/>
  <c r="T193" i="27" s="1"/>
  <c r="H56" i="27"/>
  <c r="H57" i="27" s="1"/>
  <c r="H58" i="27" s="1"/>
  <c r="H59" i="27" s="1"/>
  <c r="H60" i="27" s="1"/>
  <c r="H62" i="27" s="1"/>
  <c r="H63" i="27" s="1"/>
  <c r="H64" i="27" s="1"/>
  <c r="H65" i="27" s="1"/>
  <c r="H66" i="27" s="1"/>
  <c r="A187" i="27"/>
  <c r="T187" i="27" s="1"/>
  <c r="A223" i="27"/>
  <c r="T223" i="27" s="1"/>
  <c r="A429" i="27"/>
  <c r="A144" i="27"/>
  <c r="T144" i="27" s="1"/>
  <c r="N120" i="24"/>
  <c r="A363" i="27"/>
  <c r="A138" i="27"/>
  <c r="T138" i="27" s="1"/>
  <c r="A211" i="27"/>
  <c r="T211" i="27" s="1"/>
  <c r="B159" i="24"/>
  <c r="B152" i="24"/>
  <c r="F201" i="24"/>
  <c r="J191" i="24"/>
  <c r="B192" i="24"/>
  <c r="AO187" i="24"/>
  <c r="B171" i="24"/>
  <c r="C195" i="24"/>
  <c r="H205" i="24"/>
  <c r="J189" i="24"/>
  <c r="AO155" i="24"/>
  <c r="B172" i="24"/>
  <c r="F197" i="24"/>
  <c r="D155" i="24"/>
  <c r="B168" i="24"/>
  <c r="J195" i="24"/>
  <c r="H153" i="24"/>
  <c r="B162" i="24"/>
  <c r="B193" i="24"/>
  <c r="B190" i="24"/>
  <c r="K177" i="24"/>
  <c r="B160" i="24"/>
  <c r="K151" i="24"/>
  <c r="D149" i="24"/>
  <c r="D177" i="24"/>
  <c r="D205" i="24"/>
  <c r="D161" i="24"/>
  <c r="H169" i="24"/>
  <c r="R149" i="24"/>
  <c r="C167" i="24"/>
  <c r="D187" i="24"/>
  <c r="B169" i="24"/>
  <c r="K191" i="24"/>
  <c r="AO193" i="24"/>
  <c r="B177" i="24"/>
  <c r="C189" i="24"/>
  <c r="D193" i="24"/>
  <c r="F175" i="24"/>
  <c r="K185" i="24"/>
  <c r="H189" i="24"/>
  <c r="B173" i="24"/>
  <c r="E149" i="24"/>
  <c r="K153" i="24"/>
  <c r="D191" i="24"/>
  <c r="J193" i="24"/>
  <c r="O149" i="24"/>
  <c r="D185" i="24"/>
  <c r="K171" i="24"/>
  <c r="D183" i="24"/>
  <c r="C169" i="24"/>
  <c r="B167" i="24"/>
  <c r="J185" i="24"/>
  <c r="D153" i="24"/>
  <c r="J167" i="24"/>
  <c r="B199" i="24"/>
  <c r="C179" i="24"/>
  <c r="B183" i="24"/>
  <c r="P149" i="24"/>
  <c r="E151" i="24"/>
  <c r="J199" i="24"/>
  <c r="H167" i="24"/>
  <c r="F149" i="24"/>
  <c r="K161" i="24"/>
  <c r="AO173" i="24"/>
  <c r="J155" i="24"/>
  <c r="K159" i="24"/>
  <c r="D173" i="24"/>
  <c r="F153" i="24"/>
  <c r="K157" i="24"/>
  <c r="D171" i="24"/>
  <c r="F151" i="24"/>
  <c r="AO191" i="24"/>
  <c r="F195" i="24"/>
  <c r="D175" i="24"/>
  <c r="J177" i="24"/>
  <c r="AO189" i="24"/>
  <c r="AO199" i="24"/>
  <c r="C157" i="24"/>
  <c r="M149" i="24"/>
  <c r="J157" i="24"/>
  <c r="F189" i="24"/>
  <c r="B186" i="24"/>
  <c r="K195" i="24"/>
  <c r="AO205" i="24"/>
  <c r="B191" i="24"/>
  <c r="H157" i="24"/>
  <c r="B176" i="24"/>
  <c r="K149" i="24"/>
  <c r="D165" i="24"/>
  <c r="B200" i="24"/>
  <c r="J205" i="24"/>
  <c r="H163" i="24"/>
  <c r="B196" i="24"/>
  <c r="B205" i="24"/>
  <c r="H161" i="24"/>
  <c r="B188" i="24"/>
  <c r="AO183" i="24"/>
  <c r="F187" i="24"/>
  <c r="D167" i="24"/>
  <c r="J169" i="24"/>
  <c r="H159" i="24"/>
  <c r="AO181" i="24"/>
  <c r="J173" i="24"/>
  <c r="D181" i="24"/>
  <c r="H171" i="24"/>
  <c r="B206" i="24"/>
  <c r="H195" i="24"/>
  <c r="K181" i="24"/>
  <c r="D197" i="24"/>
  <c r="B181" i="24"/>
  <c r="H149" i="24"/>
  <c r="Q149" i="24"/>
  <c r="J197" i="24"/>
  <c r="H155" i="24"/>
  <c r="B170" i="24"/>
  <c r="B197" i="24"/>
  <c r="AO153" i="24"/>
  <c r="B164" i="24"/>
  <c r="B195" i="24"/>
  <c r="H151" i="24"/>
  <c r="B154" i="24"/>
  <c r="AO175" i="24"/>
  <c r="F179" i="24"/>
  <c r="D159" i="24"/>
  <c r="J161" i="24"/>
  <c r="H177" i="24"/>
  <c r="F161" i="24"/>
  <c r="B158" i="24"/>
  <c r="C199" i="24"/>
  <c r="C185" i="24"/>
  <c r="D157" i="24"/>
  <c r="K167" i="24"/>
  <c r="H187" i="24"/>
  <c r="F169" i="24"/>
  <c r="K193" i="24"/>
  <c r="AO203" i="24"/>
  <c r="B189" i="24"/>
  <c r="C205" i="24"/>
  <c r="D203" i="24"/>
  <c r="B187" i="24"/>
  <c r="C203" i="24"/>
  <c r="H201" i="24"/>
  <c r="B185" i="24"/>
  <c r="K197" i="24"/>
  <c r="F181" i="24"/>
  <c r="AO167" i="24"/>
  <c r="F171" i="24"/>
  <c r="D151" i="24"/>
  <c r="J153" i="24"/>
  <c r="C193" i="24"/>
  <c r="C177" i="24"/>
  <c r="B165" i="24"/>
  <c r="D189" i="24"/>
  <c r="J203" i="24"/>
  <c r="F193" i="24"/>
  <c r="D201" i="24"/>
  <c r="C163" i="24"/>
  <c r="C153" i="24"/>
  <c r="AO177" i="24"/>
  <c r="F159" i="24"/>
  <c r="K179" i="24"/>
  <c r="D195" i="24"/>
  <c r="F177" i="24"/>
  <c r="C191" i="24"/>
  <c r="H193" i="24"/>
  <c r="J175" i="24"/>
  <c r="C187" i="24"/>
  <c r="H191" i="24"/>
  <c r="B175" i="24"/>
  <c r="K183" i="24"/>
  <c r="F173" i="24"/>
  <c r="AO159" i="24"/>
  <c r="F163" i="24"/>
  <c r="K199" i="24"/>
  <c r="B204" i="24"/>
  <c r="C151" i="24"/>
  <c r="F203" i="24"/>
  <c r="AO149" i="24"/>
  <c r="B163" i="24"/>
  <c r="J151" i="24"/>
  <c r="AO161" i="24"/>
  <c r="B179" i="24"/>
  <c r="B201" i="24"/>
  <c r="D169" i="24"/>
  <c r="J149" i="24"/>
  <c r="C165" i="24"/>
  <c r="H185" i="24"/>
  <c r="F167" i="24"/>
  <c r="C175" i="24"/>
  <c r="H183" i="24"/>
  <c r="J165" i="24"/>
  <c r="C173" i="24"/>
  <c r="H181" i="24"/>
  <c r="J163" i="24"/>
  <c r="K169" i="24"/>
  <c r="F165" i="24"/>
  <c r="AO151" i="24"/>
  <c r="F155" i="24"/>
  <c r="K187" i="24"/>
  <c r="B180" i="24"/>
  <c r="AO165" i="24"/>
  <c r="K173" i="24"/>
  <c r="AO179" i="24"/>
  <c r="C155" i="24"/>
  <c r="H179" i="24"/>
  <c r="AO169" i="24"/>
  <c r="C171" i="24"/>
  <c r="B174" i="24"/>
  <c r="F191" i="24"/>
  <c r="AO157" i="24"/>
  <c r="B178" i="24"/>
  <c r="S149" i="24"/>
  <c r="H175" i="24"/>
  <c r="B157" i="24"/>
  <c r="C161" i="24"/>
  <c r="H173" i="24"/>
  <c r="B155" i="24"/>
  <c r="C159" i="24"/>
  <c r="AO171" i="24"/>
  <c r="B153" i="24"/>
  <c r="K155" i="24"/>
  <c r="F157" i="24"/>
  <c r="K201" i="24"/>
  <c r="B149" i="24"/>
  <c r="K175" i="24"/>
  <c r="B156" i="24"/>
  <c r="B182" i="24"/>
  <c r="J171" i="24"/>
  <c r="C197" i="24"/>
  <c r="C183" i="24"/>
  <c r="J183" i="24"/>
  <c r="H197" i="24"/>
  <c r="J181" i="24"/>
  <c r="L149" i="24"/>
  <c r="B150" i="24"/>
  <c r="F199" i="24"/>
  <c r="H165" i="24"/>
  <c r="B202" i="24"/>
  <c r="C149" i="24"/>
  <c r="AO163" i="24"/>
  <c r="B198" i="24"/>
  <c r="F205" i="24"/>
  <c r="D163" i="24"/>
  <c r="B194" i="24"/>
  <c r="B203" i="24"/>
  <c r="N149" i="24"/>
  <c r="K189" i="24"/>
  <c r="B184" i="24"/>
  <c r="N114" i="24"/>
  <c r="A422" i="27"/>
  <c r="N116" i="24"/>
  <c r="A139" i="27"/>
  <c r="T139" i="27" s="1"/>
  <c r="A411" i="27"/>
  <c r="N132" i="24"/>
  <c r="A416" i="27"/>
  <c r="A199" i="27"/>
  <c r="T199" i="27" s="1"/>
  <c r="I16" i="29"/>
  <c r="G12" i="24" s="1"/>
  <c r="N118" i="24"/>
  <c r="A175" i="27"/>
  <c r="T175" i="27" s="1"/>
  <c r="N136" i="24"/>
  <c r="A410" i="27"/>
  <c r="A423" i="27"/>
  <c r="N128" i="24"/>
  <c r="A417" i="27"/>
  <c r="A381" i="27"/>
  <c r="A198" i="27"/>
  <c r="T198" i="27" s="1"/>
  <c r="N124" i="24"/>
  <c r="A181" i="27"/>
  <c r="T181" i="27" s="1"/>
  <c r="A163" i="27"/>
  <c r="T163" i="27" s="1"/>
  <c r="H277" i="24"/>
  <c r="O64" i="24"/>
  <c r="B82" i="24"/>
  <c r="B63" i="24"/>
  <c r="E80" i="24"/>
  <c r="A156" i="27"/>
  <c r="T156" i="27" s="1"/>
  <c r="I62" i="24"/>
  <c r="F2383" i="27"/>
  <c r="F2384" i="27" s="1"/>
  <c r="F2385" i="27" s="1"/>
  <c r="F2386" i="27" s="1"/>
  <c r="F2387" i="27" s="1"/>
  <c r="F2389" i="27" s="1"/>
  <c r="F2390" i="27" s="1"/>
  <c r="F2391" i="27" s="1"/>
  <c r="F2392" i="27" s="1"/>
  <c r="F2393" i="27" s="1"/>
  <c r="N130" i="24"/>
  <c r="A210" i="27"/>
  <c r="T210" i="27" s="1"/>
  <c r="A2852" i="27"/>
  <c r="A136" i="27"/>
  <c r="T136" i="27" s="1"/>
  <c r="A2851" i="27"/>
  <c r="A2854" i="27"/>
  <c r="A705" i="27"/>
  <c r="Q665" i="32"/>
  <c r="P667" i="32"/>
  <c r="Q178" i="32"/>
  <c r="W178" i="32"/>
  <c r="K178" i="32" s="1"/>
  <c r="Q214" i="32"/>
  <c r="W214" i="32"/>
  <c r="K214" i="32" s="1"/>
  <c r="O157" i="1"/>
  <c r="AC157" i="1"/>
  <c r="AO157" i="1"/>
  <c r="N157" i="1"/>
  <c r="M157" i="1"/>
  <c r="W152" i="32"/>
  <c r="K152" i="32" s="1"/>
  <c r="Q152" i="32"/>
  <c r="W68" i="32"/>
  <c r="K68" i="32" s="1"/>
  <c r="Q276" i="32"/>
  <c r="W276" i="32"/>
  <c r="K276" i="32" s="1"/>
  <c r="Q296" i="32"/>
  <c r="W296" i="32"/>
  <c r="K296" i="32" s="1"/>
  <c r="Q100" i="32"/>
  <c r="W100" i="32"/>
  <c r="K100" i="32" s="1"/>
  <c r="N133" i="1"/>
  <c r="AC133" i="1"/>
  <c r="O133" i="1"/>
  <c r="M133" i="1"/>
  <c r="AO133" i="1"/>
  <c r="W110" i="32"/>
  <c r="K110" i="32" s="1"/>
  <c r="Q110" i="32"/>
  <c r="AA166" i="1"/>
  <c r="H166" i="1"/>
  <c r="Q154" i="32"/>
  <c r="W154" i="32"/>
  <c r="K154" i="32" s="1"/>
  <c r="AC147" i="1"/>
  <c r="O147" i="1"/>
  <c r="N147" i="1"/>
  <c r="AO147" i="1"/>
  <c r="M147" i="1"/>
  <c r="O135" i="1"/>
  <c r="W182" i="32"/>
  <c r="K182" i="32" s="1"/>
  <c r="Q182" i="32"/>
  <c r="W228" i="32"/>
  <c r="K228" i="32" s="1"/>
  <c r="Q228" i="32"/>
  <c r="AC146" i="1"/>
  <c r="M146" i="1"/>
  <c r="AO146" i="1"/>
  <c r="N146" i="1"/>
  <c r="O146" i="1"/>
  <c r="W162" i="32"/>
  <c r="K162" i="32" s="1"/>
  <c r="Q162" i="32"/>
  <c r="W60" i="32"/>
  <c r="K60" i="32" s="1"/>
  <c r="Q148" i="32"/>
  <c r="W148" i="32"/>
  <c r="K148" i="32" s="1"/>
  <c r="Q278" i="32"/>
  <c r="W278" i="32"/>
  <c r="K278" i="32" s="1"/>
  <c r="Q302" i="32"/>
  <c r="W302" i="32"/>
  <c r="K302" i="32" s="1"/>
  <c r="I64" i="24"/>
  <c r="B75" i="24"/>
  <c r="AO78" i="24"/>
  <c r="J62" i="24"/>
  <c r="AO72" i="24"/>
  <c r="B80" i="24"/>
  <c r="I72" i="24"/>
  <c r="B65" i="24"/>
  <c r="AO58" i="24"/>
  <c r="E74" i="24"/>
  <c r="Q54" i="24"/>
  <c r="I70" i="24"/>
  <c r="B62" i="24"/>
  <c r="B69" i="24"/>
  <c r="B66" i="24"/>
  <c r="AO62" i="24"/>
  <c r="O54" i="24"/>
  <c r="O70" i="24"/>
  <c r="B61" i="24"/>
  <c r="O56" i="24"/>
  <c r="B68" i="24"/>
  <c r="I78" i="24"/>
  <c r="O82" i="24"/>
  <c r="J68" i="24"/>
  <c r="B72" i="24"/>
  <c r="B54" i="24"/>
  <c r="E54" i="24"/>
  <c r="E78" i="24"/>
  <c r="AO64" i="24"/>
  <c r="B56" i="24"/>
  <c r="B81" i="24"/>
  <c r="I82" i="24"/>
  <c r="I58" i="24"/>
  <c r="O76" i="24"/>
  <c r="AO60" i="24"/>
  <c r="B64" i="24"/>
  <c r="E68" i="24"/>
  <c r="B71" i="24"/>
  <c r="H56" i="24"/>
  <c r="H54" i="24"/>
  <c r="J60" i="24"/>
  <c r="AO66" i="24"/>
  <c r="O78" i="24"/>
  <c r="AO54" i="24"/>
  <c r="E62" i="24"/>
  <c r="O68" i="24"/>
  <c r="H58" i="24"/>
  <c r="R54" i="24"/>
  <c r="B73" i="24"/>
  <c r="P54" i="24"/>
  <c r="O74" i="24"/>
  <c r="E76" i="24"/>
  <c r="B78" i="24"/>
  <c r="B70" i="24"/>
  <c r="I80" i="24"/>
  <c r="B57" i="24"/>
  <c r="B79" i="24"/>
  <c r="E82" i="24"/>
  <c r="AO80" i="24"/>
  <c r="B76" i="24"/>
  <c r="I60" i="24"/>
  <c r="O60" i="24"/>
  <c r="O72" i="24"/>
  <c r="J70" i="24"/>
  <c r="J78" i="24"/>
  <c r="J66" i="24"/>
  <c r="AO76" i="24"/>
  <c r="S54" i="24"/>
  <c r="I74" i="24"/>
  <c r="B67" i="24"/>
  <c r="B60" i="24"/>
  <c r="N60" i="24" s="1"/>
  <c r="J76" i="24"/>
  <c r="O58" i="24"/>
  <c r="B77" i="24"/>
  <c r="AO82" i="24"/>
  <c r="I54" i="24"/>
  <c r="J54" i="24"/>
  <c r="E72" i="24"/>
  <c r="J64" i="24"/>
  <c r="B74" i="24"/>
  <c r="J80" i="24"/>
  <c r="J74" i="24"/>
  <c r="J82" i="24"/>
  <c r="I68" i="24"/>
  <c r="B55" i="24"/>
  <c r="J72" i="24"/>
  <c r="E70" i="24"/>
  <c r="AO68" i="24"/>
  <c r="O80" i="24"/>
  <c r="I56" i="24"/>
  <c r="AO70" i="24"/>
  <c r="O62" i="24"/>
  <c r="B83" i="24"/>
  <c r="AO74" i="24"/>
  <c r="J56" i="24"/>
  <c r="H161" i="1"/>
  <c r="AA161" i="1"/>
  <c r="AH161" i="1"/>
  <c r="Q116" i="32"/>
  <c r="W116" i="32"/>
  <c r="K116" i="32" s="1"/>
  <c r="W120" i="32"/>
  <c r="K120" i="32" s="1"/>
  <c r="Q120" i="32"/>
  <c r="A204" i="27"/>
  <c r="T204" i="27" s="1"/>
  <c r="A1110" i="19" a="1"/>
  <c r="A1110" i="19" s="1"/>
  <c r="B1110" i="19" s="1"/>
  <c r="Q118" i="32"/>
  <c r="W118" i="32"/>
  <c r="K118" i="32" s="1"/>
  <c r="AA134" i="1"/>
  <c r="H134" i="1"/>
  <c r="AO155" i="1"/>
  <c r="N155" i="1"/>
  <c r="AC155" i="1"/>
  <c r="O155" i="1"/>
  <c r="M155" i="1"/>
  <c r="W274" i="32"/>
  <c r="K274" i="32" s="1"/>
  <c r="Q274" i="32"/>
  <c r="W202" i="32"/>
  <c r="K202" i="32" s="1"/>
  <c r="Q202" i="32"/>
  <c r="W250" i="32"/>
  <c r="K250" i="32" s="1"/>
  <c r="Q250" i="32"/>
  <c r="AC135" i="1"/>
  <c r="H135" i="1" s="1"/>
  <c r="O66" i="24"/>
  <c r="E64" i="24"/>
  <c r="Q180" i="32"/>
  <c r="W180" i="32"/>
  <c r="K180" i="32" s="1"/>
  <c r="Q220" i="32"/>
  <c r="W220" i="32"/>
  <c r="K220" i="32" s="1"/>
  <c r="D10" i="20"/>
  <c r="C11" i="20"/>
  <c r="D11" i="20" s="1"/>
  <c r="AO162" i="1"/>
  <c r="N162" i="1"/>
  <c r="O162" i="1"/>
  <c r="M162" i="1"/>
  <c r="AC162" i="1"/>
  <c r="W156" i="32"/>
  <c r="K156" i="32" s="1"/>
  <c r="Q156" i="32"/>
  <c r="W50" i="32"/>
  <c r="K50" i="32" s="1"/>
  <c r="P50" i="32"/>
  <c r="P52" i="32" s="1"/>
  <c r="P54" i="32" s="1"/>
  <c r="P56" i="32" s="1"/>
  <c r="P58" i="32" s="1"/>
  <c r="P60" i="32" s="1"/>
  <c r="P62" i="32" s="1"/>
  <c r="P64" i="32" s="1"/>
  <c r="P66" i="32" s="1"/>
  <c r="P68" i="32" s="1"/>
  <c r="P70" i="32" s="1"/>
  <c r="P72" i="32" s="1"/>
  <c r="P74" i="32" s="1"/>
  <c r="P76" i="32" s="1"/>
  <c r="P78" i="32" s="1"/>
  <c r="P80" i="32" s="1"/>
  <c r="P82" i="32" s="1"/>
  <c r="P84" i="32" s="1"/>
  <c r="P86" i="32" s="1"/>
  <c r="P88" i="32" s="1"/>
  <c r="P90" i="32" s="1"/>
  <c r="P92" i="32" s="1"/>
  <c r="P94" i="32" s="1"/>
  <c r="P96" i="32" s="1"/>
  <c r="P98" i="32" s="1"/>
  <c r="P100" i="32" s="1"/>
  <c r="P102" i="32" s="1"/>
  <c r="P104" i="32" s="1"/>
  <c r="P106" i="32" s="1"/>
  <c r="P108" i="32" s="1"/>
  <c r="P110" i="32" s="1"/>
  <c r="P112" i="32" s="1"/>
  <c r="P114" i="32" s="1"/>
  <c r="P116" i="32" s="1"/>
  <c r="P118" i="32" s="1"/>
  <c r="P120" i="32" s="1"/>
  <c r="P122" i="32" s="1"/>
  <c r="P124" i="32" s="1"/>
  <c r="P126" i="32" s="1"/>
  <c r="P128" i="32" s="1"/>
  <c r="P130" i="32" s="1"/>
  <c r="P132" i="32" s="1"/>
  <c r="P134" i="32" s="1"/>
  <c r="P136" i="32" s="1"/>
  <c r="P138" i="32" s="1"/>
  <c r="P140" i="32" s="1"/>
  <c r="P142" i="32" s="1"/>
  <c r="P144" i="32" s="1"/>
  <c r="P146" i="32" s="1"/>
  <c r="P148" i="32" s="1"/>
  <c r="P150" i="32" s="1"/>
  <c r="P152" i="32" s="1"/>
  <c r="P154" i="32" s="1"/>
  <c r="P156" i="32" s="1"/>
  <c r="P158" i="32" s="1"/>
  <c r="P160" i="32" s="1"/>
  <c r="P162" i="32" s="1"/>
  <c r="P164" i="32" s="1"/>
  <c r="P166" i="32" s="1"/>
  <c r="P168" i="32" s="1"/>
  <c r="P170" i="32" s="1"/>
  <c r="P172" i="32" s="1"/>
  <c r="P174" i="32" s="1"/>
  <c r="P176" i="32" s="1"/>
  <c r="P178" i="32" s="1"/>
  <c r="P180" i="32" s="1"/>
  <c r="P182" i="32" s="1"/>
  <c r="P184" i="32" s="1"/>
  <c r="P186" i="32" s="1"/>
  <c r="P188" i="32" s="1"/>
  <c r="P190" i="32" s="1"/>
  <c r="P192" i="32" s="1"/>
  <c r="P194" i="32" s="1"/>
  <c r="P196" i="32" s="1"/>
  <c r="P198" i="32" s="1"/>
  <c r="P200" i="32" s="1"/>
  <c r="P202" i="32" s="1"/>
  <c r="P204" i="32" s="1"/>
  <c r="P206" i="32" s="1"/>
  <c r="P208" i="32" s="1"/>
  <c r="P210" i="32" s="1"/>
  <c r="P212" i="32" s="1"/>
  <c r="P214" i="32" s="1"/>
  <c r="P216" i="32" s="1"/>
  <c r="P218" i="32" s="1"/>
  <c r="P220" i="32" s="1"/>
  <c r="P222" i="32" s="1"/>
  <c r="P224" i="32" s="1"/>
  <c r="P226" i="32" s="1"/>
  <c r="P228" i="32" s="1"/>
  <c r="P230" i="32" s="1"/>
  <c r="P232" i="32" s="1"/>
  <c r="P234" i="32" s="1"/>
  <c r="P236" i="32" s="1"/>
  <c r="P238" i="32" s="1"/>
  <c r="P240" i="32" s="1"/>
  <c r="P242" i="32" s="1"/>
  <c r="P244" i="32" s="1"/>
  <c r="P246" i="32" s="1"/>
  <c r="P248" i="32" s="1"/>
  <c r="P250" i="32" s="1"/>
  <c r="P252" i="32" s="1"/>
  <c r="P254" i="32" s="1"/>
  <c r="P256" i="32" s="1"/>
  <c r="P258" i="32" s="1"/>
  <c r="P260" i="32" s="1"/>
  <c r="P262" i="32" s="1"/>
  <c r="P264" i="32" s="1"/>
  <c r="P266" i="32" s="1"/>
  <c r="P268" i="32" s="1"/>
  <c r="P270" i="32" s="1"/>
  <c r="P272" i="32" s="1"/>
  <c r="P274" i="32" s="1"/>
  <c r="P276" i="32" s="1"/>
  <c r="P278" i="32" s="1"/>
  <c r="P280" i="32" s="1"/>
  <c r="P282" i="32" s="1"/>
  <c r="P284" i="32" s="1"/>
  <c r="P286" i="32" s="1"/>
  <c r="P288" i="32" s="1"/>
  <c r="P290" i="32" s="1"/>
  <c r="P292" i="32" s="1"/>
  <c r="P294" i="32" s="1"/>
  <c r="P296" i="32" s="1"/>
  <c r="P298" i="32" s="1"/>
  <c r="P300" i="32" s="1"/>
  <c r="P302" i="32" s="1"/>
  <c r="P304" i="32" s="1"/>
  <c r="P306" i="32" s="1"/>
  <c r="P308" i="32" s="1"/>
  <c r="Q136" i="32"/>
  <c r="W136" i="32"/>
  <c r="K136" i="32" s="1"/>
  <c r="W288" i="32"/>
  <c r="K288" i="32" s="1"/>
  <c r="Q288" i="32"/>
  <c r="W240" i="32"/>
  <c r="K240" i="32" s="1"/>
  <c r="Q240" i="32"/>
  <c r="AC142" i="1"/>
  <c r="O142" i="1"/>
  <c r="M142" i="1"/>
  <c r="AO142" i="1"/>
  <c r="N142" i="1"/>
  <c r="Q292" i="32"/>
  <c r="W292" i="32"/>
  <c r="K292" i="32" s="1"/>
  <c r="W104" i="32"/>
  <c r="K104" i="32" s="1"/>
  <c r="Q104" i="32"/>
  <c r="W206" i="32"/>
  <c r="K206" i="32" s="1"/>
  <c r="Q206" i="32"/>
  <c r="W256" i="32"/>
  <c r="K256" i="32" s="1"/>
  <c r="Q256" i="32"/>
  <c r="Q126" i="32"/>
  <c r="W126" i="32"/>
  <c r="K126" i="32" s="1"/>
  <c r="Q260" i="32"/>
  <c r="W260" i="32"/>
  <c r="K260" i="32" s="1"/>
  <c r="AO135" i="1"/>
  <c r="B59" i="24"/>
  <c r="B58" i="24"/>
  <c r="W174" i="32"/>
  <c r="K174" i="32" s="1"/>
  <c r="Q174" i="32"/>
  <c r="Q222" i="32"/>
  <c r="W222" i="32"/>
  <c r="K222" i="32" s="1"/>
  <c r="AC139" i="1"/>
  <c r="N139" i="1"/>
  <c r="M139" i="1"/>
  <c r="AO139" i="1"/>
  <c r="O139" i="1"/>
  <c r="W54" i="32"/>
  <c r="K54" i="32" s="1"/>
  <c r="Q54" i="32"/>
  <c r="Q146" i="32"/>
  <c r="W146" i="32"/>
  <c r="K146" i="32" s="1"/>
  <c r="Q282" i="32"/>
  <c r="W282" i="32"/>
  <c r="K282" i="32" s="1"/>
  <c r="Q232" i="32"/>
  <c r="W232" i="32"/>
  <c r="K232" i="32" s="1"/>
  <c r="O154" i="1"/>
  <c r="AC154" i="1"/>
  <c r="AO154" i="1"/>
  <c r="M154" i="1"/>
  <c r="N154" i="1"/>
  <c r="Q308" i="32"/>
  <c r="W308" i="32"/>
  <c r="K308" i="32" s="1"/>
  <c r="W96" i="32"/>
  <c r="K96" i="32" s="1"/>
  <c r="Q96" i="32"/>
  <c r="L47" i="1"/>
  <c r="T47" i="1"/>
  <c r="W190" i="32"/>
  <c r="K190" i="32" s="1"/>
  <c r="Q190" i="32"/>
  <c r="W262" i="32"/>
  <c r="K262" i="32" s="1"/>
  <c r="Q262" i="32"/>
  <c r="Q318" i="32"/>
  <c r="P320" i="32"/>
  <c r="I76" i="24"/>
  <c r="I66" i="24"/>
  <c r="Q186" i="32"/>
  <c r="W186" i="32"/>
  <c r="K186" i="32" s="1"/>
  <c r="Q212" i="32"/>
  <c r="W212" i="32"/>
  <c r="K212" i="32" s="1"/>
  <c r="O158" i="1"/>
  <c r="M158" i="1"/>
  <c r="N158" i="1"/>
  <c r="AO158" i="1"/>
  <c r="AC158" i="1"/>
  <c r="AH158" i="1" s="1"/>
  <c r="C130" i="20"/>
  <c r="D129" i="20"/>
  <c r="M148" i="1"/>
  <c r="AO148" i="1"/>
  <c r="N148" i="1"/>
  <c r="AC148" i="1"/>
  <c r="O148" i="1"/>
  <c r="W66" i="32"/>
  <c r="K66" i="32" s="1"/>
  <c r="A217" i="27"/>
  <c r="T217" i="27" s="1"/>
  <c r="W142" i="32"/>
  <c r="K142" i="32" s="1"/>
  <c r="Q142" i="32"/>
  <c r="Q272" i="32"/>
  <c r="W272" i="32"/>
  <c r="K272" i="32" s="1"/>
  <c r="W248" i="32"/>
  <c r="K248" i="32" s="1"/>
  <c r="Q248" i="32"/>
  <c r="Q106" i="32"/>
  <c r="W106" i="32"/>
  <c r="K106" i="32" s="1"/>
  <c r="W208" i="32"/>
  <c r="K208" i="32" s="1"/>
  <c r="Q208" i="32"/>
  <c r="W252" i="32"/>
  <c r="K252" i="32" s="1"/>
  <c r="Q252" i="32"/>
  <c r="E66" i="24"/>
  <c r="C27" i="19" a="1"/>
  <c r="C27" i="19" s="1"/>
  <c r="C28" i="19" s="1" a="1"/>
  <c r="C28" i="19" s="1"/>
  <c r="AO56" i="24"/>
  <c r="Q184" i="32"/>
  <c r="W184" i="32"/>
  <c r="K184" i="32" s="1"/>
  <c r="W218" i="32"/>
  <c r="K218" i="32" s="1"/>
  <c r="Q218" i="32"/>
  <c r="M125" i="1"/>
  <c r="N125" i="1"/>
  <c r="O125" i="1"/>
  <c r="AC125" i="1"/>
  <c r="AO125" i="1"/>
  <c r="W168" i="32"/>
  <c r="K168" i="32" s="1"/>
  <c r="Q168" i="32"/>
  <c r="W134" i="32"/>
  <c r="K134" i="32" s="1"/>
  <c r="Q134" i="32"/>
  <c r="Q284" i="32"/>
  <c r="W284" i="32"/>
  <c r="K284" i="32" s="1"/>
  <c r="W246" i="32"/>
  <c r="K246" i="32" s="1"/>
  <c r="Q246" i="32"/>
  <c r="W92" i="32"/>
  <c r="K92" i="32" s="1"/>
  <c r="Q92" i="32"/>
  <c r="W200" i="32"/>
  <c r="K200" i="32" s="1"/>
  <c r="Q200" i="32"/>
  <c r="Q254" i="32"/>
  <c r="W254" i="32"/>
  <c r="K254" i="32" s="1"/>
  <c r="W112" i="32"/>
  <c r="K112" i="32" s="1"/>
  <c r="Q112" i="32"/>
  <c r="Q130" i="32"/>
  <c r="W130" i="32"/>
  <c r="K130" i="32" s="1"/>
  <c r="W234" i="32"/>
  <c r="K234" i="32" s="1"/>
  <c r="Q234" i="32"/>
  <c r="Q210" i="32"/>
  <c r="W210" i="32"/>
  <c r="K210" i="32" s="1"/>
  <c r="W64" i="32"/>
  <c r="K64" i="32" s="1"/>
  <c r="B164" i="16" a="1"/>
  <c r="B164" i="16" s="1"/>
  <c r="B165" i="16" s="1" a="1"/>
  <c r="B165" i="16" s="1"/>
  <c r="J58" i="24"/>
  <c r="Q170" i="32"/>
  <c r="W170" i="32"/>
  <c r="K170" i="32" s="1"/>
  <c r="O140" i="1"/>
  <c r="M140" i="1"/>
  <c r="AC140" i="1"/>
  <c r="N140" i="1"/>
  <c r="AO140" i="1"/>
  <c r="W166" i="32"/>
  <c r="K166" i="32" s="1"/>
  <c r="Q166" i="32"/>
  <c r="Q140" i="32"/>
  <c r="W140" i="32"/>
  <c r="K140" i="32" s="1"/>
  <c r="Q270" i="32"/>
  <c r="W270" i="32"/>
  <c r="K270" i="32" s="1"/>
  <c r="Q238" i="32"/>
  <c r="W238" i="32"/>
  <c r="K238" i="32" s="1"/>
  <c r="Q290" i="32"/>
  <c r="W290" i="32"/>
  <c r="K290" i="32" s="1"/>
  <c r="AO141" i="1"/>
  <c r="M141" i="1"/>
  <c r="AC141" i="1"/>
  <c r="N141" i="1"/>
  <c r="O141" i="1"/>
  <c r="Q94" i="32"/>
  <c r="W94" i="32"/>
  <c r="K94" i="32" s="1"/>
  <c r="AO131" i="1"/>
  <c r="N131" i="1"/>
  <c r="O131" i="1"/>
  <c r="AC131" i="1"/>
  <c r="M131" i="1"/>
  <c r="C122" i="20"/>
  <c r="D121" i="20"/>
  <c r="W192" i="32"/>
  <c r="K192" i="32" s="1"/>
  <c r="Q192" i="32"/>
  <c r="Q258" i="32"/>
  <c r="W258" i="32"/>
  <c r="K258" i="32" s="1"/>
  <c r="W122" i="32"/>
  <c r="K122" i="32" s="1"/>
  <c r="Q122" i="32"/>
  <c r="W176" i="32"/>
  <c r="K176" i="32" s="1"/>
  <c r="Q176" i="32"/>
  <c r="Q300" i="32"/>
  <c r="W300" i="32"/>
  <c r="K300" i="32" s="1"/>
  <c r="W102" i="32"/>
  <c r="K102" i="32" s="1"/>
  <c r="Q102" i="32"/>
  <c r="E58" i="24"/>
  <c r="Q172" i="32"/>
  <c r="W172" i="32"/>
  <c r="K172" i="32" s="1"/>
  <c r="H159" i="1"/>
  <c r="AA159" i="1"/>
  <c r="AH159" i="1"/>
  <c r="Q158" i="32"/>
  <c r="W158" i="32"/>
  <c r="K158" i="32" s="1"/>
  <c r="W52" i="32"/>
  <c r="K52" i="32" s="1"/>
  <c r="Q132" i="32"/>
  <c r="W132" i="32"/>
  <c r="K132" i="32" s="1"/>
  <c r="Q244" i="32"/>
  <c r="W244" i="32"/>
  <c r="K244" i="32" s="1"/>
  <c r="W304" i="32"/>
  <c r="K304" i="32" s="1"/>
  <c r="Q304" i="32"/>
  <c r="Q98" i="32"/>
  <c r="W98" i="32"/>
  <c r="K98" i="32" s="1"/>
  <c r="Q663" i="32"/>
  <c r="A151" i="27"/>
  <c r="T151" i="27" s="1"/>
  <c r="D25" i="20"/>
  <c r="C26" i="20"/>
  <c r="W198" i="32"/>
  <c r="K198" i="32" s="1"/>
  <c r="Q198" i="32"/>
  <c r="W266" i="32"/>
  <c r="K266" i="32" s="1"/>
  <c r="Q266" i="32"/>
  <c r="W124" i="32"/>
  <c r="K124" i="32" s="1"/>
  <c r="Q124" i="32"/>
  <c r="Q188" i="32"/>
  <c r="W188" i="32"/>
  <c r="K188" i="32" s="1"/>
  <c r="Q224" i="32"/>
  <c r="W224" i="32"/>
  <c r="K224" i="32" s="1"/>
  <c r="W56" i="32"/>
  <c r="K56" i="32" s="1"/>
  <c r="W286" i="32"/>
  <c r="K286" i="32" s="1"/>
  <c r="Q286" i="32"/>
  <c r="AH166" i="1"/>
  <c r="Q306" i="32"/>
  <c r="W306" i="32"/>
  <c r="K306" i="32" s="1"/>
  <c r="AA170" i="1"/>
  <c r="H170" i="1"/>
  <c r="AH170" i="1"/>
  <c r="Q216" i="32"/>
  <c r="W216" i="32"/>
  <c r="K216" i="32" s="1"/>
  <c r="F30" i="16" a="1"/>
  <c r="F30" i="16" s="1"/>
  <c r="Q164" i="32"/>
  <c r="W164" i="32"/>
  <c r="K164" i="32" s="1"/>
  <c r="W62" i="32"/>
  <c r="K62" i="32" s="1"/>
  <c r="Q138" i="32"/>
  <c r="W138" i="32"/>
  <c r="K138" i="32" s="1"/>
  <c r="Q242" i="32"/>
  <c r="W242" i="32"/>
  <c r="K242" i="32" s="1"/>
  <c r="Q298" i="32"/>
  <c r="W298" i="32"/>
  <c r="K298" i="32" s="1"/>
  <c r="AH141" i="1"/>
  <c r="Q108" i="32"/>
  <c r="W108" i="32"/>
  <c r="K108" i="32" s="1"/>
  <c r="W194" i="32"/>
  <c r="K194" i="32" s="1"/>
  <c r="Q194" i="32"/>
  <c r="Q268" i="32"/>
  <c r="W268" i="32"/>
  <c r="K268" i="32" s="1"/>
  <c r="W128" i="32"/>
  <c r="K128" i="32" s="1"/>
  <c r="Q128" i="32"/>
  <c r="AC167" i="1"/>
  <c r="M167" i="1"/>
  <c r="N167" i="1"/>
  <c r="O167" i="1"/>
  <c r="AO167" i="1"/>
  <c r="Q196" i="32"/>
  <c r="W196" i="32"/>
  <c r="K196" i="32" s="1"/>
  <c r="W150" i="32"/>
  <c r="K150" i="32" s="1"/>
  <c r="Q150" i="32"/>
  <c r="W144" i="32"/>
  <c r="K144" i="32" s="1"/>
  <c r="Q144" i="32"/>
  <c r="Q230" i="32"/>
  <c r="W230" i="32"/>
  <c r="K230" i="32" s="1"/>
  <c r="E56" i="24"/>
  <c r="Q226" i="32"/>
  <c r="W226" i="32"/>
  <c r="K226" i="32" s="1"/>
  <c r="N156" i="1"/>
  <c r="M156" i="1"/>
  <c r="AO156" i="1"/>
  <c r="O156" i="1"/>
  <c r="AC156" i="1"/>
  <c r="W160" i="32"/>
  <c r="K160" i="32" s="1"/>
  <c r="Q160" i="32"/>
  <c r="W58" i="32"/>
  <c r="K58" i="32" s="1"/>
  <c r="W280" i="32"/>
  <c r="K280" i="32" s="1"/>
  <c r="Q280" i="32"/>
  <c r="Q236" i="32"/>
  <c r="W236" i="32"/>
  <c r="K236" i="32" s="1"/>
  <c r="W294" i="32"/>
  <c r="K294" i="32" s="1"/>
  <c r="Q294" i="32"/>
  <c r="Q90" i="32"/>
  <c r="W90" i="32"/>
  <c r="K90" i="32" s="1"/>
  <c r="D235" i="20"/>
  <c r="C236" i="20"/>
  <c r="P384" i="32"/>
  <c r="Q382" i="32"/>
  <c r="W204" i="32"/>
  <c r="K204" i="32" s="1"/>
  <c r="Q204" i="32"/>
  <c r="P360" i="32"/>
  <c r="Q358" i="32"/>
  <c r="Q264" i="32"/>
  <c r="W264" i="32"/>
  <c r="K264" i="32" s="1"/>
  <c r="W114" i="32"/>
  <c r="K114" i="32" s="1"/>
  <c r="Q114" i="32"/>
  <c r="F2858" i="27"/>
  <c r="A150" i="27"/>
  <c r="T150" i="27" s="1"/>
  <c r="A404" i="27"/>
  <c r="A162" i="27"/>
  <c r="T162" i="27" s="1"/>
  <c r="A186" i="27"/>
  <c r="T186" i="27" s="1"/>
  <c r="A440" i="27"/>
  <c r="H245" i="24"/>
  <c r="H293" i="24"/>
  <c r="H7" i="34"/>
  <c r="O7" i="33"/>
  <c r="H285" i="24"/>
  <c r="H261" i="24"/>
  <c r="H269" i="24"/>
  <c r="H229" i="24"/>
  <c r="A49" i="1"/>
  <c r="M146" i="24" s="1"/>
  <c r="H253" i="24"/>
  <c r="H237" i="24"/>
  <c r="H366" i="27"/>
  <c r="A434" i="27"/>
  <c r="H142" i="27"/>
  <c r="A380" i="27"/>
  <c r="A428" i="27"/>
  <c r="J485" i="27"/>
  <c r="A485" i="27" s="1"/>
  <c r="A360" i="27"/>
  <c r="G1419" i="27"/>
  <c r="G2021" i="27"/>
  <c r="F1419" i="27"/>
  <c r="P2021" i="27"/>
  <c r="K2021" i="27"/>
  <c r="H2021" i="27"/>
  <c r="I2021" i="27"/>
  <c r="I1419" i="27"/>
  <c r="E2021" i="27"/>
  <c r="N1419" i="27"/>
  <c r="M1419" i="27"/>
  <c r="A1419" i="27" s="1"/>
  <c r="E1419" i="27"/>
  <c r="J2021" i="27"/>
  <c r="N2021" i="27"/>
  <c r="K1421" i="27"/>
  <c r="P1419" i="27"/>
  <c r="O2021" i="27"/>
  <c r="K1419" i="27"/>
  <c r="O1419" i="27"/>
  <c r="H171" i="1"/>
  <c r="AA171" i="1"/>
  <c r="AH171" i="1"/>
  <c r="C216" i="20"/>
  <c r="D215" i="20"/>
  <c r="AE127" i="1" a="1"/>
  <c r="AE127" i="1" s="1"/>
  <c r="AE128" i="1" s="1" a="1"/>
  <c r="AE128" i="1" s="1"/>
  <c r="AE129" i="1" s="1" a="1"/>
  <c r="AE129" i="1" s="1"/>
  <c r="AH135" i="1"/>
  <c r="C207" i="20"/>
  <c r="D206" i="20"/>
  <c r="H29" i="16" a="1"/>
  <c r="H29" i="16" s="1"/>
  <c r="H709" i="27"/>
  <c r="H143" i="1"/>
  <c r="AA143" i="1"/>
  <c r="AH143" i="1"/>
  <c r="H173" i="1"/>
  <c r="AA173" i="1"/>
  <c r="AH173" i="1"/>
  <c r="H149" i="1"/>
  <c r="AA149" i="1"/>
  <c r="AH149" i="1"/>
  <c r="B487" i="27"/>
  <c r="C486" i="27"/>
  <c r="AA127" i="1"/>
  <c r="H127" i="1"/>
  <c r="AH127" i="1"/>
  <c r="D72" i="20"/>
  <c r="C73" i="20"/>
  <c r="J162" i="16" a="1"/>
  <c r="J162" i="16" s="1"/>
  <c r="I164" i="16" a="1"/>
  <c r="I164" i="16" s="1"/>
  <c r="J164" i="16" s="1" a="1"/>
  <c r="J164" i="16" s="1"/>
  <c r="H163" i="1"/>
  <c r="AA163" i="1"/>
  <c r="AH163" i="1"/>
  <c r="H126" i="1"/>
  <c r="AA126" i="1"/>
  <c r="AH126" i="1"/>
  <c r="AA172" i="1"/>
  <c r="H172" i="1"/>
  <c r="N128" i="1"/>
  <c r="AC128" i="1"/>
  <c r="AH128" i="1" s="1"/>
  <c r="O128" i="1"/>
  <c r="M128" i="1"/>
  <c r="AO128" i="1"/>
  <c r="O160" i="1"/>
  <c r="AO160" i="1"/>
  <c r="AC160" i="1"/>
  <c r="AH160" i="1" s="1"/>
  <c r="M160" i="1"/>
  <c r="N160" i="1"/>
  <c r="A368" i="27"/>
  <c r="AA145" i="1"/>
  <c r="H145" i="1"/>
  <c r="AH145" i="1"/>
  <c r="H152" i="1"/>
  <c r="AA152" i="1"/>
  <c r="S7" i="30"/>
  <c r="L135" i="27"/>
  <c r="L141" i="27"/>
  <c r="L177" i="27"/>
  <c r="L189" i="27"/>
  <c r="L201" i="27"/>
  <c r="L165" i="27"/>
  <c r="L153" i="27"/>
  <c r="L213" i="27"/>
  <c r="L183" i="27"/>
  <c r="L159" i="27"/>
  <c r="L171" i="27"/>
  <c r="L219" i="27"/>
  <c r="L147" i="27"/>
  <c r="L195" i="27"/>
  <c r="L207" i="27"/>
  <c r="F11" i="16" a="1"/>
  <c r="F11" i="16" s="1"/>
  <c r="H129" i="1"/>
  <c r="AH129" i="1"/>
  <c r="AA129" i="1"/>
  <c r="M168" i="1"/>
  <c r="O168" i="1"/>
  <c r="AC168" i="1"/>
  <c r="AH168" i="1" s="1"/>
  <c r="AO168" i="1"/>
  <c r="N168" i="1"/>
  <c r="O136" i="1"/>
  <c r="M136" i="1"/>
  <c r="N136" i="1"/>
  <c r="AO136" i="1"/>
  <c r="AC136" i="1"/>
  <c r="AH136" i="1" s="1"/>
  <c r="O7" i="31"/>
  <c r="L424" i="27"/>
  <c r="L412" i="27"/>
  <c r="L358" i="27"/>
  <c r="L376" i="27"/>
  <c r="L442" i="27"/>
  <c r="L430" i="27"/>
  <c r="L400" i="27"/>
  <c r="L388" i="27"/>
  <c r="L364" i="27"/>
  <c r="L418" i="27"/>
  <c r="L370" i="27"/>
  <c r="L394" i="27"/>
  <c r="L382" i="27"/>
  <c r="L406" i="27"/>
  <c r="AH130" i="1"/>
  <c r="H130" i="1"/>
  <c r="AA130" i="1"/>
  <c r="D36" i="20"/>
  <c r="C37" i="20"/>
  <c r="D37" i="20" s="1"/>
  <c r="AA124" i="1"/>
  <c r="AH124" i="1"/>
  <c r="H124" i="1"/>
  <c r="H151" i="1"/>
  <c r="AA151" i="1"/>
  <c r="AH151" i="1"/>
  <c r="C308" i="20"/>
  <c r="D307" i="20"/>
  <c r="C168" i="20"/>
  <c r="D167" i="20"/>
  <c r="AA144" i="1"/>
  <c r="H144" i="1"/>
  <c r="AH144" i="1"/>
  <c r="U627" i="32"/>
  <c r="AH152" i="1"/>
  <c r="AA164" i="1"/>
  <c r="H164" i="1"/>
  <c r="P106" i="24"/>
  <c r="Q52" i="24"/>
  <c r="B51" i="1"/>
  <c r="H504" i="27"/>
  <c r="AH137" i="1"/>
  <c r="H137" i="1"/>
  <c r="AA137" i="1"/>
  <c r="N48" i="1"/>
  <c r="L147" i="24"/>
  <c r="C23" i="24"/>
  <c r="T48" i="1"/>
  <c r="C227" i="20"/>
  <c r="D226" i="20"/>
  <c r="C302" i="20"/>
  <c r="D301" i="20"/>
  <c r="D148" i="20"/>
  <c r="C149" i="20"/>
  <c r="D149" i="20" s="1"/>
  <c r="AH169" i="1"/>
  <c r="H169" i="1"/>
  <c r="AA169" i="1"/>
  <c r="H174" i="1"/>
  <c r="AA174" i="1"/>
  <c r="AH164" i="1"/>
  <c r="L9" i="29" a="1"/>
  <c r="L9" i="29" s="1"/>
  <c r="N165" i="1"/>
  <c r="O165" i="1"/>
  <c r="AC165" i="1"/>
  <c r="AH165" i="1" s="1"/>
  <c r="AO165" i="1"/>
  <c r="M165" i="1"/>
  <c r="C365" i="20"/>
  <c r="D365" i="20" s="1"/>
  <c r="D364" i="20"/>
  <c r="L436" i="27"/>
  <c r="AA153" i="1"/>
  <c r="H153" i="1"/>
  <c r="AH153" i="1"/>
  <c r="A446" i="27"/>
  <c r="D254" i="20"/>
  <c r="C255" i="20"/>
  <c r="O150" i="1"/>
  <c r="AC150" i="1"/>
  <c r="AH150" i="1" s="1"/>
  <c r="M150" i="1"/>
  <c r="AO150" i="1"/>
  <c r="N150" i="1"/>
  <c r="I486" i="27"/>
  <c r="A625" i="32"/>
  <c r="J708" i="27"/>
  <c r="J22" i="27"/>
  <c r="BC18" i="34"/>
  <c r="I141" i="27"/>
  <c r="Q486" i="27"/>
  <c r="U486" i="27"/>
  <c r="E22" i="27"/>
  <c r="K708" i="27"/>
  <c r="P22" i="27"/>
  <c r="P486" i="27"/>
  <c r="N364" i="27"/>
  <c r="AL13" i="30"/>
  <c r="I365" i="27"/>
  <c r="G13" i="33"/>
  <c r="T486" i="27"/>
  <c r="M2289" i="27"/>
  <c r="BD13" i="33"/>
  <c r="D20" i="27"/>
  <c r="J364" i="27"/>
  <c r="G876" i="27"/>
  <c r="Q22" i="27"/>
  <c r="N140" i="27"/>
  <c r="F486" i="27"/>
  <c r="G22" i="27"/>
  <c r="L2289" i="27"/>
  <c r="AI15" i="31"/>
  <c r="K486" i="27"/>
  <c r="J140" i="27"/>
  <c r="D2288" i="27"/>
  <c r="H22" i="27"/>
  <c r="V486" i="27"/>
  <c r="N141" i="27"/>
  <c r="J2857" i="27"/>
  <c r="M486" i="27"/>
  <c r="G745" i="27"/>
  <c r="A320" i="32"/>
  <c r="G320" i="32"/>
  <c r="G625" i="32"/>
  <c r="J141" i="27"/>
  <c r="G486" i="27"/>
  <c r="J706" i="27"/>
  <c r="J2289" i="27"/>
  <c r="J486" i="27" a="1"/>
  <c r="K22" i="27"/>
  <c r="L486" i="27"/>
  <c r="K707" i="27"/>
  <c r="M365" i="27"/>
  <c r="Q246" i="27"/>
  <c r="I142" i="27"/>
  <c r="N486" i="27"/>
  <c r="F2289" i="27"/>
  <c r="I140" i="27"/>
  <c r="H246" i="27"/>
  <c r="G14" i="32"/>
  <c r="D2289" i="27"/>
  <c r="E13" i="31"/>
  <c r="M364" i="27"/>
  <c r="BD18" i="34"/>
  <c r="E486" i="27"/>
  <c r="R22" i="27"/>
  <c r="O486" i="27"/>
  <c r="J707" i="27"/>
  <c r="M140" i="27"/>
  <c r="D2286" i="27"/>
  <c r="K2858" i="27"/>
  <c r="D2285" i="27"/>
  <c r="N2289" i="27"/>
  <c r="D485" i="27"/>
  <c r="H2857" i="27"/>
  <c r="G877" i="27"/>
  <c r="A14" i="32"/>
  <c r="L22" i="27"/>
  <c r="I364" i="27"/>
  <c r="R486" i="27"/>
  <c r="D2287" i="27"/>
  <c r="I2857" i="27"/>
  <c r="O2289" i="27"/>
  <c r="F22" i="27"/>
  <c r="K706" i="27"/>
  <c r="J366" i="27"/>
  <c r="P402" i="32" l="1"/>
  <c r="P404" i="32" s="1"/>
  <c r="H112" i="24"/>
  <c r="I159" i="24"/>
  <c r="E153" i="24"/>
  <c r="J1039" i="27"/>
  <c r="I1039" i="27"/>
  <c r="O1039" i="27"/>
  <c r="L1039" i="27"/>
  <c r="K1039" i="27"/>
  <c r="K889" i="27"/>
  <c r="E1039" i="27"/>
  <c r="H1039" i="27"/>
  <c r="G1039" i="27"/>
  <c r="N1039" i="27"/>
  <c r="AA135" i="1"/>
  <c r="I8" i="16" a="1"/>
  <c r="I8" i="16" s="1"/>
  <c r="AH19" i="31"/>
  <c r="AJ17" i="30"/>
  <c r="BA17" i="33"/>
  <c r="C274" i="20"/>
  <c r="D273" i="20"/>
  <c r="U324" i="32"/>
  <c r="H9" i="16" a="1"/>
  <c r="H9" i="16" s="1"/>
  <c r="P747" i="32"/>
  <c r="Q747" i="32" s="1"/>
  <c r="A2857" i="27"/>
  <c r="P629" i="32"/>
  <c r="P631" i="32" s="1"/>
  <c r="Q62" i="32"/>
  <c r="Q56" i="32"/>
  <c r="Q52" i="32"/>
  <c r="Q72" i="32"/>
  <c r="Q78" i="32"/>
  <c r="Q58" i="32"/>
  <c r="Q86" i="32"/>
  <c r="Q74" i="32"/>
  <c r="Q82" i="32"/>
  <c r="Q64" i="32"/>
  <c r="Q50" i="32"/>
  <c r="Q80" i="32"/>
  <c r="Q84" i="32"/>
  <c r="Q88" i="32"/>
  <c r="Q60" i="32"/>
  <c r="Q70" i="32"/>
  <c r="Q66" i="32"/>
  <c r="Q76" i="32"/>
  <c r="Q68" i="32"/>
  <c r="L1343" i="27"/>
  <c r="E1343" i="27"/>
  <c r="O1343" i="27"/>
  <c r="H1343" i="27"/>
  <c r="G1343" i="27"/>
  <c r="K1343" i="27"/>
  <c r="I1343" i="27"/>
  <c r="J1343" i="27"/>
  <c r="K1193" i="27"/>
  <c r="N1343" i="27"/>
  <c r="A2289" i="27"/>
  <c r="U18" i="32"/>
  <c r="C7" i="19" a="1"/>
  <c r="C7" i="19" s="1"/>
  <c r="AA132" i="1"/>
  <c r="AH132" i="1"/>
  <c r="H132" i="1"/>
  <c r="P12" i="32"/>
  <c r="P32" i="32"/>
  <c r="C25" i="27"/>
  <c r="B26" i="27"/>
  <c r="AY20" i="34"/>
  <c r="AA138" i="1"/>
  <c r="AH138" i="1"/>
  <c r="H138" i="1"/>
  <c r="Q783" i="32"/>
  <c r="P785" i="32"/>
  <c r="B2291" i="27"/>
  <c r="Q703" i="32"/>
  <c r="P705" i="32"/>
  <c r="B231" i="27"/>
  <c r="B232" i="27" s="1"/>
  <c r="I230" i="27"/>
  <c r="I24" i="27"/>
  <c r="V701" i="32" a="1"/>
  <c r="V701" i="32" s="1"/>
  <c r="L701" i="32" s="1"/>
  <c r="R701" i="32" a="1"/>
  <c r="R701" i="32" s="1"/>
  <c r="D701" i="32" s="1"/>
  <c r="T701" i="32" a="1"/>
  <c r="T701" i="32" s="1"/>
  <c r="S701" i="32" a="1"/>
  <c r="S701" i="32" s="1"/>
  <c r="E701" i="32" s="1"/>
  <c r="H286" i="27"/>
  <c r="H287" i="27" s="1"/>
  <c r="H288" i="27" s="1"/>
  <c r="H289" i="27" s="1"/>
  <c r="H290" i="27" s="1"/>
  <c r="H292" i="27" s="1"/>
  <c r="H293" i="27" s="1"/>
  <c r="H294" i="27" s="1"/>
  <c r="H295" i="27" s="1"/>
  <c r="H296" i="27" s="1"/>
  <c r="V623" i="32" a="1"/>
  <c r="V623" i="32" s="1"/>
  <c r="L623" i="32" s="1"/>
  <c r="T623" i="32" a="1"/>
  <c r="T623" i="32" s="1"/>
  <c r="M2021" i="27" s="1"/>
  <c r="A2021" i="27" s="1"/>
  <c r="R623" i="32" a="1"/>
  <c r="R623" i="32" s="1"/>
  <c r="D623" i="32" s="1"/>
  <c r="S623" i="32" a="1"/>
  <c r="S623" i="32" s="1"/>
  <c r="E623" i="32" s="1"/>
  <c r="F2021" i="27" s="1"/>
  <c r="P833" i="32"/>
  <c r="Q831" i="32"/>
  <c r="Q402" i="32"/>
  <c r="I171" i="24"/>
  <c r="I189" i="24"/>
  <c r="H61" i="27"/>
  <c r="I181" i="24"/>
  <c r="I201" i="24"/>
  <c r="I149" i="24"/>
  <c r="I179" i="24"/>
  <c r="I153" i="24"/>
  <c r="I199" i="24"/>
  <c r="I185" i="24"/>
  <c r="I169" i="24"/>
  <c r="I161" i="24"/>
  <c r="I165" i="24"/>
  <c r="I187" i="24"/>
  <c r="I195" i="24"/>
  <c r="I173" i="24"/>
  <c r="I151" i="24"/>
  <c r="I203" i="24"/>
  <c r="I191" i="24"/>
  <c r="I175" i="24"/>
  <c r="I205" i="24"/>
  <c r="I197" i="24"/>
  <c r="I193" i="24"/>
  <c r="I177" i="24"/>
  <c r="I183" i="24"/>
  <c r="I163" i="24"/>
  <c r="I157" i="24"/>
  <c r="I167" i="24"/>
  <c r="I155" i="24"/>
  <c r="I17" i="29"/>
  <c r="G13" i="24" s="1"/>
  <c r="N80" i="24"/>
  <c r="N56" i="24"/>
  <c r="A24" i="24"/>
  <c r="N64" i="24"/>
  <c r="F2388" i="27"/>
  <c r="F2394" i="27"/>
  <c r="F2395" i="27"/>
  <c r="F2396" i="27" s="1"/>
  <c r="F2397" i="27" s="1"/>
  <c r="F2398" i="27" s="1"/>
  <c r="F2399" i="27" s="1"/>
  <c r="F2400" i="27" s="1"/>
  <c r="N82" i="24"/>
  <c r="N76" i="24"/>
  <c r="N58" i="24"/>
  <c r="N62" i="24"/>
  <c r="H155" i="1"/>
  <c r="AA155" i="1"/>
  <c r="AH155" i="1"/>
  <c r="AA140" i="1"/>
  <c r="H140" i="1"/>
  <c r="AH140" i="1"/>
  <c r="C27" i="20"/>
  <c r="D26" i="20"/>
  <c r="AA154" i="1"/>
  <c r="H154" i="1"/>
  <c r="AH154" i="1"/>
  <c r="F31" i="16" a="1"/>
  <c r="F31" i="16" s="1"/>
  <c r="F32" i="16" s="1" a="1"/>
  <c r="F32" i="16" s="1"/>
  <c r="N66" i="24"/>
  <c r="H125" i="1"/>
  <c r="AA125" i="1"/>
  <c r="AH125" i="1"/>
  <c r="N72" i="24"/>
  <c r="P386" i="32"/>
  <c r="Q384" i="32"/>
  <c r="AE130" i="1" a="1"/>
  <c r="AE130" i="1" s="1"/>
  <c r="AE131" i="1" s="1" a="1"/>
  <c r="AE131" i="1" s="1"/>
  <c r="BE81" i="34"/>
  <c r="BE53" i="34"/>
  <c r="BE86" i="34"/>
  <c r="BE27" i="34"/>
  <c r="BE14" i="34"/>
  <c r="BE9" i="34"/>
  <c r="BE74" i="34"/>
  <c r="BE57" i="34"/>
  <c r="BE82" i="34"/>
  <c r="BE70" i="34"/>
  <c r="BE33" i="34"/>
  <c r="BE19" i="34"/>
  <c r="BE83" i="34"/>
  <c r="BE21" i="34"/>
  <c r="BE34" i="34"/>
  <c r="BE85" i="34"/>
  <c r="BE54" i="34"/>
  <c r="BE46" i="34"/>
  <c r="BE32" i="34"/>
  <c r="BE36" i="34"/>
  <c r="BE39" i="34"/>
  <c r="BE50" i="34"/>
  <c r="BE73" i="34"/>
  <c r="BE35" i="34"/>
  <c r="BE55" i="34"/>
  <c r="BE20" i="34"/>
  <c r="BE48" i="34"/>
  <c r="BE84" i="34"/>
  <c r="BE29" i="34"/>
  <c r="BE76" i="34"/>
  <c r="BE47" i="34"/>
  <c r="BE80" i="34"/>
  <c r="BE51" i="34"/>
  <c r="BE64" i="34"/>
  <c r="BE88" i="34"/>
  <c r="BE79" i="34"/>
  <c r="BE63" i="34"/>
  <c r="BE38" i="34"/>
  <c r="BE75" i="34"/>
  <c r="BE17" i="34"/>
  <c r="BE42" i="34"/>
  <c r="BE15" i="34"/>
  <c r="BE13" i="34"/>
  <c r="BE61" i="34"/>
  <c r="BE28" i="34"/>
  <c r="BE43" i="34"/>
  <c r="BE24" i="34"/>
  <c r="BE87" i="34"/>
  <c r="BE26" i="34"/>
  <c r="BE69" i="34"/>
  <c r="BE25" i="34"/>
  <c r="BE77" i="34"/>
  <c r="BE72" i="34"/>
  <c r="BE31" i="34"/>
  <c r="BE56" i="34"/>
  <c r="BE65" i="34"/>
  <c r="BE10" i="34"/>
  <c r="BE58" i="34"/>
  <c r="BE71" i="34"/>
  <c r="BE11" i="34"/>
  <c r="BE52" i="34"/>
  <c r="BE12" i="34"/>
  <c r="BE22" i="34"/>
  <c r="BE49" i="34"/>
  <c r="BE44" i="34"/>
  <c r="BE68" i="34"/>
  <c r="BE30" i="34"/>
  <c r="BE78" i="34"/>
  <c r="BE16" i="34"/>
  <c r="BE60" i="34"/>
  <c r="BE66" i="34"/>
  <c r="BE41" i="34"/>
  <c r="BE23" i="34"/>
  <c r="BE40" i="34"/>
  <c r="BE67" i="34"/>
  <c r="BE45" i="34"/>
  <c r="BE62" i="34"/>
  <c r="BE37" i="34"/>
  <c r="BE18" i="34"/>
  <c r="BE59" i="34"/>
  <c r="N70" i="24"/>
  <c r="D236" i="20"/>
  <c r="C237" i="20"/>
  <c r="AA141" i="1"/>
  <c r="H141" i="1"/>
  <c r="AH139" i="1"/>
  <c r="H139" i="1"/>
  <c r="AA139" i="1"/>
  <c r="N78" i="24"/>
  <c r="AA148" i="1"/>
  <c r="H148" i="1"/>
  <c r="AH148" i="1"/>
  <c r="AA156" i="1"/>
  <c r="H156" i="1"/>
  <c r="AH156" i="1"/>
  <c r="AH167" i="1"/>
  <c r="H167" i="1"/>
  <c r="AA167" i="1"/>
  <c r="D122" i="20"/>
  <c r="C123" i="20"/>
  <c r="N68" i="24"/>
  <c r="H131" i="1"/>
  <c r="AA131" i="1"/>
  <c r="AH131" i="1"/>
  <c r="H142" i="1"/>
  <c r="AA142" i="1"/>
  <c r="AH142" i="1"/>
  <c r="AH133" i="1"/>
  <c r="H133" i="1"/>
  <c r="AA133" i="1"/>
  <c r="Q360" i="32"/>
  <c r="P362" i="32"/>
  <c r="H146" i="1"/>
  <c r="AA146" i="1"/>
  <c r="AH146" i="1"/>
  <c r="H147" i="1"/>
  <c r="AA147" i="1"/>
  <c r="AH147" i="1"/>
  <c r="D130" i="20"/>
  <c r="C131" i="20"/>
  <c r="P322" i="32"/>
  <c r="Q320" i="32"/>
  <c r="N74" i="24"/>
  <c r="N54" i="24"/>
  <c r="P669" i="32"/>
  <c r="Q667" i="32"/>
  <c r="H158" i="1"/>
  <c r="AA158" i="1"/>
  <c r="H162" i="1"/>
  <c r="AA162" i="1"/>
  <c r="AH162" i="1"/>
  <c r="AH157" i="1"/>
  <c r="H157" i="1"/>
  <c r="AA157" i="1"/>
  <c r="F2859" i="27"/>
  <c r="E49" i="1"/>
  <c r="H294" i="24" s="1"/>
  <c r="H143" i="27"/>
  <c r="H367" i="27"/>
  <c r="H68" i="27"/>
  <c r="H69" i="27" s="1"/>
  <c r="H70" i="27" s="1"/>
  <c r="H71" i="27" s="1"/>
  <c r="H72" i="27" s="1"/>
  <c r="H67" i="27"/>
  <c r="J2022" i="27"/>
  <c r="G2022" i="27"/>
  <c r="H2022" i="27"/>
  <c r="N2022" i="27"/>
  <c r="I2022" i="27"/>
  <c r="P2022" i="27"/>
  <c r="O2022" i="27"/>
  <c r="K2022" i="27"/>
  <c r="E2022" i="27"/>
  <c r="K1422" i="27"/>
  <c r="J486" i="27"/>
  <c r="A486" i="27" s="1"/>
  <c r="B52" i="1"/>
  <c r="W7" i="30"/>
  <c r="L142" i="27"/>
  <c r="L178" i="27"/>
  <c r="L136" i="27"/>
  <c r="L202" i="27"/>
  <c r="L184" i="27"/>
  <c r="L220" i="27"/>
  <c r="L160" i="27"/>
  <c r="L154" i="27"/>
  <c r="L196" i="27"/>
  <c r="L214" i="27"/>
  <c r="L190" i="27"/>
  <c r="L148" i="27"/>
  <c r="L208" i="27"/>
  <c r="L172" i="27"/>
  <c r="L166" i="27"/>
  <c r="I165" i="16" a="1"/>
  <c r="I165" i="16" s="1"/>
  <c r="I166" i="16" s="1" a="1"/>
  <c r="I166" i="16" s="1"/>
  <c r="J166" i="16" s="1" a="1"/>
  <c r="J166" i="16" s="1"/>
  <c r="D255" i="20"/>
  <c r="C256" i="20"/>
  <c r="S7" i="31"/>
  <c r="L425" i="27"/>
  <c r="L377" i="27"/>
  <c r="L443" i="27"/>
  <c r="L431" i="27"/>
  <c r="L389" i="27"/>
  <c r="L401" i="27"/>
  <c r="L383" i="27"/>
  <c r="L359" i="27"/>
  <c r="L437" i="27"/>
  <c r="L395" i="27"/>
  <c r="L407" i="27"/>
  <c r="L371" i="27"/>
  <c r="L419" i="27"/>
  <c r="L413" i="27"/>
  <c r="L365" i="27"/>
  <c r="B488" i="27"/>
  <c r="C487" i="27"/>
  <c r="H710" i="27"/>
  <c r="D168" i="20"/>
  <c r="C169" i="20"/>
  <c r="D169" i="20" s="1"/>
  <c r="I29" i="16" a="1"/>
  <c r="I29" i="16" s="1"/>
  <c r="H30" i="16" a="1"/>
  <c r="H30" i="16" s="1"/>
  <c r="H31" i="16" s="1" a="1"/>
  <c r="H31" i="16" s="1"/>
  <c r="I31" i="16" s="1" a="1"/>
  <c r="I31" i="16" s="1"/>
  <c r="R52" i="24"/>
  <c r="Q106" i="24"/>
  <c r="H168" i="1"/>
  <c r="AA168" i="1"/>
  <c r="C228" i="20"/>
  <c r="D227" i="20"/>
  <c r="C217" i="20"/>
  <c r="D216" i="20"/>
  <c r="C303" i="20"/>
  <c r="D303" i="20" s="1"/>
  <c r="D302" i="20"/>
  <c r="H505" i="27"/>
  <c r="C309" i="20"/>
  <c r="D309" i="20" s="1"/>
  <c r="D308" i="20"/>
  <c r="C208" i="20"/>
  <c r="D208" i="20" s="1"/>
  <c r="D207" i="20"/>
  <c r="C29" i="19" a="1"/>
  <c r="C29" i="19" s="1"/>
  <c r="L10" i="29" a="1"/>
  <c r="L10" i="29" s="1"/>
  <c r="AA150" i="1"/>
  <c r="H150" i="1"/>
  <c r="AA165" i="1"/>
  <c r="H165" i="1"/>
  <c r="U629" i="32"/>
  <c r="AA136" i="1"/>
  <c r="H136" i="1"/>
  <c r="H160" i="1"/>
  <c r="AA160" i="1"/>
  <c r="C74" i="20"/>
  <c r="D74" i="20" s="1"/>
  <c r="D73" i="20"/>
  <c r="B166" i="16" a="1"/>
  <c r="B166" i="16" s="1"/>
  <c r="F12" i="16" a="1"/>
  <c r="F12" i="16" s="1"/>
  <c r="AA128" i="1"/>
  <c r="H128" i="1"/>
  <c r="L487" i="27"/>
  <c r="I487" i="27"/>
  <c r="F2290" i="27"/>
  <c r="G16" i="32"/>
  <c r="M487" i="27"/>
  <c r="G627" i="32"/>
  <c r="R23" i="27"/>
  <c r="F487" i="27"/>
  <c r="N2290" i="27"/>
  <c r="BD15" i="33"/>
  <c r="BD19" i="34"/>
  <c r="G322" i="32"/>
  <c r="BC19" i="34"/>
  <c r="H23" i="27"/>
  <c r="G23" i="27"/>
  <c r="V487" i="27"/>
  <c r="G15" i="33"/>
  <c r="M23" i="27" a="1"/>
  <c r="M366" i="27"/>
  <c r="J709" i="27"/>
  <c r="I143" i="27"/>
  <c r="F23" i="27"/>
  <c r="E15" i="31"/>
  <c r="J23" i="27"/>
  <c r="I2858" i="27"/>
  <c r="P487" i="27"/>
  <c r="J2858" i="27"/>
  <c r="P2285" i="27"/>
  <c r="M142" i="27"/>
  <c r="K709" i="27"/>
  <c r="J142" i="27"/>
  <c r="J487" i="27" a="1"/>
  <c r="P23" i="27"/>
  <c r="M19" i="27" a="1"/>
  <c r="E487" i="27"/>
  <c r="H247" i="27"/>
  <c r="A322" i="32"/>
  <c r="K487" i="27"/>
  <c r="O23" i="27"/>
  <c r="N142" i="27"/>
  <c r="Q23" i="27"/>
  <c r="T487" i="27"/>
  <c r="D486" i="27"/>
  <c r="P2286" i="27"/>
  <c r="G487" i="27"/>
  <c r="E23" i="27"/>
  <c r="AI17" i="31"/>
  <c r="L2290" i="27"/>
  <c r="K23" i="27"/>
  <c r="AL15" i="30"/>
  <c r="A627" i="32"/>
  <c r="U487" i="27"/>
  <c r="N366" i="27"/>
  <c r="Q247" i="27"/>
  <c r="K2859" i="27"/>
  <c r="N487" i="27"/>
  <c r="O2290" i="27"/>
  <c r="Q487" i="27"/>
  <c r="P2287" i="27"/>
  <c r="P2288" i="27"/>
  <c r="J2290" i="27"/>
  <c r="L23" i="27"/>
  <c r="D2290" i="27"/>
  <c r="P2289" i="27"/>
  <c r="M2290" i="27"/>
  <c r="H2858" i="27"/>
  <c r="P2290" i="27"/>
  <c r="I366" i="27"/>
  <c r="O487" i="27"/>
  <c r="A16" i="32"/>
  <c r="R487" i="27"/>
  <c r="J367" i="27"/>
  <c r="H114" i="24" l="1"/>
  <c r="T382" i="32" a="1"/>
  <c r="T382" i="32" s="1"/>
  <c r="P749" i="32"/>
  <c r="P751" i="32" s="1"/>
  <c r="M19" i="27"/>
  <c r="A19" i="27" s="1"/>
  <c r="O1040" i="27"/>
  <c r="N1040" i="27"/>
  <c r="K1040" i="27"/>
  <c r="I1040" i="27"/>
  <c r="H1040" i="27"/>
  <c r="E1040" i="27"/>
  <c r="G1040" i="27"/>
  <c r="K890" i="27"/>
  <c r="L1040" i="27"/>
  <c r="J1040" i="27"/>
  <c r="E155" i="24"/>
  <c r="H60" i="24"/>
  <c r="I9" i="16" a="1"/>
  <c r="I9" i="16" s="1"/>
  <c r="H10" i="16" a="1"/>
  <c r="H10" i="16" s="1"/>
  <c r="U326" i="32"/>
  <c r="D274" i="20"/>
  <c r="C275" i="20"/>
  <c r="D275" i="20" s="1"/>
  <c r="AH21" i="31"/>
  <c r="C8" i="19" a="1"/>
  <c r="C8" i="19" s="1"/>
  <c r="C9" i="19" s="1" a="1"/>
  <c r="C9" i="19" s="1"/>
  <c r="C10" i="19" s="1" a="1"/>
  <c r="C10" i="19" s="1"/>
  <c r="BA19" i="33"/>
  <c r="AJ19" i="30"/>
  <c r="AI157" i="1"/>
  <c r="AI173" i="1"/>
  <c r="AI156" i="1"/>
  <c r="AI132" i="1"/>
  <c r="AI147" i="1"/>
  <c r="AI166" i="1"/>
  <c r="AI135" i="1"/>
  <c r="AI155" i="1"/>
  <c r="AI151" i="1"/>
  <c r="AI149" i="1"/>
  <c r="Q629" i="32"/>
  <c r="M23" i="27"/>
  <c r="A23" i="27" s="1"/>
  <c r="A2290" i="27"/>
  <c r="I1344" i="27"/>
  <c r="E1344" i="27"/>
  <c r="J1344" i="27"/>
  <c r="N1344" i="27"/>
  <c r="K1194" i="27"/>
  <c r="L1344" i="27"/>
  <c r="G1344" i="27"/>
  <c r="K1344" i="27"/>
  <c r="O1344" i="27"/>
  <c r="H1344" i="27"/>
  <c r="AI144" i="1"/>
  <c r="AI148" i="1"/>
  <c r="V703" i="32" a="1"/>
  <c r="V703" i="32" s="1"/>
  <c r="L703" i="32" s="1"/>
  <c r="S703" i="32" a="1"/>
  <c r="S703" i="32" s="1"/>
  <c r="E703" i="32" s="1"/>
  <c r="T703" i="32" a="1"/>
  <c r="T703" i="32" s="1"/>
  <c r="R703" i="32" a="1"/>
  <c r="R703" i="32" s="1"/>
  <c r="D703" i="32" s="1"/>
  <c r="U20" i="32"/>
  <c r="Q32" i="32"/>
  <c r="P34" i="32"/>
  <c r="AI162" i="1"/>
  <c r="P14" i="32"/>
  <c r="Q12" i="32"/>
  <c r="AI170" i="1"/>
  <c r="AI163" i="1"/>
  <c r="B2292" i="27"/>
  <c r="AI127" i="1"/>
  <c r="AI164" i="1"/>
  <c r="AI153" i="1"/>
  <c r="AI131" i="1"/>
  <c r="AI145" i="1"/>
  <c r="AI150" i="1"/>
  <c r="AI126" i="1"/>
  <c r="AI167" i="1"/>
  <c r="AI136" i="1"/>
  <c r="AI138" i="1"/>
  <c r="AY21" i="34"/>
  <c r="B27" i="27"/>
  <c r="C26" i="27"/>
  <c r="I231" i="27"/>
  <c r="I232" i="27" s="1"/>
  <c r="AI171" i="1"/>
  <c r="AI172" i="1"/>
  <c r="AI125" i="1"/>
  <c r="AI165" i="1"/>
  <c r="AI143" i="1"/>
  <c r="AI174" i="1"/>
  <c r="AI161" i="1"/>
  <c r="B233" i="27"/>
  <c r="I25" i="27"/>
  <c r="Q705" i="32"/>
  <c r="P707" i="32"/>
  <c r="Q785" i="32"/>
  <c r="P787" i="32"/>
  <c r="H291" i="27"/>
  <c r="P835" i="32"/>
  <c r="Q833" i="32"/>
  <c r="Q631" i="32"/>
  <c r="P633" i="32"/>
  <c r="P406" i="32"/>
  <c r="Q404" i="32"/>
  <c r="V404" i="32" s="1" a="1"/>
  <c r="V404" i="32" s="1"/>
  <c r="L404" i="32" s="1"/>
  <c r="I18" i="29"/>
  <c r="I19" i="29" s="1"/>
  <c r="G15" i="24" s="1"/>
  <c r="F2401" i="27"/>
  <c r="F2402" i="27" s="1"/>
  <c r="F2403" i="27" s="1"/>
  <c r="F2404" i="27" s="1"/>
  <c r="F2405" i="27" s="1"/>
  <c r="F2407" i="27" s="1"/>
  <c r="F2408" i="27" s="1"/>
  <c r="F2409" i="27" s="1"/>
  <c r="F2410" i="27" s="1"/>
  <c r="F2411" i="27" s="1"/>
  <c r="A2858" i="27"/>
  <c r="Q322" i="32"/>
  <c r="P324" i="32"/>
  <c r="C132" i="20"/>
  <c r="D132" i="20" s="1"/>
  <c r="D131" i="20"/>
  <c r="F33" i="16" a="1"/>
  <c r="F33" i="16" s="1"/>
  <c r="AI134" i="1"/>
  <c r="AI141" i="1"/>
  <c r="AI130" i="1"/>
  <c r="AI129" i="1"/>
  <c r="AI133" i="1"/>
  <c r="AI158" i="1"/>
  <c r="D123" i="20"/>
  <c r="C124" i="20"/>
  <c r="D124" i="20" s="1"/>
  <c r="T356" i="32" a="1"/>
  <c r="T356" i="32" s="1"/>
  <c r="AI152" i="1"/>
  <c r="AI139" i="1"/>
  <c r="AI146" i="1"/>
  <c r="BF63" i="34"/>
  <c r="BF15" i="34"/>
  <c r="BF53" i="34"/>
  <c r="BF51" i="34"/>
  <c r="BF85" i="34"/>
  <c r="BF81" i="34"/>
  <c r="BF88" i="34"/>
  <c r="BF32" i="34"/>
  <c r="BF50" i="34"/>
  <c r="BF46" i="34"/>
  <c r="BF86" i="34"/>
  <c r="BF13" i="34"/>
  <c r="BF29" i="34"/>
  <c r="BF39" i="34"/>
  <c r="BF34" i="34"/>
  <c r="BF80" i="34"/>
  <c r="BF9" i="34"/>
  <c r="BF74" i="34"/>
  <c r="BF33" i="34"/>
  <c r="BF73" i="34"/>
  <c r="BF57" i="34"/>
  <c r="BF84" i="34"/>
  <c r="BF20" i="34"/>
  <c r="BF64" i="34"/>
  <c r="BF83" i="34"/>
  <c r="BF54" i="34"/>
  <c r="BF70" i="34"/>
  <c r="BF35" i="34"/>
  <c r="BF79" i="34"/>
  <c r="BF36" i="34"/>
  <c r="BF47" i="34"/>
  <c r="BF17" i="34"/>
  <c r="BF48" i="34"/>
  <c r="BF82" i="34"/>
  <c r="BF76" i="34"/>
  <c r="BF42" i="34"/>
  <c r="BF27" i="34"/>
  <c r="BF38" i="34"/>
  <c r="BF21" i="34"/>
  <c r="BF19" i="34"/>
  <c r="BF75" i="34"/>
  <c r="BF14" i="34"/>
  <c r="BF55" i="34"/>
  <c r="BF59" i="34"/>
  <c r="BF77" i="34"/>
  <c r="BF61" i="34"/>
  <c r="BF28" i="34"/>
  <c r="BF43" i="34"/>
  <c r="BF24" i="34"/>
  <c r="BF87" i="34"/>
  <c r="BF26" i="34"/>
  <c r="BF58" i="34"/>
  <c r="BF45" i="34"/>
  <c r="BF71" i="34"/>
  <c r="BF25" i="34"/>
  <c r="BF23" i="34"/>
  <c r="BF56" i="34"/>
  <c r="BF12" i="34"/>
  <c r="BF65" i="34"/>
  <c r="BF41" i="34"/>
  <c r="BF67" i="34"/>
  <c r="BF10" i="34"/>
  <c r="BF44" i="34"/>
  <c r="BF11" i="34"/>
  <c r="BF78" i="34"/>
  <c r="BF52" i="34"/>
  <c r="BF22" i="34"/>
  <c r="BF49" i="34"/>
  <c r="BF72" i="34"/>
  <c r="BF31" i="34"/>
  <c r="BF68" i="34"/>
  <c r="BF30" i="34"/>
  <c r="BF16" i="34"/>
  <c r="BF60" i="34"/>
  <c r="BF66" i="34"/>
  <c r="BF40" i="34"/>
  <c r="BF18" i="34"/>
  <c r="BF69" i="34"/>
  <c r="BF62" i="34"/>
  <c r="BF37" i="34"/>
  <c r="C238" i="20"/>
  <c r="D237" i="20"/>
  <c r="C28" i="20"/>
  <c r="D28" i="20" s="1"/>
  <c r="D27" i="20"/>
  <c r="R192" i="32" s="1" a="1"/>
  <c r="R192" i="32" s="1"/>
  <c r="D192" i="32" s="1"/>
  <c r="AI168" i="1"/>
  <c r="AI159" i="1"/>
  <c r="AI160" i="1"/>
  <c r="AI128" i="1"/>
  <c r="P671" i="32"/>
  <c r="Q669" i="32"/>
  <c r="AI154" i="1"/>
  <c r="AI124" i="1"/>
  <c r="AI169" i="1"/>
  <c r="AI140" i="1"/>
  <c r="AI142" i="1"/>
  <c r="AI137" i="1"/>
  <c r="Q362" i="32"/>
  <c r="V362" i="32" s="1" a="1"/>
  <c r="V362" i="32" s="1"/>
  <c r="L362" i="32" s="1"/>
  <c r="P364" i="32"/>
  <c r="Q386" i="32"/>
  <c r="P388" i="32"/>
  <c r="F2860" i="27"/>
  <c r="H262" i="24"/>
  <c r="H286" i="24"/>
  <c r="M147" i="24"/>
  <c r="H230" i="24"/>
  <c r="T49" i="1"/>
  <c r="N49" i="1"/>
  <c r="H238" i="24"/>
  <c r="H254" i="24"/>
  <c r="H222" i="24"/>
  <c r="H278" i="24"/>
  <c r="C24" i="24"/>
  <c r="R7" i="33"/>
  <c r="H246" i="24"/>
  <c r="H270" i="24"/>
  <c r="L7" i="34"/>
  <c r="A50" i="1"/>
  <c r="H73" i="27"/>
  <c r="H74" i="27"/>
  <c r="H75" i="27" s="1"/>
  <c r="H76" i="27" s="1"/>
  <c r="H77" i="27" s="1"/>
  <c r="H78" i="27" s="1"/>
  <c r="H297" i="27"/>
  <c r="H298" i="27"/>
  <c r="H299" i="27" s="1"/>
  <c r="H300" i="27" s="1"/>
  <c r="H301" i="27" s="1"/>
  <c r="H302" i="27" s="1"/>
  <c r="H368" i="27"/>
  <c r="H144" i="27"/>
  <c r="J487" i="27"/>
  <c r="A487" i="27" s="1"/>
  <c r="P2023" i="27"/>
  <c r="K2023" i="27"/>
  <c r="I2023" i="27"/>
  <c r="H2023" i="27"/>
  <c r="K1423" i="27"/>
  <c r="E2023" i="27"/>
  <c r="O2023" i="27"/>
  <c r="J2023" i="27"/>
  <c r="G2023" i="27"/>
  <c r="N2023" i="27"/>
  <c r="K1424" i="27"/>
  <c r="C218" i="20"/>
  <c r="D217" i="20"/>
  <c r="S380" i="32" a="1"/>
  <c r="S380" i="32" s="1"/>
  <c r="E380" i="32" s="1"/>
  <c r="D228" i="20"/>
  <c r="C229" i="20"/>
  <c r="S358" i="32" a="1"/>
  <c r="S358" i="32" s="1"/>
  <c r="E358" i="32" s="1"/>
  <c r="R400" i="32" a="1"/>
  <c r="R400" i="32" s="1"/>
  <c r="D400" i="32" s="1"/>
  <c r="U631" i="32"/>
  <c r="T380" i="32" a="1"/>
  <c r="T380" i="32" s="1"/>
  <c r="V318" i="32" a="1"/>
  <c r="V318" i="32" s="1"/>
  <c r="L318" i="32" s="1"/>
  <c r="S536" i="32" a="1"/>
  <c r="S536" i="32" s="1"/>
  <c r="E536" i="32" s="1"/>
  <c r="S398" i="32" a="1"/>
  <c r="S398" i="32" s="1"/>
  <c r="E398" i="32" s="1"/>
  <c r="S667" i="32" a="1"/>
  <c r="S667" i="32" s="1"/>
  <c r="E667" i="32" s="1"/>
  <c r="J165" i="16" a="1"/>
  <c r="J165" i="16" s="1"/>
  <c r="T500" i="32" a="1"/>
  <c r="T500" i="32" s="1"/>
  <c r="V544" i="32" a="1"/>
  <c r="V544" i="32" s="1"/>
  <c r="L544" i="32" s="1"/>
  <c r="W7" i="31"/>
  <c r="L438" i="27"/>
  <c r="L396" i="27"/>
  <c r="L378" i="27"/>
  <c r="L408" i="27"/>
  <c r="L420" i="27"/>
  <c r="L372" i="27"/>
  <c r="L432" i="27"/>
  <c r="L384" i="27"/>
  <c r="L402" i="27"/>
  <c r="L414" i="27"/>
  <c r="L390" i="27"/>
  <c r="L366" i="27"/>
  <c r="L426" i="27"/>
  <c r="L444" i="27"/>
  <c r="L360" i="27"/>
  <c r="R667" i="32" a="1"/>
  <c r="R667" i="32" s="1"/>
  <c r="D667" i="32" s="1"/>
  <c r="T745" i="32" a="1"/>
  <c r="T745" i="32" s="1"/>
  <c r="V556" i="32" a="1"/>
  <c r="V556" i="32" s="1"/>
  <c r="L556" i="32" s="1"/>
  <c r="V365" i="32" a="1"/>
  <c r="V365" i="32" s="1"/>
  <c r="T564" i="32" a="1"/>
  <c r="T564" i="32" s="1"/>
  <c r="V349" i="32" a="1"/>
  <c r="V349" i="32" s="1"/>
  <c r="I167" i="16" a="1"/>
  <c r="I167" i="16" s="1"/>
  <c r="R398" i="32" a="1"/>
  <c r="R398" i="32" s="1"/>
  <c r="D398" i="32" s="1"/>
  <c r="T502" i="32" a="1"/>
  <c r="T502" i="32" s="1"/>
  <c r="T538" i="32" a="1"/>
  <c r="T538" i="32" s="1"/>
  <c r="V423" i="32" a="1"/>
  <c r="V423" i="32" s="1"/>
  <c r="S320" i="32" a="1"/>
  <c r="S320" i="32" s="1"/>
  <c r="E320" i="32" s="1"/>
  <c r="T384" i="32" a="1"/>
  <c r="T384" i="32" s="1"/>
  <c r="S522" i="32" a="1"/>
  <c r="S522" i="32" s="1"/>
  <c r="E522" i="32" s="1"/>
  <c r="V376" i="32" a="1"/>
  <c r="V376" i="32" s="1"/>
  <c r="L376" i="32" s="1"/>
  <c r="S382" i="32" a="1"/>
  <c r="S382" i="32" s="1"/>
  <c r="E382" i="32" s="1"/>
  <c r="S384" i="32" a="1"/>
  <c r="S384" i="32" s="1"/>
  <c r="E384" i="32" s="1"/>
  <c r="S316" i="32" a="1"/>
  <c r="S316" i="32" s="1"/>
  <c r="E316" i="32" s="1"/>
  <c r="R376" i="32" a="1"/>
  <c r="R376" i="32" s="1"/>
  <c r="D376" i="32" s="1"/>
  <c r="S588" i="32" a="1"/>
  <c r="S588" i="32" s="1"/>
  <c r="E588" i="32" s="1"/>
  <c r="V380" i="32" a="1"/>
  <c r="V380" i="32" s="1"/>
  <c r="L380" i="32" s="1"/>
  <c r="V419" i="32" a="1"/>
  <c r="V419" i="32" s="1"/>
  <c r="R572" i="32" a="1"/>
  <c r="R572" i="32" s="1"/>
  <c r="D572" i="32" s="1"/>
  <c r="S486" i="32" a="1"/>
  <c r="S486" i="32" s="1"/>
  <c r="E486" i="32" s="1"/>
  <c r="T600" i="32" a="1"/>
  <c r="T600" i="32" s="1"/>
  <c r="S512" i="32" a="1"/>
  <c r="S512" i="32" s="1"/>
  <c r="E512" i="32" s="1"/>
  <c r="AE132" i="1" a="1"/>
  <c r="AE132" i="1" s="1"/>
  <c r="AE133" i="1" s="1" a="1"/>
  <c r="AE133" i="1" s="1"/>
  <c r="R380" i="32" a="1"/>
  <c r="R380" i="32" s="1"/>
  <c r="D380" i="32" s="1"/>
  <c r="V387" i="32" a="1"/>
  <c r="V387" i="32" s="1"/>
  <c r="T508" i="32" a="1"/>
  <c r="T508" i="32" s="1"/>
  <c r="S532" i="32" a="1"/>
  <c r="S532" i="32" s="1"/>
  <c r="E532" i="32" s="1"/>
  <c r="S530" i="32" a="1"/>
  <c r="S530" i="32" s="1"/>
  <c r="E530" i="32" s="1"/>
  <c r="R560" i="32" a="1"/>
  <c r="R560" i="32" s="1"/>
  <c r="D560" i="32" s="1"/>
  <c r="R492" i="32" a="1"/>
  <c r="R492" i="32" s="1"/>
  <c r="D492" i="32" s="1"/>
  <c r="V343" i="32" a="1"/>
  <c r="V343" i="32" s="1"/>
  <c r="V610" i="32" a="1"/>
  <c r="V610" i="32" s="1"/>
  <c r="L610" i="32" s="1"/>
  <c r="R322" i="32" a="1"/>
  <c r="R322" i="32" s="1"/>
  <c r="D322" i="32" s="1"/>
  <c r="R600" i="32" a="1"/>
  <c r="R600" i="32" s="1"/>
  <c r="D600" i="32" s="1"/>
  <c r="R538" i="32" a="1"/>
  <c r="R538" i="32" s="1"/>
  <c r="D538" i="32" s="1"/>
  <c r="R378" i="32" a="1"/>
  <c r="R378" i="32" s="1"/>
  <c r="D378" i="32" s="1"/>
  <c r="V455" i="32" a="1"/>
  <c r="V455" i="32" s="1"/>
  <c r="R558" i="32" a="1"/>
  <c r="R558" i="32" s="1"/>
  <c r="D558" i="32" s="1"/>
  <c r="S747" i="32" a="1"/>
  <c r="S747" i="32" s="1"/>
  <c r="E747" i="32" s="1"/>
  <c r="R661" i="32" a="1"/>
  <c r="R661" i="32" s="1"/>
  <c r="D661" i="32" s="1"/>
  <c r="R747" i="32" a="1"/>
  <c r="R747" i="32" s="1"/>
  <c r="D747" i="32" s="1"/>
  <c r="V741" i="32" a="1"/>
  <c r="V741" i="32" s="1"/>
  <c r="L741" i="32" s="1"/>
  <c r="T667" i="32" a="1"/>
  <c r="T667" i="32" s="1"/>
  <c r="V363" i="32" a="1"/>
  <c r="V363" i="32" s="1"/>
  <c r="T584" i="32" a="1"/>
  <c r="T584" i="32" s="1"/>
  <c r="R520" i="32" a="1"/>
  <c r="R520" i="32" s="1"/>
  <c r="D520" i="32" s="1"/>
  <c r="V473" i="32" a="1"/>
  <c r="V473" i="32" s="1"/>
  <c r="R554" i="32" a="1"/>
  <c r="R554" i="32" s="1"/>
  <c r="D554" i="32" s="1"/>
  <c r="V476" i="32" a="1"/>
  <c r="V476" i="32" s="1"/>
  <c r="L476" i="32" s="1"/>
  <c r="S478" i="32" a="1"/>
  <c r="S478" i="32" s="1"/>
  <c r="B53" i="1"/>
  <c r="S146" i="24" s="1"/>
  <c r="T574" i="32" a="1"/>
  <c r="T574" i="32" s="1"/>
  <c r="R556" i="32" a="1"/>
  <c r="R556" i="32" s="1"/>
  <c r="D556" i="32" s="1"/>
  <c r="T576" i="32" a="1"/>
  <c r="T576" i="32" s="1"/>
  <c r="T548" i="32" a="1"/>
  <c r="T548" i="32" s="1"/>
  <c r="V506" i="32" a="1"/>
  <c r="V506" i="32" s="1"/>
  <c r="L506" i="32" s="1"/>
  <c r="V597" i="32" a="1"/>
  <c r="V597" i="32" s="1"/>
  <c r="S562" i="32" a="1"/>
  <c r="S562" i="32" s="1"/>
  <c r="E562" i="32" s="1"/>
  <c r="V361" i="32" a="1"/>
  <c r="V361" i="32" s="1"/>
  <c r="T546" i="32" a="1"/>
  <c r="T546" i="32" s="1"/>
  <c r="T578" i="32" a="1"/>
  <c r="T578" i="32" s="1"/>
  <c r="V589" i="32" a="1"/>
  <c r="V589" i="32" s="1"/>
  <c r="V500" i="32" a="1"/>
  <c r="V500" i="32" s="1"/>
  <c r="L500" i="32" s="1"/>
  <c r="V505" i="32" a="1"/>
  <c r="V505" i="32" s="1"/>
  <c r="T586" i="32" a="1"/>
  <c r="T586" i="32" s="1"/>
  <c r="H506" i="27"/>
  <c r="V602" i="32" a="1"/>
  <c r="V602" i="32" s="1"/>
  <c r="L602" i="32" s="1"/>
  <c r="V576" i="32" a="1"/>
  <c r="V576" i="32" s="1"/>
  <c r="L576" i="32" s="1"/>
  <c r="V402" i="32" a="1"/>
  <c r="V402" i="32" s="1"/>
  <c r="L402" i="32" s="1"/>
  <c r="S396" i="32" a="1"/>
  <c r="S396" i="32" s="1"/>
  <c r="E396" i="32" s="1"/>
  <c r="S602" i="32" a="1"/>
  <c r="S602" i="32" s="1"/>
  <c r="E602" i="32" s="1"/>
  <c r="V483" i="32" a="1"/>
  <c r="V483" i="32" s="1"/>
  <c r="V613" i="32" a="1"/>
  <c r="V613" i="32" s="1"/>
  <c r="R536" i="32" a="1"/>
  <c r="R536" i="32" s="1"/>
  <c r="D536" i="32" s="1"/>
  <c r="R512" i="32" a="1"/>
  <c r="R512" i="32" s="1"/>
  <c r="D512" i="32" s="1"/>
  <c r="V547" i="32" a="1"/>
  <c r="V547" i="32" s="1"/>
  <c r="V615" i="32" a="1"/>
  <c r="V615" i="32" s="1"/>
  <c r="I30" i="16" a="1"/>
  <c r="I30" i="16" s="1"/>
  <c r="H32" i="16" a="1"/>
  <c r="H32" i="16" s="1"/>
  <c r="I32" i="16" s="1" a="1"/>
  <c r="I32" i="16" s="1"/>
  <c r="S578" i="32" a="1"/>
  <c r="S578" i="32" s="1"/>
  <c r="E578" i="32" s="1"/>
  <c r="T490" i="32" a="1"/>
  <c r="T490" i="32" s="1"/>
  <c r="V550" i="32" a="1"/>
  <c r="V550" i="32" s="1"/>
  <c r="L550" i="32" s="1"/>
  <c r="V385" i="32" a="1"/>
  <c r="V385" i="32" s="1"/>
  <c r="V484" i="32" a="1"/>
  <c r="V484" i="32" s="1"/>
  <c r="L484" i="32" s="1"/>
  <c r="V592" i="32" a="1"/>
  <c r="V592" i="32" s="1"/>
  <c r="L592" i="32" s="1"/>
  <c r="R741" i="32" a="1"/>
  <c r="R741" i="32" s="1"/>
  <c r="D741" i="32" s="1"/>
  <c r="T747" i="32" a="1"/>
  <c r="T747" i="32" s="1"/>
  <c r="S741" i="32" a="1"/>
  <c r="S741" i="32" s="1"/>
  <c r="E741" i="32" s="1"/>
  <c r="V747" i="32" a="1"/>
  <c r="V747" i="32" s="1"/>
  <c r="L747" i="32" s="1"/>
  <c r="V743" i="32" a="1"/>
  <c r="V743" i="32" s="1"/>
  <c r="L743" i="32" s="1"/>
  <c r="D256" i="20"/>
  <c r="C257" i="20"/>
  <c r="V529" i="32" a="1"/>
  <c r="V529" i="32" s="1"/>
  <c r="V527" i="32" a="1"/>
  <c r="V527" i="32" s="1"/>
  <c r="V398" i="32" a="1"/>
  <c r="V398" i="32" s="1"/>
  <c r="L398" i="32" s="1"/>
  <c r="S488" i="32" a="1"/>
  <c r="S488" i="32" s="1"/>
  <c r="E488" i="32" s="1"/>
  <c r="V445" i="32" a="1"/>
  <c r="V445" i="32" s="1"/>
  <c r="R526" i="32" a="1"/>
  <c r="R526" i="32" s="1"/>
  <c r="D526" i="32" s="1"/>
  <c r="V443" i="32" a="1"/>
  <c r="V443" i="32" s="1"/>
  <c r="V415" i="32" a="1"/>
  <c r="V415" i="32" s="1"/>
  <c r="V594" i="32" a="1"/>
  <c r="V594" i="32" s="1"/>
  <c r="L594" i="32" s="1"/>
  <c r="T320" i="32" a="1"/>
  <c r="T320" i="32" s="1"/>
  <c r="M1039" i="27" s="1"/>
  <c r="A1039" i="27" s="1"/>
  <c r="V451" i="32" a="1"/>
  <c r="V451" i="32" s="1"/>
  <c r="V487" i="32" a="1"/>
  <c r="V487" i="32" s="1"/>
  <c r="T540" i="32" a="1"/>
  <c r="T540" i="32" s="1"/>
  <c r="R480" i="32" a="1"/>
  <c r="R480" i="32" s="1"/>
  <c r="D480" i="32" s="1"/>
  <c r="V518" i="32" a="1"/>
  <c r="V518" i="32" s="1"/>
  <c r="L518" i="32" s="1"/>
  <c r="V439" i="32" a="1"/>
  <c r="V439" i="32" s="1"/>
  <c r="V585" i="32" a="1"/>
  <c r="V585" i="32" s="1"/>
  <c r="V411" i="32" a="1"/>
  <c r="V411" i="32" s="1"/>
  <c r="R484" i="32" a="1"/>
  <c r="R484" i="32" s="1"/>
  <c r="D484" i="32" s="1"/>
  <c r="T506" i="32" a="1"/>
  <c r="T506" i="32" s="1"/>
  <c r="V517" i="32" a="1"/>
  <c r="V517" i="32" s="1"/>
  <c r="V378" i="32" a="1"/>
  <c r="V378" i="32" s="1"/>
  <c r="L378" i="32" s="1"/>
  <c r="T560" i="32" a="1"/>
  <c r="T560" i="32" s="1"/>
  <c r="V578" i="32" a="1"/>
  <c r="V578" i="32" s="1"/>
  <c r="L578" i="32" s="1"/>
  <c r="V521" i="32" a="1"/>
  <c r="V521" i="32" s="1"/>
  <c r="V453" i="32" a="1"/>
  <c r="V453" i="32" s="1"/>
  <c r="T376" i="32" a="1"/>
  <c r="T376" i="32" s="1"/>
  <c r="R576" i="32" a="1"/>
  <c r="R576" i="32" s="1"/>
  <c r="D576" i="32" s="1"/>
  <c r="V514" i="32" a="1"/>
  <c r="V514" i="32" s="1"/>
  <c r="L514" i="32" s="1"/>
  <c r="T610" i="32" a="1"/>
  <c r="T610" i="32" s="1"/>
  <c r="V467" i="32" a="1"/>
  <c r="V467" i="32" s="1"/>
  <c r="V534" i="32" a="1"/>
  <c r="V534" i="32" s="1"/>
  <c r="L534" i="32" s="1"/>
  <c r="V571" i="32" a="1"/>
  <c r="V571" i="32" s="1"/>
  <c r="V577" i="32" a="1"/>
  <c r="V577" i="32" s="1"/>
  <c r="S548" i="32" a="1"/>
  <c r="S548" i="32" s="1"/>
  <c r="E548" i="32" s="1"/>
  <c r="V447" i="32" a="1"/>
  <c r="V447" i="32" s="1"/>
  <c r="S576" i="32" a="1"/>
  <c r="S576" i="32" s="1"/>
  <c r="E576" i="32" s="1"/>
  <c r="T514" i="32" a="1"/>
  <c r="T514" i="32" s="1"/>
  <c r="V333" i="32" a="1"/>
  <c r="V333" i="32" s="1"/>
  <c r="R490" i="32" a="1"/>
  <c r="R490" i="32" s="1"/>
  <c r="D490" i="32" s="1"/>
  <c r="V341" i="32" a="1"/>
  <c r="V341" i="32" s="1"/>
  <c r="T476" i="32" a="1"/>
  <c r="T476" i="32" s="1"/>
  <c r="T400" i="32" a="1"/>
  <c r="T400" i="32" s="1"/>
  <c r="H712" i="27"/>
  <c r="H711" i="27"/>
  <c r="S510" i="32" a="1"/>
  <c r="S510" i="32" s="1"/>
  <c r="E510" i="32" s="1"/>
  <c r="V603" i="32" a="1"/>
  <c r="V603" i="32" s="1"/>
  <c r="T588" i="32" a="1"/>
  <c r="T588" i="32" s="1"/>
  <c r="T663" i="32" a="1"/>
  <c r="T663" i="32" s="1"/>
  <c r="V745" i="32" a="1"/>
  <c r="V745" i="32" s="1"/>
  <c r="L745" i="32" s="1"/>
  <c r="T741" i="32" a="1"/>
  <c r="T741" i="32" s="1"/>
  <c r="R665" i="32" a="1"/>
  <c r="R665" i="32" s="1"/>
  <c r="D665" i="32" s="1"/>
  <c r="T743" i="32" a="1"/>
  <c r="T743" i="32" s="1"/>
  <c r="T566" i="32" a="1"/>
  <c r="T566" i="32" s="1"/>
  <c r="S570" i="32" a="1"/>
  <c r="S570" i="32" s="1"/>
  <c r="E570" i="32" s="1"/>
  <c r="V503" i="32" a="1"/>
  <c r="V503" i="32" s="1"/>
  <c r="S604" i="32" a="1"/>
  <c r="S604" i="32" s="1"/>
  <c r="E604" i="32" s="1"/>
  <c r="T582" i="32" a="1"/>
  <c r="T582" i="32" s="1"/>
  <c r="V316" i="32" a="1"/>
  <c r="V316" i="32" s="1"/>
  <c r="L316" i="32" s="1"/>
  <c r="V586" i="32" a="1"/>
  <c r="V586" i="32" s="1"/>
  <c r="L586" i="32" s="1"/>
  <c r="V559" i="32" a="1"/>
  <c r="V559" i="32" s="1"/>
  <c r="S356" i="32" a="1"/>
  <c r="S356" i="32" s="1"/>
  <c r="E356" i="32" s="1"/>
  <c r="T558" i="32" a="1"/>
  <c r="T558" i="32" s="1"/>
  <c r="V587" i="32" a="1"/>
  <c r="V587" i="32" s="1"/>
  <c r="R518" i="32" a="1"/>
  <c r="R518" i="32" s="1"/>
  <c r="D518" i="32" s="1"/>
  <c r="T598" i="32" a="1"/>
  <c r="T598" i="32" s="1"/>
  <c r="V490" i="32" a="1"/>
  <c r="V490" i="32" s="1"/>
  <c r="L490" i="32" s="1"/>
  <c r="S402" i="32" a="1"/>
  <c r="S402" i="32" s="1"/>
  <c r="E402" i="32" s="1"/>
  <c r="V369" i="32" a="1"/>
  <c r="V369" i="32" s="1"/>
  <c r="V593" i="32" a="1"/>
  <c r="V593" i="32" s="1"/>
  <c r="T530" i="32" a="1"/>
  <c r="T530" i="32" s="1"/>
  <c r="V381" i="32" a="1"/>
  <c r="V381" i="32" s="1"/>
  <c r="V526" i="32" a="1"/>
  <c r="V526" i="32" s="1"/>
  <c r="L526" i="32" s="1"/>
  <c r="V435" i="32" a="1"/>
  <c r="V435" i="32" s="1"/>
  <c r="V449" i="32" a="1"/>
  <c r="V449" i="32" s="1"/>
  <c r="V600" i="32" a="1"/>
  <c r="V600" i="32" s="1"/>
  <c r="L600" i="32" s="1"/>
  <c r="S586" i="32" a="1"/>
  <c r="S586" i="32" s="1"/>
  <c r="E586" i="32" s="1"/>
  <c r="V542" i="32" a="1"/>
  <c r="V542" i="32" s="1"/>
  <c r="L542" i="32" s="1"/>
  <c r="V391" i="32" a="1"/>
  <c r="V391" i="32" s="1"/>
  <c r="T568" i="32" a="1"/>
  <c r="T568" i="32" s="1"/>
  <c r="V607" i="32" a="1"/>
  <c r="V607" i="32" s="1"/>
  <c r="T562" i="32" a="1"/>
  <c r="T562" i="32" s="1"/>
  <c r="V538" i="32" a="1"/>
  <c r="V538" i="32" s="1"/>
  <c r="L538" i="32" s="1"/>
  <c r="V360" i="32" a="1"/>
  <c r="V360" i="32" s="1"/>
  <c r="L360" i="32" s="1"/>
  <c r="S614" i="32" a="1"/>
  <c r="S614" i="32" s="1"/>
  <c r="E614" i="32" s="1"/>
  <c r="S322" i="32" a="1"/>
  <c r="S322" i="32" s="1"/>
  <c r="E322" i="32" s="1"/>
  <c r="V554" i="32" a="1"/>
  <c r="V554" i="32" s="1"/>
  <c r="L554" i="32" s="1"/>
  <c r="R516" i="32" a="1"/>
  <c r="R516" i="32" s="1"/>
  <c r="D516" i="32" s="1"/>
  <c r="V486" i="32" a="1"/>
  <c r="V486" i="32" s="1"/>
  <c r="L486" i="32" s="1"/>
  <c r="R590" i="32" a="1"/>
  <c r="R590" i="32" s="1"/>
  <c r="D590" i="32" s="1"/>
  <c r="V321" i="32" a="1"/>
  <c r="V321" i="32" s="1"/>
  <c r="V516" i="32" a="1"/>
  <c r="V516" i="32" s="1"/>
  <c r="L516" i="32" s="1"/>
  <c r="V611" i="32" a="1"/>
  <c r="V611" i="32" s="1"/>
  <c r="R598" i="32" a="1"/>
  <c r="R598" i="32" s="1"/>
  <c r="D598" i="32" s="1"/>
  <c r="R384" i="32" a="1"/>
  <c r="R384" i="32" s="1"/>
  <c r="D384" i="32" s="1"/>
  <c r="V582" i="32" a="1"/>
  <c r="V582" i="32" s="1"/>
  <c r="L582" i="32" s="1"/>
  <c r="L11" i="29" a="1"/>
  <c r="L11" i="29" s="1"/>
  <c r="R574" i="32" a="1"/>
  <c r="R574" i="32" s="1"/>
  <c r="D574" i="32" s="1"/>
  <c r="S504" i="32" a="1"/>
  <c r="S504" i="32" s="1"/>
  <c r="E504" i="32" s="1"/>
  <c r="T520" i="32" a="1"/>
  <c r="T520" i="32" s="1"/>
  <c r="S743" i="32" a="1"/>
  <c r="S743" i="32" s="1"/>
  <c r="E743" i="32" s="1"/>
  <c r="S661" i="32" a="1"/>
  <c r="S661" i="32" s="1"/>
  <c r="E661" i="32" s="1"/>
  <c r="R745" i="32" a="1"/>
  <c r="R745" i="32" s="1"/>
  <c r="D745" i="32" s="1"/>
  <c r="S554" i="32" a="1"/>
  <c r="S554" i="32" s="1"/>
  <c r="E554" i="32" s="1"/>
  <c r="V579" i="32" a="1"/>
  <c r="V579" i="32" s="1"/>
  <c r="R584" i="32" a="1"/>
  <c r="R584" i="32" s="1"/>
  <c r="D584" i="32" s="1"/>
  <c r="R612" i="32" a="1"/>
  <c r="R612" i="32" s="1"/>
  <c r="D612" i="32" s="1"/>
  <c r="T592" i="32" a="1"/>
  <c r="T592" i="32" s="1"/>
  <c r="V606" i="32" a="1"/>
  <c r="V606" i="32" s="1"/>
  <c r="L606" i="32" s="1"/>
  <c r="S612" i="32" a="1"/>
  <c r="S612" i="32" s="1"/>
  <c r="E612" i="32" s="1"/>
  <c r="V323" i="32" a="1"/>
  <c r="V323" i="32" s="1"/>
  <c r="V485" i="32" a="1"/>
  <c r="V485" i="32" s="1"/>
  <c r="V322" i="32" a="1"/>
  <c r="V322" i="32" s="1"/>
  <c r="L322" i="32" s="1"/>
  <c r="S596" i="32" a="1"/>
  <c r="S596" i="32" s="1"/>
  <c r="E596" i="32" s="1"/>
  <c r="V507" i="32" a="1"/>
  <c r="V507" i="32" s="1"/>
  <c r="V319" i="32" a="1"/>
  <c r="V319" i="32" s="1"/>
  <c r="R358" i="32" a="1"/>
  <c r="R358" i="32" s="1"/>
  <c r="D358" i="32" s="1"/>
  <c r="V546" i="32" a="1"/>
  <c r="V546" i="32" s="1"/>
  <c r="L546" i="32" s="1"/>
  <c r="V320" i="32" a="1"/>
  <c r="V320" i="32" s="1"/>
  <c r="L320" i="32" s="1"/>
  <c r="V525" i="32" a="1"/>
  <c r="V525" i="32" s="1"/>
  <c r="T556" i="32" a="1"/>
  <c r="T556" i="32" s="1"/>
  <c r="S502" i="32" a="1"/>
  <c r="S502" i="32" s="1"/>
  <c r="E502" i="32" s="1"/>
  <c r="V575" i="32" a="1"/>
  <c r="V575" i="32" s="1"/>
  <c r="V541" i="32" a="1"/>
  <c r="V541" i="32" s="1"/>
  <c r="S608" i="32" a="1"/>
  <c r="S608" i="32" s="1"/>
  <c r="E608" i="32" s="1"/>
  <c r="S494" i="32" a="1"/>
  <c r="S494" i="32" s="1"/>
  <c r="E494" i="32" s="1"/>
  <c r="V482" i="32" a="1"/>
  <c r="V482" i="32" s="1"/>
  <c r="L482" i="32" s="1"/>
  <c r="V433" i="32" a="1"/>
  <c r="V433" i="32" s="1"/>
  <c r="V353" i="32" a="1"/>
  <c r="V353" i="32" s="1"/>
  <c r="T522" i="32" a="1"/>
  <c r="T522" i="32" s="1"/>
  <c r="V429" i="32" a="1"/>
  <c r="V429" i="32" s="1"/>
  <c r="R522" i="32" a="1"/>
  <c r="R522" i="32" s="1"/>
  <c r="D522" i="32" s="1"/>
  <c r="R610" i="32" a="1"/>
  <c r="R610" i="32" s="1"/>
  <c r="D610" i="32" s="1"/>
  <c r="V601" i="32" a="1"/>
  <c r="V601" i="32" s="1"/>
  <c r="S610" i="32" a="1"/>
  <c r="S610" i="32" s="1"/>
  <c r="E610" i="32" s="1"/>
  <c r="T554" i="32" a="1"/>
  <c r="T554" i="32" s="1"/>
  <c r="V580" i="32" a="1"/>
  <c r="V580" i="32" s="1"/>
  <c r="L580" i="32" s="1"/>
  <c r="S598" i="32" a="1"/>
  <c r="S598" i="32" s="1"/>
  <c r="E598" i="32" s="1"/>
  <c r="R488" i="32" a="1"/>
  <c r="R488" i="32" s="1"/>
  <c r="D488" i="32" s="1"/>
  <c r="V463" i="32" a="1"/>
  <c r="V463" i="32" s="1"/>
  <c r="S572" i="32" a="1"/>
  <c r="S572" i="32" s="1"/>
  <c r="E572" i="32" s="1"/>
  <c r="V427" i="32" a="1"/>
  <c r="V427" i="32" s="1"/>
  <c r="T402" i="32" a="1"/>
  <c r="T402" i="32" s="1"/>
  <c r="V491" i="32" a="1"/>
  <c r="V491" i="32" s="1"/>
  <c r="V367" i="32" a="1"/>
  <c r="V367" i="32" s="1"/>
  <c r="V564" i="32" a="1"/>
  <c r="V564" i="32" s="1"/>
  <c r="L564" i="32" s="1"/>
  <c r="T661" i="32" a="1"/>
  <c r="T661" i="32" s="1"/>
  <c r="V663" i="32" a="1"/>
  <c r="V663" i="32" s="1"/>
  <c r="L663" i="32" s="1"/>
  <c r="V540" i="32" a="1"/>
  <c r="V540" i="32" s="1"/>
  <c r="L540" i="32" s="1"/>
  <c r="T378" i="32" a="1"/>
  <c r="T378" i="32" s="1"/>
  <c r="V555" i="32" a="1"/>
  <c r="V555" i="32" s="1"/>
  <c r="R356" i="32" a="1"/>
  <c r="R356" i="32" s="1"/>
  <c r="D356" i="32" s="1"/>
  <c r="V496" i="32" a="1"/>
  <c r="V496" i="32" s="1"/>
  <c r="L496" i="32" s="1"/>
  <c r="S360" i="32" a="1"/>
  <c r="S360" i="32" s="1"/>
  <c r="E360" i="32" s="1"/>
  <c r="S546" i="32" a="1"/>
  <c r="S546" i="32" s="1"/>
  <c r="E546" i="32" s="1"/>
  <c r="L197" i="27"/>
  <c r="L209" i="27"/>
  <c r="L221" i="27"/>
  <c r="L215" i="27"/>
  <c r="L179" i="27"/>
  <c r="L185" i="27"/>
  <c r="L191" i="27"/>
  <c r="L137" i="27"/>
  <c r="L203" i="27"/>
  <c r="L167" i="27"/>
  <c r="L161" i="27"/>
  <c r="L155" i="27"/>
  <c r="L143" i="27"/>
  <c r="L173" i="27"/>
  <c r="L149" i="27"/>
  <c r="S542" i="32" a="1"/>
  <c r="S542" i="32" s="1"/>
  <c r="E542" i="32" s="1"/>
  <c r="R532" i="32" a="1"/>
  <c r="R532" i="32" s="1"/>
  <c r="D532" i="32" s="1"/>
  <c r="S590" i="32" a="1"/>
  <c r="S590" i="32" s="1"/>
  <c r="E590" i="32" s="1"/>
  <c r="T486" i="32" a="1"/>
  <c r="T486" i="32" s="1"/>
  <c r="R602" i="32" a="1"/>
  <c r="R602" i="32" s="1"/>
  <c r="D602" i="32" s="1"/>
  <c r="S490" i="32" a="1"/>
  <c r="S490" i="32" s="1"/>
  <c r="E490" i="32" s="1"/>
  <c r="V566" i="32" a="1"/>
  <c r="V566" i="32" s="1"/>
  <c r="L566" i="32" s="1"/>
  <c r="T614" i="32" a="1"/>
  <c r="T614" i="32" s="1"/>
  <c r="V553" i="32" a="1"/>
  <c r="V553" i="32" s="1"/>
  <c r="T510" i="32" a="1"/>
  <c r="T510" i="32" s="1"/>
  <c r="V461" i="32" a="1"/>
  <c r="V461" i="32" s="1"/>
  <c r="V409" i="32" a="1"/>
  <c r="V409" i="32" s="1"/>
  <c r="T358" i="32" a="1"/>
  <c r="T358" i="32" s="1"/>
  <c r="T532" i="32" a="1"/>
  <c r="T532" i="32" s="1"/>
  <c r="T544" i="32" a="1"/>
  <c r="T544" i="32" s="1"/>
  <c r="R562" i="32" a="1"/>
  <c r="R562" i="32" s="1"/>
  <c r="D562" i="32" s="1"/>
  <c r="S508" i="32" a="1"/>
  <c r="S508" i="32" s="1"/>
  <c r="E508" i="32" s="1"/>
  <c r="V358" i="32" a="1"/>
  <c r="V358" i="32" s="1"/>
  <c r="L358" i="32" s="1"/>
  <c r="V581" i="32" a="1"/>
  <c r="V581" i="32" s="1"/>
  <c r="V425" i="32" a="1"/>
  <c r="V425" i="32" s="1"/>
  <c r="V494" i="32" a="1"/>
  <c r="V494" i="32" s="1"/>
  <c r="L494" i="32" s="1"/>
  <c r="S568" i="32" a="1"/>
  <c r="S568" i="32" s="1"/>
  <c r="E568" i="32" s="1"/>
  <c r="V562" i="32" a="1"/>
  <c r="V562" i="32" s="1"/>
  <c r="L562" i="32" s="1"/>
  <c r="T498" i="32" a="1"/>
  <c r="T498" i="32" s="1"/>
  <c r="S506" i="32" a="1"/>
  <c r="S506" i="32" s="1"/>
  <c r="E506" i="32" s="1"/>
  <c r="S514" i="32" a="1"/>
  <c r="S514" i="32" s="1"/>
  <c r="E514" i="32" s="1"/>
  <c r="V469" i="32" a="1"/>
  <c r="V469" i="32" s="1"/>
  <c r="S518" i="32" a="1"/>
  <c r="S518" i="32" s="1"/>
  <c r="E518" i="32" s="1"/>
  <c r="S480" i="32" a="1"/>
  <c r="S480" i="32" s="1"/>
  <c r="E480" i="32" s="1"/>
  <c r="V522" i="32" a="1"/>
  <c r="V522" i="32" s="1"/>
  <c r="L522" i="32" s="1"/>
  <c r="S378" i="32" a="1"/>
  <c r="S378" i="32" s="1"/>
  <c r="E378" i="32" s="1"/>
  <c r="T596" i="32" a="1"/>
  <c r="T596" i="32" s="1"/>
  <c r="S376" i="32" a="1"/>
  <c r="S376" i="32" s="1"/>
  <c r="E376" i="32" s="1"/>
  <c r="V493" i="32" a="1"/>
  <c r="V493" i="32" s="1"/>
  <c r="S482" i="32" a="1"/>
  <c r="S482" i="32" s="1"/>
  <c r="E482" i="32" s="1"/>
  <c r="R506" i="32" a="1"/>
  <c r="R506" i="32" s="1"/>
  <c r="D506" i="32" s="1"/>
  <c r="T518" i="32" a="1"/>
  <c r="T518" i="32" s="1"/>
  <c r="T316" i="32" a="1"/>
  <c r="T316" i="32" s="1"/>
  <c r="M1037" i="27" s="1"/>
  <c r="A1037" i="27" s="1"/>
  <c r="R486" i="32" a="1"/>
  <c r="R486" i="32" s="1"/>
  <c r="D486" i="32" s="1"/>
  <c r="V421" i="32" a="1"/>
  <c r="V421" i="32" s="1"/>
  <c r="T494" i="32" a="1"/>
  <c r="T494" i="32" s="1"/>
  <c r="V667" i="32" a="1"/>
  <c r="V667" i="32" s="1"/>
  <c r="L667" i="32" s="1"/>
  <c r="R663" i="32" a="1"/>
  <c r="R663" i="32" s="1"/>
  <c r="D663" i="32" s="1"/>
  <c r="T606" i="32" a="1"/>
  <c r="T606" i="32" s="1"/>
  <c r="V557" i="32" a="1"/>
  <c r="V557" i="32" s="1"/>
  <c r="T492" i="32" a="1"/>
  <c r="T492" i="32" s="1"/>
  <c r="V345" i="32" a="1"/>
  <c r="V345" i="32" s="1"/>
  <c r="V480" i="32" a="1"/>
  <c r="V480" i="32" s="1"/>
  <c r="L480" i="32" s="1"/>
  <c r="C30" i="19" a="1"/>
  <c r="C30" i="19" s="1"/>
  <c r="C31" i="19" s="1" a="1"/>
  <c r="C31" i="19" s="1"/>
  <c r="V383" i="32" a="1"/>
  <c r="V383" i="32" s="1"/>
  <c r="V413" i="32" a="1"/>
  <c r="V413" i="32" s="1"/>
  <c r="R478" i="32" a="1"/>
  <c r="R478" i="32" s="1"/>
  <c r="D478" i="32" s="1"/>
  <c r="V504" i="32" a="1"/>
  <c r="V504" i="32" s="1"/>
  <c r="L504" i="32" s="1"/>
  <c r="S574" i="32" a="1"/>
  <c r="S574" i="32" s="1"/>
  <c r="E574" i="32" s="1"/>
  <c r="S538" i="32" a="1"/>
  <c r="S538" i="32" s="1"/>
  <c r="E538" i="32" s="1"/>
  <c r="T524" i="32" a="1"/>
  <c r="T524" i="32" s="1"/>
  <c r="V539" i="32" a="1"/>
  <c r="V539" i="32" s="1"/>
  <c r="S584" i="32" a="1"/>
  <c r="S584" i="32" s="1"/>
  <c r="E584" i="32" s="1"/>
  <c r="V317" i="32" a="1"/>
  <c r="V317" i="32" s="1"/>
  <c r="V512" i="32" a="1"/>
  <c r="V512" i="32" s="1"/>
  <c r="L512" i="32" s="1"/>
  <c r="V478" i="32" a="1"/>
  <c r="V478" i="32" s="1"/>
  <c r="L478" i="32" s="1"/>
  <c r="R528" i="32" a="1"/>
  <c r="R528" i="32" s="1"/>
  <c r="D528" i="32" s="1"/>
  <c r="R608" i="32" a="1"/>
  <c r="R608" i="32" s="1"/>
  <c r="D608" i="32" s="1"/>
  <c r="R604" i="32" a="1"/>
  <c r="R604" i="32" s="1"/>
  <c r="D604" i="32" s="1"/>
  <c r="R580" i="32" a="1"/>
  <c r="R580" i="32" s="1"/>
  <c r="D580" i="32" s="1"/>
  <c r="V583" i="32" a="1"/>
  <c r="V583" i="32" s="1"/>
  <c r="R502" i="32" a="1"/>
  <c r="R502" i="32" s="1"/>
  <c r="D502" i="32" s="1"/>
  <c r="S592" i="32" a="1"/>
  <c r="S592" i="32" s="1"/>
  <c r="E592" i="32" s="1"/>
  <c r="V375" i="32" a="1"/>
  <c r="V375" i="32" s="1"/>
  <c r="V384" i="32" a="1"/>
  <c r="V384" i="32" s="1"/>
  <c r="L384" i="32" s="1"/>
  <c r="S500" i="32" a="1"/>
  <c r="S500" i="32" s="1"/>
  <c r="E500" i="32" s="1"/>
  <c r="R540" i="32" a="1"/>
  <c r="R540" i="32" s="1"/>
  <c r="D540" i="32" s="1"/>
  <c r="R396" i="32" a="1"/>
  <c r="R396" i="32" s="1"/>
  <c r="D396" i="32" s="1"/>
  <c r="V530" i="32" a="1"/>
  <c r="V530" i="32" s="1"/>
  <c r="L530" i="32" s="1"/>
  <c r="T665" i="32" a="1"/>
  <c r="T665" i="32" s="1"/>
  <c r="S745" i="32" a="1"/>
  <c r="S745" i="32" s="1"/>
  <c r="E745" i="32" s="1"/>
  <c r="V665" i="32" a="1"/>
  <c r="V665" i="32" s="1"/>
  <c r="L665" i="32" s="1"/>
  <c r="S528" i="32" a="1"/>
  <c r="S528" i="32" s="1"/>
  <c r="E528" i="32" s="1"/>
  <c r="T512" i="32" a="1"/>
  <c r="T512" i="32" s="1"/>
  <c r="T580" i="32" a="1"/>
  <c r="T580" i="32" s="1"/>
  <c r="V396" i="32" a="1"/>
  <c r="V396" i="32" s="1"/>
  <c r="L396" i="32" s="1"/>
  <c r="R498" i="32" a="1"/>
  <c r="R498" i="32" s="1"/>
  <c r="D498" i="32" s="1"/>
  <c r="V457" i="32" a="1"/>
  <c r="V457" i="32" s="1"/>
  <c r="S318" i="32" a="1"/>
  <c r="S318" i="32" s="1"/>
  <c r="E318" i="32" s="1"/>
  <c r="V356" i="32" a="1"/>
  <c r="V356" i="32" s="1"/>
  <c r="L356" i="32" s="1"/>
  <c r="R548" i="32" a="1"/>
  <c r="R548" i="32" s="1"/>
  <c r="D548" i="32" s="1"/>
  <c r="S484" i="32" a="1"/>
  <c r="S484" i="32" s="1"/>
  <c r="T534" i="32" a="1"/>
  <c r="T534" i="32" s="1"/>
  <c r="S516" i="32" a="1"/>
  <c r="S516" i="32" s="1"/>
  <c r="E516" i="32" s="1"/>
  <c r="R482" i="32" a="1"/>
  <c r="R482" i="32" s="1"/>
  <c r="D482" i="32" s="1"/>
  <c r="T360" i="32" a="1"/>
  <c r="T360" i="32" s="1"/>
  <c r="S400" i="32" a="1"/>
  <c r="S400" i="32" s="1"/>
  <c r="E400" i="32" s="1"/>
  <c r="S544" i="32" a="1"/>
  <c r="S544" i="32" s="1"/>
  <c r="E544" i="32" s="1"/>
  <c r="S550" i="32" a="1"/>
  <c r="S550" i="32" s="1"/>
  <c r="E550" i="32" s="1"/>
  <c r="S582" i="32" a="1"/>
  <c r="S582" i="32" s="1"/>
  <c r="E582" i="32" s="1"/>
  <c r="V565" i="32" a="1"/>
  <c r="V565" i="32" s="1"/>
  <c r="T516" i="32" a="1"/>
  <c r="T516" i="32" s="1"/>
  <c r="T318" i="32" a="1"/>
  <c r="T318" i="32" s="1"/>
  <c r="M1038" i="27" s="1"/>
  <c r="A1038" i="27" s="1"/>
  <c r="V584" i="32" a="1"/>
  <c r="V584" i="32" s="1"/>
  <c r="L584" i="32" s="1"/>
  <c r="T526" i="32" a="1"/>
  <c r="T526" i="32" s="1"/>
  <c r="V395" i="32" a="1"/>
  <c r="V395" i="32" s="1"/>
  <c r="V614" i="32" a="1"/>
  <c r="V614" i="32" s="1"/>
  <c r="L614" i="32" s="1"/>
  <c r="R318" i="32" a="1"/>
  <c r="R318" i="32" s="1"/>
  <c r="D318" i="32" s="1"/>
  <c r="S52" i="24"/>
  <c r="S106" i="24" s="1"/>
  <c r="R106" i="24"/>
  <c r="T612" i="32" a="1"/>
  <c r="T612" i="32" s="1"/>
  <c r="V489" i="32" a="1"/>
  <c r="V489" i="32" s="1"/>
  <c r="V347" i="32" a="1"/>
  <c r="V347" i="32" s="1"/>
  <c r="R588" i="32" a="1"/>
  <c r="R588" i="32" s="1"/>
  <c r="D588" i="32" s="1"/>
  <c r="T482" i="32" a="1"/>
  <c r="T482" i="32" s="1"/>
  <c r="V403" i="32" a="1"/>
  <c r="V403" i="32" s="1"/>
  <c r="S524" i="32" a="1"/>
  <c r="S524" i="32" s="1"/>
  <c r="E524" i="32" s="1"/>
  <c r="T396" i="32" a="1"/>
  <c r="T396" i="32" s="1"/>
  <c r="T480" i="32" a="1"/>
  <c r="T480" i="32" s="1"/>
  <c r="S663" i="32" a="1"/>
  <c r="S663" i="32" s="1"/>
  <c r="E663" i="32" s="1"/>
  <c r="V661" i="32" a="1"/>
  <c r="V661" i="32" s="1"/>
  <c r="L661" i="32" s="1"/>
  <c r="S665" i="32" a="1"/>
  <c r="S665" i="32" s="1"/>
  <c r="E665" i="32" s="1"/>
  <c r="V377" i="32" a="1"/>
  <c r="V377" i="32" s="1"/>
  <c r="S566" i="32" a="1"/>
  <c r="S566" i="32" s="1"/>
  <c r="E566" i="32" s="1"/>
  <c r="V595" i="32" a="1"/>
  <c r="V595" i="32" s="1"/>
  <c r="V590" i="32" a="1"/>
  <c r="V590" i="32" s="1"/>
  <c r="L590" i="32" s="1"/>
  <c r="V382" i="32" a="1"/>
  <c r="V382" i="32" s="1"/>
  <c r="L382" i="32" s="1"/>
  <c r="V479" i="32" a="1"/>
  <c r="V479" i="32" s="1"/>
  <c r="V339" i="32" a="1"/>
  <c r="V339" i="32" s="1"/>
  <c r="B167" i="16" a="1"/>
  <c r="B167" i="16" s="1"/>
  <c r="T594" i="32" a="1"/>
  <c r="T594" i="32" s="1"/>
  <c r="V502" i="32" a="1"/>
  <c r="V502" i="32" s="1"/>
  <c r="L502" i="32" s="1"/>
  <c r="V545" i="32" a="1"/>
  <c r="V545" i="32" s="1"/>
  <c r="T504" i="32" a="1"/>
  <c r="T504" i="32" s="1"/>
  <c r="F13" i="16" a="1"/>
  <c r="F13" i="16" s="1"/>
  <c r="S580" i="32" a="1"/>
  <c r="S580" i="32" s="1"/>
  <c r="E580" i="32" s="1"/>
  <c r="S560" i="32" a="1"/>
  <c r="S560" i="32" s="1"/>
  <c r="E560" i="32" s="1"/>
  <c r="T608" i="32" a="1"/>
  <c r="T608" i="32" s="1"/>
  <c r="V481" i="32" a="1"/>
  <c r="V481" i="32" s="1"/>
  <c r="S476" i="32" a="1"/>
  <c r="S476" i="32" s="1"/>
  <c r="E476" i="32" s="1"/>
  <c r="R524" i="32" a="1"/>
  <c r="R524" i="32" s="1"/>
  <c r="D524" i="32" s="1"/>
  <c r="V528" i="32" a="1"/>
  <c r="V528" i="32" s="1"/>
  <c r="L528" i="32" s="1"/>
  <c r="R402" i="32" a="1"/>
  <c r="R402" i="32" s="1"/>
  <c r="D402" i="32" s="1"/>
  <c r="V533" i="32" a="1"/>
  <c r="V533" i="32" s="1"/>
  <c r="V400" i="32" a="1"/>
  <c r="V400" i="32" s="1"/>
  <c r="L400" i="32" s="1"/>
  <c r="T604" i="32" a="1"/>
  <c r="T604" i="32" s="1"/>
  <c r="T528" i="32" a="1"/>
  <c r="T528" i="32" s="1"/>
  <c r="T602" i="32" a="1"/>
  <c r="T602" i="32" s="1"/>
  <c r="V535" i="32" a="1"/>
  <c r="V535" i="32" s="1"/>
  <c r="V551" i="32" a="1"/>
  <c r="V551" i="32" s="1"/>
  <c r="R542" i="32" a="1"/>
  <c r="R542" i="32" s="1"/>
  <c r="D542" i="32" s="1"/>
  <c r="R564" i="32" a="1"/>
  <c r="R564" i="32" s="1"/>
  <c r="D564" i="32" s="1"/>
  <c r="V399" i="32" a="1"/>
  <c r="V399" i="32" s="1"/>
  <c r="R578" i="32" a="1"/>
  <c r="R578" i="32" s="1"/>
  <c r="D578" i="32" s="1"/>
  <c r="V598" i="32" a="1"/>
  <c r="V598" i="32" s="1"/>
  <c r="L598" i="32" s="1"/>
  <c r="V508" i="32" a="1"/>
  <c r="V508" i="32" s="1"/>
  <c r="L508" i="32" s="1"/>
  <c r="R592" i="32" a="1"/>
  <c r="R592" i="32" s="1"/>
  <c r="D592" i="32" s="1"/>
  <c r="R362" i="32" a="1"/>
  <c r="R362" i="32" s="1"/>
  <c r="D362" i="32" s="1"/>
  <c r="V495" i="32" a="1"/>
  <c r="V495" i="32" s="1"/>
  <c r="V605" i="32" a="1"/>
  <c r="V605" i="32" s="1"/>
  <c r="S552" i="32" a="1"/>
  <c r="S552" i="32" s="1"/>
  <c r="E552" i="32" s="1"/>
  <c r="C488" i="27"/>
  <c r="B489" i="27"/>
  <c r="R743" i="32" a="1"/>
  <c r="R743" i="32" s="1"/>
  <c r="D743" i="32" s="1"/>
  <c r="R382" i="32" a="1"/>
  <c r="R382" i="32" s="1"/>
  <c r="D382" i="32" s="1"/>
  <c r="S496" i="32" a="1"/>
  <c r="S496" i="32" s="1"/>
  <c r="V524" i="32" a="1"/>
  <c r="V524" i="32" s="1"/>
  <c r="L524" i="32" s="1"/>
  <c r="V612" i="32" a="1"/>
  <c r="V612" i="32" s="1"/>
  <c r="L612" i="32" s="1"/>
  <c r="T398" i="32" a="1"/>
  <c r="T398" i="32" s="1"/>
  <c r="AG7" i="33"/>
  <c r="H267" i="24"/>
  <c r="AJ7" i="34"/>
  <c r="M24" i="27" a="1"/>
  <c r="K2288" i="27"/>
  <c r="K488" i="27"/>
  <c r="I367" i="27"/>
  <c r="J143" i="27"/>
  <c r="K2291" i="27"/>
  <c r="E24" i="27"/>
  <c r="J2859" i="27"/>
  <c r="M2291" i="27"/>
  <c r="P2291" i="27"/>
  <c r="D487" i="27"/>
  <c r="Q24" i="27"/>
  <c r="AL17" i="30"/>
  <c r="M488" i="27"/>
  <c r="G324" i="32"/>
  <c r="J710" i="27"/>
  <c r="N2291" i="27"/>
  <c r="AI19" i="31"/>
  <c r="Q248" i="27"/>
  <c r="BD20" i="34"/>
  <c r="K2290" i="27"/>
  <c r="O488" i="27"/>
  <c r="G17" i="33"/>
  <c r="A324" i="32"/>
  <c r="M367" i="27"/>
  <c r="F488" i="27"/>
  <c r="K2289" i="27"/>
  <c r="I2860" i="27"/>
  <c r="V488" i="27"/>
  <c r="I2859" i="27"/>
  <c r="O2291" i="27"/>
  <c r="F24" i="27"/>
  <c r="H24" i="27"/>
  <c r="A18" i="32"/>
  <c r="E488" i="27"/>
  <c r="J24" i="27"/>
  <c r="H2859" i="27"/>
  <c r="A629" i="32"/>
  <c r="G746" i="27"/>
  <c r="L488" i="27"/>
  <c r="G747" i="27"/>
  <c r="N488" i="27"/>
  <c r="E17" i="30"/>
  <c r="R24" i="27"/>
  <c r="G18" i="32"/>
  <c r="K2285" i="27"/>
  <c r="T488" i="27"/>
  <c r="G488" i="27"/>
  <c r="K2292" i="27"/>
  <c r="P24" i="27"/>
  <c r="K2286" i="27"/>
  <c r="N367" i="27"/>
  <c r="F2291" i="27"/>
  <c r="D2291" i="27"/>
  <c r="D22" i="27"/>
  <c r="M143" i="27"/>
  <c r="J488" i="27" a="1"/>
  <c r="G748" i="27"/>
  <c r="I488" i="27"/>
  <c r="K710" i="27"/>
  <c r="G24" i="27"/>
  <c r="L2291" i="27"/>
  <c r="H248" i="27"/>
  <c r="U488" i="27"/>
  <c r="BC20" i="34"/>
  <c r="K24" i="27"/>
  <c r="J2291" i="27"/>
  <c r="N143" i="27"/>
  <c r="P488" i="27"/>
  <c r="G629" i="32"/>
  <c r="M20" i="27" a="1"/>
  <c r="R488" i="27"/>
  <c r="Q488" i="27"/>
  <c r="L24" i="27"/>
  <c r="K2287" i="27"/>
  <c r="BD17" i="33"/>
  <c r="Q749" i="32" l="1"/>
  <c r="T362" i="32" a="1"/>
  <c r="T362" i="32" s="1"/>
  <c r="R404" i="32" a="1"/>
  <c r="R404" i="32" s="1"/>
  <c r="D404" i="32" s="1"/>
  <c r="H116" i="24"/>
  <c r="V549" i="32" a="1"/>
  <c r="V549" i="32" s="1"/>
  <c r="V401" i="32" a="1"/>
  <c r="V401" i="32" s="1"/>
  <c r="V591" i="32" a="1"/>
  <c r="V591" i="32" s="1"/>
  <c r="V357" i="32" a="1"/>
  <c r="V357" i="32" s="1"/>
  <c r="R494" i="32" a="1"/>
  <c r="R494" i="32" s="1"/>
  <c r="D494" i="32" s="1"/>
  <c r="V498" i="32" a="1"/>
  <c r="V498" i="32" s="1"/>
  <c r="L498" i="32" s="1"/>
  <c r="R570" i="32" a="1"/>
  <c r="R570" i="32" s="1"/>
  <c r="D570" i="32" s="1"/>
  <c r="V609" i="32" a="1"/>
  <c r="V609" i="32" s="1"/>
  <c r="V325" i="32" a="1"/>
  <c r="V325" i="32" s="1"/>
  <c r="V499" i="32" a="1"/>
  <c r="V499" i="32" s="1"/>
  <c r="V359" i="32" a="1"/>
  <c r="V359" i="32" s="1"/>
  <c r="V371" i="32" a="1"/>
  <c r="V371" i="32" s="1"/>
  <c r="V501" i="32" a="1"/>
  <c r="V501" i="32" s="1"/>
  <c r="R320" i="32" a="1"/>
  <c r="R320" i="32" s="1"/>
  <c r="D320" i="32" s="1"/>
  <c r="S498" i="32" a="1"/>
  <c r="S498" i="32" s="1"/>
  <c r="E498" i="32" s="1"/>
  <c r="V573" i="32" a="1"/>
  <c r="V573" i="32" s="1"/>
  <c r="T572" i="32" a="1"/>
  <c r="T572" i="32" s="1"/>
  <c r="V537" i="32" a="1"/>
  <c r="V537" i="32" s="1"/>
  <c r="V596" i="32" a="1"/>
  <c r="V596" i="32" s="1"/>
  <c r="L596" i="32" s="1"/>
  <c r="T322" i="32" a="1"/>
  <c r="T322" i="32" s="1"/>
  <c r="M1040" i="27" s="1"/>
  <c r="A1040" i="27" s="1"/>
  <c r="R614" i="32" a="1"/>
  <c r="R614" i="32" s="1"/>
  <c r="D614" i="32" s="1"/>
  <c r="T590" i="32" a="1"/>
  <c r="T590" i="32" s="1"/>
  <c r="R316" i="32" a="1"/>
  <c r="R316" i="32" s="1"/>
  <c r="D316" i="32" s="1"/>
  <c r="V441" i="32" a="1"/>
  <c r="V441" i="32" s="1"/>
  <c r="V532" i="32" a="1"/>
  <c r="V532" i="32" s="1"/>
  <c r="L532" i="32" s="1"/>
  <c r="V567" i="32" a="1"/>
  <c r="V567" i="32" s="1"/>
  <c r="V513" i="32" a="1"/>
  <c r="V513" i="32" s="1"/>
  <c r="S556" i="32" a="1"/>
  <c r="S556" i="32" s="1"/>
  <c r="E556" i="32" s="1"/>
  <c r="T570" i="32" a="1"/>
  <c r="T570" i="32" s="1"/>
  <c r="S534" i="32" a="1"/>
  <c r="S534" i="32" s="1"/>
  <c r="E534" i="32" s="1"/>
  <c r="V329" i="32" a="1"/>
  <c r="V329" i="32" s="1"/>
  <c r="R504" i="32" a="1"/>
  <c r="R504" i="32" s="1"/>
  <c r="D504" i="32" s="1"/>
  <c r="T550" i="32" a="1"/>
  <c r="T550" i="32" s="1"/>
  <c r="S520" i="32" a="1"/>
  <c r="S520" i="32" s="1"/>
  <c r="E520" i="32" s="1"/>
  <c r="V373" i="32" a="1"/>
  <c r="V373" i="32" s="1"/>
  <c r="R500" i="32" a="1"/>
  <c r="R500" i="32" s="1"/>
  <c r="D500" i="32" s="1"/>
  <c r="V488" i="32" a="1"/>
  <c r="V488" i="32" s="1"/>
  <c r="L488" i="32" s="1"/>
  <c r="V568" i="32" a="1"/>
  <c r="V568" i="32" s="1"/>
  <c r="L568" i="32" s="1"/>
  <c r="V536" i="32" a="1"/>
  <c r="V536" i="32" s="1"/>
  <c r="L536" i="32" s="1"/>
  <c r="S606" i="32" a="1"/>
  <c r="S606" i="32" s="1"/>
  <c r="E606" i="32" s="1"/>
  <c r="R582" i="32" a="1"/>
  <c r="R582" i="32" s="1"/>
  <c r="D582" i="32" s="1"/>
  <c r="R594" i="32" a="1"/>
  <c r="R594" i="32" s="1"/>
  <c r="D594" i="32" s="1"/>
  <c r="R534" i="32" a="1"/>
  <c r="R534" i="32" s="1"/>
  <c r="D534" i="32" s="1"/>
  <c r="V459" i="32" a="1"/>
  <c r="V459" i="32" s="1"/>
  <c r="V572" i="32" a="1"/>
  <c r="V572" i="32" s="1"/>
  <c r="L572" i="32" s="1"/>
  <c r="T488" i="32" a="1"/>
  <c r="T488" i="32" s="1"/>
  <c r="V405" i="32" a="1"/>
  <c r="V405" i="32" s="1"/>
  <c r="V492" i="32" a="1"/>
  <c r="V492" i="32" s="1"/>
  <c r="L492" i="32" s="1"/>
  <c r="S594" i="32" a="1"/>
  <c r="S594" i="32" s="1"/>
  <c r="E594" i="32" s="1"/>
  <c r="S492" i="32" a="1"/>
  <c r="S492" i="32" s="1"/>
  <c r="E492" i="32" s="1"/>
  <c r="R544" i="32" a="1"/>
  <c r="R544" i="32" s="1"/>
  <c r="D544" i="32" s="1"/>
  <c r="V497" i="32" a="1"/>
  <c r="V497" i="32" s="1"/>
  <c r="V417" i="32" a="1"/>
  <c r="V417" i="32" s="1"/>
  <c r="S362" i="32" a="1"/>
  <c r="S362" i="32" s="1"/>
  <c r="E362" i="32" s="1"/>
  <c r="R550" i="32" a="1"/>
  <c r="R550" i="32" s="1"/>
  <c r="D550" i="32" s="1"/>
  <c r="V355" i="32" a="1"/>
  <c r="V355" i="32" s="1"/>
  <c r="V471" i="32" a="1"/>
  <c r="V471" i="32" s="1"/>
  <c r="V335" i="32" a="1"/>
  <c r="V335" i="32" s="1"/>
  <c r="R546" i="32" a="1"/>
  <c r="R546" i="32" s="1"/>
  <c r="D546" i="32" s="1"/>
  <c r="R496" i="32" a="1"/>
  <c r="R496" i="32" s="1"/>
  <c r="D496" i="32" s="1"/>
  <c r="T542" i="32" a="1"/>
  <c r="T542" i="32" s="1"/>
  <c r="V511" i="32" a="1"/>
  <c r="V511" i="32" s="1"/>
  <c r="R530" i="32" a="1"/>
  <c r="R530" i="32" s="1"/>
  <c r="D530" i="32" s="1"/>
  <c r="V437" i="32" a="1"/>
  <c r="V437" i="32" s="1"/>
  <c r="V407" i="32" a="1"/>
  <c r="V407" i="32" s="1"/>
  <c r="R514" i="32" a="1"/>
  <c r="R514" i="32" s="1"/>
  <c r="D514" i="32" s="1"/>
  <c r="V560" i="32" a="1"/>
  <c r="V560" i="32" s="1"/>
  <c r="L560" i="32" s="1"/>
  <c r="V548" i="32" a="1"/>
  <c r="V548" i="32" s="1"/>
  <c r="L548" i="32" s="1"/>
  <c r="V351" i="32" a="1"/>
  <c r="V351" i="32" s="1"/>
  <c r="R586" i="32" a="1"/>
  <c r="R586" i="32" s="1"/>
  <c r="D586" i="32" s="1"/>
  <c r="S526" i="32" a="1"/>
  <c r="S526" i="32" s="1"/>
  <c r="E526" i="32" s="1"/>
  <c r="V523" i="32" a="1"/>
  <c r="V523" i="32" s="1"/>
  <c r="V379" i="32" a="1"/>
  <c r="V379" i="32" s="1"/>
  <c r="V515" i="32" a="1"/>
  <c r="V515" i="32" s="1"/>
  <c r="V569" i="32" a="1"/>
  <c r="V569" i="32" s="1"/>
  <c r="R476" i="32" a="1"/>
  <c r="R476" i="32" s="1"/>
  <c r="D476" i="32" s="1"/>
  <c r="V337" i="32" a="1"/>
  <c r="V337" i="32" s="1"/>
  <c r="V431" i="32" a="1"/>
  <c r="V431" i="32" s="1"/>
  <c r="V465" i="32" a="1"/>
  <c r="V465" i="32" s="1"/>
  <c r="V588" i="32" a="1"/>
  <c r="V588" i="32" s="1"/>
  <c r="L588" i="32" s="1"/>
  <c r="R552" i="32" a="1"/>
  <c r="R552" i="32" s="1"/>
  <c r="D552" i="32" s="1"/>
  <c r="V599" i="32" a="1"/>
  <c r="V599" i="32" s="1"/>
  <c r="V543" i="32" a="1"/>
  <c r="V543" i="32" s="1"/>
  <c r="R606" i="32" a="1"/>
  <c r="R606" i="32" s="1"/>
  <c r="D606" i="32" s="1"/>
  <c r="S600" i="32" a="1"/>
  <c r="S600" i="32" s="1"/>
  <c r="E600" i="32" s="1"/>
  <c r="V558" i="32" a="1"/>
  <c r="V558" i="32" s="1"/>
  <c r="L558" i="32" s="1"/>
  <c r="V389" i="32" a="1"/>
  <c r="V389" i="32" s="1"/>
  <c r="S386" i="32" a="1"/>
  <c r="S386" i="32" s="1"/>
  <c r="E386" i="32" s="1"/>
  <c r="R568" i="32" a="1"/>
  <c r="R568" i="32" s="1"/>
  <c r="D568" i="32" s="1"/>
  <c r="M20" i="27"/>
  <c r="A20" i="27" s="1"/>
  <c r="K891" i="27"/>
  <c r="O1041" i="27"/>
  <c r="G1041" i="27"/>
  <c r="I1041" i="27"/>
  <c r="K1041" i="27"/>
  <c r="N1041" i="27"/>
  <c r="J1041" i="27"/>
  <c r="L1041" i="27"/>
  <c r="H1041" i="27"/>
  <c r="E1041" i="27"/>
  <c r="E157" i="24"/>
  <c r="H62" i="24"/>
  <c r="T404" i="32" a="1"/>
  <c r="T404" i="32" s="1"/>
  <c r="AH23" i="31"/>
  <c r="I10" i="16" a="1"/>
  <c r="I10" i="16" s="1"/>
  <c r="H235" i="24"/>
  <c r="V393" i="32" a="1"/>
  <c r="V393" i="32" s="1"/>
  <c r="AJ21" i="30"/>
  <c r="BA21" i="33"/>
  <c r="H11" i="16" a="1"/>
  <c r="H11" i="16" s="1"/>
  <c r="C11" i="19" a="1"/>
  <c r="C11" i="19" s="1"/>
  <c r="C12" i="19" s="1" a="1"/>
  <c r="C12" i="19" s="1"/>
  <c r="U328" i="32"/>
  <c r="T220" i="32" a="1"/>
  <c r="T220" i="32" s="1"/>
  <c r="S404" i="32" a="1"/>
  <c r="S404" i="32" s="1"/>
  <c r="E404" i="32" s="1"/>
  <c r="AJ166" i="1"/>
  <c r="AJ169" i="1"/>
  <c r="AJ171" i="1"/>
  <c r="M24" i="27"/>
  <c r="A24" i="27" s="1"/>
  <c r="G1345" i="27"/>
  <c r="E1345" i="27"/>
  <c r="J1345" i="27"/>
  <c r="I1345" i="27"/>
  <c r="N1345" i="27"/>
  <c r="H1345" i="27"/>
  <c r="O1345" i="27"/>
  <c r="K1345" i="27"/>
  <c r="K1195" i="27"/>
  <c r="L1345" i="27"/>
  <c r="A2291" i="27"/>
  <c r="A2859" i="27"/>
  <c r="AJ152" i="1"/>
  <c r="AJ159" i="1"/>
  <c r="C27" i="27"/>
  <c r="B28" i="27"/>
  <c r="AJ124" i="1"/>
  <c r="U22" i="32"/>
  <c r="Q787" i="32"/>
  <c r="P789" i="32"/>
  <c r="AJ130" i="1"/>
  <c r="AJ136" i="1"/>
  <c r="AJ157" i="1"/>
  <c r="AY22" i="34"/>
  <c r="B2293" i="27"/>
  <c r="AJ154" i="1"/>
  <c r="Q707" i="32"/>
  <c r="P709" i="32"/>
  <c r="AJ158" i="1"/>
  <c r="B234" i="27"/>
  <c r="I233" i="27"/>
  <c r="S30" i="32" a="1"/>
  <c r="S30" i="32" s="1"/>
  <c r="E30" i="32" s="1"/>
  <c r="AJ137" i="1"/>
  <c r="C13" i="19" a="1"/>
  <c r="C13" i="19" s="1"/>
  <c r="Q14" i="32"/>
  <c r="R14" i="32" s="1" a="1"/>
  <c r="R14" i="32" s="1"/>
  <c r="D14" i="32" s="1"/>
  <c r="P16" i="32"/>
  <c r="I26" i="27"/>
  <c r="AJ142" i="1"/>
  <c r="AJ140" i="1"/>
  <c r="T30" i="32" a="1"/>
  <c r="T30" i="32" s="1"/>
  <c r="Q34" i="32"/>
  <c r="T34" i="32" s="1" a="1"/>
  <c r="T34" i="32" s="1"/>
  <c r="P36" i="32"/>
  <c r="P837" i="32"/>
  <c r="Q835" i="32"/>
  <c r="P635" i="32"/>
  <c r="Q633" i="32"/>
  <c r="Q751" i="32"/>
  <c r="P753" i="32"/>
  <c r="P408" i="32"/>
  <c r="Q406" i="32"/>
  <c r="I20" i="29"/>
  <c r="I21" i="29" s="1"/>
  <c r="I22" i="29" s="1"/>
  <c r="I23" i="29" s="1"/>
  <c r="G14" i="24"/>
  <c r="F2406" i="27"/>
  <c r="AJ131" i="1"/>
  <c r="AJ133" i="1"/>
  <c r="AJ144" i="1"/>
  <c r="R510" i="32" a="1"/>
  <c r="R510" i="32" s="1"/>
  <c r="D510" i="32" s="1"/>
  <c r="V510" i="32" a="1"/>
  <c r="V510" i="32" s="1"/>
  <c r="L510" i="32" s="1"/>
  <c r="Q388" i="32"/>
  <c r="P390" i="32"/>
  <c r="R162" i="32" a="1"/>
  <c r="R162" i="32" s="1"/>
  <c r="D162" i="32" s="1"/>
  <c r="R302" i="32" a="1"/>
  <c r="R302" i="32" s="1"/>
  <c r="D302" i="32" s="1"/>
  <c r="V531" i="32" a="1"/>
  <c r="V531" i="32" s="1"/>
  <c r="R386" i="32" a="1"/>
  <c r="R386" i="32" s="1"/>
  <c r="D386" i="32" s="1"/>
  <c r="AJ151" i="1"/>
  <c r="AJ162" i="1"/>
  <c r="AJ172" i="1"/>
  <c r="AJ167" i="1"/>
  <c r="AJ174" i="1"/>
  <c r="P366" i="32"/>
  <c r="Q364" i="32"/>
  <c r="AJ165" i="1"/>
  <c r="T70" i="32" a="1"/>
  <c r="T70" i="32" s="1"/>
  <c r="F34" i="16" a="1"/>
  <c r="F34" i="16" s="1"/>
  <c r="V32" i="32" a="1"/>
  <c r="V32" i="32" s="1"/>
  <c r="L32" i="32" s="1"/>
  <c r="V134" i="32" a="1"/>
  <c r="V134" i="32" s="1"/>
  <c r="L134" i="32" s="1"/>
  <c r="R360" i="32" a="1"/>
  <c r="R360" i="32" s="1"/>
  <c r="D360" i="32" s="1"/>
  <c r="P326" i="32"/>
  <c r="Q324" i="32"/>
  <c r="D238" i="20"/>
  <c r="C239" i="20"/>
  <c r="AJ135" i="1"/>
  <c r="AJ163" i="1"/>
  <c r="AJ148" i="1"/>
  <c r="V520" i="32" a="1"/>
  <c r="V520" i="32" s="1"/>
  <c r="L520" i="32" s="1"/>
  <c r="R566" i="32" a="1"/>
  <c r="R566" i="32" s="1"/>
  <c r="D566" i="32" s="1"/>
  <c r="S276" i="32" a="1"/>
  <c r="S276" i="32" s="1"/>
  <c r="E276" i="32" s="1"/>
  <c r="R30" i="32" a="1"/>
  <c r="R30" i="32" s="1"/>
  <c r="D30" i="32" s="1"/>
  <c r="R292" i="32" a="1"/>
  <c r="R292" i="32" s="1"/>
  <c r="D292" i="32" s="1"/>
  <c r="R12" i="32" a="1"/>
  <c r="R12" i="32" s="1"/>
  <c r="D12" i="32" s="1"/>
  <c r="AJ149" i="1"/>
  <c r="AJ126" i="1"/>
  <c r="AJ127" i="1"/>
  <c r="T144" i="32" a="1"/>
  <c r="T144" i="32" s="1"/>
  <c r="V563" i="32" a="1"/>
  <c r="V563" i="32" s="1"/>
  <c r="T162" i="32" a="1"/>
  <c r="T162" i="32" s="1"/>
  <c r="V110" i="32" a="1"/>
  <c r="V110" i="32" s="1"/>
  <c r="L110" i="32" s="1"/>
  <c r="R226" i="32" a="1"/>
  <c r="R226" i="32" s="1"/>
  <c r="D226" i="32" s="1"/>
  <c r="S10" i="32" a="1"/>
  <c r="S10" i="32" s="1"/>
  <c r="E10" i="32" s="1"/>
  <c r="F1341" i="27" s="1"/>
  <c r="AJ173" i="1"/>
  <c r="AJ138" i="1"/>
  <c r="AJ150" i="1"/>
  <c r="AJ128" i="1"/>
  <c r="H33" i="16" a="1"/>
  <c r="H33" i="16" s="1"/>
  <c r="I33" i="16" s="1" a="1"/>
  <c r="I33" i="16" s="1"/>
  <c r="AJ153" i="1"/>
  <c r="S184" i="32" a="1"/>
  <c r="S184" i="32" s="1"/>
  <c r="E184" i="32" s="1"/>
  <c r="R154" i="32" a="1"/>
  <c r="R154" i="32" s="1"/>
  <c r="D154" i="32" s="1"/>
  <c r="V156" i="32" a="1"/>
  <c r="V156" i="32" s="1"/>
  <c r="L156" i="32" s="1"/>
  <c r="V180" i="32" a="1"/>
  <c r="V180" i="32" s="1"/>
  <c r="L180" i="32" s="1"/>
  <c r="V10" i="32" a="1"/>
  <c r="V10" i="32" s="1"/>
  <c r="L10" i="32" s="1"/>
  <c r="V570" i="32" a="1"/>
  <c r="V570" i="32" s="1"/>
  <c r="L570" i="32" s="1"/>
  <c r="AJ168" i="1"/>
  <c r="V327" i="32" a="1"/>
  <c r="V327" i="32" s="1"/>
  <c r="T484" i="32" a="1"/>
  <c r="T484" i="32" s="1"/>
  <c r="V519" i="32" a="1"/>
  <c r="V519" i="32" s="1"/>
  <c r="S154" i="32" a="1"/>
  <c r="S154" i="32" s="1"/>
  <c r="E154" i="32" s="1"/>
  <c r="T552" i="32" a="1"/>
  <c r="T552" i="32" s="1"/>
  <c r="R168" i="32" a="1"/>
  <c r="R168" i="32" s="1"/>
  <c r="D168" i="32" s="1"/>
  <c r="R32" i="32" a="1"/>
  <c r="R32" i="32" s="1"/>
  <c r="D32" i="32" s="1"/>
  <c r="T386" i="32" a="1"/>
  <c r="T386" i="32" s="1"/>
  <c r="T32" i="32" a="1"/>
  <c r="T32" i="32" s="1"/>
  <c r="S558" i="32" a="1"/>
  <c r="S558" i="32" s="1"/>
  <c r="E558" i="32" s="1"/>
  <c r="V238" i="32" a="1"/>
  <c r="V238" i="32" s="1"/>
  <c r="L238" i="32" s="1"/>
  <c r="T478" i="32" a="1"/>
  <c r="T478" i="32" s="1"/>
  <c r="P673" i="32"/>
  <c r="Q671" i="32"/>
  <c r="S32" i="32" a="1"/>
  <c r="S32" i="32" s="1"/>
  <c r="E32" i="32" s="1"/>
  <c r="AJ143" i="1"/>
  <c r="AJ125" i="1"/>
  <c r="AJ164" i="1"/>
  <c r="AJ146" i="1"/>
  <c r="AJ141" i="1"/>
  <c r="AJ155" i="1"/>
  <c r="S254" i="32" a="1"/>
  <c r="S254" i="32" s="1"/>
  <c r="E254" i="32" s="1"/>
  <c r="S52" i="32" a="1"/>
  <c r="S52" i="32" s="1"/>
  <c r="E52" i="32" s="1"/>
  <c r="T54" i="32" a="1"/>
  <c r="T54" i="32" s="1"/>
  <c r="S300" i="32" a="1"/>
  <c r="S300" i="32" s="1"/>
  <c r="E300" i="32" s="1"/>
  <c r="S240" i="32" a="1"/>
  <c r="S240" i="32" s="1"/>
  <c r="E240" i="32" s="1"/>
  <c r="V304" i="32" a="1"/>
  <c r="V304" i="32" s="1"/>
  <c r="L304" i="32" s="1"/>
  <c r="R120" i="32" a="1"/>
  <c r="R120" i="32" s="1"/>
  <c r="D120" i="32" s="1"/>
  <c r="V278" i="32" a="1"/>
  <c r="V278" i="32" s="1"/>
  <c r="L278" i="32" s="1"/>
  <c r="R238" i="32" a="1"/>
  <c r="R238" i="32" s="1"/>
  <c r="D238" i="32" s="1"/>
  <c r="V152" i="32" a="1"/>
  <c r="V152" i="32" s="1"/>
  <c r="L152" i="32" s="1"/>
  <c r="T148" i="32" a="1"/>
  <c r="T148" i="32" s="1"/>
  <c r="V74" i="32" a="1"/>
  <c r="V74" i="32" s="1"/>
  <c r="L74" i="32" s="1"/>
  <c r="S260" i="32" a="1"/>
  <c r="S260" i="32" s="1"/>
  <c r="E260" i="32" s="1"/>
  <c r="R212" i="32" a="1"/>
  <c r="R212" i="32" s="1"/>
  <c r="D212" i="32" s="1"/>
  <c r="R90" i="32" a="1"/>
  <c r="R90" i="32" s="1"/>
  <c r="D90" i="32" s="1"/>
  <c r="T102" i="32" a="1"/>
  <c r="T102" i="32" s="1"/>
  <c r="R150" i="32" a="1"/>
  <c r="R150" i="32" s="1"/>
  <c r="D150" i="32" s="1"/>
  <c r="T166" i="32" a="1"/>
  <c r="T166" i="32" s="1"/>
  <c r="T270" i="32" a="1"/>
  <c r="T270" i="32" s="1"/>
  <c r="S308" i="32" a="1"/>
  <c r="S308" i="32" s="1"/>
  <c r="E308" i="32" s="1"/>
  <c r="R92" i="32" a="1"/>
  <c r="R92" i="32" s="1"/>
  <c r="D92" i="32" s="1"/>
  <c r="T176" i="32" a="1"/>
  <c r="T176" i="32" s="1"/>
  <c r="V298" i="32" a="1"/>
  <c r="V298" i="32" s="1"/>
  <c r="L298" i="32" s="1"/>
  <c r="S56" i="32" a="1"/>
  <c r="S56" i="32" s="1"/>
  <c r="E56" i="32" s="1"/>
  <c r="T206" i="32" a="1"/>
  <c r="T206" i="32" s="1"/>
  <c r="V182" i="32" a="1"/>
  <c r="V182" i="32" s="1"/>
  <c r="L182" i="32" s="1"/>
  <c r="R258" i="32" a="1"/>
  <c r="R258" i="32" s="1"/>
  <c r="D258" i="32" s="1"/>
  <c r="S252" i="32" a="1"/>
  <c r="S252" i="32" s="1"/>
  <c r="E252" i="32" s="1"/>
  <c r="S66" i="32" a="1"/>
  <c r="S66" i="32" s="1"/>
  <c r="E66" i="32" s="1"/>
  <c r="R250" i="32" a="1"/>
  <c r="R250" i="32" s="1"/>
  <c r="D250" i="32" s="1"/>
  <c r="S110" i="32" a="1"/>
  <c r="S110" i="32" s="1"/>
  <c r="E110" i="32" s="1"/>
  <c r="V102" i="32" a="1"/>
  <c r="V102" i="32" s="1"/>
  <c r="L102" i="32" s="1"/>
  <c r="S96" i="32" a="1"/>
  <c r="S96" i="32" s="1"/>
  <c r="E96" i="32" s="1"/>
  <c r="T64" i="32" a="1"/>
  <c r="T64" i="32" s="1"/>
  <c r="V248" i="32" a="1"/>
  <c r="V248" i="32" s="1"/>
  <c r="L248" i="32" s="1"/>
  <c r="R266" i="32" a="1"/>
  <c r="R266" i="32" s="1"/>
  <c r="D266" i="32" s="1"/>
  <c r="R134" i="32" a="1"/>
  <c r="R134" i="32" s="1"/>
  <c r="D134" i="32" s="1"/>
  <c r="S286" i="32" a="1"/>
  <c r="S286" i="32" s="1"/>
  <c r="E286" i="32" s="1"/>
  <c r="T114" i="32" a="1"/>
  <c r="T114" i="32" s="1"/>
  <c r="S150" i="32" a="1"/>
  <c r="S150" i="32" s="1"/>
  <c r="E150" i="32" s="1"/>
  <c r="R186" i="32" a="1"/>
  <c r="R186" i="32" s="1"/>
  <c r="D186" i="32" s="1"/>
  <c r="V306" i="32" a="1"/>
  <c r="V306" i="32" s="1"/>
  <c r="L306" i="32" s="1"/>
  <c r="S290" i="32" a="1"/>
  <c r="S290" i="32" s="1"/>
  <c r="E290" i="32" s="1"/>
  <c r="V204" i="32" a="1"/>
  <c r="V204" i="32" s="1"/>
  <c r="L204" i="32" s="1"/>
  <c r="V72" i="32" a="1"/>
  <c r="V72" i="32" s="1"/>
  <c r="L72" i="32" s="1"/>
  <c r="T106" i="32" a="1"/>
  <c r="T106" i="32" s="1"/>
  <c r="V52" i="32" a="1"/>
  <c r="V52" i="32" s="1"/>
  <c r="L52" i="32" s="1"/>
  <c r="V96" i="32" a="1"/>
  <c r="V96" i="32" s="1"/>
  <c r="L96" i="32" s="1"/>
  <c r="V214" i="32" a="1"/>
  <c r="V214" i="32" s="1"/>
  <c r="L214" i="32" s="1"/>
  <c r="R252" i="32" a="1"/>
  <c r="R252" i="32" s="1"/>
  <c r="D252" i="32" s="1"/>
  <c r="T296" i="32" a="1"/>
  <c r="T296" i="32" s="1"/>
  <c r="S230" i="32" a="1"/>
  <c r="S230" i="32" s="1"/>
  <c r="E230" i="32" s="1"/>
  <c r="S182" i="32" a="1"/>
  <c r="S182" i="32" s="1"/>
  <c r="E182" i="32" s="1"/>
  <c r="T282" i="32" a="1"/>
  <c r="T282" i="32" s="1"/>
  <c r="R106" i="32" a="1"/>
  <c r="R106" i="32" s="1"/>
  <c r="D106" i="32" s="1"/>
  <c r="V272" i="32" a="1"/>
  <c r="V272" i="32" s="1"/>
  <c r="L272" i="32" s="1"/>
  <c r="V232" i="32" a="1"/>
  <c r="V232" i="32" s="1"/>
  <c r="L232" i="32" s="1"/>
  <c r="T88" i="32" a="1"/>
  <c r="T88" i="32" s="1"/>
  <c r="R128" i="32" a="1"/>
  <c r="R128" i="32" s="1"/>
  <c r="D128" i="32" s="1"/>
  <c r="T292" i="32" a="1"/>
  <c r="T292" i="32" s="1"/>
  <c r="S294" i="32" a="1"/>
  <c r="S294" i="32" s="1"/>
  <c r="E294" i="32" s="1"/>
  <c r="S70" i="32" a="1"/>
  <c r="S70" i="32" s="1"/>
  <c r="E70" i="32" s="1"/>
  <c r="V132" i="32" a="1"/>
  <c r="V132" i="32" s="1"/>
  <c r="L132" i="32" s="1"/>
  <c r="V106" i="32" a="1"/>
  <c r="V106" i="32" s="1"/>
  <c r="L106" i="32" s="1"/>
  <c r="T128" i="32" a="1"/>
  <c r="T128" i="32" s="1"/>
  <c r="T158" i="32" a="1"/>
  <c r="T158" i="32" s="1"/>
  <c r="R156" i="32" a="1"/>
  <c r="R156" i="32" s="1"/>
  <c r="D156" i="32" s="1"/>
  <c r="R268" i="32" a="1"/>
  <c r="R268" i="32" s="1"/>
  <c r="D268" i="32" s="1"/>
  <c r="R304" i="32" a="1"/>
  <c r="R304" i="32" s="1"/>
  <c r="D304" i="32" s="1"/>
  <c r="R294" i="32" a="1"/>
  <c r="R294" i="32" s="1"/>
  <c r="D294" i="32" s="1"/>
  <c r="T168" i="32" a="1"/>
  <c r="T168" i="32" s="1"/>
  <c r="V212" i="32" a="1"/>
  <c r="V212" i="32" s="1"/>
  <c r="L212" i="32" s="1"/>
  <c r="V58" i="32" a="1"/>
  <c r="V58" i="32" s="1"/>
  <c r="L58" i="32" s="1"/>
  <c r="T214" i="32" a="1"/>
  <c r="T214" i="32" s="1"/>
  <c r="V240" i="32" a="1"/>
  <c r="V240" i="32" s="1"/>
  <c r="L240" i="32" s="1"/>
  <c r="R276" i="32" a="1"/>
  <c r="R276" i="32" s="1"/>
  <c r="D276" i="32" s="1"/>
  <c r="T108" i="32" a="1"/>
  <c r="T108" i="32" s="1"/>
  <c r="R110" i="32" a="1"/>
  <c r="R110" i="32" s="1"/>
  <c r="D110" i="32" s="1"/>
  <c r="V242" i="32" a="1"/>
  <c r="V242" i="32" s="1"/>
  <c r="L242" i="32" s="1"/>
  <c r="R256" i="32" a="1"/>
  <c r="R256" i="32" s="1"/>
  <c r="D256" i="32" s="1"/>
  <c r="V200" i="32" a="1"/>
  <c r="V200" i="32" s="1"/>
  <c r="L200" i="32" s="1"/>
  <c r="R108" i="32" a="1"/>
  <c r="R108" i="32" s="1"/>
  <c r="D108" i="32" s="1"/>
  <c r="V192" i="32" a="1"/>
  <c r="V192" i="32" s="1"/>
  <c r="L192" i="32" s="1"/>
  <c r="R246" i="32" a="1"/>
  <c r="R246" i="32" s="1"/>
  <c r="D246" i="32" s="1"/>
  <c r="R82" i="32" a="1"/>
  <c r="R82" i="32" s="1"/>
  <c r="D82" i="32" s="1"/>
  <c r="T160" i="32" a="1"/>
  <c r="T160" i="32" s="1"/>
  <c r="V218" i="32" a="1"/>
  <c r="V218" i="32" s="1"/>
  <c r="L218" i="32" s="1"/>
  <c r="T248" i="32" a="1"/>
  <c r="T248" i="32" s="1"/>
  <c r="S228" i="32" a="1"/>
  <c r="S228" i="32" s="1"/>
  <c r="E228" i="32" s="1"/>
  <c r="R214" i="32" a="1"/>
  <c r="R214" i="32" s="1"/>
  <c r="D214" i="32" s="1"/>
  <c r="V84" i="32" a="1"/>
  <c r="V84" i="32" s="1"/>
  <c r="L84" i="32" s="1"/>
  <c r="T124" i="32" a="1"/>
  <c r="T124" i="32" s="1"/>
  <c r="R270" i="32" a="1"/>
  <c r="R270" i="32" s="1"/>
  <c r="D270" i="32" s="1"/>
  <c r="V176" i="32" a="1"/>
  <c r="V176" i="32" s="1"/>
  <c r="L176" i="32" s="1"/>
  <c r="T212" i="32" a="1"/>
  <c r="T212" i="32" s="1"/>
  <c r="V172" i="32" a="1"/>
  <c r="V172" i="32" s="1"/>
  <c r="L172" i="32" s="1"/>
  <c r="V294" i="32" a="1"/>
  <c r="V294" i="32" s="1"/>
  <c r="L294" i="32" s="1"/>
  <c r="S250" i="32" a="1"/>
  <c r="S250" i="32" s="1"/>
  <c r="E250" i="32" s="1"/>
  <c r="S158" i="32" a="1"/>
  <c r="S158" i="32" s="1"/>
  <c r="E158" i="32" s="1"/>
  <c r="S90" i="32" a="1"/>
  <c r="S90" i="32" s="1"/>
  <c r="E90" i="32" s="1"/>
  <c r="S216" i="32" a="1"/>
  <c r="S216" i="32" s="1"/>
  <c r="E216" i="32" s="1"/>
  <c r="S60" i="32" a="1"/>
  <c r="S60" i="32" s="1"/>
  <c r="E60" i="32" s="1"/>
  <c r="S244" i="32" a="1"/>
  <c r="S244" i="32" s="1"/>
  <c r="E244" i="32" s="1"/>
  <c r="R70" i="32" a="1"/>
  <c r="R70" i="32" s="1"/>
  <c r="D70" i="32" s="1"/>
  <c r="T96" i="32" a="1"/>
  <c r="T96" i="32" s="1"/>
  <c r="T188" i="32" a="1"/>
  <c r="T188" i="32" s="1"/>
  <c r="S166" i="32" a="1"/>
  <c r="S166" i="32" s="1"/>
  <c r="E166" i="32" s="1"/>
  <c r="T196" i="32" a="1"/>
  <c r="T196" i="32" s="1"/>
  <c r="T90" i="32" a="1"/>
  <c r="T90" i="32" s="1"/>
  <c r="V270" i="32" a="1"/>
  <c r="V270" i="32" s="1"/>
  <c r="L270" i="32" s="1"/>
  <c r="S100" i="32" a="1"/>
  <c r="S100" i="32" s="1"/>
  <c r="E100" i="32" s="1"/>
  <c r="T60" i="32" a="1"/>
  <c r="T60" i="32" s="1"/>
  <c r="R126" i="32" a="1"/>
  <c r="R126" i="32" s="1"/>
  <c r="D126" i="32" s="1"/>
  <c r="V228" i="32" a="1"/>
  <c r="V228" i="32" s="1"/>
  <c r="L228" i="32" s="1"/>
  <c r="R242" i="32" a="1"/>
  <c r="R242" i="32" s="1"/>
  <c r="D242" i="32" s="1"/>
  <c r="T254" i="32" a="1"/>
  <c r="T254" i="32" s="1"/>
  <c r="T92" i="32" a="1"/>
  <c r="T92" i="32" s="1"/>
  <c r="S54" i="32" a="1"/>
  <c r="S54" i="32" s="1"/>
  <c r="E54" i="32" s="1"/>
  <c r="S274" i="32" a="1"/>
  <c r="S274" i="32" s="1"/>
  <c r="E274" i="32" s="1"/>
  <c r="R220" i="32" a="1"/>
  <c r="R220" i="32" s="1"/>
  <c r="D220" i="32" s="1"/>
  <c r="V202" i="32" a="1"/>
  <c r="V202" i="32" s="1"/>
  <c r="L202" i="32" s="1"/>
  <c r="V260" i="32" a="1"/>
  <c r="V260" i="32" s="1"/>
  <c r="L260" i="32" s="1"/>
  <c r="T210" i="32" a="1"/>
  <c r="T210" i="32" s="1"/>
  <c r="S74" i="32" a="1"/>
  <c r="S74" i="32" s="1"/>
  <c r="E74" i="32" s="1"/>
  <c r="R272" i="32" a="1"/>
  <c r="R272" i="32" s="1"/>
  <c r="D272" i="32" s="1"/>
  <c r="R308" i="32" a="1"/>
  <c r="R308" i="32" s="1"/>
  <c r="D308" i="32" s="1"/>
  <c r="T242" i="32" a="1"/>
  <c r="T242" i="32" s="1"/>
  <c r="R132" i="32" a="1"/>
  <c r="R132" i="32" s="1"/>
  <c r="D132" i="32" s="1"/>
  <c r="T142" i="32" a="1"/>
  <c r="T142" i="32" s="1"/>
  <c r="T280" i="32" a="1"/>
  <c r="T280" i="32" s="1"/>
  <c r="T240" i="32" a="1"/>
  <c r="T240" i="32" s="1"/>
  <c r="R118" i="32" a="1"/>
  <c r="R118" i="32" s="1"/>
  <c r="D118" i="32" s="1"/>
  <c r="R278" i="32" a="1"/>
  <c r="R278" i="32" s="1"/>
  <c r="D278" i="32" s="1"/>
  <c r="T62" i="32" a="1"/>
  <c r="T62" i="32" s="1"/>
  <c r="S296" i="32" a="1"/>
  <c r="S296" i="32" s="1"/>
  <c r="E296" i="32" s="1"/>
  <c r="T164" i="32" a="1"/>
  <c r="T164" i="32" s="1"/>
  <c r="V114" i="32" a="1"/>
  <c r="V114" i="32" s="1"/>
  <c r="L114" i="32" s="1"/>
  <c r="T72" i="32" a="1"/>
  <c r="T72" i="32" s="1"/>
  <c r="V98" i="32" a="1"/>
  <c r="V98" i="32" s="1"/>
  <c r="L98" i="32" s="1"/>
  <c r="S248" i="32" a="1"/>
  <c r="S248" i="32" s="1"/>
  <c r="E248" i="32" s="1"/>
  <c r="T138" i="32" a="1"/>
  <c r="T138" i="32" s="1"/>
  <c r="S148" i="32" a="1"/>
  <c r="S148" i="32" s="1"/>
  <c r="E148" i="32" s="1"/>
  <c r="V190" i="32" a="1"/>
  <c r="V190" i="32" s="1"/>
  <c r="L190" i="32" s="1"/>
  <c r="V196" i="32" a="1"/>
  <c r="V196" i="32" s="1"/>
  <c r="L196" i="32" s="1"/>
  <c r="R260" i="32" a="1"/>
  <c r="R260" i="32" s="1"/>
  <c r="D260" i="32" s="1"/>
  <c r="V178" i="32" a="1"/>
  <c r="V178" i="32" s="1"/>
  <c r="L178" i="32" s="1"/>
  <c r="T250" i="32" a="1"/>
  <c r="T250" i="32" s="1"/>
  <c r="S234" i="32" a="1"/>
  <c r="S234" i="32" s="1"/>
  <c r="E234" i="32" s="1"/>
  <c r="V130" i="32" a="1"/>
  <c r="V130" i="32" s="1"/>
  <c r="L130" i="32" s="1"/>
  <c r="T226" i="32" a="1"/>
  <c r="T226" i="32" s="1"/>
  <c r="S204" i="32" a="1"/>
  <c r="S204" i="32" s="1"/>
  <c r="E204" i="32" s="1"/>
  <c r="V266" i="32" a="1"/>
  <c r="V266" i="32" s="1"/>
  <c r="L266" i="32" s="1"/>
  <c r="R196" i="32" a="1"/>
  <c r="R196" i="32" s="1"/>
  <c r="D196" i="32" s="1"/>
  <c r="V94" i="32" a="1"/>
  <c r="V94" i="32" s="1"/>
  <c r="L94" i="32" s="1"/>
  <c r="S146" i="32" a="1"/>
  <c r="S146" i="32" s="1"/>
  <c r="E146" i="32" s="1"/>
  <c r="R152" i="32" a="1"/>
  <c r="R152" i="32" s="1"/>
  <c r="D152" i="32" s="1"/>
  <c r="R72" i="32" a="1"/>
  <c r="R72" i="32" s="1"/>
  <c r="D72" i="32" s="1"/>
  <c r="R198" i="32" a="1"/>
  <c r="R198" i="32" s="1"/>
  <c r="D198" i="32" s="1"/>
  <c r="T274" i="32" a="1"/>
  <c r="T274" i="32" s="1"/>
  <c r="R98" i="32" a="1"/>
  <c r="R98" i="32" s="1"/>
  <c r="D98" i="32" s="1"/>
  <c r="S258" i="32" a="1"/>
  <c r="S258" i="32" s="1"/>
  <c r="E258" i="32" s="1"/>
  <c r="V160" i="32" a="1"/>
  <c r="V160" i="32" s="1"/>
  <c r="L160" i="32" s="1"/>
  <c r="R216" i="32" a="1"/>
  <c r="R216" i="32" s="1"/>
  <c r="D216" i="32" s="1"/>
  <c r="T224" i="32" a="1"/>
  <c r="T224" i="32" s="1"/>
  <c r="V122" i="32" a="1"/>
  <c r="V122" i="32" s="1"/>
  <c r="L122" i="32" s="1"/>
  <c r="T202" i="32" a="1"/>
  <c r="T202" i="32" s="1"/>
  <c r="S136" i="32" a="1"/>
  <c r="S136" i="32" s="1"/>
  <c r="E136" i="32" s="1"/>
  <c r="T94" i="32" a="1"/>
  <c r="T94" i="32" s="1"/>
  <c r="T204" i="32" a="1"/>
  <c r="T204" i="32" s="1"/>
  <c r="R104" i="32" a="1"/>
  <c r="R104" i="32" s="1"/>
  <c r="D104" i="32" s="1"/>
  <c r="V128" i="32" a="1"/>
  <c r="V128" i="32" s="1"/>
  <c r="L128" i="32" s="1"/>
  <c r="S82" i="32" a="1"/>
  <c r="S82" i="32" s="1"/>
  <c r="E82" i="32" s="1"/>
  <c r="S112" i="32" a="1"/>
  <c r="S112" i="32" s="1"/>
  <c r="E112" i="32" s="1"/>
  <c r="S198" i="32" a="1"/>
  <c r="S198" i="32" s="1"/>
  <c r="E198" i="32" s="1"/>
  <c r="S188" i="32" a="1"/>
  <c r="S188" i="32" s="1"/>
  <c r="E188" i="32" s="1"/>
  <c r="S84" i="32" a="1"/>
  <c r="S84" i="32" s="1"/>
  <c r="E84" i="32" s="1"/>
  <c r="T208" i="32" a="1"/>
  <c r="T208" i="32" s="1"/>
  <c r="T112" i="32" a="1"/>
  <c r="T112" i="32" s="1"/>
  <c r="V60" i="32" a="1"/>
  <c r="V60" i="32" s="1"/>
  <c r="L60" i="32" s="1"/>
  <c r="R84" i="32" a="1"/>
  <c r="R84" i="32" s="1"/>
  <c r="D84" i="32" s="1"/>
  <c r="S160" i="32" a="1"/>
  <c r="S160" i="32" s="1"/>
  <c r="E160" i="32" s="1"/>
  <c r="S142" i="32" a="1"/>
  <c r="S142" i="32" s="1"/>
  <c r="E142" i="32" s="1"/>
  <c r="T50" i="32" a="1"/>
  <c r="T50" i="32" s="1"/>
  <c r="V154" i="32" a="1"/>
  <c r="V154" i="32" s="1"/>
  <c r="L154" i="32" s="1"/>
  <c r="V288" i="32" a="1"/>
  <c r="V288" i="32" s="1"/>
  <c r="L288" i="32" s="1"/>
  <c r="S122" i="32" a="1"/>
  <c r="S122" i="32" s="1"/>
  <c r="E122" i="32" s="1"/>
  <c r="S156" i="32" a="1"/>
  <c r="S156" i="32" s="1"/>
  <c r="E156" i="32" s="1"/>
  <c r="T198" i="32" a="1"/>
  <c r="T198" i="32" s="1"/>
  <c r="S116" i="32" a="1"/>
  <c r="S116" i="32" s="1"/>
  <c r="E116" i="32" s="1"/>
  <c r="R264" i="32" a="1"/>
  <c r="R264" i="32" s="1"/>
  <c r="D264" i="32" s="1"/>
  <c r="R78" i="32" a="1"/>
  <c r="R78" i="32" s="1"/>
  <c r="D78" i="32" s="1"/>
  <c r="S186" i="32" a="1"/>
  <c r="S186" i="32" s="1"/>
  <c r="E186" i="32" s="1"/>
  <c r="V220" i="32" a="1"/>
  <c r="V220" i="32" s="1"/>
  <c r="L220" i="32" s="1"/>
  <c r="R234" i="32" a="1"/>
  <c r="R234" i="32" s="1"/>
  <c r="D234" i="32" s="1"/>
  <c r="R56" i="32" a="1"/>
  <c r="R56" i="32" s="1"/>
  <c r="D56" i="32" s="1"/>
  <c r="R68" i="32" a="1"/>
  <c r="R68" i="32" s="1"/>
  <c r="D68" i="32" s="1"/>
  <c r="V76" i="32" a="1"/>
  <c r="V76" i="32" s="1"/>
  <c r="L76" i="32" s="1"/>
  <c r="R224" i="32" a="1"/>
  <c r="R224" i="32" s="1"/>
  <c r="D224" i="32" s="1"/>
  <c r="V268" i="32" a="1"/>
  <c r="V268" i="32" s="1"/>
  <c r="L268" i="32" s="1"/>
  <c r="V70" i="32" a="1"/>
  <c r="V70" i="32" s="1"/>
  <c r="L70" i="32" s="1"/>
  <c r="V286" i="32" a="1"/>
  <c r="V286" i="32" s="1"/>
  <c r="L286" i="32" s="1"/>
  <c r="V262" i="32" a="1"/>
  <c r="V262" i="32" s="1"/>
  <c r="L262" i="32" s="1"/>
  <c r="S192" i="32" a="1"/>
  <c r="S192" i="32" s="1"/>
  <c r="E192" i="32" s="1"/>
  <c r="S190" i="32" a="1"/>
  <c r="S190" i="32" s="1"/>
  <c r="E190" i="32" s="1"/>
  <c r="R136" i="32" a="1"/>
  <c r="R136" i="32" s="1"/>
  <c r="D136" i="32" s="1"/>
  <c r="S76" i="32" a="1"/>
  <c r="S76" i="32" s="1"/>
  <c r="E76" i="32" s="1"/>
  <c r="S138" i="32" a="1"/>
  <c r="S138" i="32" s="1"/>
  <c r="E138" i="32" s="1"/>
  <c r="V68" i="32" a="1"/>
  <c r="V68" i="32" s="1"/>
  <c r="L68" i="32" s="1"/>
  <c r="T290" i="32" a="1"/>
  <c r="T290" i="32" s="1"/>
  <c r="S58" i="32" a="1"/>
  <c r="S58" i="32" s="1"/>
  <c r="E58" i="32" s="1"/>
  <c r="V100" i="32" a="1"/>
  <c r="V100" i="32" s="1"/>
  <c r="L100" i="32" s="1"/>
  <c r="T222" i="32" a="1"/>
  <c r="T222" i="32" s="1"/>
  <c r="V150" i="32" a="1"/>
  <c r="V150" i="32" s="1"/>
  <c r="L150" i="32" s="1"/>
  <c r="S172" i="32" a="1"/>
  <c r="S172" i="32" s="1"/>
  <c r="E172" i="32" s="1"/>
  <c r="R218" i="32" a="1"/>
  <c r="R218" i="32" s="1"/>
  <c r="D218" i="32" s="1"/>
  <c r="V226" i="32" a="1"/>
  <c r="V226" i="32" s="1"/>
  <c r="L226" i="32" s="1"/>
  <c r="T184" i="32" a="1"/>
  <c r="T184" i="32" s="1"/>
  <c r="S280" i="32" a="1"/>
  <c r="S280" i="32" s="1"/>
  <c r="E280" i="32" s="1"/>
  <c r="V56" i="32" a="1"/>
  <c r="V56" i="32" s="1"/>
  <c r="L56" i="32" s="1"/>
  <c r="T236" i="32" a="1"/>
  <c r="T236" i="32" s="1"/>
  <c r="R182" i="32" a="1"/>
  <c r="R182" i="32" s="1"/>
  <c r="D182" i="32" s="1"/>
  <c r="R74" i="32" a="1"/>
  <c r="R74" i="32" s="1"/>
  <c r="D74" i="32" s="1"/>
  <c r="R148" i="32" a="1"/>
  <c r="R148" i="32" s="1"/>
  <c r="D148" i="32" s="1"/>
  <c r="T260" i="32" a="1"/>
  <c r="T260" i="32" s="1"/>
  <c r="R50" i="32" a="1"/>
  <c r="R50" i="32" s="1"/>
  <c r="D50" i="32" s="1"/>
  <c r="S72" i="32" a="1"/>
  <c r="S72" i="32" s="1"/>
  <c r="E72" i="32" s="1"/>
  <c r="S144" i="32" a="1"/>
  <c r="S144" i="32" s="1"/>
  <c r="E144" i="32" s="1"/>
  <c r="S114" i="32" a="1"/>
  <c r="S114" i="32" s="1"/>
  <c r="E114" i="32" s="1"/>
  <c r="V292" i="32" a="1"/>
  <c r="V292" i="32" s="1"/>
  <c r="L292" i="32" s="1"/>
  <c r="V116" i="32" a="1"/>
  <c r="V116" i="32" s="1"/>
  <c r="L116" i="32" s="1"/>
  <c r="S98" i="32" a="1"/>
  <c r="S98" i="32" s="1"/>
  <c r="E98" i="32" s="1"/>
  <c r="V230" i="32" a="1"/>
  <c r="V230" i="32" s="1"/>
  <c r="L230" i="32" s="1"/>
  <c r="R130" i="32" a="1"/>
  <c r="R130" i="32" s="1"/>
  <c r="D130" i="32" s="1"/>
  <c r="S226" i="32" a="1"/>
  <c r="S226" i="32" s="1"/>
  <c r="E226" i="32" s="1"/>
  <c r="R236" i="32" a="1"/>
  <c r="R236" i="32" s="1"/>
  <c r="D236" i="32" s="1"/>
  <c r="V112" i="32" a="1"/>
  <c r="V112" i="32" s="1"/>
  <c r="L112" i="32" s="1"/>
  <c r="T294" i="32" a="1"/>
  <c r="T294" i="32" s="1"/>
  <c r="R10" i="32" a="1"/>
  <c r="R10" i="32" s="1"/>
  <c r="D10" i="32" s="1"/>
  <c r="V12" i="32" a="1"/>
  <c r="V12" i="32" s="1"/>
  <c r="L12" i="32" s="1"/>
  <c r="T80" i="32" a="1"/>
  <c r="T80" i="32" s="1"/>
  <c r="V82" i="32" a="1"/>
  <c r="V82" i="32" s="1"/>
  <c r="L82" i="32" s="1"/>
  <c r="R64" i="32" a="1"/>
  <c r="R64" i="32" s="1"/>
  <c r="D64" i="32" s="1"/>
  <c r="S238" i="32" a="1"/>
  <c r="S238" i="32" s="1"/>
  <c r="E238" i="32" s="1"/>
  <c r="R146" i="32" a="1"/>
  <c r="R146" i="32" s="1"/>
  <c r="D146" i="32" s="1"/>
  <c r="S278" i="32" a="1"/>
  <c r="S278" i="32" s="1"/>
  <c r="E278" i="32" s="1"/>
  <c r="T118" i="32" a="1"/>
  <c r="T118" i="32" s="1"/>
  <c r="R254" i="32" a="1"/>
  <c r="R254" i="32" s="1"/>
  <c r="D254" i="32" s="1"/>
  <c r="V256" i="32" a="1"/>
  <c r="V256" i="32" s="1"/>
  <c r="L256" i="32" s="1"/>
  <c r="R188" i="32" a="1"/>
  <c r="R188" i="32" s="1"/>
  <c r="D188" i="32" s="1"/>
  <c r="R122" i="32" a="1"/>
  <c r="R122" i="32" s="1"/>
  <c r="D122" i="32" s="1"/>
  <c r="R202" i="32" a="1"/>
  <c r="R202" i="32" s="1"/>
  <c r="D202" i="32" s="1"/>
  <c r="S68" i="32" a="1"/>
  <c r="S68" i="32" s="1"/>
  <c r="E68" i="32" s="1"/>
  <c r="S140" i="32" a="1"/>
  <c r="S140" i="32" s="1"/>
  <c r="E140" i="32" s="1"/>
  <c r="V144" i="32" a="1"/>
  <c r="V144" i="32" s="1"/>
  <c r="L144" i="32" s="1"/>
  <c r="T172" i="32" a="1"/>
  <c r="T172" i="32" s="1"/>
  <c r="V194" i="32" a="1"/>
  <c r="V194" i="32" s="1"/>
  <c r="L194" i="32" s="1"/>
  <c r="R88" i="32" a="1"/>
  <c r="R88" i="32" s="1"/>
  <c r="D88" i="32" s="1"/>
  <c r="R138" i="32" a="1"/>
  <c r="R138" i="32" s="1"/>
  <c r="D138" i="32" s="1"/>
  <c r="V86" i="32" a="1"/>
  <c r="V86" i="32" s="1"/>
  <c r="L86" i="32" s="1"/>
  <c r="S222" i="32" a="1"/>
  <c r="S222" i="32" s="1"/>
  <c r="E222" i="32" s="1"/>
  <c r="V138" i="32" a="1"/>
  <c r="V138" i="32" s="1"/>
  <c r="L138" i="32" s="1"/>
  <c r="T84" i="32" a="1"/>
  <c r="T84" i="32" s="1"/>
  <c r="V174" i="32" a="1"/>
  <c r="V174" i="32" s="1"/>
  <c r="L174" i="32" s="1"/>
  <c r="V244" i="32" a="1"/>
  <c r="V244" i="32" s="1"/>
  <c r="L244" i="32" s="1"/>
  <c r="R298" i="32" a="1"/>
  <c r="R298" i="32" s="1"/>
  <c r="D298" i="32" s="1"/>
  <c r="S152" i="32" a="1"/>
  <c r="S152" i="32" s="1"/>
  <c r="E152" i="32" s="1"/>
  <c r="V142" i="32" a="1"/>
  <c r="V142" i="32" s="1"/>
  <c r="L142" i="32" s="1"/>
  <c r="V250" i="32" a="1"/>
  <c r="V250" i="32" s="1"/>
  <c r="L250" i="32" s="1"/>
  <c r="V148" i="32" a="1"/>
  <c r="V148" i="32" s="1"/>
  <c r="L148" i="32" s="1"/>
  <c r="S220" i="32" a="1"/>
  <c r="S220" i="32" s="1"/>
  <c r="E220" i="32" s="1"/>
  <c r="V62" i="32" a="1"/>
  <c r="V62" i="32" s="1"/>
  <c r="L62" i="32" s="1"/>
  <c r="T186" i="32" a="1"/>
  <c r="T186" i="32" s="1"/>
  <c r="R194" i="32" a="1"/>
  <c r="R194" i="32" s="1"/>
  <c r="D194" i="32" s="1"/>
  <c r="S106" i="32" a="1"/>
  <c r="S106" i="32" s="1"/>
  <c r="E106" i="32" s="1"/>
  <c r="V302" i="32" a="1"/>
  <c r="V302" i="32" s="1"/>
  <c r="L302" i="32" s="1"/>
  <c r="T300" i="32" a="1"/>
  <c r="T300" i="32" s="1"/>
  <c r="S94" i="32" a="1"/>
  <c r="S94" i="32" s="1"/>
  <c r="E94" i="32" s="1"/>
  <c r="T86" i="32" a="1"/>
  <c r="T86" i="32" s="1"/>
  <c r="S80" i="32" a="1"/>
  <c r="S80" i="32" s="1"/>
  <c r="E80" i="32" s="1"/>
  <c r="S164" i="32" a="1"/>
  <c r="S164" i="32" s="1"/>
  <c r="E164" i="32" s="1"/>
  <c r="T136" i="32" a="1"/>
  <c r="T136" i="32" s="1"/>
  <c r="R62" i="32" a="1"/>
  <c r="R62" i="32" s="1"/>
  <c r="D62" i="32" s="1"/>
  <c r="R86" i="32" a="1"/>
  <c r="R86" i="32" s="1"/>
  <c r="D86" i="32" s="1"/>
  <c r="V118" i="32" a="1"/>
  <c r="V118" i="32" s="1"/>
  <c r="L118" i="32" s="1"/>
  <c r="V300" i="32" a="1"/>
  <c r="V300" i="32" s="1"/>
  <c r="L300" i="32" s="1"/>
  <c r="V252" i="32" a="1"/>
  <c r="V252" i="32" s="1"/>
  <c r="L252" i="32" s="1"/>
  <c r="S194" i="32" a="1"/>
  <c r="S194" i="32" s="1"/>
  <c r="E194" i="32" s="1"/>
  <c r="S282" i="32" a="1"/>
  <c r="S282" i="32" s="1"/>
  <c r="E282" i="32" s="1"/>
  <c r="V90" i="32" a="1"/>
  <c r="V90" i="32" s="1"/>
  <c r="L90" i="32" s="1"/>
  <c r="T170" i="32" a="1"/>
  <c r="T170" i="32" s="1"/>
  <c r="V284" i="32" a="1"/>
  <c r="V284" i="32" s="1"/>
  <c r="L284" i="32" s="1"/>
  <c r="V210" i="32" a="1"/>
  <c r="V210" i="32" s="1"/>
  <c r="L210" i="32" s="1"/>
  <c r="T244" i="32" a="1"/>
  <c r="T244" i="32" s="1"/>
  <c r="S88" i="32" a="1"/>
  <c r="S88" i="32" s="1"/>
  <c r="E88" i="32" s="1"/>
  <c r="S236" i="32" a="1"/>
  <c r="S236" i="32" s="1"/>
  <c r="E236" i="32" s="1"/>
  <c r="V216" i="32" a="1"/>
  <c r="V216" i="32" s="1"/>
  <c r="L216" i="32" s="1"/>
  <c r="T140" i="32" a="1"/>
  <c r="T140" i="32" s="1"/>
  <c r="V78" i="32" a="1"/>
  <c r="V78" i="32" s="1"/>
  <c r="L78" i="32" s="1"/>
  <c r="S178" i="32" a="1"/>
  <c r="S178" i="32" s="1"/>
  <c r="E178" i="32" s="1"/>
  <c r="R114" i="32" a="1"/>
  <c r="R114" i="32" s="1"/>
  <c r="D114" i="32" s="1"/>
  <c r="T256" i="32" a="1"/>
  <c r="T256" i="32" s="1"/>
  <c r="R166" i="32" a="1"/>
  <c r="R166" i="32" s="1"/>
  <c r="D166" i="32" s="1"/>
  <c r="R76" i="32" a="1"/>
  <c r="R76" i="32" s="1"/>
  <c r="D76" i="32" s="1"/>
  <c r="T154" i="32" a="1"/>
  <c r="T154" i="32" s="1"/>
  <c r="R60" i="32" a="1"/>
  <c r="R60" i="32" s="1"/>
  <c r="D60" i="32" s="1"/>
  <c r="T228" i="32" a="1"/>
  <c r="T228" i="32" s="1"/>
  <c r="T116" i="32" a="1"/>
  <c r="T116" i="32" s="1"/>
  <c r="S64" i="32" a="1"/>
  <c r="S64" i="32" s="1"/>
  <c r="E64" i="32" s="1"/>
  <c r="T246" i="32" a="1"/>
  <c r="T246" i="32" s="1"/>
  <c r="V126" i="32" a="1"/>
  <c r="V126" i="32" s="1"/>
  <c r="L126" i="32" s="1"/>
  <c r="T268" i="32" a="1"/>
  <c r="T268" i="32" s="1"/>
  <c r="R52" i="32" a="1"/>
  <c r="R52" i="32" s="1"/>
  <c r="D52" i="32" s="1"/>
  <c r="S270" i="32" a="1"/>
  <c r="S270" i="32" s="1"/>
  <c r="E270" i="32" s="1"/>
  <c r="T152" i="32" a="1"/>
  <c r="T152" i="32" s="1"/>
  <c r="V186" i="32" a="1"/>
  <c r="V186" i="32" s="1"/>
  <c r="L186" i="32" s="1"/>
  <c r="R158" i="32" a="1"/>
  <c r="R158" i="32" s="1"/>
  <c r="D158" i="32" s="1"/>
  <c r="V120" i="32" a="1"/>
  <c r="V120" i="32" s="1"/>
  <c r="L120" i="32" s="1"/>
  <c r="V224" i="32" a="1"/>
  <c r="V224" i="32" s="1"/>
  <c r="L224" i="32" s="1"/>
  <c r="S214" i="32" a="1"/>
  <c r="S214" i="32" s="1"/>
  <c r="E214" i="32" s="1"/>
  <c r="T298" i="32" a="1"/>
  <c r="T298" i="32" s="1"/>
  <c r="R80" i="32" a="1"/>
  <c r="R80" i="32" s="1"/>
  <c r="D80" i="32" s="1"/>
  <c r="V234" i="32" a="1"/>
  <c r="V234" i="32" s="1"/>
  <c r="L234" i="32" s="1"/>
  <c r="T190" i="32" a="1"/>
  <c r="T190" i="32" s="1"/>
  <c r="V280" i="32" a="1"/>
  <c r="V280" i="32" s="1"/>
  <c r="L280" i="32" s="1"/>
  <c r="R222" i="32" a="1"/>
  <c r="R222" i="32" s="1"/>
  <c r="D222" i="32" s="1"/>
  <c r="R190" i="32" a="1"/>
  <c r="R190" i="32" s="1"/>
  <c r="D190" i="32" s="1"/>
  <c r="R296" i="32" a="1"/>
  <c r="R296" i="32" s="1"/>
  <c r="D296" i="32" s="1"/>
  <c r="S232" i="32" a="1"/>
  <c r="S232" i="32" s="1"/>
  <c r="E232" i="32" s="1"/>
  <c r="V290" i="32" a="1"/>
  <c r="V290" i="32" s="1"/>
  <c r="L290" i="32" s="1"/>
  <c r="S132" i="32" a="1"/>
  <c r="S132" i="32" s="1"/>
  <c r="E132" i="32" s="1"/>
  <c r="T76" i="32" a="1"/>
  <c r="T76" i="32" s="1"/>
  <c r="T100" i="32" a="1"/>
  <c r="T100" i="32" s="1"/>
  <c r="R306" i="32" a="1"/>
  <c r="R306" i="32" s="1"/>
  <c r="D306" i="32" s="1"/>
  <c r="T52" i="32" a="1"/>
  <c r="T52" i="32" s="1"/>
  <c r="T182" i="32" a="1"/>
  <c r="T182" i="32" s="1"/>
  <c r="V236" i="32" a="1"/>
  <c r="V236" i="32" s="1"/>
  <c r="L236" i="32" s="1"/>
  <c r="T200" i="32" a="1"/>
  <c r="T200" i="32" s="1"/>
  <c r="R172" i="32" a="1"/>
  <c r="R172" i="32" s="1"/>
  <c r="D172" i="32" s="1"/>
  <c r="V108" i="32" a="1"/>
  <c r="V108" i="32" s="1"/>
  <c r="L108" i="32" s="1"/>
  <c r="R100" i="32" a="1"/>
  <c r="R100" i="32" s="1"/>
  <c r="D100" i="32" s="1"/>
  <c r="T288" i="32" a="1"/>
  <c r="T288" i="32" s="1"/>
  <c r="S170" i="32" a="1"/>
  <c r="S170" i="32" s="1"/>
  <c r="E170" i="32" s="1"/>
  <c r="T120" i="32" a="1"/>
  <c r="T120" i="32" s="1"/>
  <c r="S130" i="32" a="1"/>
  <c r="S130" i="32" s="1"/>
  <c r="E130" i="32" s="1"/>
  <c r="T306" i="32" a="1"/>
  <c r="T306" i="32" s="1"/>
  <c r="T264" i="32" a="1"/>
  <c r="T264" i="32" s="1"/>
  <c r="S224" i="32" a="1"/>
  <c r="S224" i="32" s="1"/>
  <c r="E224" i="32" s="1"/>
  <c r="T56" i="32" a="1"/>
  <c r="T56" i="32" s="1"/>
  <c r="R160" i="32" a="1"/>
  <c r="R160" i="32" s="1"/>
  <c r="D160" i="32" s="1"/>
  <c r="T278" i="32" a="1"/>
  <c r="T278" i="32" s="1"/>
  <c r="S202" i="32" a="1"/>
  <c r="S202" i="32" s="1"/>
  <c r="E202" i="32" s="1"/>
  <c r="S126" i="32" a="1"/>
  <c r="S126" i="32" s="1"/>
  <c r="E126" i="32" s="1"/>
  <c r="T218" i="32" a="1"/>
  <c r="T218" i="32" s="1"/>
  <c r="T308" i="32" a="1"/>
  <c r="T308" i="32" s="1"/>
  <c r="S306" i="32" a="1"/>
  <c r="S306" i="32" s="1"/>
  <c r="E306" i="32" s="1"/>
  <c r="T178" i="32" a="1"/>
  <c r="T178" i="32" s="1"/>
  <c r="S292" i="32" a="1"/>
  <c r="S292" i="32" s="1"/>
  <c r="E292" i="32" s="1"/>
  <c r="R116" i="32" a="1"/>
  <c r="R116" i="32" s="1"/>
  <c r="D116" i="32" s="1"/>
  <c r="T192" i="32" a="1"/>
  <c r="T192" i="32" s="1"/>
  <c r="R240" i="32" a="1"/>
  <c r="R240" i="32" s="1"/>
  <c r="D240" i="32" s="1"/>
  <c r="T234" i="32" a="1"/>
  <c r="T234" i="32" s="1"/>
  <c r="V64" i="32" a="1"/>
  <c r="V64" i="32" s="1"/>
  <c r="L64" i="32" s="1"/>
  <c r="T68" i="32" a="1"/>
  <c r="T68" i="32" s="1"/>
  <c r="T146" i="32" a="1"/>
  <c r="T146" i="32" s="1"/>
  <c r="V136" i="32" a="1"/>
  <c r="V136" i="32" s="1"/>
  <c r="L136" i="32" s="1"/>
  <c r="T126" i="32" a="1"/>
  <c r="T126" i="32" s="1"/>
  <c r="T130" i="32" a="1"/>
  <c r="T130" i="32" s="1"/>
  <c r="T302" i="32" a="1"/>
  <c r="T302" i="32" s="1"/>
  <c r="R124" i="32" a="1"/>
  <c r="R124" i="32" s="1"/>
  <c r="D124" i="32" s="1"/>
  <c r="R96" i="32" a="1"/>
  <c r="R96" i="32" s="1"/>
  <c r="D96" i="32" s="1"/>
  <c r="S180" i="32" a="1"/>
  <c r="S180" i="32" s="1"/>
  <c r="E180" i="32" s="1"/>
  <c r="V184" i="32" a="1"/>
  <c r="V184" i="32" s="1"/>
  <c r="L184" i="32" s="1"/>
  <c r="T284" i="32" a="1"/>
  <c r="T284" i="32" s="1"/>
  <c r="S206" i="32" a="1"/>
  <c r="S206" i="32" s="1"/>
  <c r="E206" i="32" s="1"/>
  <c r="V124" i="32" a="1"/>
  <c r="V124" i="32" s="1"/>
  <c r="L124" i="32" s="1"/>
  <c r="S104" i="32" a="1"/>
  <c r="S104" i="32" s="1"/>
  <c r="E104" i="32" s="1"/>
  <c r="V168" i="32" a="1"/>
  <c r="V168" i="32" s="1"/>
  <c r="L168" i="32" s="1"/>
  <c r="V164" i="32" a="1"/>
  <c r="V164" i="32" s="1"/>
  <c r="L164" i="32" s="1"/>
  <c r="T304" i="32" a="1"/>
  <c r="T304" i="32" s="1"/>
  <c r="S134" i="32" a="1"/>
  <c r="S134" i="32" s="1"/>
  <c r="E134" i="32" s="1"/>
  <c r="R140" i="32" a="1"/>
  <c r="R140" i="32" s="1"/>
  <c r="D140" i="32" s="1"/>
  <c r="S242" i="32" a="1"/>
  <c r="S242" i="32" s="1"/>
  <c r="E242" i="32" s="1"/>
  <c r="V80" i="32" a="1"/>
  <c r="V80" i="32" s="1"/>
  <c r="L80" i="32" s="1"/>
  <c r="V158" i="32" a="1"/>
  <c r="V158" i="32" s="1"/>
  <c r="L158" i="32" s="1"/>
  <c r="S218" i="32" a="1"/>
  <c r="S218" i="32" s="1"/>
  <c r="E218" i="32" s="1"/>
  <c r="S262" i="32" a="1"/>
  <c r="S262" i="32" s="1"/>
  <c r="E262" i="32" s="1"/>
  <c r="R178" i="32" a="1"/>
  <c r="R178" i="32" s="1"/>
  <c r="D178" i="32" s="1"/>
  <c r="V166" i="32" a="1"/>
  <c r="V166" i="32" s="1"/>
  <c r="L166" i="32" s="1"/>
  <c r="T134" i="32" a="1"/>
  <c r="T134" i="32" s="1"/>
  <c r="T174" i="32" a="1"/>
  <c r="T174" i="32" s="1"/>
  <c r="R290" i="32" a="1"/>
  <c r="R290" i="32" s="1"/>
  <c r="D290" i="32" s="1"/>
  <c r="V88" i="32" a="1"/>
  <c r="V88" i="32" s="1"/>
  <c r="L88" i="32" s="1"/>
  <c r="S196" i="32" a="1"/>
  <c r="S196" i="32" s="1"/>
  <c r="E196" i="32" s="1"/>
  <c r="R184" i="32" a="1"/>
  <c r="R184" i="32" s="1"/>
  <c r="D184" i="32" s="1"/>
  <c r="S176" i="32" a="1"/>
  <c r="S176" i="32" s="1"/>
  <c r="E176" i="32" s="1"/>
  <c r="R208" i="32" a="1"/>
  <c r="R208" i="32" s="1"/>
  <c r="D208" i="32" s="1"/>
  <c r="V258" i="32" a="1"/>
  <c r="V258" i="32" s="1"/>
  <c r="L258" i="32" s="1"/>
  <c r="T122" i="32" a="1"/>
  <c r="T122" i="32" s="1"/>
  <c r="V222" i="32" a="1"/>
  <c r="V222" i="32" s="1"/>
  <c r="L222" i="32" s="1"/>
  <c r="S268" i="32" a="1"/>
  <c r="S268" i="32" s="1"/>
  <c r="E268" i="32" s="1"/>
  <c r="R164" i="32" a="1"/>
  <c r="R164" i="32" s="1"/>
  <c r="D164" i="32" s="1"/>
  <c r="R286" i="32" a="1"/>
  <c r="R286" i="32" s="1"/>
  <c r="D286" i="32" s="1"/>
  <c r="V274" i="32" a="1"/>
  <c r="V274" i="32" s="1"/>
  <c r="L274" i="32" s="1"/>
  <c r="R228" i="32" a="1"/>
  <c r="R228" i="32" s="1"/>
  <c r="D228" i="32" s="1"/>
  <c r="T258" i="32" a="1"/>
  <c r="T258" i="32" s="1"/>
  <c r="T74" i="32" a="1"/>
  <c r="T74" i="32" s="1"/>
  <c r="R142" i="32" a="1"/>
  <c r="R142" i="32" s="1"/>
  <c r="D142" i="32" s="1"/>
  <c r="S102" i="32" a="1"/>
  <c r="S102" i="32" s="1"/>
  <c r="E102" i="32" s="1"/>
  <c r="T232" i="32" a="1"/>
  <c r="T232" i="32" s="1"/>
  <c r="V282" i="32" a="1"/>
  <c r="V282" i="32" s="1"/>
  <c r="L282" i="32" s="1"/>
  <c r="S304" i="32" a="1"/>
  <c r="S304" i="32" s="1"/>
  <c r="E304" i="32" s="1"/>
  <c r="R170" i="32" a="1"/>
  <c r="R170" i="32" s="1"/>
  <c r="D170" i="32" s="1"/>
  <c r="S264" i="32" a="1"/>
  <c r="S264" i="32" s="1"/>
  <c r="E264" i="32" s="1"/>
  <c r="T286" i="32" a="1"/>
  <c r="T286" i="32" s="1"/>
  <c r="R284" i="32" a="1"/>
  <c r="R284" i="32" s="1"/>
  <c r="D284" i="32" s="1"/>
  <c r="R262" i="32" a="1"/>
  <c r="R262" i="32" s="1"/>
  <c r="D262" i="32" s="1"/>
  <c r="R232" i="32" a="1"/>
  <c r="R232" i="32" s="1"/>
  <c r="D232" i="32" s="1"/>
  <c r="S210" i="32" a="1"/>
  <c r="S210" i="32" s="1"/>
  <c r="E210" i="32" s="1"/>
  <c r="R300" i="32" a="1"/>
  <c r="R300" i="32" s="1"/>
  <c r="D300" i="32" s="1"/>
  <c r="T266" i="32" a="1"/>
  <c r="T266" i="32" s="1"/>
  <c r="R280" i="32" a="1"/>
  <c r="R280" i="32" s="1"/>
  <c r="D280" i="32" s="1"/>
  <c r="R244" i="32" a="1"/>
  <c r="R244" i="32" s="1"/>
  <c r="D244" i="32" s="1"/>
  <c r="S168" i="32" a="1"/>
  <c r="S168" i="32" s="1"/>
  <c r="E168" i="32" s="1"/>
  <c r="V188" i="32" a="1"/>
  <c r="V188" i="32" s="1"/>
  <c r="L188" i="32" s="1"/>
  <c r="T276" i="32" a="1"/>
  <c r="T276" i="32" s="1"/>
  <c r="V264" i="32" a="1"/>
  <c r="V264" i="32" s="1"/>
  <c r="L264" i="32" s="1"/>
  <c r="S246" i="32" a="1"/>
  <c r="S246" i="32" s="1"/>
  <c r="E246" i="32" s="1"/>
  <c r="T110" i="32" a="1"/>
  <c r="T110" i="32" s="1"/>
  <c r="R66" i="32" a="1"/>
  <c r="R66" i="32" s="1"/>
  <c r="D66" i="32" s="1"/>
  <c r="S118" i="32" a="1"/>
  <c r="S118" i="32" s="1"/>
  <c r="E118" i="32" s="1"/>
  <c r="S288" i="32" a="1"/>
  <c r="S288" i="32" s="1"/>
  <c r="E288" i="32" s="1"/>
  <c r="S128" i="32" a="1"/>
  <c r="S128" i="32" s="1"/>
  <c r="E128" i="32" s="1"/>
  <c r="V276" i="32" a="1"/>
  <c r="V276" i="32" s="1"/>
  <c r="L276" i="32" s="1"/>
  <c r="V198" i="32" a="1"/>
  <c r="V198" i="32" s="1"/>
  <c r="L198" i="32" s="1"/>
  <c r="R144" i="32" a="1"/>
  <c r="R144" i="32" s="1"/>
  <c r="D144" i="32" s="1"/>
  <c r="R54" i="32" a="1"/>
  <c r="R54" i="32" s="1"/>
  <c r="D54" i="32" s="1"/>
  <c r="V140" i="32" a="1"/>
  <c r="V140" i="32" s="1"/>
  <c r="L140" i="32" s="1"/>
  <c r="S120" i="32" a="1"/>
  <c r="S120" i="32" s="1"/>
  <c r="E120" i="32" s="1"/>
  <c r="S298" i="32" a="1"/>
  <c r="S298" i="32" s="1"/>
  <c r="E298" i="32" s="1"/>
  <c r="R180" i="32" a="1"/>
  <c r="R180" i="32" s="1"/>
  <c r="D180" i="32" s="1"/>
  <c r="S174" i="32" a="1"/>
  <c r="S174" i="32" s="1"/>
  <c r="E174" i="32" s="1"/>
  <c r="R206" i="32" a="1"/>
  <c r="R206" i="32" s="1"/>
  <c r="D206" i="32" s="1"/>
  <c r="R274" i="32" a="1"/>
  <c r="R274" i="32" s="1"/>
  <c r="D274" i="32" s="1"/>
  <c r="T194" i="32" a="1"/>
  <c r="T194" i="32" s="1"/>
  <c r="T230" i="32" a="1"/>
  <c r="T230" i="32" s="1"/>
  <c r="S208" i="32" a="1"/>
  <c r="S208" i="32" s="1"/>
  <c r="E208" i="32" s="1"/>
  <c r="S92" i="32" a="1"/>
  <c r="S92" i="32" s="1"/>
  <c r="E92" i="32" s="1"/>
  <c r="S50" i="32" a="1"/>
  <c r="S50" i="32" s="1"/>
  <c r="E50" i="32" s="1"/>
  <c r="S108" i="32" a="1"/>
  <c r="S108" i="32" s="1"/>
  <c r="E108" i="32" s="1"/>
  <c r="R282" i="32" a="1"/>
  <c r="R282" i="32" s="1"/>
  <c r="D282" i="32" s="1"/>
  <c r="R58" i="32" a="1"/>
  <c r="R58" i="32" s="1"/>
  <c r="D58" i="32" s="1"/>
  <c r="V254" i="32" a="1"/>
  <c r="V254" i="32" s="1"/>
  <c r="L254" i="32" s="1"/>
  <c r="S124" i="32" a="1"/>
  <c r="S124" i="32" s="1"/>
  <c r="E124" i="32" s="1"/>
  <c r="V170" i="32" a="1"/>
  <c r="V170" i="32" s="1"/>
  <c r="L170" i="32" s="1"/>
  <c r="T180" i="32" a="1"/>
  <c r="T180" i="32" s="1"/>
  <c r="T82" i="32" a="1"/>
  <c r="T82" i="32" s="1"/>
  <c r="R176" i="32" a="1"/>
  <c r="R176" i="32" s="1"/>
  <c r="D176" i="32" s="1"/>
  <c r="V50" i="32" a="1"/>
  <c r="V50" i="32" s="1"/>
  <c r="L50" i="32" s="1"/>
  <c r="V146" i="32" a="1"/>
  <c r="V146" i="32" s="1"/>
  <c r="L146" i="32" s="1"/>
  <c r="V246" i="32" a="1"/>
  <c r="V246" i="32" s="1"/>
  <c r="L246" i="32" s="1"/>
  <c r="T58" i="32" a="1"/>
  <c r="T58" i="32" s="1"/>
  <c r="V66" i="32" a="1"/>
  <c r="V66" i="32" s="1"/>
  <c r="L66" i="32" s="1"/>
  <c r="R204" i="32" a="1"/>
  <c r="R204" i="32" s="1"/>
  <c r="D204" i="32" s="1"/>
  <c r="S78" i="32" a="1"/>
  <c r="S78" i="32" s="1"/>
  <c r="E78" i="32" s="1"/>
  <c r="T150" i="32" a="1"/>
  <c r="T150" i="32" s="1"/>
  <c r="S266" i="32" a="1"/>
  <c r="S266" i="32" s="1"/>
  <c r="E266" i="32" s="1"/>
  <c r="T104" i="32" a="1"/>
  <c r="T104" i="32" s="1"/>
  <c r="T272" i="32" a="1"/>
  <c r="T272" i="32" s="1"/>
  <c r="R102" i="32" a="1"/>
  <c r="R102" i="32" s="1"/>
  <c r="D102" i="32" s="1"/>
  <c r="S302" i="32" a="1"/>
  <c r="S302" i="32" s="1"/>
  <c r="E302" i="32" s="1"/>
  <c r="R94" i="32" a="1"/>
  <c r="R94" i="32" s="1"/>
  <c r="D94" i="32" s="1"/>
  <c r="T66" i="32" a="1"/>
  <c r="T66" i="32" s="1"/>
  <c r="V208" i="32" a="1"/>
  <c r="V208" i="32" s="1"/>
  <c r="L208" i="32" s="1"/>
  <c r="R200" i="32" a="1"/>
  <c r="R200" i="32" s="1"/>
  <c r="D200" i="32" s="1"/>
  <c r="R288" i="32" a="1"/>
  <c r="R288" i="32" s="1"/>
  <c r="D288" i="32" s="1"/>
  <c r="T262" i="32" a="1"/>
  <c r="T262" i="32" s="1"/>
  <c r="S272" i="32" a="1"/>
  <c r="S272" i="32" s="1"/>
  <c r="E272" i="32" s="1"/>
  <c r="R248" i="32" a="1"/>
  <c r="R248" i="32" s="1"/>
  <c r="D248" i="32" s="1"/>
  <c r="S62" i="32" a="1"/>
  <c r="S62" i="32" s="1"/>
  <c r="E62" i="32" s="1"/>
  <c r="R210" i="32" a="1"/>
  <c r="R210" i="32" s="1"/>
  <c r="D210" i="32" s="1"/>
  <c r="T252" i="32" a="1"/>
  <c r="T252" i="32" s="1"/>
  <c r="V92" i="32" a="1"/>
  <c r="V92" i="32" s="1"/>
  <c r="L92" i="32" s="1"/>
  <c r="S284" i="32" a="1"/>
  <c r="S284" i="32" s="1"/>
  <c r="E284" i="32" s="1"/>
  <c r="T98" i="32" a="1"/>
  <c r="T98" i="32" s="1"/>
  <c r="S212" i="32" a="1"/>
  <c r="S212" i="32" s="1"/>
  <c r="E212" i="32" s="1"/>
  <c r="T132" i="32" a="1"/>
  <c r="T132" i="32" s="1"/>
  <c r="S200" i="32" a="1"/>
  <c r="S200" i="32" s="1"/>
  <c r="E200" i="32" s="1"/>
  <c r="T78" i="32" a="1"/>
  <c r="T78" i="32" s="1"/>
  <c r="R112" i="32" a="1"/>
  <c r="R112" i="32" s="1"/>
  <c r="D112" i="32" s="1"/>
  <c r="T216" i="32" a="1"/>
  <c r="T216" i="32" s="1"/>
  <c r="V104" i="32" a="1"/>
  <c r="V104" i="32" s="1"/>
  <c r="L104" i="32" s="1"/>
  <c r="T156" i="32" a="1"/>
  <c r="T156" i="32" s="1"/>
  <c r="V206" i="32" a="1"/>
  <c r="V206" i="32" s="1"/>
  <c r="L206" i="32" s="1"/>
  <c r="V308" i="32" a="1"/>
  <c r="V308" i="32" s="1"/>
  <c r="L308" i="32" s="1"/>
  <c r="R174" i="32" a="1"/>
  <c r="R174" i="32" s="1"/>
  <c r="D174" i="32" s="1"/>
  <c r="S86" i="32" a="1"/>
  <c r="S86" i="32" s="1"/>
  <c r="E86" i="32" s="1"/>
  <c r="R230" i="32" a="1"/>
  <c r="R230" i="32" s="1"/>
  <c r="D230" i="32" s="1"/>
  <c r="T238" i="32" a="1"/>
  <c r="T238" i="32" s="1"/>
  <c r="S256" i="32" a="1"/>
  <c r="S256" i="32" s="1"/>
  <c r="E256" i="32" s="1"/>
  <c r="V54" i="32" a="1"/>
  <c r="V54" i="32" s="1"/>
  <c r="L54" i="32" s="1"/>
  <c r="V296" i="32" a="1"/>
  <c r="V296" i="32" s="1"/>
  <c r="L296" i="32" s="1"/>
  <c r="V30" i="32" a="1"/>
  <c r="V30" i="32" s="1"/>
  <c r="L30" i="32" s="1"/>
  <c r="V475" i="32" a="1"/>
  <c r="V475" i="32" s="1"/>
  <c r="AJ160" i="1"/>
  <c r="AJ147" i="1"/>
  <c r="AJ129" i="1"/>
  <c r="AJ170" i="1"/>
  <c r="AJ139" i="1"/>
  <c r="V386" i="32" a="1"/>
  <c r="V386" i="32" s="1"/>
  <c r="L386" i="32" s="1"/>
  <c r="AJ145" i="1"/>
  <c r="AJ134" i="1"/>
  <c r="AJ156" i="1"/>
  <c r="V509" i="32" a="1"/>
  <c r="V509" i="32" s="1"/>
  <c r="T496" i="32" a="1"/>
  <c r="T496" i="32" s="1"/>
  <c r="V34" i="32" a="1"/>
  <c r="V34" i="32" s="1"/>
  <c r="L34" i="32" s="1"/>
  <c r="S12" i="32" a="1"/>
  <c r="S12" i="32" s="1"/>
  <c r="E12" i="32" s="1"/>
  <c r="F1342" i="27" s="1"/>
  <c r="T536" i="32" a="1"/>
  <c r="T536" i="32" s="1"/>
  <c r="S540" i="32" a="1"/>
  <c r="S540" i="32" s="1"/>
  <c r="E540" i="32" s="1"/>
  <c r="S564" i="32" a="1"/>
  <c r="S564" i="32" s="1"/>
  <c r="E564" i="32" s="1"/>
  <c r="V477" i="32" a="1"/>
  <c r="V477" i="32" s="1"/>
  <c r="V397" i="32" a="1"/>
  <c r="V397" i="32" s="1"/>
  <c r="V608" i="32" a="1"/>
  <c r="V608" i="32" s="1"/>
  <c r="L608" i="32" s="1"/>
  <c r="V561" i="32" a="1"/>
  <c r="V561" i="32" s="1"/>
  <c r="V331" i="32" a="1"/>
  <c r="V331" i="32" s="1"/>
  <c r="V604" i="32" a="1"/>
  <c r="V604" i="32" s="1"/>
  <c r="L604" i="32" s="1"/>
  <c r="V552" i="32" a="1"/>
  <c r="V552" i="32" s="1"/>
  <c r="L552" i="32" s="1"/>
  <c r="V574" i="32" a="1"/>
  <c r="V574" i="32" s="1"/>
  <c r="L574" i="32" s="1"/>
  <c r="AJ161" i="1"/>
  <c r="AJ132" i="1"/>
  <c r="T10" i="32" a="1"/>
  <c r="T10" i="32" s="1"/>
  <c r="M1341" i="27" s="1"/>
  <c r="A1341" i="27" s="1"/>
  <c r="V162" i="32" a="1"/>
  <c r="V162" i="32" s="1"/>
  <c r="L162" i="32" s="1"/>
  <c r="S162" i="32" a="1"/>
  <c r="S162" i="32" s="1"/>
  <c r="E162" i="32" s="1"/>
  <c r="T12" i="32" a="1"/>
  <c r="T12" i="32" s="1"/>
  <c r="M1342" i="27" s="1"/>
  <c r="A1342" i="27" s="1"/>
  <c r="R508" i="32" a="1"/>
  <c r="R508" i="32" s="1"/>
  <c r="D508" i="32" s="1"/>
  <c r="R596" i="32" a="1"/>
  <c r="R596" i="32" s="1"/>
  <c r="D596" i="32" s="1"/>
  <c r="F2861" i="27"/>
  <c r="E50" i="1"/>
  <c r="H271" i="24" s="1"/>
  <c r="N146" i="24"/>
  <c r="A25" i="24"/>
  <c r="H146" i="27"/>
  <c r="H145" i="27"/>
  <c r="H370" i="27"/>
  <c r="H369" i="27"/>
  <c r="H304" i="27"/>
  <c r="H305" i="27" s="1"/>
  <c r="H306" i="27" s="1"/>
  <c r="H307" i="27" s="1"/>
  <c r="H308" i="27" s="1"/>
  <c r="H303" i="27"/>
  <c r="H79" i="27"/>
  <c r="H80" i="27"/>
  <c r="H81" i="27" s="1"/>
  <c r="H82" i="27" s="1"/>
  <c r="H83" i="27" s="1"/>
  <c r="H84" i="27" s="1"/>
  <c r="J488" i="27"/>
  <c r="A488" i="27" s="1"/>
  <c r="J2024" i="27"/>
  <c r="H2024" i="27"/>
  <c r="K2024" i="27"/>
  <c r="K1425" i="27"/>
  <c r="G2024" i="27"/>
  <c r="E2024" i="27"/>
  <c r="P2024" i="27"/>
  <c r="I2024" i="27"/>
  <c r="O2024" i="27"/>
  <c r="N2024" i="27"/>
  <c r="K1426" i="27"/>
  <c r="F2412" i="27"/>
  <c r="F2413" i="27"/>
  <c r="F2414" i="27" s="1"/>
  <c r="F2415" i="27" s="1"/>
  <c r="F2416" i="27" s="1"/>
  <c r="F2417" i="27" s="1"/>
  <c r="H507" i="27"/>
  <c r="C32" i="19" a="1"/>
  <c r="C32" i="19" s="1"/>
  <c r="C33" i="19" s="1" a="1"/>
  <c r="C33" i="19" s="1"/>
  <c r="H713" i="27"/>
  <c r="H291" i="24"/>
  <c r="AF7" i="34"/>
  <c r="A29" i="24"/>
  <c r="S147" i="24"/>
  <c r="V2" i="27"/>
  <c r="AG11" i="31" s="1"/>
  <c r="H259" i="24"/>
  <c r="R146" i="24"/>
  <c r="A30" i="24"/>
  <c r="H251" i="24"/>
  <c r="H243" i="24"/>
  <c r="C29" i="24"/>
  <c r="H299" i="24"/>
  <c r="AJ7" i="33"/>
  <c r="R147" i="24"/>
  <c r="C30" i="24"/>
  <c r="H227" i="24"/>
  <c r="H275" i="24"/>
  <c r="U2" i="27"/>
  <c r="AI11" i="30" s="1"/>
  <c r="H283" i="24"/>
  <c r="E496" i="32"/>
  <c r="L12" i="29" a="1"/>
  <c r="L12" i="29" s="1"/>
  <c r="H34" i="16" a="1"/>
  <c r="H34" i="16" s="1"/>
  <c r="U633" i="32"/>
  <c r="J167" i="16" a="1"/>
  <c r="J167" i="16" s="1"/>
  <c r="I168" i="16" a="1"/>
  <c r="I168" i="16" s="1"/>
  <c r="C489" i="27"/>
  <c r="B490" i="27"/>
  <c r="L409" i="27"/>
  <c r="L361" i="27"/>
  <c r="L427" i="27"/>
  <c r="L421" i="27"/>
  <c r="L373" i="27"/>
  <c r="L385" i="27"/>
  <c r="L433" i="27"/>
  <c r="L397" i="27"/>
  <c r="L391" i="27"/>
  <c r="L379" i="27"/>
  <c r="L439" i="27"/>
  <c r="L403" i="27"/>
  <c r="L367" i="27"/>
  <c r="L445" i="27"/>
  <c r="L415" i="27"/>
  <c r="B168" i="16" a="1"/>
  <c r="B168" i="16" s="1"/>
  <c r="AE134" i="1" a="1"/>
  <c r="AE134" i="1" s="1"/>
  <c r="F14" i="16" a="1"/>
  <c r="F14" i="16" s="1"/>
  <c r="F15" i="16" s="1" a="1"/>
  <c r="F15" i="16" s="1"/>
  <c r="E478" i="32"/>
  <c r="D218" i="20"/>
  <c r="C219" i="20"/>
  <c r="E484" i="32"/>
  <c r="C230" i="20"/>
  <c r="D230" i="20" s="1"/>
  <c r="D229" i="20"/>
  <c r="C258" i="20"/>
  <c r="D257" i="20"/>
  <c r="L2292" i="27"/>
  <c r="G25" i="27"/>
  <c r="AL19" i="30"/>
  <c r="P25" i="27"/>
  <c r="K712" i="27"/>
  <c r="G749" i="27"/>
  <c r="H25" i="27"/>
  <c r="D488" i="27"/>
  <c r="I146" i="27"/>
  <c r="R489" i="27"/>
  <c r="I489" i="27"/>
  <c r="O2292" i="27"/>
  <c r="BC21" i="34"/>
  <c r="J25" i="27"/>
  <c r="F489" i="27"/>
  <c r="E19" i="31"/>
  <c r="A20" i="32"/>
  <c r="L489" i="27"/>
  <c r="V489" i="27"/>
  <c r="K711" i="27"/>
  <c r="Q25" i="27"/>
  <c r="D2292" i="27"/>
  <c r="M489" i="27"/>
  <c r="O489" i="27"/>
  <c r="P2292" i="27"/>
  <c r="A631" i="32"/>
  <c r="AI21" i="31"/>
  <c r="E19" i="30"/>
  <c r="G20" i="32"/>
  <c r="M22" i="27" a="1"/>
  <c r="E25" i="27"/>
  <c r="J489" i="27" a="1"/>
  <c r="G489" i="27"/>
  <c r="M2292" i="27"/>
  <c r="P489" i="27"/>
  <c r="J2860" i="27"/>
  <c r="U489" i="27"/>
  <c r="F25" i="27"/>
  <c r="Q249" i="27"/>
  <c r="L25" i="27"/>
  <c r="H249" i="27"/>
  <c r="BD21" i="34"/>
  <c r="G19" i="33"/>
  <c r="R25" i="27"/>
  <c r="BD19" i="33"/>
  <c r="O24" i="27"/>
  <c r="D23" i="27"/>
  <c r="K25" i="27"/>
  <c r="J712" i="27"/>
  <c r="K489" i="27"/>
  <c r="T489" i="27"/>
  <c r="G631" i="32"/>
  <c r="Q489" i="27"/>
  <c r="A326" i="32"/>
  <c r="J2292" i="27"/>
  <c r="H2861" i="27"/>
  <c r="M25" i="27" a="1"/>
  <c r="N489" i="27"/>
  <c r="N2292" i="27"/>
  <c r="J711" i="27"/>
  <c r="H2860" i="27"/>
  <c r="K2860" i="27"/>
  <c r="F2292" i="27"/>
  <c r="E489" i="27"/>
  <c r="G326" i="32"/>
  <c r="I370" i="27"/>
  <c r="H118" i="24" l="1"/>
  <c r="AM124" i="1"/>
  <c r="AK124" i="1"/>
  <c r="AL124" i="1"/>
  <c r="S14" i="32" a="1"/>
  <c r="S14" i="32" s="1"/>
  <c r="E14" i="32" s="1"/>
  <c r="F1343" i="27" s="1"/>
  <c r="R34" i="32" a="1"/>
  <c r="R34" i="32" s="1"/>
  <c r="D34" i="32" s="1"/>
  <c r="S34" i="32" a="1"/>
  <c r="S34" i="32" s="1"/>
  <c r="E34" i="32" s="1"/>
  <c r="T14" i="32" a="1"/>
  <c r="T14" i="32" s="1"/>
  <c r="M1343" i="27" s="1"/>
  <c r="A1343" i="27" s="1"/>
  <c r="V14" i="32" a="1"/>
  <c r="V14" i="32" s="1"/>
  <c r="L14" i="32" s="1"/>
  <c r="M22" i="27"/>
  <c r="A22" i="27" s="1"/>
  <c r="E159" i="24"/>
  <c r="L1042" i="27"/>
  <c r="H1042" i="27"/>
  <c r="N1042" i="27"/>
  <c r="K1042" i="27"/>
  <c r="G1042" i="27"/>
  <c r="I1042" i="27"/>
  <c r="O1042" i="27"/>
  <c r="J1042" i="27"/>
  <c r="E1042" i="27"/>
  <c r="K892" i="27"/>
  <c r="H64" i="24"/>
  <c r="U330" i="32"/>
  <c r="I11" i="16" a="1"/>
  <c r="I11" i="16" s="1"/>
  <c r="AJ23" i="30"/>
  <c r="AH25" i="31"/>
  <c r="H12" i="16" a="1"/>
  <c r="H12" i="16" s="1"/>
  <c r="H13" i="16" s="1" a="1"/>
  <c r="H13" i="16" s="1"/>
  <c r="BA23" i="33"/>
  <c r="AM146" i="1"/>
  <c r="AM130" i="1"/>
  <c r="AK164" i="1"/>
  <c r="AK147" i="1"/>
  <c r="AK135" i="1"/>
  <c r="AM145" i="1"/>
  <c r="AL143" i="1"/>
  <c r="AM151" i="1"/>
  <c r="AM148" i="1"/>
  <c r="AK140" i="1"/>
  <c r="AK150" i="1"/>
  <c r="AL171" i="1"/>
  <c r="AL135" i="1"/>
  <c r="M25" i="27"/>
  <c r="A25" i="27" s="1"/>
  <c r="A2292" i="27"/>
  <c r="H1346" i="27"/>
  <c r="O1346" i="27"/>
  <c r="I1346" i="27"/>
  <c r="E1346" i="27"/>
  <c r="K1196" i="27"/>
  <c r="G1346" i="27"/>
  <c r="L1346" i="27"/>
  <c r="N1346" i="27"/>
  <c r="J1346" i="27"/>
  <c r="K1346" i="27"/>
  <c r="AK128" i="1"/>
  <c r="AK152" i="1"/>
  <c r="AL159" i="1"/>
  <c r="AL132" i="1"/>
  <c r="AM160" i="1"/>
  <c r="AM170" i="1"/>
  <c r="AM129" i="1"/>
  <c r="AK162" i="1"/>
  <c r="AK142" i="1"/>
  <c r="AK172" i="1"/>
  <c r="AM166" i="1"/>
  <c r="AK153" i="1"/>
  <c r="AM131" i="1"/>
  <c r="AL161" i="1"/>
  <c r="AK171" i="1"/>
  <c r="AK170" i="1"/>
  <c r="AL164" i="1"/>
  <c r="AL136" i="1"/>
  <c r="AK158" i="1"/>
  <c r="AL170" i="1"/>
  <c r="AL129" i="1"/>
  <c r="AM169" i="1"/>
  <c r="AM153" i="1"/>
  <c r="AL163" i="1"/>
  <c r="AK126" i="1"/>
  <c r="AL127" i="1"/>
  <c r="AK148" i="1"/>
  <c r="AL146" i="1"/>
  <c r="AK156" i="1"/>
  <c r="AM126" i="1"/>
  <c r="AK141" i="1"/>
  <c r="AM149" i="1"/>
  <c r="AL147" i="1"/>
  <c r="AK169" i="1"/>
  <c r="AL150" i="1"/>
  <c r="AM168" i="1"/>
  <c r="AM150" i="1"/>
  <c r="AL152" i="1"/>
  <c r="AK159" i="1"/>
  <c r="AK149" i="1"/>
  <c r="AM161" i="1"/>
  <c r="AL168" i="1"/>
  <c r="AL128" i="1"/>
  <c r="AM133" i="1"/>
  <c r="AK132" i="1"/>
  <c r="AK165" i="1"/>
  <c r="AM164" i="1"/>
  <c r="AK154" i="1"/>
  <c r="AM165" i="1"/>
  <c r="AK145" i="1"/>
  <c r="AK127" i="1"/>
  <c r="AK173" i="1"/>
  <c r="AK138" i="1"/>
  <c r="AM147" i="1"/>
  <c r="AL140" i="1"/>
  <c r="AL130" i="1"/>
  <c r="AM127" i="1"/>
  <c r="AM163" i="1"/>
  <c r="AL173" i="1"/>
  <c r="AM139" i="1"/>
  <c r="AL131" i="1"/>
  <c r="AK166" i="1"/>
  <c r="B235" i="27"/>
  <c r="I234" i="27"/>
  <c r="AL142" i="1"/>
  <c r="AL156" i="1"/>
  <c r="AM172" i="1"/>
  <c r="AL162" i="1"/>
  <c r="AM132" i="1"/>
  <c r="AK133" i="1"/>
  <c r="AM173" i="1"/>
  <c r="AL172" i="1"/>
  <c r="AM154" i="1"/>
  <c r="AM138" i="1"/>
  <c r="AL138" i="1"/>
  <c r="AM141" i="1"/>
  <c r="AK146" i="1"/>
  <c r="B2294" i="27"/>
  <c r="P791" i="32"/>
  <c r="Q789" i="32"/>
  <c r="AL158" i="1"/>
  <c r="AM174" i="1"/>
  <c r="AL167" i="1"/>
  <c r="AM136" i="1"/>
  <c r="AM134" i="1"/>
  <c r="AK130" i="1"/>
  <c r="P18" i="32"/>
  <c r="Q16" i="32"/>
  <c r="AM128" i="1"/>
  <c r="AL149" i="1"/>
  <c r="AK160" i="1"/>
  <c r="AM158" i="1"/>
  <c r="AM142" i="1"/>
  <c r="AL154" i="1"/>
  <c r="AM155" i="1"/>
  <c r="AL125" i="1"/>
  <c r="AL151" i="1"/>
  <c r="AL157" i="1"/>
  <c r="AM143" i="1"/>
  <c r="AK139" i="1"/>
  <c r="AM152" i="1"/>
  <c r="AK144" i="1"/>
  <c r="AK136" i="1"/>
  <c r="AL139" i="1"/>
  <c r="AL141" i="1"/>
  <c r="AL174" i="1"/>
  <c r="I27" i="27"/>
  <c r="AL145" i="1"/>
  <c r="AL169" i="1"/>
  <c r="AK143" i="1"/>
  <c r="AK163" i="1"/>
  <c r="AK129" i="1"/>
  <c r="AK168" i="1"/>
  <c r="AM140" i="1"/>
  <c r="AK151" i="1"/>
  <c r="AK131" i="1"/>
  <c r="AM156" i="1"/>
  <c r="AK174" i="1"/>
  <c r="AM125" i="1"/>
  <c r="AL160" i="1"/>
  <c r="AL133" i="1"/>
  <c r="AM135" i="1"/>
  <c r="AL165" i="1"/>
  <c r="AK137" i="1"/>
  <c r="AM167" i="1"/>
  <c r="AL148" i="1"/>
  <c r="AM157" i="1"/>
  <c r="AK161" i="1"/>
  <c r="AK155" i="1"/>
  <c r="AL153" i="1"/>
  <c r="AL134" i="1"/>
  <c r="AM159" i="1"/>
  <c r="AL126" i="1"/>
  <c r="Q709" i="32"/>
  <c r="P711" i="32"/>
  <c r="P38" i="32"/>
  <c r="Q36" i="32"/>
  <c r="U24" i="32"/>
  <c r="AM171" i="1"/>
  <c r="AL144" i="1"/>
  <c r="AL166" i="1"/>
  <c r="AK134" i="1"/>
  <c r="AM144" i="1"/>
  <c r="AK125" i="1"/>
  <c r="AN125" i="1" s="1"/>
  <c r="AM162" i="1"/>
  <c r="AM137" i="1"/>
  <c r="AL137" i="1"/>
  <c r="AL155" i="1"/>
  <c r="AK167" i="1"/>
  <c r="AK157" i="1"/>
  <c r="AY23" i="34"/>
  <c r="B29" i="27"/>
  <c r="C28" i="27"/>
  <c r="A2860" i="27"/>
  <c r="P839" i="32"/>
  <c r="Q837" i="32"/>
  <c r="Q753" i="32"/>
  <c r="P755" i="32"/>
  <c r="P637" i="32"/>
  <c r="Q635" i="32"/>
  <c r="R406" i="32" a="1"/>
  <c r="R406" i="32" s="1"/>
  <c r="D406" i="32" s="1"/>
  <c r="V406" i="32" a="1"/>
  <c r="V406" i="32" s="1"/>
  <c r="L406" i="32" s="1"/>
  <c r="T406" i="32" a="1"/>
  <c r="T406" i="32" s="1"/>
  <c r="S406" i="32" a="1"/>
  <c r="S406" i="32" s="1"/>
  <c r="E406" i="32" s="1"/>
  <c r="P410" i="32"/>
  <c r="Q408" i="32"/>
  <c r="G16" i="24"/>
  <c r="H231" i="24"/>
  <c r="H279" i="24"/>
  <c r="H255" i="24"/>
  <c r="H287" i="24"/>
  <c r="P392" i="32"/>
  <c r="Q390" i="32"/>
  <c r="S364" i="32" a="1"/>
  <c r="S364" i="32" s="1"/>
  <c r="E364" i="32" s="1"/>
  <c r="V364" i="32" a="1"/>
  <c r="V364" i="32" s="1"/>
  <c r="L364" i="32" s="1"/>
  <c r="R364" i="32" a="1"/>
  <c r="R364" i="32" s="1"/>
  <c r="D364" i="32" s="1"/>
  <c r="T364" i="32" a="1"/>
  <c r="T364" i="32" s="1"/>
  <c r="T388" i="32" a="1"/>
  <c r="T388" i="32" s="1"/>
  <c r="R388" i="32" a="1"/>
  <c r="R388" i="32" s="1"/>
  <c r="D388" i="32" s="1"/>
  <c r="V388" i="32" a="1"/>
  <c r="V388" i="32" s="1"/>
  <c r="L388" i="32" s="1"/>
  <c r="S388" i="32" a="1"/>
  <c r="S388" i="32" s="1"/>
  <c r="E388" i="32" s="1"/>
  <c r="Q366" i="32"/>
  <c r="P368" i="32"/>
  <c r="D239" i="20"/>
  <c r="C240" i="20"/>
  <c r="S324" i="32" a="1"/>
  <c r="S324" i="32" s="1"/>
  <c r="E324" i="32" s="1"/>
  <c r="R324" i="32" a="1"/>
  <c r="R324" i="32" s="1"/>
  <c r="D324" i="32" s="1"/>
  <c r="V324" i="32" a="1"/>
  <c r="V324" i="32" s="1"/>
  <c r="L324" i="32" s="1"/>
  <c r="T324" i="32" a="1"/>
  <c r="T324" i="32" s="1"/>
  <c r="M1041" i="27" s="1"/>
  <c r="A1041" i="27" s="1"/>
  <c r="Q326" i="32"/>
  <c r="P328" i="32"/>
  <c r="Q673" i="32"/>
  <c r="P675" i="32"/>
  <c r="C34" i="19" a="1"/>
  <c r="C34" i="19" s="1"/>
  <c r="C35" i="19" s="1" a="1"/>
  <c r="C35" i="19" s="1"/>
  <c r="C36" i="19" s="1" a="1"/>
  <c r="C36" i="19" s="1"/>
  <c r="C37" i="19" s="1" a="1"/>
  <c r="C37" i="19" s="1"/>
  <c r="C38" i="19" s="1" a="1"/>
  <c r="C38" i="19" s="1"/>
  <c r="C39" i="19" s="1" a="1"/>
  <c r="C39" i="19" s="1"/>
  <c r="C40" i="19" s="1" a="1"/>
  <c r="C40" i="19" s="1"/>
  <c r="C41" i="19" s="1" a="1"/>
  <c r="C41" i="19" s="1"/>
  <c r="C42" i="19" s="1" a="1"/>
  <c r="C42" i="19" s="1"/>
  <c r="C43" i="19" s="1" a="1"/>
  <c r="C43" i="19" s="1"/>
  <c r="C44" i="19" s="1" a="1"/>
  <c r="C44" i="19" s="1"/>
  <c r="C45" i="19" s="1" a="1"/>
  <c r="C45" i="19" s="1"/>
  <c r="C46" i="19" s="1" a="1"/>
  <c r="C46" i="19" s="1"/>
  <c r="C47" i="19" s="1" a="1"/>
  <c r="C47" i="19" s="1"/>
  <c r="C48" i="19" s="1" a="1"/>
  <c r="C48" i="19" s="1"/>
  <c r="C49" i="19" s="1" a="1"/>
  <c r="C49" i="19" s="1"/>
  <c r="C50" i="19" s="1" a="1"/>
  <c r="C50" i="19" s="1"/>
  <c r="C51" i="19" s="1" a="1"/>
  <c r="C51" i="19" s="1"/>
  <c r="C52" i="19" s="1" a="1"/>
  <c r="C52" i="19" s="1"/>
  <c r="C53" i="19" s="1" a="1"/>
  <c r="C53" i="19" s="1"/>
  <c r="C54" i="19" s="1" a="1"/>
  <c r="C54" i="19" s="1"/>
  <c r="C55" i="19" s="1" a="1"/>
  <c r="C55" i="19" s="1"/>
  <c r="C56" i="19" s="1" a="1"/>
  <c r="C56" i="19" s="1"/>
  <c r="C57" i="19" s="1" a="1"/>
  <c r="C57" i="19" s="1"/>
  <c r="C58" i="19" s="1" a="1"/>
  <c r="C58" i="19" s="1"/>
  <c r="C59" i="19" s="1" a="1"/>
  <c r="C59" i="19" s="1"/>
  <c r="C60" i="19" s="1" a="1"/>
  <c r="C60" i="19" s="1"/>
  <c r="C61" i="19" s="1" a="1"/>
  <c r="C61" i="19" s="1"/>
  <c r="C62" i="19" s="1" a="1"/>
  <c r="C62" i="19" s="1"/>
  <c r="C63" i="19" s="1" a="1"/>
  <c r="C63" i="19" s="1"/>
  <c r="C64" i="19" s="1" a="1"/>
  <c r="C64" i="19" s="1"/>
  <c r="C65" i="19" s="1" a="1"/>
  <c r="C65" i="19" s="1"/>
  <c r="C66" i="19" s="1" a="1"/>
  <c r="C66" i="19" s="1"/>
  <c r="C67" i="19" s="1" a="1"/>
  <c r="C67" i="19" s="1"/>
  <c r="C68" i="19" s="1" a="1"/>
  <c r="C68" i="19" s="1"/>
  <c r="C69" i="19" s="1" a="1"/>
  <c r="C69" i="19" s="1"/>
  <c r="C70" i="19" s="1" a="1"/>
  <c r="C70" i="19" s="1"/>
  <c r="C71" i="19" s="1" a="1"/>
  <c r="C71" i="19" s="1"/>
  <c r="C72" i="19" s="1" a="1"/>
  <c r="C72" i="19" s="1"/>
  <c r="C73" i="19" s="1" a="1"/>
  <c r="C73" i="19" s="1"/>
  <c r="C74" i="19" s="1" a="1"/>
  <c r="C74" i="19" s="1"/>
  <c r="C75" i="19" s="1" a="1"/>
  <c r="C75" i="19" s="1"/>
  <c r="C76" i="19" s="1" a="1"/>
  <c r="C76" i="19" s="1"/>
  <c r="C77" i="19" s="1" a="1"/>
  <c r="C77" i="19" s="1"/>
  <c r="C78" i="19" s="1" a="1"/>
  <c r="C78" i="19" s="1"/>
  <c r="C79" i="19" s="1" a="1"/>
  <c r="C79" i="19" s="1"/>
  <c r="C80" i="19" s="1" a="1"/>
  <c r="C80" i="19" s="1"/>
  <c r="C81" i="19" s="1" a="1"/>
  <c r="C81" i="19" s="1"/>
  <c r="C82" i="19" s="1" a="1"/>
  <c r="C82" i="19" s="1"/>
  <c r="C83" i="19" s="1" a="1"/>
  <c r="C83" i="19" s="1"/>
  <c r="C84" i="19" s="1" a="1"/>
  <c r="C84" i="19" s="1"/>
  <c r="C85" i="19" s="1" a="1"/>
  <c r="C85" i="19" s="1"/>
  <c r="C86" i="19" s="1" a="1"/>
  <c r="C86" i="19" s="1"/>
  <c r="C87" i="19" s="1" a="1"/>
  <c r="C87" i="19" s="1"/>
  <c r="C88" i="19" s="1" a="1"/>
  <c r="C88" i="19" s="1"/>
  <c r="C89" i="19" s="1" a="1"/>
  <c r="C89" i="19" s="1"/>
  <c r="C90" i="19" s="1" a="1"/>
  <c r="C90" i="19" s="1"/>
  <c r="C91" i="19" s="1" a="1"/>
  <c r="C91" i="19" s="1"/>
  <c r="C92" i="19" s="1" a="1"/>
  <c r="C92" i="19" s="1"/>
  <c r="C93" i="19" s="1" a="1"/>
  <c r="C93" i="19" s="1"/>
  <c r="C94" i="19" s="1" a="1"/>
  <c r="C94" i="19" s="1"/>
  <c r="C95" i="19" s="1" a="1"/>
  <c r="C95" i="19" s="1"/>
  <c r="C96" i="19" s="1" a="1"/>
  <c r="C96" i="19" s="1"/>
  <c r="C97" i="19" s="1" a="1"/>
  <c r="C97" i="19" s="1"/>
  <c r="C98" i="19" s="1" a="1"/>
  <c r="C98" i="19" s="1"/>
  <c r="C99" i="19" s="1" a="1"/>
  <c r="C99" i="19" s="1"/>
  <c r="C100" i="19" s="1" a="1"/>
  <c r="C100" i="19" s="1"/>
  <c r="C101" i="19" s="1" a="1"/>
  <c r="C101" i="19" s="1"/>
  <c r="C102" i="19" s="1" a="1"/>
  <c r="C102" i="19" s="1"/>
  <c r="C103" i="19" s="1" a="1"/>
  <c r="C103" i="19" s="1"/>
  <c r="C104" i="19" s="1" a="1"/>
  <c r="C104" i="19" s="1"/>
  <c r="C105" i="19" s="1" a="1"/>
  <c r="C105" i="19" s="1"/>
  <c r="C106" i="19" s="1" a="1"/>
  <c r="C106" i="19" s="1"/>
  <c r="C107" i="19" s="1" a="1"/>
  <c r="C107" i="19" s="1"/>
  <c r="C108" i="19" s="1" a="1"/>
  <c r="C108" i="19" s="1"/>
  <c r="C109" i="19" s="1" a="1"/>
  <c r="C109" i="19" s="1"/>
  <c r="C110" i="19" s="1" a="1"/>
  <c r="C110" i="19" s="1"/>
  <c r="C111" i="19" s="1" a="1"/>
  <c r="C111" i="19" s="1"/>
  <c r="C112" i="19" s="1" a="1"/>
  <c r="C112" i="19" s="1"/>
  <c r="C113" i="19" s="1" a="1"/>
  <c r="C113" i="19" s="1"/>
  <c r="C114" i="19" s="1" a="1"/>
  <c r="C114" i="19" s="1"/>
  <c r="C115" i="19" s="1" a="1"/>
  <c r="C115" i="19" s="1"/>
  <c r="C116" i="19" s="1" a="1"/>
  <c r="C116" i="19" s="1"/>
  <c r="C117" i="19" s="1" a="1"/>
  <c r="C117" i="19" s="1"/>
  <c r="C118" i="19" s="1" a="1"/>
  <c r="C118" i="19" s="1"/>
  <c r="C119" i="19" s="1" a="1"/>
  <c r="C119" i="19" s="1"/>
  <c r="C120" i="19" s="1" a="1"/>
  <c r="C120" i="19" s="1"/>
  <c r="C121" i="19" s="1" a="1"/>
  <c r="C121" i="19" s="1"/>
  <c r="C122" i="19" s="1" a="1"/>
  <c r="C122" i="19" s="1"/>
  <c r="C123" i="19" s="1" a="1"/>
  <c r="C123" i="19" s="1"/>
  <c r="C124" i="19" s="1" a="1"/>
  <c r="C124" i="19" s="1"/>
  <c r="C125" i="19" s="1" a="1"/>
  <c r="C125" i="19" s="1"/>
  <c r="C126" i="19" s="1" a="1"/>
  <c r="C126" i="19" s="1"/>
  <c r="C127" i="19" s="1" a="1"/>
  <c r="C127" i="19" s="1"/>
  <c r="C128" i="19" s="1" a="1"/>
  <c r="C128" i="19" s="1"/>
  <c r="C129" i="19" s="1" a="1"/>
  <c r="C129" i="19" s="1"/>
  <c r="C130" i="19" s="1" a="1"/>
  <c r="C130" i="19" s="1"/>
  <c r="C131" i="19" s="1" a="1"/>
  <c r="C131" i="19" s="1"/>
  <c r="C132" i="19" s="1" a="1"/>
  <c r="C132" i="19" s="1"/>
  <c r="C133" i="19" s="1" a="1"/>
  <c r="C133" i="19" s="1"/>
  <c r="C134" i="19" s="1" a="1"/>
  <c r="C134" i="19" s="1"/>
  <c r="C135" i="19" s="1" a="1"/>
  <c r="C135" i="19" s="1"/>
  <c r="C136" i="19" s="1" a="1"/>
  <c r="C136" i="19" s="1"/>
  <c r="C137" i="19" s="1" a="1"/>
  <c r="C137" i="19" s="1"/>
  <c r="C138" i="19" s="1" a="1"/>
  <c r="C138" i="19" s="1"/>
  <c r="C139" i="19" s="1" a="1"/>
  <c r="C139" i="19" s="1"/>
  <c r="C140" i="19" s="1" a="1"/>
  <c r="C140" i="19" s="1"/>
  <c r="C141" i="19" s="1" a="1"/>
  <c r="C141" i="19" s="1"/>
  <c r="C142" i="19" s="1" a="1"/>
  <c r="C142" i="19" s="1"/>
  <c r="C143" i="19" s="1" a="1"/>
  <c r="C143" i="19" s="1"/>
  <c r="C144" i="19" s="1" a="1"/>
  <c r="C144" i="19" s="1"/>
  <c r="C145" i="19" s="1" a="1"/>
  <c r="C145" i="19" s="1"/>
  <c r="C146" i="19" s="1" a="1"/>
  <c r="C146" i="19" s="1"/>
  <c r="C147" i="19" s="1" a="1"/>
  <c r="C147" i="19" s="1"/>
  <c r="C148" i="19" s="1" a="1"/>
  <c r="C148" i="19" s="1"/>
  <c r="C149" i="19" s="1" a="1"/>
  <c r="C149" i="19" s="1"/>
  <c r="C150" i="19" s="1" a="1"/>
  <c r="C150" i="19" s="1"/>
  <c r="C151" i="19" s="1" a="1"/>
  <c r="C151" i="19" s="1"/>
  <c r="C152" i="19" s="1" a="1"/>
  <c r="C152" i="19" s="1"/>
  <c r="C153" i="19" s="1" a="1"/>
  <c r="C153" i="19" s="1"/>
  <c r="C154" i="19" s="1" a="1"/>
  <c r="C154" i="19" s="1"/>
  <c r="C155" i="19" s="1" a="1"/>
  <c r="C155" i="19" s="1"/>
  <c r="C156" i="19" s="1" a="1"/>
  <c r="C156" i="19" s="1"/>
  <c r="C157" i="19" s="1" a="1"/>
  <c r="C157" i="19" s="1"/>
  <c r="C158" i="19" s="1" a="1"/>
  <c r="C158" i="19" s="1"/>
  <c r="C159" i="19" s="1" a="1"/>
  <c r="C159" i="19" s="1"/>
  <c r="C160" i="19" s="1" a="1"/>
  <c r="C160" i="19" s="1"/>
  <c r="C161" i="19" s="1" a="1"/>
  <c r="C161" i="19" s="1"/>
  <c r="C162" i="19" s="1" a="1"/>
  <c r="C162" i="19" s="1"/>
  <c r="C163" i="19" s="1" a="1"/>
  <c r="C163" i="19" s="1"/>
  <c r="C164" i="19" s="1" a="1"/>
  <c r="C164" i="19" s="1"/>
  <c r="C165" i="19" s="1" a="1"/>
  <c r="C165" i="19" s="1"/>
  <c r="C166" i="19" s="1" a="1"/>
  <c r="C166" i="19" s="1"/>
  <c r="C167" i="19" s="1" a="1"/>
  <c r="C167" i="19" s="1"/>
  <c r="C168" i="19" s="1" a="1"/>
  <c r="C168" i="19" s="1"/>
  <c r="C169" i="19" s="1" a="1"/>
  <c r="C169" i="19" s="1"/>
  <c r="C170" i="19" s="1" a="1"/>
  <c r="C170" i="19" s="1"/>
  <c r="C171" i="19" s="1" a="1"/>
  <c r="C171" i="19" s="1"/>
  <c r="C172" i="19" s="1" a="1"/>
  <c r="C172" i="19" s="1"/>
  <c r="C173" i="19" s="1" a="1"/>
  <c r="C173" i="19" s="1"/>
  <c r="C174" i="19" s="1" a="1"/>
  <c r="C174" i="19" s="1"/>
  <c r="C175" i="19" s="1" a="1"/>
  <c r="C175" i="19" s="1"/>
  <c r="C176" i="19" s="1" a="1"/>
  <c r="C176" i="19" s="1"/>
  <c r="C177" i="19" s="1" a="1"/>
  <c r="C177" i="19" s="1"/>
  <c r="C178" i="19" s="1" a="1"/>
  <c r="C178" i="19" s="1"/>
  <c r="C179" i="19" s="1" a="1"/>
  <c r="C179" i="19" s="1"/>
  <c r="C180" i="19" s="1" a="1"/>
  <c r="C180" i="19" s="1"/>
  <c r="C181" i="19" s="1" a="1"/>
  <c r="C181" i="19" s="1"/>
  <c r="C182" i="19" s="1" a="1"/>
  <c r="C182" i="19" s="1"/>
  <c r="C183" i="19" s="1" a="1"/>
  <c r="C183" i="19" s="1"/>
  <c r="C184" i="19" s="1" a="1"/>
  <c r="C184" i="19" s="1"/>
  <c r="C185" i="19" s="1" a="1"/>
  <c r="C185" i="19" s="1"/>
  <c r="C186" i="19" s="1" a="1"/>
  <c r="C186" i="19" s="1"/>
  <c r="C187" i="19" s="1" a="1"/>
  <c r="C187" i="19" s="1"/>
  <c r="C188" i="19" s="1" a="1"/>
  <c r="C188" i="19" s="1"/>
  <c r="C189" i="19" s="1" a="1"/>
  <c r="C189" i="19" s="1"/>
  <c r="C190" i="19" s="1" a="1"/>
  <c r="C190" i="19" s="1"/>
  <c r="C191" i="19" s="1" a="1"/>
  <c r="C191" i="19" s="1"/>
  <c r="C192" i="19" s="1" a="1"/>
  <c r="C192" i="19" s="1"/>
  <c r="C193" i="19" s="1" a="1"/>
  <c r="C193" i="19" s="1"/>
  <c r="C194" i="19" s="1" a="1"/>
  <c r="C194" i="19" s="1"/>
  <c r="C195" i="19" s="1" a="1"/>
  <c r="C195" i="19" s="1"/>
  <c r="C196" i="19" s="1" a="1"/>
  <c r="C196" i="19" s="1"/>
  <c r="C197" i="19" s="1" a="1"/>
  <c r="C197" i="19" s="1"/>
  <c r="C198" i="19" s="1" a="1"/>
  <c r="C198" i="19" s="1"/>
  <c r="C199" i="19" s="1" a="1"/>
  <c r="C199" i="19" s="1"/>
  <c r="C200" i="19" s="1" a="1"/>
  <c r="C200" i="19" s="1"/>
  <c r="C201" i="19" s="1" a="1"/>
  <c r="C201" i="19" s="1"/>
  <c r="C202" i="19" s="1" a="1"/>
  <c r="C202" i="19" s="1"/>
  <c r="C203" i="19" s="1" a="1"/>
  <c r="C203" i="19" s="1"/>
  <c r="C204" i="19" s="1" a="1"/>
  <c r="C204" i="19" s="1"/>
  <c r="C205" i="19" s="1" a="1"/>
  <c r="C205" i="19" s="1"/>
  <c r="C206" i="19" s="1" a="1"/>
  <c r="C206" i="19" s="1"/>
  <c r="C207" i="19" s="1" a="1"/>
  <c r="C207" i="19" s="1"/>
  <c r="C208" i="19" s="1" a="1"/>
  <c r="C208" i="19" s="1"/>
  <c r="C209" i="19" s="1" a="1"/>
  <c r="C209" i="19" s="1"/>
  <c r="C210" i="19" s="1" a="1"/>
  <c r="C210" i="19" s="1"/>
  <c r="C211" i="19" s="1" a="1"/>
  <c r="C211" i="19" s="1"/>
  <c r="C212" i="19" s="1" a="1"/>
  <c r="C212" i="19" s="1"/>
  <c r="C213" i="19" s="1" a="1"/>
  <c r="C213" i="19" s="1"/>
  <c r="C214" i="19" s="1" a="1"/>
  <c r="C214" i="19" s="1"/>
  <c r="C215" i="19" s="1" a="1"/>
  <c r="C215" i="19" s="1"/>
  <c r="C216" i="19" s="1" a="1"/>
  <c r="C216" i="19" s="1"/>
  <c r="C217" i="19" s="1" a="1"/>
  <c r="C217" i="19" s="1"/>
  <c r="C218" i="19" s="1" a="1"/>
  <c r="C218" i="19" s="1"/>
  <c r="C219" i="19" s="1" a="1"/>
  <c r="C219" i="19" s="1"/>
  <c r="C220" i="19" s="1" a="1"/>
  <c r="C220" i="19" s="1"/>
  <c r="C221" i="19" s="1" a="1"/>
  <c r="C221" i="19" s="1"/>
  <c r="C222" i="19" s="1" a="1"/>
  <c r="C222" i="19" s="1"/>
  <c r="C223" i="19" s="1" a="1"/>
  <c r="C223" i="19" s="1"/>
  <c r="C224" i="19" s="1" a="1"/>
  <c r="C224" i="19" s="1"/>
  <c r="C225" i="19" s="1" a="1"/>
  <c r="C225" i="19" s="1"/>
  <c r="C226" i="19" s="1" a="1"/>
  <c r="C226" i="19" s="1"/>
  <c r="C227" i="19" s="1" a="1"/>
  <c r="C227" i="19" s="1"/>
  <c r="C228" i="19" s="1" a="1"/>
  <c r="C228" i="19" s="1"/>
  <c r="C229" i="19" s="1" a="1"/>
  <c r="C229" i="19" s="1"/>
  <c r="C230" i="19" s="1" a="1"/>
  <c r="C230" i="19" s="1"/>
  <c r="C231" i="19" s="1" a="1"/>
  <c r="C231" i="19" s="1"/>
  <c r="C232" i="19" s="1" a="1"/>
  <c r="C232" i="19" s="1"/>
  <c r="C233" i="19" s="1" a="1"/>
  <c r="C233" i="19" s="1"/>
  <c r="C234" i="19" s="1" a="1"/>
  <c r="C234" i="19" s="1"/>
  <c r="C235" i="19" s="1" a="1"/>
  <c r="C235" i="19" s="1"/>
  <c r="C236" i="19" s="1" a="1"/>
  <c r="C236" i="19" s="1"/>
  <c r="C237" i="19" s="1" a="1"/>
  <c r="C237" i="19" s="1"/>
  <c r="C238" i="19" s="1" a="1"/>
  <c r="C238" i="19" s="1"/>
  <c r="C239" i="19" s="1" a="1"/>
  <c r="C239" i="19" s="1"/>
  <c r="C240" i="19" s="1" a="1"/>
  <c r="C240" i="19" s="1"/>
  <c r="C241" i="19" s="1" a="1"/>
  <c r="C241" i="19" s="1"/>
  <c r="C242" i="19" s="1" a="1"/>
  <c r="C242" i="19" s="1"/>
  <c r="C243" i="19" s="1" a="1"/>
  <c r="C243" i="19" s="1"/>
  <c r="C244" i="19" s="1" a="1"/>
  <c r="C244" i="19" s="1"/>
  <c r="C245" i="19" s="1" a="1"/>
  <c r="C245" i="19" s="1"/>
  <c r="C246" i="19" s="1" a="1"/>
  <c r="C246" i="19" s="1"/>
  <c r="C247" i="19" s="1" a="1"/>
  <c r="C247" i="19" s="1"/>
  <c r="C248" i="19" s="1" a="1"/>
  <c r="C248" i="19" s="1"/>
  <c r="C249" i="19" s="1" a="1"/>
  <c r="C249" i="19" s="1"/>
  <c r="C250" i="19" s="1" a="1"/>
  <c r="C250" i="19" s="1"/>
  <c r="C251" i="19" s="1" a="1"/>
  <c r="C251" i="19" s="1"/>
  <c r="C252" i="19" s="1" a="1"/>
  <c r="C252" i="19" s="1"/>
  <c r="C253" i="19" s="1" a="1"/>
  <c r="C253" i="19" s="1"/>
  <c r="C254" i="19" s="1" a="1"/>
  <c r="C254" i="19" s="1"/>
  <c r="C255" i="19" s="1" a="1"/>
  <c r="C255" i="19" s="1"/>
  <c r="C256" i="19" s="1" a="1"/>
  <c r="C256" i="19" s="1"/>
  <c r="C257" i="19" s="1" a="1"/>
  <c r="C257" i="19" s="1"/>
  <c r="C258" i="19" s="1" a="1"/>
  <c r="C258" i="19" s="1"/>
  <c r="C259" i="19" s="1" a="1"/>
  <c r="C259" i="19" s="1"/>
  <c r="C260" i="19" s="1" a="1"/>
  <c r="C260" i="19" s="1"/>
  <c r="C261" i="19" s="1" a="1"/>
  <c r="C261" i="19" s="1"/>
  <c r="C262" i="19" s="1" a="1"/>
  <c r="C262" i="19" s="1"/>
  <c r="C263" i="19" s="1" a="1"/>
  <c r="C263" i="19" s="1"/>
  <c r="C264" i="19" s="1" a="1"/>
  <c r="C264" i="19" s="1"/>
  <c r="C265" i="19" s="1" a="1"/>
  <c r="C265" i="19" s="1"/>
  <c r="C266" i="19" s="1" a="1"/>
  <c r="C266" i="19" s="1"/>
  <c r="C267" i="19" s="1" a="1"/>
  <c r="C267" i="19" s="1"/>
  <c r="C268" i="19" s="1" a="1"/>
  <c r="C268" i="19" s="1"/>
  <c r="C269" i="19" s="1" a="1"/>
  <c r="C269" i="19" s="1"/>
  <c r="C270" i="19" s="1" a="1"/>
  <c r="C270" i="19" s="1"/>
  <c r="C271" i="19" s="1" a="1"/>
  <c r="C271" i="19" s="1"/>
  <c r="C272" i="19" s="1" a="1"/>
  <c r="C272" i="19" s="1"/>
  <c r="C273" i="19" s="1" a="1"/>
  <c r="C273" i="19" s="1"/>
  <c r="C274" i="19" s="1" a="1"/>
  <c r="C274" i="19" s="1"/>
  <c r="C275" i="19" s="1" a="1"/>
  <c r="C275" i="19" s="1"/>
  <c r="C276" i="19" s="1" a="1"/>
  <c r="C276" i="19" s="1"/>
  <c r="C277" i="19" s="1" a="1"/>
  <c r="C277" i="19" s="1"/>
  <c r="C278" i="19" s="1" a="1"/>
  <c r="C278" i="19" s="1"/>
  <c r="C279" i="19" s="1" a="1"/>
  <c r="C279" i="19" s="1"/>
  <c r="C280" i="19" s="1" a="1"/>
  <c r="C280" i="19" s="1"/>
  <c r="C281" i="19" s="1" a="1"/>
  <c r="C281" i="19" s="1"/>
  <c r="C282" i="19" s="1" a="1"/>
  <c r="C282" i="19" s="1"/>
  <c r="C283" i="19" s="1" a="1"/>
  <c r="C283" i="19" s="1"/>
  <c r="C284" i="19" s="1" a="1"/>
  <c r="C284" i="19" s="1"/>
  <c r="C285" i="19" s="1" a="1"/>
  <c r="C285" i="19" s="1"/>
  <c r="C286" i="19" s="1" a="1"/>
  <c r="C286" i="19" s="1"/>
  <c r="C287" i="19" s="1" a="1"/>
  <c r="C287" i="19" s="1"/>
  <c r="C288" i="19" s="1" a="1"/>
  <c r="C288" i="19" s="1"/>
  <c r="C289" i="19" s="1" a="1"/>
  <c r="C289" i="19" s="1"/>
  <c r="C290" i="19" s="1" a="1"/>
  <c r="C290" i="19" s="1"/>
  <c r="C291" i="19" s="1" a="1"/>
  <c r="C291" i="19" s="1"/>
  <c r="C292" i="19" s="1" a="1"/>
  <c r="C292" i="19" s="1"/>
  <c r="C293" i="19" s="1" a="1"/>
  <c r="C293" i="19" s="1"/>
  <c r="F35" i="16" a="1"/>
  <c r="F35" i="16" s="1"/>
  <c r="F2863" i="27"/>
  <c r="F2862" i="27"/>
  <c r="H239" i="24"/>
  <c r="P7" i="34"/>
  <c r="H247" i="24"/>
  <c r="H263" i="24"/>
  <c r="H223" i="24"/>
  <c r="H295" i="24"/>
  <c r="A51" i="1"/>
  <c r="U7" i="33"/>
  <c r="C25" i="24"/>
  <c r="T50" i="1"/>
  <c r="N147" i="24"/>
  <c r="N50" i="1"/>
  <c r="H86" i="27"/>
  <c r="H87" i="27" s="1"/>
  <c r="H88" i="27" s="1"/>
  <c r="H89" i="27" s="1"/>
  <c r="H90" i="27" s="1"/>
  <c r="H85" i="27"/>
  <c r="H310" i="27"/>
  <c r="H311" i="27" s="1"/>
  <c r="H312" i="27" s="1"/>
  <c r="H313" i="27" s="1"/>
  <c r="H314" i="27" s="1"/>
  <c r="H309" i="27"/>
  <c r="H371" i="27"/>
  <c r="H147" i="27"/>
  <c r="J489" i="27"/>
  <c r="A489" i="27" s="1"/>
  <c r="C490" i="27"/>
  <c r="B491" i="27"/>
  <c r="L13" i="29" a="1"/>
  <c r="L13" i="29" s="1"/>
  <c r="U635" i="32"/>
  <c r="H714" i="27"/>
  <c r="D219" i="20"/>
  <c r="C220" i="20"/>
  <c r="C259" i="20"/>
  <c r="D258" i="20"/>
  <c r="J168" i="16" a="1"/>
  <c r="J168" i="16" s="1"/>
  <c r="H508" i="27"/>
  <c r="I24" i="29"/>
  <c r="I25" i="29" s="1"/>
  <c r="I26" i="29" s="1"/>
  <c r="I27" i="29" s="1"/>
  <c r="I28" i="29" s="1"/>
  <c r="I169" i="16" a="1"/>
  <c r="I169" i="16" s="1"/>
  <c r="J169" i="16" s="1" a="1"/>
  <c r="J169" i="16" s="1"/>
  <c r="AG13" i="31"/>
  <c r="F2419" i="27"/>
  <c r="F2420" i="27" s="1"/>
  <c r="F2421" i="27" s="1"/>
  <c r="F2422" i="27" s="1"/>
  <c r="F2423" i="27" s="1"/>
  <c r="F2418" i="27"/>
  <c r="B169" i="16" a="1"/>
  <c r="B169" i="16" s="1"/>
  <c r="AI13" i="30"/>
  <c r="F16" i="16" a="1"/>
  <c r="F16" i="16" s="1"/>
  <c r="F17" i="16" s="1" a="1"/>
  <c r="F17" i="16" s="1"/>
  <c r="F18" i="16" s="1" a="1"/>
  <c r="F18" i="16" s="1"/>
  <c r="I34" i="16" a="1"/>
  <c r="I34" i="16" s="1"/>
  <c r="H35" i="16" a="1"/>
  <c r="H35" i="16" s="1"/>
  <c r="AE135" i="1" a="1"/>
  <c r="AE135" i="1" s="1"/>
  <c r="Q490" i="27"/>
  <c r="G328" i="32"/>
  <c r="O2293" i="27"/>
  <c r="J370" i="27"/>
  <c r="J2861" i="27"/>
  <c r="N2293" i="27"/>
  <c r="M370" i="27"/>
  <c r="I2861" i="27"/>
  <c r="K490" i="27"/>
  <c r="P9" i="31"/>
  <c r="F490" i="27"/>
  <c r="M26" i="27" a="1"/>
  <c r="A328" i="32"/>
  <c r="V490" i="27"/>
  <c r="K2293" i="27"/>
  <c r="M490" i="27"/>
  <c r="X11" i="30"/>
  <c r="H26" i="27"/>
  <c r="G633" i="32"/>
  <c r="L26" i="27"/>
  <c r="G21" i="33"/>
  <c r="N490" i="27"/>
  <c r="L490" i="27"/>
  <c r="E490" i="27"/>
  <c r="AL21" i="30"/>
  <c r="AI23" i="31"/>
  <c r="M146" i="27"/>
  <c r="G22" i="32"/>
  <c r="N146" i="27"/>
  <c r="P490" i="27"/>
  <c r="I490" i="27"/>
  <c r="J26" i="27"/>
  <c r="P2293" i="27"/>
  <c r="BD21" i="33"/>
  <c r="E21" i="30"/>
  <c r="N370" i="27"/>
  <c r="L2293" i="27"/>
  <c r="D24" i="27"/>
  <c r="BC22" i="34"/>
  <c r="A22" i="32"/>
  <c r="J490" i="27" a="1"/>
  <c r="L9" i="31"/>
  <c r="K2863" i="27"/>
  <c r="F26" i="27"/>
  <c r="Q26" i="27"/>
  <c r="E26" i="27"/>
  <c r="R490" i="27"/>
  <c r="P26" i="27"/>
  <c r="X13" i="30"/>
  <c r="U490" i="27"/>
  <c r="J371" i="27"/>
  <c r="J146" i="27"/>
  <c r="Q250" i="27"/>
  <c r="J2293" i="27"/>
  <c r="X9" i="31"/>
  <c r="R26" i="27"/>
  <c r="H250" i="27"/>
  <c r="G490" i="27"/>
  <c r="J713" i="27"/>
  <c r="F2293" i="27"/>
  <c r="J147" i="27"/>
  <c r="K26" i="27"/>
  <c r="I2863" i="27"/>
  <c r="E21" i="31"/>
  <c r="I2862" i="27"/>
  <c r="T11" i="30"/>
  <c r="G750" i="27"/>
  <c r="D2293" i="27"/>
  <c r="BD22" i="34"/>
  <c r="K2861" i="27"/>
  <c r="D489" i="27"/>
  <c r="O490" i="27"/>
  <c r="A633" i="32"/>
  <c r="T490" i="27"/>
  <c r="K713" i="27"/>
  <c r="G26" i="27"/>
  <c r="M2293" i="27"/>
  <c r="H120" i="24" l="1"/>
  <c r="S108" i="24"/>
  <c r="Q108" i="24"/>
  <c r="P108" i="24"/>
  <c r="AN127" i="1"/>
  <c r="AN153" i="1"/>
  <c r="AN139" i="1"/>
  <c r="AN128" i="1"/>
  <c r="AN160" i="1"/>
  <c r="AN159" i="1"/>
  <c r="AN138" i="1"/>
  <c r="AN124" i="1"/>
  <c r="AN156" i="1"/>
  <c r="AN145" i="1"/>
  <c r="AN174" i="1"/>
  <c r="AN165" i="1"/>
  <c r="AN141" i="1"/>
  <c r="A2861" i="27"/>
  <c r="AN168" i="1"/>
  <c r="AN158" i="1"/>
  <c r="AN140" i="1"/>
  <c r="AN171" i="1"/>
  <c r="AN136" i="1"/>
  <c r="AN133" i="1"/>
  <c r="AN169" i="1"/>
  <c r="AN172" i="1"/>
  <c r="H66" i="24"/>
  <c r="I1043" i="27"/>
  <c r="K1043" i="27"/>
  <c r="K893" i="27"/>
  <c r="H1043" i="27"/>
  <c r="O1043" i="27"/>
  <c r="L1043" i="27"/>
  <c r="G1043" i="27"/>
  <c r="E1043" i="27"/>
  <c r="J1043" i="27"/>
  <c r="N1043" i="27"/>
  <c r="E161" i="24"/>
  <c r="I13" i="16" a="1"/>
  <c r="I13" i="16" s="1"/>
  <c r="I12" i="16" a="1"/>
  <c r="I12" i="16" s="1"/>
  <c r="H14" i="16" a="1"/>
  <c r="H14" i="16" s="1"/>
  <c r="AN137" i="1"/>
  <c r="BA25" i="33"/>
  <c r="AH27" i="31"/>
  <c r="AJ25" i="30"/>
  <c r="U332" i="32"/>
  <c r="AN142" i="1"/>
  <c r="AN152" i="1"/>
  <c r="AN157" i="1"/>
  <c r="AN149" i="1"/>
  <c r="AN130" i="1"/>
  <c r="AN143" i="1"/>
  <c r="AN134" i="1"/>
  <c r="AN164" i="1"/>
  <c r="AN162" i="1"/>
  <c r="AN147" i="1"/>
  <c r="AN167" i="1"/>
  <c r="AN126" i="1"/>
  <c r="AN150" i="1"/>
  <c r="AN135" i="1"/>
  <c r="AN154" i="1"/>
  <c r="AN161" i="1"/>
  <c r="AN146" i="1"/>
  <c r="AN170" i="1"/>
  <c r="AN148" i="1"/>
  <c r="AN129" i="1"/>
  <c r="AN163" i="1"/>
  <c r="AN173" i="1"/>
  <c r="AN132" i="1"/>
  <c r="AN151" i="1"/>
  <c r="AN131" i="1"/>
  <c r="A2293" i="27"/>
  <c r="M26" i="27"/>
  <c r="A26" i="27" s="1"/>
  <c r="Q791" i="32"/>
  <c r="P793" i="32"/>
  <c r="AY24" i="34"/>
  <c r="B236" i="27"/>
  <c r="I235" i="27"/>
  <c r="AN166" i="1"/>
  <c r="AN155" i="1"/>
  <c r="P20" i="32"/>
  <c r="Q18" i="32"/>
  <c r="B2295" i="27"/>
  <c r="I28" i="27"/>
  <c r="U26" i="32"/>
  <c r="R36" i="32" a="1"/>
  <c r="R36" i="32" s="1"/>
  <c r="D36" i="32" s="1"/>
  <c r="S36" i="32" a="1"/>
  <c r="S36" i="32" s="1"/>
  <c r="E36" i="32" s="1"/>
  <c r="V36" i="32" a="1"/>
  <c r="V36" i="32" s="1"/>
  <c r="L36" i="32" s="1"/>
  <c r="T36" i="32" a="1"/>
  <c r="T36" i="32" s="1"/>
  <c r="V16" i="32" a="1"/>
  <c r="V16" i="32" s="1"/>
  <c r="L16" i="32" s="1"/>
  <c r="R16" i="32" a="1"/>
  <c r="R16" i="32" s="1"/>
  <c r="D16" i="32" s="1"/>
  <c r="T16" i="32" a="1"/>
  <c r="T16" i="32" s="1"/>
  <c r="M1344" i="27" s="1"/>
  <c r="A1344" i="27" s="1"/>
  <c r="S16" i="32" a="1"/>
  <c r="S16" i="32" s="1"/>
  <c r="E16" i="32" s="1"/>
  <c r="F1344" i="27" s="1"/>
  <c r="P40" i="32"/>
  <c r="Q38" i="32"/>
  <c r="C29" i="27"/>
  <c r="B30" i="27"/>
  <c r="P713" i="32"/>
  <c r="Q711" i="32"/>
  <c r="AN144" i="1"/>
  <c r="P841" i="32"/>
  <c r="Q839" i="32"/>
  <c r="P639" i="32"/>
  <c r="Q637" i="32"/>
  <c r="P757" i="32"/>
  <c r="Q755" i="32"/>
  <c r="T408" i="32" a="1"/>
  <c r="T408" i="32" s="1"/>
  <c r="R408" i="32" a="1"/>
  <c r="R408" i="32" s="1"/>
  <c r="D408" i="32" s="1"/>
  <c r="S408" i="32" a="1"/>
  <c r="S408" i="32" s="1"/>
  <c r="E408" i="32" s="1"/>
  <c r="V408" i="32" a="1"/>
  <c r="V408" i="32" s="1"/>
  <c r="L408" i="32" s="1"/>
  <c r="P412" i="32"/>
  <c r="Q410" i="32"/>
  <c r="R390" i="32" a="1"/>
  <c r="R390" i="32" s="1"/>
  <c r="D390" i="32" s="1"/>
  <c r="T390" i="32" a="1"/>
  <c r="T390" i="32" s="1"/>
  <c r="V390" i="32" a="1"/>
  <c r="V390" i="32" s="1"/>
  <c r="L390" i="32" s="1"/>
  <c r="S390" i="32" a="1"/>
  <c r="S390" i="32" s="1"/>
  <c r="E390" i="32" s="1"/>
  <c r="P394" i="32"/>
  <c r="Q394" i="32" s="1"/>
  <c r="Q392" i="32"/>
  <c r="F36" i="16" a="1"/>
  <c r="F36" i="16" s="1"/>
  <c r="D240" i="20"/>
  <c r="C241" i="20"/>
  <c r="Q675" i="32"/>
  <c r="P677" i="32"/>
  <c r="Q328" i="32"/>
  <c r="P330" i="32"/>
  <c r="V326" i="32" a="1"/>
  <c r="V326" i="32" s="1"/>
  <c r="L326" i="32" s="1"/>
  <c r="R326" i="32" a="1"/>
  <c r="R326" i="32" s="1"/>
  <c r="D326" i="32" s="1"/>
  <c r="S326" i="32" a="1"/>
  <c r="S326" i="32" s="1"/>
  <c r="E326" i="32" s="1"/>
  <c r="T326" i="32" a="1"/>
  <c r="T326" i="32" s="1"/>
  <c r="M1042" i="27" s="1"/>
  <c r="A1042" i="27" s="1"/>
  <c r="P370" i="32"/>
  <c r="Q368" i="32"/>
  <c r="T366" i="32" a="1"/>
  <c r="T366" i="32" s="1"/>
  <c r="R366" i="32" a="1"/>
  <c r="R366" i="32" s="1"/>
  <c r="D366" i="32" s="1"/>
  <c r="S366" i="32" a="1"/>
  <c r="S366" i="32" s="1"/>
  <c r="E366" i="32" s="1"/>
  <c r="V366" i="32" a="1"/>
  <c r="V366" i="32" s="1"/>
  <c r="L366" i="32" s="1"/>
  <c r="F2864" i="27"/>
  <c r="AT173" i="24"/>
  <c r="AT181" i="24"/>
  <c r="AT189" i="24"/>
  <c r="AT151" i="24"/>
  <c r="AT159" i="24"/>
  <c r="AT199" i="24"/>
  <c r="AT161" i="24"/>
  <c r="AT175" i="24"/>
  <c r="AT183" i="24"/>
  <c r="AT153" i="24"/>
  <c r="AT185" i="24"/>
  <c r="AT163" i="24"/>
  <c r="AT177" i="24"/>
  <c r="AT201" i="24"/>
  <c r="AT187" i="24"/>
  <c r="AT155" i="24"/>
  <c r="AT169" i="24"/>
  <c r="AT205" i="24"/>
  <c r="AT171" i="24"/>
  <c r="AT179" i="24"/>
  <c r="AT193" i="24"/>
  <c r="AT195" i="24"/>
  <c r="AT203" i="24"/>
  <c r="AT165" i="24"/>
  <c r="AT197" i="24"/>
  <c r="AT191" i="24"/>
  <c r="AT149" i="24"/>
  <c r="AT157" i="24"/>
  <c r="AT167" i="24"/>
  <c r="E51" i="1"/>
  <c r="H232" i="24" s="1"/>
  <c r="X7" i="33"/>
  <c r="T7" i="34"/>
  <c r="A26" i="24"/>
  <c r="O146" i="24"/>
  <c r="H148" i="27"/>
  <c r="H372" i="27"/>
  <c r="H316" i="27"/>
  <c r="H317" i="27" s="1"/>
  <c r="H318" i="27" s="1"/>
  <c r="H319" i="27" s="1"/>
  <c r="H320" i="27" s="1"/>
  <c r="H315" i="27"/>
  <c r="H92" i="27"/>
  <c r="H93" i="27" s="1"/>
  <c r="H94" i="27" s="1"/>
  <c r="H95" i="27" s="1"/>
  <c r="H96" i="27" s="1"/>
  <c r="H91" i="27"/>
  <c r="J490" i="27"/>
  <c r="A490" i="27" s="1"/>
  <c r="R56" i="24"/>
  <c r="S56" i="24"/>
  <c r="P56" i="24"/>
  <c r="R110" i="24"/>
  <c r="Q56" i="24"/>
  <c r="I170" i="16" a="1"/>
  <c r="I170" i="16" s="1"/>
  <c r="H715" i="27"/>
  <c r="I35" i="16" a="1"/>
  <c r="I35" i="16" s="1"/>
  <c r="H36" i="16" a="1"/>
  <c r="H36" i="16" s="1"/>
  <c r="D220" i="20"/>
  <c r="C221" i="20"/>
  <c r="U637" i="32"/>
  <c r="C260" i="20"/>
  <c r="D259" i="20"/>
  <c r="C491" i="27"/>
  <c r="B492" i="27"/>
  <c r="AE136" i="1" a="1"/>
  <c r="AE136" i="1" s="1"/>
  <c r="AE137" i="1" s="1" a="1"/>
  <c r="AE137" i="1" s="1"/>
  <c r="AE138" i="1" s="1" a="1"/>
  <c r="AE138" i="1" s="1"/>
  <c r="I29" i="29"/>
  <c r="I30" i="29" s="1"/>
  <c r="I31" i="29" s="1"/>
  <c r="I32" i="29" s="1"/>
  <c r="I33" i="29" s="1"/>
  <c r="I34" i="29" s="1"/>
  <c r="B170" i="16" a="1"/>
  <c r="B170" i="16" s="1"/>
  <c r="H509" i="27"/>
  <c r="AI15" i="30"/>
  <c r="L14" i="29" a="1"/>
  <c r="L14" i="29" s="1"/>
  <c r="L15" i="29" s="1" a="1"/>
  <c r="L15" i="29" s="1"/>
  <c r="L16" i="29" s="1" a="1"/>
  <c r="L16" i="29" s="1"/>
  <c r="L17" i="29" s="1" a="1"/>
  <c r="L17" i="29" s="1"/>
  <c r="F2424" i="27"/>
  <c r="F2425" i="27"/>
  <c r="F2426" i="27" s="1"/>
  <c r="F2427" i="27" s="1"/>
  <c r="F2428" i="27" s="1"/>
  <c r="F2429" i="27" s="1"/>
  <c r="AG15" i="31"/>
  <c r="J2294" i="27"/>
  <c r="E27" i="27"/>
  <c r="H251" i="27"/>
  <c r="N2294" i="27"/>
  <c r="P11" i="31"/>
  <c r="N371" i="27"/>
  <c r="L491" i="27"/>
  <c r="E23" i="31"/>
  <c r="M2294" i="27"/>
  <c r="K143" i="27"/>
  <c r="K366" i="27"/>
  <c r="K2294" i="27"/>
  <c r="K27" i="27"/>
  <c r="J491" i="27" a="1"/>
  <c r="E23" i="30"/>
  <c r="D2294" i="27"/>
  <c r="O2294" i="27"/>
  <c r="BD23" i="34"/>
  <c r="F27" i="27"/>
  <c r="K359" i="27"/>
  <c r="I371" i="27"/>
  <c r="K714" i="27"/>
  <c r="J2862" i="27"/>
  <c r="K358" i="27"/>
  <c r="AL23" i="30"/>
  <c r="L11" i="31"/>
  <c r="G635" i="32"/>
  <c r="D25" i="27"/>
  <c r="J2863" i="27"/>
  <c r="K140" i="27"/>
  <c r="K491" i="27"/>
  <c r="AI25" i="31"/>
  <c r="H27" i="27"/>
  <c r="Q27" i="27"/>
  <c r="BD23" i="33"/>
  <c r="G491" i="27"/>
  <c r="O491" i="27"/>
  <c r="M371" i="27"/>
  <c r="J714" i="27"/>
  <c r="K2862" i="27"/>
  <c r="G330" i="32"/>
  <c r="I147" i="27"/>
  <c r="G23" i="33"/>
  <c r="L27" i="27"/>
  <c r="D490" i="27"/>
  <c r="K142" i="27"/>
  <c r="BC23" i="34"/>
  <c r="X11" i="31"/>
  <c r="A635" i="32"/>
  <c r="N491" i="27"/>
  <c r="U491" i="27"/>
  <c r="P491" i="27"/>
  <c r="E491" i="27"/>
  <c r="K141" i="27"/>
  <c r="P27" i="27"/>
  <c r="G24" i="32"/>
  <c r="T491" i="27"/>
  <c r="O25" i="27"/>
  <c r="Q251" i="27"/>
  <c r="P2294" i="27"/>
  <c r="R491" i="27"/>
  <c r="H2862" i="27"/>
  <c r="Q491" i="27"/>
  <c r="M491" i="27"/>
  <c r="M27" i="27" a="1"/>
  <c r="K361" i="27"/>
  <c r="M372" i="27"/>
  <c r="I491" i="27"/>
  <c r="V491" i="27"/>
  <c r="A330" i="32"/>
  <c r="G27" i="27"/>
  <c r="I2864" i="27"/>
  <c r="L2294" i="27"/>
  <c r="N147" i="27"/>
  <c r="F491" i="27"/>
  <c r="M21" i="27" a="1"/>
  <c r="M147" i="27"/>
  <c r="H2863" i="27"/>
  <c r="A24" i="32"/>
  <c r="J27" i="27"/>
  <c r="G751" i="27"/>
  <c r="R27" i="27"/>
  <c r="F2294" i="27"/>
  <c r="M148" i="27"/>
  <c r="A358" i="27" l="1"/>
  <c r="A361" i="27"/>
  <c r="A359" i="27"/>
  <c r="H122" i="24"/>
  <c r="Q110" i="24"/>
  <c r="S110" i="24"/>
  <c r="P110" i="24"/>
  <c r="H68" i="24"/>
  <c r="M21" i="27"/>
  <c r="A21" i="27" s="1"/>
  <c r="E163" i="24"/>
  <c r="U334" i="32"/>
  <c r="AJ27" i="30"/>
  <c r="BA27" i="33"/>
  <c r="I14" i="16" a="1"/>
  <c r="I14" i="16" s="1"/>
  <c r="AH29" i="31"/>
  <c r="H15" i="16" a="1"/>
  <c r="H15" i="16" s="1"/>
  <c r="P2" i="29" a="1"/>
  <c r="P2" i="29" s="1"/>
  <c r="O2" i="29" s="1"/>
  <c r="A2863" i="27"/>
  <c r="M27" i="27"/>
  <c r="A27" i="27" s="1"/>
  <c r="A2294" i="27"/>
  <c r="U28" i="32"/>
  <c r="B237" i="27"/>
  <c r="I236" i="27"/>
  <c r="I29" i="27"/>
  <c r="AY25" i="34"/>
  <c r="R18" i="32" a="1"/>
  <c r="R18" i="32" s="1"/>
  <c r="D18" i="32" s="1"/>
  <c r="S18" i="32" a="1"/>
  <c r="S18" i="32" s="1"/>
  <c r="E18" i="32" s="1"/>
  <c r="F1345" i="27" s="1"/>
  <c r="V18" i="32" a="1"/>
  <c r="V18" i="32" s="1"/>
  <c r="L18" i="32" s="1"/>
  <c r="T18" i="32" a="1"/>
  <c r="T18" i="32" s="1"/>
  <c r="M1345" i="27" s="1"/>
  <c r="A1345" i="27" s="1"/>
  <c r="P795" i="32"/>
  <c r="Q793" i="32"/>
  <c r="P22" i="32"/>
  <c r="Q20" i="32"/>
  <c r="P715" i="32"/>
  <c r="Q713" i="32"/>
  <c r="C30" i="27"/>
  <c r="B31" i="27"/>
  <c r="B2296" i="27"/>
  <c r="S38" i="32" a="1"/>
  <c r="S38" i="32" s="1"/>
  <c r="E38" i="32" s="1"/>
  <c r="V38" i="32" a="1"/>
  <c r="V38" i="32" s="1"/>
  <c r="L38" i="32" s="1"/>
  <c r="R38" i="32" a="1"/>
  <c r="R38" i="32" s="1"/>
  <c r="D38" i="32" s="1"/>
  <c r="T38" i="32" a="1"/>
  <c r="T38" i="32" s="1"/>
  <c r="Q40" i="32"/>
  <c r="P42" i="32"/>
  <c r="A140" i="27"/>
  <c r="T140" i="27" s="1"/>
  <c r="A2862" i="27"/>
  <c r="A141" i="27"/>
  <c r="T141" i="27" s="1"/>
  <c r="A143" i="27"/>
  <c r="T143" i="27" s="1"/>
  <c r="A366" i="27"/>
  <c r="P843" i="32"/>
  <c r="Q841" i="32"/>
  <c r="P759" i="32"/>
  <c r="Q757" i="32"/>
  <c r="Q639" i="32"/>
  <c r="P641" i="32"/>
  <c r="T410" i="32" a="1"/>
  <c r="T410" i="32" s="1"/>
  <c r="S410" i="32" a="1"/>
  <c r="S410" i="32" s="1"/>
  <c r="E410" i="32" s="1"/>
  <c r="R410" i="32" a="1"/>
  <c r="R410" i="32" s="1"/>
  <c r="D410" i="32" s="1"/>
  <c r="V410" i="32" a="1"/>
  <c r="V410" i="32" s="1"/>
  <c r="L410" i="32" s="1"/>
  <c r="P414" i="32"/>
  <c r="Q412" i="32"/>
  <c r="A142" i="27"/>
  <c r="T142" i="27" s="1"/>
  <c r="H280" i="24"/>
  <c r="R368" i="32" a="1"/>
  <c r="R368" i="32" s="1"/>
  <c r="D368" i="32" s="1"/>
  <c r="T368" i="32" a="1"/>
  <c r="T368" i="32" s="1"/>
  <c r="S368" i="32" a="1"/>
  <c r="S368" i="32" s="1"/>
  <c r="E368" i="32" s="1"/>
  <c r="V368" i="32" a="1"/>
  <c r="V368" i="32" s="1"/>
  <c r="L368" i="32" s="1"/>
  <c r="P372" i="32"/>
  <c r="Q370" i="32"/>
  <c r="S394" i="32" a="1"/>
  <c r="S394" i="32" s="1"/>
  <c r="E394" i="32" s="1"/>
  <c r="T394" i="32" a="1"/>
  <c r="T394" i="32" s="1"/>
  <c r="V394" i="32" a="1"/>
  <c r="V394" i="32" s="1"/>
  <c r="L394" i="32" s="1"/>
  <c r="R394" i="32" a="1"/>
  <c r="R394" i="32" s="1"/>
  <c r="D394" i="32" s="1"/>
  <c r="L18" i="29" a="1"/>
  <c r="L18" i="29" s="1"/>
  <c r="L19" i="29" s="1" a="1"/>
  <c r="L19" i="29" s="1"/>
  <c r="L20" i="29" s="1" a="1"/>
  <c r="L20" i="29" s="1"/>
  <c r="L21" i="29" s="1" a="1"/>
  <c r="L21" i="29" s="1"/>
  <c r="L22" i="29" s="1" a="1"/>
  <c r="L22" i="29" s="1"/>
  <c r="L23" i="29" s="1" a="1"/>
  <c r="L23" i="29" s="1"/>
  <c r="L24" i="29" s="1" a="1"/>
  <c r="L24" i="29" s="1"/>
  <c r="L25" i="29" s="1" a="1"/>
  <c r="L25" i="29" s="1"/>
  <c r="L26" i="29" s="1" a="1"/>
  <c r="L26" i="29" s="1"/>
  <c r="L27" i="29" s="1" a="1"/>
  <c r="L27" i="29" s="1"/>
  <c r="L28" i="29" s="1" a="1"/>
  <c r="L28" i="29" s="1"/>
  <c r="L29" i="29" s="1" a="1"/>
  <c r="L29" i="29" s="1"/>
  <c r="L30" i="29" s="1" a="1"/>
  <c r="L30" i="29" s="1"/>
  <c r="L31" i="29" s="1" a="1"/>
  <c r="L31" i="29" s="1"/>
  <c r="L32" i="29" s="1" a="1"/>
  <c r="L32" i="29" s="1"/>
  <c r="L33" i="29" s="1" a="1"/>
  <c r="L33" i="29" s="1"/>
  <c r="L34" i="29" s="1" a="1"/>
  <c r="L34" i="29" s="1"/>
  <c r="L35" i="29" s="1" a="1"/>
  <c r="L35" i="29" s="1"/>
  <c r="L36" i="29" s="1" a="1"/>
  <c r="L36" i="29" s="1"/>
  <c r="L37" i="29" s="1" a="1"/>
  <c r="L37" i="29" s="1"/>
  <c r="L38" i="29" s="1" a="1"/>
  <c r="L38" i="29" s="1"/>
  <c r="L39" i="29" s="1" a="1"/>
  <c r="L39" i="29" s="1"/>
  <c r="L40" i="29" s="1" a="1"/>
  <c r="L40" i="29" s="1"/>
  <c r="L41" i="29" s="1" a="1"/>
  <c r="L41" i="29" s="1"/>
  <c r="L42" i="29" s="1" a="1"/>
  <c r="L42" i="29" s="1"/>
  <c r="L43" i="29" s="1" a="1"/>
  <c r="L43" i="29" s="1"/>
  <c r="L44" i="29" s="1" a="1"/>
  <c r="L44" i="29" s="1"/>
  <c r="L45" i="29" s="1" a="1"/>
  <c r="L45" i="29" s="1"/>
  <c r="L46" i="29" s="1" a="1"/>
  <c r="L46" i="29" s="1"/>
  <c r="L47" i="29" s="1" a="1"/>
  <c r="L47" i="29" s="1"/>
  <c r="L48" i="29" s="1" a="1"/>
  <c r="L48" i="29" s="1"/>
  <c r="L49" i="29" s="1" a="1"/>
  <c r="L49" i="29" s="1"/>
  <c r="F37" i="16" a="1"/>
  <c r="F37" i="16" s="1"/>
  <c r="P332" i="32"/>
  <c r="Q330" i="32"/>
  <c r="S328" i="32" a="1"/>
  <c r="S328" i="32" s="1"/>
  <c r="E328" i="32" s="1"/>
  <c r="V328" i="32" a="1"/>
  <c r="V328" i="32" s="1"/>
  <c r="L328" i="32" s="1"/>
  <c r="T328" i="32" a="1"/>
  <c r="T328" i="32" s="1"/>
  <c r="M1043" i="27" s="1"/>
  <c r="A1043" i="27" s="1"/>
  <c r="R328" i="32" a="1"/>
  <c r="R328" i="32" s="1"/>
  <c r="D328" i="32" s="1"/>
  <c r="C242" i="20"/>
  <c r="D241" i="20"/>
  <c r="AE139" i="1" a="1"/>
  <c r="AE139" i="1" s="1"/>
  <c r="AE140" i="1" s="1" a="1"/>
  <c r="AE140" i="1" s="1"/>
  <c r="AE141" i="1" s="1" a="1"/>
  <c r="AE141" i="1" s="1"/>
  <c r="AE142" i="1" s="1" a="1"/>
  <c r="AE142" i="1" s="1"/>
  <c r="AE143" i="1" s="1" a="1"/>
  <c r="AE143" i="1" s="1"/>
  <c r="AE144" i="1" s="1" a="1"/>
  <c r="AE144" i="1" s="1"/>
  <c r="AE145" i="1" s="1" a="1"/>
  <c r="AE145" i="1" s="1"/>
  <c r="AE146" i="1" s="1" a="1"/>
  <c r="AE146" i="1" s="1"/>
  <c r="AE147" i="1" s="1" a="1"/>
  <c r="AE147" i="1" s="1"/>
  <c r="AE148" i="1" s="1" a="1"/>
  <c r="AE148" i="1" s="1"/>
  <c r="AE149" i="1" s="1" a="1"/>
  <c r="AE149" i="1" s="1"/>
  <c r="AE150" i="1" s="1" a="1"/>
  <c r="AE150" i="1" s="1"/>
  <c r="AE151" i="1" s="1" a="1"/>
  <c r="AE151" i="1" s="1"/>
  <c r="AE152" i="1" s="1" a="1"/>
  <c r="AE152" i="1" s="1"/>
  <c r="AE153" i="1" s="1" a="1"/>
  <c r="AE153" i="1" s="1"/>
  <c r="AE154" i="1" s="1" a="1"/>
  <c r="AE154" i="1" s="1"/>
  <c r="AE155" i="1" s="1" a="1"/>
  <c r="AE155" i="1" s="1"/>
  <c r="AE156" i="1" s="1" a="1"/>
  <c r="AE156" i="1" s="1"/>
  <c r="AE157" i="1" s="1" a="1"/>
  <c r="AE157" i="1" s="1"/>
  <c r="AE158" i="1" s="1" a="1"/>
  <c r="AE158" i="1" s="1"/>
  <c r="AE159" i="1" s="1" a="1"/>
  <c r="AE159" i="1" s="1"/>
  <c r="AE160" i="1" s="1" a="1"/>
  <c r="AE160" i="1" s="1"/>
  <c r="AE161" i="1" s="1" a="1"/>
  <c r="AE161" i="1" s="1"/>
  <c r="AE162" i="1" s="1" a="1"/>
  <c r="AE162" i="1" s="1"/>
  <c r="AE163" i="1" s="1" a="1"/>
  <c r="AE163" i="1" s="1"/>
  <c r="AE164" i="1" s="1" a="1"/>
  <c r="AE164" i="1" s="1"/>
  <c r="AE165" i="1" s="1" a="1"/>
  <c r="AE165" i="1" s="1"/>
  <c r="AE166" i="1" s="1" a="1"/>
  <c r="AE166" i="1" s="1"/>
  <c r="AE167" i="1" s="1" a="1"/>
  <c r="AE167" i="1" s="1"/>
  <c r="AE168" i="1" s="1" a="1"/>
  <c r="AE168" i="1" s="1"/>
  <c r="AE169" i="1" s="1" a="1"/>
  <c r="AE169" i="1" s="1"/>
  <c r="AE170" i="1" s="1" a="1"/>
  <c r="AE170" i="1" s="1"/>
  <c r="AE171" i="1" s="1" a="1"/>
  <c r="AE171" i="1" s="1"/>
  <c r="AE172" i="1" s="1" a="1"/>
  <c r="AE172" i="1" s="1"/>
  <c r="AE173" i="1" s="1" a="1"/>
  <c r="AE173" i="1" s="1"/>
  <c r="AE174" i="1" s="1" a="1"/>
  <c r="AE174" i="1" s="1"/>
  <c r="P679" i="32"/>
  <c r="Q677" i="32"/>
  <c r="R392" i="32" a="1"/>
  <c r="R392" i="32" s="1"/>
  <c r="D392" i="32" s="1"/>
  <c r="V392" i="32" a="1"/>
  <c r="V392" i="32" s="1"/>
  <c r="L392" i="32" s="1"/>
  <c r="T392" i="32" a="1"/>
  <c r="T392" i="32" s="1"/>
  <c r="S392" i="32" a="1"/>
  <c r="S392" i="32" s="1"/>
  <c r="E392" i="32" s="1"/>
  <c r="F2865" i="27"/>
  <c r="H296" i="24"/>
  <c r="N51" i="1"/>
  <c r="H224" i="24"/>
  <c r="O147" i="24"/>
  <c r="C26" i="24"/>
  <c r="H288" i="24"/>
  <c r="A52" i="1"/>
  <c r="H248" i="24"/>
  <c r="H264" i="24"/>
  <c r="H272" i="24"/>
  <c r="T51" i="1"/>
  <c r="H256" i="24"/>
  <c r="H240" i="24"/>
  <c r="I35" i="29"/>
  <c r="I36" i="29" s="1"/>
  <c r="I37" i="29" s="1"/>
  <c r="I38" i="29" s="1"/>
  <c r="I39" i="29" s="1"/>
  <c r="I40" i="29" s="1"/>
  <c r="I41" i="29" s="1"/>
  <c r="H97" i="27"/>
  <c r="H98" i="27"/>
  <c r="H99" i="27" s="1"/>
  <c r="H100" i="27" s="1"/>
  <c r="H101" i="27" s="1"/>
  <c r="H102" i="27" s="1"/>
  <c r="H321" i="27"/>
  <c r="H322" i="27"/>
  <c r="H323" i="27" s="1"/>
  <c r="H324" i="27" s="1"/>
  <c r="H325" i="27" s="1"/>
  <c r="H326" i="27" s="1"/>
  <c r="H373" i="27"/>
  <c r="H149" i="27"/>
  <c r="R58" i="24"/>
  <c r="S58" i="24"/>
  <c r="J491" i="27"/>
  <c r="A491" i="27" s="1"/>
  <c r="Q58" i="24"/>
  <c r="P58" i="24"/>
  <c r="R112" i="24"/>
  <c r="B171" i="16" a="1"/>
  <c r="B171" i="16" s="1"/>
  <c r="B172" i="16" s="1" a="1"/>
  <c r="B172" i="16" s="1"/>
  <c r="B173" i="16" s="1" a="1"/>
  <c r="B173" i="16" s="1"/>
  <c r="B174" i="16" s="1" a="1"/>
  <c r="B174" i="16" s="1"/>
  <c r="B175" i="16" s="1" a="1"/>
  <c r="B175" i="16" s="1"/>
  <c r="B176" i="16" s="1" a="1"/>
  <c r="B176" i="16" s="1"/>
  <c r="B177" i="16" s="1" a="1"/>
  <c r="B177" i="16" s="1"/>
  <c r="B178" i="16" s="1" a="1"/>
  <c r="B178" i="16" s="1"/>
  <c r="B179" i="16" s="1" a="1"/>
  <c r="B179" i="16" s="1"/>
  <c r="B180" i="16" s="1" a="1"/>
  <c r="B180" i="16" s="1"/>
  <c r="B181" i="16" s="1" a="1"/>
  <c r="B181" i="16" s="1"/>
  <c r="B182" i="16" s="1" a="1"/>
  <c r="B182" i="16" s="1"/>
  <c r="B183" i="16" s="1" a="1"/>
  <c r="B183" i="16" s="1"/>
  <c r="B184" i="16" s="1" a="1"/>
  <c r="B184" i="16" s="1"/>
  <c r="B185" i="16" s="1" a="1"/>
  <c r="B185" i="16" s="1"/>
  <c r="B186" i="16" s="1" a="1"/>
  <c r="B186" i="16" s="1"/>
  <c r="B187" i="16" s="1" a="1"/>
  <c r="B187" i="16" s="1"/>
  <c r="B188" i="16" s="1" a="1"/>
  <c r="B188" i="16" s="1"/>
  <c r="B189" i="16" s="1" a="1"/>
  <c r="B189" i="16" s="1"/>
  <c r="B190" i="16" s="1" a="1"/>
  <c r="B190" i="16" s="1"/>
  <c r="B191" i="16" s="1" a="1"/>
  <c r="B191" i="16" s="1"/>
  <c r="B192" i="16" s="1" a="1"/>
  <c r="B192" i="16" s="1"/>
  <c r="B193" i="16" s="1" a="1"/>
  <c r="B193" i="16" s="1"/>
  <c r="B194" i="16" s="1" a="1"/>
  <c r="B194" i="16" s="1"/>
  <c r="B195" i="16" s="1" a="1"/>
  <c r="B195" i="16" s="1"/>
  <c r="B196" i="16" s="1" a="1"/>
  <c r="B196" i="16" s="1"/>
  <c r="B197" i="16" s="1" a="1"/>
  <c r="B197" i="16" s="1"/>
  <c r="B198" i="16" s="1" a="1"/>
  <c r="B198" i="16" s="1"/>
  <c r="B199" i="16" s="1" a="1"/>
  <c r="B199" i="16" s="1"/>
  <c r="B200" i="16" s="1" a="1"/>
  <c r="B200" i="16" s="1"/>
  <c r="B201" i="16" s="1" a="1"/>
  <c r="B201" i="16" s="1"/>
  <c r="B202" i="16" s="1" a="1"/>
  <c r="B202" i="16" s="1"/>
  <c r="B493" i="27"/>
  <c r="C492" i="27"/>
  <c r="I36" i="16" a="1"/>
  <c r="I36" i="16" s="1"/>
  <c r="D260" i="20"/>
  <c r="C261" i="20"/>
  <c r="H37" i="16" a="1"/>
  <c r="H37" i="16" s="1"/>
  <c r="H510" i="27"/>
  <c r="U639" i="32"/>
  <c r="AI17" i="30"/>
  <c r="F2431" i="27"/>
  <c r="F2432" i="27" s="1"/>
  <c r="F2433" i="27" s="1"/>
  <c r="F2434" i="27" s="1"/>
  <c r="F2435" i="27" s="1"/>
  <c r="F2430" i="27"/>
  <c r="C222" i="20"/>
  <c r="D221" i="20"/>
  <c r="AG17" i="31"/>
  <c r="H716" i="27"/>
  <c r="J170" i="16" a="1"/>
  <c r="J170" i="16" s="1"/>
  <c r="I171" i="16" a="1"/>
  <c r="I171" i="16" s="1"/>
  <c r="K147" i="27"/>
  <c r="K367" i="27"/>
  <c r="Q252" i="27"/>
  <c r="L28" i="27"/>
  <c r="G28" i="27"/>
  <c r="J492" i="27" a="1"/>
  <c r="K146" i="27"/>
  <c r="G637" i="32"/>
  <c r="N492" i="27"/>
  <c r="V492" i="27"/>
  <c r="Q492" i="27"/>
  <c r="J2864" i="27"/>
  <c r="L13" i="31"/>
  <c r="L2295" i="27"/>
  <c r="T15" i="30"/>
  <c r="O492" i="27"/>
  <c r="BC24" i="34"/>
  <c r="D26" i="27"/>
  <c r="K715" i="27"/>
  <c r="T492" i="27"/>
  <c r="K364" i="27"/>
  <c r="X15" i="30"/>
  <c r="N148" i="27"/>
  <c r="M28" i="27" a="1"/>
  <c r="AL25" i="30"/>
  <c r="O2295" i="27"/>
  <c r="M2295" i="27"/>
  <c r="A637" i="32"/>
  <c r="J715" i="27"/>
  <c r="F28" i="27"/>
  <c r="E25" i="30"/>
  <c r="K148" i="27"/>
  <c r="K2864" i="27"/>
  <c r="J2865" i="27"/>
  <c r="L492" i="27"/>
  <c r="P492" i="27"/>
  <c r="P13" i="31"/>
  <c r="K492" i="27"/>
  <c r="P2295" i="27"/>
  <c r="D491" i="27"/>
  <c r="R28" i="27"/>
  <c r="F2295" i="27"/>
  <c r="Q28" i="27"/>
  <c r="H252" i="27"/>
  <c r="BD25" i="33"/>
  <c r="A332" i="32"/>
  <c r="D2295" i="27"/>
  <c r="X13" i="31"/>
  <c r="J148" i="27"/>
  <c r="F492" i="27"/>
  <c r="G26" i="32"/>
  <c r="M492" i="27"/>
  <c r="R492" i="27"/>
  <c r="K372" i="27"/>
  <c r="J2295" i="27"/>
  <c r="K28" i="27"/>
  <c r="G752" i="27"/>
  <c r="BD24" i="34"/>
  <c r="I492" i="27"/>
  <c r="I372" i="27"/>
  <c r="G332" i="32"/>
  <c r="AI27" i="31"/>
  <c r="K365" i="27"/>
  <c r="U492" i="27"/>
  <c r="P15" i="30"/>
  <c r="J28" i="27"/>
  <c r="J372" i="27"/>
  <c r="G492" i="27"/>
  <c r="N2295" i="27"/>
  <c r="A26" i="32"/>
  <c r="E28" i="27"/>
  <c r="E25" i="31"/>
  <c r="H28" i="27"/>
  <c r="P28" i="27"/>
  <c r="K2295" i="27"/>
  <c r="I149" i="27"/>
  <c r="H2864" i="27"/>
  <c r="E492" i="27"/>
  <c r="G25" i="33"/>
  <c r="N372" i="27"/>
  <c r="I148" i="27"/>
  <c r="J373" i="27"/>
  <c r="A364" i="27" l="1"/>
  <c r="A367" i="27"/>
  <c r="A365" i="27"/>
  <c r="H124" i="24"/>
  <c r="Q112" i="24"/>
  <c r="S112" i="24"/>
  <c r="P112" i="24"/>
  <c r="Q2" i="29"/>
  <c r="P3" i="29" a="1"/>
  <c r="P3" i="29" s="1"/>
  <c r="P4" i="29" s="1" a="1"/>
  <c r="P4" i="29" s="1"/>
  <c r="Q4" i="29" s="1"/>
  <c r="E165" i="24"/>
  <c r="H70" i="24"/>
  <c r="AH31" i="31"/>
  <c r="I15" i="16" a="1"/>
  <c r="I15" i="16" s="1"/>
  <c r="H16" i="16" a="1"/>
  <c r="H16" i="16" s="1"/>
  <c r="U336" i="32"/>
  <c r="BA29" i="33"/>
  <c r="AJ29" i="30"/>
  <c r="A2864" i="27"/>
  <c r="M28" i="27"/>
  <c r="A28" i="27" s="1"/>
  <c r="A372" i="27"/>
  <c r="A2295" i="27"/>
  <c r="C31" i="27"/>
  <c r="B32" i="27"/>
  <c r="U30" i="32"/>
  <c r="P717" i="32"/>
  <c r="Q715" i="32"/>
  <c r="S20" i="32" a="1"/>
  <c r="S20" i="32" s="1"/>
  <c r="E20" i="32" s="1"/>
  <c r="F1346" i="27" s="1"/>
  <c r="V20" i="32" a="1"/>
  <c r="V20" i="32" s="1"/>
  <c r="L20" i="32" s="1"/>
  <c r="T20" i="32" a="1"/>
  <c r="T20" i="32" s="1"/>
  <c r="M1346" i="27" s="1"/>
  <c r="A1346" i="27" s="1"/>
  <c r="R20" i="32" a="1"/>
  <c r="R20" i="32" s="1"/>
  <c r="D20" i="32" s="1"/>
  <c r="P24" i="32"/>
  <c r="Q22" i="32"/>
  <c r="AY26" i="34"/>
  <c r="Q795" i="32"/>
  <c r="P797" i="32"/>
  <c r="P44" i="32"/>
  <c r="Q42" i="32"/>
  <c r="V40" i="32" a="1"/>
  <c r="V40" i="32" s="1"/>
  <c r="L40" i="32" s="1"/>
  <c r="T40" i="32" a="1"/>
  <c r="T40" i="32" s="1"/>
  <c r="R40" i="32" a="1"/>
  <c r="R40" i="32" s="1"/>
  <c r="D40" i="32" s="1"/>
  <c r="S40" i="32" a="1"/>
  <c r="S40" i="32" s="1"/>
  <c r="E40" i="32" s="1"/>
  <c r="B2297" i="27"/>
  <c r="I30" i="27"/>
  <c r="B238" i="27"/>
  <c r="I237" i="27"/>
  <c r="P845" i="32"/>
  <c r="Q843" i="32"/>
  <c r="Q641" i="32"/>
  <c r="P643" i="32"/>
  <c r="P761" i="32"/>
  <c r="Q759" i="32"/>
  <c r="V412" i="32" a="1"/>
  <c r="V412" i="32" s="1"/>
  <c r="L412" i="32" s="1"/>
  <c r="R412" i="32" a="1"/>
  <c r="R412" i="32" s="1"/>
  <c r="D412" i="32" s="1"/>
  <c r="T412" i="32" a="1"/>
  <c r="T412" i="32" s="1"/>
  <c r="S412" i="32" a="1"/>
  <c r="S412" i="32" s="1"/>
  <c r="E412" i="32" s="1"/>
  <c r="P416" i="32"/>
  <c r="Q414" i="32"/>
  <c r="A147" i="27"/>
  <c r="T147" i="27" s="1"/>
  <c r="A148" i="27"/>
  <c r="T148" i="27" s="1"/>
  <c r="A146" i="27"/>
  <c r="T146" i="27" s="1"/>
  <c r="F38" i="16" a="1"/>
  <c r="F38" i="16" s="1"/>
  <c r="C243" i="20"/>
  <c r="D242" i="20"/>
  <c r="P374" i="32"/>
  <c r="Q374" i="32" s="1"/>
  <c r="Q372" i="32"/>
  <c r="P681" i="32"/>
  <c r="Q679" i="32"/>
  <c r="S330" i="32" a="1"/>
  <c r="S330" i="32" s="1"/>
  <c r="E330" i="32" s="1"/>
  <c r="V330" i="32" a="1"/>
  <c r="V330" i="32" s="1"/>
  <c r="L330" i="32" s="1"/>
  <c r="T330" i="32" a="1"/>
  <c r="T330" i="32" s="1"/>
  <c r="M1044" i="27" s="1"/>
  <c r="A1044" i="27" s="1"/>
  <c r="R330" i="32" a="1"/>
  <c r="R330" i="32" s="1"/>
  <c r="D330" i="32" s="1"/>
  <c r="Q332" i="32"/>
  <c r="P334" i="32"/>
  <c r="R370" i="32" a="1"/>
  <c r="R370" i="32" s="1"/>
  <c r="D370" i="32" s="1"/>
  <c r="S370" i="32" a="1"/>
  <c r="S370" i="32" s="1"/>
  <c r="E370" i="32" s="1"/>
  <c r="T370" i="32" a="1"/>
  <c r="T370" i="32" s="1"/>
  <c r="V370" i="32" a="1"/>
  <c r="V370" i="32" s="1"/>
  <c r="L370" i="32" s="1"/>
  <c r="F2866" i="27"/>
  <c r="AA7" i="33"/>
  <c r="A27" i="24"/>
  <c r="E52" i="1"/>
  <c r="H249" i="24" s="1"/>
  <c r="X7" i="34"/>
  <c r="P146" i="24"/>
  <c r="H150" i="27"/>
  <c r="H374" i="27"/>
  <c r="H328" i="27"/>
  <c r="H329" i="27" s="1"/>
  <c r="H330" i="27" s="1"/>
  <c r="H331" i="27" s="1"/>
  <c r="H332" i="27" s="1"/>
  <c r="H327" i="27"/>
  <c r="H104" i="27"/>
  <c r="H105" i="27" s="1"/>
  <c r="H106" i="27" s="1"/>
  <c r="H107" i="27" s="1"/>
  <c r="H108" i="27" s="1"/>
  <c r="H103" i="27"/>
  <c r="J492" i="27"/>
  <c r="A492" i="27" s="1"/>
  <c r="R60" i="24"/>
  <c r="P60" i="24"/>
  <c r="Q60" i="24"/>
  <c r="S60" i="24"/>
  <c r="C262" i="20"/>
  <c r="D261" i="20"/>
  <c r="F2436" i="27"/>
  <c r="F2437" i="27"/>
  <c r="F2438" i="27" s="1"/>
  <c r="F2439" i="27" s="1"/>
  <c r="F2440" i="27" s="1"/>
  <c r="F2441" i="27" s="1"/>
  <c r="H511" i="27"/>
  <c r="C493" i="27"/>
  <c r="B494" i="27"/>
  <c r="J171" i="16" a="1"/>
  <c r="J171" i="16" s="1"/>
  <c r="I172" i="16" a="1"/>
  <c r="I172" i="16" s="1"/>
  <c r="H717" i="27"/>
  <c r="H718" i="27"/>
  <c r="AG19" i="31"/>
  <c r="U641" i="32"/>
  <c r="AI19" i="30"/>
  <c r="C223" i="20"/>
  <c r="D223" i="20" s="1"/>
  <c r="D222" i="20"/>
  <c r="I37" i="16" a="1"/>
  <c r="I37" i="16" s="1"/>
  <c r="H38" i="16" a="1"/>
  <c r="H38" i="16" s="1"/>
  <c r="AI29" i="31"/>
  <c r="K370" i="27"/>
  <c r="T15" i="31"/>
  <c r="N2296" i="27"/>
  <c r="R493" i="27"/>
  <c r="I493" i="27"/>
  <c r="A639" i="32"/>
  <c r="K2865" i="27"/>
  <c r="J716" i="27"/>
  <c r="K149" i="27"/>
  <c r="E493" i="27"/>
  <c r="E27" i="30"/>
  <c r="AL27" i="30"/>
  <c r="L29" i="27"/>
  <c r="BD27" i="33"/>
  <c r="G753" i="27"/>
  <c r="K493" i="27"/>
  <c r="F2296" i="27"/>
  <c r="E29" i="27"/>
  <c r="F493" i="27"/>
  <c r="L17" i="30"/>
  <c r="G493" i="27"/>
  <c r="P17" i="30"/>
  <c r="K373" i="27"/>
  <c r="O26" i="27"/>
  <c r="O493" i="27"/>
  <c r="N373" i="27"/>
  <c r="K2296" i="27"/>
  <c r="G30" i="32"/>
  <c r="BD25" i="34"/>
  <c r="J29" i="27"/>
  <c r="M29" i="27" a="1"/>
  <c r="I373" i="27"/>
  <c r="G27" i="33"/>
  <c r="M2296" i="27"/>
  <c r="G28" i="32"/>
  <c r="P2296" i="27"/>
  <c r="P29" i="27"/>
  <c r="Q253" i="27"/>
  <c r="L15" i="31"/>
  <c r="N149" i="27"/>
  <c r="P493" i="27"/>
  <c r="BC25" i="34"/>
  <c r="X15" i="31"/>
  <c r="H253" i="27"/>
  <c r="N493" i="27"/>
  <c r="A334" i="32"/>
  <c r="E27" i="31"/>
  <c r="M493" i="27"/>
  <c r="J493" i="27" a="1"/>
  <c r="G334" i="32"/>
  <c r="O2296" i="27"/>
  <c r="D2296" i="27"/>
  <c r="R29" i="27"/>
  <c r="J149" i="27"/>
  <c r="A28" i="32"/>
  <c r="M373" i="27"/>
  <c r="X17" i="30"/>
  <c r="I2865" i="27"/>
  <c r="K371" i="27"/>
  <c r="K29" i="27"/>
  <c r="K716" i="27"/>
  <c r="J2296" i="27"/>
  <c r="H2865" i="27"/>
  <c r="F29" i="27"/>
  <c r="V493" i="27"/>
  <c r="L493" i="27"/>
  <c r="L2296" i="27"/>
  <c r="Q29" i="27"/>
  <c r="H29" i="27"/>
  <c r="I2866" i="27"/>
  <c r="D27" i="27"/>
  <c r="T493" i="27"/>
  <c r="Q493" i="27"/>
  <c r="M149" i="27"/>
  <c r="U493" i="27"/>
  <c r="G29" i="27"/>
  <c r="T17" i="30"/>
  <c r="P15" i="31"/>
  <c r="G639" i="32"/>
  <c r="D492" i="27"/>
  <c r="A370" i="27" l="1"/>
  <c r="A2865" i="27"/>
  <c r="A371" i="27"/>
  <c r="H126" i="24"/>
  <c r="R114" i="24"/>
  <c r="S114" i="24"/>
  <c r="Q114" i="24"/>
  <c r="P114" i="24"/>
  <c r="Q334" i="32"/>
  <c r="T334" i="32" s="1" a="1"/>
  <c r="T334" i="32" s="1"/>
  <c r="M1046" i="27" s="1"/>
  <c r="A1046" i="27" s="1"/>
  <c r="P336" i="32"/>
  <c r="Q3" i="29"/>
  <c r="O3" i="29"/>
  <c r="O4" i="29"/>
  <c r="P5" i="29" a="1"/>
  <c r="P5" i="29" s="1"/>
  <c r="O5" i="29" s="1"/>
  <c r="E167" i="24"/>
  <c r="H72" i="24"/>
  <c r="I16" i="16" a="1"/>
  <c r="I16" i="16" s="1"/>
  <c r="H17" i="16" a="1"/>
  <c r="H17" i="16" s="1"/>
  <c r="AJ31" i="30"/>
  <c r="U338" i="32"/>
  <c r="AH33" i="31"/>
  <c r="BA31" i="33"/>
  <c r="A149" i="27"/>
  <c r="T149" i="27" s="1"/>
  <c r="P418" i="32"/>
  <c r="Q416" i="32"/>
  <c r="M29" i="27"/>
  <c r="A29" i="27" s="1"/>
  <c r="A2296" i="27"/>
  <c r="V42" i="32" a="1"/>
  <c r="V42" i="32" s="1"/>
  <c r="L42" i="32" s="1"/>
  <c r="S42" i="32" a="1"/>
  <c r="S42" i="32" s="1"/>
  <c r="E42" i="32" s="1"/>
  <c r="R42" i="32" a="1"/>
  <c r="R42" i="32" s="1"/>
  <c r="D42" i="32" s="1"/>
  <c r="T42" i="32" a="1"/>
  <c r="T42" i="32" s="1"/>
  <c r="C32" i="27"/>
  <c r="B33" i="27"/>
  <c r="C33" i="27" s="1"/>
  <c r="P46" i="32"/>
  <c r="Q44" i="32"/>
  <c r="Q797" i="32"/>
  <c r="R797" i="32" s="1" a="1"/>
  <c r="R797" i="32" s="1"/>
  <c r="D797" i="32" s="1"/>
  <c r="P799" i="32"/>
  <c r="V793" i="32" a="1"/>
  <c r="V793" i="32" s="1"/>
  <c r="L793" i="32" s="1"/>
  <c r="AY27" i="34"/>
  <c r="Q717" i="32"/>
  <c r="P719" i="32"/>
  <c r="T795" i="32" a="1"/>
  <c r="T795" i="32" s="1"/>
  <c r="B239" i="27"/>
  <c r="I238" i="27"/>
  <c r="U32" i="32"/>
  <c r="R793" i="32" a="1"/>
  <c r="R793" i="32" s="1"/>
  <c r="D793" i="32" s="1"/>
  <c r="I31" i="27"/>
  <c r="V22" i="32" a="1"/>
  <c r="V22" i="32" s="1"/>
  <c r="L22" i="32" s="1"/>
  <c r="R22" i="32" a="1"/>
  <c r="R22" i="32" s="1"/>
  <c r="D22" i="32" s="1"/>
  <c r="T22" i="32" a="1"/>
  <c r="T22" i="32" s="1"/>
  <c r="M1347" i="27" s="1"/>
  <c r="A1347" i="27" s="1"/>
  <c r="S22" i="32" a="1"/>
  <c r="S22" i="32" s="1"/>
  <c r="E22" i="32" s="1"/>
  <c r="F1347" i="27" s="1"/>
  <c r="B2298" i="27"/>
  <c r="Q24" i="32"/>
  <c r="P26" i="32"/>
  <c r="P847" i="32"/>
  <c r="Q845" i="32"/>
  <c r="Q761" i="32"/>
  <c r="P763" i="32"/>
  <c r="P645" i="32"/>
  <c r="Q643" i="32"/>
  <c r="V414" i="32" a="1"/>
  <c r="V414" i="32" s="1"/>
  <c r="L414" i="32" s="1"/>
  <c r="S414" i="32" a="1"/>
  <c r="S414" i="32" s="1"/>
  <c r="E414" i="32" s="1"/>
  <c r="T414" i="32" a="1"/>
  <c r="T414" i="32" s="1"/>
  <c r="R414" i="32" a="1"/>
  <c r="R414" i="32" s="1"/>
  <c r="D414" i="32" s="1"/>
  <c r="A373" i="27"/>
  <c r="D243" i="20"/>
  <c r="C244" i="20"/>
  <c r="V795" i="32" a="1"/>
  <c r="V795" i="32" s="1"/>
  <c r="L795" i="32" s="1"/>
  <c r="S332" i="32" a="1"/>
  <c r="S332" i="32" s="1"/>
  <c r="E332" i="32" s="1"/>
  <c r="R332" i="32" a="1"/>
  <c r="R332" i="32" s="1"/>
  <c r="D332" i="32" s="1"/>
  <c r="V332" i="32" a="1"/>
  <c r="V332" i="32" s="1"/>
  <c r="L332" i="32" s="1"/>
  <c r="T332" i="32" a="1"/>
  <c r="T332" i="32" s="1"/>
  <c r="M1045" i="27" s="1"/>
  <c r="A1045" i="27" s="1"/>
  <c r="F39" i="16" a="1"/>
  <c r="F39" i="16" s="1"/>
  <c r="Q681" i="32"/>
  <c r="P683" i="32"/>
  <c r="T372" i="32" a="1"/>
  <c r="T372" i="32" s="1"/>
  <c r="V372" i="32" a="1"/>
  <c r="V372" i="32" s="1"/>
  <c r="L372" i="32" s="1"/>
  <c r="R372" i="32" a="1"/>
  <c r="R372" i="32" s="1"/>
  <c r="D372" i="32" s="1"/>
  <c r="S372" i="32" a="1"/>
  <c r="S372" i="32" s="1"/>
  <c r="E372" i="32" s="1"/>
  <c r="T374" i="32" a="1"/>
  <c r="T374" i="32" s="1"/>
  <c r="S374" i="32" a="1"/>
  <c r="S374" i="32" s="1"/>
  <c r="E374" i="32" s="1"/>
  <c r="R374" i="32" a="1"/>
  <c r="R374" i="32" s="1"/>
  <c r="D374" i="32" s="1"/>
  <c r="V374" i="32" a="1"/>
  <c r="V374" i="32" s="1"/>
  <c r="L374" i="32" s="1"/>
  <c r="F2867" i="27"/>
  <c r="H233" i="24"/>
  <c r="A53" i="1"/>
  <c r="H241" i="24"/>
  <c r="H273" i="24"/>
  <c r="H281" i="24"/>
  <c r="C27" i="24"/>
  <c r="T52" i="1"/>
  <c r="H289" i="24"/>
  <c r="N52" i="1"/>
  <c r="H225" i="24"/>
  <c r="H265" i="24"/>
  <c r="H257" i="24"/>
  <c r="P147" i="24"/>
  <c r="H297" i="24"/>
  <c r="H110" i="27"/>
  <c r="H111" i="27" s="1"/>
  <c r="H112" i="27" s="1"/>
  <c r="H113" i="27" s="1"/>
  <c r="H114" i="27" s="1"/>
  <c r="H109" i="27"/>
  <c r="H334" i="27"/>
  <c r="H335" i="27" s="1"/>
  <c r="H336" i="27" s="1"/>
  <c r="H337" i="27" s="1"/>
  <c r="H338" i="27" s="1"/>
  <c r="H333" i="27"/>
  <c r="H376" i="27"/>
  <c r="H375" i="27"/>
  <c r="H152" i="27"/>
  <c r="H151" i="27"/>
  <c r="S62" i="24"/>
  <c r="R62" i="24"/>
  <c r="Q62" i="24"/>
  <c r="J493" i="27"/>
  <c r="A493" i="27" s="1"/>
  <c r="P62" i="24"/>
  <c r="I38" i="16" a="1"/>
  <c r="I38" i="16" s="1"/>
  <c r="H39" i="16" a="1"/>
  <c r="H39" i="16" s="1"/>
  <c r="T793" i="32" a="1"/>
  <c r="T793" i="32" s="1"/>
  <c r="F2443" i="27"/>
  <c r="F2444" i="27" s="1"/>
  <c r="F2445" i="27" s="1"/>
  <c r="F2446" i="27" s="1"/>
  <c r="F2447" i="27" s="1"/>
  <c r="F2442" i="27"/>
  <c r="U643" i="32"/>
  <c r="AG21" i="31"/>
  <c r="J172" i="16" a="1"/>
  <c r="J172" i="16" s="1"/>
  <c r="I173" i="16" a="1"/>
  <c r="I173" i="16" s="1"/>
  <c r="B495" i="27"/>
  <c r="C494" i="27"/>
  <c r="H512" i="27"/>
  <c r="T785" i="32" a="1"/>
  <c r="T785" i="32" s="1"/>
  <c r="R791" i="32" a="1"/>
  <c r="R791" i="32" s="1"/>
  <c r="D791" i="32" s="1"/>
  <c r="R795" i="32" a="1"/>
  <c r="R795" i="32" s="1"/>
  <c r="D795" i="32" s="1"/>
  <c r="R787" i="32" a="1"/>
  <c r="R787" i="32" s="1"/>
  <c r="D787" i="32" s="1"/>
  <c r="R789" i="32" a="1"/>
  <c r="R789" i="32" s="1"/>
  <c r="D789" i="32" s="1"/>
  <c r="V785" i="32" a="1"/>
  <c r="V785" i="32" s="1"/>
  <c r="L785" i="32" s="1"/>
  <c r="R785" i="32" a="1"/>
  <c r="R785" i="32" s="1"/>
  <c r="D785" i="32" s="1"/>
  <c r="T787" i="32" a="1"/>
  <c r="T787" i="32" s="1"/>
  <c r="V787" i="32" a="1"/>
  <c r="V787" i="32" s="1"/>
  <c r="L787" i="32" s="1"/>
  <c r="S789" i="32" a="1"/>
  <c r="S789" i="32" s="1"/>
  <c r="E789" i="32" s="1"/>
  <c r="T791" i="32" a="1"/>
  <c r="T791" i="32" s="1"/>
  <c r="S787" i="32" a="1"/>
  <c r="S787" i="32" s="1"/>
  <c r="E787" i="32" s="1"/>
  <c r="V789" i="32" a="1"/>
  <c r="V789" i="32" s="1"/>
  <c r="L789" i="32" s="1"/>
  <c r="T789" i="32" a="1"/>
  <c r="T789" i="32" s="1"/>
  <c r="AI21" i="30"/>
  <c r="S793" i="32" a="1"/>
  <c r="S793" i="32" s="1"/>
  <c r="E793" i="32" s="1"/>
  <c r="S795" i="32" a="1"/>
  <c r="S795" i="32" s="1"/>
  <c r="E795" i="32" s="1"/>
  <c r="H719" i="27"/>
  <c r="D262" i="20"/>
  <c r="C263" i="20"/>
  <c r="P17" i="31"/>
  <c r="N2297" i="27"/>
  <c r="L19" i="30"/>
  <c r="M30" i="27" a="1"/>
  <c r="E29" i="31"/>
  <c r="Q254" i="27"/>
  <c r="M2297" i="27"/>
  <c r="P2297" i="27"/>
  <c r="R30" i="27"/>
  <c r="L494" i="27"/>
  <c r="G30" i="27"/>
  <c r="R494" i="27"/>
  <c r="Q30" i="27"/>
  <c r="D28" i="27"/>
  <c r="G336" i="32"/>
  <c r="P30" i="27"/>
  <c r="G29" i="33"/>
  <c r="J376" i="27"/>
  <c r="F2297" i="27"/>
  <c r="J717" i="27"/>
  <c r="D493" i="27"/>
  <c r="BD26" i="34"/>
  <c r="K30" i="27"/>
  <c r="D2297" i="27"/>
  <c r="F494" i="27"/>
  <c r="J152" i="27"/>
  <c r="E29" i="30"/>
  <c r="G754" i="27"/>
  <c r="K2297" i="27"/>
  <c r="A336" i="32"/>
  <c r="T19" i="30"/>
  <c r="Q494" i="27"/>
  <c r="J2297" i="27"/>
  <c r="L17" i="31"/>
  <c r="T17" i="31"/>
  <c r="K2866" i="27"/>
  <c r="X19" i="30"/>
  <c r="U494" i="27"/>
  <c r="L30" i="27"/>
  <c r="O494" i="27"/>
  <c r="A641" i="32"/>
  <c r="V494" i="27"/>
  <c r="E494" i="27"/>
  <c r="H30" i="27"/>
  <c r="F30" i="27"/>
  <c r="I494" i="27"/>
  <c r="N494" i="27"/>
  <c r="E30" i="27"/>
  <c r="J718" i="27"/>
  <c r="T494" i="27"/>
  <c r="X17" i="31"/>
  <c r="K717" i="27"/>
  <c r="H2866" i="27"/>
  <c r="J2867" i="27"/>
  <c r="L2297" i="27"/>
  <c r="K494" i="27"/>
  <c r="H254" i="27"/>
  <c r="J494" i="27" a="1"/>
  <c r="BC26" i="34"/>
  <c r="AL29" i="30"/>
  <c r="P19" i="30"/>
  <c r="J2866" i="27"/>
  <c r="G494" i="27"/>
  <c r="M494" i="27"/>
  <c r="K718" i="27"/>
  <c r="A30" i="32"/>
  <c r="BD29" i="33"/>
  <c r="J30" i="27"/>
  <c r="P494" i="27"/>
  <c r="AI31" i="31"/>
  <c r="G641" i="32"/>
  <c r="G32" i="32"/>
  <c r="O2297" i="27"/>
  <c r="V334" i="32" l="1" a="1"/>
  <c r="V334" i="32" s="1"/>
  <c r="L334" i="32" s="1"/>
  <c r="S334" i="32" a="1"/>
  <c r="S334" i="32" s="1"/>
  <c r="E334" i="32" s="1"/>
  <c r="R334" i="32" a="1"/>
  <c r="R334" i="32" s="1"/>
  <c r="D334" i="32" s="1"/>
  <c r="H128" i="24"/>
  <c r="S116" i="24"/>
  <c r="Q116" i="24"/>
  <c r="R116" i="24"/>
  <c r="P116" i="24"/>
  <c r="Q336" i="32"/>
  <c r="P338" i="32"/>
  <c r="Q5" i="29"/>
  <c r="P6" i="29" a="1"/>
  <c r="P6" i="29" s="1"/>
  <c r="Q6" i="29" s="1"/>
  <c r="V797" i="32" a="1"/>
  <c r="V797" i="32" s="1"/>
  <c r="L797" i="32" s="1"/>
  <c r="E169" i="24"/>
  <c r="H74" i="24"/>
  <c r="U340" i="32"/>
  <c r="AJ33" i="30"/>
  <c r="I17" i="16" a="1"/>
  <c r="I17" i="16" s="1"/>
  <c r="H18" i="16" a="1"/>
  <c r="H18" i="16" s="1"/>
  <c r="I18" i="16" s="1" a="1"/>
  <c r="I18" i="16" s="1"/>
  <c r="BA33" i="33"/>
  <c r="AH35" i="31"/>
  <c r="T797" i="32" a="1"/>
  <c r="T797" i="32" s="1"/>
  <c r="S797" i="32" a="1"/>
  <c r="S797" i="32" s="1"/>
  <c r="E797" i="32" s="1"/>
  <c r="V416" i="32" a="1"/>
  <c r="V416" i="32" s="1"/>
  <c r="L416" i="32" s="1"/>
  <c r="S416" i="32" a="1"/>
  <c r="S416" i="32" s="1"/>
  <c r="E416" i="32" s="1"/>
  <c r="T416" i="32" a="1"/>
  <c r="T416" i="32" s="1"/>
  <c r="R416" i="32" a="1"/>
  <c r="R416" i="32" s="1"/>
  <c r="D416" i="32" s="1"/>
  <c r="P420" i="32"/>
  <c r="Q418" i="32"/>
  <c r="M30" i="27"/>
  <c r="A30" i="27" s="1"/>
  <c r="A2297" i="27"/>
  <c r="B2299" i="27"/>
  <c r="AY28" i="34"/>
  <c r="U34" i="32"/>
  <c r="Q799" i="32"/>
  <c r="P801" i="32"/>
  <c r="I32" i="27"/>
  <c r="Q26" i="32"/>
  <c r="P28" i="32"/>
  <c r="Q28" i="32" s="1"/>
  <c r="V44" i="32" a="1"/>
  <c r="V44" i="32" s="1"/>
  <c r="L44" i="32" s="1"/>
  <c r="T44" i="32" a="1"/>
  <c r="T44" i="32" s="1"/>
  <c r="R44" i="32" a="1"/>
  <c r="R44" i="32" s="1"/>
  <c r="D44" i="32" s="1"/>
  <c r="S44" i="32" a="1"/>
  <c r="S44" i="32" s="1"/>
  <c r="E44" i="32" s="1"/>
  <c r="T24" i="32" a="1"/>
  <c r="T24" i="32" s="1"/>
  <c r="M1348" i="27" s="1"/>
  <c r="A1348" i="27" s="1"/>
  <c r="S24" i="32" a="1"/>
  <c r="S24" i="32" s="1"/>
  <c r="E24" i="32" s="1"/>
  <c r="F1348" i="27" s="1"/>
  <c r="R24" i="32" a="1"/>
  <c r="R24" i="32" s="1"/>
  <c r="D24" i="32" s="1"/>
  <c r="V24" i="32" a="1"/>
  <c r="V24" i="32" s="1"/>
  <c r="L24" i="32" s="1"/>
  <c r="Q46" i="32"/>
  <c r="P48" i="32"/>
  <c r="Q48" i="32" s="1"/>
  <c r="B240" i="27"/>
  <c r="I239" i="27"/>
  <c r="P721" i="32"/>
  <c r="Q719" i="32"/>
  <c r="A2866" i="27"/>
  <c r="P849" i="32"/>
  <c r="Q847" i="32"/>
  <c r="P647" i="32"/>
  <c r="Q645" i="32"/>
  <c r="Q763" i="32"/>
  <c r="P765" i="32"/>
  <c r="C245" i="20"/>
  <c r="D244" i="20"/>
  <c r="F40" i="16" a="1"/>
  <c r="F40" i="16" s="1"/>
  <c r="P685" i="32"/>
  <c r="Q683" i="32"/>
  <c r="F2868" i="27"/>
  <c r="F2869" i="27"/>
  <c r="E53" i="1"/>
  <c r="H274" i="24" s="1"/>
  <c r="AD7" i="33"/>
  <c r="Q146" i="24"/>
  <c r="AB7" i="34"/>
  <c r="A28" i="24"/>
  <c r="H153" i="27"/>
  <c r="H340" i="27"/>
  <c r="H341" i="27" s="1"/>
  <c r="H342" i="27" s="1"/>
  <c r="H343" i="27" s="1"/>
  <c r="H344" i="27" s="1"/>
  <c r="H339" i="27"/>
  <c r="H116" i="27"/>
  <c r="H117" i="27" s="1"/>
  <c r="H118" i="27" s="1"/>
  <c r="H119" i="27" s="1"/>
  <c r="H120" i="27" s="1"/>
  <c r="H115" i="27"/>
  <c r="H377" i="27"/>
  <c r="Q64" i="24"/>
  <c r="J494" i="27"/>
  <c r="A494" i="27" s="1"/>
  <c r="S64" i="24"/>
  <c r="R64" i="24"/>
  <c r="P64" i="24"/>
  <c r="B496" i="27"/>
  <c r="C495" i="27"/>
  <c r="F2448" i="27"/>
  <c r="F2449" i="27"/>
  <c r="F2450" i="27" s="1"/>
  <c r="F2451" i="27" s="1"/>
  <c r="F2452" i="27" s="1"/>
  <c r="F2453" i="27" s="1"/>
  <c r="H720" i="27"/>
  <c r="J173" i="16" a="1"/>
  <c r="J173" i="16" s="1"/>
  <c r="I174" i="16" a="1"/>
  <c r="I174" i="16" s="1"/>
  <c r="C264" i="20"/>
  <c r="D264" i="20" s="1"/>
  <c r="D263" i="20"/>
  <c r="H513" i="27"/>
  <c r="U645" i="32"/>
  <c r="AI23" i="30"/>
  <c r="AG23" i="31"/>
  <c r="I39" i="16" a="1"/>
  <c r="I39" i="16" s="1"/>
  <c r="H40" i="16" a="1"/>
  <c r="H40" i="16" s="1"/>
  <c r="G495" i="27"/>
  <c r="O28" i="27"/>
  <c r="L21" i="30"/>
  <c r="E495" i="27"/>
  <c r="G31" i="27"/>
  <c r="D2298" i="27"/>
  <c r="T495" i="27"/>
  <c r="D29" i="27"/>
  <c r="I2299" i="27"/>
  <c r="P31" i="27"/>
  <c r="K2867" i="27"/>
  <c r="E31" i="27"/>
  <c r="AL31" i="30"/>
  <c r="D494" i="27"/>
  <c r="L2298" i="27"/>
  <c r="H255" i="27"/>
  <c r="I2290" i="27"/>
  <c r="M376" i="27"/>
  <c r="L495" i="27"/>
  <c r="Q495" i="27"/>
  <c r="J2868" i="27"/>
  <c r="S485" i="27"/>
  <c r="R495" i="27"/>
  <c r="I152" i="27"/>
  <c r="M2298" i="27"/>
  <c r="G755" i="27"/>
  <c r="M31" i="27" a="1"/>
  <c r="AI33" i="31"/>
  <c r="K719" i="27"/>
  <c r="O29" i="27"/>
  <c r="BC27" i="34"/>
  <c r="R31" i="27"/>
  <c r="S493" i="27"/>
  <c r="S492" i="27"/>
  <c r="K495" i="27"/>
  <c r="O27" i="27"/>
  <c r="J495" i="27" a="1"/>
  <c r="N152" i="27"/>
  <c r="BD27" i="34"/>
  <c r="H2867" i="27"/>
  <c r="I2867" i="27"/>
  <c r="G643" i="32"/>
  <c r="L31" i="27"/>
  <c r="J31" i="27"/>
  <c r="P19" i="31"/>
  <c r="X21" i="30"/>
  <c r="M495" i="27"/>
  <c r="J2869" i="27"/>
  <c r="N376" i="27"/>
  <c r="P2298" i="27"/>
  <c r="U495" i="27"/>
  <c r="I2294" i="27"/>
  <c r="F31" i="27"/>
  <c r="K152" i="27"/>
  <c r="S495" i="27"/>
  <c r="O495" i="27"/>
  <c r="I2287" i="27"/>
  <c r="S487" i="27"/>
  <c r="I2295" i="27"/>
  <c r="S484" i="27"/>
  <c r="I2296" i="27"/>
  <c r="I376" i="27"/>
  <c r="P21" i="30"/>
  <c r="E31" i="31"/>
  <c r="Q255" i="27"/>
  <c r="I2293" i="27"/>
  <c r="J2298" i="27"/>
  <c r="I2298" i="27"/>
  <c r="S489" i="27"/>
  <c r="X19" i="31"/>
  <c r="O31" i="27"/>
  <c r="I153" i="27"/>
  <c r="I495" i="27"/>
  <c r="I2292" i="27"/>
  <c r="O2298" i="27"/>
  <c r="N495" i="27"/>
  <c r="E31" i="30"/>
  <c r="G31" i="33"/>
  <c r="S490" i="27"/>
  <c r="I2289" i="27"/>
  <c r="I2288" i="27"/>
  <c r="I2286" i="27"/>
  <c r="I2297" i="27"/>
  <c r="T21" i="30"/>
  <c r="S491" i="27"/>
  <c r="J719" i="27"/>
  <c r="O30" i="27"/>
  <c r="A338" i="32"/>
  <c r="I2285" i="27"/>
  <c r="I2291" i="27"/>
  <c r="BD31" i="33"/>
  <c r="N2298" i="27"/>
  <c r="A32" i="32"/>
  <c r="F2298" i="27"/>
  <c r="F495" i="27"/>
  <c r="L19" i="31"/>
  <c r="S494" i="27"/>
  <c r="K2298" i="27"/>
  <c r="P495" i="27"/>
  <c r="H31" i="27"/>
  <c r="G338" i="32"/>
  <c r="O32" i="27"/>
  <c r="A643" i="32"/>
  <c r="Q31" i="27"/>
  <c r="K376" i="27"/>
  <c r="S488" i="27"/>
  <c r="K31" i="27"/>
  <c r="M152" i="27"/>
  <c r="T19" i="31"/>
  <c r="V495" i="27"/>
  <c r="S486" i="27"/>
  <c r="J377" i="27"/>
  <c r="H130" i="24" l="1"/>
  <c r="P118" i="24"/>
  <c r="Q118" i="24"/>
  <c r="S118" i="24"/>
  <c r="R118" i="24"/>
  <c r="Q338" i="32"/>
  <c r="P340" i="32"/>
  <c r="S336" i="32" a="1"/>
  <c r="S336" i="32" s="1"/>
  <c r="E336" i="32" s="1"/>
  <c r="R336" i="32" a="1"/>
  <c r="R336" i="32" s="1"/>
  <c r="D336" i="32" s="1"/>
  <c r="T336" i="32" a="1"/>
  <c r="T336" i="32" s="1"/>
  <c r="M1047" i="27" s="1"/>
  <c r="A1047" i="27" s="1"/>
  <c r="V336" i="32" a="1"/>
  <c r="V336" i="32" s="1"/>
  <c r="L336" i="32" s="1"/>
  <c r="P7" i="29" a="1"/>
  <c r="P7" i="29" s="1"/>
  <c r="Q7" i="29" s="1"/>
  <c r="O6" i="29"/>
  <c r="A152" i="27"/>
  <c r="T152" i="27" s="1"/>
  <c r="H76" i="24"/>
  <c r="E171" i="24"/>
  <c r="AH37" i="31"/>
  <c r="AJ35" i="30"/>
  <c r="BA35" i="33"/>
  <c r="U342" i="32"/>
  <c r="A376" i="27"/>
  <c r="T418" i="32" a="1"/>
  <c r="T418" i="32" s="1"/>
  <c r="V418" i="32" a="1"/>
  <c r="V418" i="32" s="1"/>
  <c r="L418" i="32" s="1"/>
  <c r="R418" i="32" a="1"/>
  <c r="R418" i="32" s="1"/>
  <c r="D418" i="32" s="1"/>
  <c r="S418" i="32" a="1"/>
  <c r="S418" i="32" s="1"/>
  <c r="E418" i="32" s="1"/>
  <c r="P422" i="32"/>
  <c r="Q420" i="32"/>
  <c r="A2298" i="27"/>
  <c r="M31" i="27"/>
  <c r="A31" i="27" s="1"/>
  <c r="V799" i="32" a="1"/>
  <c r="V799" i="32" s="1"/>
  <c r="L799" i="32" s="1"/>
  <c r="S799" i="32" a="1"/>
  <c r="S799" i="32" s="1"/>
  <c r="E799" i="32" s="1"/>
  <c r="R799" i="32" a="1"/>
  <c r="R799" i="32" s="1"/>
  <c r="D799" i="32" s="1"/>
  <c r="T799" i="32" a="1"/>
  <c r="T799" i="32" s="1"/>
  <c r="P723" i="32"/>
  <c r="Q721" i="32"/>
  <c r="U36" i="32"/>
  <c r="R28" i="32" a="1"/>
  <c r="R28" i="32" s="1"/>
  <c r="D28" i="32" s="1"/>
  <c r="S28" i="32" a="1"/>
  <c r="S28" i="32" s="1"/>
  <c r="E28" i="32" s="1"/>
  <c r="F1350" i="27" s="1"/>
  <c r="T28" i="32" a="1"/>
  <c r="T28" i="32" s="1"/>
  <c r="M1350" i="27" s="1"/>
  <c r="A1350" i="27" s="1"/>
  <c r="V28" i="32" a="1"/>
  <c r="V28" i="32" s="1"/>
  <c r="L28" i="32" s="1"/>
  <c r="B241" i="27"/>
  <c r="I240" i="27"/>
  <c r="V26" i="32" a="1"/>
  <c r="V26" i="32" s="1"/>
  <c r="L26" i="32" s="1"/>
  <c r="R26" i="32" a="1"/>
  <c r="R26" i="32" s="1"/>
  <c r="D26" i="32" s="1"/>
  <c r="T26" i="32" a="1"/>
  <c r="T26" i="32" s="1"/>
  <c r="M1349" i="27" s="1"/>
  <c r="A1349" i="27" s="1"/>
  <c r="S26" i="32" a="1"/>
  <c r="S26" i="32" s="1"/>
  <c r="E26" i="32" s="1"/>
  <c r="F1349" i="27" s="1"/>
  <c r="AY29" i="34"/>
  <c r="S48" i="32" a="1"/>
  <c r="S48" i="32" s="1"/>
  <c r="E48" i="32" s="1"/>
  <c r="V48" i="32" a="1"/>
  <c r="V48" i="32" s="1"/>
  <c r="L48" i="32" s="1"/>
  <c r="R48" i="32" a="1"/>
  <c r="R48" i="32" s="1"/>
  <c r="D48" i="32" s="1"/>
  <c r="T48" i="32" a="1"/>
  <c r="T48" i="32" s="1"/>
  <c r="I33" i="27"/>
  <c r="S46" i="32" a="1"/>
  <c r="S46" i="32" s="1"/>
  <c r="E46" i="32" s="1"/>
  <c r="T46" i="32" a="1"/>
  <c r="T46" i="32" s="1"/>
  <c r="V46" i="32" a="1"/>
  <c r="V46" i="32" s="1"/>
  <c r="L46" i="32" s="1"/>
  <c r="R46" i="32" a="1"/>
  <c r="R46" i="32" s="1"/>
  <c r="D46" i="32" s="1"/>
  <c r="B2300" i="27"/>
  <c r="Q801" i="32"/>
  <c r="P803" i="32"/>
  <c r="A2867" i="27"/>
  <c r="P851" i="32"/>
  <c r="Q849" i="32"/>
  <c r="P767" i="32"/>
  <c r="Q765" i="32"/>
  <c r="Q647" i="32"/>
  <c r="P649" i="32"/>
  <c r="F41" i="16" a="1"/>
  <c r="F41" i="16" s="1"/>
  <c r="F42" i="16" s="1" a="1"/>
  <c r="F42" i="16" s="1"/>
  <c r="H282" i="24"/>
  <c r="C246" i="20"/>
  <c r="D245" i="20"/>
  <c r="Q685" i="32"/>
  <c r="P687" i="32"/>
  <c r="F2870" i="27"/>
  <c r="H298" i="24"/>
  <c r="H226" i="24"/>
  <c r="H234" i="24"/>
  <c r="C28" i="24"/>
  <c r="H290" i="24"/>
  <c r="Q147" i="24"/>
  <c r="H258" i="24"/>
  <c r="N53" i="1"/>
  <c r="T53" i="1"/>
  <c r="H250" i="24"/>
  <c r="H266" i="24"/>
  <c r="H242" i="24"/>
  <c r="H378" i="27"/>
  <c r="H345" i="27"/>
  <c r="H346" i="27"/>
  <c r="H347" i="27" s="1"/>
  <c r="H348" i="27" s="1"/>
  <c r="H349" i="27" s="1"/>
  <c r="H350" i="27" s="1"/>
  <c r="H122" i="27"/>
  <c r="H123" i="27" s="1"/>
  <c r="H124" i="27" s="1"/>
  <c r="H125" i="27" s="1"/>
  <c r="H126" i="27" s="1"/>
  <c r="H121" i="27"/>
  <c r="H154" i="27"/>
  <c r="S66" i="24"/>
  <c r="R66" i="24"/>
  <c r="P66" i="24"/>
  <c r="J495" i="27"/>
  <c r="A495" i="27" s="1"/>
  <c r="Q66" i="24"/>
  <c r="O7" i="29"/>
  <c r="H721" i="27"/>
  <c r="R783" i="32" a="1"/>
  <c r="R783" i="32" s="1"/>
  <c r="D783" i="32" s="1"/>
  <c r="T783" i="32" a="1"/>
  <c r="T783" i="32" s="1"/>
  <c r="S783" i="32" a="1"/>
  <c r="S783" i="32" s="1"/>
  <c r="E783" i="32" s="1"/>
  <c r="S785" i="32" a="1"/>
  <c r="S785" i="32" s="1"/>
  <c r="E785" i="32" s="1"/>
  <c r="S791" i="32" a="1"/>
  <c r="S791" i="32" s="1"/>
  <c r="E791" i="32" s="1"/>
  <c r="T781" i="32" a="1"/>
  <c r="T781" i="32" s="1"/>
  <c r="S781" i="32" a="1"/>
  <c r="S781" i="32" s="1"/>
  <c r="E781" i="32" s="1"/>
  <c r="V783" i="32" a="1"/>
  <c r="V783" i="32" s="1"/>
  <c r="L783" i="32" s="1"/>
  <c r="R781" i="32" a="1"/>
  <c r="R781" i="32" s="1"/>
  <c r="D781" i="32" s="1"/>
  <c r="V781" i="32" a="1"/>
  <c r="V781" i="32" s="1"/>
  <c r="L781" i="32" s="1"/>
  <c r="V791" i="32" a="1"/>
  <c r="V791" i="32" s="1"/>
  <c r="L791" i="32" s="1"/>
  <c r="AG25" i="31"/>
  <c r="AI25" i="30"/>
  <c r="F2454" i="27"/>
  <c r="F2455" i="27"/>
  <c r="F2456" i="27" s="1"/>
  <c r="F2457" i="27" s="1"/>
  <c r="F2458" i="27" s="1"/>
  <c r="F2459" i="27" s="1"/>
  <c r="C496" i="27"/>
  <c r="B497" i="27"/>
  <c r="I40" i="16" a="1"/>
  <c r="I40" i="16" s="1"/>
  <c r="H41" i="16" a="1"/>
  <c r="H41" i="16" s="1"/>
  <c r="U647" i="32"/>
  <c r="J174" i="16" a="1"/>
  <c r="J174" i="16" s="1"/>
  <c r="I175" i="16" a="1"/>
  <c r="I175" i="16" s="1"/>
  <c r="T23" i="30"/>
  <c r="F2299" i="27"/>
  <c r="AL33" i="30"/>
  <c r="I496" i="27"/>
  <c r="H2868" i="27"/>
  <c r="N377" i="27"/>
  <c r="E33" i="30"/>
  <c r="M377" i="27"/>
  <c r="T21" i="31"/>
  <c r="K2299" i="27"/>
  <c r="O496" i="27"/>
  <c r="J2870" i="27"/>
  <c r="M153" i="27"/>
  <c r="R32" i="27"/>
  <c r="N496" i="27"/>
  <c r="Q496" i="27"/>
  <c r="G32" i="27"/>
  <c r="S496" i="27"/>
  <c r="G33" i="33"/>
  <c r="N2299" i="27"/>
  <c r="D495" i="27"/>
  <c r="H32" i="27"/>
  <c r="J496" i="27" a="1"/>
  <c r="BD33" i="33"/>
  <c r="F32" i="27"/>
  <c r="K2869" i="27"/>
  <c r="P23" i="30"/>
  <c r="L496" i="27"/>
  <c r="A34" i="32"/>
  <c r="L21" i="31"/>
  <c r="U496" i="27"/>
  <c r="P496" i="27"/>
  <c r="J2299" i="27"/>
  <c r="K32" i="27"/>
  <c r="BD28" i="34"/>
  <c r="K720" i="27"/>
  <c r="P2299" i="27"/>
  <c r="I2868" i="27"/>
  <c r="K377" i="27"/>
  <c r="X23" i="30"/>
  <c r="J720" i="27"/>
  <c r="K154" i="27"/>
  <c r="I2869" i="27"/>
  <c r="J153" i="27"/>
  <c r="T496" i="27"/>
  <c r="I377" i="27"/>
  <c r="M496" i="27"/>
  <c r="K378" i="27"/>
  <c r="H256" i="27"/>
  <c r="AI35" i="31"/>
  <c r="G340" i="32"/>
  <c r="H2869" i="27"/>
  <c r="BC28" i="34"/>
  <c r="I2870" i="27"/>
  <c r="E32" i="27"/>
  <c r="N153" i="27"/>
  <c r="M2299" i="27"/>
  <c r="Q32" i="27"/>
  <c r="A645" i="32"/>
  <c r="L23" i="30"/>
  <c r="L32" i="27"/>
  <c r="K2868" i="27"/>
  <c r="G34" i="32"/>
  <c r="K153" i="27"/>
  <c r="E496" i="27"/>
  <c r="P21" i="31"/>
  <c r="D30" i="27"/>
  <c r="G496" i="27"/>
  <c r="O2299" i="27"/>
  <c r="D2299" i="27"/>
  <c r="G645" i="32"/>
  <c r="G756" i="27"/>
  <c r="M32" i="27" a="1"/>
  <c r="K2870" i="27"/>
  <c r="V496" i="27"/>
  <c r="X21" i="31"/>
  <c r="P32" i="27"/>
  <c r="R496" i="27"/>
  <c r="K496" i="27"/>
  <c r="Q256" i="27"/>
  <c r="E33" i="31"/>
  <c r="F496" i="27"/>
  <c r="A340" i="32"/>
  <c r="L2299" i="27"/>
  <c r="J32" i="27"/>
  <c r="H132" i="24" l="1"/>
  <c r="Q120" i="24"/>
  <c r="P120" i="24"/>
  <c r="R120" i="24"/>
  <c r="S120" i="24"/>
  <c r="Q340" i="32"/>
  <c r="P342" i="32"/>
  <c r="S338" i="32" a="1"/>
  <c r="S338" i="32" s="1"/>
  <c r="E338" i="32" s="1"/>
  <c r="T338" i="32" a="1"/>
  <c r="T338" i="32" s="1"/>
  <c r="V338" i="32" a="1"/>
  <c r="V338" i="32" s="1"/>
  <c r="L338" i="32" s="1"/>
  <c r="R338" i="32" a="1"/>
  <c r="R338" i="32" s="1"/>
  <c r="D338" i="32" s="1"/>
  <c r="P8" i="29" a="1"/>
  <c r="P8" i="29" s="1"/>
  <c r="Q8" i="29" s="1"/>
  <c r="H78" i="24"/>
  <c r="E173" i="24"/>
  <c r="BA37" i="33"/>
  <c r="U344" i="32"/>
  <c r="AJ37" i="30"/>
  <c r="A2868" i="27"/>
  <c r="R420" i="32" a="1"/>
  <c r="R420" i="32" s="1"/>
  <c r="D420" i="32" s="1"/>
  <c r="V420" i="32" a="1"/>
  <c r="V420" i="32" s="1"/>
  <c r="L420" i="32" s="1"/>
  <c r="T420" i="32" a="1"/>
  <c r="T420" i="32" s="1"/>
  <c r="S420" i="32" a="1"/>
  <c r="S420" i="32" s="1"/>
  <c r="E420" i="32" s="1"/>
  <c r="P424" i="32"/>
  <c r="Q422" i="32"/>
  <c r="M32" i="27"/>
  <c r="A32" i="27" s="1"/>
  <c r="A2299" i="27"/>
  <c r="Q723" i="32"/>
  <c r="P725" i="32"/>
  <c r="B2301" i="27"/>
  <c r="B242" i="27"/>
  <c r="I241" i="27"/>
  <c r="P805" i="32"/>
  <c r="Q803" i="32"/>
  <c r="T801" i="32" a="1"/>
  <c r="T801" i="32" s="1"/>
  <c r="R801" i="32" a="1"/>
  <c r="R801" i="32" s="1"/>
  <c r="D801" i="32" s="1"/>
  <c r="V801" i="32" a="1"/>
  <c r="V801" i="32" s="1"/>
  <c r="L801" i="32" s="1"/>
  <c r="S801" i="32" a="1"/>
  <c r="S801" i="32" s="1"/>
  <c r="E801" i="32" s="1"/>
  <c r="AY30" i="34"/>
  <c r="U38" i="32"/>
  <c r="P853" i="32"/>
  <c r="Q851" i="32"/>
  <c r="Q649" i="32"/>
  <c r="P651" i="32"/>
  <c r="P769" i="32"/>
  <c r="Q767" i="32"/>
  <c r="A153" i="27"/>
  <c r="T153" i="27" s="1"/>
  <c r="A377" i="27"/>
  <c r="A2869" i="27"/>
  <c r="F43" i="16" a="1"/>
  <c r="F43" i="16" s="1"/>
  <c r="F44" i="16" s="1" a="1"/>
  <c r="F44" i="16" s="1"/>
  <c r="C247" i="20"/>
  <c r="D246" i="20"/>
  <c r="P689" i="32"/>
  <c r="Q687" i="32"/>
  <c r="A2870" i="27"/>
  <c r="F2871" i="27"/>
  <c r="AU179" i="24"/>
  <c r="AU201" i="24"/>
  <c r="AU187" i="24"/>
  <c r="AU203" i="24"/>
  <c r="AU171" i="24"/>
  <c r="AU159" i="24"/>
  <c r="AU169" i="24"/>
  <c r="AU205" i="24"/>
  <c r="AU189" i="24"/>
  <c r="AU151" i="24"/>
  <c r="AU191" i="24"/>
  <c r="AU193" i="24"/>
  <c r="AU173" i="24"/>
  <c r="AU161" i="24"/>
  <c r="AU177" i="24"/>
  <c r="AU175" i="24"/>
  <c r="AU207" i="24"/>
  <c r="AU181" i="24"/>
  <c r="AU163" i="24"/>
  <c r="AU149" i="24"/>
  <c r="AU195" i="24"/>
  <c r="AU183" i="24"/>
  <c r="AU165" i="24"/>
  <c r="AU153" i="24"/>
  <c r="AU197" i="24"/>
  <c r="AU185" i="24"/>
  <c r="AU155" i="24"/>
  <c r="AU167" i="24"/>
  <c r="AU157" i="24"/>
  <c r="AU199" i="24"/>
  <c r="H155" i="27"/>
  <c r="H128" i="27"/>
  <c r="H129" i="27" s="1"/>
  <c r="H130" i="27" s="1"/>
  <c r="H131" i="27" s="1"/>
  <c r="H132" i="27" s="1"/>
  <c r="H133" i="27" s="1"/>
  <c r="H127" i="27"/>
  <c r="H351" i="27"/>
  <c r="H352" i="27"/>
  <c r="H353" i="27" s="1"/>
  <c r="H354" i="27" s="1"/>
  <c r="H355" i="27" s="1"/>
  <c r="H356" i="27" s="1"/>
  <c r="H357" i="27" s="1"/>
  <c r="H379" i="27"/>
  <c r="J496" i="27"/>
  <c r="A496" i="27" s="1"/>
  <c r="Q68" i="24"/>
  <c r="S68" i="24"/>
  <c r="P68" i="24"/>
  <c r="R68" i="24"/>
  <c r="C497" i="27"/>
  <c r="B498" i="27"/>
  <c r="K1442" i="27"/>
  <c r="K1441" i="27"/>
  <c r="K1427" i="27"/>
  <c r="K1428" i="27"/>
  <c r="K1439" i="27"/>
  <c r="K1440" i="27"/>
  <c r="N2030" i="27"/>
  <c r="P2029" i="27"/>
  <c r="O2030" i="27"/>
  <c r="E2029" i="27"/>
  <c r="K2030" i="27"/>
  <c r="I2030" i="27"/>
  <c r="O2029" i="27"/>
  <c r="N2029" i="27"/>
  <c r="G2030" i="27"/>
  <c r="E2030" i="27"/>
  <c r="P2030" i="27"/>
  <c r="K2029" i="27"/>
  <c r="I2029" i="27"/>
  <c r="G2029" i="27"/>
  <c r="P9" i="29" a="1"/>
  <c r="P9" i="29" s="1"/>
  <c r="U649" i="32"/>
  <c r="K1437" i="27"/>
  <c r="K1438" i="27"/>
  <c r="I41" i="16" a="1"/>
  <c r="I41" i="16" s="1"/>
  <c r="H42" i="16" a="1"/>
  <c r="H42" i="16" s="1"/>
  <c r="K1432" i="27"/>
  <c r="K1431" i="27"/>
  <c r="K1436" i="27"/>
  <c r="K1435" i="27"/>
  <c r="H722" i="27"/>
  <c r="J175" i="16" a="1"/>
  <c r="J175" i="16" s="1"/>
  <c r="I176" i="16" a="1"/>
  <c r="I176" i="16" s="1"/>
  <c r="K1430" i="27"/>
  <c r="K1429" i="27"/>
  <c r="AG27" i="31"/>
  <c r="G2025" i="27"/>
  <c r="N2026" i="27"/>
  <c r="P2026" i="27"/>
  <c r="E2026" i="27"/>
  <c r="K2025" i="27"/>
  <c r="O2025" i="27"/>
  <c r="E2025" i="27"/>
  <c r="G2026" i="27"/>
  <c r="O2026" i="27"/>
  <c r="P2025" i="27"/>
  <c r="I2025" i="27"/>
  <c r="I2026" i="27"/>
  <c r="K2026" i="27"/>
  <c r="N2025" i="27"/>
  <c r="F2460" i="27"/>
  <c r="F2461" i="27"/>
  <c r="F2462" i="27" s="1"/>
  <c r="F2463" i="27" s="1"/>
  <c r="F2464" i="27" s="1"/>
  <c r="F2465" i="27" s="1"/>
  <c r="K1433" i="27"/>
  <c r="K1434" i="27"/>
  <c r="AI27" i="30"/>
  <c r="O2032" i="27"/>
  <c r="P2032" i="27"/>
  <c r="K2032" i="27"/>
  <c r="O2031" i="27"/>
  <c r="G2032" i="27"/>
  <c r="N2032" i="27"/>
  <c r="E2032" i="27"/>
  <c r="I2031" i="27"/>
  <c r="K2031" i="27"/>
  <c r="N2031" i="27"/>
  <c r="E2031" i="27"/>
  <c r="P2031" i="27"/>
  <c r="I2032" i="27"/>
  <c r="G2031" i="27"/>
  <c r="E2028" i="27"/>
  <c r="P2028" i="27"/>
  <c r="K2028" i="27"/>
  <c r="K2027" i="27"/>
  <c r="N2027" i="27"/>
  <c r="N2028" i="27"/>
  <c r="O2027" i="27"/>
  <c r="O2028" i="27"/>
  <c r="I2028" i="27"/>
  <c r="I2027" i="27"/>
  <c r="G2027" i="27"/>
  <c r="P2027" i="27"/>
  <c r="E2027" i="27"/>
  <c r="G2028" i="27"/>
  <c r="D496" i="27"/>
  <c r="P33" i="27"/>
  <c r="E33" i="27"/>
  <c r="A36" i="32"/>
  <c r="BD35" i="33"/>
  <c r="M497" i="27"/>
  <c r="S497" i="27"/>
  <c r="BC29" i="34"/>
  <c r="AL35" i="30"/>
  <c r="H33" i="27"/>
  <c r="G497" i="27"/>
  <c r="J721" i="27"/>
  <c r="M154" i="27"/>
  <c r="D2300" i="27"/>
  <c r="P25" i="30"/>
  <c r="T25" i="30"/>
  <c r="P497" i="27"/>
  <c r="I2300" i="27"/>
  <c r="T497" i="27"/>
  <c r="P23" i="31"/>
  <c r="H2870" i="27"/>
  <c r="V497" i="27"/>
  <c r="K2300" i="27"/>
  <c r="U497" i="27"/>
  <c r="L23" i="31"/>
  <c r="K497" i="27"/>
  <c r="J33" i="27"/>
  <c r="Q257" i="27"/>
  <c r="BD29" i="34"/>
  <c r="G36" i="32"/>
  <c r="X23" i="31"/>
  <c r="K721" i="27"/>
  <c r="E35" i="30"/>
  <c r="G342" i="32"/>
  <c r="P2300" i="27"/>
  <c r="O497" i="27"/>
  <c r="J497" i="27" a="1"/>
  <c r="G757" i="27"/>
  <c r="J378" i="27"/>
  <c r="L2300" i="27"/>
  <c r="M378" i="27"/>
  <c r="K33" i="27"/>
  <c r="F33" i="27"/>
  <c r="G647" i="32"/>
  <c r="R33" i="27"/>
  <c r="L33" i="27"/>
  <c r="D31" i="27"/>
  <c r="H257" i="27"/>
  <c r="AI37" i="31"/>
  <c r="M2300" i="27"/>
  <c r="N497" i="27"/>
  <c r="N378" i="27"/>
  <c r="N154" i="27"/>
  <c r="Q33" i="27"/>
  <c r="Q497" i="27"/>
  <c r="O2300" i="27"/>
  <c r="A647" i="32"/>
  <c r="J154" i="27"/>
  <c r="X25" i="30"/>
  <c r="I155" i="27"/>
  <c r="I378" i="27"/>
  <c r="M33" i="27" a="1"/>
  <c r="J2871" i="27"/>
  <c r="F2300" i="27"/>
  <c r="I154" i="27"/>
  <c r="M379" i="27"/>
  <c r="E497" i="27"/>
  <c r="O33" i="27"/>
  <c r="F497" i="27"/>
  <c r="E35" i="31"/>
  <c r="L497" i="27"/>
  <c r="G35" i="33"/>
  <c r="I497" i="27"/>
  <c r="N2300" i="27"/>
  <c r="I2871" i="27"/>
  <c r="L25" i="30"/>
  <c r="J2300" i="27"/>
  <c r="T23" i="31"/>
  <c r="A342" i="32"/>
  <c r="R497" i="27"/>
  <c r="G33" i="27"/>
  <c r="S122" i="24" l="1"/>
  <c r="R122" i="24"/>
  <c r="H134" i="24"/>
  <c r="P122" i="24"/>
  <c r="Q122" i="24"/>
  <c r="Q342" i="32"/>
  <c r="P344" i="32"/>
  <c r="R340" i="32" a="1"/>
  <c r="R340" i="32" s="1"/>
  <c r="D340" i="32" s="1"/>
  <c r="S340" i="32" a="1"/>
  <c r="S340" i="32" s="1"/>
  <c r="E340" i="32" s="1"/>
  <c r="T340" i="32" a="1"/>
  <c r="T340" i="32" s="1"/>
  <c r="V340" i="32" a="1"/>
  <c r="V340" i="32" s="1"/>
  <c r="L340" i="32" s="1"/>
  <c r="O8" i="29"/>
  <c r="H80" i="24"/>
  <c r="H136" i="24"/>
  <c r="L1050" i="27"/>
  <c r="I1050" i="27"/>
  <c r="K1050" i="27"/>
  <c r="O1050" i="27"/>
  <c r="G1050" i="27"/>
  <c r="E1050" i="27"/>
  <c r="K900" i="27"/>
  <c r="J1050" i="27"/>
  <c r="N1050" i="27"/>
  <c r="E175" i="24"/>
  <c r="BA39" i="33"/>
  <c r="U346" i="32"/>
  <c r="A154" i="27"/>
  <c r="T154" i="27" s="1"/>
  <c r="V422" i="32" a="1"/>
  <c r="V422" i="32" s="1"/>
  <c r="L422" i="32" s="1"/>
  <c r="T422" i="32" a="1"/>
  <c r="T422" i="32" s="1"/>
  <c r="R422" i="32" a="1"/>
  <c r="R422" i="32" s="1"/>
  <c r="D422" i="32" s="1"/>
  <c r="S422" i="32" a="1"/>
  <c r="S422" i="32" s="1"/>
  <c r="E422" i="32" s="1"/>
  <c r="P426" i="32"/>
  <c r="Q424" i="32"/>
  <c r="M33" i="27"/>
  <c r="A33" i="27" s="1"/>
  <c r="A2300" i="27"/>
  <c r="V803" i="32" a="1"/>
  <c r="V803" i="32" s="1"/>
  <c r="L803" i="32" s="1"/>
  <c r="S803" i="32" a="1"/>
  <c r="S803" i="32" s="1"/>
  <c r="E803" i="32" s="1"/>
  <c r="R803" i="32" a="1"/>
  <c r="R803" i="32" s="1"/>
  <c r="D803" i="32" s="1"/>
  <c r="T803" i="32" a="1"/>
  <c r="T803" i="32" s="1"/>
  <c r="P807" i="32"/>
  <c r="Q805" i="32"/>
  <c r="B2302" i="27"/>
  <c r="F45" i="16" a="1"/>
  <c r="F45" i="16" s="1"/>
  <c r="F46" i="16" s="1" a="1"/>
  <c r="F46" i="16" s="1"/>
  <c r="F47" i="16" s="1" a="1"/>
  <c r="F47" i="16" s="1"/>
  <c r="U40" i="32"/>
  <c r="B243" i="27"/>
  <c r="I242" i="27"/>
  <c r="P727" i="32"/>
  <c r="Q725" i="32"/>
  <c r="AY31" i="34"/>
  <c r="P855" i="32"/>
  <c r="Q853" i="32"/>
  <c r="Q769" i="32"/>
  <c r="P771" i="32"/>
  <c r="P653" i="32"/>
  <c r="Q651" i="32"/>
  <c r="A378" i="27"/>
  <c r="Q689" i="32"/>
  <c r="P691" i="32"/>
  <c r="V825" i="32" a="1"/>
  <c r="V825" i="32" s="1"/>
  <c r="L825" i="32" s="1"/>
  <c r="V827" i="32" a="1"/>
  <c r="V827" i="32" s="1"/>
  <c r="L827" i="32" s="1"/>
  <c r="D247" i="20"/>
  <c r="C248" i="20"/>
  <c r="D248" i="20" s="1"/>
  <c r="F2872" i="27"/>
  <c r="H380" i="27"/>
  <c r="H156" i="27"/>
  <c r="Q70" i="24"/>
  <c r="R70" i="24"/>
  <c r="K1443" i="27"/>
  <c r="K2033" i="27"/>
  <c r="K1444" i="27"/>
  <c r="P2033" i="27"/>
  <c r="E2033" i="27"/>
  <c r="O2033" i="27"/>
  <c r="N2033" i="27"/>
  <c r="G2033" i="27"/>
  <c r="I2033" i="27"/>
  <c r="J497" i="27"/>
  <c r="A497" i="27" s="1"/>
  <c r="P70" i="24"/>
  <c r="S70" i="24"/>
  <c r="AI29" i="30"/>
  <c r="AG29" i="31"/>
  <c r="H724" i="27"/>
  <c r="H723" i="27"/>
  <c r="Q9" i="29"/>
  <c r="O9" i="29"/>
  <c r="P10" i="29" a="1"/>
  <c r="P10" i="29" s="1"/>
  <c r="U651" i="32"/>
  <c r="J176" i="16" a="1"/>
  <c r="J176" i="16" s="1"/>
  <c r="I177" i="16" a="1"/>
  <c r="I177" i="16" s="1"/>
  <c r="F2467" i="27"/>
  <c r="F2468" i="27" s="1"/>
  <c r="F2469" i="27" s="1"/>
  <c r="F2470" i="27" s="1"/>
  <c r="F2471" i="27" s="1"/>
  <c r="F2466" i="27"/>
  <c r="I42" i="16" a="1"/>
  <c r="I42" i="16" s="1"/>
  <c r="H43" i="16" a="1"/>
  <c r="H43" i="16" s="1"/>
  <c r="C498" i="27"/>
  <c r="B499" i="27"/>
  <c r="D32" i="27"/>
  <c r="A649" i="32"/>
  <c r="R498" i="27"/>
  <c r="L2301" i="27"/>
  <c r="O2301" i="27"/>
  <c r="J722" i="27"/>
  <c r="AL37" i="30"/>
  <c r="D2301" i="27"/>
  <c r="T25" i="31"/>
  <c r="N498" i="27"/>
  <c r="J2301" i="27"/>
  <c r="F2301" i="27"/>
  <c r="E37" i="30"/>
  <c r="N2301" i="27"/>
  <c r="K722" i="27"/>
  <c r="K2871" i="27"/>
  <c r="P27" i="30"/>
  <c r="X27" i="30"/>
  <c r="N379" i="27"/>
  <c r="BC30" i="34"/>
  <c r="E498" i="27"/>
  <c r="BD37" i="33"/>
  <c r="BD30" i="34"/>
  <c r="T498" i="27"/>
  <c r="V498" i="27"/>
  <c r="K379" i="27"/>
  <c r="L25" i="31"/>
  <c r="H2871" i="27"/>
  <c r="O498" i="27"/>
  <c r="K498" i="27"/>
  <c r="D497" i="27"/>
  <c r="G37" i="33"/>
  <c r="I379" i="27"/>
  <c r="J379" i="27"/>
  <c r="N155" i="27"/>
  <c r="J498" i="27" a="1"/>
  <c r="J155" i="27"/>
  <c r="G498" i="27"/>
  <c r="A344" i="32"/>
  <c r="G38" i="32"/>
  <c r="M155" i="27"/>
  <c r="L498" i="27"/>
  <c r="P2301" i="27"/>
  <c r="Q498" i="27"/>
  <c r="M498" i="27"/>
  <c r="G758" i="27"/>
  <c r="L27" i="30"/>
  <c r="K155" i="27"/>
  <c r="I2301" i="27"/>
  <c r="K2301" i="27"/>
  <c r="P25" i="31"/>
  <c r="P498" i="27"/>
  <c r="T27" i="30"/>
  <c r="A38" i="32"/>
  <c r="I498" i="27"/>
  <c r="H2872" i="27"/>
  <c r="U498" i="27"/>
  <c r="M2301" i="27"/>
  <c r="S498" i="27"/>
  <c r="G344" i="32"/>
  <c r="X25" i="31"/>
  <c r="G649" i="32"/>
  <c r="F498" i="27"/>
  <c r="A2871" i="27" l="1"/>
  <c r="R124" i="24"/>
  <c r="Q124" i="24"/>
  <c r="S124" i="24"/>
  <c r="P124" i="24"/>
  <c r="P346" i="32"/>
  <c r="Q344" i="32"/>
  <c r="T342" i="32" a="1"/>
  <c r="T342" i="32" s="1"/>
  <c r="M1050" i="27" s="1"/>
  <c r="A1050" i="27" s="1"/>
  <c r="S342" i="32" a="1"/>
  <c r="S342" i="32" s="1"/>
  <c r="E342" i="32" s="1"/>
  <c r="R342" i="32" a="1"/>
  <c r="R342" i="32" s="1"/>
  <c r="D342" i="32" s="1"/>
  <c r="V342" i="32" a="1"/>
  <c r="V342" i="32" s="1"/>
  <c r="L342" i="32" s="1"/>
  <c r="V1727" i="32" a="1"/>
  <c r="V1727" i="32" s="1"/>
  <c r="L1727" i="32" s="1"/>
  <c r="J1051" i="27"/>
  <c r="G1051" i="27"/>
  <c r="O1051" i="27"/>
  <c r="K901" i="27"/>
  <c r="K1051" i="27"/>
  <c r="E1051" i="27"/>
  <c r="I1051" i="27"/>
  <c r="N1051" i="27"/>
  <c r="L1051" i="27"/>
  <c r="H82" i="24"/>
  <c r="E177" i="24"/>
  <c r="T1731" i="32" a="1"/>
  <c r="T1731" i="32" s="1"/>
  <c r="T765" i="32" a="1"/>
  <c r="T765" i="32" s="1"/>
  <c r="BA41" i="33"/>
  <c r="U348" i="32"/>
  <c r="V721" i="32" a="1"/>
  <c r="V721" i="32" s="1"/>
  <c r="L721" i="32" s="1"/>
  <c r="T1643" i="32" a="1"/>
  <c r="T1643" i="32" s="1"/>
  <c r="S1189" i="32" a="1"/>
  <c r="S1189" i="32" s="1"/>
  <c r="E1189" i="32" s="1"/>
  <c r="T1389" i="32" a="1"/>
  <c r="T1389" i="32" s="1"/>
  <c r="R1761" i="32" a="1"/>
  <c r="R1761" i="32" s="1"/>
  <c r="D1761" i="32" s="1"/>
  <c r="S1643" i="32" a="1"/>
  <c r="S1643" i="32" s="1"/>
  <c r="E1643" i="32" s="1"/>
  <c r="T424" i="32" a="1"/>
  <c r="T424" i="32" s="1"/>
  <c r="S424" i="32" a="1"/>
  <c r="S424" i="32" s="1"/>
  <c r="E424" i="32" s="1"/>
  <c r="R424" i="32" a="1"/>
  <c r="R424" i="32" s="1"/>
  <c r="D424" i="32" s="1"/>
  <c r="V424" i="32" a="1"/>
  <c r="V424" i="32" s="1"/>
  <c r="L424" i="32" s="1"/>
  <c r="P428" i="32"/>
  <c r="Q426" i="32"/>
  <c r="A2301" i="27"/>
  <c r="S719" i="32" a="1"/>
  <c r="S719" i="32" s="1"/>
  <c r="E719" i="32" s="1"/>
  <c r="T1441" i="32" a="1"/>
  <c r="T1441" i="32" s="1"/>
  <c r="R1647" i="32" a="1"/>
  <c r="R1647" i="32" s="1"/>
  <c r="D1647" i="32" s="1"/>
  <c r="T1299" i="32" a="1"/>
  <c r="T1299" i="32" s="1"/>
  <c r="S1471" i="32" a="1"/>
  <c r="S1471" i="32" s="1"/>
  <c r="E1471" i="32" s="1"/>
  <c r="T1467" i="32" a="1"/>
  <c r="T1467" i="32" s="1"/>
  <c r="S1611" i="32" a="1"/>
  <c r="S1611" i="32" s="1"/>
  <c r="E1611" i="32" s="1"/>
  <c r="R1199" i="32" a="1"/>
  <c r="R1199" i="32" s="1"/>
  <c r="D1199" i="32" s="1"/>
  <c r="R1219" i="32" a="1"/>
  <c r="R1219" i="32" s="1"/>
  <c r="D1219" i="32" s="1"/>
  <c r="V1435" i="32" a="1"/>
  <c r="V1435" i="32" s="1"/>
  <c r="L1435" i="32" s="1"/>
  <c r="T1461" i="32" a="1"/>
  <c r="T1461" i="32" s="1"/>
  <c r="S1607" i="32" a="1"/>
  <c r="S1607" i="32" s="1"/>
  <c r="E1607" i="32" s="1"/>
  <c r="T1471" i="32" a="1"/>
  <c r="T1471" i="32" s="1"/>
  <c r="V1181" i="32" a="1"/>
  <c r="V1181" i="32" s="1"/>
  <c r="L1181" i="32" s="1"/>
  <c r="R1225" i="32" a="1"/>
  <c r="R1225" i="32" s="1"/>
  <c r="D1225" i="32" s="1"/>
  <c r="S1667" i="32" a="1"/>
  <c r="S1667" i="32" s="1"/>
  <c r="E1667" i="32" s="1"/>
  <c r="V625" i="32" a="1"/>
  <c r="V625" i="32" s="1"/>
  <c r="L625" i="32" s="1"/>
  <c r="C243" i="27"/>
  <c r="B244" i="27"/>
  <c r="I243" i="27"/>
  <c r="T721" i="32" a="1"/>
  <c r="T721" i="32" s="1"/>
  <c r="R1485" i="32" a="1"/>
  <c r="R1485" i="32" s="1"/>
  <c r="D1485" i="32" s="1"/>
  <c r="V1429" i="32" a="1"/>
  <c r="V1429" i="32" s="1"/>
  <c r="L1429" i="32" s="1"/>
  <c r="V1209" i="32" a="1"/>
  <c r="V1209" i="32" s="1"/>
  <c r="L1209" i="32" s="1"/>
  <c r="R1645" i="32" a="1"/>
  <c r="R1645" i="32" s="1"/>
  <c r="D1645" i="32" s="1"/>
  <c r="S1403" i="32" a="1"/>
  <c r="S1403" i="32" s="1"/>
  <c r="E1403" i="32" s="1"/>
  <c r="S1591" i="32" a="1"/>
  <c r="S1591" i="32" s="1"/>
  <c r="E1591" i="32" s="1"/>
  <c r="T1359" i="32" a="1"/>
  <c r="T1359" i="32" s="1"/>
  <c r="U42" i="32"/>
  <c r="T717" i="32" a="1"/>
  <c r="T717" i="32" s="1"/>
  <c r="V1199" i="32" a="1"/>
  <c r="V1199" i="32" s="1"/>
  <c r="L1199" i="32" s="1"/>
  <c r="S1679" i="32" a="1"/>
  <c r="S1679" i="32" s="1"/>
  <c r="E1679" i="32" s="1"/>
  <c r="T835" i="32" a="1"/>
  <c r="T835" i="32" s="1"/>
  <c r="V1341" i="32" a="1"/>
  <c r="V1341" i="32" s="1"/>
  <c r="L1341" i="32" s="1"/>
  <c r="S1645" i="32" a="1"/>
  <c r="S1645" i="32" s="1"/>
  <c r="E1645" i="32" s="1"/>
  <c r="S1567" i="32" a="1"/>
  <c r="S1567" i="32" s="1"/>
  <c r="E1567" i="32" s="1"/>
  <c r="R1241" i="32" a="1"/>
  <c r="R1241" i="32" s="1"/>
  <c r="D1241" i="32" s="1"/>
  <c r="T1711" i="32" a="1"/>
  <c r="T1711" i="32" s="1"/>
  <c r="R1177" i="32" a="1"/>
  <c r="R1177" i="32" s="1"/>
  <c r="D1177" i="32" s="1"/>
  <c r="V1695" i="32" a="1"/>
  <c r="V1695" i="32" s="1"/>
  <c r="L1695" i="32" s="1"/>
  <c r="T1545" i="32" a="1"/>
  <c r="T1545" i="32" s="1"/>
  <c r="V1105" i="32" a="1"/>
  <c r="V1105" i="32" s="1"/>
  <c r="L1105" i="32" s="1"/>
  <c r="V1221" i="32" a="1"/>
  <c r="V1221" i="32" s="1"/>
  <c r="L1221" i="32" s="1"/>
  <c r="R673" i="32" a="1"/>
  <c r="R673" i="32" s="1"/>
  <c r="D673" i="32" s="1"/>
  <c r="R1287" i="32" a="1"/>
  <c r="R1287" i="32" s="1"/>
  <c r="D1287" i="32" s="1"/>
  <c r="B2303" i="27"/>
  <c r="S1655" i="32" a="1"/>
  <c r="S1655" i="32" s="1"/>
  <c r="E1655" i="32" s="1"/>
  <c r="T1387" i="32" a="1"/>
  <c r="T1387" i="32" s="1"/>
  <c r="S1683" i="32" a="1"/>
  <c r="S1683" i="32" s="1"/>
  <c r="E1683" i="32" s="1"/>
  <c r="S1619" i="32" a="1"/>
  <c r="S1619" i="32" s="1"/>
  <c r="E1619" i="32" s="1"/>
  <c r="S1385" i="32" a="1"/>
  <c r="S1385" i="32" s="1"/>
  <c r="E1385" i="32" s="1"/>
  <c r="T1507" i="32" a="1"/>
  <c r="T1507" i="32" s="1"/>
  <c r="V1227" i="32" a="1"/>
  <c r="V1227" i="32" s="1"/>
  <c r="L1227" i="32" s="1"/>
  <c r="V805" i="32" a="1"/>
  <c r="V805" i="32" s="1"/>
  <c r="L805" i="32" s="1"/>
  <c r="R805" i="32" a="1"/>
  <c r="R805" i="32" s="1"/>
  <c r="D805" i="32" s="1"/>
  <c r="S805" i="32" a="1"/>
  <c r="S805" i="32" s="1"/>
  <c r="E805" i="32" s="1"/>
  <c r="T805" i="32" a="1"/>
  <c r="T805" i="32" s="1"/>
  <c r="R1725" i="32" a="1"/>
  <c r="R1725" i="32" s="1"/>
  <c r="D1725" i="32" s="1"/>
  <c r="S1175" i="32" a="1"/>
  <c r="S1175" i="32" s="1"/>
  <c r="E1175" i="32" s="1"/>
  <c r="T1729" i="32" a="1"/>
  <c r="T1729" i="32" s="1"/>
  <c r="S649" i="32" a="1"/>
  <c r="S649" i="32" s="1"/>
  <c r="E649" i="32" s="1"/>
  <c r="S1277" i="32" a="1"/>
  <c r="S1277" i="32" s="1"/>
  <c r="E1277" i="32" s="1"/>
  <c r="V1741" i="32" a="1"/>
  <c r="V1741" i="32" s="1"/>
  <c r="L1741" i="32" s="1"/>
  <c r="R1399" i="32" a="1"/>
  <c r="R1399" i="32" s="1"/>
  <c r="D1399" i="32" s="1"/>
  <c r="V1719" i="32" a="1"/>
  <c r="V1719" i="32" s="1"/>
  <c r="L1719" i="32" s="1"/>
  <c r="Q807" i="32"/>
  <c r="P809" i="32"/>
  <c r="R749" i="32" a="1"/>
  <c r="R749" i="32" s="1"/>
  <c r="D749" i="32" s="1"/>
  <c r="S1435" i="32" a="1"/>
  <c r="S1435" i="32" s="1"/>
  <c r="E1435" i="32" s="1"/>
  <c r="S1335" i="32" a="1"/>
  <c r="S1335" i="32" s="1"/>
  <c r="E1335" i="32" s="1"/>
  <c r="S1359" i="32" a="1"/>
  <c r="S1359" i="32" s="1"/>
  <c r="E1359" i="32" s="1"/>
  <c r="V1575" i="32" a="1"/>
  <c r="V1575" i="32" s="1"/>
  <c r="L1575" i="32" s="1"/>
  <c r="S1133" i="32" a="1"/>
  <c r="S1133" i="32" s="1"/>
  <c r="E1133" i="32" s="1"/>
  <c r="S1199" i="32" a="1"/>
  <c r="S1199" i="32" s="1"/>
  <c r="E1199" i="32" s="1"/>
  <c r="S1121" i="32" a="1"/>
  <c r="S1121" i="32" s="1"/>
  <c r="E1121" i="32" s="1"/>
  <c r="AY32" i="34"/>
  <c r="T1135" i="32" a="1"/>
  <c r="T1135" i="32" s="1"/>
  <c r="R1693" i="32" a="1"/>
  <c r="R1693" i="32" s="1"/>
  <c r="D1693" i="32" s="1"/>
  <c r="S761" i="32" a="1"/>
  <c r="S761" i="32" s="1"/>
  <c r="E761" i="32" s="1"/>
  <c r="S1161" i="32" a="1"/>
  <c r="S1161" i="32" s="1"/>
  <c r="E1161" i="32" s="1"/>
  <c r="S1215" i="32" a="1"/>
  <c r="S1215" i="32" s="1"/>
  <c r="E1215" i="32" s="1"/>
  <c r="V1147" i="32" a="1"/>
  <c r="V1147" i="32" s="1"/>
  <c r="L1147" i="32" s="1"/>
  <c r="T1281" i="32" a="1"/>
  <c r="T1281" i="32" s="1"/>
  <c r="V633" i="32" a="1"/>
  <c r="V633" i="32" s="1"/>
  <c r="L633" i="32" s="1"/>
  <c r="V833" i="32" a="1"/>
  <c r="V833" i="32" s="1"/>
  <c r="L833" i="32" s="1"/>
  <c r="T1283" i="32" a="1"/>
  <c r="T1283" i="32" s="1"/>
  <c r="R1683" i="32" a="1"/>
  <c r="R1683" i="32" s="1"/>
  <c r="D1683" i="32" s="1"/>
  <c r="S1745" i="32" a="1"/>
  <c r="S1745" i="32" s="1"/>
  <c r="E1745" i="32" s="1"/>
  <c r="T671" i="32" a="1"/>
  <c r="T671" i="32" s="1"/>
  <c r="R1501" i="32" a="1"/>
  <c r="R1501" i="32" s="1"/>
  <c r="D1501" i="32" s="1"/>
  <c r="V1107" i="32" a="1"/>
  <c r="V1107" i="32" s="1"/>
  <c r="L1107" i="32" s="1"/>
  <c r="T1773" i="32" a="1"/>
  <c r="T1773" i="32" s="1"/>
  <c r="V641" i="32" a="1"/>
  <c r="V641" i="32" s="1"/>
  <c r="L641" i="32" s="1"/>
  <c r="R1755" i="32" a="1"/>
  <c r="R1755" i="32" s="1"/>
  <c r="D1755" i="32" s="1"/>
  <c r="T1455" i="32" a="1"/>
  <c r="T1455" i="32" s="1"/>
  <c r="T1583" i="32" a="1"/>
  <c r="T1583" i="32" s="1"/>
  <c r="S1747" i="32" a="1"/>
  <c r="S1747" i="32" s="1"/>
  <c r="E1747" i="32" s="1"/>
  <c r="T1477" i="32" a="1"/>
  <c r="T1477" i="32" s="1"/>
  <c r="S1153" i="32" a="1"/>
  <c r="S1153" i="32" s="1"/>
  <c r="E1153" i="32" s="1"/>
  <c r="P729" i="32"/>
  <c r="Q727" i="32"/>
  <c r="A379" i="27"/>
  <c r="P857" i="32"/>
  <c r="Q855" i="32"/>
  <c r="V855" i="32" s="1" a="1"/>
  <c r="V855" i="32" s="1"/>
  <c r="L855" i="32" s="1"/>
  <c r="P655" i="32"/>
  <c r="Q653" i="32"/>
  <c r="S653" i="32" s="1" a="1"/>
  <c r="S653" i="32" s="1"/>
  <c r="E653" i="32" s="1"/>
  <c r="P773" i="32"/>
  <c r="Q771" i="32"/>
  <c r="R771" i="32" s="1" a="1"/>
  <c r="R771" i="32" s="1"/>
  <c r="D771" i="32" s="1"/>
  <c r="A155" i="27"/>
  <c r="T155" i="27" s="1"/>
  <c r="T1277" i="32" a="1"/>
  <c r="T1277" i="32" s="1"/>
  <c r="S1367" i="32" a="1"/>
  <c r="S1367" i="32" s="1"/>
  <c r="E1367" i="32" s="1"/>
  <c r="R757" i="32" a="1"/>
  <c r="R757" i="32" s="1"/>
  <c r="D757" i="32" s="1"/>
  <c r="V1521" i="32" a="1"/>
  <c r="V1521" i="32" s="1"/>
  <c r="L1521" i="32" s="1"/>
  <c r="T1701" i="32" a="1"/>
  <c r="T1701" i="32" s="1"/>
  <c r="V1619" i="32" a="1"/>
  <c r="V1619" i="32" s="1"/>
  <c r="L1619" i="32" s="1"/>
  <c r="T649" i="32" a="1"/>
  <c r="T649" i="32" s="1"/>
  <c r="M2034" i="27" s="1"/>
  <c r="A2034" i="27" s="1"/>
  <c r="V759" i="32" a="1"/>
  <c r="V759" i="32" s="1"/>
  <c r="L759" i="32" s="1"/>
  <c r="R1617" i="32" a="1"/>
  <c r="R1617" i="32" s="1"/>
  <c r="D1617" i="32" s="1"/>
  <c r="T1167" i="32" a="1"/>
  <c r="T1167" i="32" s="1"/>
  <c r="V761" i="32" a="1"/>
  <c r="V761" i="32" s="1"/>
  <c r="L761" i="32" s="1"/>
  <c r="R1285" i="32" a="1"/>
  <c r="R1285" i="32" s="1"/>
  <c r="D1285" i="32" s="1"/>
  <c r="T1451" i="32" a="1"/>
  <c r="T1451" i="32" s="1"/>
  <c r="S1715" i="32" a="1"/>
  <c r="S1715" i="32" s="1"/>
  <c r="E1715" i="32" s="1"/>
  <c r="R767" i="32" a="1"/>
  <c r="R767" i="32" s="1"/>
  <c r="D767" i="32" s="1"/>
  <c r="T647" i="32" a="1"/>
  <c r="T647" i="32" s="1"/>
  <c r="M2033" i="27" s="1"/>
  <c r="A2033" i="27" s="1"/>
  <c r="V1725" i="32" a="1"/>
  <c r="V1725" i="32" s="1"/>
  <c r="L1725" i="32" s="1"/>
  <c r="T1679" i="32" a="1"/>
  <c r="T1679" i="32" s="1"/>
  <c r="R1133" i="32" a="1"/>
  <c r="R1133" i="32" s="1"/>
  <c r="D1133" i="32" s="1"/>
  <c r="T837" i="32" a="1"/>
  <c r="T837" i="32" s="1"/>
  <c r="T1125" i="32" a="1"/>
  <c r="T1125" i="32" s="1"/>
  <c r="R1561" i="32" a="1"/>
  <c r="R1561" i="32" s="1"/>
  <c r="D1561" i="32" s="1"/>
  <c r="V1775" i="32" a="1"/>
  <c r="V1775" i="32" s="1"/>
  <c r="L1775" i="32" s="1"/>
  <c r="V1777" i="32" a="1"/>
  <c r="V1777" i="32" s="1"/>
  <c r="L1777" i="32" s="1"/>
  <c r="T1247" i="32" a="1"/>
  <c r="T1247" i="32" s="1"/>
  <c r="R1265" i="32" a="1"/>
  <c r="R1265" i="32" s="1"/>
  <c r="D1265" i="32" s="1"/>
  <c r="R1415" i="32" a="1"/>
  <c r="R1415" i="32" s="1"/>
  <c r="D1415" i="32" s="1"/>
  <c r="V847" i="32" a="1"/>
  <c r="V847" i="32" s="1"/>
  <c r="L847" i="32" s="1"/>
  <c r="V1635" i="32" a="1"/>
  <c r="V1635" i="32" s="1"/>
  <c r="L1635" i="32" s="1"/>
  <c r="T1333" i="32" a="1"/>
  <c r="T1333" i="32" s="1"/>
  <c r="R1549" i="32" a="1"/>
  <c r="R1549" i="32" s="1"/>
  <c r="D1549" i="32" s="1"/>
  <c r="V1433" i="32" a="1"/>
  <c r="V1433" i="32" s="1"/>
  <c r="L1433" i="32" s="1"/>
  <c r="T1669" i="32" a="1"/>
  <c r="T1669" i="32" s="1"/>
  <c r="R1331" i="32" a="1"/>
  <c r="R1331" i="32" s="1"/>
  <c r="D1331" i="32" s="1"/>
  <c r="V1681" i="32" a="1"/>
  <c r="V1681" i="32" s="1"/>
  <c r="L1681" i="32" s="1"/>
  <c r="T1251" i="32" a="1"/>
  <c r="T1251" i="32" s="1"/>
  <c r="V1549" i="32" a="1"/>
  <c r="V1549" i="32" s="1"/>
  <c r="L1549" i="32" s="1"/>
  <c r="S1561" i="32" a="1"/>
  <c r="S1561" i="32" s="1"/>
  <c r="E1561" i="32" s="1"/>
  <c r="V1585" i="32" a="1"/>
  <c r="V1585" i="32" s="1"/>
  <c r="L1585" i="32" s="1"/>
  <c r="T1677" i="32" a="1"/>
  <c r="T1677" i="32" s="1"/>
  <c r="R1281" i="32" a="1"/>
  <c r="R1281" i="32" s="1"/>
  <c r="D1281" i="32" s="1"/>
  <c r="S1297" i="32" a="1"/>
  <c r="S1297" i="32" s="1"/>
  <c r="E1297" i="32" s="1"/>
  <c r="R1131" i="32" a="1"/>
  <c r="R1131" i="32" s="1"/>
  <c r="D1131" i="32" s="1"/>
  <c r="S1241" i="32" a="1"/>
  <c r="S1241" i="32" s="1"/>
  <c r="E1241" i="32" s="1"/>
  <c r="S1463" i="32" a="1"/>
  <c r="S1463" i="32" s="1"/>
  <c r="E1463" i="32" s="1"/>
  <c r="S1479" i="32" a="1"/>
  <c r="S1479" i="32" s="1"/>
  <c r="E1479" i="32" s="1"/>
  <c r="V1361" i="32" a="1"/>
  <c r="V1361" i="32" s="1"/>
  <c r="L1361" i="32" s="1"/>
  <c r="V1747" i="32" a="1"/>
  <c r="V1747" i="32" s="1"/>
  <c r="L1747" i="32" s="1"/>
  <c r="R1449" i="32" a="1"/>
  <c r="R1449" i="32" s="1"/>
  <c r="D1449" i="32" s="1"/>
  <c r="R1297" i="32" a="1"/>
  <c r="R1297" i="32" s="1"/>
  <c r="D1297" i="32" s="1"/>
  <c r="S1135" i="32" a="1"/>
  <c r="S1135" i="32" s="1"/>
  <c r="E1135" i="32" s="1"/>
  <c r="T1241" i="32" a="1"/>
  <c r="T1241" i="32" s="1"/>
  <c r="V1371" i="32" a="1"/>
  <c r="V1371" i="32" s="1"/>
  <c r="L1371" i="32" s="1"/>
  <c r="V1211" i="32" a="1"/>
  <c r="V1211" i="32" s="1"/>
  <c r="L1211" i="32" s="1"/>
  <c r="V1305" i="32" a="1"/>
  <c r="V1305" i="32" s="1"/>
  <c r="L1305" i="32" s="1"/>
  <c r="S1691" i="32" a="1"/>
  <c r="S1691" i="32" s="1"/>
  <c r="E1691" i="32" s="1"/>
  <c r="T1111" i="32" a="1"/>
  <c r="T1111" i="32" s="1"/>
  <c r="S1723" i="32" a="1"/>
  <c r="S1723" i="32" s="1"/>
  <c r="E1723" i="32" s="1"/>
  <c r="V1273" i="32" a="1"/>
  <c r="V1273" i="32" s="1"/>
  <c r="L1273" i="32" s="1"/>
  <c r="R1303" i="32" a="1"/>
  <c r="R1303" i="32" s="1"/>
  <c r="D1303" i="32" s="1"/>
  <c r="S1573" i="32" a="1"/>
  <c r="S1573" i="32" s="1"/>
  <c r="E1573" i="32" s="1"/>
  <c r="T1265" i="32" a="1"/>
  <c r="T1265" i="32" s="1"/>
  <c r="R1509" i="32" a="1"/>
  <c r="R1509" i="32" s="1"/>
  <c r="D1509" i="32" s="1"/>
  <c r="T1233" i="32" a="1"/>
  <c r="T1233" i="32" s="1"/>
  <c r="T1363" i="32" a="1"/>
  <c r="T1363" i="32" s="1"/>
  <c r="R1171" i="32" a="1"/>
  <c r="R1171" i="32" s="1"/>
  <c r="D1171" i="32" s="1"/>
  <c r="S1587" i="32" a="1"/>
  <c r="S1587" i="32" s="1"/>
  <c r="E1587" i="32" s="1"/>
  <c r="R1619" i="32" a="1"/>
  <c r="R1619" i="32" s="1"/>
  <c r="D1619" i="32" s="1"/>
  <c r="R1667" i="32" a="1"/>
  <c r="R1667" i="32" s="1"/>
  <c r="D1667" i="32" s="1"/>
  <c r="S1231" i="32" a="1"/>
  <c r="S1231" i="32" s="1"/>
  <c r="E1231" i="32" s="1"/>
  <c r="T1581" i="32" a="1"/>
  <c r="T1581" i="32" s="1"/>
  <c r="S1177" i="32" a="1"/>
  <c r="S1177" i="32" s="1"/>
  <c r="E1177" i="32" s="1"/>
  <c r="R1603" i="32" a="1"/>
  <c r="R1603" i="32" s="1"/>
  <c r="D1603" i="32" s="1"/>
  <c r="R1643" i="32" a="1"/>
  <c r="R1643" i="32" s="1"/>
  <c r="D1643" i="32" s="1"/>
  <c r="V651" i="32" a="1"/>
  <c r="V651" i="32" s="1"/>
  <c r="L651" i="32" s="1"/>
  <c r="V1761" i="32" a="1"/>
  <c r="V1761" i="32" s="1"/>
  <c r="L1761" i="32" s="1"/>
  <c r="S1475" i="32" a="1"/>
  <c r="S1475" i="32" s="1"/>
  <c r="E1475" i="32" s="1"/>
  <c r="V1167" i="32" a="1"/>
  <c r="V1167" i="32" s="1"/>
  <c r="L1167" i="32" s="1"/>
  <c r="R651" i="32" a="1"/>
  <c r="R651" i="32" s="1"/>
  <c r="D651" i="32" s="1"/>
  <c r="T757" i="32" a="1"/>
  <c r="T757" i="32" s="1"/>
  <c r="V1469" i="32" a="1"/>
  <c r="V1469" i="32" s="1"/>
  <c r="L1469" i="32" s="1"/>
  <c r="V1711" i="32" a="1"/>
  <c r="V1711" i="32" s="1"/>
  <c r="L1711" i="32" s="1"/>
  <c r="T1499" i="32" a="1"/>
  <c r="T1499" i="32" s="1"/>
  <c r="R1779" i="32" a="1"/>
  <c r="R1779" i="32" s="1"/>
  <c r="D1779" i="32" s="1"/>
  <c r="S705" i="32" a="1"/>
  <c r="S705" i="32" s="1"/>
  <c r="E705" i="32" s="1"/>
  <c r="V1251" i="32" a="1"/>
  <c r="V1251" i="32" s="1"/>
  <c r="L1251" i="32" s="1"/>
  <c r="V1739" i="32" a="1"/>
  <c r="V1739" i="32" s="1"/>
  <c r="L1739" i="32" s="1"/>
  <c r="T1367" i="32" a="1"/>
  <c r="T1367" i="32" s="1"/>
  <c r="S759" i="32" a="1"/>
  <c r="S759" i="32" s="1"/>
  <c r="E759" i="32" s="1"/>
  <c r="S1517" i="32" a="1"/>
  <c r="S1517" i="32" s="1"/>
  <c r="E1517" i="32" s="1"/>
  <c r="S1171" i="32" a="1"/>
  <c r="S1171" i="32" s="1"/>
  <c r="E1171" i="32" s="1"/>
  <c r="R1639" i="32" a="1"/>
  <c r="R1639" i="32" s="1"/>
  <c r="D1639" i="32" s="1"/>
  <c r="R851" i="32" a="1"/>
  <c r="R851" i="32" s="1"/>
  <c r="D851" i="32" s="1"/>
  <c r="R1425" i="32" a="1"/>
  <c r="R1425" i="32" s="1"/>
  <c r="D1425" i="32" s="1"/>
  <c r="S1597" i="32" a="1"/>
  <c r="S1597" i="32" s="1"/>
  <c r="E1597" i="32" s="1"/>
  <c r="T1139" i="32" a="1"/>
  <c r="T1139" i="32" s="1"/>
  <c r="R1563" i="32" a="1"/>
  <c r="R1563" i="32" s="1"/>
  <c r="D1563" i="32" s="1"/>
  <c r="R1655" i="32" a="1"/>
  <c r="R1655" i="32" s="1"/>
  <c r="D1655" i="32" s="1"/>
  <c r="T1235" i="32" a="1"/>
  <c r="T1235" i="32" s="1"/>
  <c r="T1193" i="32" a="1"/>
  <c r="T1193" i="32" s="1"/>
  <c r="T1323" i="32" a="1"/>
  <c r="T1323" i="32" s="1"/>
  <c r="T1331" i="32" a="1"/>
  <c r="T1331" i="32" s="1"/>
  <c r="V645" i="32" a="1"/>
  <c r="V645" i="32" s="1"/>
  <c r="L645" i="32" s="1"/>
  <c r="R1497" i="32" a="1"/>
  <c r="R1497" i="32" s="1"/>
  <c r="D1497" i="32" s="1"/>
  <c r="R1463" i="32" a="1"/>
  <c r="R1463" i="32" s="1"/>
  <c r="D1463" i="32" s="1"/>
  <c r="T1403" i="32" a="1"/>
  <c r="T1403" i="32" s="1"/>
  <c r="R671" i="32" a="1"/>
  <c r="R671" i="32" s="1"/>
  <c r="D671" i="32" s="1"/>
  <c r="R1707" i="32" a="1"/>
  <c r="R1707" i="32" s="1"/>
  <c r="D1707" i="32" s="1"/>
  <c r="R833" i="32" a="1"/>
  <c r="R833" i="32" s="1"/>
  <c r="D833" i="32" s="1"/>
  <c r="R831" i="32" a="1"/>
  <c r="R831" i="32" s="1"/>
  <c r="D831" i="32" s="1"/>
  <c r="V823" i="32" a="1"/>
  <c r="V823" i="32" s="1"/>
  <c r="L823" i="32" s="1"/>
  <c r="T1515" i="32" a="1"/>
  <c r="T1515" i="32" s="1"/>
  <c r="S1559" i="32" a="1"/>
  <c r="S1559" i="32" s="1"/>
  <c r="E1559" i="32" s="1"/>
  <c r="S1439" i="32" a="1"/>
  <c r="S1439" i="32" s="1"/>
  <c r="E1439" i="32" s="1"/>
  <c r="R1143" i="32" a="1"/>
  <c r="R1143" i="32" s="1"/>
  <c r="D1143" i="32" s="1"/>
  <c r="T1483" i="32" a="1"/>
  <c r="T1483" i="32" s="1"/>
  <c r="R751" i="32" a="1"/>
  <c r="R751" i="32" s="1"/>
  <c r="D751" i="32" s="1"/>
  <c r="R1613" i="32" a="1"/>
  <c r="R1613" i="32" s="1"/>
  <c r="D1613" i="32" s="1"/>
  <c r="S835" i="32" a="1"/>
  <c r="S835" i="32" s="1"/>
  <c r="E835" i="32" s="1"/>
  <c r="R1527" i="32" a="1"/>
  <c r="R1527" i="32" s="1"/>
  <c r="D1527" i="32" s="1"/>
  <c r="R1227" i="32" a="1"/>
  <c r="R1227" i="32" s="1"/>
  <c r="D1227" i="32" s="1"/>
  <c r="T1755" i="32" a="1"/>
  <c r="T1755" i="32" s="1"/>
  <c r="V1765" i="32" a="1"/>
  <c r="V1765" i="32" s="1"/>
  <c r="L1765" i="32" s="1"/>
  <c r="V1479" i="32" a="1"/>
  <c r="V1479" i="32" s="1"/>
  <c r="L1479" i="32" s="1"/>
  <c r="S1221" i="32" a="1"/>
  <c r="S1221" i="32" s="1"/>
  <c r="E1221" i="32" s="1"/>
  <c r="R845" i="32" a="1"/>
  <c r="R845" i="32" s="1"/>
  <c r="D845" i="32" s="1"/>
  <c r="S1579" i="32" a="1"/>
  <c r="S1579" i="32" s="1"/>
  <c r="E1579" i="32" s="1"/>
  <c r="V1233" i="32" a="1"/>
  <c r="V1233" i="32" s="1"/>
  <c r="L1233" i="32" s="1"/>
  <c r="S1117" i="32" a="1"/>
  <c r="S1117" i="32" s="1"/>
  <c r="E1117" i="32" s="1"/>
  <c r="V1249" i="32" a="1"/>
  <c r="V1249" i="32" s="1"/>
  <c r="L1249" i="32" s="1"/>
  <c r="T1415" i="32" a="1"/>
  <c r="T1415" i="32" s="1"/>
  <c r="T1385" i="32" a="1"/>
  <c r="T1385" i="32" s="1"/>
  <c r="T1525" i="32" a="1"/>
  <c r="T1525" i="32" s="1"/>
  <c r="S1287" i="32" a="1"/>
  <c r="S1287" i="32" s="1"/>
  <c r="E1287" i="32" s="1"/>
  <c r="R1681" i="32" a="1"/>
  <c r="R1681" i="32" s="1"/>
  <c r="D1681" i="32" s="1"/>
  <c r="S1753" i="32" a="1"/>
  <c r="S1753" i="32" s="1"/>
  <c r="E1753" i="32" s="1"/>
  <c r="R1379" i="32" a="1"/>
  <c r="R1379" i="32" s="1"/>
  <c r="D1379" i="32" s="1"/>
  <c r="S1493" i="32" a="1"/>
  <c r="S1493" i="32" s="1"/>
  <c r="E1493" i="32" s="1"/>
  <c r="S1445" i="32" a="1"/>
  <c r="S1445" i="32" s="1"/>
  <c r="E1445" i="32" s="1"/>
  <c r="S685" i="32" a="1"/>
  <c r="S685" i="32" s="1"/>
  <c r="E685" i="32" s="1"/>
  <c r="T1533" i="32" a="1"/>
  <c r="T1533" i="32" s="1"/>
  <c r="R1771" i="32" a="1"/>
  <c r="R1771" i="32" s="1"/>
  <c r="D1771" i="32" s="1"/>
  <c r="V1403" i="32" a="1"/>
  <c r="V1403" i="32" s="1"/>
  <c r="L1403" i="32" s="1"/>
  <c r="R1775" i="32" a="1"/>
  <c r="R1775" i="32" s="1"/>
  <c r="D1775" i="32" s="1"/>
  <c r="T1209" i="32" a="1"/>
  <c r="T1209" i="32" s="1"/>
  <c r="R1391" i="32" a="1"/>
  <c r="R1391" i="32" s="1"/>
  <c r="D1391" i="32" s="1"/>
  <c r="V1609" i="32" a="1"/>
  <c r="V1609" i="32" s="1"/>
  <c r="L1609" i="32" s="1"/>
  <c r="V683" i="32" a="1"/>
  <c r="V683" i="32" s="1"/>
  <c r="L683" i="32" s="1"/>
  <c r="V1235" i="32" a="1"/>
  <c r="V1235" i="32" s="1"/>
  <c r="L1235" i="32" s="1"/>
  <c r="R705" i="32" a="1"/>
  <c r="R705" i="32" s="1"/>
  <c r="D705" i="32" s="1"/>
  <c r="S1447" i="32" a="1"/>
  <c r="S1447" i="32" s="1"/>
  <c r="E1447" i="32" s="1"/>
  <c r="V1331" i="32" a="1"/>
  <c r="V1331" i="32" s="1"/>
  <c r="L1331" i="32" s="1"/>
  <c r="T1717" i="32" a="1"/>
  <c r="T1717" i="32" s="1"/>
  <c r="T1563" i="32" a="1"/>
  <c r="T1563" i="32" s="1"/>
  <c r="T1715" i="32" a="1"/>
  <c r="T1715" i="32" s="1"/>
  <c r="V767" i="32" a="1"/>
  <c r="V767" i="32" s="1"/>
  <c r="L767" i="32" s="1"/>
  <c r="R1461" i="32" a="1"/>
  <c r="R1461" i="32" s="1"/>
  <c r="D1461" i="32" s="1"/>
  <c r="R1441" i="32" a="1"/>
  <c r="R1441" i="32" s="1"/>
  <c r="D1441" i="32" s="1"/>
  <c r="V1441" i="32" a="1"/>
  <c r="V1441" i="32" s="1"/>
  <c r="L1441" i="32" s="1"/>
  <c r="R1167" i="32" a="1"/>
  <c r="R1167" i="32" s="1"/>
  <c r="D1167" i="32" s="1"/>
  <c r="R1249" i="32" a="1"/>
  <c r="R1249" i="32" s="1"/>
  <c r="D1249" i="32" s="1"/>
  <c r="S669" i="32" a="1"/>
  <c r="S669" i="32" s="1"/>
  <c r="E669" i="32" s="1"/>
  <c r="V1159" i="32" a="1"/>
  <c r="V1159" i="32" s="1"/>
  <c r="L1159" i="32" s="1"/>
  <c r="R1317" i="32" a="1"/>
  <c r="R1317" i="32" s="1"/>
  <c r="D1317" i="32" s="1"/>
  <c r="T1719" i="32" a="1"/>
  <c r="T1719" i="32" s="1"/>
  <c r="S1331" i="32" a="1"/>
  <c r="S1331" i="32" s="1"/>
  <c r="E1331" i="32" s="1"/>
  <c r="T1687" i="32" a="1"/>
  <c r="T1687" i="32" s="1"/>
  <c r="R763" i="32" a="1"/>
  <c r="R763" i="32" s="1"/>
  <c r="D763" i="32" s="1"/>
  <c r="S1547" i="32" a="1"/>
  <c r="S1547" i="32" s="1"/>
  <c r="E1547" i="32" s="1"/>
  <c r="S1509" i="32" a="1"/>
  <c r="S1509" i="32" s="1"/>
  <c r="E1509" i="32" s="1"/>
  <c r="R1417" i="32" a="1"/>
  <c r="R1417" i="32" s="1"/>
  <c r="D1417" i="32" s="1"/>
  <c r="T1753" i="32" a="1"/>
  <c r="T1753" i="32" s="1"/>
  <c r="V821" i="32" a="1"/>
  <c r="V821" i="32" s="1"/>
  <c r="L821" i="32" s="1"/>
  <c r="V1657" i="32" a="1"/>
  <c r="V1657" i="32" s="1"/>
  <c r="L1657" i="32" s="1"/>
  <c r="R1173" i="32" a="1"/>
  <c r="R1173" i="32" s="1"/>
  <c r="D1173" i="32" s="1"/>
  <c r="T1743" i="32" a="1"/>
  <c r="T1743" i="32" s="1"/>
  <c r="V1473" i="32" a="1"/>
  <c r="V1473" i="32" s="1"/>
  <c r="L1473" i="32" s="1"/>
  <c r="S1409" i="32" a="1"/>
  <c r="S1409" i="32" s="1"/>
  <c r="E1409" i="32" s="1"/>
  <c r="R1433" i="32" a="1"/>
  <c r="R1433" i="32" s="1"/>
  <c r="D1433" i="32" s="1"/>
  <c r="V1389" i="32" a="1"/>
  <c r="V1389" i="32" s="1"/>
  <c r="L1389" i="32" s="1"/>
  <c r="R685" i="32" a="1"/>
  <c r="R685" i="32" s="1"/>
  <c r="D685" i="32" s="1"/>
  <c r="T645" i="32" a="1"/>
  <c r="T645" i="32" s="1"/>
  <c r="M2032" i="27" s="1"/>
  <c r="A2032" i="27" s="1"/>
  <c r="V1265" i="32" a="1"/>
  <c r="V1265" i="32" s="1"/>
  <c r="L1265" i="32" s="1"/>
  <c r="S1131" i="32" a="1"/>
  <c r="S1131" i="32" s="1"/>
  <c r="E1131" i="32" s="1"/>
  <c r="T1577" i="32" a="1"/>
  <c r="T1577" i="32" s="1"/>
  <c r="V1225" i="32" a="1"/>
  <c r="V1225" i="32" s="1"/>
  <c r="L1225" i="32" s="1"/>
  <c r="S1353" i="32" a="1"/>
  <c r="S1353" i="32" s="1"/>
  <c r="E1353" i="32" s="1"/>
  <c r="R1747" i="32" a="1"/>
  <c r="R1747" i="32" s="1"/>
  <c r="D1747" i="32" s="1"/>
  <c r="R1439" i="32" a="1"/>
  <c r="R1439" i="32" s="1"/>
  <c r="D1439" i="32" s="1"/>
  <c r="S1775" i="32" a="1"/>
  <c r="S1775" i="32" s="1"/>
  <c r="E1775" i="32" s="1"/>
  <c r="R1109" i="32" a="1"/>
  <c r="R1109" i="32" s="1"/>
  <c r="D1109" i="32" s="1"/>
  <c r="T1423" i="32" a="1"/>
  <c r="T1423" i="32" s="1"/>
  <c r="R1615" i="32" a="1"/>
  <c r="R1615" i="32" s="1"/>
  <c r="D1615" i="32" s="1"/>
  <c r="R1519" i="32" a="1"/>
  <c r="R1519" i="32" s="1"/>
  <c r="D1519" i="32" s="1"/>
  <c r="T1369" i="32" a="1"/>
  <c r="T1369" i="32" s="1"/>
  <c r="R1543" i="32" a="1"/>
  <c r="R1543" i="32" s="1"/>
  <c r="D1543" i="32" s="1"/>
  <c r="V1103" i="32" a="1"/>
  <c r="V1103" i="32" s="1"/>
  <c r="L1103" i="32" s="1"/>
  <c r="S1293" i="32" a="1"/>
  <c r="S1293" i="32" s="1"/>
  <c r="E1293" i="32" s="1"/>
  <c r="R1153" i="32" a="1"/>
  <c r="R1153" i="32" s="1"/>
  <c r="D1153" i="32" s="1"/>
  <c r="S1489" i="32" a="1"/>
  <c r="S1489" i="32" s="1"/>
  <c r="E1489" i="32" s="1"/>
  <c r="S1201" i="32" a="1"/>
  <c r="S1201" i="32" s="1"/>
  <c r="E1201" i="32" s="1"/>
  <c r="R1429" i="32" a="1"/>
  <c r="R1429" i="32" s="1"/>
  <c r="D1429" i="32" s="1"/>
  <c r="V1401" i="32" a="1"/>
  <c r="V1401" i="32" s="1"/>
  <c r="L1401" i="32" s="1"/>
  <c r="R1699" i="32" a="1"/>
  <c r="R1699" i="32" s="1"/>
  <c r="D1699" i="32" s="1"/>
  <c r="S1139" i="32" a="1"/>
  <c r="S1139" i="32" s="1"/>
  <c r="E1139" i="32" s="1"/>
  <c r="V769" i="32" a="1"/>
  <c r="V769" i="32" s="1"/>
  <c r="L769" i="32" s="1"/>
  <c r="T1473" i="32" a="1"/>
  <c r="T1473" i="32" s="1"/>
  <c r="S1659" i="32" a="1"/>
  <c r="S1659" i="32" s="1"/>
  <c r="E1659" i="32" s="1"/>
  <c r="T1163" i="32" a="1"/>
  <c r="T1163" i="32" s="1"/>
  <c r="R1197" i="32" a="1"/>
  <c r="R1197" i="32" s="1"/>
  <c r="D1197" i="32" s="1"/>
  <c r="S1433" i="32" a="1"/>
  <c r="S1433" i="32" s="1"/>
  <c r="E1433" i="32" s="1"/>
  <c r="T767" i="32" a="1"/>
  <c r="T767" i="32" s="1"/>
  <c r="S1191" i="32" a="1"/>
  <c r="S1191" i="32" s="1"/>
  <c r="E1191" i="32" s="1"/>
  <c r="T1559" i="32" a="1"/>
  <c r="T1559" i="32" s="1"/>
  <c r="F48" i="16" a="1"/>
  <c r="F48" i="16" s="1"/>
  <c r="T1725" i="32" a="1"/>
  <c r="T1725" i="32" s="1"/>
  <c r="V1175" i="32" a="1"/>
  <c r="V1175" i="32" s="1"/>
  <c r="L1175" i="32" s="1"/>
  <c r="S1681" i="32" a="1"/>
  <c r="S1681" i="32" s="1"/>
  <c r="E1681" i="32" s="1"/>
  <c r="R1435" i="32" a="1"/>
  <c r="R1435" i="32" s="1"/>
  <c r="D1435" i="32" s="1"/>
  <c r="R1739" i="32" a="1"/>
  <c r="R1739" i="32" s="1"/>
  <c r="D1739" i="32" s="1"/>
  <c r="R1447" i="32" a="1"/>
  <c r="R1447" i="32" s="1"/>
  <c r="D1447" i="32" s="1"/>
  <c r="R1521" i="32" a="1"/>
  <c r="R1521" i="32" s="1"/>
  <c r="D1521" i="32" s="1"/>
  <c r="V1193" i="32" a="1"/>
  <c r="V1193" i="32" s="1"/>
  <c r="L1193" i="32" s="1"/>
  <c r="R759" i="32" a="1"/>
  <c r="R759" i="32" s="1"/>
  <c r="D759" i="32" s="1"/>
  <c r="R1411" i="32" a="1"/>
  <c r="R1411" i="32" s="1"/>
  <c r="D1411" i="32" s="1"/>
  <c r="R1577" i="32" a="1"/>
  <c r="R1577" i="32" s="1"/>
  <c r="D1577" i="32" s="1"/>
  <c r="R719" i="32" a="1"/>
  <c r="R719" i="32" s="1"/>
  <c r="D719" i="32" s="1"/>
  <c r="T759" i="32" a="1"/>
  <c r="T759" i="32" s="1"/>
  <c r="S1167" i="32" a="1"/>
  <c r="S1167" i="32" s="1"/>
  <c r="E1167" i="32" s="1"/>
  <c r="T1511" i="32" a="1"/>
  <c r="T1511" i="32" s="1"/>
  <c r="S1717" i="32" a="1"/>
  <c r="S1717" i="32" s="1"/>
  <c r="E1717" i="32" s="1"/>
  <c r="S1187" i="32" a="1"/>
  <c r="S1187" i="32" s="1"/>
  <c r="E1187" i="32" s="1"/>
  <c r="V1533" i="32" a="1"/>
  <c r="V1533" i="32" s="1"/>
  <c r="L1533" i="32" s="1"/>
  <c r="V1759" i="32" a="1"/>
  <c r="V1759" i="32" s="1"/>
  <c r="L1759" i="32" s="1"/>
  <c r="T1763" i="32" a="1"/>
  <c r="T1763" i="32" s="1"/>
  <c r="S1155" i="32" a="1"/>
  <c r="S1155" i="32" s="1"/>
  <c r="E1155" i="32" s="1"/>
  <c r="V1399" i="32" a="1"/>
  <c r="V1399" i="32" s="1"/>
  <c r="L1399" i="32" s="1"/>
  <c r="V1769" i="32" a="1"/>
  <c r="V1769" i="32" s="1"/>
  <c r="L1769" i="32" s="1"/>
  <c r="R1513" i="32" a="1"/>
  <c r="R1513" i="32" s="1"/>
  <c r="D1513" i="32" s="1"/>
  <c r="V1597" i="32" a="1"/>
  <c r="V1597" i="32" s="1"/>
  <c r="L1597" i="32" s="1"/>
  <c r="R1471" i="32" a="1"/>
  <c r="R1471" i="32" s="1"/>
  <c r="D1471" i="32" s="1"/>
  <c r="V1459" i="32" a="1"/>
  <c r="V1459" i="32" s="1"/>
  <c r="L1459" i="32" s="1"/>
  <c r="R1537" i="32" a="1"/>
  <c r="R1537" i="32" s="1"/>
  <c r="D1537" i="32" s="1"/>
  <c r="S1699" i="32" a="1"/>
  <c r="S1699" i="32" s="1"/>
  <c r="E1699" i="32" s="1"/>
  <c r="S1503" i="32" a="1"/>
  <c r="S1503" i="32" s="1"/>
  <c r="E1503" i="32" s="1"/>
  <c r="R1567" i="32" a="1"/>
  <c r="R1567" i="32" s="1"/>
  <c r="D1567" i="32" s="1"/>
  <c r="T839" i="32" a="1"/>
  <c r="T839" i="32" s="1"/>
  <c r="R1507" i="32" a="1"/>
  <c r="R1507" i="32" s="1"/>
  <c r="D1507" i="32" s="1"/>
  <c r="R837" i="32" a="1"/>
  <c r="R837" i="32" s="1"/>
  <c r="D837" i="32" s="1"/>
  <c r="T1187" i="32" a="1"/>
  <c r="T1187" i="32" s="1"/>
  <c r="S853" i="32" a="1"/>
  <c r="S853" i="32" s="1"/>
  <c r="E853" i="32" s="1"/>
  <c r="R1539" i="32" a="1"/>
  <c r="R1539" i="32" s="1"/>
  <c r="D1539" i="32" s="1"/>
  <c r="R1469" i="32" a="1"/>
  <c r="R1469" i="32" s="1"/>
  <c r="D1469" i="32" s="1"/>
  <c r="S1103" i="32" a="1"/>
  <c r="S1103" i="32" s="1"/>
  <c r="E1103" i="32" s="1"/>
  <c r="V1153" i="32" a="1"/>
  <c r="V1153" i="32" s="1"/>
  <c r="L1153" i="32" s="1"/>
  <c r="S1639" i="32" a="1"/>
  <c r="S1639" i="32" s="1"/>
  <c r="E1639" i="32" s="1"/>
  <c r="S643" i="32" a="1"/>
  <c r="S643" i="32" s="1"/>
  <c r="E643" i="32" s="1"/>
  <c r="F2031" i="27" s="1"/>
  <c r="S631" i="32" a="1"/>
  <c r="S631" i="32" s="1"/>
  <c r="E631" i="32" s="1"/>
  <c r="F2025" i="27" s="1"/>
  <c r="R839" i="32" a="1"/>
  <c r="R839" i="32" s="1"/>
  <c r="D839" i="32" s="1"/>
  <c r="R1571" i="32" a="1"/>
  <c r="R1571" i="32" s="1"/>
  <c r="D1571" i="32" s="1"/>
  <c r="R1309" i="32" a="1"/>
  <c r="R1309" i="32" s="1"/>
  <c r="D1309" i="32" s="1"/>
  <c r="V1699" i="32" a="1"/>
  <c r="V1699" i="32" s="1"/>
  <c r="L1699" i="32" s="1"/>
  <c r="S1649" i="32" a="1"/>
  <c r="S1649" i="32" s="1"/>
  <c r="E1649" i="32" s="1"/>
  <c r="V1641" i="32" a="1"/>
  <c r="V1641" i="32" s="1"/>
  <c r="L1641" i="32" s="1"/>
  <c r="S1263" i="32" a="1"/>
  <c r="S1263" i="32" s="1"/>
  <c r="E1263" i="32" s="1"/>
  <c r="R829" i="32" a="1"/>
  <c r="R829" i="32" s="1"/>
  <c r="D829" i="32" s="1"/>
  <c r="S1253" i="32" a="1"/>
  <c r="S1253" i="32" s="1"/>
  <c r="E1253" i="32" s="1"/>
  <c r="V1121" i="32" a="1"/>
  <c r="V1121" i="32" s="1"/>
  <c r="L1121" i="32" s="1"/>
  <c r="V1431" i="32" a="1"/>
  <c r="V1431" i="32" s="1"/>
  <c r="L1431" i="32" s="1"/>
  <c r="V1349" i="32" a="1"/>
  <c r="V1349" i="32" s="1"/>
  <c r="L1349" i="32" s="1"/>
  <c r="R1777" i="32" a="1"/>
  <c r="R1777" i="32" s="1"/>
  <c r="D1777" i="32" s="1"/>
  <c r="R1573" i="32" a="1"/>
  <c r="R1573" i="32" s="1"/>
  <c r="D1573" i="32" s="1"/>
  <c r="T677" i="32" a="1"/>
  <c r="T677" i="32" s="1"/>
  <c r="S1477" i="32" a="1"/>
  <c r="S1477" i="32" s="1"/>
  <c r="E1477" i="32" s="1"/>
  <c r="V1347" i="32" a="1"/>
  <c r="V1347" i="32" s="1"/>
  <c r="L1347" i="32" s="1"/>
  <c r="T1713" i="32" a="1"/>
  <c r="T1713" i="32" s="1"/>
  <c r="S1707" i="32" a="1"/>
  <c r="S1707" i="32" s="1"/>
  <c r="E1707" i="32" s="1"/>
  <c r="T685" i="32" a="1"/>
  <c r="T685" i="32" s="1"/>
  <c r="S1457" i="32" a="1"/>
  <c r="S1457" i="32" s="1"/>
  <c r="E1457" i="32" s="1"/>
  <c r="S1325" i="32" a="1"/>
  <c r="S1325" i="32" s="1"/>
  <c r="E1325" i="32" s="1"/>
  <c r="T1685" i="32" a="1"/>
  <c r="T1685" i="32" s="1"/>
  <c r="S1267" i="32" a="1"/>
  <c r="S1267" i="32" s="1"/>
  <c r="E1267" i="32" s="1"/>
  <c r="V1309" i="32" a="1"/>
  <c r="V1309" i="32" s="1"/>
  <c r="L1309" i="32" s="1"/>
  <c r="T1267" i="32" a="1"/>
  <c r="T1267" i="32" s="1"/>
  <c r="S1695" i="32" a="1"/>
  <c r="S1695" i="32" s="1"/>
  <c r="E1695" i="32" s="1"/>
  <c r="R1313" i="32" a="1"/>
  <c r="R1313" i="32" s="1"/>
  <c r="D1313" i="32" s="1"/>
  <c r="V1457" i="32" a="1"/>
  <c r="V1457" i="32" s="1"/>
  <c r="L1457" i="32" s="1"/>
  <c r="V1751" i="32" a="1"/>
  <c r="V1751" i="32" s="1"/>
  <c r="L1751" i="32" s="1"/>
  <c r="S1461" i="32" a="1"/>
  <c r="S1461" i="32" s="1"/>
  <c r="E1461" i="32" s="1"/>
  <c r="R709" i="32" a="1"/>
  <c r="R709" i="32" s="1"/>
  <c r="D709" i="32" s="1"/>
  <c r="S1513" i="32" a="1"/>
  <c r="S1513" i="32" s="1"/>
  <c r="E1513" i="32" s="1"/>
  <c r="V1461" i="32" a="1"/>
  <c r="V1461" i="32" s="1"/>
  <c r="L1461" i="32" s="1"/>
  <c r="V763" i="32" a="1"/>
  <c r="V763" i="32" s="1"/>
  <c r="L763" i="32" s="1"/>
  <c r="S1725" i="32" a="1"/>
  <c r="S1725" i="32" s="1"/>
  <c r="E1725" i="32" s="1"/>
  <c r="T1447" i="32" a="1"/>
  <c r="T1447" i="32" s="1"/>
  <c r="S1555" i="32" a="1"/>
  <c r="S1555" i="32" s="1"/>
  <c r="E1555" i="32" s="1"/>
  <c r="S757" i="32" a="1"/>
  <c r="S757" i="32" s="1"/>
  <c r="E757" i="32" s="1"/>
  <c r="T651" i="32" a="1"/>
  <c r="T651" i="32" s="1"/>
  <c r="S1769" i="32" a="1"/>
  <c r="S1769" i="32" s="1"/>
  <c r="E1769" i="32" s="1"/>
  <c r="S831" i="32" a="1"/>
  <c r="S831" i="32" s="1"/>
  <c r="E831" i="32" s="1"/>
  <c r="V705" i="32" a="1"/>
  <c r="V705" i="32" s="1"/>
  <c r="L705" i="32" s="1"/>
  <c r="S763" i="32" a="1"/>
  <c r="S763" i="32" s="1"/>
  <c r="E763" i="32" s="1"/>
  <c r="S1417" i="32" a="1"/>
  <c r="S1417" i="32" s="1"/>
  <c r="E1417" i="32" s="1"/>
  <c r="S1621" i="32" a="1"/>
  <c r="S1621" i="32" s="1"/>
  <c r="E1621" i="32" s="1"/>
  <c r="V1285" i="32" a="1"/>
  <c r="V1285" i="32" s="1"/>
  <c r="L1285" i="32" s="1"/>
  <c r="T1145" i="32" a="1"/>
  <c r="T1145" i="32" s="1"/>
  <c r="R1523" i="32" a="1"/>
  <c r="R1523" i="32" s="1"/>
  <c r="D1523" i="32" s="1"/>
  <c r="T1537" i="32" a="1"/>
  <c r="T1537" i="32" s="1"/>
  <c r="R1405" i="32" a="1"/>
  <c r="R1405" i="32" s="1"/>
  <c r="D1405" i="32" s="1"/>
  <c r="S1623" i="32" a="1"/>
  <c r="S1623" i="32" s="1"/>
  <c r="E1623" i="32" s="1"/>
  <c r="S1193" i="32" a="1"/>
  <c r="S1193" i="32" s="1"/>
  <c r="E1193" i="32" s="1"/>
  <c r="T1659" i="32" a="1"/>
  <c r="T1659" i="32" s="1"/>
  <c r="T1319" i="32" a="1"/>
  <c r="T1319" i="32" s="1"/>
  <c r="S1169" i="32" a="1"/>
  <c r="S1169" i="32" s="1"/>
  <c r="E1169" i="32" s="1"/>
  <c r="R1259" i="32" a="1"/>
  <c r="R1259" i="32" s="1"/>
  <c r="D1259" i="32" s="1"/>
  <c r="R1407" i="32" a="1"/>
  <c r="R1407" i="32" s="1"/>
  <c r="D1407" i="32" s="1"/>
  <c r="S709" i="32" a="1"/>
  <c r="S709" i="32" s="1"/>
  <c r="E709" i="32" s="1"/>
  <c r="R1119" i="32" a="1"/>
  <c r="R1119" i="32" s="1"/>
  <c r="D1119" i="32" s="1"/>
  <c r="T1575" i="32" a="1"/>
  <c r="T1575" i="32" s="1"/>
  <c r="V1213" i="32" a="1"/>
  <c r="V1213" i="32" s="1"/>
  <c r="L1213" i="32" s="1"/>
  <c r="T749" i="32" a="1"/>
  <c r="T749" i="32" s="1"/>
  <c r="V1141" i="32" a="1"/>
  <c r="V1141" i="32" s="1"/>
  <c r="L1141" i="32" s="1"/>
  <c r="V1593" i="32" a="1"/>
  <c r="V1593" i="32" s="1"/>
  <c r="L1593" i="32" s="1"/>
  <c r="S1349" i="32" a="1"/>
  <c r="S1349" i="32" s="1"/>
  <c r="E1349" i="32" s="1"/>
  <c r="V1547" i="32" a="1"/>
  <c r="V1547" i="32" s="1"/>
  <c r="L1547" i="32" s="1"/>
  <c r="R1465" i="32" a="1"/>
  <c r="R1465" i="32" s="1"/>
  <c r="D1465" i="32" s="1"/>
  <c r="T675" i="32" a="1"/>
  <c r="T675" i="32" s="1"/>
  <c r="V1651" i="32" a="1"/>
  <c r="V1651" i="32" s="1"/>
  <c r="L1651" i="32" s="1"/>
  <c r="T755" i="32" a="1"/>
  <c r="T755" i="32" s="1"/>
  <c r="S1107" i="32" a="1"/>
  <c r="S1107" i="32" s="1"/>
  <c r="E1107" i="32" s="1"/>
  <c r="V1653" i="32" a="1"/>
  <c r="V1653" i="32" s="1"/>
  <c r="L1653" i="32" s="1"/>
  <c r="T1601" i="32" a="1"/>
  <c r="T1601" i="32" s="1"/>
  <c r="R843" i="32" a="1"/>
  <c r="R843" i="32" s="1"/>
  <c r="D843" i="32" s="1"/>
  <c r="S1647" i="32" a="1"/>
  <c r="S1647" i="32" s="1"/>
  <c r="E1647" i="32" s="1"/>
  <c r="T1413" i="32" a="1"/>
  <c r="T1413" i="32" s="1"/>
  <c r="T1227" i="32" a="1"/>
  <c r="T1227" i="32" s="1"/>
  <c r="S1549" i="32" a="1"/>
  <c r="S1549" i="32" s="1"/>
  <c r="E1549" i="32" s="1"/>
  <c r="V1243" i="32" a="1"/>
  <c r="V1243" i="32" s="1"/>
  <c r="L1243" i="32" s="1"/>
  <c r="S821" i="32" a="1"/>
  <c r="S821" i="32" s="1"/>
  <c r="E821" i="32" s="1"/>
  <c r="R1277" i="32" a="1"/>
  <c r="R1277" i="32" s="1"/>
  <c r="D1277" i="32" s="1"/>
  <c r="T627" i="32" a="1"/>
  <c r="T627" i="32" s="1"/>
  <c r="M2023" i="27" s="1"/>
  <c r="A2023" i="27" s="1"/>
  <c r="R1677" i="32" a="1"/>
  <c r="R1677" i="32" s="1"/>
  <c r="D1677" i="32" s="1"/>
  <c r="T673" i="32" a="1"/>
  <c r="T673" i="32" s="1"/>
  <c r="T1479" i="32" a="1"/>
  <c r="T1479" i="32" s="1"/>
  <c r="S1203" i="32" a="1"/>
  <c r="S1203" i="32" s="1"/>
  <c r="E1203" i="32" s="1"/>
  <c r="V1407" i="32" a="1"/>
  <c r="V1407" i="32" s="1"/>
  <c r="L1407" i="32" s="1"/>
  <c r="T1769" i="32" a="1"/>
  <c r="T1769" i="32" s="1"/>
  <c r="R1387" i="32" a="1"/>
  <c r="R1387" i="32" s="1"/>
  <c r="D1387" i="32" s="1"/>
  <c r="S1557" i="32" a="1"/>
  <c r="S1557" i="32" s="1"/>
  <c r="E1557" i="32" s="1"/>
  <c r="S1111" i="32" a="1"/>
  <c r="S1111" i="32" s="1"/>
  <c r="E1111" i="32" s="1"/>
  <c r="T633" i="32" a="1"/>
  <c r="T633" i="32" s="1"/>
  <c r="M2026" i="27" s="1"/>
  <c r="A2026" i="27" s="1"/>
  <c r="V671" i="32" a="1"/>
  <c r="V671" i="32" s="1"/>
  <c r="L671" i="32" s="1"/>
  <c r="S1423" i="32" a="1"/>
  <c r="S1423" i="32" s="1"/>
  <c r="E1423" i="32" s="1"/>
  <c r="T1463" i="32" a="1"/>
  <c r="T1463" i="32" s="1"/>
  <c r="V1171" i="32" a="1"/>
  <c r="V1171" i="32" s="1"/>
  <c r="L1171" i="32" s="1"/>
  <c r="S637" i="32" a="1"/>
  <c r="S637" i="32" s="1"/>
  <c r="E637" i="32" s="1"/>
  <c r="F2028" i="27" s="1"/>
  <c r="R1743" i="32" a="1"/>
  <c r="R1743" i="32" s="1"/>
  <c r="D1743" i="32" s="1"/>
  <c r="R1703" i="32" a="1"/>
  <c r="R1703" i="32" s="1"/>
  <c r="D1703" i="32" s="1"/>
  <c r="V1481" i="32" a="1"/>
  <c r="V1481" i="32" s="1"/>
  <c r="L1481" i="32" s="1"/>
  <c r="S1307" i="32" a="1"/>
  <c r="S1307" i="32" s="1"/>
  <c r="E1307" i="32" s="1"/>
  <c r="V1615" i="32" a="1"/>
  <c r="V1615" i="32" s="1"/>
  <c r="L1615" i="32" s="1"/>
  <c r="V1269" i="32" a="1"/>
  <c r="V1269" i="32" s="1"/>
  <c r="L1269" i="32" s="1"/>
  <c r="S1697" i="32" a="1"/>
  <c r="S1697" i="32" s="1"/>
  <c r="E1697" i="32" s="1"/>
  <c r="S1583" i="32" a="1"/>
  <c r="S1583" i="32" s="1"/>
  <c r="E1583" i="32" s="1"/>
  <c r="V1163" i="32" a="1"/>
  <c r="V1163" i="32" s="1"/>
  <c r="L1163" i="32" s="1"/>
  <c r="V1667" i="32" a="1"/>
  <c r="V1667" i="32" s="1"/>
  <c r="L1667" i="32" s="1"/>
  <c r="S1217" i="32" a="1"/>
  <c r="S1217" i="32" s="1"/>
  <c r="E1217" i="32" s="1"/>
  <c r="V1645" i="32" a="1"/>
  <c r="V1645" i="32" s="1"/>
  <c r="L1645" i="32" s="1"/>
  <c r="S1491" i="32" a="1"/>
  <c r="S1491" i="32" s="1"/>
  <c r="E1491" i="32" s="1"/>
  <c r="T1285" i="32" a="1"/>
  <c r="T1285" i="32" s="1"/>
  <c r="V1655" i="32" a="1"/>
  <c r="V1655" i="32" s="1"/>
  <c r="L1655" i="32" s="1"/>
  <c r="T1779" i="32" a="1"/>
  <c r="T1779" i="32" s="1"/>
  <c r="S639" i="32" a="1"/>
  <c r="S639" i="32" s="1"/>
  <c r="E639" i="32" s="1"/>
  <c r="F2029" i="27" s="1"/>
  <c r="T1271" i="32" a="1"/>
  <c r="T1271" i="32" s="1"/>
  <c r="T1411" i="32" a="1"/>
  <c r="T1411" i="32" s="1"/>
  <c r="S1211" i="32" a="1"/>
  <c r="S1211" i="32" s="1"/>
  <c r="E1211" i="32" s="1"/>
  <c r="V1643" i="32" a="1"/>
  <c r="V1643" i="32" s="1"/>
  <c r="L1643" i="32" s="1"/>
  <c r="V717" i="32" a="1"/>
  <c r="V717" i="32" s="1"/>
  <c r="L717" i="32" s="1"/>
  <c r="R1161" i="32" a="1"/>
  <c r="R1161" i="32" s="1"/>
  <c r="D1161" i="32" s="1"/>
  <c r="R1367" i="32" a="1"/>
  <c r="R1367" i="32" s="1"/>
  <c r="D1367" i="32" s="1"/>
  <c r="T1599" i="32" a="1"/>
  <c r="T1599" i="32" s="1"/>
  <c r="V757" i="32" a="1"/>
  <c r="V757" i="32" s="1"/>
  <c r="L757" i="32" s="1"/>
  <c r="V1165" i="32" a="1"/>
  <c r="V1165" i="32" s="1"/>
  <c r="L1165" i="32" s="1"/>
  <c r="S647" i="32" a="1"/>
  <c r="S647" i="32" s="1"/>
  <c r="E647" i="32" s="1"/>
  <c r="F2033" i="27" s="1"/>
  <c r="R1679" i="32" a="1"/>
  <c r="R1679" i="32" s="1"/>
  <c r="D1679" i="32" s="1"/>
  <c r="V1627" i="32" a="1"/>
  <c r="V1627" i="32" s="1"/>
  <c r="L1627" i="32" s="1"/>
  <c r="T1161" i="32" a="1"/>
  <c r="T1161" i="32" s="1"/>
  <c r="T1185" i="32" a="1"/>
  <c r="T1185" i="32" s="1"/>
  <c r="T1571" i="32" a="1"/>
  <c r="T1571" i="32" s="1"/>
  <c r="R825" i="32" a="1"/>
  <c r="R825" i="32" s="1"/>
  <c r="D825" i="32" s="1"/>
  <c r="R1325" i="32" a="1"/>
  <c r="R1325" i="32" s="1"/>
  <c r="D1325" i="32" s="1"/>
  <c r="S1577" i="32" a="1"/>
  <c r="S1577" i="32" s="1"/>
  <c r="E1577" i="32" s="1"/>
  <c r="R633" i="32" a="1"/>
  <c r="R633" i="32" s="1"/>
  <c r="D633" i="32" s="1"/>
  <c r="T841" i="32" a="1"/>
  <c r="T841" i="32" s="1"/>
  <c r="S1269" i="32" a="1"/>
  <c r="S1269" i="32" s="1"/>
  <c r="E1269" i="32" s="1"/>
  <c r="R1239" i="32" a="1"/>
  <c r="R1239" i="32" s="1"/>
  <c r="D1239" i="32" s="1"/>
  <c r="S1449" i="32" a="1"/>
  <c r="S1449" i="32" s="1"/>
  <c r="E1449" i="32" s="1"/>
  <c r="V1567" i="32" a="1"/>
  <c r="V1567" i="32" s="1"/>
  <c r="L1567" i="32" s="1"/>
  <c r="V1325" i="32" a="1"/>
  <c r="V1325" i="32" s="1"/>
  <c r="L1325" i="32" s="1"/>
  <c r="S845" i="32" a="1"/>
  <c r="S845" i="32" s="1"/>
  <c r="E845" i="32" s="1"/>
  <c r="V1767" i="32" a="1"/>
  <c r="V1767" i="32" s="1"/>
  <c r="L1767" i="32" s="1"/>
  <c r="V1565" i="32" a="1"/>
  <c r="V1565" i="32" s="1"/>
  <c r="L1565" i="32" s="1"/>
  <c r="S1259" i="32" a="1"/>
  <c r="S1259" i="32" s="1"/>
  <c r="E1259" i="32" s="1"/>
  <c r="S1289" i="32" a="1"/>
  <c r="S1289" i="32" s="1"/>
  <c r="E1289" i="32" s="1"/>
  <c r="V1489" i="32" a="1"/>
  <c r="V1489" i="32" s="1"/>
  <c r="L1489" i="32" s="1"/>
  <c r="S1507" i="32" a="1"/>
  <c r="S1507" i="32" s="1"/>
  <c r="E1507" i="32" s="1"/>
  <c r="R1665" i="32" a="1"/>
  <c r="R1665" i="32" s="1"/>
  <c r="D1665" i="32" s="1"/>
  <c r="T1657" i="32" a="1"/>
  <c r="T1657" i="32" s="1"/>
  <c r="T1133" i="32" a="1"/>
  <c r="T1133" i="32" s="1"/>
  <c r="S749" i="32" a="1"/>
  <c r="S749" i="32" s="1"/>
  <c r="E749" i="32" s="1"/>
  <c r="V1757" i="32" a="1"/>
  <c r="V1757" i="32" s="1"/>
  <c r="L1757" i="32" s="1"/>
  <c r="T1693" i="32" a="1"/>
  <c r="T1693" i="32" s="1"/>
  <c r="T1101" i="32" a="1"/>
  <c r="T1101" i="32" s="1"/>
  <c r="R1635" i="32" a="1"/>
  <c r="R1635" i="32" s="1"/>
  <c r="D1635" i="32" s="1"/>
  <c r="S1113" i="32" a="1"/>
  <c r="S1113" i="32" s="1"/>
  <c r="E1113" i="32" s="1"/>
  <c r="T643" i="32" a="1"/>
  <c r="T643" i="32" s="1"/>
  <c r="M2031" i="27" s="1"/>
  <c r="A2031" i="27" s="1"/>
  <c r="V1117" i="32" a="1"/>
  <c r="V1117" i="32" s="1"/>
  <c r="L1117" i="32" s="1"/>
  <c r="T1121" i="32" a="1"/>
  <c r="T1121" i="32" s="1"/>
  <c r="T1655" i="32" a="1"/>
  <c r="T1655" i="32" s="1"/>
  <c r="S1483" i="32" a="1"/>
  <c r="S1483" i="32" s="1"/>
  <c r="E1483" i="32" s="1"/>
  <c r="R1223" i="32" a="1"/>
  <c r="R1223" i="32" s="1"/>
  <c r="D1223" i="32" s="1"/>
  <c r="T1531" i="32" a="1"/>
  <c r="T1531" i="32" s="1"/>
  <c r="T1275" i="32" a="1"/>
  <c r="T1275" i="32" s="1"/>
  <c r="R1445" i="32" a="1"/>
  <c r="R1445" i="32" s="1"/>
  <c r="D1445" i="32" s="1"/>
  <c r="S1641" i="32" a="1"/>
  <c r="S1641" i="32" s="1"/>
  <c r="E1641" i="32" s="1"/>
  <c r="T1489" i="32" a="1"/>
  <c r="T1489" i="32" s="1"/>
  <c r="T1509" i="32" a="1"/>
  <c r="T1509" i="32" s="1"/>
  <c r="S1249" i="32" a="1"/>
  <c r="S1249" i="32" s="1"/>
  <c r="E1249" i="32" s="1"/>
  <c r="T1459" i="32" a="1"/>
  <c r="T1459" i="32" s="1"/>
  <c r="R1193" i="32" a="1"/>
  <c r="R1193" i="32" s="1"/>
  <c r="D1193" i="32" s="1"/>
  <c r="V1223" i="32" a="1"/>
  <c r="V1223" i="32" s="1"/>
  <c r="L1223" i="32" s="1"/>
  <c r="S1563" i="32" a="1"/>
  <c r="S1563" i="32" s="1"/>
  <c r="E1563" i="32" s="1"/>
  <c r="R1357" i="32" a="1"/>
  <c r="R1357" i="32" s="1"/>
  <c r="D1357" i="32" s="1"/>
  <c r="R1165" i="32" a="1"/>
  <c r="R1165" i="32" s="1"/>
  <c r="D1165" i="32" s="1"/>
  <c r="V1589" i="32" a="1"/>
  <c r="V1589" i="32" s="1"/>
  <c r="L1589" i="32" s="1"/>
  <c r="V1625" i="32" a="1"/>
  <c r="V1625" i="32" s="1"/>
  <c r="L1625" i="32" s="1"/>
  <c r="T1759" i="32" a="1"/>
  <c r="T1759" i="32" s="1"/>
  <c r="S1243" i="32" a="1"/>
  <c r="S1243" i="32" s="1"/>
  <c r="E1243" i="32" s="1"/>
  <c r="T1295" i="32" a="1"/>
  <c r="T1295" i="32" s="1"/>
  <c r="T1519" i="32" a="1"/>
  <c r="T1519" i="32" s="1"/>
  <c r="R1623" i="32" a="1"/>
  <c r="R1623" i="32" s="1"/>
  <c r="D1623" i="32" s="1"/>
  <c r="R1377" i="32" a="1"/>
  <c r="R1377" i="32" s="1"/>
  <c r="D1377" i="32" s="1"/>
  <c r="V1463" i="32" a="1"/>
  <c r="V1463" i="32" s="1"/>
  <c r="L1463" i="32" s="1"/>
  <c r="T1317" i="32" a="1"/>
  <c r="T1317" i="32" s="1"/>
  <c r="T1649" i="32" a="1"/>
  <c r="T1649" i="32" s="1"/>
  <c r="R1697" i="32" a="1"/>
  <c r="R1697" i="32" s="1"/>
  <c r="D1697" i="32" s="1"/>
  <c r="V723" i="32" a="1"/>
  <c r="V723" i="32" s="1"/>
  <c r="L723" i="32" s="1"/>
  <c r="R1717" i="32" a="1"/>
  <c r="R1717" i="32" s="1"/>
  <c r="D1717" i="32" s="1"/>
  <c r="V1679" i="32" a="1"/>
  <c r="V1679" i="32" s="1"/>
  <c r="L1679" i="32" s="1"/>
  <c r="S1763" i="32" a="1"/>
  <c r="S1763" i="32" s="1"/>
  <c r="E1763" i="32" s="1"/>
  <c r="T1287" i="32" a="1"/>
  <c r="T1287" i="32" s="1"/>
  <c r="T1373" i="32" a="1"/>
  <c r="T1373" i="32" s="1"/>
  <c r="R1271" i="32" a="1"/>
  <c r="R1271" i="32" s="1"/>
  <c r="D1271" i="32" s="1"/>
  <c r="V1303" i="32" a="1"/>
  <c r="V1303" i="32" s="1"/>
  <c r="L1303" i="32" s="1"/>
  <c r="S1739" i="32" a="1"/>
  <c r="S1739" i="32" s="1"/>
  <c r="E1739" i="32" s="1"/>
  <c r="V627" i="32" a="1"/>
  <c r="V627" i="32" s="1"/>
  <c r="L627" i="32" s="1"/>
  <c r="R1499" i="32" a="1"/>
  <c r="R1499" i="32" s="1"/>
  <c r="D1499" i="32" s="1"/>
  <c r="S1165" i="32" a="1"/>
  <c r="S1165" i="32" s="1"/>
  <c r="E1165" i="32" s="1"/>
  <c r="T1309" i="32" a="1"/>
  <c r="T1309" i="32" s="1"/>
  <c r="V1373" i="32" a="1"/>
  <c r="V1373" i="32" s="1"/>
  <c r="L1373" i="32" s="1"/>
  <c r="V1485" i="32" a="1"/>
  <c r="V1485" i="32" s="1"/>
  <c r="L1485" i="32" s="1"/>
  <c r="R1691" i="32" a="1"/>
  <c r="R1691" i="32" s="1"/>
  <c r="D1691" i="32" s="1"/>
  <c r="V1701" i="32" a="1"/>
  <c r="V1701" i="32" s="1"/>
  <c r="L1701" i="32" s="1"/>
  <c r="R1385" i="32" a="1"/>
  <c r="R1385" i="32" s="1"/>
  <c r="D1385" i="32" s="1"/>
  <c r="S1303" i="32" a="1"/>
  <c r="S1303" i="32" s="1"/>
  <c r="E1303" i="32" s="1"/>
  <c r="S1391" i="32" a="1"/>
  <c r="S1391" i="32" s="1"/>
  <c r="E1391" i="32" s="1"/>
  <c r="R1329" i="32" a="1"/>
  <c r="R1329" i="32" s="1"/>
  <c r="D1329" i="32" s="1"/>
  <c r="S1413" i="32" a="1"/>
  <c r="S1413" i="32" s="1"/>
  <c r="E1413" i="32" s="1"/>
  <c r="T1647" i="32" a="1"/>
  <c r="T1647" i="32" s="1"/>
  <c r="T1151" i="32" a="1"/>
  <c r="T1151" i="32" s="1"/>
  <c r="R1453" i="32" a="1"/>
  <c r="R1453" i="32" s="1"/>
  <c r="D1453" i="32" s="1"/>
  <c r="S1299" i="32" a="1"/>
  <c r="S1299" i="32" s="1"/>
  <c r="E1299" i="32" s="1"/>
  <c r="T853" i="32" a="1"/>
  <c r="T853" i="32" s="1"/>
  <c r="R1211" i="32" a="1"/>
  <c r="R1211" i="32" s="1"/>
  <c r="D1211" i="32" s="1"/>
  <c r="T1587" i="32" a="1"/>
  <c r="T1587" i="32" s="1"/>
  <c r="T1593" i="32" a="1"/>
  <c r="T1593" i="32" s="1"/>
  <c r="V1685" i="32" a="1"/>
  <c r="V1685" i="32" s="1"/>
  <c r="L1685" i="32" s="1"/>
  <c r="R1147" i="32" a="1"/>
  <c r="R1147" i="32" s="1"/>
  <c r="D1147" i="32" s="1"/>
  <c r="S1731" i="32" a="1"/>
  <c r="S1731" i="32" s="1"/>
  <c r="E1731" i="32" s="1"/>
  <c r="T1221" i="32" a="1"/>
  <c r="T1221" i="32" s="1"/>
  <c r="S1727" i="32" a="1"/>
  <c r="S1727" i="32" s="1"/>
  <c r="E1727" i="32" s="1"/>
  <c r="R1601" i="32" a="1"/>
  <c r="R1601" i="32" s="1"/>
  <c r="D1601" i="32" s="1"/>
  <c r="V1301" i="32" a="1"/>
  <c r="V1301" i="32" s="1"/>
  <c r="L1301" i="32" s="1"/>
  <c r="V1639" i="32" a="1"/>
  <c r="V1639" i="32" s="1"/>
  <c r="L1639" i="32" s="1"/>
  <c r="R1341" i="32" a="1"/>
  <c r="R1341" i="32" s="1"/>
  <c r="D1341" i="32" s="1"/>
  <c r="T1557" i="32" a="1"/>
  <c r="T1557" i="32" s="1"/>
  <c r="S1777" i="32" a="1"/>
  <c r="S1777" i="32" s="1"/>
  <c r="E1777" i="32" s="1"/>
  <c r="V851" i="32" a="1"/>
  <c r="V851" i="32" s="1"/>
  <c r="L851" i="32" s="1"/>
  <c r="T1673" i="32" a="1"/>
  <c r="T1673" i="32" s="1"/>
  <c r="V1427" i="32" a="1"/>
  <c r="V1427" i="32" s="1"/>
  <c r="L1427" i="32" s="1"/>
  <c r="T1617" i="32" a="1"/>
  <c r="T1617" i="32" s="1"/>
  <c r="V669" i="32" a="1"/>
  <c r="V669" i="32" s="1"/>
  <c r="L669" i="32" s="1"/>
  <c r="T1543" i="32" a="1"/>
  <c r="T1543" i="32" s="1"/>
  <c r="R1371" i="32" a="1"/>
  <c r="R1371" i="32" s="1"/>
  <c r="D1371" i="32" s="1"/>
  <c r="T1273" i="32" a="1"/>
  <c r="T1273" i="32" s="1"/>
  <c r="R849" i="32" a="1"/>
  <c r="R849" i="32" s="1"/>
  <c r="D849" i="32" s="1"/>
  <c r="V1281" i="32" a="1"/>
  <c r="V1281" i="32" s="1"/>
  <c r="L1281" i="32" s="1"/>
  <c r="V1423" i="32" a="1"/>
  <c r="V1423" i="32" s="1"/>
  <c r="L1423" i="32" s="1"/>
  <c r="V1113" i="32" a="1"/>
  <c r="V1113" i="32" s="1"/>
  <c r="L1113" i="32" s="1"/>
  <c r="V1295" i="32" a="1"/>
  <c r="V1295" i="32" s="1"/>
  <c r="L1295" i="32" s="1"/>
  <c r="T1257" i="32" a="1"/>
  <c r="T1257" i="32" s="1"/>
  <c r="V1523" i="32" a="1"/>
  <c r="V1523" i="32" s="1"/>
  <c r="L1523" i="32" s="1"/>
  <c r="S1395" i="32" a="1"/>
  <c r="S1395" i="32" s="1"/>
  <c r="E1395" i="32" s="1"/>
  <c r="T1631" i="32" a="1"/>
  <c r="T1631" i="32" s="1"/>
  <c r="S753" i="32" a="1"/>
  <c r="S753" i="32" s="1"/>
  <c r="E753" i="32" s="1"/>
  <c r="T1691" i="32" a="1"/>
  <c r="T1691" i="32" s="1"/>
  <c r="V1649" i="32" a="1"/>
  <c r="V1649" i="32" s="1"/>
  <c r="L1649" i="32" s="1"/>
  <c r="R1431" i="32" a="1"/>
  <c r="R1431" i="32" s="1"/>
  <c r="D1431" i="32" s="1"/>
  <c r="R1751" i="32" a="1"/>
  <c r="R1751" i="32" s="1"/>
  <c r="D1751" i="32" s="1"/>
  <c r="S629" i="32" a="1"/>
  <c r="S629" i="32" s="1"/>
  <c r="E629" i="32" s="1"/>
  <c r="F2024" i="27" s="1"/>
  <c r="R1163" i="32" a="1"/>
  <c r="R1163" i="32" s="1"/>
  <c r="D1163" i="32" s="1"/>
  <c r="V1143" i="32" a="1"/>
  <c r="V1143" i="32" s="1"/>
  <c r="L1143" i="32" s="1"/>
  <c r="S1437" i="32" a="1"/>
  <c r="S1437" i="32" s="1"/>
  <c r="E1437" i="32" s="1"/>
  <c r="V1673" i="32" a="1"/>
  <c r="V1673" i="32" s="1"/>
  <c r="L1673" i="32" s="1"/>
  <c r="S1319" i="32" a="1"/>
  <c r="S1319" i="32" s="1"/>
  <c r="E1319" i="32" s="1"/>
  <c r="S1467" i="32" a="1"/>
  <c r="S1467" i="32" s="1"/>
  <c r="E1467" i="32" s="1"/>
  <c r="T1301" i="32" a="1"/>
  <c r="T1301" i="32" s="1"/>
  <c r="T843" i="32" a="1"/>
  <c r="T843" i="32" s="1"/>
  <c r="V1339" i="32" a="1"/>
  <c r="V1339" i="32" s="1"/>
  <c r="L1339" i="32" s="1"/>
  <c r="F49" i="16" a="1"/>
  <c r="F49" i="16" s="1"/>
  <c r="S1711" i="32" a="1"/>
  <c r="S1711" i="32" s="1"/>
  <c r="E1711" i="32" s="1"/>
  <c r="V713" i="32" a="1"/>
  <c r="V713" i="32" s="1"/>
  <c r="L713" i="32" s="1"/>
  <c r="T705" i="32" a="1"/>
  <c r="T705" i="32" s="1"/>
  <c r="S1499" i="32" a="1"/>
  <c r="S1499" i="32" s="1"/>
  <c r="E1499" i="32" s="1"/>
  <c r="S1125" i="32" a="1"/>
  <c r="S1125" i="32" s="1"/>
  <c r="E1125" i="32" s="1"/>
  <c r="R1301" i="32" a="1"/>
  <c r="R1301" i="32" s="1"/>
  <c r="D1301" i="32" s="1"/>
  <c r="S1411" i="32" a="1"/>
  <c r="S1411" i="32" s="1"/>
  <c r="E1411" i="32" s="1"/>
  <c r="S1389" i="32" a="1"/>
  <c r="S1389" i="32" s="1"/>
  <c r="E1389" i="32" s="1"/>
  <c r="T1625" i="32" a="1"/>
  <c r="T1625" i="32" s="1"/>
  <c r="S1441" i="32" a="1"/>
  <c r="S1441" i="32" s="1"/>
  <c r="E1441" i="32" s="1"/>
  <c r="S1767" i="32" a="1"/>
  <c r="S1767" i="32" s="1"/>
  <c r="E1767" i="32" s="1"/>
  <c r="V1779" i="32" a="1"/>
  <c r="V1779" i="32" s="1"/>
  <c r="L1779" i="32" s="1"/>
  <c r="T1541" i="32" a="1"/>
  <c r="T1541" i="32" s="1"/>
  <c r="S1521" i="32" a="1"/>
  <c r="S1521" i="32" s="1"/>
  <c r="E1521" i="32" s="1"/>
  <c r="S1271" i="32" a="1"/>
  <c r="S1271" i="32" s="1"/>
  <c r="E1271" i="32" s="1"/>
  <c r="R1709" i="32" a="1"/>
  <c r="R1709" i="32" s="1"/>
  <c r="D1709" i="32" s="1"/>
  <c r="V1297" i="32" a="1"/>
  <c r="V1297" i="32" s="1"/>
  <c r="L1297" i="32" s="1"/>
  <c r="T1561" i="32" a="1"/>
  <c r="T1561" i="32" s="1"/>
  <c r="T681" i="32" a="1"/>
  <c r="T681" i="32" s="1"/>
  <c r="S1401" i="32" a="1"/>
  <c r="S1401" i="32" s="1"/>
  <c r="E1401" i="32" s="1"/>
  <c r="T1293" i="32" a="1"/>
  <c r="T1293" i="32" s="1"/>
  <c r="V1623" i="32" a="1"/>
  <c r="V1623" i="32" s="1"/>
  <c r="L1623" i="32" s="1"/>
  <c r="V1519" i="32" a="1"/>
  <c r="V1519" i="32" s="1"/>
  <c r="L1519" i="32" s="1"/>
  <c r="S1495" i="32" a="1"/>
  <c r="S1495" i="32" s="1"/>
  <c r="E1495" i="32" s="1"/>
  <c r="T1653" i="32" a="1"/>
  <c r="T1653" i="32" s="1"/>
  <c r="S1371" i="32" a="1"/>
  <c r="S1371" i="32" s="1"/>
  <c r="E1371" i="32" s="1"/>
  <c r="T641" i="32" a="1"/>
  <c r="T641" i="32" s="1"/>
  <c r="M2030" i="27" s="1"/>
  <c r="A2030" i="27" s="1"/>
  <c r="V1367" i="32" a="1"/>
  <c r="V1367" i="32" s="1"/>
  <c r="L1367" i="32" s="1"/>
  <c r="R645" i="32" a="1"/>
  <c r="R645" i="32" s="1"/>
  <c r="D645" i="32" s="1"/>
  <c r="V1333" i="32" a="1"/>
  <c r="V1333" i="32" s="1"/>
  <c r="L1333" i="32" s="1"/>
  <c r="T1457" i="32" a="1"/>
  <c r="T1457" i="32" s="1"/>
  <c r="V1531" i="32" a="1"/>
  <c r="V1531" i="32" s="1"/>
  <c r="L1531" i="32" s="1"/>
  <c r="T1253" i="32" a="1"/>
  <c r="T1253" i="32" s="1"/>
  <c r="T1635" i="32" a="1"/>
  <c r="T1635" i="32" s="1"/>
  <c r="R677" i="32" a="1"/>
  <c r="R677" i="32" s="1"/>
  <c r="D677" i="32" s="1"/>
  <c r="T625" i="32" a="1"/>
  <c r="T625" i="32" s="1"/>
  <c r="M2022" i="27" s="1"/>
  <c r="A2022" i="27" s="1"/>
  <c r="T1115" i="32" a="1"/>
  <c r="T1115" i="32" s="1"/>
  <c r="S1657" i="32" a="1"/>
  <c r="S1657" i="32" s="1"/>
  <c r="E1657" i="32" s="1"/>
  <c r="S1737" i="32" a="1"/>
  <c r="S1737" i="32" s="1"/>
  <c r="E1737" i="32" s="1"/>
  <c r="S1197" i="32" a="1"/>
  <c r="S1197" i="32" s="1"/>
  <c r="E1197" i="32" s="1"/>
  <c r="V1705" i="32" a="1"/>
  <c r="V1705" i="32" s="1"/>
  <c r="L1705" i="32" s="1"/>
  <c r="T1427" i="32" a="1"/>
  <c r="T1427" i="32" s="1"/>
  <c r="R1135" i="32" a="1"/>
  <c r="R1135" i="32" s="1"/>
  <c r="D1135" i="32" s="1"/>
  <c r="R1247" i="32" a="1"/>
  <c r="R1247" i="32" s="1"/>
  <c r="D1247" i="32" s="1"/>
  <c r="V1187" i="32" a="1"/>
  <c r="V1187" i="32" s="1"/>
  <c r="L1187" i="32" s="1"/>
  <c r="S1575" i="32" a="1"/>
  <c r="S1575" i="32" s="1"/>
  <c r="E1575" i="32" s="1"/>
  <c r="S1675" i="32" a="1"/>
  <c r="S1675" i="32" s="1"/>
  <c r="E1675" i="32" s="1"/>
  <c r="V1691" i="32" a="1"/>
  <c r="V1691" i="32" s="1"/>
  <c r="L1691" i="32" s="1"/>
  <c r="V635" i="32" a="1"/>
  <c r="V635" i="32" s="1"/>
  <c r="L635" i="32" s="1"/>
  <c r="V1379" i="32" a="1"/>
  <c r="V1379" i="32" s="1"/>
  <c r="L1379" i="32" s="1"/>
  <c r="S1729" i="32" a="1"/>
  <c r="S1729" i="32" s="1"/>
  <c r="E1729" i="32" s="1"/>
  <c r="R1641" i="32" a="1"/>
  <c r="R1641" i="32" s="1"/>
  <c r="D1641" i="32" s="1"/>
  <c r="V839" i="32" a="1"/>
  <c r="V839" i="32" s="1"/>
  <c r="L839" i="32" s="1"/>
  <c r="V1553" i="32" a="1"/>
  <c r="V1553" i="32" s="1"/>
  <c r="L1553" i="32" s="1"/>
  <c r="V1185" i="32" a="1"/>
  <c r="V1185" i="32" s="1"/>
  <c r="L1185" i="32" s="1"/>
  <c r="R1649" i="32" a="1"/>
  <c r="R1649" i="32" s="1"/>
  <c r="D1649" i="32" s="1"/>
  <c r="R643" i="32" a="1"/>
  <c r="R643" i="32" s="1"/>
  <c r="D643" i="32" s="1"/>
  <c r="S1255" i="32" a="1"/>
  <c r="S1255" i="32" s="1"/>
  <c r="E1255" i="32" s="1"/>
  <c r="R1231" i="32" a="1"/>
  <c r="R1231" i="32" s="1"/>
  <c r="D1231" i="32" s="1"/>
  <c r="V1291" i="32" a="1"/>
  <c r="V1291" i="32" s="1"/>
  <c r="L1291" i="32" s="1"/>
  <c r="T1745" i="32" a="1"/>
  <c r="T1745" i="32" s="1"/>
  <c r="S1143" i="32" a="1"/>
  <c r="S1143" i="32" s="1"/>
  <c r="E1143" i="32" s="1"/>
  <c r="T669" i="32" a="1"/>
  <c r="T669" i="32" s="1"/>
  <c r="S827" i="32" a="1"/>
  <c r="S827" i="32" s="1"/>
  <c r="E827" i="32" s="1"/>
  <c r="T1709" i="32" a="1"/>
  <c r="T1709" i="32" s="1"/>
  <c r="T629" i="32" a="1"/>
  <c r="T629" i="32" s="1"/>
  <c r="T1449" i="32" a="1"/>
  <c r="T1449" i="32" s="1"/>
  <c r="S1173" i="32" a="1"/>
  <c r="S1173" i="32" s="1"/>
  <c r="E1173" i="32" s="1"/>
  <c r="R1579" i="32" a="1"/>
  <c r="R1579" i="32" s="1"/>
  <c r="D1579" i="32" s="1"/>
  <c r="R1117" i="32" a="1"/>
  <c r="R1117" i="32" s="1"/>
  <c r="D1117" i="32" s="1"/>
  <c r="R1263" i="32" a="1"/>
  <c r="R1263" i="32" s="1"/>
  <c r="D1263" i="32" s="1"/>
  <c r="R1455" i="32" a="1"/>
  <c r="R1455" i="32" s="1"/>
  <c r="D1455" i="32" s="1"/>
  <c r="V1261" i="32" a="1"/>
  <c r="V1261" i="32" s="1"/>
  <c r="L1261" i="32" s="1"/>
  <c r="S1673" i="32" a="1"/>
  <c r="S1673" i="32" s="1"/>
  <c r="E1673" i="32" s="1"/>
  <c r="T1201" i="32" a="1"/>
  <c r="T1201" i="32" s="1"/>
  <c r="S1761" i="32" a="1"/>
  <c r="S1761" i="32" s="1"/>
  <c r="E1761" i="32" s="1"/>
  <c r="V1369" i="32" a="1"/>
  <c r="V1369" i="32" s="1"/>
  <c r="L1369" i="32" s="1"/>
  <c r="V1749" i="32" a="1"/>
  <c r="V1749" i="32" s="1"/>
  <c r="L1749" i="32" s="1"/>
  <c r="S715" i="32" a="1"/>
  <c r="S715" i="32" s="1"/>
  <c r="E715" i="32" s="1"/>
  <c r="T1435" i="32" a="1"/>
  <c r="T1435" i="32" s="1"/>
  <c r="V1743" i="32" a="1"/>
  <c r="V1743" i="32" s="1"/>
  <c r="L1743" i="32" s="1"/>
  <c r="V1487" i="32" a="1"/>
  <c r="V1487" i="32" s="1"/>
  <c r="L1487" i="32" s="1"/>
  <c r="V1605" i="32" a="1"/>
  <c r="V1605" i="32" s="1"/>
  <c r="L1605" i="32" s="1"/>
  <c r="S717" i="32" a="1"/>
  <c r="S717" i="32" s="1"/>
  <c r="E717" i="32" s="1"/>
  <c r="R647" i="32" a="1"/>
  <c r="R647" i="32" s="1"/>
  <c r="D647" i="32" s="1"/>
  <c r="S1373" i="32" a="1"/>
  <c r="S1373" i="32" s="1"/>
  <c r="E1373" i="32" s="1"/>
  <c r="R1711" i="32" a="1"/>
  <c r="R1711" i="32" s="1"/>
  <c r="D1711" i="32" s="1"/>
  <c r="V1293" i="32" a="1"/>
  <c r="V1293" i="32" s="1"/>
  <c r="L1293" i="32" s="1"/>
  <c r="V1447" i="32" a="1"/>
  <c r="V1447" i="32" s="1"/>
  <c r="L1447" i="32" s="1"/>
  <c r="T1767" i="32" a="1"/>
  <c r="T1767" i="32" s="1"/>
  <c r="R765" i="32" a="1"/>
  <c r="R765" i="32" s="1"/>
  <c r="D765" i="32" s="1"/>
  <c r="T1739" i="32" a="1"/>
  <c r="T1739" i="32" s="1"/>
  <c r="V1197" i="32" a="1"/>
  <c r="V1197" i="32" s="1"/>
  <c r="L1197" i="32" s="1"/>
  <c r="T1229" i="32" a="1"/>
  <c r="T1229" i="32" s="1"/>
  <c r="R1401" i="32" a="1"/>
  <c r="R1401" i="32" s="1"/>
  <c r="D1401" i="32" s="1"/>
  <c r="V1583" i="32" a="1"/>
  <c r="V1583" i="32" s="1"/>
  <c r="L1583" i="32" s="1"/>
  <c r="T1485" i="32" a="1"/>
  <c r="T1485" i="32" s="1"/>
  <c r="T1365" i="32" a="1"/>
  <c r="T1365" i="32" s="1"/>
  <c r="R1477" i="32" a="1"/>
  <c r="R1477" i="32" s="1"/>
  <c r="D1477" i="32" s="1"/>
  <c r="S1677" i="32" a="1"/>
  <c r="S1677" i="32" s="1"/>
  <c r="E1677" i="32" s="1"/>
  <c r="T1637" i="32" a="1"/>
  <c r="T1637" i="32" s="1"/>
  <c r="V1275" i="32" a="1"/>
  <c r="V1275" i="32" s="1"/>
  <c r="L1275" i="32" s="1"/>
  <c r="V1207" i="32" a="1"/>
  <c r="V1207" i="32" s="1"/>
  <c r="L1207" i="32" s="1"/>
  <c r="S1393" i="32" a="1"/>
  <c r="S1393" i="32" s="1"/>
  <c r="E1393" i="32" s="1"/>
  <c r="S1703" i="32" a="1"/>
  <c r="S1703" i="32" s="1"/>
  <c r="E1703" i="32" s="1"/>
  <c r="T1555" i="32" a="1"/>
  <c r="T1555" i="32" s="1"/>
  <c r="V1631" i="32" a="1"/>
  <c r="V1631" i="32" s="1"/>
  <c r="L1631" i="32" s="1"/>
  <c r="T1141" i="32" a="1"/>
  <c r="T1141" i="32" s="1"/>
  <c r="V1409" i="32" a="1"/>
  <c r="V1409" i="32" s="1"/>
  <c r="L1409" i="32" s="1"/>
  <c r="V1151" i="32" a="1"/>
  <c r="V1151" i="32" s="1"/>
  <c r="L1151" i="32" s="1"/>
  <c r="S1279" i="32" a="1"/>
  <c r="S1279" i="32" s="1"/>
  <c r="E1279" i="32" s="1"/>
  <c r="T1243" i="32" a="1"/>
  <c r="T1243" i="32" s="1"/>
  <c r="V1453" i="32" a="1"/>
  <c r="V1453" i="32" s="1"/>
  <c r="L1453" i="32" s="1"/>
  <c r="R1311" i="32" a="1"/>
  <c r="R1311" i="32" s="1"/>
  <c r="D1311" i="32" s="1"/>
  <c r="T1349" i="32" a="1"/>
  <c r="T1349" i="32" s="1"/>
  <c r="S1551" i="32" a="1"/>
  <c r="S1551" i="32" s="1"/>
  <c r="E1551" i="32" s="1"/>
  <c r="S1687" i="32" a="1"/>
  <c r="S1687" i="32" s="1"/>
  <c r="E1687" i="32" s="1"/>
  <c r="V853" i="32" a="1"/>
  <c r="V853" i="32" s="1"/>
  <c r="L853" i="32" s="1"/>
  <c r="R835" i="32" a="1"/>
  <c r="R835" i="32" s="1"/>
  <c r="D835" i="32" s="1"/>
  <c r="S1239" i="32" a="1"/>
  <c r="S1239" i="32" s="1"/>
  <c r="E1239" i="32" s="1"/>
  <c r="R1551" i="32" a="1"/>
  <c r="R1551" i="32" s="1"/>
  <c r="D1551" i="32" s="1"/>
  <c r="T1439" i="32" a="1"/>
  <c r="T1439" i="32" s="1"/>
  <c r="T1633" i="32" a="1"/>
  <c r="T1633" i="32" s="1"/>
  <c r="V675" i="32" a="1"/>
  <c r="V675" i="32" s="1"/>
  <c r="L675" i="32" s="1"/>
  <c r="R1395" i="32" a="1"/>
  <c r="R1395" i="32" s="1"/>
  <c r="D1395" i="32" s="1"/>
  <c r="S1569" i="32" a="1"/>
  <c r="S1569" i="32" s="1"/>
  <c r="E1569" i="32" s="1"/>
  <c r="V1155" i="32" a="1"/>
  <c r="V1155" i="32" s="1"/>
  <c r="L1155" i="32" s="1"/>
  <c r="S1225" i="32" a="1"/>
  <c r="S1225" i="32" s="1"/>
  <c r="E1225" i="32" s="1"/>
  <c r="R1319" i="32" a="1"/>
  <c r="R1319" i="32" s="1"/>
  <c r="D1319" i="32" s="1"/>
  <c r="R1555" i="32" a="1"/>
  <c r="R1555" i="32" s="1"/>
  <c r="D1555" i="32" s="1"/>
  <c r="S1105" i="32" a="1"/>
  <c r="S1105" i="32" s="1"/>
  <c r="E1105" i="32" s="1"/>
  <c r="T1291" i="32" a="1"/>
  <c r="T1291" i="32" s="1"/>
  <c r="R1335" i="32" a="1"/>
  <c r="R1335" i="32" s="1"/>
  <c r="D1335" i="32" s="1"/>
  <c r="V843" i="32" a="1"/>
  <c r="V843" i="32" s="1"/>
  <c r="L843" i="32" s="1"/>
  <c r="S1341" i="32" a="1"/>
  <c r="S1341" i="32" s="1"/>
  <c r="E1341" i="32" s="1"/>
  <c r="V1313" i="32" a="1"/>
  <c r="V1313" i="32" s="1"/>
  <c r="L1313" i="32" s="1"/>
  <c r="T1721" i="32" a="1"/>
  <c r="T1721" i="32" s="1"/>
  <c r="S1469" i="32" a="1"/>
  <c r="S1469" i="32" s="1"/>
  <c r="E1469" i="32" s="1"/>
  <c r="R1413" i="32" a="1"/>
  <c r="R1413" i="32" s="1"/>
  <c r="D1413" i="32" s="1"/>
  <c r="R1279" i="32" a="1"/>
  <c r="R1279" i="32" s="1"/>
  <c r="D1279" i="32" s="1"/>
  <c r="R1155" i="32" a="1"/>
  <c r="R1155" i="32" s="1"/>
  <c r="D1155" i="32" s="1"/>
  <c r="T1445" i="32" a="1"/>
  <c r="T1445" i="32" s="1"/>
  <c r="V1311" i="32" a="1"/>
  <c r="V1311" i="32" s="1"/>
  <c r="L1311" i="32" s="1"/>
  <c r="T1549" i="32" a="1"/>
  <c r="T1549" i="32" s="1"/>
  <c r="R1121" i="32" a="1"/>
  <c r="R1121" i="32" s="1"/>
  <c r="D1121" i="32" s="1"/>
  <c r="S1685" i="32" a="1"/>
  <c r="S1685" i="32" s="1"/>
  <c r="E1685" i="32" s="1"/>
  <c r="R675" i="32" a="1"/>
  <c r="R675" i="32" s="1"/>
  <c r="D675" i="32" s="1"/>
  <c r="V1451" i="32" a="1"/>
  <c r="V1451" i="32" s="1"/>
  <c r="L1451" i="32" s="1"/>
  <c r="R717" i="32" a="1"/>
  <c r="R717" i="32" s="1"/>
  <c r="D717" i="32" s="1"/>
  <c r="T1567" i="32" a="1"/>
  <c r="T1567" i="32" s="1"/>
  <c r="V1127" i="32" a="1"/>
  <c r="V1127" i="32" s="1"/>
  <c r="L1127" i="32" s="1"/>
  <c r="R721" i="32" a="1"/>
  <c r="R721" i="32" s="1"/>
  <c r="D721" i="32" s="1"/>
  <c r="R1749" i="32" a="1"/>
  <c r="R1749" i="32" s="1"/>
  <c r="D1749" i="32" s="1"/>
  <c r="T715" i="32" a="1"/>
  <c r="T715" i="32" s="1"/>
  <c r="S1779" i="32" a="1"/>
  <c r="S1779" i="32" s="1"/>
  <c r="E1779" i="32" s="1"/>
  <c r="R711" i="32" a="1"/>
  <c r="R711" i="32" s="1"/>
  <c r="D711" i="32" s="1"/>
  <c r="V1161" i="32" a="1"/>
  <c r="V1161" i="32" s="1"/>
  <c r="L1161" i="32" s="1"/>
  <c r="S1485" i="32" a="1"/>
  <c r="S1485" i="32" s="1"/>
  <c r="E1485" i="32" s="1"/>
  <c r="R761" i="32" a="1"/>
  <c r="R761" i="32" s="1"/>
  <c r="D761" i="32" s="1"/>
  <c r="T1749" i="32" a="1"/>
  <c r="T1749" i="32" s="1"/>
  <c r="R1389" i="32" a="1"/>
  <c r="R1389" i="32" s="1"/>
  <c r="D1389" i="32" s="1"/>
  <c r="S1605" i="32" a="1"/>
  <c r="S1605" i="32" s="1"/>
  <c r="E1605" i="32" s="1"/>
  <c r="V1337" i="32" a="1"/>
  <c r="V1337" i="32" s="1"/>
  <c r="L1337" i="32" s="1"/>
  <c r="V1715" i="32" a="1"/>
  <c r="V1715" i="32" s="1"/>
  <c r="L1715" i="32" s="1"/>
  <c r="V1525" i="32" a="1"/>
  <c r="V1525" i="32" s="1"/>
  <c r="L1525" i="32" s="1"/>
  <c r="T1165" i="32" a="1"/>
  <c r="T1165" i="32" s="1"/>
  <c r="T769" i="32" a="1"/>
  <c r="T769" i="32" s="1"/>
  <c r="V1499" i="32" a="1"/>
  <c r="V1499" i="32" s="1"/>
  <c r="L1499" i="32" s="1"/>
  <c r="S1295" i="32" a="1"/>
  <c r="S1295" i="32" s="1"/>
  <c r="E1295" i="32" s="1"/>
  <c r="R1605" i="32" a="1"/>
  <c r="R1605" i="32" s="1"/>
  <c r="D1605" i="32" s="1"/>
  <c r="T1697" i="32" a="1"/>
  <c r="T1697" i="32" s="1"/>
  <c r="V1539" i="32" a="1"/>
  <c r="V1539" i="32" s="1"/>
  <c r="L1539" i="32" s="1"/>
  <c r="R1569" i="32" a="1"/>
  <c r="R1569" i="32" s="1"/>
  <c r="D1569" i="32" s="1"/>
  <c r="R1591" i="32" a="1"/>
  <c r="R1591" i="32" s="1"/>
  <c r="D1591" i="32" s="1"/>
  <c r="S1195" i="32" a="1"/>
  <c r="S1195" i="32" s="1"/>
  <c r="E1195" i="32" s="1"/>
  <c r="S1323" i="32" a="1"/>
  <c r="S1323" i="32" s="1"/>
  <c r="E1323" i="32" s="1"/>
  <c r="V1551" i="32" a="1"/>
  <c r="V1551" i="32" s="1"/>
  <c r="L1551" i="32" s="1"/>
  <c r="R1267" i="32" a="1"/>
  <c r="R1267" i="32" s="1"/>
  <c r="D1267" i="32" s="1"/>
  <c r="R1169" i="32" a="1"/>
  <c r="R1169" i="32" s="1"/>
  <c r="D1169" i="32" s="1"/>
  <c r="S1749" i="32" a="1"/>
  <c r="S1749" i="32" s="1"/>
  <c r="E1749" i="32" s="1"/>
  <c r="R1467" i="32" a="1"/>
  <c r="R1467" i="32" s="1"/>
  <c r="D1467" i="32" s="1"/>
  <c r="R1361" i="32" a="1"/>
  <c r="R1361" i="32" s="1"/>
  <c r="D1361" i="32" s="1"/>
  <c r="T1205" i="32" a="1"/>
  <c r="T1205" i="32" s="1"/>
  <c r="R635" i="32" a="1"/>
  <c r="R635" i="32" s="1"/>
  <c r="D635" i="32" s="1"/>
  <c r="T1757" i="32" a="1"/>
  <c r="T1757" i="32" s="1"/>
  <c r="S1721" i="32" a="1"/>
  <c r="S1721" i="32" s="1"/>
  <c r="E1721" i="32" s="1"/>
  <c r="S837" i="32" a="1"/>
  <c r="S837" i="32" s="1"/>
  <c r="E837" i="32" s="1"/>
  <c r="R1763" i="32" a="1"/>
  <c r="R1763" i="32" s="1"/>
  <c r="D1763" i="32" s="1"/>
  <c r="R1673" i="32" a="1"/>
  <c r="R1673" i="32" s="1"/>
  <c r="D1673" i="32" s="1"/>
  <c r="V1149" i="32" a="1"/>
  <c r="V1149" i="32" s="1"/>
  <c r="L1149" i="32" s="1"/>
  <c r="R1359" i="32" a="1"/>
  <c r="R1359" i="32" s="1"/>
  <c r="D1359" i="32" s="1"/>
  <c r="T1197" i="32" a="1"/>
  <c r="T1197" i="32" s="1"/>
  <c r="S1545" i="32" a="1"/>
  <c r="S1545" i="32" s="1"/>
  <c r="E1545" i="32" s="1"/>
  <c r="T1259" i="32" a="1"/>
  <c r="T1259" i="32" s="1"/>
  <c r="T1155" i="32" a="1"/>
  <c r="T1155" i="32" s="1"/>
  <c r="S1453" i="32" a="1"/>
  <c r="S1453" i="32" s="1"/>
  <c r="E1453" i="32" s="1"/>
  <c r="V1647" i="32" a="1"/>
  <c r="V1647" i="32" s="1"/>
  <c r="L1647" i="32" s="1"/>
  <c r="R1687" i="32" a="1"/>
  <c r="R1687" i="32" s="1"/>
  <c r="D1687" i="32" s="1"/>
  <c r="R1315" i="32" a="1"/>
  <c r="R1315" i="32" s="1"/>
  <c r="D1315" i="32" s="1"/>
  <c r="T1417" i="32" a="1"/>
  <c r="T1417" i="32" s="1"/>
  <c r="T631" i="32" a="1"/>
  <c r="T631" i="32" s="1"/>
  <c r="M2025" i="27" s="1"/>
  <c r="A2025" i="27" s="1"/>
  <c r="R1369" i="32" a="1"/>
  <c r="R1369" i="32" s="1"/>
  <c r="D1369" i="32" s="1"/>
  <c r="V1683" i="32" a="1"/>
  <c r="V1683" i="32" s="1"/>
  <c r="L1683" i="32" s="1"/>
  <c r="R1207" i="32" a="1"/>
  <c r="R1207" i="32" s="1"/>
  <c r="D1207" i="32" s="1"/>
  <c r="R1409" i="32" a="1"/>
  <c r="R1409" i="32" s="1"/>
  <c r="D1409" i="32" s="1"/>
  <c r="V829" i="32" a="1"/>
  <c r="V829" i="32" s="1"/>
  <c r="L829" i="32" s="1"/>
  <c r="R1589" i="32" a="1"/>
  <c r="R1589" i="32" s="1"/>
  <c r="D1589" i="32" s="1"/>
  <c r="S1571" i="32" a="1"/>
  <c r="S1571" i="32" s="1"/>
  <c r="E1571" i="32" s="1"/>
  <c r="V1599" i="32" a="1"/>
  <c r="V1599" i="32" s="1"/>
  <c r="L1599" i="32" s="1"/>
  <c r="R1675" i="32" a="1"/>
  <c r="R1675" i="32" s="1"/>
  <c r="D1675" i="32" s="1"/>
  <c r="V1123" i="32" a="1"/>
  <c r="V1123" i="32" s="1"/>
  <c r="L1123" i="32" s="1"/>
  <c r="T1589" i="32" a="1"/>
  <c r="T1589" i="32" s="1"/>
  <c r="T1327" i="32" a="1"/>
  <c r="T1327" i="32" s="1"/>
  <c r="V849" i="32" a="1"/>
  <c r="V849" i="32" s="1"/>
  <c r="L849" i="32" s="1"/>
  <c r="V1477" i="32" a="1"/>
  <c r="V1477" i="32" s="1"/>
  <c r="L1477" i="32" s="1"/>
  <c r="S1357" i="32" a="1"/>
  <c r="S1357" i="32" s="1"/>
  <c r="E1357" i="32" s="1"/>
  <c r="V1385" i="32" a="1"/>
  <c r="V1385" i="32" s="1"/>
  <c r="L1385" i="32" s="1"/>
  <c r="S1527" i="32" a="1"/>
  <c r="S1527" i="32" s="1"/>
  <c r="E1527" i="32" s="1"/>
  <c r="V1277" i="32" a="1"/>
  <c r="V1277" i="32" s="1"/>
  <c r="L1277" i="32" s="1"/>
  <c r="R679" i="32" a="1"/>
  <c r="R679" i="32" s="1"/>
  <c r="D679" i="32" s="1"/>
  <c r="S627" i="32" a="1"/>
  <c r="S627" i="32" s="1"/>
  <c r="E627" i="32" s="1"/>
  <c r="F2023" i="27" s="1"/>
  <c r="T1181" i="32" a="1"/>
  <c r="T1181" i="32" s="1"/>
  <c r="S1693" i="32" a="1"/>
  <c r="S1693" i="32" s="1"/>
  <c r="E1693" i="32" s="1"/>
  <c r="R1531" i="32" a="1"/>
  <c r="R1531" i="32" s="1"/>
  <c r="D1531" i="32" s="1"/>
  <c r="V1511" i="32" a="1"/>
  <c r="V1511" i="32" s="1"/>
  <c r="L1511" i="32" s="1"/>
  <c r="V755" i="32" a="1"/>
  <c r="V755" i="32" s="1"/>
  <c r="L755" i="32" s="1"/>
  <c r="T719" i="32" a="1"/>
  <c r="T719" i="32" s="1"/>
  <c r="V711" i="32" a="1"/>
  <c r="V711" i="32" s="1"/>
  <c r="L711" i="32" s="1"/>
  <c r="R725" i="32" a="1"/>
  <c r="R725" i="32" s="1"/>
  <c r="D725" i="32" s="1"/>
  <c r="R707" i="32" a="1"/>
  <c r="R707" i="32" s="1"/>
  <c r="D707" i="32" s="1"/>
  <c r="V725" i="32" a="1"/>
  <c r="V725" i="32" s="1"/>
  <c r="L725" i="32" s="1"/>
  <c r="S769" i="32" a="1"/>
  <c r="S769" i="32" s="1"/>
  <c r="E769" i="32" s="1"/>
  <c r="S725" i="32" a="1"/>
  <c r="S725" i="32" s="1"/>
  <c r="E725" i="32" s="1"/>
  <c r="R769" i="32" a="1"/>
  <c r="R769" i="32" s="1"/>
  <c r="D769" i="32" s="1"/>
  <c r="T725" i="32" a="1"/>
  <c r="T725" i="32" s="1"/>
  <c r="S721" i="32" a="1"/>
  <c r="S721" i="32" s="1"/>
  <c r="E721" i="32" s="1"/>
  <c r="T1585" i="32" a="1"/>
  <c r="T1585" i="32" s="1"/>
  <c r="S1627" i="32" a="1"/>
  <c r="S1627" i="32" s="1"/>
  <c r="E1627" i="32" s="1"/>
  <c r="T713" i="32" a="1"/>
  <c r="T713" i="32" s="1"/>
  <c r="V1271" i="32" a="1"/>
  <c r="V1271" i="32" s="1"/>
  <c r="L1271" i="32" s="1"/>
  <c r="T1119" i="32" a="1"/>
  <c r="T1119" i="32" s="1"/>
  <c r="V1449" i="32" a="1"/>
  <c r="V1449" i="32" s="1"/>
  <c r="L1449" i="32" s="1"/>
  <c r="V1169" i="32" a="1"/>
  <c r="V1169" i="32" s="1"/>
  <c r="L1169" i="32" s="1"/>
  <c r="V1177" i="32" a="1"/>
  <c r="V1177" i="32" s="1"/>
  <c r="L1177" i="32" s="1"/>
  <c r="V1173" i="32" a="1"/>
  <c r="V1173" i="32" s="1"/>
  <c r="L1173" i="32" s="1"/>
  <c r="T851" i="32" a="1"/>
  <c r="T851" i="32" s="1"/>
  <c r="T1225" i="32" a="1"/>
  <c r="T1225" i="32" s="1"/>
  <c r="R1451" i="32" a="1"/>
  <c r="R1451" i="32" s="1"/>
  <c r="D1451" i="32" s="1"/>
  <c r="V1391" i="32" a="1"/>
  <c r="V1391" i="32" s="1"/>
  <c r="L1391" i="32" s="1"/>
  <c r="R713" i="32" a="1"/>
  <c r="R713" i="32" s="1"/>
  <c r="D713" i="32" s="1"/>
  <c r="T1453" i="32" a="1"/>
  <c r="T1453" i="32" s="1"/>
  <c r="T1733" i="32" a="1"/>
  <c r="T1733" i="32" s="1"/>
  <c r="R1383" i="32" a="1"/>
  <c r="R1383" i="32" s="1"/>
  <c r="D1383" i="32" s="1"/>
  <c r="T1437" i="32" a="1"/>
  <c r="T1437" i="32" s="1"/>
  <c r="V1545" i="32" a="1"/>
  <c r="V1545" i="32" s="1"/>
  <c r="L1545" i="32" s="1"/>
  <c r="V1659" i="32" a="1"/>
  <c r="V1659" i="32" s="1"/>
  <c r="L1659" i="32" s="1"/>
  <c r="R853" i="32" a="1"/>
  <c r="R853" i="32" s="1"/>
  <c r="D853" i="32" s="1"/>
  <c r="V1129" i="32" a="1"/>
  <c r="V1129" i="32" s="1"/>
  <c r="L1129" i="32" s="1"/>
  <c r="V835" i="32" a="1"/>
  <c r="V835" i="32" s="1"/>
  <c r="L835" i="32" s="1"/>
  <c r="S1615" i="32" a="1"/>
  <c r="S1615" i="32" s="1"/>
  <c r="E1615" i="32" s="1"/>
  <c r="S1609" i="32" a="1"/>
  <c r="S1609" i="32" s="1"/>
  <c r="E1609" i="32" s="1"/>
  <c r="T1215" i="32" a="1"/>
  <c r="T1215" i="32" s="1"/>
  <c r="R1261" i="32" a="1"/>
  <c r="R1261" i="32" s="1"/>
  <c r="D1261" i="32" s="1"/>
  <c r="R1195" i="32" a="1"/>
  <c r="R1195" i="32" s="1"/>
  <c r="D1195" i="32" s="1"/>
  <c r="R1443" i="32" a="1"/>
  <c r="R1443" i="32" s="1"/>
  <c r="D1443" i="32" s="1"/>
  <c r="S707" i="32" a="1"/>
  <c r="S707" i="32" s="1"/>
  <c r="E707" i="32" s="1"/>
  <c r="V1595" i="32" a="1"/>
  <c r="V1595" i="32" s="1"/>
  <c r="L1595" i="32" s="1"/>
  <c r="S1741" i="32" a="1"/>
  <c r="S1741" i="32" s="1"/>
  <c r="E1741" i="32" s="1"/>
  <c r="R1741" i="32" a="1"/>
  <c r="R1741" i="32" s="1"/>
  <c r="D1741" i="32" s="1"/>
  <c r="V1455" i="32" a="1"/>
  <c r="V1455" i="32" s="1"/>
  <c r="L1455" i="32" s="1"/>
  <c r="T1397" i="32" a="1"/>
  <c r="T1397" i="32" s="1"/>
  <c r="V1299" i="32" a="1"/>
  <c r="V1299" i="32" s="1"/>
  <c r="L1299" i="32" s="1"/>
  <c r="R1291" i="32" a="1"/>
  <c r="R1291" i="32" s="1"/>
  <c r="D1291" i="32" s="1"/>
  <c r="V1587" i="32" a="1"/>
  <c r="V1587" i="32" s="1"/>
  <c r="L1587" i="32" s="1"/>
  <c r="V639" i="32" a="1"/>
  <c r="V639" i="32" s="1"/>
  <c r="L639" i="32" s="1"/>
  <c r="V1601" i="32" a="1"/>
  <c r="V1601" i="32" s="1"/>
  <c r="L1601" i="32" s="1"/>
  <c r="R1321" i="32" a="1"/>
  <c r="R1321" i="32" s="1"/>
  <c r="D1321" i="32" s="1"/>
  <c r="T1147" i="32" a="1"/>
  <c r="T1147" i="32" s="1"/>
  <c r="T1699" i="32" a="1"/>
  <c r="T1699" i="32" s="1"/>
  <c r="V685" i="32" a="1"/>
  <c r="V685" i="32" s="1"/>
  <c r="L685" i="32" s="1"/>
  <c r="S1653" i="32" a="1"/>
  <c r="S1653" i="32" s="1"/>
  <c r="E1653" i="32" s="1"/>
  <c r="T1619" i="32" a="1"/>
  <c r="T1619" i="32" s="1"/>
  <c r="T1407" i="32" a="1"/>
  <c r="T1407" i="32" s="1"/>
  <c r="V1665" i="32" a="1"/>
  <c r="V1665" i="32" s="1"/>
  <c r="L1665" i="32" s="1"/>
  <c r="V1591" i="32" a="1"/>
  <c r="V1591" i="32" s="1"/>
  <c r="L1591" i="32" s="1"/>
  <c r="S1137" i="32" a="1"/>
  <c r="S1137" i="32" s="1"/>
  <c r="E1137" i="32" s="1"/>
  <c r="T751" i="32" a="1"/>
  <c r="T751" i="32" s="1"/>
  <c r="V1527" i="32" a="1"/>
  <c r="V1527" i="32" s="1"/>
  <c r="L1527" i="32" s="1"/>
  <c r="S1743" i="32" a="1"/>
  <c r="S1743" i="32" s="1"/>
  <c r="E1743" i="32" s="1"/>
  <c r="R1179" i="32" a="1"/>
  <c r="R1179" i="32" s="1"/>
  <c r="D1179" i="32" s="1"/>
  <c r="R681" i="32" a="1"/>
  <c r="R681" i="32" s="1"/>
  <c r="D681" i="32" s="1"/>
  <c r="S1109" i="32" a="1"/>
  <c r="S1109" i="32" s="1"/>
  <c r="E1109" i="32" s="1"/>
  <c r="V1607" i="32" a="1"/>
  <c r="V1607" i="32" s="1"/>
  <c r="L1607" i="32" s="1"/>
  <c r="V1703" i="32" a="1"/>
  <c r="V1703" i="32" s="1"/>
  <c r="L1703" i="32" s="1"/>
  <c r="V1617" i="32" a="1"/>
  <c r="V1617" i="32" s="1"/>
  <c r="L1617" i="32" s="1"/>
  <c r="R1289" i="32" a="1"/>
  <c r="R1289" i="32" s="1"/>
  <c r="D1289" i="32" s="1"/>
  <c r="V1329" i="32" a="1"/>
  <c r="V1329" i="32" s="1"/>
  <c r="L1329" i="32" s="1"/>
  <c r="S1665" i="32" a="1"/>
  <c r="S1665" i="32" s="1"/>
  <c r="E1665" i="32" s="1"/>
  <c r="V1669" i="32" a="1"/>
  <c r="V1669" i="32" s="1"/>
  <c r="L1669" i="32" s="1"/>
  <c r="T1551" i="32" a="1"/>
  <c r="T1551" i="32" s="1"/>
  <c r="R1141" i="32" a="1"/>
  <c r="R1141" i="32" s="1"/>
  <c r="D1141" i="32" s="1"/>
  <c r="R1671" i="32" a="1"/>
  <c r="R1671" i="32" s="1"/>
  <c r="D1671" i="32" s="1"/>
  <c r="V1671" i="32" a="1"/>
  <c r="V1671" i="32" s="1"/>
  <c r="L1671" i="32" s="1"/>
  <c r="S723" i="32" a="1"/>
  <c r="S723" i="32" s="1"/>
  <c r="E723" i="32" s="1"/>
  <c r="V1517" i="32" a="1"/>
  <c r="V1517" i="32" s="1"/>
  <c r="L1517" i="32" s="1"/>
  <c r="R1351" i="32" a="1"/>
  <c r="R1351" i="32" s="1"/>
  <c r="D1351" i="32" s="1"/>
  <c r="S1145" i="32" a="1"/>
  <c r="S1145" i="32" s="1"/>
  <c r="E1145" i="32" s="1"/>
  <c r="V845" i="32" a="1"/>
  <c r="V845" i="32" s="1"/>
  <c r="L845" i="32" s="1"/>
  <c r="V1405" i="32" a="1"/>
  <c r="V1405" i="32" s="1"/>
  <c r="L1405" i="32" s="1"/>
  <c r="T1639" i="32" a="1"/>
  <c r="T1639" i="32" s="1"/>
  <c r="S1771" i="32" a="1"/>
  <c r="S1771" i="32" s="1"/>
  <c r="E1771" i="32" s="1"/>
  <c r="V1467" i="32" a="1"/>
  <c r="V1467" i="32" s="1"/>
  <c r="L1467" i="32" s="1"/>
  <c r="S1543" i="32" a="1"/>
  <c r="S1543" i="32" s="1"/>
  <c r="E1543" i="32" s="1"/>
  <c r="V1259" i="32" a="1"/>
  <c r="V1259" i="32" s="1"/>
  <c r="L1259" i="32" s="1"/>
  <c r="T723" i="32" a="1"/>
  <c r="T723" i="32" s="1"/>
  <c r="V1125" i="32" a="1"/>
  <c r="V1125" i="32" s="1"/>
  <c r="L1125" i="32" s="1"/>
  <c r="R723" i="32" a="1"/>
  <c r="R723" i="32" s="1"/>
  <c r="D723" i="32" s="1"/>
  <c r="V1381" i="32" a="1"/>
  <c r="V1381" i="32" s="1"/>
  <c r="L1381" i="32" s="1"/>
  <c r="T1603" i="32" a="1"/>
  <c r="T1603" i="32" s="1"/>
  <c r="S1701" i="32" a="1"/>
  <c r="S1701" i="32" s="1"/>
  <c r="E1701" i="32" s="1"/>
  <c r="V1219" i="32" a="1"/>
  <c r="V1219" i="32" s="1"/>
  <c r="L1219" i="32" s="1"/>
  <c r="S1631" i="32" a="1"/>
  <c r="S1631" i="32" s="1"/>
  <c r="E1631" i="32" s="1"/>
  <c r="V1307" i="32" a="1"/>
  <c r="V1307" i="32" s="1"/>
  <c r="L1307" i="32" s="1"/>
  <c r="T1409" i="32" a="1"/>
  <c r="T1409" i="32" s="1"/>
  <c r="V1541" i="32" a="1"/>
  <c r="V1541" i="32" s="1"/>
  <c r="L1541" i="32" s="1"/>
  <c r="T1629" i="32" a="1"/>
  <c r="T1629" i="32" s="1"/>
  <c r="R1685" i="32" a="1"/>
  <c r="R1685" i="32" s="1"/>
  <c r="D1685" i="32" s="1"/>
  <c r="S713" i="32" a="1"/>
  <c r="S713" i="32" s="1"/>
  <c r="E713" i="32" s="1"/>
  <c r="R1593" i="32" a="1"/>
  <c r="R1593" i="32" s="1"/>
  <c r="D1593" i="32" s="1"/>
  <c r="R1541" i="32" a="1"/>
  <c r="R1541" i="32" s="1"/>
  <c r="D1541" i="32" s="1"/>
  <c r="T1503" i="32" a="1"/>
  <c r="T1503" i="32" s="1"/>
  <c r="S1421" i="32" a="1"/>
  <c r="S1421" i="32" s="1"/>
  <c r="E1421" i="32" s="1"/>
  <c r="R1723" i="32" a="1"/>
  <c r="R1723" i="32" s="1"/>
  <c r="D1723" i="32" s="1"/>
  <c r="T1517" i="32" a="1"/>
  <c r="T1517" i="32" s="1"/>
  <c r="T1651" i="32" a="1"/>
  <c r="T1651" i="32" s="1"/>
  <c r="S1501" i="32" a="1"/>
  <c r="S1501" i="32" s="1"/>
  <c r="E1501" i="32" s="1"/>
  <c r="R1125" i="32" a="1"/>
  <c r="R1125" i="32" s="1"/>
  <c r="D1125" i="32" s="1"/>
  <c r="V765" i="32" a="1"/>
  <c r="V765" i="32" s="1"/>
  <c r="L765" i="32" s="1"/>
  <c r="S1473" i="32" a="1"/>
  <c r="S1473" i="32" s="1"/>
  <c r="E1473" i="32" s="1"/>
  <c r="T1523" i="32" a="1"/>
  <c r="T1523" i="32" s="1"/>
  <c r="T1735" i="32" a="1"/>
  <c r="T1735" i="32" s="1"/>
  <c r="T1529" i="32" a="1"/>
  <c r="T1529" i="32" s="1"/>
  <c r="T1381" i="32" a="1"/>
  <c r="T1381" i="32" s="1"/>
  <c r="T1395" i="32" a="1"/>
  <c r="T1395" i="32" s="1"/>
  <c r="V1365" i="32" a="1"/>
  <c r="V1365" i="32" s="1"/>
  <c r="L1365" i="32" s="1"/>
  <c r="S1651" i="32" a="1"/>
  <c r="S1651" i="32" s="1"/>
  <c r="E1651" i="32" s="1"/>
  <c r="T1493" i="32" a="1"/>
  <c r="T1493" i="32" s="1"/>
  <c r="T1667" i="32" a="1"/>
  <c r="T1667" i="32" s="1"/>
  <c r="S1163" i="32" a="1"/>
  <c r="S1163" i="32" s="1"/>
  <c r="E1163" i="32" s="1"/>
  <c r="R1669" i="32" a="1"/>
  <c r="R1669" i="32" s="1"/>
  <c r="D1669" i="32" s="1"/>
  <c r="T709" i="32" a="1"/>
  <c r="T709" i="32" s="1"/>
  <c r="S755" i="32" a="1"/>
  <c r="S755" i="32" s="1"/>
  <c r="E755" i="32" s="1"/>
  <c r="S1661" i="32" a="1"/>
  <c r="S1661" i="32" s="1"/>
  <c r="E1661" i="32" s="1"/>
  <c r="T1391" i="32" a="1"/>
  <c r="T1391" i="32" s="1"/>
  <c r="R1393" i="32" a="1"/>
  <c r="R1393" i="32" s="1"/>
  <c r="D1393" i="32" s="1"/>
  <c r="T1569" i="32" a="1"/>
  <c r="T1569" i="32" s="1"/>
  <c r="R1663" i="32" a="1"/>
  <c r="R1663" i="32" s="1"/>
  <c r="D1663" i="32" s="1"/>
  <c r="V1111" i="32" a="1"/>
  <c r="V1111" i="32" s="1"/>
  <c r="L1111" i="32" s="1"/>
  <c r="T1597" i="32" a="1"/>
  <c r="T1597" i="32" s="1"/>
  <c r="S1245" i="32" a="1"/>
  <c r="S1245" i="32" s="1"/>
  <c r="E1245" i="32" s="1"/>
  <c r="V749" i="32" a="1"/>
  <c r="V749" i="32" s="1"/>
  <c r="L749" i="32" s="1"/>
  <c r="T1747" i="32" a="1"/>
  <c r="T1747" i="32" s="1"/>
  <c r="V1247" i="32" a="1"/>
  <c r="V1247" i="32" s="1"/>
  <c r="L1247" i="32" s="1"/>
  <c r="V1675" i="32" a="1"/>
  <c r="V1675" i="32" s="1"/>
  <c r="L1675" i="32" s="1"/>
  <c r="V1315" i="32" a="1"/>
  <c r="V1315" i="32" s="1"/>
  <c r="L1315" i="32" s="1"/>
  <c r="R1257" i="32" a="1"/>
  <c r="R1257" i="32" s="1"/>
  <c r="D1257" i="32" s="1"/>
  <c r="R1381" i="32" a="1"/>
  <c r="R1381" i="32" s="1"/>
  <c r="D1381" i="32" s="1"/>
  <c r="R1631" i="32" a="1"/>
  <c r="R1631" i="32" s="1"/>
  <c r="D1631" i="32" s="1"/>
  <c r="R1559" i="32" a="1"/>
  <c r="R1559" i="32" s="1"/>
  <c r="D1559" i="32" s="1"/>
  <c r="V1663" i="32" a="1"/>
  <c r="V1663" i="32" s="1"/>
  <c r="L1663" i="32" s="1"/>
  <c r="V1577" i="32" a="1"/>
  <c r="V1577" i="32" s="1"/>
  <c r="L1577" i="32" s="1"/>
  <c r="R1187" i="32" a="1"/>
  <c r="R1187" i="32" s="1"/>
  <c r="D1187" i="32" s="1"/>
  <c r="V1283" i="32" a="1"/>
  <c r="V1283" i="32" s="1"/>
  <c r="L1283" i="32" s="1"/>
  <c r="S1157" i="32" a="1"/>
  <c r="S1157" i="32" s="1"/>
  <c r="E1157" i="32" s="1"/>
  <c r="T683" i="32" a="1"/>
  <c r="T683" i="32" s="1"/>
  <c r="T761" i="32" a="1"/>
  <c r="T761" i="32" s="1"/>
  <c r="S645" i="32" a="1"/>
  <c r="S645" i="32" s="1"/>
  <c r="E645" i="32" s="1"/>
  <c r="F2032" i="27" s="1"/>
  <c r="T1737" i="32" a="1"/>
  <c r="T1737" i="32" s="1"/>
  <c r="S1481" i="32" a="1"/>
  <c r="S1481" i="32" s="1"/>
  <c r="E1481" i="32" s="1"/>
  <c r="R1181" i="32" a="1"/>
  <c r="R1181" i="32" s="1"/>
  <c r="D1181" i="32" s="1"/>
  <c r="V1327" i="32" a="1"/>
  <c r="V1327" i="32" s="1"/>
  <c r="L1327" i="32" s="1"/>
  <c r="T1379" i="32" a="1"/>
  <c r="T1379" i="32" s="1"/>
  <c r="S1141" i="32" a="1"/>
  <c r="S1141" i="32" s="1"/>
  <c r="E1141" i="32" s="1"/>
  <c r="T1689" i="32" a="1"/>
  <c r="T1689" i="32" s="1"/>
  <c r="S1229" i="32" a="1"/>
  <c r="S1229" i="32" s="1"/>
  <c r="E1229" i="32" s="1"/>
  <c r="S681" i="32" a="1"/>
  <c r="S681" i="32" s="1"/>
  <c r="E681" i="32" s="1"/>
  <c r="S1541" i="32" a="1"/>
  <c r="S1541" i="32" s="1"/>
  <c r="E1541" i="32" s="1"/>
  <c r="R1127" i="32" a="1"/>
  <c r="R1127" i="32" s="1"/>
  <c r="D1127" i="32" s="1"/>
  <c r="S1533" i="32" a="1"/>
  <c r="S1533" i="32" s="1"/>
  <c r="E1533" i="32" s="1"/>
  <c r="S751" i="32" a="1"/>
  <c r="S751" i="32" s="1"/>
  <c r="E751" i="32" s="1"/>
  <c r="R669" i="32" a="1"/>
  <c r="R669" i="32" s="1"/>
  <c r="D669" i="32" s="1"/>
  <c r="T1223" i="32" a="1"/>
  <c r="T1223" i="32" s="1"/>
  <c r="T1375" i="32" a="1"/>
  <c r="T1375" i="32" s="1"/>
  <c r="R1489" i="32" a="1"/>
  <c r="R1489" i="32" s="1"/>
  <c r="D1489" i="32" s="1"/>
  <c r="V1191" i="32" a="1"/>
  <c r="V1191" i="32" s="1"/>
  <c r="L1191" i="32" s="1"/>
  <c r="T1191" i="32" a="1"/>
  <c r="T1191" i="32" s="1"/>
  <c r="V1195" i="32" a="1"/>
  <c r="V1195" i="32" s="1"/>
  <c r="L1195" i="32" s="1"/>
  <c r="R1275" i="32" a="1"/>
  <c r="R1275" i="32" s="1"/>
  <c r="D1275" i="32" s="1"/>
  <c r="V1363" i="32" a="1"/>
  <c r="V1363" i="32" s="1"/>
  <c r="L1363" i="32" s="1"/>
  <c r="R1159" i="32" a="1"/>
  <c r="R1159" i="32" s="1"/>
  <c r="D1159" i="32" s="1"/>
  <c r="S1351" i="32" a="1"/>
  <c r="S1351" i="32" s="1"/>
  <c r="E1351" i="32" s="1"/>
  <c r="R1621" i="32" a="1"/>
  <c r="R1621" i="32" s="1"/>
  <c r="D1621" i="32" s="1"/>
  <c r="S1405" i="32" a="1"/>
  <c r="S1405" i="32" s="1"/>
  <c r="E1405" i="32" s="1"/>
  <c r="S1147" i="32" a="1"/>
  <c r="S1147" i="32" s="1"/>
  <c r="E1147" i="32" s="1"/>
  <c r="V1323" i="32" a="1"/>
  <c r="V1323" i="32" s="1"/>
  <c r="L1323" i="32" s="1"/>
  <c r="T1605" i="32" a="1"/>
  <c r="T1605" i="32" s="1"/>
  <c r="V1493" i="32" a="1"/>
  <c r="V1493" i="32" s="1"/>
  <c r="L1493" i="32" s="1"/>
  <c r="V831" i="32" a="1"/>
  <c r="V831" i="32" s="1"/>
  <c r="L831" i="32" s="1"/>
  <c r="R1129" i="32" a="1"/>
  <c r="R1129" i="32" s="1"/>
  <c r="D1129" i="32" s="1"/>
  <c r="S1361" i="32" a="1"/>
  <c r="S1361" i="32" s="1"/>
  <c r="E1361" i="32" s="1"/>
  <c r="R1345" i="32" a="1"/>
  <c r="R1345" i="32" s="1"/>
  <c r="D1345" i="32" s="1"/>
  <c r="S1459" i="32" a="1"/>
  <c r="S1459" i="32" s="1"/>
  <c r="E1459" i="32" s="1"/>
  <c r="R1581" i="32" a="1"/>
  <c r="R1581" i="32" s="1"/>
  <c r="D1581" i="32" s="1"/>
  <c r="V629" i="32" a="1"/>
  <c r="V629" i="32" s="1"/>
  <c r="L629" i="32" s="1"/>
  <c r="T825" i="32" a="1"/>
  <c r="T825" i="32" s="1"/>
  <c r="V1611" i="32" a="1"/>
  <c r="V1611" i="32" s="1"/>
  <c r="L1611" i="32" s="1"/>
  <c r="R1293" i="32" a="1"/>
  <c r="R1293" i="32" s="1"/>
  <c r="D1293" i="32" s="1"/>
  <c r="T845" i="32" a="1"/>
  <c r="T845" i="32" s="1"/>
  <c r="V673" i="32" a="1"/>
  <c r="V673" i="32" s="1"/>
  <c r="L673" i="32" s="1"/>
  <c r="V1515" i="32" a="1"/>
  <c r="V1515" i="32" s="1"/>
  <c r="L1515" i="32" s="1"/>
  <c r="V1415" i="32" a="1"/>
  <c r="V1415" i="32" s="1"/>
  <c r="L1415" i="32" s="1"/>
  <c r="V1563" i="32" a="1"/>
  <c r="V1563" i="32" s="1"/>
  <c r="L1563" i="32" s="1"/>
  <c r="T1433" i="32" a="1"/>
  <c r="T1433" i="32" s="1"/>
  <c r="V1131" i="32" a="1"/>
  <c r="V1131" i="32" s="1"/>
  <c r="L1131" i="32" s="1"/>
  <c r="V1753" i="32" a="1"/>
  <c r="V1753" i="32" s="1"/>
  <c r="L1753" i="32" s="1"/>
  <c r="V709" i="32" a="1"/>
  <c r="V709" i="32" s="1"/>
  <c r="L709" i="32" s="1"/>
  <c r="T1607" i="32" a="1"/>
  <c r="T1607" i="32" s="1"/>
  <c r="T1535" i="32" a="1"/>
  <c r="T1535" i="32" s="1"/>
  <c r="V1289" i="32" a="1"/>
  <c r="V1289" i="32" s="1"/>
  <c r="L1289" i="32" s="1"/>
  <c r="T1279" i="32" a="1"/>
  <c r="T1279" i="32" s="1"/>
  <c r="S625" i="32" a="1"/>
  <c r="S625" i="32" s="1"/>
  <c r="E625" i="32" s="1"/>
  <c r="F2022" i="27" s="1"/>
  <c r="S1759" i="32" a="1"/>
  <c r="S1759" i="32" s="1"/>
  <c r="E1759" i="32" s="1"/>
  <c r="S1383" i="32" a="1"/>
  <c r="S1383" i="32" s="1"/>
  <c r="E1383" i="32" s="1"/>
  <c r="V1257" i="32" a="1"/>
  <c r="V1257" i="32" s="1"/>
  <c r="L1257" i="32" s="1"/>
  <c r="R1597" i="32" a="1"/>
  <c r="R1597" i="32" s="1"/>
  <c r="D1597" i="32" s="1"/>
  <c r="T711" i="32" a="1"/>
  <c r="T711" i="32" s="1"/>
  <c r="T635" i="32" a="1"/>
  <c r="T635" i="32" s="1"/>
  <c r="M2027" i="27" s="1"/>
  <c r="A2027" i="27" s="1"/>
  <c r="T1305" i="32" a="1"/>
  <c r="T1305" i="32" s="1"/>
  <c r="V1263" i="32" a="1"/>
  <c r="V1263" i="32" s="1"/>
  <c r="L1263" i="32" s="1"/>
  <c r="T1149" i="32" a="1"/>
  <c r="T1149" i="32" s="1"/>
  <c r="S1213" i="32" a="1"/>
  <c r="S1213" i="32" s="1"/>
  <c r="E1213" i="32" s="1"/>
  <c r="V1501" i="32" a="1"/>
  <c r="V1501" i="32" s="1"/>
  <c r="L1501" i="32" s="1"/>
  <c r="V649" i="32" a="1"/>
  <c r="V649" i="32" s="1"/>
  <c r="L649" i="32" s="1"/>
  <c r="T753" i="32" a="1"/>
  <c r="T753" i="32" s="1"/>
  <c r="T1405" i="32" a="1"/>
  <c r="T1405" i="32" s="1"/>
  <c r="S1185" i="32" a="1"/>
  <c r="S1185" i="32" s="1"/>
  <c r="E1185" i="32" s="1"/>
  <c r="T1131" i="32" a="1"/>
  <c r="T1131" i="32" s="1"/>
  <c r="R1627" i="32" a="1"/>
  <c r="R1627" i="32" s="1"/>
  <c r="D1627" i="32" s="1"/>
  <c r="R1421" i="32" a="1"/>
  <c r="R1421" i="32" s="1"/>
  <c r="D1421" i="32" s="1"/>
  <c r="V1737" i="32" a="1"/>
  <c r="V1737" i="32" s="1"/>
  <c r="L1737" i="32" s="1"/>
  <c r="S671" i="32" a="1"/>
  <c r="S671" i="32" s="1"/>
  <c r="E671" i="32" s="1"/>
  <c r="T1425" i="32" a="1"/>
  <c r="T1425" i="32" s="1"/>
  <c r="V1573" i="32" a="1"/>
  <c r="V1573" i="32" s="1"/>
  <c r="L1573" i="32" s="1"/>
  <c r="V1687" i="32" a="1"/>
  <c r="V1687" i="32" s="1"/>
  <c r="L1687" i="32" s="1"/>
  <c r="V1733" i="32" a="1"/>
  <c r="V1733" i="32" s="1"/>
  <c r="L1733" i="32" s="1"/>
  <c r="T1325" i="32" a="1"/>
  <c r="T1325" i="32" s="1"/>
  <c r="R827" i="32" a="1"/>
  <c r="R827" i="32" s="1"/>
  <c r="D827" i="32" s="1"/>
  <c r="S1751" i="32" a="1"/>
  <c r="S1751" i="32" s="1"/>
  <c r="E1751" i="32" s="1"/>
  <c r="T1401" i="32" a="1"/>
  <c r="T1401" i="32" s="1"/>
  <c r="R1575" i="32" a="1"/>
  <c r="R1575" i="32" s="1"/>
  <c r="D1575" i="32" s="1"/>
  <c r="V1387" i="32" a="1"/>
  <c r="V1387" i="32" s="1"/>
  <c r="L1387" i="32" s="1"/>
  <c r="V1135" i="32" a="1"/>
  <c r="V1135" i="32" s="1"/>
  <c r="L1135" i="32" s="1"/>
  <c r="T1183" i="32" a="1"/>
  <c r="T1183" i="32" s="1"/>
  <c r="S1519" i="32" a="1"/>
  <c r="S1519" i="32" s="1"/>
  <c r="E1519" i="32" s="1"/>
  <c r="T1329" i="32" a="1"/>
  <c r="T1329" i="32" s="1"/>
  <c r="T1255" i="32" a="1"/>
  <c r="T1255" i="32" s="1"/>
  <c r="T849" i="32" a="1"/>
  <c r="T849" i="32" s="1"/>
  <c r="R1151" i="32" a="1"/>
  <c r="R1151" i="32" s="1"/>
  <c r="D1151" i="32" s="1"/>
  <c r="T1105" i="32" a="1"/>
  <c r="T1105" i="32" s="1"/>
  <c r="S1427" i="32" a="1"/>
  <c r="S1427" i="32" s="1"/>
  <c r="E1427" i="32" s="1"/>
  <c r="V1571" i="32" a="1"/>
  <c r="V1571" i="32" s="1"/>
  <c r="L1571" i="32" s="1"/>
  <c r="S1429" i="32" a="1"/>
  <c r="S1429" i="32" s="1"/>
  <c r="E1429" i="32" s="1"/>
  <c r="V1357" i="32" a="1"/>
  <c r="V1357" i="32" s="1"/>
  <c r="L1357" i="32" s="1"/>
  <c r="V1507" i="32" a="1"/>
  <c r="V1507" i="32" s="1"/>
  <c r="L1507" i="32" s="1"/>
  <c r="V1355" i="32" a="1"/>
  <c r="V1355" i="32" s="1"/>
  <c r="L1355" i="32" s="1"/>
  <c r="T1627" i="32" a="1"/>
  <c r="T1627" i="32" s="1"/>
  <c r="S1251" i="32" a="1"/>
  <c r="S1251" i="32" s="1"/>
  <c r="E1251" i="32" s="1"/>
  <c r="T679" i="32" a="1"/>
  <c r="T679" i="32" s="1"/>
  <c r="T1741" i="32" a="1"/>
  <c r="T1741" i="32" s="1"/>
  <c r="T1157" i="32" a="1"/>
  <c r="T1157" i="32" s="1"/>
  <c r="S1179" i="32" a="1"/>
  <c r="S1179" i="32" s="1"/>
  <c r="E1179" i="32" s="1"/>
  <c r="V1421" i="32" a="1"/>
  <c r="V1421" i="32" s="1"/>
  <c r="L1421" i="32" s="1"/>
  <c r="R1721" i="32" a="1"/>
  <c r="R1721" i="32" s="1"/>
  <c r="D1721" i="32" s="1"/>
  <c r="S1719" i="32" a="1"/>
  <c r="S1719" i="32" s="1"/>
  <c r="E1719" i="32" s="1"/>
  <c r="V1771" i="32" a="1"/>
  <c r="V1771" i="32" s="1"/>
  <c r="L1771" i="32" s="1"/>
  <c r="V1439" i="32" a="1"/>
  <c r="V1439" i="32" s="1"/>
  <c r="L1439" i="32" s="1"/>
  <c r="S1635" i="32" a="1"/>
  <c r="S1635" i="32" s="1"/>
  <c r="E1635" i="32" s="1"/>
  <c r="R1727" i="32" a="1"/>
  <c r="R1727" i="32" s="1"/>
  <c r="D1727" i="32" s="1"/>
  <c r="V1505" i="32" a="1"/>
  <c r="V1505" i="32" s="1"/>
  <c r="L1505" i="32" s="1"/>
  <c r="T1727" i="32" a="1"/>
  <c r="T1727" i="32" s="1"/>
  <c r="T1107" i="32" a="1"/>
  <c r="T1107" i="32" s="1"/>
  <c r="R1427" i="32" a="1"/>
  <c r="R1427" i="32" s="1"/>
  <c r="D1427" i="32" s="1"/>
  <c r="V1231" i="32" a="1"/>
  <c r="V1231" i="32" s="1"/>
  <c r="L1231" i="32" s="1"/>
  <c r="T1321" i="32" a="1"/>
  <c r="T1321" i="32" s="1"/>
  <c r="T1179" i="32" a="1"/>
  <c r="T1179" i="32" s="1"/>
  <c r="R1733" i="32" a="1"/>
  <c r="R1733" i="32" s="1"/>
  <c r="D1733" i="32" s="1"/>
  <c r="V1375" i="32" a="1"/>
  <c r="V1375" i="32" s="1"/>
  <c r="L1375" i="32" s="1"/>
  <c r="T1153" i="32" a="1"/>
  <c r="T1153" i="32" s="1"/>
  <c r="R1587" i="32" a="1"/>
  <c r="R1587" i="32" s="1"/>
  <c r="D1587" i="32" s="1"/>
  <c r="R1283" i="32" a="1"/>
  <c r="R1283" i="32" s="1"/>
  <c r="D1283" i="32" s="1"/>
  <c r="T823" i="32" a="1"/>
  <c r="T823" i="32" s="1"/>
  <c r="R1339" i="32" a="1"/>
  <c r="R1339" i="32" s="1"/>
  <c r="D1339" i="32" s="1"/>
  <c r="S1689" i="32" a="1"/>
  <c r="S1689" i="32" s="1"/>
  <c r="E1689" i="32" s="1"/>
  <c r="T1683" i="32" a="1"/>
  <c r="T1683" i="32" s="1"/>
  <c r="S1355" i="32" a="1"/>
  <c r="S1355" i="32" s="1"/>
  <c r="E1355" i="32" s="1"/>
  <c r="S1595" i="32" a="1"/>
  <c r="S1595" i="32" s="1"/>
  <c r="E1595" i="32" s="1"/>
  <c r="R1183" i="32" a="1"/>
  <c r="R1183" i="32" s="1"/>
  <c r="D1183" i="32" s="1"/>
  <c r="V1267" i="32" a="1"/>
  <c r="V1267" i="32" s="1"/>
  <c r="L1267" i="32" s="1"/>
  <c r="R1217" i="32" a="1"/>
  <c r="R1217" i="32" s="1"/>
  <c r="D1217" i="32" s="1"/>
  <c r="R1363" i="32" a="1"/>
  <c r="R1363" i="32" s="1"/>
  <c r="D1363" i="32" s="1"/>
  <c r="R1185" i="32" a="1"/>
  <c r="R1185" i="32" s="1"/>
  <c r="D1185" i="32" s="1"/>
  <c r="R1599" i="32" a="1"/>
  <c r="R1599" i="32" s="1"/>
  <c r="D1599" i="32" s="1"/>
  <c r="T1311" i="32" a="1"/>
  <c r="T1311" i="32" s="1"/>
  <c r="V1157" i="32" a="1"/>
  <c r="V1157" i="32" s="1"/>
  <c r="L1157" i="32" s="1"/>
  <c r="R1609" i="32" a="1"/>
  <c r="R1609" i="32" s="1"/>
  <c r="D1609" i="32" s="1"/>
  <c r="T1177" i="32" a="1"/>
  <c r="T1177" i="32" s="1"/>
  <c r="S1151" i="32" a="1"/>
  <c r="S1151" i="32" s="1"/>
  <c r="E1151" i="32" s="1"/>
  <c r="V1707" i="32" a="1"/>
  <c r="V1707" i="32" s="1"/>
  <c r="L1707" i="32" s="1"/>
  <c r="S1397" i="32" a="1"/>
  <c r="S1397" i="32" s="1"/>
  <c r="E1397" i="32" s="1"/>
  <c r="S1377" i="32" a="1"/>
  <c r="S1377" i="32" s="1"/>
  <c r="E1377" i="32" s="1"/>
  <c r="R1731" i="32" a="1"/>
  <c r="R1731" i="32" s="1"/>
  <c r="D1731" i="32" s="1"/>
  <c r="S1581" i="32" a="1"/>
  <c r="S1581" i="32" s="1"/>
  <c r="E1581" i="32" s="1"/>
  <c r="V1397" i="32" a="1"/>
  <c r="V1397" i="32" s="1"/>
  <c r="L1397" i="32" s="1"/>
  <c r="R1483" i="32" a="1"/>
  <c r="R1483" i="32" s="1"/>
  <c r="D1483" i="32" s="1"/>
  <c r="V1495" i="32" a="1"/>
  <c r="V1495" i="32" s="1"/>
  <c r="L1495" i="32" s="1"/>
  <c r="T1705" i="32" a="1"/>
  <c r="T1705" i="32" s="1"/>
  <c r="T1213" i="32" a="1"/>
  <c r="T1213" i="32" s="1"/>
  <c r="R1233" i="32" a="1"/>
  <c r="R1233" i="32" s="1"/>
  <c r="D1233" i="32" s="1"/>
  <c r="R1213" i="32" a="1"/>
  <c r="R1213" i="32" s="1"/>
  <c r="D1213" i="32" s="1"/>
  <c r="R1243" i="32" a="1"/>
  <c r="R1243" i="32" s="1"/>
  <c r="D1243" i="32" s="1"/>
  <c r="T1675" i="32" a="1"/>
  <c r="T1675" i="32" s="1"/>
  <c r="R1101" i="32" a="1"/>
  <c r="R1101" i="32" s="1"/>
  <c r="D1101" i="32" s="1"/>
  <c r="S1205" i="32" a="1"/>
  <c r="S1205" i="32" s="1"/>
  <c r="E1205" i="32" s="1"/>
  <c r="S1327" i="32" a="1"/>
  <c r="S1327" i="32" s="1"/>
  <c r="E1327" i="32" s="1"/>
  <c r="R1661" i="32" a="1"/>
  <c r="R1661" i="32" s="1"/>
  <c r="D1661" i="32" s="1"/>
  <c r="V1335" i="32" a="1"/>
  <c r="V1335" i="32" s="1"/>
  <c r="L1335" i="32" s="1"/>
  <c r="R1123" i="32" a="1"/>
  <c r="R1123" i="32" s="1"/>
  <c r="D1123" i="32" s="1"/>
  <c r="V631" i="32" a="1"/>
  <c r="V631" i="32" s="1"/>
  <c r="L631" i="32" s="1"/>
  <c r="R1255" i="32" a="1"/>
  <c r="R1255" i="32" s="1"/>
  <c r="D1255" i="32" s="1"/>
  <c r="S1309" i="32" a="1"/>
  <c r="S1309" i="32" s="1"/>
  <c r="E1309" i="32" s="1"/>
  <c r="V1561" i="32" a="1"/>
  <c r="V1561" i="32" s="1"/>
  <c r="L1561" i="32" s="1"/>
  <c r="T1237" i="32" a="1"/>
  <c r="T1237" i="32" s="1"/>
  <c r="S1115" i="32" a="1"/>
  <c r="S1115" i="32" s="1"/>
  <c r="E1115" i="32" s="1"/>
  <c r="V1689" i="32" a="1"/>
  <c r="V1689" i="32" s="1"/>
  <c r="L1689" i="32" s="1"/>
  <c r="R753" i="32" a="1"/>
  <c r="R753" i="32" s="1"/>
  <c r="D753" i="32" s="1"/>
  <c r="T1663" i="32" a="1"/>
  <c r="T1663" i="32" s="1"/>
  <c r="V1425" i="32" a="1"/>
  <c r="V1425" i="32" s="1"/>
  <c r="L1425" i="32" s="1"/>
  <c r="T1419" i="32" a="1"/>
  <c r="T1419" i="32" s="1"/>
  <c r="R637" i="32" a="1"/>
  <c r="R637" i="32" s="1"/>
  <c r="D637" i="32" s="1"/>
  <c r="T1353" i="32" a="1"/>
  <c r="T1353" i="32" s="1"/>
  <c r="V1443" i="32" a="1"/>
  <c r="V1443" i="32" s="1"/>
  <c r="L1443" i="32" s="1"/>
  <c r="R627" i="32" a="1"/>
  <c r="R627" i="32" s="1"/>
  <c r="D627" i="32" s="1"/>
  <c r="V1513" i="32" a="1"/>
  <c r="V1513" i="32" s="1"/>
  <c r="L1513" i="32" s="1"/>
  <c r="T1695" i="32" a="1"/>
  <c r="T1695" i="32" s="1"/>
  <c r="V1603" i="32" a="1"/>
  <c r="V1603" i="32" s="1"/>
  <c r="L1603" i="32" s="1"/>
  <c r="S1337" i="32" a="1"/>
  <c r="S1337" i="32" s="1"/>
  <c r="E1337" i="32" s="1"/>
  <c r="S1283" i="32" a="1"/>
  <c r="S1283" i="32" s="1"/>
  <c r="E1283" i="32" s="1"/>
  <c r="R1713" i="32" a="1"/>
  <c r="R1713" i="32" s="1"/>
  <c r="D1713" i="32" s="1"/>
  <c r="T1481" i="32" a="1"/>
  <c r="T1481" i="32" s="1"/>
  <c r="T1195" i="32" a="1"/>
  <c r="T1195" i="32" s="1"/>
  <c r="T1137" i="32" a="1"/>
  <c r="T1137" i="32" s="1"/>
  <c r="V1239" i="32" a="1"/>
  <c r="V1239" i="32" s="1"/>
  <c r="L1239" i="32" s="1"/>
  <c r="V837" i="32" a="1"/>
  <c r="V837" i="32" s="1"/>
  <c r="L837" i="32" s="1"/>
  <c r="S1129" i="32" a="1"/>
  <c r="S1129" i="32" s="1"/>
  <c r="E1129" i="32" s="1"/>
  <c r="V647" i="32" a="1"/>
  <c r="V647" i="32" s="1"/>
  <c r="L647" i="32" s="1"/>
  <c r="T1623" i="32" a="1"/>
  <c r="T1623" i="32" s="1"/>
  <c r="V751" i="32" a="1"/>
  <c r="V751" i="32" s="1"/>
  <c r="L751" i="32" s="1"/>
  <c r="V1101" i="32" a="1"/>
  <c r="V1101" i="32" s="1"/>
  <c r="L1101" i="32" s="1"/>
  <c r="V1613" i="32" a="1"/>
  <c r="V1613" i="32" s="1"/>
  <c r="L1613" i="32" s="1"/>
  <c r="T1199" i="32" a="1"/>
  <c r="T1199" i="32" s="1"/>
  <c r="S1315" i="32" a="1"/>
  <c r="S1315" i="32" s="1"/>
  <c r="E1315" i="32" s="1"/>
  <c r="R1473" i="32" a="1"/>
  <c r="R1473" i="32" s="1"/>
  <c r="D1473" i="32" s="1"/>
  <c r="V1133" i="32" a="1"/>
  <c r="V1133" i="32" s="1"/>
  <c r="L1133" i="32" s="1"/>
  <c r="S1455" i="32" a="1"/>
  <c r="S1455" i="32" s="1"/>
  <c r="E1455" i="32" s="1"/>
  <c r="R1149" i="32" a="1"/>
  <c r="R1149" i="32" s="1"/>
  <c r="D1149" i="32" s="1"/>
  <c r="T1579" i="32" a="1"/>
  <c r="T1579" i="32" s="1"/>
  <c r="T1171" i="32" a="1"/>
  <c r="T1171" i="32" s="1"/>
  <c r="T1129" i="32" a="1"/>
  <c r="T1129" i="32" s="1"/>
  <c r="V1179" i="32" a="1"/>
  <c r="V1179" i="32" s="1"/>
  <c r="L1179" i="32" s="1"/>
  <c r="R1191" i="32" a="1"/>
  <c r="R1191" i="32" s="1"/>
  <c r="D1191" i="32" s="1"/>
  <c r="T1553" i="32" a="1"/>
  <c r="T1553" i="32" s="1"/>
  <c r="R847" i="32" a="1"/>
  <c r="R847" i="32" s="1"/>
  <c r="D847" i="32" s="1"/>
  <c r="R1253" i="32" a="1"/>
  <c r="R1253" i="32" s="1"/>
  <c r="D1253" i="32" s="1"/>
  <c r="S1515" i="32" a="1"/>
  <c r="S1515" i="32" s="1"/>
  <c r="E1515" i="32" s="1"/>
  <c r="V1411" i="32" a="1"/>
  <c r="V1411" i="32" s="1"/>
  <c r="L1411" i="32" s="1"/>
  <c r="T1117" i="32" a="1"/>
  <c r="T1117" i="32" s="1"/>
  <c r="T1339" i="32" a="1"/>
  <c r="T1339" i="32" s="1"/>
  <c r="R629" i="32" a="1"/>
  <c r="R629" i="32" s="1"/>
  <c r="D629" i="32" s="1"/>
  <c r="R1137" i="32" a="1"/>
  <c r="R1137" i="32" s="1"/>
  <c r="D1137" i="32" s="1"/>
  <c r="V1417" i="32" a="1"/>
  <c r="V1417" i="32" s="1"/>
  <c r="L1417" i="32" s="1"/>
  <c r="S843" i="32" a="1"/>
  <c r="S843" i="32" s="1"/>
  <c r="E843" i="32" s="1"/>
  <c r="R1215" i="32" a="1"/>
  <c r="R1215" i="32" s="1"/>
  <c r="D1215" i="32" s="1"/>
  <c r="S847" i="32" a="1"/>
  <c r="S847" i="32" s="1"/>
  <c r="E847" i="32" s="1"/>
  <c r="V1377" i="32" a="1"/>
  <c r="V1377" i="32" s="1"/>
  <c r="L1377" i="32" s="1"/>
  <c r="T1377" i="32" a="1"/>
  <c r="T1377" i="32" s="1"/>
  <c r="S633" i="32" a="1"/>
  <c r="S633" i="32" s="1"/>
  <c r="E633" i="32" s="1"/>
  <c r="F2026" i="27" s="1"/>
  <c r="V1721" i="32" a="1"/>
  <c r="V1721" i="32" s="1"/>
  <c r="L1721" i="32" s="1"/>
  <c r="S1281" i="32" a="1"/>
  <c r="S1281" i="32" s="1"/>
  <c r="E1281" i="32" s="1"/>
  <c r="R1349" i="32" a="1"/>
  <c r="R1349" i="32" s="1"/>
  <c r="D1349" i="32" s="1"/>
  <c r="V1745" i="32" a="1"/>
  <c r="V1745" i="32" s="1"/>
  <c r="L1745" i="32" s="1"/>
  <c r="T1421" i="32" a="1"/>
  <c r="T1421" i="32" s="1"/>
  <c r="T1189" i="32" a="1"/>
  <c r="T1189" i="32" s="1"/>
  <c r="T1249" i="32" a="1"/>
  <c r="T1249" i="32" s="1"/>
  <c r="R1245" i="32" a="1"/>
  <c r="R1245" i="32" s="1"/>
  <c r="D1245" i="32" s="1"/>
  <c r="V1253" i="32" a="1"/>
  <c r="V1253" i="32" s="1"/>
  <c r="L1253" i="32" s="1"/>
  <c r="S1305" i="32" a="1"/>
  <c r="S1305" i="32" s="1"/>
  <c r="E1305" i="32" s="1"/>
  <c r="V1709" i="32" a="1"/>
  <c r="V1709" i="32" s="1"/>
  <c r="L1709" i="32" s="1"/>
  <c r="V1735" i="32" a="1"/>
  <c r="V1735" i="32" s="1"/>
  <c r="L1735" i="32" s="1"/>
  <c r="S1431" i="32" a="1"/>
  <c r="S1431" i="32" s="1"/>
  <c r="E1431" i="32" s="1"/>
  <c r="R755" i="32" a="1"/>
  <c r="R755" i="32" s="1"/>
  <c r="D755" i="32" s="1"/>
  <c r="T1491" i="32" a="1"/>
  <c r="T1491" i="32" s="1"/>
  <c r="V1475" i="32" a="1"/>
  <c r="V1475" i="32" s="1"/>
  <c r="L1475" i="32" s="1"/>
  <c r="V1203" i="32" a="1"/>
  <c r="V1203" i="32" s="1"/>
  <c r="L1203" i="32" s="1"/>
  <c r="R1107" i="32" a="1"/>
  <c r="R1107" i="32" s="1"/>
  <c r="D1107" i="32" s="1"/>
  <c r="V687" i="32" a="1"/>
  <c r="V687" i="32" s="1"/>
  <c r="L687" i="32" s="1"/>
  <c r="T1609" i="32" a="1"/>
  <c r="T1609" i="32" s="1"/>
  <c r="S1237" i="32" a="1"/>
  <c r="S1237" i="32" s="1"/>
  <c r="E1237" i="32" s="1"/>
  <c r="V1145" i="32" a="1"/>
  <c r="V1145" i="32" s="1"/>
  <c r="L1145" i="32" s="1"/>
  <c r="R1299" i="32" a="1"/>
  <c r="R1299" i="32" s="1"/>
  <c r="D1299" i="32" s="1"/>
  <c r="V1343" i="32" a="1"/>
  <c r="V1343" i="32" s="1"/>
  <c r="L1343" i="32" s="1"/>
  <c r="R1111" i="32" a="1"/>
  <c r="R1111" i="32" s="1"/>
  <c r="D1111" i="32" s="1"/>
  <c r="V841" i="32" a="1"/>
  <c r="V841" i="32" s="1"/>
  <c r="L841" i="32" s="1"/>
  <c r="R1201" i="32" a="1"/>
  <c r="R1201" i="32" s="1"/>
  <c r="D1201" i="32" s="1"/>
  <c r="T1469" i="32" a="1"/>
  <c r="T1469" i="32" s="1"/>
  <c r="V1445" i="32" a="1"/>
  <c r="V1445" i="32" s="1"/>
  <c r="L1445" i="32" s="1"/>
  <c r="V637" i="32" a="1"/>
  <c r="V637" i="32" s="1"/>
  <c r="L637" i="32" s="1"/>
  <c r="T1289" i="32" a="1"/>
  <c r="T1289" i="32" s="1"/>
  <c r="S1233" i="32" a="1"/>
  <c r="S1233" i="32" s="1"/>
  <c r="E1233" i="32" s="1"/>
  <c r="V1201" i="32" a="1"/>
  <c r="V1201" i="32" s="1"/>
  <c r="L1201" i="32" s="1"/>
  <c r="R1323" i="32" a="1"/>
  <c r="R1323" i="32" s="1"/>
  <c r="D1323" i="32" s="1"/>
  <c r="R1481" i="32" a="1"/>
  <c r="R1481" i="32" s="1"/>
  <c r="D1481" i="32" s="1"/>
  <c r="S1553" i="32" a="1"/>
  <c r="S1553" i="32" s="1"/>
  <c r="E1553" i="32" s="1"/>
  <c r="S1375" i="32" a="1"/>
  <c r="S1375" i="32" s="1"/>
  <c r="E1375" i="32" s="1"/>
  <c r="V1119" i="32" a="1"/>
  <c r="V1119" i="32" s="1"/>
  <c r="L1119" i="32" s="1"/>
  <c r="T1765" i="32" a="1"/>
  <c r="T1765" i="32" s="1"/>
  <c r="T1313" i="32" a="1"/>
  <c r="T1313" i="32" s="1"/>
  <c r="V1693" i="32" a="1"/>
  <c r="V1693" i="32" s="1"/>
  <c r="L1693" i="32" s="1"/>
  <c r="R1491" i="32" a="1"/>
  <c r="R1491" i="32" s="1"/>
  <c r="D1491" i="32" s="1"/>
  <c r="R841" i="32" a="1"/>
  <c r="R841" i="32" s="1"/>
  <c r="D841" i="32" s="1"/>
  <c r="V1717" i="32" a="1"/>
  <c r="V1717" i="32" s="1"/>
  <c r="L1717" i="32" s="1"/>
  <c r="V1763" i="32" a="1"/>
  <c r="V1763" i="32" s="1"/>
  <c r="L1763" i="32" s="1"/>
  <c r="S1329" i="32" a="1"/>
  <c r="S1329" i="32" s="1"/>
  <c r="E1329" i="32" s="1"/>
  <c r="V1183" i="32" a="1"/>
  <c r="V1183" i="32" s="1"/>
  <c r="L1183" i="32" s="1"/>
  <c r="S1317" i="32" a="1"/>
  <c r="S1317" i="32" s="1"/>
  <c r="E1317" i="32" s="1"/>
  <c r="T1777" i="32" a="1"/>
  <c r="T1777" i="32" s="1"/>
  <c r="T1337" i="32" a="1"/>
  <c r="T1337" i="32" s="1"/>
  <c r="T1565" i="32" a="1"/>
  <c r="T1565" i="32" s="1"/>
  <c r="R649" i="32" a="1"/>
  <c r="R649" i="32" s="1"/>
  <c r="D649" i="32" s="1"/>
  <c r="T1217" i="32" a="1"/>
  <c r="T1217" i="32" s="1"/>
  <c r="T1347" i="32" a="1"/>
  <c r="T1347" i="32" s="1"/>
  <c r="T1775" i="32" a="1"/>
  <c r="T1775" i="32" s="1"/>
  <c r="T1751" i="32" a="1"/>
  <c r="T1751" i="32" s="1"/>
  <c r="T1573" i="32" a="1"/>
  <c r="T1573" i="32" s="1"/>
  <c r="T1231" i="32" a="1"/>
  <c r="T1231" i="32" s="1"/>
  <c r="S1599" i="32" a="1"/>
  <c r="S1599" i="32" s="1"/>
  <c r="E1599" i="32" s="1"/>
  <c r="V1465" i="32" a="1"/>
  <c r="V1465" i="32" s="1"/>
  <c r="L1465" i="32" s="1"/>
  <c r="T1621" i="32" a="1"/>
  <c r="T1621" i="32" s="1"/>
  <c r="T1547" i="32" a="1"/>
  <c r="T1547" i="32" s="1"/>
  <c r="T1245" i="32" a="1"/>
  <c r="T1245" i="32" s="1"/>
  <c r="T1505" i="32" a="1"/>
  <c r="T1505" i="32" s="1"/>
  <c r="T831" i="32" a="1"/>
  <c r="T831" i="32" s="1"/>
  <c r="T637" i="32" a="1"/>
  <c r="T637" i="32" s="1"/>
  <c r="M2028" i="27" s="1"/>
  <c r="A2028" i="27" s="1"/>
  <c r="V677" i="32" a="1"/>
  <c r="V677" i="32" s="1"/>
  <c r="L677" i="32" s="1"/>
  <c r="S1671" i="32" a="1"/>
  <c r="S1671" i="32" s="1"/>
  <c r="E1671" i="32" s="1"/>
  <c r="T1123" i="32" a="1"/>
  <c r="T1123" i="32" s="1"/>
  <c r="S1339" i="32" a="1"/>
  <c r="S1339" i="32" s="1"/>
  <c r="E1339" i="32" s="1"/>
  <c r="V1319" i="32" a="1"/>
  <c r="V1319" i="32" s="1"/>
  <c r="L1319" i="32" s="1"/>
  <c r="S1119" i="32" a="1"/>
  <c r="S1119" i="32" s="1"/>
  <c r="E1119" i="32" s="1"/>
  <c r="V1237" i="32" a="1"/>
  <c r="V1237" i="32" s="1"/>
  <c r="L1237" i="32" s="1"/>
  <c r="V1529" i="32" a="1"/>
  <c r="V1529" i="32" s="1"/>
  <c r="L1529" i="32" s="1"/>
  <c r="R1403" i="32" a="1"/>
  <c r="R1403" i="32" s="1"/>
  <c r="D1403" i="32" s="1"/>
  <c r="S1273" i="32" a="1"/>
  <c r="S1273" i="32" s="1"/>
  <c r="E1273" i="32" s="1"/>
  <c r="V1353" i="32" a="1"/>
  <c r="V1353" i="32" s="1"/>
  <c r="L1353" i="32" s="1"/>
  <c r="R631" i="32" a="1"/>
  <c r="R631" i="32" s="1"/>
  <c r="D631" i="32" s="1"/>
  <c r="V1139" i="32" a="1"/>
  <c r="V1139" i="32" s="1"/>
  <c r="L1139" i="32" s="1"/>
  <c r="T829" i="32" a="1"/>
  <c r="T829" i="32" s="1"/>
  <c r="R1105" i="32" a="1"/>
  <c r="R1105" i="32" s="1"/>
  <c r="D1105" i="32" s="1"/>
  <c r="S687" i="32" a="1"/>
  <c r="S687" i="32" s="1"/>
  <c r="E687" i="32" s="1"/>
  <c r="V1255" i="32" a="1"/>
  <c r="V1255" i="32" s="1"/>
  <c r="L1255" i="32" s="1"/>
  <c r="S1529" i="32" a="1"/>
  <c r="S1529" i="32" s="1"/>
  <c r="E1529" i="32" s="1"/>
  <c r="T1661" i="32" a="1"/>
  <c r="T1661" i="32" s="1"/>
  <c r="V1393" i="32" a="1"/>
  <c r="V1393" i="32" s="1"/>
  <c r="L1393" i="32" s="1"/>
  <c r="T1707" i="32" a="1"/>
  <c r="T1707" i="32" s="1"/>
  <c r="R1689" i="32" a="1"/>
  <c r="R1689" i="32" s="1"/>
  <c r="D1689" i="32" s="1"/>
  <c r="R1505" i="32" a="1"/>
  <c r="R1505" i="32" s="1"/>
  <c r="D1505" i="32" s="1"/>
  <c r="R1145" i="32" a="1"/>
  <c r="R1145" i="32" s="1"/>
  <c r="D1145" i="32" s="1"/>
  <c r="T1501" i="32" a="1"/>
  <c r="T1501" i="32" s="1"/>
  <c r="V1351" i="32" a="1"/>
  <c r="V1351" i="32" s="1"/>
  <c r="L1351" i="32" s="1"/>
  <c r="T1539" i="32" a="1"/>
  <c r="T1539" i="32" s="1"/>
  <c r="S841" i="32" a="1"/>
  <c r="S841" i="32" s="1"/>
  <c r="E841" i="32" s="1"/>
  <c r="R1511" i="32" a="1"/>
  <c r="R1511" i="32" s="1"/>
  <c r="D1511" i="32" s="1"/>
  <c r="T1345" i="32" a="1"/>
  <c r="T1345" i="32" s="1"/>
  <c r="R1113" i="32" a="1"/>
  <c r="R1113" i="32" s="1"/>
  <c r="D1113" i="32" s="1"/>
  <c r="S1585" i="32" a="1"/>
  <c r="S1585" i="32" s="1"/>
  <c r="E1585" i="32" s="1"/>
  <c r="R1355" i="32" a="1"/>
  <c r="R1355" i="32" s="1"/>
  <c r="D1355" i="32" s="1"/>
  <c r="S683" i="32" a="1"/>
  <c r="S683" i="32" s="1"/>
  <c r="E683" i="32" s="1"/>
  <c r="V1755" i="32" a="1"/>
  <c r="V1755" i="32" s="1"/>
  <c r="L1755" i="32" s="1"/>
  <c r="R1517" i="32" a="1"/>
  <c r="R1517" i="32" s="1"/>
  <c r="D1517" i="32" s="1"/>
  <c r="S1261" i="32" a="1"/>
  <c r="S1261" i="32" s="1"/>
  <c r="E1261" i="32" s="1"/>
  <c r="V1217" i="32" a="1"/>
  <c r="V1217" i="32" s="1"/>
  <c r="L1217" i="32" s="1"/>
  <c r="S1625" i="32" a="1"/>
  <c r="S1625" i="32" s="1"/>
  <c r="E1625" i="32" s="1"/>
  <c r="T1263" i="32" a="1"/>
  <c r="T1263" i="32" s="1"/>
  <c r="S711" i="32" a="1"/>
  <c r="S711" i="32" s="1"/>
  <c r="E711" i="32" s="1"/>
  <c r="T1723" i="32" a="1"/>
  <c r="T1723" i="32" s="1"/>
  <c r="T1613" i="32" a="1"/>
  <c r="T1613" i="32" s="1"/>
  <c r="S1257" i="32" a="1"/>
  <c r="S1257" i="32" s="1"/>
  <c r="E1257" i="32" s="1"/>
  <c r="R1305" i="32" a="1"/>
  <c r="R1305" i="32" s="1"/>
  <c r="D1305" i="32" s="1"/>
  <c r="S1369" i="32" a="1"/>
  <c r="S1369" i="32" s="1"/>
  <c r="E1369" i="32" s="1"/>
  <c r="T1591" i="32" a="1"/>
  <c r="T1591" i="32" s="1"/>
  <c r="V1543" i="32" a="1"/>
  <c r="V1543" i="32" s="1"/>
  <c r="L1543" i="32" s="1"/>
  <c r="T1109" i="32" a="1"/>
  <c r="T1109" i="32" s="1"/>
  <c r="V1629" i="32" a="1"/>
  <c r="V1629" i="32" s="1"/>
  <c r="L1629" i="32" s="1"/>
  <c r="S1209" i="32" a="1"/>
  <c r="S1209" i="32" s="1"/>
  <c r="E1209" i="32" s="1"/>
  <c r="R715" i="32" a="1"/>
  <c r="R715" i="32" s="1"/>
  <c r="D715" i="32" s="1"/>
  <c r="V1395" i="32" a="1"/>
  <c r="V1395" i="32" s="1"/>
  <c r="L1395" i="32" s="1"/>
  <c r="S849" i="32" a="1"/>
  <c r="S849" i="32" s="1"/>
  <c r="E849" i="32" s="1"/>
  <c r="V1109" i="32" a="1"/>
  <c r="V1109" i="32" s="1"/>
  <c r="L1109" i="32" s="1"/>
  <c r="S1207" i="32" a="1"/>
  <c r="S1207" i="32" s="1"/>
  <c r="E1207" i="32" s="1"/>
  <c r="R1333" i="32" a="1"/>
  <c r="R1333" i="32" s="1"/>
  <c r="D1333" i="32" s="1"/>
  <c r="S829" i="32" a="1"/>
  <c r="S829" i="32" s="1"/>
  <c r="E829" i="32" s="1"/>
  <c r="S765" i="32" a="1"/>
  <c r="S765" i="32" s="1"/>
  <c r="E765" i="32" s="1"/>
  <c r="T1307" i="32" a="1"/>
  <c r="T1307" i="32" s="1"/>
  <c r="V1491" i="32" a="1"/>
  <c r="V1491" i="32" s="1"/>
  <c r="L1491" i="32" s="1"/>
  <c r="T1351" i="32" a="1"/>
  <c r="T1351" i="32" s="1"/>
  <c r="R823" i="32" a="1"/>
  <c r="R823" i="32" s="1"/>
  <c r="D823" i="32" s="1"/>
  <c r="V1383" i="32" a="1"/>
  <c r="V1383" i="32" s="1"/>
  <c r="L1383" i="32" s="1"/>
  <c r="T1527" i="32" a="1"/>
  <c r="T1527" i="32" s="1"/>
  <c r="V1321" i="32" a="1"/>
  <c r="V1321" i="32" s="1"/>
  <c r="L1321" i="32" s="1"/>
  <c r="V1205" i="32" a="1"/>
  <c r="V1205" i="32" s="1"/>
  <c r="L1205" i="32" s="1"/>
  <c r="S1419" i="32" a="1"/>
  <c r="S1419" i="32" s="1"/>
  <c r="E1419" i="32" s="1"/>
  <c r="T1495" i="32" a="1"/>
  <c r="T1495" i="32" s="1"/>
  <c r="R1495" i="32" a="1"/>
  <c r="R1495" i="32" s="1"/>
  <c r="D1495" i="32" s="1"/>
  <c r="V1729" i="32" a="1"/>
  <c r="V1729" i="32" s="1"/>
  <c r="L1729" i="32" s="1"/>
  <c r="R1221" i="32" a="1"/>
  <c r="R1221" i="32" s="1"/>
  <c r="D1221" i="32" s="1"/>
  <c r="S1757" i="32" a="1"/>
  <c r="S1757" i="32" s="1"/>
  <c r="E1757" i="32" s="1"/>
  <c r="T1211" i="32" a="1"/>
  <c r="T1211" i="32" s="1"/>
  <c r="T687" i="32" a="1"/>
  <c r="T687" i="32" s="1"/>
  <c r="S1159" i="32" a="1"/>
  <c r="S1159" i="32" s="1"/>
  <c r="E1159" i="32" s="1"/>
  <c r="S839" i="32" a="1"/>
  <c r="S839" i="32" s="1"/>
  <c r="E839" i="32" s="1"/>
  <c r="R641" i="32" a="1"/>
  <c r="R641" i="32" s="1"/>
  <c r="D641" i="32" s="1"/>
  <c r="T1315" i="32" a="1"/>
  <c r="T1315" i="32" s="1"/>
  <c r="T1665" i="32" a="1"/>
  <c r="T1665" i="32" s="1"/>
  <c r="S1399" i="32" a="1"/>
  <c r="S1399" i="32" s="1"/>
  <c r="E1399" i="32" s="1"/>
  <c r="T1269" i="32" a="1"/>
  <c r="T1269" i="32" s="1"/>
  <c r="S1311" i="32" a="1"/>
  <c r="S1311" i="32" s="1"/>
  <c r="E1311" i="32" s="1"/>
  <c r="T821" i="32" a="1"/>
  <c r="T821" i="32" s="1"/>
  <c r="S1123" i="32" a="1"/>
  <c r="S1123" i="32" s="1"/>
  <c r="E1123" i="32" s="1"/>
  <c r="S1565" i="32" a="1"/>
  <c r="S1565" i="32" s="1"/>
  <c r="E1565" i="32" s="1"/>
  <c r="S1713" i="32" a="1"/>
  <c r="S1713" i="32" s="1"/>
  <c r="E1713" i="32" s="1"/>
  <c r="S1101" i="32" a="1"/>
  <c r="S1101" i="32" s="1"/>
  <c r="E1101" i="32" s="1"/>
  <c r="S1381" i="32" a="1"/>
  <c r="S1381" i="32" s="1"/>
  <c r="E1381" i="32" s="1"/>
  <c r="R1139" i="32" a="1"/>
  <c r="R1139" i="32" s="1"/>
  <c r="D1139" i="32" s="1"/>
  <c r="T1143" i="32" a="1"/>
  <c r="T1143" i="32" s="1"/>
  <c r="T1771" i="32" a="1"/>
  <c r="T1771" i="32" s="1"/>
  <c r="S1705" i="32" a="1"/>
  <c r="S1705" i="32" s="1"/>
  <c r="E1705" i="32" s="1"/>
  <c r="S1593" i="32" a="1"/>
  <c r="S1593" i="32" s="1"/>
  <c r="E1593" i="32" s="1"/>
  <c r="T1465" i="32" a="1"/>
  <c r="T1465" i="32" s="1"/>
  <c r="T1303" i="32" a="1"/>
  <c r="T1303" i="32" s="1"/>
  <c r="R1553" i="32" a="1"/>
  <c r="R1553" i="32" s="1"/>
  <c r="D1553" i="32" s="1"/>
  <c r="T639" i="32" a="1"/>
  <c r="T639" i="32" s="1"/>
  <c r="M2029" i="27" s="1"/>
  <c r="A2029" i="27" s="1"/>
  <c r="R1651" i="32" a="1"/>
  <c r="R1651" i="32" s="1"/>
  <c r="D1651" i="32" s="1"/>
  <c r="R1487" i="32" a="1"/>
  <c r="R1487" i="32" s="1"/>
  <c r="D1487" i="32" s="1"/>
  <c r="R1459" i="32" a="1"/>
  <c r="R1459" i="32" s="1"/>
  <c r="D1459" i="32" s="1"/>
  <c r="S1313" i="32" a="1"/>
  <c r="S1313" i="32" s="1"/>
  <c r="E1313" i="32" s="1"/>
  <c r="T1343" i="32" a="1"/>
  <c r="T1343" i="32" s="1"/>
  <c r="R1607" i="32" a="1"/>
  <c r="R1607" i="32" s="1"/>
  <c r="D1607" i="32" s="1"/>
  <c r="T1173" i="32" a="1"/>
  <c r="T1173" i="32" s="1"/>
  <c r="V715" i="32" a="1"/>
  <c r="V715" i="32" s="1"/>
  <c r="L715" i="32" s="1"/>
  <c r="T1239" i="32" a="1"/>
  <c r="T1239" i="32" s="1"/>
  <c r="R1327" i="32" a="1"/>
  <c r="R1327" i="32" s="1"/>
  <c r="D1327" i="32" s="1"/>
  <c r="S1379" i="32" a="1"/>
  <c r="S1379" i="32" s="1"/>
  <c r="E1379" i="32" s="1"/>
  <c r="V1189" i="32" a="1"/>
  <c r="V1189" i="32" s="1"/>
  <c r="L1189" i="32" s="1"/>
  <c r="S1629" i="32" a="1"/>
  <c r="S1629" i="32" s="1"/>
  <c r="E1629" i="32" s="1"/>
  <c r="V1279" i="32" a="1"/>
  <c r="V1279" i="32" s="1"/>
  <c r="L1279" i="32" s="1"/>
  <c r="R1657" i="32" a="1"/>
  <c r="R1657" i="32" s="1"/>
  <c r="D1657" i="32" s="1"/>
  <c r="V1287" i="32" a="1"/>
  <c r="V1287" i="32" s="1"/>
  <c r="L1287" i="32" s="1"/>
  <c r="R639" i="32" a="1"/>
  <c r="R639" i="32" s="1"/>
  <c r="D639" i="32" s="1"/>
  <c r="R1115" i="32" a="1"/>
  <c r="R1115" i="32" s="1"/>
  <c r="D1115" i="32" s="1"/>
  <c r="T1357" i="32" a="1"/>
  <c r="T1357" i="32" s="1"/>
  <c r="V1637" i="32" a="1"/>
  <c r="V1637" i="32" s="1"/>
  <c r="L1637" i="32" s="1"/>
  <c r="S1227" i="32" a="1"/>
  <c r="S1227" i="32" s="1"/>
  <c r="E1227" i="32" s="1"/>
  <c r="S771" i="32" a="1"/>
  <c r="S771" i="32" s="1"/>
  <c r="E771" i="32" s="1"/>
  <c r="S1633" i="32" a="1"/>
  <c r="S1633" i="32" s="1"/>
  <c r="E1633" i="32" s="1"/>
  <c r="R1189" i="32" a="1"/>
  <c r="R1189" i="32" s="1"/>
  <c r="D1189" i="32" s="1"/>
  <c r="S1223" i="32" a="1"/>
  <c r="S1223" i="32" s="1"/>
  <c r="E1223" i="32" s="1"/>
  <c r="V1483" i="32" a="1"/>
  <c r="V1483" i="32" s="1"/>
  <c r="L1483" i="32" s="1"/>
  <c r="V643" i="32" a="1"/>
  <c r="V643" i="32" s="1"/>
  <c r="L643" i="32" s="1"/>
  <c r="T1159" i="32" a="1"/>
  <c r="T1159" i="32" s="1"/>
  <c r="V1317" i="32" a="1"/>
  <c r="V1317" i="32" s="1"/>
  <c r="L1317" i="32" s="1"/>
  <c r="V681" i="32" a="1"/>
  <c r="V681" i="32" s="1"/>
  <c r="L681" i="32" s="1"/>
  <c r="V1215" i="32" a="1"/>
  <c r="V1215" i="32" s="1"/>
  <c r="L1215" i="32" s="1"/>
  <c r="S1265" i="32" a="1"/>
  <c r="S1265" i="32" s="1"/>
  <c r="E1265" i="32" s="1"/>
  <c r="V1359" i="32" a="1"/>
  <c r="V1359" i="32" s="1"/>
  <c r="L1359" i="32" s="1"/>
  <c r="R1235" i="32" a="1"/>
  <c r="R1235" i="32" s="1"/>
  <c r="D1235" i="32" s="1"/>
  <c r="S1333" i="32" a="1"/>
  <c r="S1333" i="32" s="1"/>
  <c r="E1333" i="32" s="1"/>
  <c r="T1113" i="32" a="1"/>
  <c r="T1113" i="32" s="1"/>
  <c r="T1399" i="32" a="1"/>
  <c r="T1399" i="32" s="1"/>
  <c r="R687" i="32" a="1"/>
  <c r="R687" i="32" s="1"/>
  <c r="D687" i="32" s="1"/>
  <c r="R1397" i="32" a="1"/>
  <c r="R1397" i="32" s="1"/>
  <c r="D1397" i="32" s="1"/>
  <c r="R1251" i="32" a="1"/>
  <c r="R1251" i="32" s="1"/>
  <c r="D1251" i="32" s="1"/>
  <c r="R1633" i="32" a="1"/>
  <c r="R1633" i="32" s="1"/>
  <c r="D1633" i="32" s="1"/>
  <c r="S833" i="32" a="1"/>
  <c r="S833" i="32" s="1"/>
  <c r="E833" i="32" s="1"/>
  <c r="V1773" i="32" a="1"/>
  <c r="V1773" i="32" s="1"/>
  <c r="L1773" i="32" s="1"/>
  <c r="S1511" i="32" a="1"/>
  <c r="S1511" i="32" s="1"/>
  <c r="E1511" i="32" s="1"/>
  <c r="R683" i="32" a="1"/>
  <c r="R683" i="32" s="1"/>
  <c r="D683" i="32" s="1"/>
  <c r="T1341" i="32" a="1"/>
  <c r="T1341" i="32" s="1"/>
  <c r="S1443" i="32" a="1"/>
  <c r="S1443" i="32" s="1"/>
  <c r="E1443" i="32" s="1"/>
  <c r="V1621" i="32" a="1"/>
  <c r="V1621" i="32" s="1"/>
  <c r="L1621" i="32" s="1"/>
  <c r="S1537" i="32" a="1"/>
  <c r="S1537" i="32" s="1"/>
  <c r="E1537" i="32" s="1"/>
  <c r="S1181" i="32" a="1"/>
  <c r="S1181" i="32" s="1"/>
  <c r="E1181" i="32" s="1"/>
  <c r="S1247" i="32" a="1"/>
  <c r="S1247" i="32" s="1"/>
  <c r="E1247" i="32" s="1"/>
  <c r="R1525" i="32" a="1"/>
  <c r="R1525" i="32" s="1"/>
  <c r="D1525" i="32" s="1"/>
  <c r="R1765" i="32" a="1"/>
  <c r="R1765" i="32" s="1"/>
  <c r="D1765" i="32" s="1"/>
  <c r="S1589" i="32" a="1"/>
  <c r="S1589" i="32" s="1"/>
  <c r="E1589" i="32" s="1"/>
  <c r="S1291" i="32" a="1"/>
  <c r="S1291" i="32" s="1"/>
  <c r="E1291" i="32" s="1"/>
  <c r="R1719" i="32" a="1"/>
  <c r="R1719" i="32" s="1"/>
  <c r="D1719" i="32" s="1"/>
  <c r="R1557" i="32" a="1"/>
  <c r="R1557" i="32" s="1"/>
  <c r="D1557" i="32" s="1"/>
  <c r="T1371" i="32" a="1"/>
  <c r="T1371" i="32" s="1"/>
  <c r="V1555" i="32" a="1"/>
  <c r="V1555" i="32" s="1"/>
  <c r="L1555" i="32" s="1"/>
  <c r="V1245" i="32" a="1"/>
  <c r="V1245" i="32" s="1"/>
  <c r="L1245" i="32" s="1"/>
  <c r="T1703" i="32" a="1"/>
  <c r="T1703" i="32" s="1"/>
  <c r="T1355" i="32" a="1"/>
  <c r="T1355" i="32" s="1"/>
  <c r="R1545" i="32" a="1"/>
  <c r="R1545" i="32" s="1"/>
  <c r="D1545" i="32" s="1"/>
  <c r="T1219" i="32" a="1"/>
  <c r="T1219" i="32" s="1"/>
  <c r="R1701" i="32" a="1"/>
  <c r="R1701" i="32" s="1"/>
  <c r="D1701" i="32" s="1"/>
  <c r="R1423" i="32" a="1"/>
  <c r="R1423" i="32" s="1"/>
  <c r="D1423" i="32" s="1"/>
  <c r="T763" i="32" a="1"/>
  <c r="T763" i="32" s="1"/>
  <c r="S1415" i="32" a="1"/>
  <c r="S1415" i="32" s="1"/>
  <c r="E1415" i="32" s="1"/>
  <c r="S1773" i="32" a="1"/>
  <c r="S1773" i="32" s="1"/>
  <c r="E1773" i="32" s="1"/>
  <c r="S1539" i="32" a="1"/>
  <c r="S1539" i="32" s="1"/>
  <c r="E1539" i="32" s="1"/>
  <c r="V1677" i="32" a="1"/>
  <c r="V1677" i="32" s="1"/>
  <c r="L1677" i="32" s="1"/>
  <c r="S1407" i="32" a="1"/>
  <c r="S1407" i="32" s="1"/>
  <c r="E1407" i="32" s="1"/>
  <c r="R1757" i="32" a="1"/>
  <c r="R1757" i="32" s="1"/>
  <c r="D1757" i="32" s="1"/>
  <c r="V1437" i="32" a="1"/>
  <c r="V1437" i="32" s="1"/>
  <c r="L1437" i="32" s="1"/>
  <c r="T1487" i="32" a="1"/>
  <c r="T1487" i="32" s="1"/>
  <c r="S1365" i="32" a="1"/>
  <c r="S1365" i="32" s="1"/>
  <c r="E1365" i="32" s="1"/>
  <c r="T1361" i="32" a="1"/>
  <c r="T1361" i="32" s="1"/>
  <c r="S1183" i="32" a="1"/>
  <c r="S1183" i="32" s="1"/>
  <c r="E1183" i="32" s="1"/>
  <c r="T1127" i="32" a="1"/>
  <c r="T1127" i="32" s="1"/>
  <c r="R1583" i="32" a="1"/>
  <c r="R1583" i="32" s="1"/>
  <c r="D1583" i="32" s="1"/>
  <c r="S1755" i="32" a="1"/>
  <c r="S1755" i="32" s="1"/>
  <c r="E1755" i="32" s="1"/>
  <c r="T1169" i="32" a="1"/>
  <c r="T1169" i="32" s="1"/>
  <c r="T707" i="32" a="1"/>
  <c r="T707" i="32" s="1"/>
  <c r="R1595" i="32" a="1"/>
  <c r="R1595" i="32" s="1"/>
  <c r="D1595" i="32" s="1"/>
  <c r="R1479" i="32" a="1"/>
  <c r="R1479" i="32" s="1"/>
  <c r="D1479" i="32" s="1"/>
  <c r="T1595" i="32" a="1"/>
  <c r="T1595" i="32" s="1"/>
  <c r="V1581" i="32" a="1"/>
  <c r="V1581" i="32" s="1"/>
  <c r="L1581" i="32" s="1"/>
  <c r="S1275" i="32" a="1"/>
  <c r="S1275" i="32" s="1"/>
  <c r="E1275" i="32" s="1"/>
  <c r="V679" i="32" a="1"/>
  <c r="V679" i="32" s="1"/>
  <c r="L679" i="32" s="1"/>
  <c r="V1559" i="32" a="1"/>
  <c r="V1559" i="32" s="1"/>
  <c r="L1559" i="32" s="1"/>
  <c r="S1617" i="32" a="1"/>
  <c r="S1617" i="32" s="1"/>
  <c r="E1617" i="32" s="1"/>
  <c r="R1365" i="32" a="1"/>
  <c r="R1365" i="32" s="1"/>
  <c r="D1365" i="32" s="1"/>
  <c r="S1733" i="32" a="1"/>
  <c r="S1733" i="32" s="1"/>
  <c r="E1733" i="32" s="1"/>
  <c r="V1137" i="32" a="1"/>
  <c r="V1137" i="32" s="1"/>
  <c r="L1137" i="32" s="1"/>
  <c r="S1603" i="32" a="1"/>
  <c r="S1603" i="32" s="1"/>
  <c r="E1603" i="32" s="1"/>
  <c r="S1525" i="32" a="1"/>
  <c r="S1525" i="32" s="1"/>
  <c r="E1525" i="32" s="1"/>
  <c r="S1505" i="32" a="1"/>
  <c r="S1505" i="32" s="1"/>
  <c r="E1505" i="32" s="1"/>
  <c r="S1345" i="32" a="1"/>
  <c r="S1345" i="32" s="1"/>
  <c r="E1345" i="32" s="1"/>
  <c r="R1637" i="32" a="1"/>
  <c r="R1637" i="32" s="1"/>
  <c r="D1637" i="32" s="1"/>
  <c r="R1759" i="32" a="1"/>
  <c r="R1759" i="32" s="1"/>
  <c r="D1759" i="32" s="1"/>
  <c r="R1353" i="32" a="1"/>
  <c r="R1353" i="32" s="1"/>
  <c r="D1353" i="32" s="1"/>
  <c r="R1565" i="32" a="1"/>
  <c r="R1565" i="32" s="1"/>
  <c r="D1565" i="32" s="1"/>
  <c r="S1531" i="32" a="1"/>
  <c r="S1531" i="32" s="1"/>
  <c r="E1531" i="32" s="1"/>
  <c r="V719" i="32" a="1"/>
  <c r="V719" i="32" s="1"/>
  <c r="L719" i="32" s="1"/>
  <c r="R1475" i="32" a="1"/>
  <c r="R1475" i="32" s="1"/>
  <c r="D1475" i="32" s="1"/>
  <c r="V1557" i="32" a="1"/>
  <c r="V1557" i="32" s="1"/>
  <c r="L1557" i="32" s="1"/>
  <c r="T1103" i="32" a="1"/>
  <c r="T1103" i="32" s="1"/>
  <c r="S1709" i="32" a="1"/>
  <c r="S1709" i="32" s="1"/>
  <c r="E1709" i="32" s="1"/>
  <c r="R1493" i="32" a="1"/>
  <c r="R1493" i="32" s="1"/>
  <c r="D1493" i="32" s="1"/>
  <c r="V1537" i="32" a="1"/>
  <c r="V1537" i="32" s="1"/>
  <c r="L1537" i="32" s="1"/>
  <c r="V1413" i="32" a="1"/>
  <c r="V1413" i="32" s="1"/>
  <c r="L1413" i="32" s="1"/>
  <c r="R1273" i="32" a="1"/>
  <c r="R1273" i="32" s="1"/>
  <c r="D1273" i="32" s="1"/>
  <c r="T847" i="32" a="1"/>
  <c r="T847" i="32" s="1"/>
  <c r="S1219" i="32" a="1"/>
  <c r="S1219" i="32" s="1"/>
  <c r="E1219" i="32" s="1"/>
  <c r="T1203" i="32" a="1"/>
  <c r="T1203" i="32" s="1"/>
  <c r="R1737" i="32" a="1"/>
  <c r="R1737" i="32" s="1"/>
  <c r="D1737" i="32" s="1"/>
  <c r="R1295" i="32" a="1"/>
  <c r="R1295" i="32" s="1"/>
  <c r="D1295" i="32" s="1"/>
  <c r="S1347" i="32" a="1"/>
  <c r="S1347" i="32" s="1"/>
  <c r="E1347" i="32" s="1"/>
  <c r="V1229" i="32" a="1"/>
  <c r="V1229" i="32" s="1"/>
  <c r="L1229" i="32" s="1"/>
  <c r="S1301" i="32" a="1"/>
  <c r="S1301" i="32" s="1"/>
  <c r="E1301" i="32" s="1"/>
  <c r="S1735" i="32" a="1"/>
  <c r="S1735" i="32" s="1"/>
  <c r="E1735" i="32" s="1"/>
  <c r="V1579" i="32" a="1"/>
  <c r="V1579" i="32" s="1"/>
  <c r="L1579" i="32" s="1"/>
  <c r="R1103" i="32" a="1"/>
  <c r="R1103" i="32" s="1"/>
  <c r="D1103" i="32" s="1"/>
  <c r="S1637" i="32" a="1"/>
  <c r="S1637" i="32" s="1"/>
  <c r="E1637" i="32" s="1"/>
  <c r="V1661" i="32" a="1"/>
  <c r="V1661" i="32" s="1"/>
  <c r="L1661" i="32" s="1"/>
  <c r="T1615" i="32" a="1"/>
  <c r="T1615" i="32" s="1"/>
  <c r="V1419" i="32" a="1"/>
  <c r="V1419" i="32" s="1"/>
  <c r="L1419" i="32" s="1"/>
  <c r="S641" i="32" a="1"/>
  <c r="S641" i="32" s="1"/>
  <c r="E641" i="32" s="1"/>
  <c r="F2030" i="27" s="1"/>
  <c r="S1669" i="32" a="1"/>
  <c r="S1669" i="32" s="1"/>
  <c r="E1669" i="32" s="1"/>
  <c r="S651" i="32" a="1"/>
  <c r="S651" i="32" s="1"/>
  <c r="E651" i="32" s="1"/>
  <c r="S1663" i="32" a="1"/>
  <c r="S1663" i="32" s="1"/>
  <c r="E1663" i="32" s="1"/>
  <c r="T1681" i="32" a="1"/>
  <c r="T1681" i="32" s="1"/>
  <c r="R1695" i="32" a="1"/>
  <c r="R1695" i="32" s="1"/>
  <c r="D1695" i="32" s="1"/>
  <c r="S1601" i="32" a="1"/>
  <c r="S1601" i="32" s="1"/>
  <c r="E1601" i="32" s="1"/>
  <c r="V1345" i="32" a="1"/>
  <c r="V1345" i="32" s="1"/>
  <c r="L1345" i="32" s="1"/>
  <c r="R1753" i="32" a="1"/>
  <c r="R1753" i="32" s="1"/>
  <c r="D1753" i="32" s="1"/>
  <c r="T1611" i="32" a="1"/>
  <c r="T1611" i="32" s="1"/>
  <c r="S1451" i="32" a="1"/>
  <c r="S1451" i="32" s="1"/>
  <c r="E1451" i="32" s="1"/>
  <c r="R1229" i="32" a="1"/>
  <c r="R1229" i="32" s="1"/>
  <c r="D1229" i="32" s="1"/>
  <c r="V707" i="32" a="1"/>
  <c r="V707" i="32" s="1"/>
  <c r="L707" i="32" s="1"/>
  <c r="V1503" i="32" a="1"/>
  <c r="V1503" i="32" s="1"/>
  <c r="L1503" i="32" s="1"/>
  <c r="V753" i="32" a="1"/>
  <c r="V753" i="32" s="1"/>
  <c r="L753" i="32" s="1"/>
  <c r="R1157" i="32" a="1"/>
  <c r="R1157" i="32" s="1"/>
  <c r="D1157" i="32" s="1"/>
  <c r="T1475" i="32" a="1"/>
  <c r="T1475" i="32" s="1"/>
  <c r="T827" i="32" a="1"/>
  <c r="T827" i="32" s="1"/>
  <c r="V1241" i="32" a="1"/>
  <c r="V1241" i="32" s="1"/>
  <c r="L1241" i="32" s="1"/>
  <c r="S1387" i="32" a="1"/>
  <c r="S1387" i="32" s="1"/>
  <c r="E1387" i="32" s="1"/>
  <c r="V1723" i="32" a="1"/>
  <c r="V1723" i="32" s="1"/>
  <c r="L1723" i="32" s="1"/>
  <c r="S1535" i="32" a="1"/>
  <c r="S1535" i="32" s="1"/>
  <c r="E1535" i="32" s="1"/>
  <c r="S635" i="32" a="1"/>
  <c r="S635" i="32" s="1"/>
  <c r="E635" i="32" s="1"/>
  <c r="F2027" i="27" s="1"/>
  <c r="S1465" i="32" a="1"/>
  <c r="S1465" i="32" s="1"/>
  <c r="E1465" i="32" s="1"/>
  <c r="R1515" i="32" a="1"/>
  <c r="R1515" i="32" s="1"/>
  <c r="D1515" i="32" s="1"/>
  <c r="V1535" i="32" a="1"/>
  <c r="V1535" i="32" s="1"/>
  <c r="L1535" i="32" s="1"/>
  <c r="T833" i="32" a="1"/>
  <c r="T833" i="32" s="1"/>
  <c r="S1425" i="32" a="1"/>
  <c r="S1425" i="32" s="1"/>
  <c r="E1425" i="32" s="1"/>
  <c r="V1509" i="32" a="1"/>
  <c r="V1509" i="32" s="1"/>
  <c r="L1509" i="32" s="1"/>
  <c r="S1497" i="32" a="1"/>
  <c r="S1497" i="32" s="1"/>
  <c r="E1497" i="32" s="1"/>
  <c r="R1705" i="32" a="1"/>
  <c r="R1705" i="32" s="1"/>
  <c r="D1705" i="32" s="1"/>
  <c r="R1375" i="32" a="1"/>
  <c r="R1375" i="32" s="1"/>
  <c r="D1375" i="32" s="1"/>
  <c r="R1205" i="32" a="1"/>
  <c r="R1205" i="32" s="1"/>
  <c r="D1205" i="32" s="1"/>
  <c r="R1773" i="32" a="1"/>
  <c r="R1773" i="32" s="1"/>
  <c r="D1773" i="32" s="1"/>
  <c r="S1343" i="32" a="1"/>
  <c r="S1343" i="32" s="1"/>
  <c r="E1343" i="32" s="1"/>
  <c r="R1767" i="32" a="1"/>
  <c r="R1767" i="32" s="1"/>
  <c r="D1767" i="32" s="1"/>
  <c r="S1321" i="32" a="1"/>
  <c r="S1321" i="32" s="1"/>
  <c r="E1321" i="32" s="1"/>
  <c r="R1175" i="32" a="1"/>
  <c r="R1175" i="32" s="1"/>
  <c r="D1175" i="32" s="1"/>
  <c r="S1285" i="32" a="1"/>
  <c r="S1285" i="32" s="1"/>
  <c r="E1285" i="32" s="1"/>
  <c r="V1731" i="32" a="1"/>
  <c r="V1731" i="32" s="1"/>
  <c r="L1731" i="32" s="1"/>
  <c r="R1343" i="32" a="1"/>
  <c r="R1343" i="32" s="1"/>
  <c r="D1343" i="32" s="1"/>
  <c r="T1761" i="32" a="1"/>
  <c r="T1761" i="32" s="1"/>
  <c r="R1585" i="32" a="1"/>
  <c r="R1585" i="32" s="1"/>
  <c r="D1585" i="32" s="1"/>
  <c r="T1175" i="32" a="1"/>
  <c r="T1175" i="32" s="1"/>
  <c r="T1521" i="32" a="1"/>
  <c r="T1521" i="32" s="1"/>
  <c r="S673" i="32" a="1"/>
  <c r="S673" i="32" s="1"/>
  <c r="E673" i="32" s="1"/>
  <c r="R1373" i="32" a="1"/>
  <c r="R1373" i="32" s="1"/>
  <c r="D1373" i="32" s="1"/>
  <c r="S767" i="32" a="1"/>
  <c r="S767" i="32" s="1"/>
  <c r="E767" i="32" s="1"/>
  <c r="R1715" i="32" a="1"/>
  <c r="R1715" i="32" s="1"/>
  <c r="D1715" i="32" s="1"/>
  <c r="R1745" i="32" a="1"/>
  <c r="R1745" i="32" s="1"/>
  <c r="D1745" i="32" s="1"/>
  <c r="R1729" i="32" a="1"/>
  <c r="R1729" i="32" s="1"/>
  <c r="D1729" i="32" s="1"/>
  <c r="S675" i="32" a="1"/>
  <c r="S675" i="32" s="1"/>
  <c r="E675" i="32" s="1"/>
  <c r="R1769" i="32" a="1"/>
  <c r="R1769" i="32" s="1"/>
  <c r="D1769" i="32" s="1"/>
  <c r="T1261" i="32" a="1"/>
  <c r="T1261" i="32" s="1"/>
  <c r="R1307" i="32" a="1"/>
  <c r="R1307" i="32" s="1"/>
  <c r="D1307" i="32" s="1"/>
  <c r="T1393" i="32" a="1"/>
  <c r="T1393" i="32" s="1"/>
  <c r="T1297" i="32" a="1"/>
  <c r="T1297" i="32" s="1"/>
  <c r="S1613" i="32" a="1"/>
  <c r="S1613" i="32" s="1"/>
  <c r="E1613" i="32" s="1"/>
  <c r="V1633" i="32" a="1"/>
  <c r="V1633" i="32" s="1"/>
  <c r="L1633" i="32" s="1"/>
  <c r="R1337" i="32" a="1"/>
  <c r="R1337" i="32" s="1"/>
  <c r="D1337" i="32" s="1"/>
  <c r="V1115" i="32" a="1"/>
  <c r="V1115" i="32" s="1"/>
  <c r="L1115" i="32" s="1"/>
  <c r="S1363" i="32" a="1"/>
  <c r="S1363" i="32" s="1"/>
  <c r="E1363" i="32" s="1"/>
  <c r="T1641" i="32" a="1"/>
  <c r="T1641" i="32" s="1"/>
  <c r="T1497" i="32" a="1"/>
  <c r="T1497" i="32" s="1"/>
  <c r="R1503" i="32" a="1"/>
  <c r="R1503" i="32" s="1"/>
  <c r="D1503" i="32" s="1"/>
  <c r="S1149" i="32" a="1"/>
  <c r="S1149" i="32" s="1"/>
  <c r="E1149" i="32" s="1"/>
  <c r="T1645" i="32" a="1"/>
  <c r="T1645" i="32" s="1"/>
  <c r="S1523" i="32" a="1"/>
  <c r="S1523" i="32" s="1"/>
  <c r="E1523" i="32" s="1"/>
  <c r="V1713" i="32" a="1"/>
  <c r="V1713" i="32" s="1"/>
  <c r="L1713" i="32" s="1"/>
  <c r="R1209" i="32" a="1"/>
  <c r="R1209" i="32" s="1"/>
  <c r="D1209" i="32" s="1"/>
  <c r="R1535" i="32" a="1"/>
  <c r="R1535" i="32" s="1"/>
  <c r="D1535" i="32" s="1"/>
  <c r="S1235" i="32" a="1"/>
  <c r="S1235" i="32" s="1"/>
  <c r="E1235" i="32" s="1"/>
  <c r="R1629" i="32" a="1"/>
  <c r="R1629" i="32" s="1"/>
  <c r="D1629" i="32" s="1"/>
  <c r="R1203" i="32" a="1"/>
  <c r="R1203" i="32" s="1"/>
  <c r="D1203" i="32" s="1"/>
  <c r="R1269" i="32" a="1"/>
  <c r="R1269" i="32" s="1"/>
  <c r="D1269" i="32" s="1"/>
  <c r="R1653" i="32" a="1"/>
  <c r="R1653" i="32" s="1"/>
  <c r="D1653" i="32" s="1"/>
  <c r="T1383" i="32" a="1"/>
  <c r="T1383" i="32" s="1"/>
  <c r="R1735" i="32" a="1"/>
  <c r="R1735" i="32" s="1"/>
  <c r="D1735" i="32" s="1"/>
  <c r="R1533" i="32" a="1"/>
  <c r="R1533" i="32" s="1"/>
  <c r="D1533" i="32" s="1"/>
  <c r="S677" i="32" a="1"/>
  <c r="S677" i="32" s="1"/>
  <c r="E677" i="32" s="1"/>
  <c r="T1443" i="32" a="1"/>
  <c r="T1443" i="32" s="1"/>
  <c r="R625" i="32" a="1"/>
  <c r="R625" i="32" s="1"/>
  <c r="D625" i="32" s="1"/>
  <c r="S823" i="32" a="1"/>
  <c r="S823" i="32" s="1"/>
  <c r="E823" i="32" s="1"/>
  <c r="R821" i="32" a="1"/>
  <c r="R821" i="32" s="1"/>
  <c r="D821" i="32" s="1"/>
  <c r="R1625" i="32" a="1"/>
  <c r="R1625" i="32" s="1"/>
  <c r="D1625" i="32" s="1"/>
  <c r="T1335" i="32" a="1"/>
  <c r="T1335" i="32" s="1"/>
  <c r="V1497" i="32" a="1"/>
  <c r="V1497" i="32" s="1"/>
  <c r="L1497" i="32" s="1"/>
  <c r="V1569" i="32" a="1"/>
  <c r="V1569" i="32" s="1"/>
  <c r="L1569" i="32" s="1"/>
  <c r="S825" i="32" a="1"/>
  <c r="S825" i="32" s="1"/>
  <c r="E825" i="32" s="1"/>
  <c r="R1457" i="32" a="1"/>
  <c r="R1457" i="32" s="1"/>
  <c r="D1457" i="32" s="1"/>
  <c r="S1487" i="32" a="1"/>
  <c r="S1487" i="32" s="1"/>
  <c r="E1487" i="32" s="1"/>
  <c r="T1207" i="32" a="1"/>
  <c r="T1207" i="32" s="1"/>
  <c r="S679" i="32" a="1"/>
  <c r="S679" i="32" s="1"/>
  <c r="E679" i="32" s="1"/>
  <c r="V1697" i="32" a="1"/>
  <c r="V1697" i="32" s="1"/>
  <c r="L1697" i="32" s="1"/>
  <c r="S851" i="32" a="1"/>
  <c r="S851" i="32" s="1"/>
  <c r="E851" i="32" s="1"/>
  <c r="R1237" i="32" a="1"/>
  <c r="R1237" i="32" s="1"/>
  <c r="D1237" i="32" s="1"/>
  <c r="T1429" i="32" a="1"/>
  <c r="T1429" i="32" s="1"/>
  <c r="R1529" i="32" a="1"/>
  <c r="R1529" i="32" s="1"/>
  <c r="D1529" i="32" s="1"/>
  <c r="R1611" i="32" a="1"/>
  <c r="R1611" i="32" s="1"/>
  <c r="D1611" i="32" s="1"/>
  <c r="T1671" i="32" a="1"/>
  <c r="T1671" i="32" s="1"/>
  <c r="T1513" i="32" a="1"/>
  <c r="T1513" i="32" s="1"/>
  <c r="S1127" i="32" a="1"/>
  <c r="S1127" i="32" s="1"/>
  <c r="E1127" i="32" s="1"/>
  <c r="R1659" i="32" a="1"/>
  <c r="R1659" i="32" s="1"/>
  <c r="D1659" i="32" s="1"/>
  <c r="R1437" i="32" a="1"/>
  <c r="R1437" i="32" s="1"/>
  <c r="D1437" i="32" s="1"/>
  <c r="R1547" i="32" a="1"/>
  <c r="R1547" i="32" s="1"/>
  <c r="D1547" i="32" s="1"/>
  <c r="S1765" i="32" a="1"/>
  <c r="S1765" i="32" s="1"/>
  <c r="E1765" i="32" s="1"/>
  <c r="V1471" i="32" a="1"/>
  <c r="V1471" i="32" s="1"/>
  <c r="L1471" i="32" s="1"/>
  <c r="T1431" i="32" a="1"/>
  <c r="T1431" i="32" s="1"/>
  <c r="R1419" i="32" a="1"/>
  <c r="R1419" i="32" s="1"/>
  <c r="D1419" i="32" s="1"/>
  <c r="R1347" i="32" a="1"/>
  <c r="R1347" i="32" s="1"/>
  <c r="D1347" i="32" s="1"/>
  <c r="R689" i="32" a="1"/>
  <c r="R689" i="32" s="1"/>
  <c r="D689" i="32" s="1"/>
  <c r="S689" i="32" a="1"/>
  <c r="S689" i="32" s="1"/>
  <c r="E689" i="32" s="1"/>
  <c r="V689" i="32" a="1"/>
  <c r="V689" i="32" s="1"/>
  <c r="L689" i="32" s="1"/>
  <c r="T689" i="32" a="1"/>
  <c r="T689" i="32" s="1"/>
  <c r="Q691" i="32"/>
  <c r="P693" i="32"/>
  <c r="F2873" i="27"/>
  <c r="H158" i="27"/>
  <c r="H157" i="27"/>
  <c r="H381" i="27"/>
  <c r="H382" i="27"/>
  <c r="J498" i="27"/>
  <c r="A498" i="27" s="1"/>
  <c r="P72" i="24"/>
  <c r="Q72" i="24"/>
  <c r="S72" i="24"/>
  <c r="R72" i="24"/>
  <c r="K2034" i="27"/>
  <c r="F2034" i="27"/>
  <c r="P2034" i="27"/>
  <c r="K1446" i="27"/>
  <c r="N2034" i="27"/>
  <c r="K1445" i="27"/>
  <c r="O2034" i="27"/>
  <c r="I2034" i="27"/>
  <c r="E2034" i="27"/>
  <c r="G2034" i="27"/>
  <c r="I43" i="16" a="1"/>
  <c r="I43" i="16" s="1"/>
  <c r="H44" i="16" a="1"/>
  <c r="H44" i="16" s="1"/>
  <c r="C499" i="27"/>
  <c r="B500" i="27"/>
  <c r="U653" i="32"/>
  <c r="H725" i="27"/>
  <c r="J177" i="16" a="1"/>
  <c r="J177" i="16" s="1"/>
  <c r="I178" i="16" a="1"/>
  <c r="I178" i="16" s="1"/>
  <c r="AG31" i="31"/>
  <c r="F2473" i="27"/>
  <c r="F2474" i="27" s="1"/>
  <c r="F2475" i="27" s="1"/>
  <c r="F2476" i="27" s="1"/>
  <c r="F2477" i="27" s="1"/>
  <c r="F2472" i="27"/>
  <c r="AI31" i="30"/>
  <c r="Q10" i="29"/>
  <c r="O10" i="29"/>
  <c r="P11" i="29" a="1"/>
  <c r="P11" i="29" s="1"/>
  <c r="J499" i="27" a="1"/>
  <c r="X27" i="31"/>
  <c r="T29" i="30"/>
  <c r="D33" i="27"/>
  <c r="K499" i="27"/>
  <c r="A40" i="32"/>
  <c r="M2302" i="27"/>
  <c r="J2872" i="27"/>
  <c r="I2872" i="27"/>
  <c r="I2302" i="27"/>
  <c r="A651" i="32"/>
  <c r="I499" i="27"/>
  <c r="BC31" i="34"/>
  <c r="P2302" i="27"/>
  <c r="J724" i="27"/>
  <c r="F499" i="27"/>
  <c r="L2302" i="27"/>
  <c r="T27" i="31"/>
  <c r="G40" i="32"/>
  <c r="K724" i="27"/>
  <c r="M499" i="27"/>
  <c r="N158" i="27"/>
  <c r="L29" i="30"/>
  <c r="P27" i="31"/>
  <c r="N2302" i="27"/>
  <c r="P29" i="30"/>
  <c r="BD31" i="34"/>
  <c r="L499" i="27"/>
  <c r="M382" i="27"/>
  <c r="K2872" i="27"/>
  <c r="K2873" i="27"/>
  <c r="Q499" i="27"/>
  <c r="K723" i="27"/>
  <c r="D498" i="27"/>
  <c r="D2302" i="27"/>
  <c r="F2302" i="27"/>
  <c r="G651" i="32"/>
  <c r="G346" i="32"/>
  <c r="L27" i="31"/>
  <c r="V499" i="27"/>
  <c r="U499" i="27"/>
  <c r="G39" i="33"/>
  <c r="N499" i="27"/>
  <c r="O499" i="27"/>
  <c r="BD39" i="33"/>
  <c r="X29" i="30"/>
  <c r="G499" i="27"/>
  <c r="A346" i="32"/>
  <c r="R499" i="27"/>
  <c r="K2302" i="27"/>
  <c r="T499" i="27"/>
  <c r="J2302" i="27"/>
  <c r="E499" i="27"/>
  <c r="P499" i="27"/>
  <c r="J723" i="27"/>
  <c r="O2302" i="27"/>
  <c r="S499" i="27"/>
  <c r="S855" i="32" l="1" a="1"/>
  <c r="S855" i="32" s="1"/>
  <c r="E855" i="32" s="1"/>
  <c r="R855" i="32" a="1"/>
  <c r="R855" i="32" s="1"/>
  <c r="D855" i="32" s="1"/>
  <c r="R126" i="24"/>
  <c r="S126" i="24"/>
  <c r="P126" i="24"/>
  <c r="Q126" i="24"/>
  <c r="V344" i="32" a="1"/>
  <c r="V344" i="32" s="1"/>
  <c r="L344" i="32" s="1"/>
  <c r="R344" i="32" a="1"/>
  <c r="R344" i="32" s="1"/>
  <c r="D344" i="32" s="1"/>
  <c r="S344" i="32" a="1"/>
  <c r="S344" i="32" s="1"/>
  <c r="E344" i="32" s="1"/>
  <c r="T344" i="32" a="1"/>
  <c r="T344" i="32" s="1"/>
  <c r="M1051" i="27" s="1"/>
  <c r="A1051" i="27" s="1"/>
  <c r="P348" i="32"/>
  <c r="Q346" i="32"/>
  <c r="T653" i="32" a="1"/>
  <c r="T653" i="32" s="1"/>
  <c r="V653" i="32" a="1"/>
  <c r="V653" i="32" s="1"/>
  <c r="L653" i="32" s="1"/>
  <c r="R653" i="32" a="1"/>
  <c r="R653" i="32" s="1"/>
  <c r="D653" i="32" s="1"/>
  <c r="E1052" i="27"/>
  <c r="I1052" i="27"/>
  <c r="K1052" i="27"/>
  <c r="J1052" i="27"/>
  <c r="O1052" i="27"/>
  <c r="N1052" i="27"/>
  <c r="L1052" i="27"/>
  <c r="K902" i="27"/>
  <c r="G1052" i="27"/>
  <c r="E179" i="24"/>
  <c r="U350" i="32"/>
  <c r="BA43" i="33"/>
  <c r="T855" i="32" a="1"/>
  <c r="T855" i="32" s="1"/>
  <c r="T426" i="32" a="1"/>
  <c r="T426" i="32" s="1"/>
  <c r="S426" i="32" a="1"/>
  <c r="S426" i="32" s="1"/>
  <c r="E426" i="32" s="1"/>
  <c r="V426" i="32" a="1"/>
  <c r="V426" i="32" s="1"/>
  <c r="L426" i="32" s="1"/>
  <c r="R426" i="32" a="1"/>
  <c r="R426" i="32" s="1"/>
  <c r="D426" i="32" s="1"/>
  <c r="P430" i="32"/>
  <c r="Q428" i="32"/>
  <c r="A2302" i="27"/>
  <c r="K898" i="27"/>
  <c r="K899" i="27"/>
  <c r="R807" i="32" a="1"/>
  <c r="R807" i="32" s="1"/>
  <c r="D807" i="32" s="1"/>
  <c r="S807" i="32" a="1"/>
  <c r="S807" i="32" s="1"/>
  <c r="E807" i="32" s="1"/>
  <c r="V807" i="32" a="1"/>
  <c r="V807" i="32" s="1"/>
  <c r="L807" i="32" s="1"/>
  <c r="T807" i="32" a="1"/>
  <c r="T807" i="32" s="1"/>
  <c r="AY33" i="34"/>
  <c r="U44" i="32"/>
  <c r="B245" i="27"/>
  <c r="C244" i="27"/>
  <c r="I244" i="27"/>
  <c r="S727" i="32" a="1"/>
  <c r="S727" i="32" s="1"/>
  <c r="E727" i="32" s="1"/>
  <c r="V727" i="32" a="1"/>
  <c r="V727" i="32" s="1"/>
  <c r="L727" i="32" s="1"/>
  <c r="R727" i="32" a="1"/>
  <c r="R727" i="32" s="1"/>
  <c r="D727" i="32" s="1"/>
  <c r="T727" i="32" a="1"/>
  <c r="T727" i="32" s="1"/>
  <c r="K896" i="27"/>
  <c r="K897" i="27"/>
  <c r="Q729" i="32"/>
  <c r="P731" i="32"/>
  <c r="B2304" i="27"/>
  <c r="Q809" i="32"/>
  <c r="P811" i="32"/>
  <c r="P859" i="32"/>
  <c r="Q857" i="32"/>
  <c r="V771" i="32" a="1"/>
  <c r="V771" i="32" s="1"/>
  <c r="L771" i="32" s="1"/>
  <c r="T771" i="32" a="1"/>
  <c r="T771" i="32" s="1"/>
  <c r="P775" i="32"/>
  <c r="Q773" i="32"/>
  <c r="P657" i="32"/>
  <c r="Q655" i="32"/>
  <c r="A2872" i="27"/>
  <c r="P695" i="32"/>
  <c r="Q693" i="32"/>
  <c r="T691" i="32" a="1"/>
  <c r="T691" i="32" s="1"/>
  <c r="S691" i="32" a="1"/>
  <c r="S691" i="32" s="1"/>
  <c r="E691" i="32" s="1"/>
  <c r="R691" i="32" a="1"/>
  <c r="R691" i="32" s="1"/>
  <c r="D691" i="32" s="1"/>
  <c r="V691" i="32" a="1"/>
  <c r="V691" i="32" s="1"/>
  <c r="L691" i="32" s="1"/>
  <c r="M2024" i="27"/>
  <c r="A2024" i="27" s="1"/>
  <c r="F50" i="16" a="1"/>
  <c r="F50" i="16" s="1"/>
  <c r="F2874" i="27"/>
  <c r="F2875" i="27"/>
  <c r="H383" i="27"/>
  <c r="H159" i="27"/>
  <c r="O2035" i="27"/>
  <c r="M2035" i="27"/>
  <c r="A2035" i="27" s="1"/>
  <c r="K1447" i="27"/>
  <c r="N2035" i="27"/>
  <c r="G2035" i="27"/>
  <c r="K2035" i="27"/>
  <c r="E2035" i="27"/>
  <c r="P2035" i="27"/>
  <c r="I2035" i="27"/>
  <c r="F2035" i="27"/>
  <c r="K1448" i="27"/>
  <c r="J499" i="27"/>
  <c r="A499" i="27" s="1"/>
  <c r="Q74" i="24"/>
  <c r="S74" i="24"/>
  <c r="P74" i="24"/>
  <c r="R74" i="24"/>
  <c r="F2479" i="27"/>
  <c r="F2480" i="27" s="1"/>
  <c r="F2481" i="27" s="1"/>
  <c r="F2482" i="27" s="1"/>
  <c r="F2483" i="27" s="1"/>
  <c r="F2478" i="27"/>
  <c r="H726" i="27"/>
  <c r="I44" i="16" a="1"/>
  <c r="I44" i="16" s="1"/>
  <c r="H45" i="16" a="1"/>
  <c r="H45" i="16" s="1"/>
  <c r="AI33" i="30"/>
  <c r="AG33" i="31"/>
  <c r="B501" i="27"/>
  <c r="C500" i="27"/>
  <c r="U655" i="32"/>
  <c r="J178" i="16" a="1"/>
  <c r="J178" i="16" s="1"/>
  <c r="I179" i="16" a="1"/>
  <c r="I179" i="16" s="1"/>
  <c r="Q11" i="29"/>
  <c r="O11" i="29"/>
  <c r="P12" i="29" a="1"/>
  <c r="P12" i="29" s="1"/>
  <c r="Q500" i="27"/>
  <c r="S500" i="27"/>
  <c r="X29" i="31"/>
  <c r="G759" i="27"/>
  <c r="L2303" i="27"/>
  <c r="R500" i="27"/>
  <c r="F500" i="27"/>
  <c r="M500" i="27"/>
  <c r="H2873" i="27"/>
  <c r="M243" i="27" a="1"/>
  <c r="M383" i="27"/>
  <c r="J158" i="27"/>
  <c r="I2875" i="27"/>
  <c r="K725" i="27"/>
  <c r="G41" i="33"/>
  <c r="F2303" i="27"/>
  <c r="L243" i="27"/>
  <c r="L500" i="27"/>
  <c r="J2874" i="27"/>
  <c r="J725" i="27"/>
  <c r="D243" i="27"/>
  <c r="K158" i="27"/>
  <c r="V500" i="27"/>
  <c r="G243" i="27"/>
  <c r="P243" i="27"/>
  <c r="U500" i="27"/>
  <c r="I2303" i="27"/>
  <c r="K500" i="27"/>
  <c r="O2303" i="27"/>
  <c r="G653" i="32"/>
  <c r="P31" i="30"/>
  <c r="I158" i="27"/>
  <c r="G42" i="32"/>
  <c r="F243" i="27"/>
  <c r="J2303" i="27"/>
  <c r="M2303" i="27"/>
  <c r="J243" i="27"/>
  <c r="K382" i="27"/>
  <c r="O243" i="27"/>
  <c r="R243" i="27"/>
  <c r="O500" i="27"/>
  <c r="I382" i="27"/>
  <c r="BD32" i="34"/>
  <c r="J2873" i="27"/>
  <c r="N159" i="27"/>
  <c r="K2303" i="27"/>
  <c r="E500" i="27"/>
  <c r="A42" i="32"/>
  <c r="BC32" i="34"/>
  <c r="G348" i="32"/>
  <c r="D2303" i="27"/>
  <c r="L29" i="31"/>
  <c r="G500" i="27"/>
  <c r="A653" i="32"/>
  <c r="X31" i="30"/>
  <c r="J500" i="27" a="1"/>
  <c r="T500" i="27"/>
  <c r="BD41" i="33"/>
  <c r="E243" i="27"/>
  <c r="J382" i="27"/>
  <c r="N2303" i="27"/>
  <c r="M158" i="27"/>
  <c r="L31" i="30"/>
  <c r="D499" i="27"/>
  <c r="N382" i="27"/>
  <c r="I2873" i="27"/>
  <c r="T31" i="30"/>
  <c r="P500" i="27"/>
  <c r="A348" i="32"/>
  <c r="T29" i="31"/>
  <c r="N243" i="27"/>
  <c r="I500" i="27"/>
  <c r="P2303" i="27"/>
  <c r="N500" i="27"/>
  <c r="P29" i="31"/>
  <c r="S128" i="24" l="1"/>
  <c r="R128" i="24"/>
  <c r="P128" i="24"/>
  <c r="Q128" i="24"/>
  <c r="V346" i="32" a="1"/>
  <c r="V346" i="32" s="1"/>
  <c r="L346" i="32" s="1"/>
  <c r="S346" i="32" a="1"/>
  <c r="S346" i="32" s="1"/>
  <c r="E346" i="32" s="1"/>
  <c r="R346" i="32" a="1"/>
  <c r="R346" i="32" s="1"/>
  <c r="D346" i="32" s="1"/>
  <c r="T346" i="32" a="1"/>
  <c r="T346" i="32" s="1"/>
  <c r="M1052" i="27" s="1"/>
  <c r="A1052" i="27" s="1"/>
  <c r="P350" i="32"/>
  <c r="Q348" i="32"/>
  <c r="E181" i="24"/>
  <c r="N1053" i="27"/>
  <c r="G1053" i="27"/>
  <c r="K1053" i="27"/>
  <c r="E1053" i="27"/>
  <c r="J1053" i="27"/>
  <c r="I1053" i="27"/>
  <c r="L1053" i="27"/>
  <c r="O1053" i="27"/>
  <c r="K903" i="27"/>
  <c r="U352" i="32"/>
  <c r="BA45" i="33"/>
  <c r="T428" i="32" a="1"/>
  <c r="T428" i="32" s="1"/>
  <c r="S428" i="32" a="1"/>
  <c r="S428" i="32" s="1"/>
  <c r="E428" i="32" s="1"/>
  <c r="V428" i="32" a="1"/>
  <c r="V428" i="32" s="1"/>
  <c r="L428" i="32" s="1"/>
  <c r="R428" i="32" a="1"/>
  <c r="R428" i="32" s="1"/>
  <c r="D428" i="32" s="1"/>
  <c r="P432" i="32"/>
  <c r="Q430" i="32"/>
  <c r="M243" i="27"/>
  <c r="A243" i="27" s="1"/>
  <c r="A2303" i="27"/>
  <c r="A158" i="27"/>
  <c r="T158" i="27" s="1"/>
  <c r="A382" i="27"/>
  <c r="Q731" i="32"/>
  <c r="P733" i="32"/>
  <c r="B2305" i="27"/>
  <c r="T729" i="32" a="1"/>
  <c r="T729" i="32" s="1"/>
  <c r="R729" i="32" a="1"/>
  <c r="R729" i="32" s="1"/>
  <c r="D729" i="32" s="1"/>
  <c r="S729" i="32" a="1"/>
  <c r="S729" i="32" s="1"/>
  <c r="E729" i="32" s="1"/>
  <c r="V729" i="32" a="1"/>
  <c r="V729" i="32" s="1"/>
  <c r="L729" i="32" s="1"/>
  <c r="U46" i="32"/>
  <c r="Q811" i="32"/>
  <c r="P813" i="32"/>
  <c r="AY34" i="34"/>
  <c r="V809" i="32" a="1"/>
  <c r="V809" i="32" s="1"/>
  <c r="L809" i="32" s="1"/>
  <c r="T809" i="32" a="1"/>
  <c r="T809" i="32" s="1"/>
  <c r="S809" i="32" a="1"/>
  <c r="S809" i="32" s="1"/>
  <c r="E809" i="32" s="1"/>
  <c r="R809" i="32" a="1"/>
  <c r="R809" i="32" s="1"/>
  <c r="D809" i="32" s="1"/>
  <c r="B246" i="27"/>
  <c r="C245" i="27"/>
  <c r="I245" i="27"/>
  <c r="V857" i="32" a="1"/>
  <c r="V857" i="32" s="1"/>
  <c r="L857" i="32" s="1"/>
  <c r="R857" i="32" a="1"/>
  <c r="R857" i="32" s="1"/>
  <c r="D857" i="32" s="1"/>
  <c r="T857" i="32" a="1"/>
  <c r="T857" i="32" s="1"/>
  <c r="S857" i="32" a="1"/>
  <c r="S857" i="32" s="1"/>
  <c r="E857" i="32" s="1"/>
  <c r="P861" i="32"/>
  <c r="Q859" i="32"/>
  <c r="S655" i="32" a="1"/>
  <c r="S655" i="32" s="1"/>
  <c r="E655" i="32" s="1"/>
  <c r="T655" i="32" a="1"/>
  <c r="T655" i="32" s="1"/>
  <c r="R655" i="32" a="1"/>
  <c r="R655" i="32" s="1"/>
  <c r="D655" i="32" s="1"/>
  <c r="V655" i="32" a="1"/>
  <c r="V655" i="32" s="1"/>
  <c r="L655" i="32" s="1"/>
  <c r="Q657" i="32"/>
  <c r="P659" i="32"/>
  <c r="Q659" i="32" s="1"/>
  <c r="S773" i="32" a="1"/>
  <c r="S773" i="32" s="1"/>
  <c r="E773" i="32" s="1"/>
  <c r="T773" i="32" a="1"/>
  <c r="T773" i="32" s="1"/>
  <c r="R773" i="32" a="1"/>
  <c r="R773" i="32" s="1"/>
  <c r="D773" i="32" s="1"/>
  <c r="V773" i="32" a="1"/>
  <c r="V773" i="32" s="1"/>
  <c r="L773" i="32" s="1"/>
  <c r="Q775" i="32"/>
  <c r="P777" i="32"/>
  <c r="A2873" i="27"/>
  <c r="F51" i="16" a="1"/>
  <c r="F51" i="16" s="1"/>
  <c r="V693" i="32" a="1"/>
  <c r="V693" i="32" s="1"/>
  <c r="L693" i="32" s="1"/>
  <c r="S693" i="32" a="1"/>
  <c r="S693" i="32" s="1"/>
  <c r="E693" i="32" s="1"/>
  <c r="R693" i="32" a="1"/>
  <c r="R693" i="32" s="1"/>
  <c r="D693" i="32" s="1"/>
  <c r="T693" i="32" a="1"/>
  <c r="T693" i="32" s="1"/>
  <c r="Q695" i="32"/>
  <c r="P697" i="32"/>
  <c r="F2876" i="27"/>
  <c r="H160" i="27"/>
  <c r="H384" i="27"/>
  <c r="P76" i="24"/>
  <c r="S76" i="24"/>
  <c r="R76" i="24"/>
  <c r="G2036" i="27"/>
  <c r="O2036" i="27"/>
  <c r="K2036" i="27"/>
  <c r="K1450" i="27"/>
  <c r="P2036" i="27"/>
  <c r="F2036" i="27"/>
  <c r="K1449" i="27"/>
  <c r="N2036" i="27"/>
  <c r="M2036" i="27"/>
  <c r="A2036" i="27" s="1"/>
  <c r="E2036" i="27"/>
  <c r="I2036" i="27"/>
  <c r="Q76" i="24"/>
  <c r="J500" i="27"/>
  <c r="A500" i="27" s="1"/>
  <c r="I45" i="16" a="1"/>
  <c r="I45" i="16" s="1"/>
  <c r="H46" i="16" a="1"/>
  <c r="H46" i="16" s="1"/>
  <c r="J179" i="16" a="1"/>
  <c r="J179" i="16" s="1"/>
  <c r="I180" i="16" a="1"/>
  <c r="I180" i="16" s="1"/>
  <c r="Q12" i="29"/>
  <c r="O12" i="29"/>
  <c r="P13" i="29" a="1"/>
  <c r="P13" i="29" s="1"/>
  <c r="AI35" i="30"/>
  <c r="U657" i="32"/>
  <c r="B502" i="27"/>
  <c r="C501" i="27"/>
  <c r="AG35" i="31"/>
  <c r="F2484" i="27"/>
  <c r="F2485" i="27"/>
  <c r="F2486" i="27" s="1"/>
  <c r="F2487" i="27" s="1"/>
  <c r="F2488" i="27" s="1"/>
  <c r="F2489" i="27" s="1"/>
  <c r="H727" i="27"/>
  <c r="L501" i="27"/>
  <c r="P501" i="27"/>
  <c r="E501" i="27"/>
  <c r="G655" i="32"/>
  <c r="G44" i="32"/>
  <c r="H2875" i="27"/>
  <c r="U501" i="27"/>
  <c r="D500" i="27"/>
  <c r="BD43" i="33"/>
  <c r="I501" i="27"/>
  <c r="A44" i="32"/>
  <c r="L244" i="27"/>
  <c r="M501" i="27"/>
  <c r="J244" i="27"/>
  <c r="T501" i="27"/>
  <c r="I2874" i="27"/>
  <c r="F244" i="27"/>
  <c r="J159" i="27"/>
  <c r="J2876" i="27"/>
  <c r="I2304" i="27"/>
  <c r="M244" i="27" a="1"/>
  <c r="K501" i="27"/>
  <c r="E244" i="27"/>
  <c r="N244" i="27"/>
  <c r="O244" i="27"/>
  <c r="N383" i="27"/>
  <c r="L31" i="31"/>
  <c r="K383" i="27"/>
  <c r="K726" i="27"/>
  <c r="M2304" i="27"/>
  <c r="G43" i="33"/>
  <c r="X31" i="31"/>
  <c r="O2304" i="27"/>
  <c r="X33" i="30"/>
  <c r="G760" i="27"/>
  <c r="J2875" i="27"/>
  <c r="P33" i="30"/>
  <c r="V501" i="27"/>
  <c r="R244" i="27"/>
  <c r="H2874" i="27"/>
  <c r="G350" i="32"/>
  <c r="J2304" i="27"/>
  <c r="J726" i="27"/>
  <c r="N501" i="27"/>
  <c r="F2304" i="27"/>
  <c r="P2304" i="27"/>
  <c r="O501" i="27"/>
  <c r="N2304" i="27"/>
  <c r="T33" i="30"/>
  <c r="M159" i="27"/>
  <c r="T31" i="31"/>
  <c r="M384" i="27"/>
  <c r="Q501" i="27"/>
  <c r="BC33" i="34"/>
  <c r="BD33" i="34"/>
  <c r="F501" i="27"/>
  <c r="A655" i="32"/>
  <c r="I383" i="27"/>
  <c r="K159" i="27"/>
  <c r="K2304" i="27"/>
  <c r="K2875" i="27"/>
  <c r="J383" i="27"/>
  <c r="P244" i="27"/>
  <c r="S501" i="27"/>
  <c r="J501" i="27" a="1"/>
  <c r="G501" i="27"/>
  <c r="I159" i="27"/>
  <c r="D244" i="27"/>
  <c r="L33" i="30"/>
  <c r="A350" i="32"/>
  <c r="D2304" i="27"/>
  <c r="R501" i="27"/>
  <c r="L2304" i="27"/>
  <c r="P31" i="31"/>
  <c r="N160" i="27"/>
  <c r="G244" i="27"/>
  <c r="K2874" i="27"/>
  <c r="R130" i="24" l="1"/>
  <c r="Q130" i="24"/>
  <c r="S130" i="24"/>
  <c r="P130" i="24"/>
  <c r="V348" i="32" a="1"/>
  <c r="V348" i="32" s="1"/>
  <c r="L348" i="32" s="1"/>
  <c r="R348" i="32" a="1"/>
  <c r="R348" i="32" s="1"/>
  <c r="D348" i="32" s="1"/>
  <c r="S348" i="32" a="1"/>
  <c r="S348" i="32" s="1"/>
  <c r="E348" i="32" s="1"/>
  <c r="T348" i="32" a="1"/>
  <c r="T348" i="32" s="1"/>
  <c r="M1053" i="27" s="1"/>
  <c r="A1053" i="27" s="1"/>
  <c r="P352" i="32"/>
  <c r="Q350" i="32"/>
  <c r="E1054" i="27"/>
  <c r="L1054" i="27"/>
  <c r="O1054" i="27"/>
  <c r="G1054" i="27"/>
  <c r="J1054" i="27"/>
  <c r="K904" i="27"/>
  <c r="K1054" i="27"/>
  <c r="N1054" i="27"/>
  <c r="I1054" i="27"/>
  <c r="E183" i="24"/>
  <c r="BA47" i="33"/>
  <c r="U354" i="32"/>
  <c r="A2875" i="27"/>
  <c r="R430" i="32" a="1"/>
  <c r="R430" i="32" s="1"/>
  <c r="D430" i="32" s="1"/>
  <c r="T430" i="32" a="1"/>
  <c r="T430" i="32" s="1"/>
  <c r="S430" i="32" a="1"/>
  <c r="S430" i="32" s="1"/>
  <c r="E430" i="32" s="1"/>
  <c r="V430" i="32" a="1"/>
  <c r="V430" i="32" s="1"/>
  <c r="L430" i="32" s="1"/>
  <c r="P434" i="32"/>
  <c r="Q432" i="32"/>
  <c r="A2304" i="27"/>
  <c r="A159" i="27"/>
  <c r="T159" i="27" s="1"/>
  <c r="M244" i="27"/>
  <c r="A244" i="27" s="1"/>
  <c r="O1045" i="27"/>
  <c r="G1045" i="27"/>
  <c r="N1045" i="27"/>
  <c r="J1045" i="27"/>
  <c r="L1045" i="27"/>
  <c r="N1044" i="27"/>
  <c r="K1044" i="27"/>
  <c r="I1045" i="27"/>
  <c r="K1045" i="27"/>
  <c r="L1044" i="27"/>
  <c r="E1044" i="27"/>
  <c r="E1045" i="27"/>
  <c r="G1044" i="27"/>
  <c r="I1044" i="27"/>
  <c r="J1044" i="27"/>
  <c r="O1044" i="27"/>
  <c r="P735" i="32"/>
  <c r="Q733" i="32"/>
  <c r="AY35" i="34"/>
  <c r="T731" i="32" a="1"/>
  <c r="T731" i="32" s="1"/>
  <c r="V731" i="32" a="1"/>
  <c r="V731" i="32" s="1"/>
  <c r="L731" i="32" s="1"/>
  <c r="R731" i="32" a="1"/>
  <c r="R731" i="32" s="1"/>
  <c r="D731" i="32" s="1"/>
  <c r="S731" i="32" a="1"/>
  <c r="S731" i="32" s="1"/>
  <c r="E731" i="32" s="1"/>
  <c r="P815" i="32"/>
  <c r="Q813" i="32"/>
  <c r="V811" i="32" a="1"/>
  <c r="V811" i="32" s="1"/>
  <c r="L811" i="32" s="1"/>
  <c r="R811" i="32" a="1"/>
  <c r="R811" i="32" s="1"/>
  <c r="D811" i="32" s="1"/>
  <c r="S811" i="32" a="1"/>
  <c r="S811" i="32" s="1"/>
  <c r="E811" i="32" s="1"/>
  <c r="T811" i="32" a="1"/>
  <c r="T811" i="32" s="1"/>
  <c r="B247" i="27"/>
  <c r="I246" i="27"/>
  <c r="C246" i="27"/>
  <c r="U48" i="32"/>
  <c r="B2306" i="27"/>
  <c r="A2874" i="27"/>
  <c r="P863" i="32"/>
  <c r="Q861" i="32"/>
  <c r="T859" i="32" a="1"/>
  <c r="T859" i="32" s="1"/>
  <c r="S859" i="32" a="1"/>
  <c r="S859" i="32" s="1"/>
  <c r="E859" i="32" s="1"/>
  <c r="V859" i="32" a="1"/>
  <c r="V859" i="32" s="1"/>
  <c r="L859" i="32" s="1"/>
  <c r="R859" i="32" a="1"/>
  <c r="R859" i="32" s="1"/>
  <c r="D859" i="32" s="1"/>
  <c r="Q777" i="32"/>
  <c r="P779" i="32"/>
  <c r="Q779" i="32" s="1"/>
  <c r="T775" i="32" a="1"/>
  <c r="T775" i="32" s="1"/>
  <c r="S775" i="32" a="1"/>
  <c r="S775" i="32" s="1"/>
  <c r="E775" i="32" s="1"/>
  <c r="V775" i="32" a="1"/>
  <c r="V775" i="32" s="1"/>
  <c r="L775" i="32" s="1"/>
  <c r="R775" i="32" a="1"/>
  <c r="R775" i="32" s="1"/>
  <c r="D775" i="32" s="1"/>
  <c r="V659" i="32" a="1"/>
  <c r="V659" i="32" s="1"/>
  <c r="L659" i="32" s="1"/>
  <c r="R659" i="32" a="1"/>
  <c r="R659" i="32" s="1"/>
  <c r="D659" i="32" s="1"/>
  <c r="T659" i="32" a="1"/>
  <c r="T659" i="32" s="1"/>
  <c r="S659" i="32" a="1"/>
  <c r="S659" i="32" s="1"/>
  <c r="E659" i="32" s="1"/>
  <c r="S657" i="32" a="1"/>
  <c r="S657" i="32" s="1"/>
  <c r="E657" i="32" s="1"/>
  <c r="T657" i="32" a="1"/>
  <c r="T657" i="32" s="1"/>
  <c r="V657" i="32" a="1"/>
  <c r="V657" i="32" s="1"/>
  <c r="L657" i="32" s="1"/>
  <c r="R657" i="32" a="1"/>
  <c r="R657" i="32" s="1"/>
  <c r="D657" i="32" s="1"/>
  <c r="A383" i="27"/>
  <c r="Q697" i="32"/>
  <c r="P699" i="32"/>
  <c r="Q699" i="32" s="1"/>
  <c r="R695" i="32" a="1"/>
  <c r="R695" i="32" s="1"/>
  <c r="D695" i="32" s="1"/>
  <c r="T695" i="32" a="1"/>
  <c r="T695" i="32" s="1"/>
  <c r="S695" i="32" a="1"/>
  <c r="S695" i="32" s="1"/>
  <c r="E695" i="32" s="1"/>
  <c r="V695" i="32" a="1"/>
  <c r="V695" i="32" s="1"/>
  <c r="L695" i="32" s="1"/>
  <c r="F52" i="16" a="1"/>
  <c r="F52" i="16" s="1"/>
  <c r="F2877" i="27"/>
  <c r="H385" i="27"/>
  <c r="H161" i="27"/>
  <c r="P78" i="24"/>
  <c r="J501" i="27"/>
  <c r="A501" i="27" s="1"/>
  <c r="R78" i="24"/>
  <c r="S78" i="24"/>
  <c r="Q78" i="24"/>
  <c r="K1452" i="27"/>
  <c r="K1451" i="27"/>
  <c r="F2490" i="27"/>
  <c r="F2491" i="27"/>
  <c r="F2492" i="27" s="1"/>
  <c r="F2493" i="27" s="1"/>
  <c r="F2494" i="27" s="1"/>
  <c r="F2495" i="27" s="1"/>
  <c r="AI37" i="30"/>
  <c r="AG37" i="31"/>
  <c r="Q13" i="29"/>
  <c r="O13" i="29"/>
  <c r="P14" i="29" a="1"/>
  <c r="P14" i="29" s="1"/>
  <c r="U659" i="32"/>
  <c r="B503" i="27"/>
  <c r="C502" i="27"/>
  <c r="J180" i="16" a="1"/>
  <c r="J180" i="16" s="1"/>
  <c r="I181" i="16" a="1"/>
  <c r="I181" i="16" s="1"/>
  <c r="I46" i="16" a="1"/>
  <c r="I46" i="16" s="1"/>
  <c r="H47" i="16" a="1"/>
  <c r="H47" i="16" s="1"/>
  <c r="H728" i="27"/>
  <c r="P33" i="31"/>
  <c r="K727" i="27"/>
  <c r="X33" i="31"/>
  <c r="X35" i="30"/>
  <c r="T502" i="27"/>
  <c r="I502" i="27"/>
  <c r="G45" i="33"/>
  <c r="G761" i="27"/>
  <c r="P502" i="27"/>
  <c r="BD34" i="34"/>
  <c r="R245" i="27"/>
  <c r="T35" i="30"/>
  <c r="I384" i="27"/>
  <c r="L245" i="27"/>
  <c r="S502" i="27"/>
  <c r="J2305" i="27"/>
  <c r="I2876" i="27"/>
  <c r="J384" i="27"/>
  <c r="T33" i="31"/>
  <c r="P35" i="30"/>
  <c r="P2305" i="27"/>
  <c r="K502" i="27"/>
  <c r="A46" i="32"/>
  <c r="K384" i="27"/>
  <c r="F2305" i="27"/>
  <c r="N245" i="27"/>
  <c r="V502" i="27"/>
  <c r="L33" i="31"/>
  <c r="F502" i="27"/>
  <c r="O245" i="27"/>
  <c r="G657" i="32"/>
  <c r="L2305" i="27"/>
  <c r="K2876" i="27"/>
  <c r="BD45" i="33"/>
  <c r="G46" i="32"/>
  <c r="R502" i="27"/>
  <c r="A657" i="32"/>
  <c r="J245" i="27"/>
  <c r="G352" i="32"/>
  <c r="M2305" i="27"/>
  <c r="J160" i="27"/>
  <c r="U502" i="27"/>
  <c r="H2876" i="27"/>
  <c r="BC34" i="34"/>
  <c r="P245" i="27"/>
  <c r="O2305" i="27"/>
  <c r="Q502" i="27"/>
  <c r="K2305" i="27"/>
  <c r="L502" i="27"/>
  <c r="N161" i="27"/>
  <c r="F245" i="27"/>
  <c r="O502" i="27"/>
  <c r="K160" i="27"/>
  <c r="E502" i="27"/>
  <c r="N384" i="27"/>
  <c r="G245" i="27"/>
  <c r="L35" i="30"/>
  <c r="D245" i="27"/>
  <c r="J727" i="27"/>
  <c r="I160" i="27"/>
  <c r="M160" i="27"/>
  <c r="A352" i="32"/>
  <c r="N2305" i="27"/>
  <c r="M245" i="27" a="1"/>
  <c r="N502" i="27"/>
  <c r="E245" i="27"/>
  <c r="N385" i="27"/>
  <c r="H2877" i="27"/>
  <c r="M502" i="27"/>
  <c r="J502" i="27" a="1"/>
  <c r="I2305" i="27"/>
  <c r="D501" i="27"/>
  <c r="G502" i="27"/>
  <c r="D2305" i="27"/>
  <c r="Q132" i="24" l="1"/>
  <c r="R132" i="24"/>
  <c r="S132" i="24"/>
  <c r="P132" i="24"/>
  <c r="S350" i="32" a="1"/>
  <c r="S350" i="32" s="1"/>
  <c r="E350" i="32" s="1"/>
  <c r="T350" i="32" a="1"/>
  <c r="T350" i="32" s="1"/>
  <c r="M1054" i="27" s="1"/>
  <c r="A1054" i="27" s="1"/>
  <c r="R350" i="32" a="1"/>
  <c r="R350" i="32" s="1"/>
  <c r="D350" i="32" s="1"/>
  <c r="V350" i="32" a="1"/>
  <c r="V350" i="32" s="1"/>
  <c r="L350" i="32" s="1"/>
  <c r="P354" i="32"/>
  <c r="Q354" i="32" s="1"/>
  <c r="Q352" i="32"/>
  <c r="E185" i="24"/>
  <c r="G1055" i="27"/>
  <c r="K905" i="27"/>
  <c r="O1055" i="27"/>
  <c r="N1055" i="27"/>
  <c r="J1055" i="27"/>
  <c r="I1055" i="27"/>
  <c r="L1055" i="27"/>
  <c r="E1055" i="27"/>
  <c r="K1055" i="27"/>
  <c r="U356" i="32"/>
  <c r="BA49" i="33"/>
  <c r="A160" i="27"/>
  <c r="T160" i="27" s="1"/>
  <c r="V432" i="32" a="1"/>
  <c r="V432" i="32" s="1"/>
  <c r="L432" i="32" s="1"/>
  <c r="S432" i="32" a="1"/>
  <c r="S432" i="32" s="1"/>
  <c r="E432" i="32" s="1"/>
  <c r="T432" i="32" a="1"/>
  <c r="T432" i="32" s="1"/>
  <c r="R432" i="32" a="1"/>
  <c r="R432" i="32" s="1"/>
  <c r="D432" i="32" s="1"/>
  <c r="P436" i="32"/>
  <c r="Q434" i="32"/>
  <c r="A2305" i="27"/>
  <c r="M245" i="27"/>
  <c r="A245" i="27" s="1"/>
  <c r="B2307" i="27"/>
  <c r="I1046" i="27"/>
  <c r="G1046" i="27"/>
  <c r="O1046" i="27"/>
  <c r="L1046" i="27"/>
  <c r="J1046" i="27"/>
  <c r="N1046" i="27"/>
  <c r="E1046" i="27"/>
  <c r="K1046" i="27"/>
  <c r="J1047" i="27"/>
  <c r="E1047" i="27"/>
  <c r="O1047" i="27"/>
  <c r="G1047" i="27"/>
  <c r="I1047" i="27"/>
  <c r="K1047" i="27"/>
  <c r="L1047" i="27"/>
  <c r="N1047" i="27"/>
  <c r="U50" i="32"/>
  <c r="B248" i="27"/>
  <c r="C247" i="27"/>
  <c r="I247" i="27"/>
  <c r="AY36" i="34"/>
  <c r="T813" i="32" a="1"/>
  <c r="T813" i="32" s="1"/>
  <c r="R813" i="32" a="1"/>
  <c r="R813" i="32" s="1"/>
  <c r="D813" i="32" s="1"/>
  <c r="V813" i="32" a="1"/>
  <c r="V813" i="32" s="1"/>
  <c r="L813" i="32" s="1"/>
  <c r="S813" i="32" a="1"/>
  <c r="S813" i="32" s="1"/>
  <c r="E813" i="32" s="1"/>
  <c r="T733" i="32" a="1"/>
  <c r="T733" i="32" s="1"/>
  <c r="R733" i="32" a="1"/>
  <c r="R733" i="32" s="1"/>
  <c r="D733" i="32" s="1"/>
  <c r="S733" i="32" a="1"/>
  <c r="S733" i="32" s="1"/>
  <c r="E733" i="32" s="1"/>
  <c r="V733" i="32" a="1"/>
  <c r="V733" i="32" s="1"/>
  <c r="L733" i="32" s="1"/>
  <c r="P817" i="32"/>
  <c r="Q815" i="32"/>
  <c r="Q735" i="32"/>
  <c r="P737" i="32"/>
  <c r="V861" i="32" a="1"/>
  <c r="V861" i="32" s="1"/>
  <c r="L861" i="32" s="1"/>
  <c r="T861" i="32" a="1"/>
  <c r="T861" i="32" s="1"/>
  <c r="S861" i="32" a="1"/>
  <c r="S861" i="32" s="1"/>
  <c r="E861" i="32" s="1"/>
  <c r="R861" i="32" a="1"/>
  <c r="R861" i="32" s="1"/>
  <c r="D861" i="32" s="1"/>
  <c r="P865" i="32"/>
  <c r="Q863" i="32"/>
  <c r="R779" i="32" a="1"/>
  <c r="R779" i="32" s="1"/>
  <c r="D779" i="32" s="1"/>
  <c r="S779" i="32" a="1"/>
  <c r="S779" i="32" s="1"/>
  <c r="E779" i="32" s="1"/>
  <c r="T779" i="32" a="1"/>
  <c r="T779" i="32" s="1"/>
  <c r="V779" i="32" a="1"/>
  <c r="V779" i="32" s="1"/>
  <c r="L779" i="32" s="1"/>
  <c r="S777" i="32" a="1"/>
  <c r="S777" i="32" s="1"/>
  <c r="E777" i="32" s="1"/>
  <c r="R777" i="32" a="1"/>
  <c r="R777" i="32" s="1"/>
  <c r="D777" i="32" s="1"/>
  <c r="V777" i="32" a="1"/>
  <c r="V777" i="32" s="1"/>
  <c r="L777" i="32" s="1"/>
  <c r="T777" i="32" a="1"/>
  <c r="T777" i="32" s="1"/>
  <c r="A2876" i="27"/>
  <c r="A384" i="27"/>
  <c r="F53" i="16" a="1"/>
  <c r="F53" i="16" s="1"/>
  <c r="S699" i="32" a="1"/>
  <c r="S699" i="32" s="1"/>
  <c r="E699" i="32" s="1"/>
  <c r="T699" i="32" a="1"/>
  <c r="T699" i="32" s="1"/>
  <c r="V699" i="32" a="1"/>
  <c r="V699" i="32" s="1"/>
  <c r="L699" i="32" s="1"/>
  <c r="R699" i="32" a="1"/>
  <c r="R699" i="32" s="1"/>
  <c r="D699" i="32" s="1"/>
  <c r="R697" i="32" a="1"/>
  <c r="R697" i="32" s="1"/>
  <c r="D697" i="32" s="1"/>
  <c r="V697" i="32" a="1"/>
  <c r="V697" i="32" s="1"/>
  <c r="L697" i="32" s="1"/>
  <c r="S697" i="32" a="1"/>
  <c r="S697" i="32" s="1"/>
  <c r="E697" i="32" s="1"/>
  <c r="T697" i="32" a="1"/>
  <c r="T697" i="32" s="1"/>
  <c r="F2878" i="27"/>
  <c r="H162" i="27"/>
  <c r="H386" i="27"/>
  <c r="J502" i="27"/>
  <c r="A502" i="27" s="1"/>
  <c r="Q80" i="24"/>
  <c r="S80" i="24"/>
  <c r="K1453" i="27"/>
  <c r="K1454" i="27"/>
  <c r="R80" i="24"/>
  <c r="P80" i="24"/>
  <c r="H729" i="27"/>
  <c r="H730" i="27"/>
  <c r="I47" i="16" a="1"/>
  <c r="I47" i="16" s="1"/>
  <c r="H48" i="16" a="1"/>
  <c r="H48" i="16" s="1"/>
  <c r="U661" i="32"/>
  <c r="B504" i="27"/>
  <c r="C503" i="27"/>
  <c r="J181" i="16" a="1"/>
  <c r="J181" i="16" s="1"/>
  <c r="I182" i="16" a="1"/>
  <c r="I182" i="16" s="1"/>
  <c r="O14" i="29"/>
  <c r="Q14" i="29"/>
  <c r="P15" i="29" a="1"/>
  <c r="P15" i="29" s="1"/>
  <c r="F2497" i="27"/>
  <c r="F2498" i="27" s="1"/>
  <c r="F2499" i="27" s="1"/>
  <c r="F2500" i="27" s="1"/>
  <c r="F2501" i="27" s="1"/>
  <c r="F2496" i="27"/>
  <c r="T37" i="30"/>
  <c r="T503" i="27"/>
  <c r="P2306" i="27"/>
  <c r="S503" i="27"/>
  <c r="K2878" i="27"/>
  <c r="Q503" i="27"/>
  <c r="D246" i="27"/>
  <c r="X35" i="31"/>
  <c r="J161" i="27"/>
  <c r="A48" i="32"/>
  <c r="D502" i="27"/>
  <c r="I2306" i="27"/>
  <c r="G246" i="27"/>
  <c r="J246" i="27"/>
  <c r="G661" i="32"/>
  <c r="J503" i="27" a="1"/>
  <c r="BC35" i="34"/>
  <c r="M246" i="27" a="1"/>
  <c r="I385" i="27"/>
  <c r="J2877" i="27"/>
  <c r="L35" i="31"/>
  <c r="R246" i="27"/>
  <c r="L246" i="27"/>
  <c r="A354" i="32"/>
  <c r="K728" i="27"/>
  <c r="G47" i="33"/>
  <c r="K503" i="27"/>
  <c r="BD47" i="33"/>
  <c r="K385" i="27"/>
  <c r="J2306" i="27"/>
  <c r="G48" i="32"/>
  <c r="U503" i="27"/>
  <c r="P503" i="27"/>
  <c r="P35" i="31"/>
  <c r="P246" i="27"/>
  <c r="E503" i="27"/>
  <c r="G659" i="32"/>
  <c r="O246" i="27"/>
  <c r="T35" i="31"/>
  <c r="G503" i="27"/>
  <c r="BD35" i="34"/>
  <c r="P37" i="30"/>
  <c r="J385" i="27"/>
  <c r="R503" i="27"/>
  <c r="V503" i="27"/>
  <c r="K161" i="27"/>
  <c r="I2877" i="27"/>
  <c r="N2306" i="27"/>
  <c r="D2306" i="27"/>
  <c r="K2877" i="27"/>
  <c r="K2306" i="27"/>
  <c r="G762" i="27"/>
  <c r="X37" i="30"/>
  <c r="I503" i="27"/>
  <c r="I161" i="27"/>
  <c r="M2306" i="27"/>
  <c r="F2306" i="27"/>
  <c r="J728" i="27"/>
  <c r="N246" i="27"/>
  <c r="M503" i="27"/>
  <c r="O2306" i="27"/>
  <c r="L2306" i="27"/>
  <c r="L503" i="27"/>
  <c r="L37" i="30"/>
  <c r="F503" i="27"/>
  <c r="G354" i="32"/>
  <c r="A659" i="32"/>
  <c r="M161" i="27"/>
  <c r="N503" i="27"/>
  <c r="O503" i="27"/>
  <c r="E246" i="27"/>
  <c r="F246" i="27"/>
  <c r="M385" i="27"/>
  <c r="P134" i="24" l="1"/>
  <c r="S134" i="24"/>
  <c r="R134" i="24"/>
  <c r="Q134" i="24"/>
  <c r="T352" i="32" a="1"/>
  <c r="T352" i="32" s="1"/>
  <c r="M1055" i="27" s="1"/>
  <c r="A1055" i="27" s="1"/>
  <c r="S352" i="32" a="1"/>
  <c r="S352" i="32" s="1"/>
  <c r="E352" i="32" s="1"/>
  <c r="R352" i="32" a="1"/>
  <c r="R352" i="32" s="1"/>
  <c r="D352" i="32" s="1"/>
  <c r="V352" i="32" a="1"/>
  <c r="V352" i="32" s="1"/>
  <c r="L352" i="32" s="1"/>
  <c r="R354" i="32" a="1"/>
  <c r="R354" i="32" s="1"/>
  <c r="D354" i="32" s="1"/>
  <c r="V354" i="32" a="1"/>
  <c r="V354" i="32" s="1"/>
  <c r="L354" i="32" s="1"/>
  <c r="S354" i="32" a="1"/>
  <c r="S354" i="32" s="1"/>
  <c r="E354" i="32" s="1"/>
  <c r="T354" i="32" a="1"/>
  <c r="T354" i="32" s="1"/>
  <c r="K906" i="27"/>
  <c r="E187" i="24"/>
  <c r="BA51" i="33"/>
  <c r="U358" i="32"/>
  <c r="V434" i="32" a="1"/>
  <c r="V434" i="32" s="1"/>
  <c r="L434" i="32" s="1"/>
  <c r="T434" i="32" a="1"/>
  <c r="T434" i="32" s="1"/>
  <c r="S434" i="32" a="1"/>
  <c r="S434" i="32" s="1"/>
  <c r="E434" i="32" s="1"/>
  <c r="R434" i="32" a="1"/>
  <c r="R434" i="32" s="1"/>
  <c r="D434" i="32" s="1"/>
  <c r="P438" i="32"/>
  <c r="Q436" i="32"/>
  <c r="M246" i="27"/>
  <c r="A246" i="27" s="1"/>
  <c r="A2306" i="27"/>
  <c r="E1048" i="27"/>
  <c r="N1048" i="27"/>
  <c r="K1048" i="27"/>
  <c r="O1048" i="27"/>
  <c r="L1048" i="27"/>
  <c r="G1048" i="27"/>
  <c r="J1048" i="27"/>
  <c r="I1048" i="27"/>
  <c r="L1049" i="27"/>
  <c r="O1049" i="27"/>
  <c r="J1049" i="27"/>
  <c r="G1049" i="27"/>
  <c r="N1049" i="27"/>
  <c r="E1049" i="27"/>
  <c r="I1049" i="27"/>
  <c r="K1049" i="27"/>
  <c r="M1049" i="27"/>
  <c r="A1049" i="27" s="1"/>
  <c r="M1048" i="27"/>
  <c r="A1048" i="27" s="1"/>
  <c r="Q737" i="32"/>
  <c r="P739" i="32"/>
  <c r="Q739" i="32" s="1"/>
  <c r="T735" i="32" a="1"/>
  <c r="T735" i="32" s="1"/>
  <c r="R735" i="32" a="1"/>
  <c r="R735" i="32" s="1"/>
  <c r="D735" i="32" s="1"/>
  <c r="S735" i="32" a="1"/>
  <c r="S735" i="32" s="1"/>
  <c r="E735" i="32" s="1"/>
  <c r="V735" i="32" a="1"/>
  <c r="V735" i="32" s="1"/>
  <c r="L735" i="32" s="1"/>
  <c r="AY37" i="34"/>
  <c r="S815" i="32" a="1"/>
  <c r="S815" i="32" s="1"/>
  <c r="E815" i="32" s="1"/>
  <c r="R815" i="32" a="1"/>
  <c r="R815" i="32" s="1"/>
  <c r="D815" i="32" s="1"/>
  <c r="V815" i="32" a="1"/>
  <c r="V815" i="32" s="1"/>
  <c r="L815" i="32" s="1"/>
  <c r="T815" i="32" a="1"/>
  <c r="T815" i="32" s="1"/>
  <c r="Q817" i="32"/>
  <c r="P819" i="32"/>
  <c r="Q819" i="32" s="1"/>
  <c r="B249" i="27"/>
  <c r="I248" i="27"/>
  <c r="C248" i="27"/>
  <c r="U52" i="32"/>
  <c r="B2308" i="27"/>
  <c r="A2877" i="27"/>
  <c r="A161" i="27"/>
  <c r="T161" i="27" s="1"/>
  <c r="A385" i="27"/>
  <c r="R863" i="32" a="1"/>
  <c r="R863" i="32" s="1"/>
  <c r="D863" i="32" s="1"/>
  <c r="T863" i="32" a="1"/>
  <c r="T863" i="32" s="1"/>
  <c r="V863" i="32" a="1"/>
  <c r="V863" i="32" s="1"/>
  <c r="L863" i="32" s="1"/>
  <c r="S863" i="32" a="1"/>
  <c r="S863" i="32" s="1"/>
  <c r="E863" i="32" s="1"/>
  <c r="P867" i="32"/>
  <c r="Q865" i="32"/>
  <c r="F54" i="16" a="1"/>
  <c r="F54" i="16" s="1"/>
  <c r="F2879" i="27"/>
  <c r="H388" i="27"/>
  <c r="H387" i="27"/>
  <c r="H163" i="27"/>
  <c r="H164" i="27"/>
  <c r="P136" i="24"/>
  <c r="P82" i="24"/>
  <c r="Q136" i="24"/>
  <c r="R82" i="24"/>
  <c r="S136" i="24"/>
  <c r="S82" i="24"/>
  <c r="K1456" i="27"/>
  <c r="K1455" i="27"/>
  <c r="R136" i="24"/>
  <c r="Q82" i="24"/>
  <c r="J503" i="27"/>
  <c r="A503" i="27" s="1"/>
  <c r="B505" i="27"/>
  <c r="C504" i="27"/>
  <c r="H731" i="27"/>
  <c r="J182" i="16" a="1"/>
  <c r="J182" i="16" s="1"/>
  <c r="I183" i="16" a="1"/>
  <c r="I183" i="16" s="1"/>
  <c r="F2502" i="27"/>
  <c r="F2503" i="27"/>
  <c r="F2504" i="27" s="1"/>
  <c r="F2505" i="27" s="1"/>
  <c r="F2506" i="27" s="1"/>
  <c r="F2507" i="27" s="1"/>
  <c r="I48" i="16" a="1"/>
  <c r="I48" i="16" s="1"/>
  <c r="H49" i="16" a="1"/>
  <c r="H49" i="16" s="1"/>
  <c r="O15" i="29"/>
  <c r="Q15" i="29"/>
  <c r="P16" i="29" a="1"/>
  <c r="P16" i="29" s="1"/>
  <c r="U663" i="32"/>
  <c r="D503" i="27"/>
  <c r="BD36" i="34"/>
  <c r="I2879" i="27"/>
  <c r="N2307" i="27"/>
  <c r="G663" i="32"/>
  <c r="D247" i="27"/>
  <c r="K729" i="27"/>
  <c r="T504" i="27"/>
  <c r="L2307" i="27"/>
  <c r="R504" i="27"/>
  <c r="N247" i="27"/>
  <c r="L247" i="27"/>
  <c r="A50" i="32"/>
  <c r="S504" i="27"/>
  <c r="O2307" i="27"/>
  <c r="O504" i="27"/>
  <c r="J2878" i="27"/>
  <c r="I2307" i="27"/>
  <c r="G763" i="27"/>
  <c r="J247" i="27"/>
  <c r="BC36" i="34"/>
  <c r="J504" i="27" a="1"/>
  <c r="A356" i="32"/>
  <c r="M504" i="27"/>
  <c r="M247" i="27" a="1"/>
  <c r="R247" i="27"/>
  <c r="G356" i="32"/>
  <c r="E247" i="27"/>
  <c r="P2307" i="27"/>
  <c r="A661" i="32"/>
  <c r="D2307" i="27"/>
  <c r="V504" i="27"/>
  <c r="J729" i="27"/>
  <c r="F247" i="27"/>
  <c r="F504" i="27"/>
  <c r="H2878" i="27"/>
  <c r="N164" i="27"/>
  <c r="G50" i="32"/>
  <c r="G49" i="33"/>
  <c r="O247" i="27"/>
  <c r="BD49" i="33"/>
  <c r="G247" i="27"/>
  <c r="K504" i="27"/>
  <c r="I2878" i="27"/>
  <c r="L504" i="27"/>
  <c r="N504" i="27"/>
  <c r="P504" i="27"/>
  <c r="P247" i="27"/>
  <c r="E504" i="27"/>
  <c r="J2307" i="27"/>
  <c r="M2307" i="27"/>
  <c r="U504" i="27"/>
  <c r="K2307" i="27"/>
  <c r="I504" i="27"/>
  <c r="G504" i="27"/>
  <c r="K388" i="27"/>
  <c r="F2307" i="27"/>
  <c r="Q504" i="27"/>
  <c r="E189" i="24" l="1"/>
  <c r="U360" i="32"/>
  <c r="BA53" i="33"/>
  <c r="R436" i="32" a="1"/>
  <c r="R436" i="32" s="1"/>
  <c r="D436" i="32" s="1"/>
  <c r="S436" i="32" a="1"/>
  <c r="S436" i="32" s="1"/>
  <c r="E436" i="32" s="1"/>
  <c r="T436" i="32" a="1"/>
  <c r="T436" i="32" s="1"/>
  <c r="V436" i="32" a="1"/>
  <c r="V436" i="32" s="1"/>
  <c r="L436" i="32" s="1"/>
  <c r="P440" i="32"/>
  <c r="Q438" i="32"/>
  <c r="A2307" i="27"/>
  <c r="M247" i="27"/>
  <c r="A247" i="27" s="1"/>
  <c r="B250" i="27"/>
  <c r="I249" i="27"/>
  <c r="C249" i="27"/>
  <c r="AY38" i="34"/>
  <c r="B2309" i="27"/>
  <c r="T819" i="32" a="1"/>
  <c r="T819" i="32" s="1"/>
  <c r="S819" i="32" a="1"/>
  <c r="S819" i="32" s="1"/>
  <c r="E819" i="32" s="1"/>
  <c r="V819" i="32" a="1"/>
  <c r="V819" i="32" s="1"/>
  <c r="L819" i="32" s="1"/>
  <c r="R819" i="32" a="1"/>
  <c r="R819" i="32" s="1"/>
  <c r="D819" i="32" s="1"/>
  <c r="V817" i="32" a="1"/>
  <c r="V817" i="32" s="1"/>
  <c r="L817" i="32" s="1"/>
  <c r="T817" i="32" a="1"/>
  <c r="T817" i="32" s="1"/>
  <c r="R817" i="32" a="1"/>
  <c r="R817" i="32" s="1"/>
  <c r="D817" i="32" s="1"/>
  <c r="S817" i="32" a="1"/>
  <c r="S817" i="32" s="1"/>
  <c r="E817" i="32" s="1"/>
  <c r="V739" i="32" a="1"/>
  <c r="V739" i="32" s="1"/>
  <c r="L739" i="32" s="1"/>
  <c r="R739" i="32" a="1"/>
  <c r="R739" i="32" s="1"/>
  <c r="D739" i="32" s="1"/>
  <c r="T739" i="32" a="1"/>
  <c r="T739" i="32" s="1"/>
  <c r="S739" i="32" a="1"/>
  <c r="S739" i="32" s="1"/>
  <c r="E739" i="32" s="1"/>
  <c r="R737" i="32" a="1"/>
  <c r="R737" i="32" s="1"/>
  <c r="D737" i="32" s="1"/>
  <c r="S737" i="32" a="1"/>
  <c r="S737" i="32" s="1"/>
  <c r="E737" i="32" s="1"/>
  <c r="T737" i="32" a="1"/>
  <c r="T737" i="32" s="1"/>
  <c r="V737" i="32" a="1"/>
  <c r="V737" i="32" s="1"/>
  <c r="L737" i="32" s="1"/>
  <c r="U54" i="32"/>
  <c r="S865" i="32" a="1"/>
  <c r="S865" i="32" s="1"/>
  <c r="E865" i="32" s="1"/>
  <c r="T865" i="32" a="1"/>
  <c r="T865" i="32" s="1"/>
  <c r="V865" i="32" a="1"/>
  <c r="V865" i="32" s="1"/>
  <c r="L865" i="32" s="1"/>
  <c r="R865" i="32" a="1"/>
  <c r="R865" i="32" s="1"/>
  <c r="D865" i="32" s="1"/>
  <c r="P869" i="32"/>
  <c r="Q867" i="32"/>
  <c r="A2878" i="27"/>
  <c r="F55" i="16" a="1"/>
  <c r="F55" i="16" s="1"/>
  <c r="F2880" i="27"/>
  <c r="F2881" i="27"/>
  <c r="H165" i="27"/>
  <c r="H389" i="27"/>
  <c r="K1457" i="27"/>
  <c r="K1458" i="27"/>
  <c r="J504" i="27"/>
  <c r="A504" i="27" s="1"/>
  <c r="J2039" i="27"/>
  <c r="J2027" i="27"/>
  <c r="J2034" i="27"/>
  <c r="J2025" i="27"/>
  <c r="J2031" i="27"/>
  <c r="J2040" i="27"/>
  <c r="J2033" i="27"/>
  <c r="J2032" i="27"/>
  <c r="J2037" i="27"/>
  <c r="J2030" i="27"/>
  <c r="J2029" i="27"/>
  <c r="J2035" i="27"/>
  <c r="J2026" i="27"/>
  <c r="J2038" i="27"/>
  <c r="J2036" i="27"/>
  <c r="J2028" i="27"/>
  <c r="U665" i="32"/>
  <c r="B506" i="27"/>
  <c r="C505" i="27"/>
  <c r="F2508" i="27"/>
  <c r="F2509" i="27"/>
  <c r="F2510" i="27" s="1"/>
  <c r="F2511" i="27" s="1"/>
  <c r="F2512" i="27" s="1"/>
  <c r="F2513" i="27" s="1"/>
  <c r="Q16" i="29"/>
  <c r="O16" i="29"/>
  <c r="P17" i="29" a="1"/>
  <c r="P17" i="29" s="1"/>
  <c r="H732" i="27"/>
  <c r="I49" i="16" a="1"/>
  <c r="I49" i="16" s="1"/>
  <c r="H50" i="16" a="1"/>
  <c r="H50" i="16" s="1"/>
  <c r="J183" i="16" a="1"/>
  <c r="J183" i="16" s="1"/>
  <c r="I184" i="16" a="1"/>
  <c r="I184" i="16" s="1"/>
  <c r="M2308" i="27"/>
  <c r="K731" i="27"/>
  <c r="H2880" i="27"/>
  <c r="G248" i="27"/>
  <c r="N388" i="27"/>
  <c r="S505" i="27"/>
  <c r="I505" i="27"/>
  <c r="L505" i="27"/>
  <c r="P2308" i="27"/>
  <c r="J2879" i="27"/>
  <c r="F248" i="27"/>
  <c r="O2308" i="27"/>
  <c r="O248" i="27"/>
  <c r="G52" i="32"/>
  <c r="A663" i="32"/>
  <c r="K505" i="27"/>
  <c r="J248" i="27"/>
  <c r="P248" i="27"/>
  <c r="D2308" i="27"/>
  <c r="V505" i="27"/>
  <c r="I2308" i="27"/>
  <c r="I165" i="27"/>
  <c r="R505" i="27"/>
  <c r="J2308" i="27"/>
  <c r="G764" i="27"/>
  <c r="F505" i="27"/>
  <c r="E248" i="27"/>
  <c r="M248" i="27" a="1"/>
  <c r="N505" i="27"/>
  <c r="U505" i="27"/>
  <c r="A358" i="32"/>
  <c r="M505" i="27"/>
  <c r="I164" i="27"/>
  <c r="G665" i="32"/>
  <c r="N2308" i="27"/>
  <c r="R248" i="27"/>
  <c r="J388" i="27"/>
  <c r="L2308" i="27"/>
  <c r="G505" i="27"/>
  <c r="D504" i="27"/>
  <c r="BC37" i="34"/>
  <c r="F2308" i="27"/>
  <c r="BD37" i="34"/>
  <c r="N248" i="27"/>
  <c r="J505" i="27" a="1"/>
  <c r="D248" i="27"/>
  <c r="T505" i="27"/>
  <c r="J164" i="27"/>
  <c r="H2881" i="27"/>
  <c r="G51" i="33"/>
  <c r="O505" i="27"/>
  <c r="I388" i="27"/>
  <c r="G358" i="32"/>
  <c r="J731" i="27"/>
  <c r="E505" i="27"/>
  <c r="M388" i="27"/>
  <c r="K2308" i="27"/>
  <c r="H2879" i="27"/>
  <c r="J389" i="27"/>
  <c r="L248" i="27"/>
  <c r="A52" i="32"/>
  <c r="Q505" i="27"/>
  <c r="K2879" i="27"/>
  <c r="BD51" i="33"/>
  <c r="K164" i="27"/>
  <c r="M164" i="27"/>
  <c r="P505" i="27"/>
  <c r="E191" i="24" l="1"/>
  <c r="U362" i="32"/>
  <c r="BA55" i="33"/>
  <c r="V438" i="32" a="1"/>
  <c r="V438" i="32" s="1"/>
  <c r="L438" i="32" s="1"/>
  <c r="R438" i="32" a="1"/>
  <c r="R438" i="32" s="1"/>
  <c r="D438" i="32" s="1"/>
  <c r="T438" i="32" a="1"/>
  <c r="T438" i="32" s="1"/>
  <c r="S438" i="32" a="1"/>
  <c r="S438" i="32" s="1"/>
  <c r="E438" i="32" s="1"/>
  <c r="P442" i="32"/>
  <c r="Q440" i="32"/>
  <c r="A2308" i="27"/>
  <c r="M248" i="27"/>
  <c r="A248" i="27" s="1"/>
  <c r="U56" i="32"/>
  <c r="B2310" i="27"/>
  <c r="AY39" i="34"/>
  <c r="C250" i="27"/>
  <c r="I250" i="27"/>
  <c r="B251" i="27"/>
  <c r="A388" i="27"/>
  <c r="V867" i="32" a="1"/>
  <c r="V867" i="32" s="1"/>
  <c r="L867" i="32" s="1"/>
  <c r="S867" i="32" a="1"/>
  <c r="S867" i="32" s="1"/>
  <c r="E867" i="32" s="1"/>
  <c r="T867" i="32" a="1"/>
  <c r="T867" i="32" s="1"/>
  <c r="R867" i="32" a="1"/>
  <c r="R867" i="32" s="1"/>
  <c r="D867" i="32" s="1"/>
  <c r="P871" i="32"/>
  <c r="Q869" i="32"/>
  <c r="A164" i="27"/>
  <c r="T164" i="27" s="1"/>
  <c r="A2879" i="27"/>
  <c r="F56" i="16" a="1"/>
  <c r="F56" i="16" s="1"/>
  <c r="F57" i="16" s="1" a="1"/>
  <c r="F57" i="16" s="1"/>
  <c r="F2882" i="27"/>
  <c r="H390" i="27"/>
  <c r="H166" i="27"/>
  <c r="K1459" i="27"/>
  <c r="K1460" i="27"/>
  <c r="J2041" i="27"/>
  <c r="J505" i="27"/>
  <c r="A505" i="27" s="1"/>
  <c r="Q17" i="29"/>
  <c r="O17" i="29"/>
  <c r="P18" i="29" a="1"/>
  <c r="P18" i="29" s="1"/>
  <c r="F2515" i="27"/>
  <c r="F2516" i="27" s="1"/>
  <c r="F2517" i="27" s="1"/>
  <c r="F2518" i="27" s="1"/>
  <c r="F2519" i="27" s="1"/>
  <c r="F2514" i="27"/>
  <c r="U667" i="32"/>
  <c r="J184" i="16" a="1"/>
  <c r="J184" i="16" s="1"/>
  <c r="I185" i="16" a="1"/>
  <c r="I185" i="16" s="1"/>
  <c r="I50" i="16" a="1"/>
  <c r="I50" i="16" s="1"/>
  <c r="H51" i="16" a="1"/>
  <c r="H51" i="16" s="1"/>
  <c r="H733" i="27"/>
  <c r="B507" i="27"/>
  <c r="C506" i="27"/>
  <c r="L506" i="27"/>
  <c r="J2881" i="27"/>
  <c r="G53" i="33"/>
  <c r="M2309" i="27"/>
  <c r="J249" i="27"/>
  <c r="K165" i="27"/>
  <c r="U506" i="27"/>
  <c r="M506" i="27"/>
  <c r="G360" i="32"/>
  <c r="I506" i="27"/>
  <c r="V506" i="27"/>
  <c r="S506" i="27"/>
  <c r="G54" i="32"/>
  <c r="K389" i="27"/>
  <c r="G249" i="27"/>
  <c r="A54" i="32"/>
  <c r="J506" i="27" a="1"/>
  <c r="J732" i="27"/>
  <c r="BD53" i="33"/>
  <c r="P249" i="27"/>
  <c r="I2881" i="27"/>
  <c r="N389" i="27"/>
  <c r="P2309" i="27"/>
  <c r="I2880" i="27"/>
  <c r="N165" i="27"/>
  <c r="Q506" i="27"/>
  <c r="D505" i="27"/>
  <c r="F506" i="27"/>
  <c r="J2882" i="27"/>
  <c r="M165" i="27"/>
  <c r="E506" i="27"/>
  <c r="I2309" i="27"/>
  <c r="K166" i="27"/>
  <c r="M389" i="27"/>
  <c r="L249" i="27"/>
  <c r="A665" i="32"/>
  <c r="N506" i="27"/>
  <c r="K2881" i="27"/>
  <c r="K2309" i="27"/>
  <c r="J2880" i="27"/>
  <c r="BC38" i="34"/>
  <c r="K732" i="27"/>
  <c r="O506" i="27"/>
  <c r="K506" i="27"/>
  <c r="O2309" i="27"/>
  <c r="F2309" i="27"/>
  <c r="N2309" i="27"/>
  <c r="T506" i="27"/>
  <c r="G765" i="27"/>
  <c r="I389" i="27"/>
  <c r="R506" i="27"/>
  <c r="G506" i="27"/>
  <c r="A360" i="32"/>
  <c r="G667" i="32"/>
  <c r="D2309" i="27"/>
  <c r="BD38" i="34"/>
  <c r="O249" i="27"/>
  <c r="N249" i="27"/>
  <c r="K2880" i="27"/>
  <c r="P506" i="27"/>
  <c r="J2309" i="27"/>
  <c r="F249" i="27"/>
  <c r="E249" i="27"/>
  <c r="M249" i="27" a="1"/>
  <c r="J165" i="27"/>
  <c r="L2309" i="27"/>
  <c r="R249" i="27"/>
  <c r="D249" i="27"/>
  <c r="M390" i="27"/>
  <c r="E193" i="24" l="1"/>
  <c r="U364" i="32"/>
  <c r="BA57" i="33"/>
  <c r="S440" i="32" a="1"/>
  <c r="S440" i="32" s="1"/>
  <c r="E440" i="32" s="1"/>
  <c r="R440" i="32" a="1"/>
  <c r="R440" i="32" s="1"/>
  <c r="D440" i="32" s="1"/>
  <c r="T440" i="32" a="1"/>
  <c r="T440" i="32" s="1"/>
  <c r="V440" i="32" a="1"/>
  <c r="V440" i="32" s="1"/>
  <c r="L440" i="32" s="1"/>
  <c r="P444" i="32"/>
  <c r="Q442" i="32"/>
  <c r="A2881" i="27"/>
  <c r="M249" i="27"/>
  <c r="A249" i="27" s="1"/>
  <c r="A2309" i="27"/>
  <c r="A389" i="27"/>
  <c r="B2311" i="27"/>
  <c r="AY40" i="34"/>
  <c r="C251" i="27"/>
  <c r="B252" i="27"/>
  <c r="I251" i="27"/>
  <c r="U58" i="32"/>
  <c r="A165" i="27"/>
  <c r="T165" i="27" s="1"/>
  <c r="T869" i="32" a="1"/>
  <c r="T869" i="32" s="1"/>
  <c r="V869" i="32" a="1"/>
  <c r="V869" i="32" s="1"/>
  <c r="L869" i="32" s="1"/>
  <c r="S869" i="32" a="1"/>
  <c r="S869" i="32" s="1"/>
  <c r="E869" i="32" s="1"/>
  <c r="R869" i="32" a="1"/>
  <c r="R869" i="32" s="1"/>
  <c r="D869" i="32" s="1"/>
  <c r="P873" i="32"/>
  <c r="Q871" i="32"/>
  <c r="A2880" i="27"/>
  <c r="F58" i="16" a="1"/>
  <c r="F58" i="16" s="1"/>
  <c r="F59" i="16" s="1" a="1"/>
  <c r="F59" i="16" s="1"/>
  <c r="F2883" i="27"/>
  <c r="H167" i="27"/>
  <c r="H391" i="27"/>
  <c r="J506" i="27"/>
  <c r="A506" i="27" s="1"/>
  <c r="K1461" i="27"/>
  <c r="K1462" i="27"/>
  <c r="J2042" i="27"/>
  <c r="I51" i="16" a="1"/>
  <c r="I51" i="16" s="1"/>
  <c r="H52" i="16" a="1"/>
  <c r="H52" i="16" s="1"/>
  <c r="H734" i="27"/>
  <c r="Q18" i="29"/>
  <c r="O18" i="29"/>
  <c r="P19" i="29" a="1"/>
  <c r="P19" i="29" s="1"/>
  <c r="B508" i="27"/>
  <c r="C507" i="27"/>
  <c r="J185" i="16" a="1"/>
  <c r="J185" i="16" s="1"/>
  <c r="I186" i="16" a="1"/>
  <c r="I186" i="16" s="1"/>
  <c r="F2520" i="27"/>
  <c r="F2521" i="27"/>
  <c r="F2522" i="27" s="1"/>
  <c r="F2523" i="27" s="1"/>
  <c r="F2524" i="27" s="1"/>
  <c r="F2525" i="27" s="1"/>
  <c r="U669" i="32"/>
  <c r="L507" i="27"/>
  <c r="P250" i="27"/>
  <c r="G766" i="27"/>
  <c r="P507" i="27"/>
  <c r="L250" i="27"/>
  <c r="A667" i="32"/>
  <c r="G250" i="27"/>
  <c r="I166" i="27"/>
  <c r="M166" i="27"/>
  <c r="K2310" i="27"/>
  <c r="I390" i="27"/>
  <c r="E507" i="27"/>
  <c r="N390" i="27"/>
  <c r="D2310" i="27"/>
  <c r="I2310" i="27"/>
  <c r="V507" i="27"/>
  <c r="M2310" i="27"/>
  <c r="N507" i="27"/>
  <c r="F507" i="27"/>
  <c r="R250" i="27"/>
  <c r="S507" i="27"/>
  <c r="P2310" i="27"/>
  <c r="J391" i="27"/>
  <c r="R507" i="27"/>
  <c r="N2310" i="27"/>
  <c r="BC39" i="34"/>
  <c r="D506" i="27"/>
  <c r="M507" i="27"/>
  <c r="BD39" i="34"/>
  <c r="D250" i="27"/>
  <c r="G362" i="32"/>
  <c r="J250" i="27"/>
  <c r="T507" i="27"/>
  <c r="BD55" i="33"/>
  <c r="I2882" i="27"/>
  <c r="O507" i="27"/>
  <c r="F250" i="27"/>
  <c r="J2310" i="27"/>
  <c r="M250" i="27" a="1"/>
  <c r="H2882" i="27"/>
  <c r="N166" i="27"/>
  <c r="O250" i="27"/>
  <c r="Q507" i="27"/>
  <c r="J507" i="27" a="1"/>
  <c r="O2310" i="27"/>
  <c r="J733" i="27"/>
  <c r="G55" i="33"/>
  <c r="E250" i="27"/>
  <c r="G507" i="27"/>
  <c r="K2882" i="27"/>
  <c r="G56" i="32"/>
  <c r="J390" i="27"/>
  <c r="U507" i="27"/>
  <c r="K390" i="27"/>
  <c r="I507" i="27"/>
  <c r="K507" i="27"/>
  <c r="F2310" i="27"/>
  <c r="A56" i="32"/>
  <c r="J166" i="27"/>
  <c r="N250" i="27"/>
  <c r="K733" i="27"/>
  <c r="A362" i="32"/>
  <c r="L2310" i="27"/>
  <c r="K2883" i="27"/>
  <c r="I167" i="27"/>
  <c r="E195" i="24" l="1"/>
  <c r="U366" i="32"/>
  <c r="BA59" i="33"/>
  <c r="S442" i="32" a="1"/>
  <c r="S442" i="32" s="1"/>
  <c r="E442" i="32" s="1"/>
  <c r="R442" i="32" a="1"/>
  <c r="R442" i="32" s="1"/>
  <c r="D442" i="32" s="1"/>
  <c r="V442" i="32" a="1"/>
  <c r="V442" i="32" s="1"/>
  <c r="L442" i="32" s="1"/>
  <c r="T442" i="32" a="1"/>
  <c r="T442" i="32" s="1"/>
  <c r="P446" i="32"/>
  <c r="Q444" i="32"/>
  <c r="A2310" i="27"/>
  <c r="A2882" i="27"/>
  <c r="M250" i="27"/>
  <c r="A250" i="27" s="1"/>
  <c r="C252" i="27"/>
  <c r="I252" i="27"/>
  <c r="B253" i="27"/>
  <c r="B2312" i="27"/>
  <c r="AY41" i="34"/>
  <c r="U60" i="32"/>
  <c r="A166" i="27"/>
  <c r="T166" i="27" s="1"/>
  <c r="R871" i="32" a="1"/>
  <c r="R871" i="32" s="1"/>
  <c r="D871" i="32" s="1"/>
  <c r="S871" i="32" a="1"/>
  <c r="S871" i="32" s="1"/>
  <c r="E871" i="32" s="1"/>
  <c r="V871" i="32" a="1"/>
  <c r="V871" i="32" s="1"/>
  <c r="L871" i="32" s="1"/>
  <c r="T871" i="32" a="1"/>
  <c r="T871" i="32" s="1"/>
  <c r="P875" i="32"/>
  <c r="Q873" i="32"/>
  <c r="A390" i="27"/>
  <c r="F60" i="16" a="1"/>
  <c r="F60" i="16" s="1"/>
  <c r="F61" i="16" s="1" a="1"/>
  <c r="F61" i="16" s="1"/>
  <c r="F2884" i="27"/>
  <c r="H392" i="27"/>
  <c r="H168" i="27"/>
  <c r="J2043" i="27"/>
  <c r="K1463" i="27"/>
  <c r="K1464" i="27"/>
  <c r="J507" i="27"/>
  <c r="A507" i="27" s="1"/>
  <c r="F2527" i="27"/>
  <c r="F2528" i="27" s="1"/>
  <c r="F2529" i="27" s="1"/>
  <c r="F2530" i="27" s="1"/>
  <c r="F2531" i="27" s="1"/>
  <c r="F2526" i="27"/>
  <c r="B509" i="27"/>
  <c r="C508" i="27"/>
  <c r="H735" i="27"/>
  <c r="H736" i="27"/>
  <c r="U671" i="32"/>
  <c r="J186" i="16" a="1"/>
  <c r="J186" i="16" s="1"/>
  <c r="I187" i="16" a="1"/>
  <c r="I187" i="16" s="1"/>
  <c r="I52" i="16" a="1"/>
  <c r="I52" i="16" s="1"/>
  <c r="H53" i="16" a="1"/>
  <c r="H53" i="16" s="1"/>
  <c r="O19" i="29"/>
  <c r="Q19" i="29"/>
  <c r="P20" i="29" a="1"/>
  <c r="P20" i="29" s="1"/>
  <c r="M251" i="27" a="1"/>
  <c r="T508" i="27"/>
  <c r="P508" i="27"/>
  <c r="V508" i="27"/>
  <c r="F251" i="27"/>
  <c r="F2311" i="27"/>
  <c r="K391" i="27"/>
  <c r="L251" i="27"/>
  <c r="J508" i="27" a="1"/>
  <c r="M508" i="27"/>
  <c r="G508" i="27"/>
  <c r="S508" i="27"/>
  <c r="O2311" i="27"/>
  <c r="I508" i="27"/>
  <c r="P2311" i="27"/>
  <c r="J734" i="27"/>
  <c r="G251" i="27"/>
  <c r="R508" i="27"/>
  <c r="N167" i="27"/>
  <c r="BC40" i="34"/>
  <c r="Q508" i="27"/>
  <c r="H2883" i="27"/>
  <c r="G767" i="27"/>
  <c r="BD57" i="33"/>
  <c r="N251" i="27"/>
  <c r="G669" i="32"/>
  <c r="A364" i="32"/>
  <c r="G58" i="32"/>
  <c r="I2883" i="27"/>
  <c r="J167" i="27"/>
  <c r="I2311" i="27"/>
  <c r="D251" i="27"/>
  <c r="F508" i="27"/>
  <c r="O251" i="27"/>
  <c r="O508" i="27"/>
  <c r="G57" i="33"/>
  <c r="N508" i="27"/>
  <c r="BD40" i="34"/>
  <c r="D2311" i="27"/>
  <c r="N391" i="27"/>
  <c r="K2311" i="27"/>
  <c r="M391" i="27"/>
  <c r="E508" i="27"/>
  <c r="P251" i="27"/>
  <c r="A669" i="32"/>
  <c r="J2311" i="27"/>
  <c r="R251" i="27"/>
  <c r="M167" i="27"/>
  <c r="A58" i="32"/>
  <c r="J2883" i="27"/>
  <c r="L508" i="27"/>
  <c r="M2311" i="27"/>
  <c r="N2311" i="27"/>
  <c r="K508" i="27"/>
  <c r="K734" i="27"/>
  <c r="E251" i="27"/>
  <c r="L2311" i="27"/>
  <c r="K167" i="27"/>
  <c r="G364" i="32"/>
  <c r="U508" i="27"/>
  <c r="J251" i="27"/>
  <c r="I391" i="27"/>
  <c r="D507" i="27"/>
  <c r="H2884" i="27"/>
  <c r="E197" i="24" l="1"/>
  <c r="BA61" i="33"/>
  <c r="U368" i="32"/>
  <c r="V444" i="32" a="1"/>
  <c r="V444" i="32" s="1"/>
  <c r="L444" i="32" s="1"/>
  <c r="T444" i="32" a="1"/>
  <c r="T444" i="32" s="1"/>
  <c r="R444" i="32" a="1"/>
  <c r="R444" i="32" s="1"/>
  <c r="D444" i="32" s="1"/>
  <c r="S444" i="32" a="1"/>
  <c r="S444" i="32" s="1"/>
  <c r="E444" i="32" s="1"/>
  <c r="P448" i="32"/>
  <c r="Q446" i="32"/>
  <c r="M251" i="27"/>
  <c r="A251" i="27" s="1"/>
  <c r="A2311" i="27"/>
  <c r="AY42" i="34"/>
  <c r="B2313" i="27"/>
  <c r="U62" i="32"/>
  <c r="B254" i="27"/>
  <c r="C253" i="27"/>
  <c r="I253" i="27"/>
  <c r="S873" i="32" a="1"/>
  <c r="S873" i="32" s="1"/>
  <c r="E873" i="32" s="1"/>
  <c r="T873" i="32" a="1"/>
  <c r="T873" i="32" s="1"/>
  <c r="V873" i="32" a="1"/>
  <c r="V873" i="32" s="1"/>
  <c r="L873" i="32" s="1"/>
  <c r="R873" i="32" a="1"/>
  <c r="R873" i="32" s="1"/>
  <c r="D873" i="32" s="1"/>
  <c r="P877" i="32"/>
  <c r="Q875" i="32"/>
  <c r="A167" i="27"/>
  <c r="T167" i="27" s="1"/>
  <c r="A391" i="27"/>
  <c r="A2883" i="27"/>
  <c r="F62" i="16" a="1"/>
  <c r="F62" i="16" s="1"/>
  <c r="F2885" i="27"/>
  <c r="H170" i="27"/>
  <c r="H169" i="27"/>
  <c r="H393" i="27"/>
  <c r="H394" i="27"/>
  <c r="J2044" i="27"/>
  <c r="J508" i="27"/>
  <c r="A508" i="27" s="1"/>
  <c r="K1466" i="27"/>
  <c r="K1465" i="27"/>
  <c r="J187" i="16" a="1"/>
  <c r="J187" i="16" s="1"/>
  <c r="I188" i="16" a="1"/>
  <c r="I188" i="16" s="1"/>
  <c r="H737" i="27"/>
  <c r="I53" i="16" a="1"/>
  <c r="I53" i="16" s="1"/>
  <c r="H54" i="16" a="1"/>
  <c r="H54" i="16" s="1"/>
  <c r="F2533" i="27"/>
  <c r="F2534" i="27" s="1"/>
  <c r="F2535" i="27" s="1"/>
  <c r="F2536" i="27" s="1"/>
  <c r="F2537" i="27" s="1"/>
  <c r="F2532" i="27"/>
  <c r="B510" i="27"/>
  <c r="C509" i="27"/>
  <c r="Q20" i="29"/>
  <c r="O20" i="29"/>
  <c r="P21" i="29" a="1"/>
  <c r="P21" i="29" s="1"/>
  <c r="U673" i="32"/>
  <c r="J252" i="27"/>
  <c r="D2312" i="27"/>
  <c r="G60" i="32"/>
  <c r="J2884" i="27"/>
  <c r="O2312" i="27"/>
  <c r="T509" i="27"/>
  <c r="A366" i="32"/>
  <c r="V509" i="27"/>
  <c r="G768" i="27"/>
  <c r="J509" i="27" a="1"/>
  <c r="N252" i="27"/>
  <c r="R252" i="27"/>
  <c r="J2312" i="27"/>
  <c r="O252" i="27"/>
  <c r="N2312" i="27"/>
  <c r="S509" i="27"/>
  <c r="K509" i="27"/>
  <c r="G252" i="27"/>
  <c r="I2884" i="27"/>
  <c r="M2312" i="27"/>
  <c r="I2312" i="27"/>
  <c r="K2312" i="27"/>
  <c r="F252" i="27"/>
  <c r="N509" i="27"/>
  <c r="I509" i="27"/>
  <c r="K735" i="27"/>
  <c r="BD41" i="34"/>
  <c r="D508" i="27"/>
  <c r="P2312" i="27"/>
  <c r="A60" i="32"/>
  <c r="F509" i="27"/>
  <c r="E509" i="27"/>
  <c r="K2884" i="27"/>
  <c r="G59" i="33"/>
  <c r="H2885" i="27"/>
  <c r="G671" i="32"/>
  <c r="P252" i="27"/>
  <c r="D252" i="27"/>
  <c r="M252" i="27" a="1"/>
  <c r="F2312" i="27"/>
  <c r="BD59" i="33"/>
  <c r="R509" i="27"/>
  <c r="O509" i="27"/>
  <c r="L509" i="27"/>
  <c r="A671" i="32"/>
  <c r="P509" i="27"/>
  <c r="E252" i="27"/>
  <c r="BC41" i="34"/>
  <c r="J170" i="27"/>
  <c r="L252" i="27"/>
  <c r="G366" i="32"/>
  <c r="J735" i="27"/>
  <c r="U509" i="27"/>
  <c r="M509" i="27"/>
  <c r="Q509" i="27"/>
  <c r="G509" i="27"/>
  <c r="L2312" i="27"/>
  <c r="J394" i="27"/>
  <c r="E199" i="24" l="1"/>
  <c r="BA63" i="33"/>
  <c r="U370" i="32"/>
  <c r="R446" i="32" a="1"/>
  <c r="R446" i="32" s="1"/>
  <c r="D446" i="32" s="1"/>
  <c r="S446" i="32" a="1"/>
  <c r="S446" i="32" s="1"/>
  <c r="E446" i="32" s="1"/>
  <c r="V446" i="32" a="1"/>
  <c r="V446" i="32" s="1"/>
  <c r="L446" i="32" s="1"/>
  <c r="T446" i="32" a="1"/>
  <c r="T446" i="32" s="1"/>
  <c r="P450" i="32"/>
  <c r="Q448" i="32"/>
  <c r="M252" i="27"/>
  <c r="A252" i="27" s="1"/>
  <c r="A2312" i="27"/>
  <c r="A2884" i="27"/>
  <c r="I254" i="27"/>
  <c r="B255" i="27"/>
  <c r="C254" i="27"/>
  <c r="U64" i="32"/>
  <c r="B2314" i="27"/>
  <c r="AY43" i="34"/>
  <c r="S875" i="32" a="1"/>
  <c r="S875" i="32" s="1"/>
  <c r="E875" i="32" s="1"/>
  <c r="T875" i="32" a="1"/>
  <c r="T875" i="32" s="1"/>
  <c r="R875" i="32" a="1"/>
  <c r="R875" i="32" s="1"/>
  <c r="D875" i="32" s="1"/>
  <c r="V875" i="32" a="1"/>
  <c r="V875" i="32" s="1"/>
  <c r="L875" i="32" s="1"/>
  <c r="P879" i="32"/>
  <c r="Q877" i="32"/>
  <c r="F63" i="16" a="1"/>
  <c r="F63" i="16" s="1"/>
  <c r="F64" i="16" s="1" a="1"/>
  <c r="F64" i="16" s="1"/>
  <c r="F2886" i="27"/>
  <c r="F2887" i="27"/>
  <c r="H395" i="27"/>
  <c r="H171" i="27"/>
  <c r="K1468" i="27"/>
  <c r="K1467" i="27"/>
  <c r="J509" i="27"/>
  <c r="A509" i="27" s="1"/>
  <c r="J188" i="16" a="1"/>
  <c r="J188" i="16" s="1"/>
  <c r="I189" i="16" a="1"/>
  <c r="I189" i="16" s="1"/>
  <c r="B511" i="27"/>
  <c r="C510" i="27"/>
  <c r="Q21" i="29"/>
  <c r="O21" i="29"/>
  <c r="P22" i="29" a="1"/>
  <c r="P22" i="29" s="1"/>
  <c r="F2538" i="27"/>
  <c r="F2539" i="27"/>
  <c r="F2540" i="27" s="1"/>
  <c r="F2541" i="27" s="1"/>
  <c r="F2542" i="27" s="1"/>
  <c r="F2543" i="27" s="1"/>
  <c r="U675" i="32"/>
  <c r="H738" i="27"/>
  <c r="I54" i="16" a="1"/>
  <c r="I54" i="16" s="1"/>
  <c r="H55" i="16" a="1"/>
  <c r="H55" i="16" s="1"/>
  <c r="S510" i="27"/>
  <c r="J2313" i="27"/>
  <c r="O510" i="27"/>
  <c r="K394" i="27"/>
  <c r="G253" i="27"/>
  <c r="P2313" i="27"/>
  <c r="M394" i="27"/>
  <c r="G368" i="32"/>
  <c r="K170" i="27"/>
  <c r="K2887" i="27"/>
  <c r="U510" i="27"/>
  <c r="I395" i="27"/>
  <c r="N394" i="27"/>
  <c r="N253" i="27"/>
  <c r="J253" i="27"/>
  <c r="A62" i="32"/>
  <c r="G510" i="27"/>
  <c r="BD42" i="34"/>
  <c r="M2313" i="27"/>
  <c r="I2313" i="27"/>
  <c r="P253" i="27"/>
  <c r="E510" i="27"/>
  <c r="D2313" i="27"/>
  <c r="E253" i="27"/>
  <c r="F253" i="27"/>
  <c r="J2885" i="27"/>
  <c r="A673" i="32"/>
  <c r="R510" i="27"/>
  <c r="N171" i="27"/>
  <c r="R253" i="27"/>
  <c r="F2313" i="27"/>
  <c r="K2885" i="27"/>
  <c r="I394" i="27"/>
  <c r="G62" i="32"/>
  <c r="O2313" i="27"/>
  <c r="N510" i="27"/>
  <c r="Q510" i="27"/>
  <c r="I2885" i="27"/>
  <c r="BC42" i="34"/>
  <c r="L2313" i="27"/>
  <c r="G769" i="27"/>
  <c r="V510" i="27"/>
  <c r="F510" i="27"/>
  <c r="K510" i="27"/>
  <c r="I510" i="27"/>
  <c r="M510" i="27"/>
  <c r="N170" i="27"/>
  <c r="M253" i="27" a="1"/>
  <c r="D509" i="27"/>
  <c r="G673" i="32"/>
  <c r="BD61" i="33"/>
  <c r="A368" i="32"/>
  <c r="G61" i="33"/>
  <c r="T510" i="27"/>
  <c r="D253" i="27"/>
  <c r="J2886" i="27"/>
  <c r="L253" i="27"/>
  <c r="O253" i="27"/>
  <c r="J510" i="27" a="1"/>
  <c r="J737" i="27"/>
  <c r="M170" i="27"/>
  <c r="K2313" i="27"/>
  <c r="N2313" i="27"/>
  <c r="L510" i="27"/>
  <c r="P510" i="27"/>
  <c r="I170" i="27"/>
  <c r="K737" i="27"/>
  <c r="E201" i="24" l="1"/>
  <c r="BA65" i="33"/>
  <c r="U372" i="32"/>
  <c r="V448" i="32" a="1"/>
  <c r="V448" i="32" s="1"/>
  <c r="L448" i="32" s="1"/>
  <c r="T448" i="32" a="1"/>
  <c r="T448" i="32" s="1"/>
  <c r="S448" i="32" a="1"/>
  <c r="S448" i="32" s="1"/>
  <c r="E448" i="32" s="1"/>
  <c r="R448" i="32" a="1"/>
  <c r="R448" i="32" s="1"/>
  <c r="D448" i="32" s="1"/>
  <c r="P452" i="32"/>
  <c r="Q450" i="32"/>
  <c r="A2313" i="27"/>
  <c r="M253" i="27"/>
  <c r="A253" i="27" s="1"/>
  <c r="AY44" i="34"/>
  <c r="U66" i="32"/>
  <c r="B256" i="27"/>
  <c r="C255" i="27"/>
  <c r="I255" i="27"/>
  <c r="B2315" i="27"/>
  <c r="A2885" i="27"/>
  <c r="T877" i="32" a="1"/>
  <c r="T877" i="32" s="1"/>
  <c r="S877" i="32" a="1"/>
  <c r="S877" i="32" s="1"/>
  <c r="E877" i="32" s="1"/>
  <c r="R877" i="32" a="1"/>
  <c r="R877" i="32" s="1"/>
  <c r="D877" i="32" s="1"/>
  <c r="V877" i="32" a="1"/>
  <c r="V877" i="32" s="1"/>
  <c r="L877" i="32" s="1"/>
  <c r="P881" i="32"/>
  <c r="Q879" i="32"/>
  <c r="A394" i="27"/>
  <c r="A170" i="27"/>
  <c r="T170" i="27" s="1"/>
  <c r="F65" i="16" a="1"/>
  <c r="F65" i="16" s="1"/>
  <c r="F66" i="16" s="1" a="1"/>
  <c r="F66" i="16" s="1"/>
  <c r="F2888" i="27"/>
  <c r="H396" i="27"/>
  <c r="H172" i="27"/>
  <c r="K1469" i="27"/>
  <c r="K1470" i="27"/>
  <c r="J510" i="27"/>
  <c r="A510" i="27" s="1"/>
  <c r="H739" i="27"/>
  <c r="J189" i="16" a="1"/>
  <c r="J189" i="16" s="1"/>
  <c r="I190" i="16" a="1"/>
  <c r="I190" i="16" s="1"/>
  <c r="U677" i="32"/>
  <c r="B512" i="27"/>
  <c r="C511" i="27"/>
  <c r="F2544" i="27"/>
  <c r="F2545" i="27"/>
  <c r="F2546" i="27" s="1"/>
  <c r="F2547" i="27" s="1"/>
  <c r="F2548" i="27" s="1"/>
  <c r="F2549" i="27" s="1"/>
  <c r="Q22" i="29"/>
  <c r="O22" i="29"/>
  <c r="P23" i="29" a="1"/>
  <c r="P23" i="29" s="1"/>
  <c r="I55" i="16" a="1"/>
  <c r="I55" i="16" s="1"/>
  <c r="H56" i="16" a="1"/>
  <c r="H56" i="16" s="1"/>
  <c r="E511" i="27"/>
  <c r="K2314" i="27"/>
  <c r="V511" i="27"/>
  <c r="J254" i="27"/>
  <c r="U511" i="27"/>
  <c r="A370" i="32"/>
  <c r="N511" i="27"/>
  <c r="N254" i="27"/>
  <c r="K511" i="27"/>
  <c r="G64" i="32"/>
  <c r="M395" i="27"/>
  <c r="BC43" i="34"/>
  <c r="J511" i="27" a="1"/>
  <c r="A64" i="32"/>
  <c r="L511" i="27"/>
  <c r="I171" i="27"/>
  <c r="M2314" i="27"/>
  <c r="D254" i="27"/>
  <c r="N2314" i="27"/>
  <c r="O2314" i="27"/>
  <c r="K395" i="27"/>
  <c r="F511" i="27"/>
  <c r="P2314" i="27"/>
  <c r="K738" i="27"/>
  <c r="R254" i="27"/>
  <c r="G511" i="27"/>
  <c r="K171" i="27"/>
  <c r="M254" i="27" a="1"/>
  <c r="J738" i="27"/>
  <c r="K172" i="27"/>
  <c r="K2886" i="27"/>
  <c r="O254" i="27"/>
  <c r="G370" i="32"/>
  <c r="H2887" i="27"/>
  <c r="M511" i="27"/>
  <c r="BD63" i="33"/>
  <c r="J2887" i="27"/>
  <c r="I2314" i="27"/>
  <c r="J395" i="27"/>
  <c r="G770" i="27"/>
  <c r="I396" i="27"/>
  <c r="D510" i="27"/>
  <c r="H2886" i="27"/>
  <c r="J2314" i="27"/>
  <c r="I511" i="27"/>
  <c r="A675" i="32"/>
  <c r="G254" i="27"/>
  <c r="O511" i="27"/>
  <c r="R511" i="27"/>
  <c r="S511" i="27"/>
  <c r="T511" i="27"/>
  <c r="P254" i="27"/>
  <c r="F2314" i="27"/>
  <c r="M171" i="27"/>
  <c r="L254" i="27"/>
  <c r="P511" i="27"/>
  <c r="I2886" i="27"/>
  <c r="I2887" i="27"/>
  <c r="G675" i="32"/>
  <c r="J171" i="27"/>
  <c r="L2314" i="27"/>
  <c r="G63" i="33"/>
  <c r="BD43" i="34"/>
  <c r="N395" i="27"/>
  <c r="Q511" i="27"/>
  <c r="D2314" i="27"/>
  <c r="H2888" i="27"/>
  <c r="F254" i="27"/>
  <c r="E254" i="27"/>
  <c r="E203" i="24" l="1"/>
  <c r="BA67" i="33"/>
  <c r="U374" i="32"/>
  <c r="A2887" i="27"/>
  <c r="R450" i="32" a="1"/>
  <c r="R450" i="32" s="1"/>
  <c r="D450" i="32" s="1"/>
  <c r="T450" i="32" a="1"/>
  <c r="T450" i="32" s="1"/>
  <c r="S450" i="32" a="1"/>
  <c r="S450" i="32" s="1"/>
  <c r="E450" i="32" s="1"/>
  <c r="V450" i="32" a="1"/>
  <c r="V450" i="32" s="1"/>
  <c r="L450" i="32" s="1"/>
  <c r="P454" i="32"/>
  <c r="Q452" i="32"/>
  <c r="A2314" i="27"/>
  <c r="M254" i="27"/>
  <c r="A254" i="27" s="1"/>
  <c r="C256" i="27"/>
  <c r="B257" i="27"/>
  <c r="I256" i="27"/>
  <c r="U68" i="32"/>
  <c r="B2316" i="27"/>
  <c r="AY45" i="34"/>
  <c r="S879" i="32" a="1"/>
  <c r="S879" i="32" s="1"/>
  <c r="E879" i="32" s="1"/>
  <c r="V879" i="32" a="1"/>
  <c r="V879" i="32" s="1"/>
  <c r="L879" i="32" s="1"/>
  <c r="R879" i="32" a="1"/>
  <c r="R879" i="32" s="1"/>
  <c r="D879" i="32" s="1"/>
  <c r="T879" i="32" a="1"/>
  <c r="T879" i="32" s="1"/>
  <c r="P883" i="32"/>
  <c r="Q881" i="32"/>
  <c r="A395" i="27"/>
  <c r="A2886" i="27"/>
  <c r="A171" i="27"/>
  <c r="T171" i="27" s="1"/>
  <c r="F67" i="16" a="1"/>
  <c r="F67" i="16" s="1"/>
  <c r="F68" i="16" s="1" a="1"/>
  <c r="F68" i="16" s="1"/>
  <c r="F2889" i="27"/>
  <c r="H173" i="27"/>
  <c r="H397" i="27"/>
  <c r="J511" i="27"/>
  <c r="A511" i="27" s="1"/>
  <c r="K1472" i="27"/>
  <c r="K1471" i="27"/>
  <c r="B513" i="27"/>
  <c r="C512" i="27"/>
  <c r="U679" i="32"/>
  <c r="I56" i="16" a="1"/>
  <c r="I56" i="16" s="1"/>
  <c r="H57" i="16" a="1"/>
  <c r="H57" i="16" s="1"/>
  <c r="H740" i="27"/>
  <c r="F2551" i="27"/>
  <c r="F2552" i="27" s="1"/>
  <c r="F2553" i="27" s="1"/>
  <c r="F2554" i="27" s="1"/>
  <c r="F2555" i="27" s="1"/>
  <c r="F2550" i="27"/>
  <c r="J190" i="16" a="1"/>
  <c r="J190" i="16" s="1"/>
  <c r="I191" i="16" a="1"/>
  <c r="I191" i="16" s="1"/>
  <c r="Q23" i="29"/>
  <c r="O23" i="29"/>
  <c r="P24" i="29" a="1"/>
  <c r="P24" i="29" s="1"/>
  <c r="E512" i="27"/>
  <c r="M255" i="27" a="1"/>
  <c r="O2315" i="27"/>
  <c r="N512" i="27"/>
  <c r="F2315" i="27"/>
  <c r="BC44" i="34"/>
  <c r="M172" i="27"/>
  <c r="P512" i="27"/>
  <c r="N396" i="27"/>
  <c r="J739" i="27"/>
  <c r="G255" i="27"/>
  <c r="J172" i="27"/>
  <c r="P255" i="27"/>
  <c r="K396" i="27"/>
  <c r="N255" i="27"/>
  <c r="P2315" i="27"/>
  <c r="A66" i="32"/>
  <c r="S512" i="27"/>
  <c r="T512" i="27"/>
  <c r="G372" i="32"/>
  <c r="F255" i="27"/>
  <c r="G66" i="32"/>
  <c r="A372" i="32"/>
  <c r="D2315" i="27"/>
  <c r="K2888" i="27"/>
  <c r="O255" i="27"/>
  <c r="M512" i="27"/>
  <c r="L255" i="27"/>
  <c r="L512" i="27"/>
  <c r="G771" i="27"/>
  <c r="J512" i="27" a="1"/>
  <c r="G512" i="27"/>
  <c r="Q512" i="27"/>
  <c r="L2315" i="27"/>
  <c r="M396" i="27"/>
  <c r="BD44" i="34"/>
  <c r="K739" i="27"/>
  <c r="M2315" i="27"/>
  <c r="D255" i="27"/>
  <c r="R255" i="27"/>
  <c r="G65" i="33"/>
  <c r="J2888" i="27"/>
  <c r="N397" i="27"/>
  <c r="I512" i="27"/>
  <c r="BD65" i="33"/>
  <c r="N172" i="27"/>
  <c r="N2315" i="27"/>
  <c r="V512" i="27"/>
  <c r="K512" i="27"/>
  <c r="F512" i="27"/>
  <c r="J173" i="27"/>
  <c r="O512" i="27"/>
  <c r="A677" i="32"/>
  <c r="K2315" i="27"/>
  <c r="D511" i="27"/>
  <c r="J2315" i="27"/>
  <c r="E255" i="27"/>
  <c r="I2888" i="27"/>
  <c r="I2889" i="27"/>
  <c r="G677" i="32"/>
  <c r="I2315" i="27"/>
  <c r="J396" i="27"/>
  <c r="I172" i="27"/>
  <c r="J255" i="27"/>
  <c r="R512" i="27"/>
  <c r="U512" i="27"/>
  <c r="E205" i="24" l="1"/>
  <c r="U376" i="32"/>
  <c r="P456" i="32"/>
  <c r="Q454" i="32"/>
  <c r="T452" i="32" a="1"/>
  <c r="T452" i="32" s="1"/>
  <c r="R452" i="32" a="1"/>
  <c r="R452" i="32" s="1"/>
  <c r="D452" i="32" s="1"/>
  <c r="V452" i="32" a="1"/>
  <c r="V452" i="32" s="1"/>
  <c r="L452" i="32" s="1"/>
  <c r="S452" i="32" a="1"/>
  <c r="S452" i="32" s="1"/>
  <c r="E452" i="32" s="1"/>
  <c r="M255" i="27"/>
  <c r="A255" i="27" s="1"/>
  <c r="A2315" i="27"/>
  <c r="B2317" i="27"/>
  <c r="AY46" i="34"/>
  <c r="U70" i="32"/>
  <c r="C257" i="27"/>
  <c r="I257" i="27"/>
  <c r="A2888" i="27"/>
  <c r="P885" i="32"/>
  <c r="Q883" i="32"/>
  <c r="R881" i="32" a="1"/>
  <c r="R881" i="32" s="1"/>
  <c r="D881" i="32" s="1"/>
  <c r="V881" i="32" a="1"/>
  <c r="V881" i="32" s="1"/>
  <c r="L881" i="32" s="1"/>
  <c r="T881" i="32" a="1"/>
  <c r="T881" i="32" s="1"/>
  <c r="S881" i="32" a="1"/>
  <c r="S881" i="32" s="1"/>
  <c r="E881" i="32" s="1"/>
  <c r="A172" i="27"/>
  <c r="T172" i="27" s="1"/>
  <c r="A396" i="27"/>
  <c r="F69" i="16" a="1"/>
  <c r="F69" i="16" s="1"/>
  <c r="F70" i="16" s="1" a="1"/>
  <c r="F70" i="16" s="1"/>
  <c r="F2890" i="27"/>
  <c r="H398" i="27"/>
  <c r="H174" i="27"/>
  <c r="J512" i="27"/>
  <c r="A512" i="27" s="1"/>
  <c r="K1474" i="27"/>
  <c r="K1473" i="27"/>
  <c r="J191" i="16" a="1"/>
  <c r="J191" i="16" s="1"/>
  <c r="I192" i="16" a="1"/>
  <c r="I192" i="16" s="1"/>
  <c r="H741" i="27"/>
  <c r="H742" i="27"/>
  <c r="C513" i="27"/>
  <c r="AC2" i="27" s="1"/>
  <c r="AB2" i="27" s="1"/>
  <c r="U681" i="32"/>
  <c r="I57" i="16" a="1"/>
  <c r="I57" i="16" s="1"/>
  <c r="H58" i="16" a="1"/>
  <c r="H58" i="16" s="1"/>
  <c r="Q24" i="29"/>
  <c r="O24" i="29"/>
  <c r="P25" i="29" a="1"/>
  <c r="P25" i="29" s="1"/>
  <c r="F2556" i="27"/>
  <c r="F2557" i="27"/>
  <c r="F2558" i="27" s="1"/>
  <c r="F2559" i="27" s="1"/>
  <c r="F2560" i="27" s="1"/>
  <c r="F2561" i="27" s="1"/>
  <c r="F2316" i="27"/>
  <c r="K67" i="33"/>
  <c r="J2316" i="27"/>
  <c r="BC45" i="34"/>
  <c r="D512" i="27"/>
  <c r="BD67" i="33"/>
  <c r="G68" i="32"/>
  <c r="D2316" i="27"/>
  <c r="M68" i="33"/>
  <c r="R256" i="27"/>
  <c r="J2889" i="27"/>
  <c r="A374" i="32"/>
  <c r="H67" i="33"/>
  <c r="O256" i="27"/>
  <c r="K2889" i="27"/>
  <c r="N173" i="27"/>
  <c r="J397" i="27"/>
  <c r="G256" i="27"/>
  <c r="BD45" i="34"/>
  <c r="A679" i="32"/>
  <c r="J740" i="27"/>
  <c r="B67" i="33"/>
  <c r="M173" i="27"/>
  <c r="M256" i="27" a="1"/>
  <c r="I173" i="27"/>
  <c r="N67" i="33"/>
  <c r="F68" i="33"/>
  <c r="K2316" i="27"/>
  <c r="J256" i="27"/>
  <c r="H2889" i="27"/>
  <c r="L67" i="33"/>
  <c r="L2316" i="27"/>
  <c r="O2316" i="27"/>
  <c r="M67" i="33"/>
  <c r="P256" i="27"/>
  <c r="D256" i="27"/>
  <c r="M2316" i="27"/>
  <c r="F256" i="27"/>
  <c r="M397" i="27"/>
  <c r="E256" i="27"/>
  <c r="K740" i="27"/>
  <c r="J2890" i="27"/>
  <c r="E67" i="33"/>
  <c r="K173" i="27"/>
  <c r="P2316" i="27"/>
  <c r="I67" i="33"/>
  <c r="AO67" i="33"/>
  <c r="AN67" i="33"/>
  <c r="I397" i="27"/>
  <c r="A68" i="32"/>
  <c r="N2316" i="27"/>
  <c r="G679" i="32"/>
  <c r="AP67" i="33"/>
  <c r="G374" i="32"/>
  <c r="D67" i="33"/>
  <c r="F67" i="33"/>
  <c r="I2316" i="27"/>
  <c r="G772" i="27"/>
  <c r="AM67" i="33"/>
  <c r="C67" i="33"/>
  <c r="L256" i="27"/>
  <c r="N256" i="27"/>
  <c r="K397" i="27"/>
  <c r="P458" i="32" l="1"/>
  <c r="Q456" i="32"/>
  <c r="B207" i="24"/>
  <c r="AZ67" i="33"/>
  <c r="F207" i="24"/>
  <c r="H207" i="24"/>
  <c r="K207" i="24"/>
  <c r="B208" i="24"/>
  <c r="AU67" i="33"/>
  <c r="AV67" i="33" a="1"/>
  <c r="AV67" i="33" s="1"/>
  <c r="AQ67" i="33" a="1"/>
  <c r="AQ67" i="33" s="1"/>
  <c r="J67" i="33" s="1"/>
  <c r="C207" i="24"/>
  <c r="AR67" i="33" a="1"/>
  <c r="AR67" i="33" s="1"/>
  <c r="J207" i="24"/>
  <c r="D207" i="24"/>
  <c r="U378" i="32"/>
  <c r="T454" i="32" a="1"/>
  <c r="T454" i="32" s="1"/>
  <c r="S454" i="32" a="1"/>
  <c r="S454" i="32" s="1"/>
  <c r="E454" i="32" s="1"/>
  <c r="V454" i="32" a="1"/>
  <c r="V454" i="32" s="1"/>
  <c r="L454" i="32" s="1"/>
  <c r="R454" i="32" a="1"/>
  <c r="R454" i="32" s="1"/>
  <c r="D454" i="32" s="1"/>
  <c r="A2316" i="27"/>
  <c r="M256" i="27"/>
  <c r="A256" i="27" s="1"/>
  <c r="A397" i="27"/>
  <c r="U72" i="32"/>
  <c r="B2318" i="27"/>
  <c r="AY47" i="34"/>
  <c r="A2889" i="27"/>
  <c r="T883" i="32" a="1"/>
  <c r="T883" i="32" s="1"/>
  <c r="R883" i="32" a="1"/>
  <c r="R883" i="32" s="1"/>
  <c r="D883" i="32" s="1"/>
  <c r="V883" i="32" a="1"/>
  <c r="V883" i="32" s="1"/>
  <c r="L883" i="32" s="1"/>
  <c r="S883" i="32" a="1"/>
  <c r="S883" i="32" s="1"/>
  <c r="E883" i="32" s="1"/>
  <c r="P887" i="32"/>
  <c r="Q885" i="32"/>
  <c r="A173" i="27"/>
  <c r="T173" i="27" s="1"/>
  <c r="F2891" i="27"/>
  <c r="H176" i="27"/>
  <c r="H175" i="27"/>
  <c r="H399" i="27"/>
  <c r="H400" i="27"/>
  <c r="K1476" i="27"/>
  <c r="K1475" i="27"/>
  <c r="I58" i="16" a="1"/>
  <c r="I58" i="16" s="1"/>
  <c r="H59" i="16" a="1"/>
  <c r="H59" i="16" s="1"/>
  <c r="F71" i="16" a="1"/>
  <c r="F71" i="16" s="1"/>
  <c r="F72" i="16" s="1" a="1"/>
  <c r="F72" i="16" s="1"/>
  <c r="U683" i="32"/>
  <c r="H743" i="27"/>
  <c r="Q25" i="29"/>
  <c r="O25" i="29"/>
  <c r="P26" i="29" a="1"/>
  <c r="P26" i="29" s="1"/>
  <c r="F2562" i="27"/>
  <c r="F2563" i="27"/>
  <c r="F2564" i="27" s="1"/>
  <c r="F2565" i="27" s="1"/>
  <c r="F2566" i="27" s="1"/>
  <c r="F2567" i="27" s="1"/>
  <c r="J192" i="16" a="1"/>
  <c r="J192" i="16" s="1"/>
  <c r="I193" i="16" a="1"/>
  <c r="I193" i="16" s="1"/>
  <c r="BB11" i="33"/>
  <c r="B518" i="27"/>
  <c r="L513" i="27"/>
  <c r="G257" i="27"/>
  <c r="O513" i="27"/>
  <c r="BD46" i="34"/>
  <c r="A681" i="32"/>
  <c r="O257" i="27"/>
  <c r="M257" i="27" a="1"/>
  <c r="G376" i="32"/>
  <c r="G70" i="32"/>
  <c r="L257" i="27"/>
  <c r="M400" i="27"/>
  <c r="K2317" i="27"/>
  <c r="G681" i="32"/>
  <c r="J2317" i="27"/>
  <c r="K2890" i="27"/>
  <c r="P257" i="27"/>
  <c r="Q513" i="27"/>
  <c r="K741" i="27"/>
  <c r="V513" i="27"/>
  <c r="O2317" i="27"/>
  <c r="J741" i="27"/>
  <c r="H2890" i="27"/>
  <c r="S513" i="27"/>
  <c r="R513" i="27"/>
  <c r="L2317" i="27"/>
  <c r="G513" i="27"/>
  <c r="N257" i="27"/>
  <c r="J176" i="27"/>
  <c r="M2317" i="27"/>
  <c r="J257" i="27"/>
  <c r="N513" i="27"/>
  <c r="F2317" i="27"/>
  <c r="I2317" i="27"/>
  <c r="E257" i="27"/>
  <c r="T513" i="27"/>
  <c r="M513" i="27"/>
  <c r="A70" i="32"/>
  <c r="D2317" i="27"/>
  <c r="G67" i="33"/>
  <c r="U513" i="27"/>
  <c r="BC46" i="34"/>
  <c r="D257" i="27"/>
  <c r="P2317" i="27"/>
  <c r="P513" i="27"/>
  <c r="N2317" i="27"/>
  <c r="A376" i="32"/>
  <c r="I513" i="27"/>
  <c r="R257" i="27"/>
  <c r="F257" i="27"/>
  <c r="E513" i="27"/>
  <c r="F513" i="27"/>
  <c r="G773" i="27"/>
  <c r="K513" i="27"/>
  <c r="I2890" i="27"/>
  <c r="J513" i="27" a="1"/>
  <c r="K2891" i="27"/>
  <c r="T456" i="32" l="1" a="1"/>
  <c r="T456" i="32" s="1"/>
  <c r="V456" i="32" a="1"/>
  <c r="V456" i="32" s="1"/>
  <c r="L456" i="32" s="1"/>
  <c r="S456" i="32" a="1"/>
  <c r="S456" i="32" s="1"/>
  <c r="E456" i="32" s="1"/>
  <c r="R456" i="32" a="1"/>
  <c r="R456" i="32" s="1"/>
  <c r="D456" i="32" s="1"/>
  <c r="P460" i="32"/>
  <c r="Q458" i="32"/>
  <c r="E530" i="27"/>
  <c r="E541" i="27"/>
  <c r="E536" i="27"/>
  <c r="E532" i="27"/>
  <c r="E535" i="27"/>
  <c r="E559" i="27"/>
  <c r="E567" i="27"/>
  <c r="E576" i="27"/>
  <c r="E524" i="27"/>
  <c r="E551" i="27"/>
  <c r="E544" i="27"/>
  <c r="E548" i="27"/>
  <c r="E553" i="27"/>
  <c r="E561" i="27"/>
  <c r="E569" i="27"/>
  <c r="E578" i="27"/>
  <c r="E543" i="27"/>
  <c r="E531" i="27"/>
  <c r="E540" i="27"/>
  <c r="E542" i="27"/>
  <c r="E554" i="27"/>
  <c r="E562" i="27"/>
  <c r="E570" i="27"/>
  <c r="E575" i="27"/>
  <c r="E523" i="27"/>
  <c r="E528" i="27"/>
  <c r="E555" i="27"/>
  <c r="E563" i="27"/>
  <c r="E577" i="27"/>
  <c r="E520" i="27"/>
  <c r="E533" i="27"/>
  <c r="E529" i="27"/>
  <c r="E522" i="27"/>
  <c r="E556" i="27"/>
  <c r="E564" i="27"/>
  <c r="E572" i="27"/>
  <c r="E580" i="27"/>
  <c r="E534" i="27"/>
  <c r="E539" i="27"/>
  <c r="E526" i="27"/>
  <c r="E550" i="27"/>
  <c r="E558" i="27"/>
  <c r="E566" i="27"/>
  <c r="E574" i="27"/>
  <c r="E545" i="27"/>
  <c r="E549" i="27"/>
  <c r="E519" i="27"/>
  <c r="J519" i="27" s="1"/>
  <c r="E537" i="27"/>
  <c r="E552" i="27"/>
  <c r="E560" i="27"/>
  <c r="E579" i="27"/>
  <c r="E521" i="27"/>
  <c r="E525" i="27"/>
  <c r="E546" i="27"/>
  <c r="E547" i="27"/>
  <c r="E557" i="27"/>
  <c r="E565" i="27"/>
  <c r="E573" i="27"/>
  <c r="E568" i="27"/>
  <c r="E538" i="27"/>
  <c r="E527" i="27"/>
  <c r="E571" i="27"/>
  <c r="J513" i="27"/>
  <c r="A513" i="27" s="1"/>
  <c r="E207" i="24"/>
  <c r="I207" i="24"/>
  <c r="U380" i="32"/>
  <c r="AY67" i="33"/>
  <c r="AW67" i="33"/>
  <c r="AX67" i="33"/>
  <c r="AT67" i="33"/>
  <c r="AS67" i="33"/>
  <c r="C1801" i="32"/>
  <c r="C1813" i="32"/>
  <c r="C1795" i="32"/>
  <c r="C1805" i="32"/>
  <c r="C1783" i="32"/>
  <c r="C1791" i="32"/>
  <c r="C1799" i="32"/>
  <c r="C1817" i="32"/>
  <c r="C1807" i="32"/>
  <c r="C1811" i="32"/>
  <c r="C1787" i="32"/>
  <c r="C1809" i="32"/>
  <c r="C1803" i="32"/>
  <c r="C1819" i="32"/>
  <c r="C1789" i="32"/>
  <c r="C1793" i="32"/>
  <c r="C1815" i="32"/>
  <c r="C1781" i="32"/>
  <c r="C1797" i="32"/>
  <c r="C1785" i="32"/>
  <c r="A2317" i="27"/>
  <c r="M257" i="27"/>
  <c r="A257" i="27" s="1"/>
  <c r="AY48" i="34"/>
  <c r="B2319" i="27"/>
  <c r="U74" i="32"/>
  <c r="S885" i="32" a="1"/>
  <c r="S885" i="32" s="1"/>
  <c r="E885" i="32" s="1"/>
  <c r="V885" i="32" a="1"/>
  <c r="V885" i="32" s="1"/>
  <c r="L885" i="32" s="1"/>
  <c r="R885" i="32" a="1"/>
  <c r="R885" i="32" s="1"/>
  <c r="D885" i="32" s="1"/>
  <c r="T885" i="32" a="1"/>
  <c r="T885" i="32" s="1"/>
  <c r="P889" i="32"/>
  <c r="Q887" i="32"/>
  <c r="A2890" i="27"/>
  <c r="F2892" i="27"/>
  <c r="F2893" i="27"/>
  <c r="H401" i="27"/>
  <c r="H177" i="27"/>
  <c r="K1478" i="27"/>
  <c r="K1477" i="27"/>
  <c r="F2568" i="27"/>
  <c r="F2569" i="27"/>
  <c r="F2570" i="27" s="1"/>
  <c r="F2571" i="27" s="1"/>
  <c r="F2572" i="27" s="1"/>
  <c r="F2573" i="27" s="1"/>
  <c r="Q26" i="29"/>
  <c r="O26" i="29"/>
  <c r="P27" i="29" a="1"/>
  <c r="P27" i="29" s="1"/>
  <c r="I59" i="16" a="1"/>
  <c r="I59" i="16" s="1"/>
  <c r="H60" i="16" a="1"/>
  <c r="H60" i="16" s="1"/>
  <c r="B519" i="27"/>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738" i="27" s="1"/>
  <c r="B739" i="27" s="1"/>
  <c r="B740" i="27" s="1"/>
  <c r="B741" i="27" s="1"/>
  <c r="B742" i="27" s="1"/>
  <c r="B743" i="27" s="1"/>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836" i="27" s="1"/>
  <c r="B837" i="27" s="1"/>
  <c r="B838" i="27" s="1"/>
  <c r="B839" i="27" s="1"/>
  <c r="B840" i="27" s="1"/>
  <c r="B841" i="27" s="1"/>
  <c r="B842" i="27" s="1"/>
  <c r="B843" i="27" s="1"/>
  <c r="B844" i="27" s="1"/>
  <c r="B845" i="27" s="1"/>
  <c r="B846" i="27" s="1"/>
  <c r="B847" i="27" s="1"/>
  <c r="B848" i="27" s="1"/>
  <c r="B849" i="27" s="1"/>
  <c r="B850" i="27" s="1"/>
  <c r="B851" i="27" s="1"/>
  <c r="B852" i="27" s="1"/>
  <c r="B853" i="27" s="1"/>
  <c r="B854" i="27" s="1"/>
  <c r="B855" i="27" s="1"/>
  <c r="B856" i="27" s="1"/>
  <c r="B857" i="27" s="1"/>
  <c r="B858" i="27" s="1"/>
  <c r="B859" i="27" s="1"/>
  <c r="B860" i="27" s="1"/>
  <c r="B861" i="27" s="1"/>
  <c r="B862" i="27" s="1"/>
  <c r="B863" i="27" s="1"/>
  <c r="B864" i="27" s="1"/>
  <c r="B865" i="27" s="1"/>
  <c r="B866" i="27" s="1"/>
  <c r="B867" i="27" s="1"/>
  <c r="B868" i="27" s="1"/>
  <c r="B869" i="27" s="1"/>
  <c r="B870" i="27" s="1"/>
  <c r="B871" i="27" s="1"/>
  <c r="B872" i="27" s="1"/>
  <c r="B873" i="27" s="1"/>
  <c r="B874" i="27" s="1"/>
  <c r="B875" i="27" s="1"/>
  <c r="B876" i="27" s="1"/>
  <c r="B877" i="27" s="1"/>
  <c r="B878" i="27" s="1"/>
  <c r="B879" i="27" s="1"/>
  <c r="M519" i="27"/>
  <c r="C519" i="27" s="1"/>
  <c r="M730" i="27"/>
  <c r="C730" i="27" s="1"/>
  <c r="M708" i="27"/>
  <c r="C708" i="27" s="1"/>
  <c r="M859" i="27"/>
  <c r="C859" i="27" s="1"/>
  <c r="M710" i="27"/>
  <c r="C710" i="27" s="1"/>
  <c r="M782" i="27"/>
  <c r="C782" i="27" s="1"/>
  <c r="M862" i="27"/>
  <c r="C862" i="27" s="1"/>
  <c r="M771" i="27"/>
  <c r="C771" i="27" s="1"/>
  <c r="M738" i="27"/>
  <c r="C738" i="27" s="1"/>
  <c r="M741" i="27"/>
  <c r="C741" i="27" s="1"/>
  <c r="M702" i="27"/>
  <c r="C702" i="27" s="1"/>
  <c r="M792" i="27"/>
  <c r="C792" i="27" s="1"/>
  <c r="M834" i="27"/>
  <c r="C834" i="27" s="1"/>
  <c r="M734" i="27"/>
  <c r="C734" i="27" s="1"/>
  <c r="M840" i="27"/>
  <c r="C840" i="27" s="1"/>
  <c r="M713" i="27"/>
  <c r="C713" i="27" s="1"/>
  <c r="M770" i="27"/>
  <c r="C770" i="27" s="1"/>
  <c r="M839" i="27"/>
  <c r="C839" i="27" s="1"/>
  <c r="M867" i="27"/>
  <c r="C867" i="27" s="1"/>
  <c r="M756" i="27"/>
  <c r="C756" i="27" s="1"/>
  <c r="M845" i="27"/>
  <c r="C845" i="27" s="1"/>
  <c r="J193" i="16" a="1"/>
  <c r="J193" i="16" s="1"/>
  <c r="I194" i="16" a="1"/>
  <c r="I194" i="16" s="1"/>
  <c r="H744" i="27"/>
  <c r="BB13" i="33"/>
  <c r="U685" i="32"/>
  <c r="I176" i="27"/>
  <c r="K743" i="27"/>
  <c r="N176" i="27"/>
  <c r="D2318" i="27"/>
  <c r="K176" i="27"/>
  <c r="N401" i="27"/>
  <c r="A378" i="32"/>
  <c r="AH11" i="33"/>
  <c r="D513" i="27"/>
  <c r="P2318" i="27"/>
  <c r="AB11" i="33"/>
  <c r="V11" i="33"/>
  <c r="K2893" i="27"/>
  <c r="M176" i="27"/>
  <c r="I2891" i="27"/>
  <c r="AE11" i="33"/>
  <c r="J2891" i="27"/>
  <c r="Y11" i="33"/>
  <c r="F2318" i="27"/>
  <c r="AK11" i="33"/>
  <c r="N400" i="27"/>
  <c r="N2318" i="27"/>
  <c r="I2318" i="27"/>
  <c r="J743" i="27"/>
  <c r="M2318" i="27"/>
  <c r="J2318" i="27"/>
  <c r="S11" i="33"/>
  <c r="A683" i="32"/>
  <c r="K2318" i="27"/>
  <c r="J400" i="27"/>
  <c r="K400" i="27"/>
  <c r="O2318" i="27"/>
  <c r="BC47" i="34"/>
  <c r="A72" i="32"/>
  <c r="L2318" i="27"/>
  <c r="G378" i="32"/>
  <c r="H2891" i="27"/>
  <c r="P11" i="33"/>
  <c r="BD47" i="34"/>
  <c r="G683" i="32"/>
  <c r="I177" i="27"/>
  <c r="I400" i="27"/>
  <c r="G72" i="32"/>
  <c r="K2892" i="27"/>
  <c r="S458" i="32" l="1" a="1"/>
  <c r="S458" i="32" s="1"/>
  <c r="E458" i="32" s="1"/>
  <c r="T458" i="32" a="1"/>
  <c r="T458" i="32" s="1"/>
  <c r="V458" i="32" a="1"/>
  <c r="V458" i="32" s="1"/>
  <c r="L458" i="32" s="1"/>
  <c r="R458" i="32" a="1"/>
  <c r="R458" i="32" s="1"/>
  <c r="D458" i="32" s="1"/>
  <c r="P462" i="32"/>
  <c r="Q460" i="32"/>
  <c r="A176" i="27"/>
  <c r="T176" i="27" s="1"/>
  <c r="M838" i="27"/>
  <c r="C838" i="27" s="1"/>
  <c r="M759" i="27"/>
  <c r="C759" i="27" s="1"/>
  <c r="H519" i="27"/>
  <c r="I519" i="27"/>
  <c r="K519" i="27"/>
  <c r="H526" i="27"/>
  <c r="H527" i="27" s="1"/>
  <c r="H528" i="27" s="1"/>
  <c r="H529" i="27" s="1"/>
  <c r="H530" i="27" s="1"/>
  <c r="M854" i="27"/>
  <c r="C854" i="27" s="1"/>
  <c r="M727" i="27"/>
  <c r="C727" i="27" s="1"/>
  <c r="M732" i="27"/>
  <c r="C732" i="27" s="1"/>
  <c r="M778" i="27"/>
  <c r="C778" i="27" s="1"/>
  <c r="M750" i="27"/>
  <c r="C750" i="27" s="1"/>
  <c r="M718" i="27"/>
  <c r="C718" i="27" s="1"/>
  <c r="M703" i="27"/>
  <c r="C703" i="27" s="1"/>
  <c r="M566" i="27"/>
  <c r="W1781" i="32"/>
  <c r="K1781" i="32" s="1"/>
  <c r="Q1781" i="32"/>
  <c r="Q1819" i="32"/>
  <c r="W1819" i="32"/>
  <c r="K1819" i="32" s="1"/>
  <c r="W1811" i="32"/>
  <c r="K1811" i="32" s="1"/>
  <c r="Q1811" i="32"/>
  <c r="W1791" i="32"/>
  <c r="K1791" i="32" s="1"/>
  <c r="Q1791" i="32"/>
  <c r="Q1813" i="32"/>
  <c r="W1813" i="32"/>
  <c r="K1813" i="32" s="1"/>
  <c r="W1815" i="32"/>
  <c r="K1815" i="32" s="1"/>
  <c r="Q1815" i="32"/>
  <c r="W1803" i="32"/>
  <c r="K1803" i="32" s="1"/>
  <c r="Q1803" i="32"/>
  <c r="Q1807" i="32"/>
  <c r="W1807" i="32"/>
  <c r="K1807" i="32" s="1"/>
  <c r="W1783" i="32"/>
  <c r="K1783" i="32" s="1"/>
  <c r="Q1783" i="32"/>
  <c r="Q1801" i="32"/>
  <c r="W1801" i="32"/>
  <c r="K1801" i="32" s="1"/>
  <c r="W1785" i="32"/>
  <c r="K1785" i="32" s="1"/>
  <c r="Q1785" i="32"/>
  <c r="W1793" i="32"/>
  <c r="K1793" i="32" s="1"/>
  <c r="Q1793" i="32"/>
  <c r="Q1809" i="32"/>
  <c r="W1809" i="32"/>
  <c r="K1809" i="32" s="1"/>
  <c r="Q1817" i="32"/>
  <c r="W1817" i="32"/>
  <c r="K1817" i="32" s="1"/>
  <c r="Q1805" i="32"/>
  <c r="W1805" i="32"/>
  <c r="K1805" i="32" s="1"/>
  <c r="Q1797" i="32"/>
  <c r="W1797" i="32"/>
  <c r="K1797" i="32" s="1"/>
  <c r="Q1789" i="32"/>
  <c r="W1789" i="32"/>
  <c r="K1789" i="32" s="1"/>
  <c r="Q1787" i="32"/>
  <c r="W1787" i="32"/>
  <c r="K1787" i="32" s="1"/>
  <c r="W1799" i="32"/>
  <c r="K1799" i="32" s="1"/>
  <c r="Q1799" i="32"/>
  <c r="Q1795" i="32"/>
  <c r="W1795" i="32"/>
  <c r="K1795" i="32" s="1"/>
  <c r="U382" i="32"/>
  <c r="M679" i="27"/>
  <c r="M677" i="27"/>
  <c r="M616" i="27"/>
  <c r="M668" i="27"/>
  <c r="M651" i="27"/>
  <c r="M624" i="27"/>
  <c r="M694" i="27"/>
  <c r="M587" i="27"/>
  <c r="M617" i="27"/>
  <c r="M675" i="27"/>
  <c r="A400" i="27"/>
  <c r="A2318" i="27"/>
  <c r="M615" i="27"/>
  <c r="M672" i="27"/>
  <c r="M746" i="27"/>
  <c r="C746" i="27" s="1"/>
  <c r="M705" i="27"/>
  <c r="C705" i="27" s="1"/>
  <c r="M788" i="27"/>
  <c r="C788" i="27" s="1"/>
  <c r="M802" i="27"/>
  <c r="C802" i="27" s="1"/>
  <c r="M758" i="27"/>
  <c r="C758" i="27" s="1"/>
  <c r="M764" i="27"/>
  <c r="C764" i="27" s="1"/>
  <c r="M811" i="27"/>
  <c r="C811" i="27" s="1"/>
  <c r="M776" i="27"/>
  <c r="C776" i="27" s="1"/>
  <c r="M735" i="27"/>
  <c r="C735" i="27" s="1"/>
  <c r="M875" i="27"/>
  <c r="C875" i="27" s="1"/>
  <c r="M841" i="27"/>
  <c r="C841" i="27" s="1"/>
  <c r="M809" i="27"/>
  <c r="C809" i="27" s="1"/>
  <c r="AY49" i="34"/>
  <c r="B2320" i="27"/>
  <c r="M773" i="27"/>
  <c r="C773" i="27" s="1"/>
  <c r="M858" i="27"/>
  <c r="C858" i="27" s="1"/>
  <c r="M752" i="27"/>
  <c r="C752" i="27" s="1"/>
  <c r="M853" i="27"/>
  <c r="C853" i="27" s="1"/>
  <c r="M835" i="27"/>
  <c r="C835" i="27" s="1"/>
  <c r="M537" i="27"/>
  <c r="M658" i="27"/>
  <c r="M726" i="27"/>
  <c r="C726" i="27" s="1"/>
  <c r="M804" i="27"/>
  <c r="C804" i="27" s="1"/>
  <c r="U76" i="32"/>
  <c r="M660" i="27"/>
  <c r="A2891" i="27"/>
  <c r="M567" i="27"/>
  <c r="M682" i="27"/>
  <c r="M583" i="27"/>
  <c r="M569" i="27"/>
  <c r="V887" i="32" a="1"/>
  <c r="V887" i="32" s="1"/>
  <c r="L887" i="32" s="1"/>
  <c r="R887" i="32" a="1"/>
  <c r="R887" i="32" s="1"/>
  <c r="D887" i="32" s="1"/>
  <c r="T887" i="32" a="1"/>
  <c r="T887" i="32" s="1"/>
  <c r="S887" i="32" a="1"/>
  <c r="S887" i="32" s="1"/>
  <c r="E887" i="32" s="1"/>
  <c r="P891" i="32"/>
  <c r="Q889" i="32"/>
  <c r="M692" i="27"/>
  <c r="M547" i="27"/>
  <c r="M676" i="27"/>
  <c r="M612" i="27"/>
  <c r="M620" i="27"/>
  <c r="M548" i="27"/>
  <c r="M584" i="27"/>
  <c r="M580" i="27"/>
  <c r="M669" i="27"/>
  <c r="M619" i="27"/>
  <c r="M678" i="27"/>
  <c r="M589" i="27"/>
  <c r="M525" i="27"/>
  <c r="M625" i="27"/>
  <c r="M579" i="27"/>
  <c r="M654" i="27"/>
  <c r="M555" i="27"/>
  <c r="M608" i="27"/>
  <c r="M527" i="27"/>
  <c r="M663" i="27"/>
  <c r="M686" i="27"/>
  <c r="M526" i="27"/>
  <c r="M666" i="27"/>
  <c r="M521" i="27"/>
  <c r="M818" i="27"/>
  <c r="C818" i="27" s="1"/>
  <c r="M740" i="27"/>
  <c r="C740" i="27" s="1"/>
  <c r="M689" i="27"/>
  <c r="M810" i="27"/>
  <c r="C810" i="27" s="1"/>
  <c r="M842" i="27"/>
  <c r="C842" i="27" s="1"/>
  <c r="M716" i="27"/>
  <c r="C716" i="27" s="1"/>
  <c r="M870" i="27"/>
  <c r="C870" i="27" s="1"/>
  <c r="M697" i="27"/>
  <c r="M606" i="27"/>
  <c r="M641" i="27"/>
  <c r="M807" i="27"/>
  <c r="C807" i="27" s="1"/>
  <c r="M541" i="27"/>
  <c r="M542" i="27"/>
  <c r="M611" i="27"/>
  <c r="M866" i="27"/>
  <c r="C866" i="27" s="1"/>
  <c r="M825" i="27"/>
  <c r="C825" i="27" s="1"/>
  <c r="M707" i="27"/>
  <c r="C707" i="27" s="1"/>
  <c r="M530" i="27"/>
  <c r="M720" i="27"/>
  <c r="C720" i="27" s="1"/>
  <c r="M559" i="27"/>
  <c r="M545" i="27"/>
  <c r="M568" i="27"/>
  <c r="M747" i="27"/>
  <c r="C747" i="27" s="1"/>
  <c r="M532" i="27"/>
  <c r="M851" i="27"/>
  <c r="C851" i="27" s="1"/>
  <c r="M520" i="27"/>
  <c r="M528" i="27"/>
  <c r="M795" i="27"/>
  <c r="C795" i="27" s="1"/>
  <c r="M540" i="27"/>
  <c r="M873" i="27"/>
  <c r="C873" i="27" s="1"/>
  <c r="M784" i="27"/>
  <c r="C784" i="27" s="1"/>
  <c r="M739" i="27"/>
  <c r="C739" i="27" s="1"/>
  <c r="M820" i="27"/>
  <c r="C820" i="27" s="1"/>
  <c r="M798" i="27"/>
  <c r="C798" i="27" s="1"/>
  <c r="M673" i="27"/>
  <c r="M872" i="27"/>
  <c r="C872" i="27" s="1"/>
  <c r="M816" i="27"/>
  <c r="C816" i="27" s="1"/>
  <c r="M591" i="27"/>
  <c r="M691" i="27"/>
  <c r="M709" i="27"/>
  <c r="C709" i="27" s="1"/>
  <c r="M647" i="27"/>
  <c r="M648" i="27"/>
  <c r="M878" i="27"/>
  <c r="C878" i="27" s="1"/>
  <c r="M649" i="27"/>
  <c r="M715" i="27"/>
  <c r="C715" i="27" s="1"/>
  <c r="M614" i="27"/>
  <c r="M844" i="27"/>
  <c r="C844" i="27" s="1"/>
  <c r="M578" i="27"/>
  <c r="M785" i="27"/>
  <c r="C785" i="27" s="1"/>
  <c r="M522" i="27"/>
  <c r="M564" i="27"/>
  <c r="M524" i="27"/>
  <c r="M565" i="27"/>
  <c r="M817" i="27"/>
  <c r="C817" i="27" s="1"/>
  <c r="M622" i="27"/>
  <c r="M821" i="27"/>
  <c r="C821" i="27" s="1"/>
  <c r="M577" i="27"/>
  <c r="M827" i="27"/>
  <c r="C827" i="27" s="1"/>
  <c r="M706" i="27"/>
  <c r="C706" i="27" s="1"/>
  <c r="M729" i="27"/>
  <c r="C729" i="27" s="1"/>
  <c r="M856" i="27"/>
  <c r="C856" i="27" s="1"/>
  <c r="M806" i="27"/>
  <c r="C806" i="27" s="1"/>
  <c r="M592" i="27"/>
  <c r="M674" i="27"/>
  <c r="M751" i="27"/>
  <c r="C751" i="27" s="1"/>
  <c r="M599" i="27"/>
  <c r="M743" i="27"/>
  <c r="C743" i="27" s="1"/>
  <c r="M781" i="27"/>
  <c r="C781" i="27" s="1"/>
  <c r="M721" i="27"/>
  <c r="C721" i="27" s="1"/>
  <c r="M714" i="27"/>
  <c r="C714" i="27" s="1"/>
  <c r="M637" i="27"/>
  <c r="M529" i="27"/>
  <c r="M879" i="27"/>
  <c r="C879" i="27" s="1"/>
  <c r="M774" i="27"/>
  <c r="C774" i="27" s="1"/>
  <c r="M550" i="27"/>
  <c r="M796" i="27"/>
  <c r="C796" i="27" s="1"/>
  <c r="M576" i="27"/>
  <c r="M719" i="27"/>
  <c r="C719" i="27" s="1"/>
  <c r="M640" i="27"/>
  <c r="M865" i="27"/>
  <c r="C865" i="27" s="1"/>
  <c r="M780" i="27"/>
  <c r="C780" i="27" s="1"/>
  <c r="M688" i="27"/>
  <c r="M543" i="27"/>
  <c r="M812" i="27"/>
  <c r="C812" i="27" s="1"/>
  <c r="M789" i="27"/>
  <c r="C789" i="27" s="1"/>
  <c r="M594" i="27"/>
  <c r="M650" i="27"/>
  <c r="M783" i="27"/>
  <c r="C783" i="27" s="1"/>
  <c r="M538" i="27"/>
  <c r="M605" i="27"/>
  <c r="M766" i="27"/>
  <c r="C766" i="27" s="1"/>
  <c r="M767" i="27"/>
  <c r="C767" i="27" s="1"/>
  <c r="M585" i="27"/>
  <c r="M601" i="27"/>
  <c r="M597" i="27"/>
  <c r="M646" i="27"/>
  <c r="M742" i="27"/>
  <c r="C742" i="27" s="1"/>
  <c r="M877" i="27"/>
  <c r="C877" i="27" s="1"/>
  <c r="M639" i="27"/>
  <c r="M733" i="27"/>
  <c r="C733" i="27" s="1"/>
  <c r="M832" i="27"/>
  <c r="C832" i="27" s="1"/>
  <c r="F2894" i="27"/>
  <c r="M630" i="27"/>
  <c r="M535" i="27"/>
  <c r="M684" i="27"/>
  <c r="M610" i="27"/>
  <c r="M635" i="27"/>
  <c r="M671" i="27"/>
  <c r="M593" i="27"/>
  <c r="M536" i="27"/>
  <c r="M575" i="27"/>
  <c r="M556" i="27"/>
  <c r="M557" i="27"/>
  <c r="H178" i="27"/>
  <c r="H402" i="27"/>
  <c r="N151" i="24"/>
  <c r="S151" i="24"/>
  <c r="P151" i="24"/>
  <c r="O151" i="24"/>
  <c r="Q151" i="24"/>
  <c r="L151" i="24"/>
  <c r="K1480" i="27"/>
  <c r="K1479" i="27"/>
  <c r="M151" i="24"/>
  <c r="R151" i="24"/>
  <c r="M704" i="27"/>
  <c r="C704" i="27" s="1"/>
  <c r="M595" i="27"/>
  <c r="M596" i="27"/>
  <c r="M628" i="27"/>
  <c r="M823" i="27"/>
  <c r="C823" i="27" s="1"/>
  <c r="M642" i="27"/>
  <c r="M609" i="27"/>
  <c r="M643" i="27"/>
  <c r="M863" i="27"/>
  <c r="C863" i="27" s="1"/>
  <c r="M695" i="27"/>
  <c r="M546" i="27"/>
  <c r="M855" i="27"/>
  <c r="C855" i="27" s="1"/>
  <c r="M581" i="27"/>
  <c r="M768" i="27"/>
  <c r="C768" i="27" s="1"/>
  <c r="M563" i="27"/>
  <c r="M791" i="27"/>
  <c r="C791" i="27" s="1"/>
  <c r="M586" i="27"/>
  <c r="M598" i="27"/>
  <c r="M793" i="27"/>
  <c r="C793" i="27" s="1"/>
  <c r="M626" i="27"/>
  <c r="M653" i="27"/>
  <c r="M736" i="27"/>
  <c r="C736" i="27" s="1"/>
  <c r="M572" i="27"/>
  <c r="M779" i="27"/>
  <c r="C779" i="27" s="1"/>
  <c r="M805" i="27"/>
  <c r="C805" i="27" s="1"/>
  <c r="M588" i="27"/>
  <c r="M657" i="27"/>
  <c r="M534" i="27"/>
  <c r="M712" i="27"/>
  <c r="C712" i="27" s="1"/>
  <c r="M549" i="27"/>
  <c r="M748" i="27"/>
  <c r="C748" i="27" s="1"/>
  <c r="J194" i="16" a="1"/>
  <c r="J194" i="16" s="1"/>
  <c r="I195" i="16" a="1"/>
  <c r="I195" i="16" s="1"/>
  <c r="O27" i="29"/>
  <c r="Q27" i="29"/>
  <c r="P28" i="29" a="1"/>
  <c r="P28" i="29" s="1"/>
  <c r="M753" i="27"/>
  <c r="C753" i="27" s="1"/>
  <c r="M621" i="27"/>
  <c r="M724" i="27"/>
  <c r="C724" i="27" s="1"/>
  <c r="M687" i="27"/>
  <c r="M803" i="27"/>
  <c r="C803" i="27" s="1"/>
  <c r="M754" i="27"/>
  <c r="C754" i="27" s="1"/>
  <c r="M833" i="27"/>
  <c r="C833" i="27" s="1"/>
  <c r="M562" i="27"/>
  <c r="M826" i="27"/>
  <c r="C826" i="27" s="1"/>
  <c r="M871" i="27"/>
  <c r="C871" i="27" s="1"/>
  <c r="M777" i="27"/>
  <c r="C777" i="27" s="1"/>
  <c r="M634" i="27"/>
  <c r="M869" i="27"/>
  <c r="C869" i="27" s="1"/>
  <c r="M531" i="27"/>
  <c r="M631" i="27"/>
  <c r="M876" i="27"/>
  <c r="C876" i="27" s="1"/>
  <c r="M717" i="27"/>
  <c r="C717" i="27" s="1"/>
  <c r="M696" i="27"/>
  <c r="M571" i="27"/>
  <c r="M800" i="27"/>
  <c r="C800" i="27" s="1"/>
  <c r="M861" i="27"/>
  <c r="C861" i="27" s="1"/>
  <c r="M700" i="27"/>
  <c r="C700" i="27" s="1"/>
  <c r="M722" i="27"/>
  <c r="C722" i="27" s="1"/>
  <c r="M645" i="27"/>
  <c r="M760" i="27"/>
  <c r="C760" i="27" s="1"/>
  <c r="BB15" i="33"/>
  <c r="M544" i="27"/>
  <c r="M558" i="27"/>
  <c r="M769" i="27"/>
  <c r="C769" i="27" s="1"/>
  <c r="M681" i="27"/>
  <c r="M761" i="27"/>
  <c r="C761" i="27" s="1"/>
  <c r="M847" i="27"/>
  <c r="C847" i="27" s="1"/>
  <c r="M745" i="27"/>
  <c r="C745" i="27" s="1"/>
  <c r="M590" i="27"/>
  <c r="M552" i="27"/>
  <c r="M613" i="27"/>
  <c r="M864" i="27"/>
  <c r="C864" i="27" s="1"/>
  <c r="M533" i="27"/>
  <c r="M551" i="27"/>
  <c r="M523" i="27"/>
  <c r="M560" i="27"/>
  <c r="M874" i="27"/>
  <c r="C874" i="27" s="1"/>
  <c r="M868" i="27"/>
  <c r="C868" i="27" s="1"/>
  <c r="M554" i="27"/>
  <c r="M763" i="27"/>
  <c r="C763" i="27" s="1"/>
  <c r="M698" i="27"/>
  <c r="M794" i="27"/>
  <c r="C794" i="27" s="1"/>
  <c r="M775" i="27"/>
  <c r="C775" i="27" s="1"/>
  <c r="M618" i="27"/>
  <c r="M799" i="27"/>
  <c r="C799" i="27" s="1"/>
  <c r="M655" i="27"/>
  <c r="M757" i="27"/>
  <c r="C757" i="27" s="1"/>
  <c r="M831" i="27"/>
  <c r="C831" i="27" s="1"/>
  <c r="M627" i="27"/>
  <c r="M711" i="27"/>
  <c r="C711" i="27" s="1"/>
  <c r="M852" i="27"/>
  <c r="C852" i="27" s="1"/>
  <c r="M629" i="27"/>
  <c r="M744" i="27"/>
  <c r="C744" i="27" s="1"/>
  <c r="M667" i="27"/>
  <c r="M848" i="27"/>
  <c r="C848" i="27" s="1"/>
  <c r="M837" i="27"/>
  <c r="C837" i="27" s="1"/>
  <c r="M652" i="27"/>
  <c r="M801" i="27"/>
  <c r="C801" i="27" s="1"/>
  <c r="M600" i="27"/>
  <c r="M755" i="27"/>
  <c r="C755" i="27" s="1"/>
  <c r="M849" i="27"/>
  <c r="C849" i="27" s="1"/>
  <c r="M664" i="27"/>
  <c r="M638" i="27"/>
  <c r="M683" i="27"/>
  <c r="M603" i="27"/>
  <c r="M623" i="27"/>
  <c r="M701" i="27"/>
  <c r="C701" i="27" s="1"/>
  <c r="M808" i="27"/>
  <c r="C808" i="27" s="1"/>
  <c r="M602" i="27"/>
  <c r="M814" i="27"/>
  <c r="C814" i="27" s="1"/>
  <c r="M790" i="27"/>
  <c r="C790" i="27" s="1"/>
  <c r="M665" i="27"/>
  <c r="M659" i="27"/>
  <c r="M680" i="27"/>
  <c r="M819" i="27"/>
  <c r="C819" i="27" s="1"/>
  <c r="M830" i="27"/>
  <c r="C830" i="27" s="1"/>
  <c r="M690" i="27"/>
  <c r="M815" i="27"/>
  <c r="C815" i="27" s="1"/>
  <c r="M762" i="27"/>
  <c r="C762" i="27" s="1"/>
  <c r="M822" i="27"/>
  <c r="C822" i="27" s="1"/>
  <c r="M607" i="27"/>
  <c r="M786" i="27"/>
  <c r="C786" i="27" s="1"/>
  <c r="M846" i="27"/>
  <c r="C846" i="27" s="1"/>
  <c r="M633" i="27"/>
  <c r="M850" i="27"/>
  <c r="C850" i="27" s="1"/>
  <c r="M797" i="27"/>
  <c r="C797" i="27" s="1"/>
  <c r="M570" i="27"/>
  <c r="M553" i="27"/>
  <c r="M828" i="27"/>
  <c r="C828" i="27" s="1"/>
  <c r="M539" i="27"/>
  <c r="M749" i="27"/>
  <c r="C749" i="27" s="1"/>
  <c r="M731" i="27"/>
  <c r="C731" i="27" s="1"/>
  <c r="M737" i="27"/>
  <c r="C737" i="27" s="1"/>
  <c r="M813" i="27"/>
  <c r="C813" i="27" s="1"/>
  <c r="M604" i="27"/>
  <c r="I60" i="16" a="1"/>
  <c r="I60" i="16" s="1"/>
  <c r="H61" i="16" a="1"/>
  <c r="H61" i="16" s="1"/>
  <c r="U687" i="32"/>
  <c r="H745" i="27"/>
  <c r="M860" i="27"/>
  <c r="C860" i="27" s="1"/>
  <c r="M661" i="27"/>
  <c r="F2574" i="27"/>
  <c r="F2575" i="27"/>
  <c r="F2576" i="27" s="1"/>
  <c r="F2577" i="27" s="1"/>
  <c r="F2578" i="27" s="1"/>
  <c r="F2579" i="27" s="1"/>
  <c r="M857" i="27"/>
  <c r="C857" i="27" s="1"/>
  <c r="M662" i="27"/>
  <c r="M836" i="27"/>
  <c r="C836" i="27" s="1"/>
  <c r="M765" i="27"/>
  <c r="C765" i="27" s="1"/>
  <c r="M685" i="27"/>
  <c r="M787" i="27"/>
  <c r="C787" i="27" s="1"/>
  <c r="M725" i="27"/>
  <c r="C725" i="27" s="1"/>
  <c r="M824" i="27"/>
  <c r="C824" i="27" s="1"/>
  <c r="M699" i="27"/>
  <c r="M670" i="27"/>
  <c r="M728" i="27"/>
  <c r="C728" i="27" s="1"/>
  <c r="M723" i="27"/>
  <c r="C723" i="27" s="1"/>
  <c r="M574" i="27"/>
  <c r="M656" i="27"/>
  <c r="M644" i="27"/>
  <c r="M843" i="27"/>
  <c r="C843" i="27" s="1"/>
  <c r="M829" i="27"/>
  <c r="C829" i="27" s="1"/>
  <c r="M636" i="27"/>
  <c r="M561" i="27"/>
  <c r="M582" i="27"/>
  <c r="M632" i="27"/>
  <c r="M693" i="27"/>
  <c r="M772" i="27"/>
  <c r="C772" i="27" s="1"/>
  <c r="M573" i="27"/>
  <c r="G685" i="32"/>
  <c r="AB13" i="33"/>
  <c r="A380" i="32"/>
  <c r="N2319" i="27"/>
  <c r="P13" i="33"/>
  <c r="I711" i="27"/>
  <c r="K178" i="27"/>
  <c r="K402" i="27"/>
  <c r="O2319" i="27"/>
  <c r="A74" i="32"/>
  <c r="H2893" i="27"/>
  <c r="P2319" i="27"/>
  <c r="J2892" i="27"/>
  <c r="G74" i="32"/>
  <c r="K744" i="27"/>
  <c r="M178" i="27"/>
  <c r="I706" i="27"/>
  <c r="M177" i="27"/>
  <c r="J744" i="27"/>
  <c r="I178" i="27"/>
  <c r="I2319" i="27"/>
  <c r="J178" i="27"/>
  <c r="S13" i="33"/>
  <c r="K2319" i="27"/>
  <c r="H2894" i="27"/>
  <c r="J2319" i="27"/>
  <c r="I710" i="27"/>
  <c r="I707" i="27"/>
  <c r="J2893" i="27"/>
  <c r="Y13" i="33"/>
  <c r="K177" i="27"/>
  <c r="K401" i="27"/>
  <c r="AE13" i="33"/>
  <c r="A685" i="32"/>
  <c r="J177" i="27"/>
  <c r="BC48" i="34"/>
  <c r="M401" i="27"/>
  <c r="L2319" i="27"/>
  <c r="I2893" i="27"/>
  <c r="I708" i="27"/>
  <c r="G380" i="32"/>
  <c r="I2892" i="27"/>
  <c r="N178" i="27"/>
  <c r="BD48" i="34"/>
  <c r="D2319" i="27"/>
  <c r="V13" i="33"/>
  <c r="I401" i="27"/>
  <c r="AH13" i="33"/>
  <c r="AK13" i="33"/>
  <c r="I709" i="27"/>
  <c r="H2892" i="27"/>
  <c r="J401" i="27"/>
  <c r="N177" i="27"/>
  <c r="M2319" i="27"/>
  <c r="F2319" i="27"/>
  <c r="V460" i="32" l="1" a="1"/>
  <c r="V460" i="32" s="1"/>
  <c r="L460" i="32" s="1"/>
  <c r="R460" i="32" a="1"/>
  <c r="R460" i="32" s="1"/>
  <c r="D460" i="32" s="1"/>
  <c r="S460" i="32" a="1"/>
  <c r="S460" i="32" s="1"/>
  <c r="E460" i="32" s="1"/>
  <c r="T460" i="32" a="1"/>
  <c r="T460" i="32" s="1"/>
  <c r="P464" i="32"/>
  <c r="Q462" i="32"/>
  <c r="A519" i="27"/>
  <c r="H531" i="27"/>
  <c r="H532" i="27"/>
  <c r="H533" i="27" s="1"/>
  <c r="H534" i="27" s="1"/>
  <c r="H535" i="27" s="1"/>
  <c r="H536" i="27" s="1"/>
  <c r="H538" i="27" s="1"/>
  <c r="H539" i="27" s="1"/>
  <c r="H540" i="27" s="1"/>
  <c r="H541" i="27" s="1"/>
  <c r="H542" i="27" s="1"/>
  <c r="R1793" i="32" a="1"/>
  <c r="R1793" i="32" s="1"/>
  <c r="D1793" i="32" s="1"/>
  <c r="T1793" i="32" a="1"/>
  <c r="T1793" i="32" s="1"/>
  <c r="V1793" i="32" a="1"/>
  <c r="V1793" i="32" s="1"/>
  <c r="L1793" i="32" s="1"/>
  <c r="S1793" i="32" a="1"/>
  <c r="S1793" i="32" s="1"/>
  <c r="E1793" i="32" s="1"/>
  <c r="T1815" i="32" a="1"/>
  <c r="T1815" i="32" s="1"/>
  <c r="V1815" i="32" a="1"/>
  <c r="V1815" i="32" s="1"/>
  <c r="L1815" i="32" s="1"/>
  <c r="R1815" i="32" a="1"/>
  <c r="R1815" i="32" s="1"/>
  <c r="D1815" i="32" s="1"/>
  <c r="S1815" i="32" a="1"/>
  <c r="S1815" i="32" s="1"/>
  <c r="E1815" i="32" s="1"/>
  <c r="T1791" i="32" a="1"/>
  <c r="T1791" i="32" s="1"/>
  <c r="S1791" i="32" a="1"/>
  <c r="S1791" i="32" s="1"/>
  <c r="E1791" i="32" s="1"/>
  <c r="V1791" i="32" a="1"/>
  <c r="V1791" i="32" s="1"/>
  <c r="L1791" i="32" s="1"/>
  <c r="R1791" i="32" a="1"/>
  <c r="R1791" i="32" s="1"/>
  <c r="D1791" i="32" s="1"/>
  <c r="V1795" i="32" a="1"/>
  <c r="V1795" i="32" s="1"/>
  <c r="L1795" i="32" s="1"/>
  <c r="R1795" i="32" a="1"/>
  <c r="R1795" i="32" s="1"/>
  <c r="D1795" i="32" s="1"/>
  <c r="T1795" i="32" a="1"/>
  <c r="T1795" i="32" s="1"/>
  <c r="S1795" i="32" a="1"/>
  <c r="S1795" i="32" s="1"/>
  <c r="E1795" i="32" s="1"/>
  <c r="T1787" i="32" a="1"/>
  <c r="T1787" i="32" s="1"/>
  <c r="R1787" i="32" a="1"/>
  <c r="R1787" i="32" s="1"/>
  <c r="D1787" i="32" s="1"/>
  <c r="S1787" i="32" a="1"/>
  <c r="S1787" i="32" s="1"/>
  <c r="E1787" i="32" s="1"/>
  <c r="V1787" i="32" a="1"/>
  <c r="V1787" i="32" s="1"/>
  <c r="L1787" i="32" s="1"/>
  <c r="V1797" i="32" a="1"/>
  <c r="V1797" i="32" s="1"/>
  <c r="L1797" i="32" s="1"/>
  <c r="S1797" i="32" a="1"/>
  <c r="S1797" i="32" s="1"/>
  <c r="E1797" i="32" s="1"/>
  <c r="T1797" i="32" a="1"/>
  <c r="T1797" i="32" s="1"/>
  <c r="R1797" i="32" a="1"/>
  <c r="R1797" i="32" s="1"/>
  <c r="D1797" i="32" s="1"/>
  <c r="R1817" i="32" a="1"/>
  <c r="R1817" i="32" s="1"/>
  <c r="D1817" i="32" s="1"/>
  <c r="T1817" i="32" a="1"/>
  <c r="T1817" i="32" s="1"/>
  <c r="S1817" i="32" a="1"/>
  <c r="S1817" i="32" s="1"/>
  <c r="E1817" i="32" s="1"/>
  <c r="V1817" i="32" a="1"/>
  <c r="V1817" i="32" s="1"/>
  <c r="L1817" i="32" s="1"/>
  <c r="S1801" i="32" a="1"/>
  <c r="S1801" i="32" s="1"/>
  <c r="E1801" i="32" s="1"/>
  <c r="T1801" i="32" a="1"/>
  <c r="T1801" i="32" s="1"/>
  <c r="V1801" i="32" a="1"/>
  <c r="V1801" i="32" s="1"/>
  <c r="L1801" i="32" s="1"/>
  <c r="R1801" i="32" a="1"/>
  <c r="R1801" i="32" s="1"/>
  <c r="D1801" i="32" s="1"/>
  <c r="R1807" i="32" a="1"/>
  <c r="R1807" i="32" s="1"/>
  <c r="D1807" i="32" s="1"/>
  <c r="S1807" i="32" a="1"/>
  <c r="S1807" i="32" s="1"/>
  <c r="E1807" i="32" s="1"/>
  <c r="V1807" i="32" a="1"/>
  <c r="V1807" i="32" s="1"/>
  <c r="L1807" i="32" s="1"/>
  <c r="T1807" i="32" a="1"/>
  <c r="T1807" i="32" s="1"/>
  <c r="V1819" i="32" a="1"/>
  <c r="V1819" i="32" s="1"/>
  <c r="L1819" i="32" s="1"/>
  <c r="S1819" i="32" a="1"/>
  <c r="S1819" i="32" s="1"/>
  <c r="E1819" i="32" s="1"/>
  <c r="R1819" i="32" a="1"/>
  <c r="R1819" i="32" s="1"/>
  <c r="D1819" i="32" s="1"/>
  <c r="T1819" i="32" a="1"/>
  <c r="T1819" i="32" s="1"/>
  <c r="U384" i="32"/>
  <c r="T1799" i="32" a="1"/>
  <c r="T1799" i="32" s="1"/>
  <c r="R1799" i="32" a="1"/>
  <c r="R1799" i="32" s="1"/>
  <c r="D1799" i="32" s="1"/>
  <c r="V1799" i="32" a="1"/>
  <c r="V1799" i="32" s="1"/>
  <c r="L1799" i="32" s="1"/>
  <c r="S1799" i="32" a="1"/>
  <c r="S1799" i="32" s="1"/>
  <c r="E1799" i="32" s="1"/>
  <c r="V1785" i="32" a="1"/>
  <c r="V1785" i="32" s="1"/>
  <c r="L1785" i="32" s="1"/>
  <c r="S1785" i="32" a="1"/>
  <c r="S1785" i="32" s="1"/>
  <c r="E1785" i="32" s="1"/>
  <c r="T1785" i="32" a="1"/>
  <c r="T1785" i="32" s="1"/>
  <c r="R1785" i="32" a="1"/>
  <c r="R1785" i="32" s="1"/>
  <c r="D1785" i="32" s="1"/>
  <c r="T1783" i="32" a="1"/>
  <c r="T1783" i="32" s="1"/>
  <c r="V1783" i="32" a="1"/>
  <c r="V1783" i="32" s="1"/>
  <c r="L1783" i="32" s="1"/>
  <c r="S1783" i="32" a="1"/>
  <c r="S1783" i="32" s="1"/>
  <c r="E1783" i="32" s="1"/>
  <c r="R1783" i="32" a="1"/>
  <c r="R1783" i="32" s="1"/>
  <c r="D1783" i="32" s="1"/>
  <c r="S1803" i="32" a="1"/>
  <c r="S1803" i="32" s="1"/>
  <c r="E1803" i="32" s="1"/>
  <c r="T1803" i="32" a="1"/>
  <c r="T1803" i="32" s="1"/>
  <c r="V1803" i="32" a="1"/>
  <c r="V1803" i="32" s="1"/>
  <c r="L1803" i="32" s="1"/>
  <c r="R1803" i="32" a="1"/>
  <c r="R1803" i="32" s="1"/>
  <c r="D1803" i="32" s="1"/>
  <c r="V1811" i="32" a="1"/>
  <c r="V1811" i="32" s="1"/>
  <c r="L1811" i="32" s="1"/>
  <c r="T1811" i="32" a="1"/>
  <c r="T1811" i="32" s="1"/>
  <c r="S1811" i="32" a="1"/>
  <c r="S1811" i="32" s="1"/>
  <c r="E1811" i="32" s="1"/>
  <c r="R1811" i="32" a="1"/>
  <c r="R1811" i="32" s="1"/>
  <c r="D1811" i="32" s="1"/>
  <c r="T1781" i="32" a="1"/>
  <c r="T1781" i="32" s="1"/>
  <c r="V1781" i="32" a="1"/>
  <c r="V1781" i="32" s="1"/>
  <c r="L1781" i="32" s="1"/>
  <c r="R1781" i="32" a="1"/>
  <c r="R1781" i="32" s="1"/>
  <c r="D1781" i="32" s="1"/>
  <c r="S1781" i="32" a="1"/>
  <c r="S1781" i="32" s="1"/>
  <c r="E1781" i="32" s="1"/>
  <c r="R1789" i="32" a="1"/>
  <c r="R1789" i="32" s="1"/>
  <c r="D1789" i="32" s="1"/>
  <c r="T1789" i="32" a="1"/>
  <c r="T1789" i="32" s="1"/>
  <c r="S1789" i="32" a="1"/>
  <c r="S1789" i="32" s="1"/>
  <c r="E1789" i="32" s="1"/>
  <c r="V1789" i="32" a="1"/>
  <c r="V1789" i="32" s="1"/>
  <c r="L1789" i="32" s="1"/>
  <c r="R1805" i="32" a="1"/>
  <c r="R1805" i="32" s="1"/>
  <c r="D1805" i="32" s="1"/>
  <c r="S1805" i="32" a="1"/>
  <c r="S1805" i="32" s="1"/>
  <c r="E1805" i="32" s="1"/>
  <c r="T1805" i="32" a="1"/>
  <c r="T1805" i="32" s="1"/>
  <c r="V1805" i="32" a="1"/>
  <c r="V1805" i="32" s="1"/>
  <c r="L1805" i="32" s="1"/>
  <c r="S1809" i="32" a="1"/>
  <c r="S1809" i="32" s="1"/>
  <c r="E1809" i="32" s="1"/>
  <c r="R1809" i="32" a="1"/>
  <c r="R1809" i="32" s="1"/>
  <c r="D1809" i="32" s="1"/>
  <c r="V1809" i="32" a="1"/>
  <c r="V1809" i="32" s="1"/>
  <c r="L1809" i="32" s="1"/>
  <c r="T1809" i="32" a="1"/>
  <c r="T1809" i="32" s="1"/>
  <c r="R1813" i="32" a="1"/>
  <c r="R1813" i="32" s="1"/>
  <c r="D1813" i="32" s="1"/>
  <c r="S1813" i="32" a="1"/>
  <c r="S1813" i="32" s="1"/>
  <c r="E1813" i="32" s="1"/>
  <c r="T1813" i="32" a="1"/>
  <c r="T1813" i="32" s="1"/>
  <c r="V1813" i="32" a="1"/>
  <c r="V1813" i="32" s="1"/>
  <c r="L1813" i="32" s="1"/>
  <c r="A2893" i="27"/>
  <c r="A2319" i="27"/>
  <c r="A711" i="27"/>
  <c r="U78" i="32"/>
  <c r="AY50" i="34"/>
  <c r="B2321" i="27"/>
  <c r="A2892" i="27"/>
  <c r="R889" i="32" a="1"/>
  <c r="R889" i="32" s="1"/>
  <c r="D889" i="32" s="1"/>
  <c r="T889" i="32" a="1"/>
  <c r="T889" i="32" s="1"/>
  <c r="S889" i="32" a="1"/>
  <c r="S889" i="32" s="1"/>
  <c r="E889" i="32" s="1"/>
  <c r="V889" i="32" a="1"/>
  <c r="V889" i="32" s="1"/>
  <c r="L889" i="32" s="1"/>
  <c r="P893" i="32"/>
  <c r="Q891" i="32"/>
  <c r="A401" i="27"/>
  <c r="A708" i="27"/>
  <c r="A707" i="27"/>
  <c r="A710" i="27"/>
  <c r="A706" i="27"/>
  <c r="A709" i="27"/>
  <c r="A177" i="27"/>
  <c r="T177" i="27" s="1"/>
  <c r="F2895" i="27"/>
  <c r="A178" i="27"/>
  <c r="T178" i="27" s="1"/>
  <c r="H403" i="27"/>
  <c r="H179" i="27"/>
  <c r="P153" i="24"/>
  <c r="O153" i="24"/>
  <c r="K1481" i="27"/>
  <c r="K1482" i="27"/>
  <c r="S153" i="24"/>
  <c r="N153" i="24"/>
  <c r="L153" i="24"/>
  <c r="R153" i="24"/>
  <c r="Q153" i="24"/>
  <c r="M153" i="24"/>
  <c r="F2580" i="27"/>
  <c r="F2581" i="27"/>
  <c r="F2582" i="27" s="1"/>
  <c r="F2583" i="27" s="1"/>
  <c r="F2584" i="27" s="1"/>
  <c r="F2585" i="27" s="1"/>
  <c r="U689" i="32"/>
  <c r="J195" i="16" a="1"/>
  <c r="J195" i="16" s="1"/>
  <c r="I196" i="16" a="1"/>
  <c r="I196" i="16" s="1"/>
  <c r="BB17" i="33"/>
  <c r="I61" i="16" a="1"/>
  <c r="I61" i="16" s="1"/>
  <c r="H62" i="16" a="1"/>
  <c r="H62" i="16" s="1"/>
  <c r="O28" i="29"/>
  <c r="Q28" i="29"/>
  <c r="P29" i="29" a="1"/>
  <c r="P29" i="29" s="1"/>
  <c r="H746" i="27"/>
  <c r="A687" i="32"/>
  <c r="M2320" i="27"/>
  <c r="J745" i="27"/>
  <c r="N402" i="27"/>
  <c r="N179" i="27"/>
  <c r="S17" i="33"/>
  <c r="K2320" i="27"/>
  <c r="P15" i="33"/>
  <c r="A76" i="32"/>
  <c r="Y15" i="33"/>
  <c r="M402" i="27"/>
  <c r="G382" i="32"/>
  <c r="AE15" i="33"/>
  <c r="BD49" i="34"/>
  <c r="K745" i="27"/>
  <c r="I2894" i="27"/>
  <c r="A382" i="32"/>
  <c r="K2895" i="27"/>
  <c r="I402" i="27"/>
  <c r="I717" i="27"/>
  <c r="AB15" i="33"/>
  <c r="D2320" i="27"/>
  <c r="O2320" i="27"/>
  <c r="V15" i="33"/>
  <c r="L2320" i="27"/>
  <c r="AK15" i="33"/>
  <c r="AH15" i="33"/>
  <c r="J2894" i="27"/>
  <c r="P2320" i="27"/>
  <c r="BC49" i="34"/>
  <c r="F2320" i="27"/>
  <c r="I714" i="27"/>
  <c r="I2320" i="27"/>
  <c r="I712" i="27"/>
  <c r="M403" i="27"/>
  <c r="I716" i="27"/>
  <c r="I713" i="27"/>
  <c r="S15" i="33"/>
  <c r="K2894" i="27"/>
  <c r="G76" i="32"/>
  <c r="N2320" i="27"/>
  <c r="G687" i="32"/>
  <c r="J2320" i="27"/>
  <c r="J402" i="27"/>
  <c r="I715" i="27"/>
  <c r="S462" i="32" l="1" a="1"/>
  <c r="S462" i="32" s="1"/>
  <c r="E462" i="32" s="1"/>
  <c r="T462" i="32" a="1"/>
  <c r="T462" i="32" s="1"/>
  <c r="V462" i="32" a="1"/>
  <c r="V462" i="32" s="1"/>
  <c r="L462" i="32" s="1"/>
  <c r="R462" i="32" a="1"/>
  <c r="R462" i="32" s="1"/>
  <c r="D462" i="32" s="1"/>
  <c r="P466" i="32"/>
  <c r="Q464" i="32"/>
  <c r="H537" i="27"/>
  <c r="A2894" i="27"/>
  <c r="U386" i="32"/>
  <c r="A2320" i="27"/>
  <c r="AY51" i="34"/>
  <c r="B2322" i="27"/>
  <c r="U80" i="32"/>
  <c r="A717" i="27"/>
  <c r="A713" i="27"/>
  <c r="A714" i="27"/>
  <c r="A402" i="27"/>
  <c r="A715" i="27"/>
  <c r="V891" i="32" a="1"/>
  <c r="V891" i="32" s="1"/>
  <c r="L891" i="32" s="1"/>
  <c r="S891" i="32" a="1"/>
  <c r="S891" i="32" s="1"/>
  <c r="E891" i="32" s="1"/>
  <c r="R891" i="32" a="1"/>
  <c r="R891" i="32" s="1"/>
  <c r="D891" i="32" s="1"/>
  <c r="T891" i="32" a="1"/>
  <c r="T891" i="32" s="1"/>
  <c r="P895" i="32"/>
  <c r="Q893" i="32"/>
  <c r="A712" i="27"/>
  <c r="A716" i="27"/>
  <c r="F2896" i="27"/>
  <c r="H180" i="27"/>
  <c r="H404" i="27"/>
  <c r="P155" i="24"/>
  <c r="M155" i="24"/>
  <c r="O155" i="24"/>
  <c r="N155" i="24"/>
  <c r="L155" i="24"/>
  <c r="K1483" i="27"/>
  <c r="K1484" i="27"/>
  <c r="R155" i="24"/>
  <c r="Q155" i="24"/>
  <c r="S155" i="24"/>
  <c r="O29" i="29"/>
  <c r="Q29" i="29"/>
  <c r="P30" i="29" a="1"/>
  <c r="P30" i="29" s="1"/>
  <c r="H543" i="27"/>
  <c r="H544" i="27"/>
  <c r="H545" i="27" s="1"/>
  <c r="H546" i="27" s="1"/>
  <c r="H547" i="27" s="1"/>
  <c r="H548" i="27" s="1"/>
  <c r="U691" i="32"/>
  <c r="F2586" i="27"/>
  <c r="F2587" i="27"/>
  <c r="F2588" i="27" s="1"/>
  <c r="F2589" i="27" s="1"/>
  <c r="F2590" i="27" s="1"/>
  <c r="F2591" i="27" s="1"/>
  <c r="J196" i="16" a="1"/>
  <c r="J196" i="16" s="1"/>
  <c r="I197" i="16" a="1"/>
  <c r="I197" i="16" s="1"/>
  <c r="I62" i="16" a="1"/>
  <c r="I62" i="16" s="1"/>
  <c r="H63" i="16" a="1"/>
  <c r="H63" i="16" s="1"/>
  <c r="H748" i="27"/>
  <c r="H747" i="27"/>
  <c r="BB19" i="33"/>
  <c r="G384" i="32"/>
  <c r="Y17" i="33"/>
  <c r="I2896" i="27"/>
  <c r="BC50" i="34"/>
  <c r="A78" i="32"/>
  <c r="AK17" i="33"/>
  <c r="P2321" i="27"/>
  <c r="A384" i="32"/>
  <c r="I719" i="27"/>
  <c r="G689" i="32"/>
  <c r="I2321" i="27"/>
  <c r="M2321" i="27"/>
  <c r="I179" i="27"/>
  <c r="O2321" i="27"/>
  <c r="K179" i="27"/>
  <c r="N2321" i="27"/>
  <c r="L2321" i="27"/>
  <c r="I718" i="27"/>
  <c r="I403" i="27"/>
  <c r="K2321" i="27"/>
  <c r="P17" i="33"/>
  <c r="J2895" i="27"/>
  <c r="G78" i="32"/>
  <c r="M179" i="27"/>
  <c r="I2895" i="27"/>
  <c r="I720" i="27"/>
  <c r="H2895" i="27"/>
  <c r="A689" i="32"/>
  <c r="N403" i="27"/>
  <c r="AB17" i="33"/>
  <c r="K746" i="27"/>
  <c r="F2321" i="27"/>
  <c r="I725" i="27"/>
  <c r="AH17" i="33"/>
  <c r="I721" i="27"/>
  <c r="J403" i="27"/>
  <c r="BD50" i="34"/>
  <c r="D2321" i="27"/>
  <c r="I723" i="27"/>
  <c r="AE17" i="33"/>
  <c r="J179" i="27"/>
  <c r="I722" i="27"/>
  <c r="J2321" i="27"/>
  <c r="K403" i="27"/>
  <c r="J746" i="27"/>
  <c r="V464" i="32" l="1" a="1"/>
  <c r="V464" i="32" s="1"/>
  <c r="L464" i="32" s="1"/>
  <c r="R464" i="32" a="1"/>
  <c r="R464" i="32" s="1"/>
  <c r="D464" i="32" s="1"/>
  <c r="S464" i="32" a="1"/>
  <c r="S464" i="32" s="1"/>
  <c r="E464" i="32" s="1"/>
  <c r="T464" i="32" a="1"/>
  <c r="T464" i="32" s="1"/>
  <c r="P468" i="32"/>
  <c r="Q466" i="32"/>
  <c r="A179" i="27"/>
  <c r="T179" i="27" s="1"/>
  <c r="U388" i="32"/>
  <c r="A2321" i="27"/>
  <c r="U82" i="32"/>
  <c r="AY52" i="34"/>
  <c r="B2323" i="27"/>
  <c r="A722" i="27"/>
  <c r="A2895" i="27"/>
  <c r="R893" i="32" a="1"/>
  <c r="R893" i="32" s="1"/>
  <c r="D893" i="32" s="1"/>
  <c r="S893" i="32" a="1"/>
  <c r="S893" i="32" s="1"/>
  <c r="E893" i="32" s="1"/>
  <c r="V893" i="32" a="1"/>
  <c r="V893" i="32" s="1"/>
  <c r="L893" i="32" s="1"/>
  <c r="T893" i="32" a="1"/>
  <c r="T893" i="32" s="1"/>
  <c r="P897" i="32"/>
  <c r="Q895" i="32"/>
  <c r="A721" i="27"/>
  <c r="A723" i="27"/>
  <c r="A719" i="27"/>
  <c r="A720" i="27"/>
  <c r="A718" i="27"/>
  <c r="A403" i="27"/>
  <c r="F2897" i="27"/>
  <c r="H406" i="27"/>
  <c r="H405" i="27"/>
  <c r="H181" i="27"/>
  <c r="H182" i="27"/>
  <c r="A725" i="27"/>
  <c r="M157" i="24"/>
  <c r="N157" i="24"/>
  <c r="R157" i="24"/>
  <c r="L157" i="24"/>
  <c r="P157" i="24"/>
  <c r="S157" i="24"/>
  <c r="Q157" i="24"/>
  <c r="K1485" i="27"/>
  <c r="K1486" i="27"/>
  <c r="O157" i="24"/>
  <c r="H549" i="27"/>
  <c r="H550" i="27"/>
  <c r="H551" i="27" s="1"/>
  <c r="H552" i="27" s="1"/>
  <c r="H553" i="27" s="1"/>
  <c r="H554" i="27" s="1"/>
  <c r="O30" i="29"/>
  <c r="Q30" i="29"/>
  <c r="P31" i="29" a="1"/>
  <c r="P31" i="29" s="1"/>
  <c r="I63" i="16" a="1"/>
  <c r="I63" i="16" s="1"/>
  <c r="H64" i="16" a="1"/>
  <c r="H64" i="16" s="1"/>
  <c r="BB21" i="33"/>
  <c r="H749" i="27"/>
  <c r="F2592" i="27"/>
  <c r="F2593" i="27"/>
  <c r="F2594" i="27" s="1"/>
  <c r="F2595" i="27" s="1"/>
  <c r="F2596" i="27" s="1"/>
  <c r="F2597" i="27" s="1"/>
  <c r="J197" i="16" a="1"/>
  <c r="J197" i="16" s="1"/>
  <c r="I198" i="16" a="1"/>
  <c r="I198" i="16" s="1"/>
  <c r="U693" i="32"/>
  <c r="AB19" i="33"/>
  <c r="L2322" i="27"/>
  <c r="K406" i="27"/>
  <c r="I728" i="27"/>
  <c r="G691" i="32"/>
  <c r="O2322" i="27"/>
  <c r="G386" i="32"/>
  <c r="Y19" i="33"/>
  <c r="P2322" i="27"/>
  <c r="I2322" i="27"/>
  <c r="J2322" i="27"/>
  <c r="V19" i="33"/>
  <c r="I729" i="27"/>
  <c r="AE19" i="33"/>
  <c r="J747" i="27"/>
  <c r="H2896" i="27"/>
  <c r="I724" i="27"/>
  <c r="K747" i="27"/>
  <c r="A691" i="32"/>
  <c r="G80" i="32"/>
  <c r="K2896" i="27"/>
  <c r="K2322" i="27"/>
  <c r="F2322" i="27"/>
  <c r="A386" i="32"/>
  <c r="AH19" i="33"/>
  <c r="M2322" i="27"/>
  <c r="N182" i="27"/>
  <c r="D2322" i="27"/>
  <c r="I727" i="27"/>
  <c r="AK19" i="33"/>
  <c r="I726" i="27"/>
  <c r="J2896" i="27"/>
  <c r="S19" i="33"/>
  <c r="K2897" i="27"/>
  <c r="N2322" i="27"/>
  <c r="K730" i="27"/>
  <c r="BC51" i="34"/>
  <c r="BD51" i="34"/>
  <c r="A80" i="32"/>
  <c r="R466" i="32" l="1" a="1"/>
  <c r="R466" i="32" s="1"/>
  <c r="D466" i="32" s="1"/>
  <c r="V466" i="32" a="1"/>
  <c r="V466" i="32" s="1"/>
  <c r="L466" i="32" s="1"/>
  <c r="S466" i="32" a="1"/>
  <c r="S466" i="32" s="1"/>
  <c r="E466" i="32" s="1"/>
  <c r="T466" i="32" a="1"/>
  <c r="T466" i="32" s="1"/>
  <c r="P470" i="32"/>
  <c r="Q468" i="32"/>
  <c r="U390" i="32"/>
  <c r="A2322" i="27"/>
  <c r="AY53" i="34"/>
  <c r="U84" i="32"/>
  <c r="B2324" i="27"/>
  <c r="A724" i="27"/>
  <c r="V895" i="32" a="1"/>
  <c r="V895" i="32" s="1"/>
  <c r="L895" i="32" s="1"/>
  <c r="R895" i="32" a="1"/>
  <c r="R895" i="32" s="1"/>
  <c r="D895" i="32" s="1"/>
  <c r="S895" i="32" a="1"/>
  <c r="S895" i="32" s="1"/>
  <c r="E895" i="32" s="1"/>
  <c r="T895" i="32" a="1"/>
  <c r="T895" i="32" s="1"/>
  <c r="P899" i="32"/>
  <c r="Q897" i="32"/>
  <c r="A728" i="27"/>
  <c r="A727" i="27"/>
  <c r="A729" i="27"/>
  <c r="A726" i="27"/>
  <c r="A2896" i="27"/>
  <c r="F2899" i="27"/>
  <c r="F2898" i="27"/>
  <c r="H183" i="27"/>
  <c r="H407" i="27"/>
  <c r="Q159" i="24"/>
  <c r="O159" i="24"/>
  <c r="S159" i="24"/>
  <c r="R159" i="24"/>
  <c r="N159" i="24"/>
  <c r="P159" i="24"/>
  <c r="M159" i="24"/>
  <c r="K1488" i="27"/>
  <c r="K1487" i="27"/>
  <c r="O31" i="29"/>
  <c r="Q31" i="29"/>
  <c r="P32" i="29" a="1"/>
  <c r="P32" i="29" s="1"/>
  <c r="H750" i="27"/>
  <c r="I64" i="16" a="1"/>
  <c r="I64" i="16" s="1"/>
  <c r="H65" i="16" a="1"/>
  <c r="H65" i="16" s="1"/>
  <c r="J198" i="16" a="1"/>
  <c r="J198" i="16" s="1"/>
  <c r="I199" i="16" a="1"/>
  <c r="I199" i="16" s="1"/>
  <c r="BB23" i="33"/>
  <c r="H556" i="27"/>
  <c r="H557" i="27" s="1"/>
  <c r="H558" i="27" s="1"/>
  <c r="H559" i="27" s="1"/>
  <c r="H560" i="27" s="1"/>
  <c r="H555" i="27"/>
  <c r="F2598" i="27"/>
  <c r="F2599" i="27"/>
  <c r="F2600" i="27" s="1"/>
  <c r="F2601" i="27" s="1"/>
  <c r="F2602" i="27" s="1"/>
  <c r="F2603" i="27" s="1"/>
  <c r="U695" i="32"/>
  <c r="N406" i="27"/>
  <c r="I731" i="27"/>
  <c r="P2323" i="27"/>
  <c r="K182" i="27"/>
  <c r="J730" i="27"/>
  <c r="N407" i="27"/>
  <c r="I733" i="27"/>
  <c r="AE21" i="33"/>
  <c r="I2899" i="27"/>
  <c r="G388" i="32"/>
  <c r="S21" i="33"/>
  <c r="M406" i="27"/>
  <c r="Y21" i="33"/>
  <c r="G693" i="32"/>
  <c r="J406" i="27"/>
  <c r="P19" i="33"/>
  <c r="J2897" i="27"/>
  <c r="A82" i="32"/>
  <c r="J2323" i="27"/>
  <c r="I2897" i="27"/>
  <c r="V21" i="33"/>
  <c r="AB21" i="33"/>
  <c r="I182" i="27"/>
  <c r="F2323" i="27"/>
  <c r="L2323" i="27"/>
  <c r="A388" i="32"/>
  <c r="O2323" i="27"/>
  <c r="N2323" i="27"/>
  <c r="G82" i="32"/>
  <c r="H2897" i="27"/>
  <c r="M2323" i="27"/>
  <c r="K2898" i="27"/>
  <c r="A693" i="32"/>
  <c r="N183" i="27"/>
  <c r="I406" i="27"/>
  <c r="K749" i="27"/>
  <c r="BD52" i="34"/>
  <c r="D2323" i="27"/>
  <c r="AH21" i="33"/>
  <c r="I2323" i="27"/>
  <c r="J182" i="27"/>
  <c r="AK21" i="33"/>
  <c r="I734" i="27"/>
  <c r="K2323" i="27"/>
  <c r="M182" i="27"/>
  <c r="I732" i="27"/>
  <c r="I735" i="27"/>
  <c r="J749" i="27"/>
  <c r="BC52" i="34"/>
  <c r="V468" i="32" l="1" a="1"/>
  <c r="V468" i="32" s="1"/>
  <c r="L468" i="32" s="1"/>
  <c r="R468" i="32" a="1"/>
  <c r="R468" i="32" s="1"/>
  <c r="D468" i="32" s="1"/>
  <c r="S468" i="32" a="1"/>
  <c r="S468" i="32" s="1"/>
  <c r="E468" i="32" s="1"/>
  <c r="T468" i="32" a="1"/>
  <c r="T468" i="32" s="1"/>
  <c r="P472" i="32"/>
  <c r="Q470" i="32"/>
  <c r="U392" i="32"/>
  <c r="A735" i="27"/>
  <c r="A2897" i="27"/>
  <c r="A2323" i="27"/>
  <c r="U86" i="32"/>
  <c r="B2325" i="27"/>
  <c r="AY54" i="34"/>
  <c r="A406" i="27"/>
  <c r="A734" i="27"/>
  <c r="A733" i="27"/>
  <c r="R897" i="32" a="1"/>
  <c r="R897" i="32" s="1"/>
  <c r="D897" i="32" s="1"/>
  <c r="V897" i="32" a="1"/>
  <c r="V897" i="32" s="1"/>
  <c r="L897" i="32" s="1"/>
  <c r="T897" i="32" a="1"/>
  <c r="T897" i="32" s="1"/>
  <c r="S897" i="32" a="1"/>
  <c r="S897" i="32" s="1"/>
  <c r="E897" i="32" s="1"/>
  <c r="P901" i="32"/>
  <c r="Q899" i="32"/>
  <c r="A731" i="27"/>
  <c r="A732" i="27"/>
  <c r="A182" i="27"/>
  <c r="T182" i="27" s="1"/>
  <c r="F2900" i="27"/>
  <c r="H408" i="27"/>
  <c r="H184" i="27"/>
  <c r="M161" i="24"/>
  <c r="L159" i="24"/>
  <c r="O161" i="24"/>
  <c r="K1490" i="27"/>
  <c r="K1489" i="27"/>
  <c r="R161" i="24"/>
  <c r="Q161" i="24"/>
  <c r="N161" i="24"/>
  <c r="P161" i="24"/>
  <c r="S161" i="24"/>
  <c r="U697" i="32"/>
  <c r="O32" i="29"/>
  <c r="Q32" i="29"/>
  <c r="P33" i="29" a="1"/>
  <c r="P33" i="29" s="1"/>
  <c r="H561" i="27"/>
  <c r="H562" i="27"/>
  <c r="H563" i="27" s="1"/>
  <c r="H564" i="27" s="1"/>
  <c r="H565" i="27" s="1"/>
  <c r="H566" i="27" s="1"/>
  <c r="I65" i="16" a="1"/>
  <c r="I65" i="16" s="1"/>
  <c r="H66" i="16" a="1"/>
  <c r="H66" i="16" s="1"/>
  <c r="BB25" i="33"/>
  <c r="F2605" i="27"/>
  <c r="F2606" i="27" s="1"/>
  <c r="F2607" i="27" s="1"/>
  <c r="F2608" i="27" s="1"/>
  <c r="F2609" i="27" s="1"/>
  <c r="F2604" i="27"/>
  <c r="H751" i="27"/>
  <c r="J199" i="16" a="1"/>
  <c r="J199" i="16" s="1"/>
  <c r="I200" i="16" a="1"/>
  <c r="I200" i="16" s="1"/>
  <c r="K407" i="27"/>
  <c r="G390" i="32"/>
  <c r="O24" i="33"/>
  <c r="G695" i="32"/>
  <c r="I2898" i="27"/>
  <c r="I737" i="27"/>
  <c r="M183" i="27"/>
  <c r="H2898" i="27"/>
  <c r="I741" i="27"/>
  <c r="J407" i="27"/>
  <c r="I738" i="27"/>
  <c r="I183" i="27"/>
  <c r="P21" i="33"/>
  <c r="I739" i="27"/>
  <c r="AB23" i="33"/>
  <c r="J2899" i="27"/>
  <c r="K736" i="27"/>
  <c r="I407" i="27"/>
  <c r="P2324" i="27"/>
  <c r="M2324" i="27"/>
  <c r="BC53" i="34"/>
  <c r="J183" i="27"/>
  <c r="O2324" i="27"/>
  <c r="F2324" i="27"/>
  <c r="I730" i="27"/>
  <c r="J750" i="27"/>
  <c r="S23" i="33"/>
  <c r="J2898" i="27"/>
  <c r="K183" i="27"/>
  <c r="K2324" i="27"/>
  <c r="D2324" i="27"/>
  <c r="AH23" i="33"/>
  <c r="A390" i="32"/>
  <c r="J736" i="27"/>
  <c r="Y23" i="33"/>
  <c r="AE23" i="33"/>
  <c r="N2324" i="27"/>
  <c r="I740" i="27"/>
  <c r="G84" i="32"/>
  <c r="H2899" i="27"/>
  <c r="BD53" i="34"/>
  <c r="J2324" i="27"/>
  <c r="K742" i="27"/>
  <c r="K750" i="27"/>
  <c r="V23" i="33"/>
  <c r="M407" i="27"/>
  <c r="J184" i="27"/>
  <c r="J2900" i="27"/>
  <c r="K2899" i="27"/>
  <c r="I2324" i="27"/>
  <c r="AK23" i="33"/>
  <c r="A84" i="32"/>
  <c r="L2324" i="27"/>
  <c r="M408" i="27"/>
  <c r="A695" i="32"/>
  <c r="R470" i="32" l="1" a="1"/>
  <c r="R470" i="32" s="1"/>
  <c r="D470" i="32" s="1"/>
  <c r="S470" i="32" a="1"/>
  <c r="S470" i="32" s="1"/>
  <c r="E470" i="32" s="1"/>
  <c r="T470" i="32" a="1"/>
  <c r="T470" i="32" s="1"/>
  <c r="V470" i="32" a="1"/>
  <c r="V470" i="32" s="1"/>
  <c r="L470" i="32" s="1"/>
  <c r="P474" i="32"/>
  <c r="Q472" i="32"/>
  <c r="A2898" i="27"/>
  <c r="U394" i="32"/>
  <c r="P903" i="32"/>
  <c r="Q901" i="32"/>
  <c r="A2899" i="27"/>
  <c r="A2324" i="27"/>
  <c r="AY55" i="34"/>
  <c r="B2326" i="27"/>
  <c r="U88" i="32"/>
  <c r="A740" i="27"/>
  <c r="A407" i="27"/>
  <c r="S899" i="32" a="1"/>
  <c r="S899" i="32" s="1"/>
  <c r="E899" i="32" s="1"/>
  <c r="V899" i="32" a="1"/>
  <c r="V899" i="32" s="1"/>
  <c r="L899" i="32" s="1"/>
  <c r="R899" i="32" a="1"/>
  <c r="R899" i="32" s="1"/>
  <c r="D899" i="32" s="1"/>
  <c r="T899" i="32" a="1"/>
  <c r="T899" i="32" s="1"/>
  <c r="A737" i="27"/>
  <c r="A739" i="27"/>
  <c r="A730" i="27"/>
  <c r="A738" i="27"/>
  <c r="A741" i="27"/>
  <c r="A183" i="27"/>
  <c r="T183" i="27" s="1"/>
  <c r="F2901" i="27"/>
  <c r="H185" i="27"/>
  <c r="H409" i="27"/>
  <c r="S163" i="24"/>
  <c r="O163" i="24"/>
  <c r="N163" i="24"/>
  <c r="Q163" i="24"/>
  <c r="K1491" i="27"/>
  <c r="K1492" i="27"/>
  <c r="R163" i="24"/>
  <c r="L161" i="24"/>
  <c r="P163" i="24"/>
  <c r="M163" i="24"/>
  <c r="F2611" i="27"/>
  <c r="F2612" i="27" s="1"/>
  <c r="F2613" i="27" s="1"/>
  <c r="F2614" i="27" s="1"/>
  <c r="F2615" i="27" s="1"/>
  <c r="F2610" i="27"/>
  <c r="H752" i="27"/>
  <c r="BB27" i="33"/>
  <c r="U699" i="32"/>
  <c r="I66" i="16" a="1"/>
  <c r="I66" i="16" s="1"/>
  <c r="H67" i="16" a="1"/>
  <c r="H67" i="16" s="1"/>
  <c r="J200" i="16" a="1"/>
  <c r="J200" i="16" s="1"/>
  <c r="I201" i="16" a="1"/>
  <c r="I201" i="16" s="1"/>
  <c r="H568" i="27"/>
  <c r="H569" i="27" s="1"/>
  <c r="H570" i="27" s="1"/>
  <c r="H571" i="27" s="1"/>
  <c r="H572" i="27" s="1"/>
  <c r="H567" i="27"/>
  <c r="O33" i="29"/>
  <c r="Q33" i="29"/>
  <c r="P34" i="29" a="1"/>
  <c r="P34" i="29" s="1"/>
  <c r="I2900" i="27"/>
  <c r="J409" i="27"/>
  <c r="P23" i="33"/>
  <c r="AB25" i="33"/>
  <c r="K751" i="27"/>
  <c r="G86" i="32"/>
  <c r="I736" i="27"/>
  <c r="I744" i="27"/>
  <c r="M2325" i="27"/>
  <c r="M184" i="27"/>
  <c r="P25" i="33"/>
  <c r="I745" i="27"/>
  <c r="A392" i="32"/>
  <c r="F2325" i="27"/>
  <c r="AH25" i="33"/>
  <c r="L2325" i="27"/>
  <c r="A697" i="32"/>
  <c r="I2325" i="27"/>
  <c r="I408" i="27"/>
  <c r="N185" i="27"/>
  <c r="J2325" i="27"/>
  <c r="AK25" i="33"/>
  <c r="H2900" i="27"/>
  <c r="D2325" i="27"/>
  <c r="BD54" i="34"/>
  <c r="P2325" i="27"/>
  <c r="AE25" i="33"/>
  <c r="H2901" i="27"/>
  <c r="N408" i="27"/>
  <c r="K2900" i="27"/>
  <c r="BC54" i="34"/>
  <c r="A86" i="32"/>
  <c r="I746" i="27"/>
  <c r="K184" i="27"/>
  <c r="K2325" i="27"/>
  <c r="K408" i="27"/>
  <c r="G392" i="32"/>
  <c r="Y25" i="33"/>
  <c r="S25" i="33"/>
  <c r="J742" i="27"/>
  <c r="N184" i="27"/>
  <c r="N2325" i="27"/>
  <c r="O2325" i="27"/>
  <c r="J751" i="27"/>
  <c r="G697" i="32"/>
  <c r="I184" i="27"/>
  <c r="V25" i="33"/>
  <c r="J408" i="27"/>
  <c r="K748" i="27"/>
  <c r="I747" i="27"/>
  <c r="I743" i="27"/>
  <c r="T472" i="32" l="1" a="1"/>
  <c r="T472" i="32" s="1"/>
  <c r="V472" i="32" a="1"/>
  <c r="V472" i="32" s="1"/>
  <c r="L472" i="32" s="1"/>
  <c r="S472" i="32" a="1"/>
  <c r="S472" i="32" s="1"/>
  <c r="E472" i="32" s="1"/>
  <c r="R472" i="32" a="1"/>
  <c r="R472" i="32" s="1"/>
  <c r="D472" i="32" s="1"/>
  <c r="P476" i="32"/>
  <c r="P478" i="32" s="1"/>
  <c r="P480" i="32" s="1"/>
  <c r="P482" i="32" s="1"/>
  <c r="P484" i="32" s="1"/>
  <c r="P486" i="32" s="1"/>
  <c r="P488" i="32" s="1"/>
  <c r="P490" i="32" s="1"/>
  <c r="P492" i="32" s="1"/>
  <c r="P494" i="32" s="1"/>
  <c r="P496" i="32" s="1"/>
  <c r="P498" i="32" s="1"/>
  <c r="P500" i="32" s="1"/>
  <c r="P502" i="32" s="1"/>
  <c r="P504" i="32" s="1"/>
  <c r="P506" i="32" s="1"/>
  <c r="P508" i="32" s="1"/>
  <c r="P510" i="32" s="1"/>
  <c r="P512" i="32" s="1"/>
  <c r="P514" i="32" s="1"/>
  <c r="P516" i="32" s="1"/>
  <c r="P518" i="32" s="1"/>
  <c r="P520" i="32" s="1"/>
  <c r="P522" i="32" s="1"/>
  <c r="P524" i="32" s="1"/>
  <c r="P526" i="32" s="1"/>
  <c r="P528" i="32" s="1"/>
  <c r="P530" i="32" s="1"/>
  <c r="P532" i="32" s="1"/>
  <c r="P534" i="32" s="1"/>
  <c r="P536" i="32" s="1"/>
  <c r="P538" i="32" s="1"/>
  <c r="P540" i="32" s="1"/>
  <c r="P542" i="32" s="1"/>
  <c r="P544" i="32" s="1"/>
  <c r="P546" i="32" s="1"/>
  <c r="P548" i="32" s="1"/>
  <c r="P550" i="32" s="1"/>
  <c r="P552" i="32" s="1"/>
  <c r="P554" i="32" s="1"/>
  <c r="P556" i="32" s="1"/>
  <c r="P558" i="32" s="1"/>
  <c r="P560" i="32" s="1"/>
  <c r="P562" i="32" s="1"/>
  <c r="P564" i="32" s="1"/>
  <c r="P566" i="32" s="1"/>
  <c r="P568" i="32" s="1"/>
  <c r="P570" i="32" s="1"/>
  <c r="P572" i="32" s="1"/>
  <c r="P574" i="32" s="1"/>
  <c r="P576" i="32" s="1"/>
  <c r="P578" i="32" s="1"/>
  <c r="P580" i="32" s="1"/>
  <c r="P582" i="32" s="1"/>
  <c r="P584" i="32" s="1"/>
  <c r="P586" i="32" s="1"/>
  <c r="P588" i="32" s="1"/>
  <c r="P590" i="32" s="1"/>
  <c r="P592" i="32" s="1"/>
  <c r="P594" i="32" s="1"/>
  <c r="P596" i="32" s="1"/>
  <c r="P598" i="32" s="1"/>
  <c r="P600" i="32" s="1"/>
  <c r="P602" i="32" s="1"/>
  <c r="P604" i="32" s="1"/>
  <c r="P606" i="32" s="1"/>
  <c r="P608" i="32" s="1"/>
  <c r="P610" i="32" s="1"/>
  <c r="P612" i="32" s="1"/>
  <c r="P614" i="32" s="1"/>
  <c r="Q474" i="32"/>
  <c r="A2900" i="27"/>
  <c r="A747" i="27"/>
  <c r="U396" i="32"/>
  <c r="A736" i="27"/>
  <c r="V901" i="32" a="1"/>
  <c r="V901" i="32" s="1"/>
  <c r="L901" i="32" s="1"/>
  <c r="S901" i="32" a="1"/>
  <c r="S901" i="32" s="1"/>
  <c r="E901" i="32" s="1"/>
  <c r="T901" i="32" a="1"/>
  <c r="T901" i="32" s="1"/>
  <c r="R901" i="32" a="1"/>
  <c r="R901" i="32" s="1"/>
  <c r="D901" i="32" s="1"/>
  <c r="P905" i="32"/>
  <c r="Q903" i="32"/>
  <c r="A184" i="27"/>
  <c r="T184" i="27" s="1"/>
  <c r="A2325" i="27"/>
  <c r="U90" i="32"/>
  <c r="B2327" i="27"/>
  <c r="AY56" i="34"/>
  <c r="A743" i="27"/>
  <c r="A746" i="27"/>
  <c r="A745" i="27"/>
  <c r="A744" i="27"/>
  <c r="A408" i="27"/>
  <c r="F2902" i="27"/>
  <c r="H410" i="27"/>
  <c r="H186" i="27"/>
  <c r="L163" i="24"/>
  <c r="Q165" i="24"/>
  <c r="S165" i="24"/>
  <c r="K1494" i="27"/>
  <c r="K1493" i="27"/>
  <c r="O165" i="24"/>
  <c r="P165" i="24"/>
  <c r="N165" i="24"/>
  <c r="R165" i="24"/>
  <c r="M165" i="24"/>
  <c r="H753" i="27"/>
  <c r="H754" i="27"/>
  <c r="F2616" i="27"/>
  <c r="F2617" i="27"/>
  <c r="F2618" i="27" s="1"/>
  <c r="F2619" i="27" s="1"/>
  <c r="F2620" i="27" s="1"/>
  <c r="F2621" i="27" s="1"/>
  <c r="U701" i="32"/>
  <c r="O34" i="29"/>
  <c r="Q34" i="29"/>
  <c r="P35" i="29" a="1"/>
  <c r="P35" i="29" s="1"/>
  <c r="H574" i="27"/>
  <c r="H575" i="27" s="1"/>
  <c r="H576" i="27" s="1"/>
  <c r="H577" i="27" s="1"/>
  <c r="H578" i="27" s="1"/>
  <c r="H573" i="27"/>
  <c r="J201" i="16" a="1"/>
  <c r="J201" i="16" s="1"/>
  <c r="I202" i="16" a="1"/>
  <c r="I202" i="16" s="1"/>
  <c r="J202" i="16" s="1" a="1"/>
  <c r="J202" i="16" s="1"/>
  <c r="BB29" i="33"/>
  <c r="I67" i="16" a="1"/>
  <c r="I67" i="16" s="1"/>
  <c r="H68" i="16" a="1"/>
  <c r="H68" i="16" s="1"/>
  <c r="I185" i="27"/>
  <c r="K2326" i="27"/>
  <c r="P2326" i="27"/>
  <c r="I2901" i="27"/>
  <c r="O2326" i="27"/>
  <c r="I742" i="27"/>
  <c r="K185" i="27"/>
  <c r="M2326" i="27"/>
  <c r="A699" i="32"/>
  <c r="J185" i="27"/>
  <c r="D2326" i="27"/>
  <c r="I751" i="27"/>
  <c r="G394" i="32"/>
  <c r="AB27" i="33"/>
  <c r="A88" i="32"/>
  <c r="BC55" i="34"/>
  <c r="I409" i="27"/>
  <c r="AK27" i="33"/>
  <c r="I752" i="27"/>
  <c r="V27" i="33"/>
  <c r="J2901" i="27"/>
  <c r="G699" i="32"/>
  <c r="AH27" i="33"/>
  <c r="Y27" i="33"/>
  <c r="M185" i="27"/>
  <c r="G701" i="32"/>
  <c r="G88" i="32"/>
  <c r="P27" i="33"/>
  <c r="I749" i="27"/>
  <c r="I750" i="27"/>
  <c r="J2326" i="27"/>
  <c r="K2902" i="27"/>
  <c r="N2326" i="27"/>
  <c r="F2326" i="27"/>
  <c r="T474" i="32" l="1" a="1"/>
  <c r="T474" i="32" s="1"/>
  <c r="V474" i="32" a="1"/>
  <c r="V474" i="32" s="1"/>
  <c r="L474" i="32" s="1"/>
  <c r="S474" i="32" a="1"/>
  <c r="S474" i="32" s="1"/>
  <c r="E474" i="32" s="1"/>
  <c r="R474" i="32" a="1"/>
  <c r="R474" i="32" s="1"/>
  <c r="D474" i="32" s="1"/>
  <c r="A750" i="27"/>
  <c r="U398" i="32"/>
  <c r="V903" i="32" a="1"/>
  <c r="V903" i="32" s="1"/>
  <c r="L903" i="32" s="1"/>
  <c r="T903" i="32" a="1"/>
  <c r="T903" i="32" s="1"/>
  <c r="R903" i="32" a="1"/>
  <c r="R903" i="32" s="1"/>
  <c r="D903" i="32" s="1"/>
  <c r="S903" i="32" a="1"/>
  <c r="S903" i="32" s="1"/>
  <c r="E903" i="32" s="1"/>
  <c r="P907" i="32"/>
  <c r="Q905" i="32"/>
  <c r="A2326" i="27"/>
  <c r="A749" i="27"/>
  <c r="AY57" i="34"/>
  <c r="U92" i="32"/>
  <c r="B2328" i="27"/>
  <c r="A751" i="27"/>
  <c r="A742" i="27"/>
  <c r="A185" i="27"/>
  <c r="T185" i="27" s="1"/>
  <c r="F2903" i="27"/>
  <c r="H187" i="27"/>
  <c r="H188" i="27"/>
  <c r="H411" i="27"/>
  <c r="H412" i="27"/>
  <c r="N167" i="24"/>
  <c r="S167" i="24"/>
  <c r="K1495" i="27"/>
  <c r="K1496" i="27"/>
  <c r="O167" i="24"/>
  <c r="P167" i="24"/>
  <c r="L165" i="24"/>
  <c r="R167" i="24"/>
  <c r="U703" i="32"/>
  <c r="F2623" i="27"/>
  <c r="F2624" i="27" s="1"/>
  <c r="F2625" i="27" s="1"/>
  <c r="F2626" i="27" s="1"/>
  <c r="F2627" i="27" s="1"/>
  <c r="F2622" i="27"/>
  <c r="BB31" i="33"/>
  <c r="H755" i="27"/>
  <c r="I68" i="16" a="1"/>
  <c r="I68" i="16" s="1"/>
  <c r="H69" i="16" a="1"/>
  <c r="H69" i="16" s="1"/>
  <c r="H579" i="27"/>
  <c r="H580" i="27"/>
  <c r="H581" i="27" s="1"/>
  <c r="H582" i="27" s="1"/>
  <c r="H583" i="27" s="1"/>
  <c r="H584" i="27" s="1"/>
  <c r="Q35" i="29"/>
  <c r="O35" i="29"/>
  <c r="P36" i="29" a="1"/>
  <c r="P36" i="29" s="1"/>
  <c r="A394" i="32"/>
  <c r="K409" i="27"/>
  <c r="K752" i="27"/>
  <c r="G700" i="27"/>
  <c r="S27" i="33"/>
  <c r="M409" i="27"/>
  <c r="J748" i="27"/>
  <c r="N409" i="27"/>
  <c r="J752" i="27"/>
  <c r="K2901" i="27"/>
  <c r="AE27" i="33"/>
  <c r="L2326" i="27"/>
  <c r="BD55" i="34"/>
  <c r="I2326" i="27"/>
  <c r="AH29" i="33"/>
  <c r="BD56" i="34"/>
  <c r="J753" i="27"/>
  <c r="G701" i="27"/>
  <c r="K753" i="27"/>
  <c r="A396" i="32"/>
  <c r="H2902" i="27"/>
  <c r="D2327" i="27"/>
  <c r="I188" i="27"/>
  <c r="J754" i="27"/>
  <c r="I753" i="27"/>
  <c r="Y29" i="33"/>
  <c r="BC56" i="34"/>
  <c r="G90" i="32"/>
  <c r="G396" i="32"/>
  <c r="S29" i="33"/>
  <c r="I2327" i="27"/>
  <c r="I412" i="27"/>
  <c r="O2327" i="27"/>
  <c r="J2902" i="27"/>
  <c r="G703" i="32"/>
  <c r="K2327" i="27"/>
  <c r="P2327" i="27"/>
  <c r="V29" i="33"/>
  <c r="N2327" i="27"/>
  <c r="AK29" i="33"/>
  <c r="I748" i="27"/>
  <c r="L2327" i="27"/>
  <c r="AB29" i="33"/>
  <c r="A90" i="32"/>
  <c r="AE29" i="33"/>
  <c r="M2327" i="27"/>
  <c r="K754" i="27"/>
  <c r="K2903" i="27"/>
  <c r="J2327" i="27"/>
  <c r="I2902" i="27"/>
  <c r="A701" i="32"/>
  <c r="F2327" i="27"/>
  <c r="P29" i="33"/>
  <c r="Q167" i="24" l="1"/>
  <c r="A2901" i="27"/>
  <c r="A752" i="27"/>
  <c r="M167" i="24"/>
  <c r="A409" i="27"/>
  <c r="U400" i="32"/>
  <c r="R905" i="32" a="1"/>
  <c r="R905" i="32" s="1"/>
  <c r="D905" i="32" s="1"/>
  <c r="S905" i="32" a="1"/>
  <c r="S905" i="32" s="1"/>
  <c r="E905" i="32" s="1"/>
  <c r="V905" i="32" a="1"/>
  <c r="V905" i="32" s="1"/>
  <c r="L905" i="32" s="1"/>
  <c r="T905" i="32" a="1"/>
  <c r="T905" i="32" s="1"/>
  <c r="P909" i="32"/>
  <c r="Q907" i="32"/>
  <c r="A2327" i="27"/>
  <c r="AY58" i="34"/>
  <c r="B2329" i="27"/>
  <c r="U94" i="32"/>
  <c r="A748" i="27"/>
  <c r="A2902" i="27"/>
  <c r="F2905" i="27"/>
  <c r="F2904" i="27"/>
  <c r="H413" i="27"/>
  <c r="H189" i="27"/>
  <c r="O169" i="24"/>
  <c r="N169" i="24"/>
  <c r="R169" i="24"/>
  <c r="Q169" i="24"/>
  <c r="K1497" i="27"/>
  <c r="K1498" i="27"/>
  <c r="L167" i="24"/>
  <c r="S169" i="24"/>
  <c r="A753" i="27"/>
  <c r="P169" i="24"/>
  <c r="M169" i="24"/>
  <c r="H585" i="27"/>
  <c r="H586" i="27"/>
  <c r="H587" i="27" s="1"/>
  <c r="H588" i="27" s="1"/>
  <c r="H589" i="27" s="1"/>
  <c r="H590" i="27" s="1"/>
  <c r="H756" i="27"/>
  <c r="F2629" i="27"/>
  <c r="F2630" i="27" s="1"/>
  <c r="F2631" i="27" s="1"/>
  <c r="F2632" i="27" s="1"/>
  <c r="F2633" i="27" s="1"/>
  <c r="F2628" i="27"/>
  <c r="Q36" i="29"/>
  <c r="O36" i="29"/>
  <c r="P37" i="29" a="1"/>
  <c r="P37" i="29" s="1"/>
  <c r="BB33" i="33"/>
  <c r="I69" i="16" a="1"/>
  <c r="I69" i="16" s="1"/>
  <c r="H70" i="16" a="1"/>
  <c r="H70" i="16" s="1"/>
  <c r="U705" i="32"/>
  <c r="M188" i="27"/>
  <c r="G704" i="27"/>
  <c r="J2904" i="27"/>
  <c r="O2328" i="27"/>
  <c r="M412" i="27"/>
  <c r="BC57" i="34"/>
  <c r="A703" i="32"/>
  <c r="I754" i="27"/>
  <c r="N188" i="27"/>
  <c r="F2328" i="27"/>
  <c r="N2328" i="27"/>
  <c r="J2903" i="27"/>
  <c r="K2328" i="27"/>
  <c r="AE31" i="33"/>
  <c r="BD57" i="34"/>
  <c r="Y31" i="33"/>
  <c r="AB31" i="33"/>
  <c r="I755" i="27"/>
  <c r="K755" i="27"/>
  <c r="P31" i="33"/>
  <c r="D2328" i="27"/>
  <c r="L2328" i="27"/>
  <c r="J2328" i="27"/>
  <c r="AK31" i="33"/>
  <c r="AH31" i="33"/>
  <c r="A398" i="32"/>
  <c r="J412" i="27"/>
  <c r="I189" i="27"/>
  <c r="I2903" i="27"/>
  <c r="J755" i="27"/>
  <c r="P2328" i="27"/>
  <c r="G398" i="32"/>
  <c r="N412" i="27"/>
  <c r="I2905" i="27"/>
  <c r="V31" i="33"/>
  <c r="K188" i="27"/>
  <c r="G92" i="32"/>
  <c r="A92" i="32"/>
  <c r="S31" i="33"/>
  <c r="I2328" i="27"/>
  <c r="M2328" i="27"/>
  <c r="J188" i="27"/>
  <c r="K412" i="27"/>
  <c r="M413" i="27"/>
  <c r="H2903" i="27"/>
  <c r="U402" i="32" l="1"/>
  <c r="V907" i="32" a="1"/>
  <c r="V907" i="32" s="1"/>
  <c r="L907" i="32" s="1"/>
  <c r="T907" i="32" a="1"/>
  <c r="T907" i="32" s="1"/>
  <c r="S907" i="32" a="1"/>
  <c r="S907" i="32" s="1"/>
  <c r="E907" i="32" s="1"/>
  <c r="R907" i="32" a="1"/>
  <c r="R907" i="32" s="1"/>
  <c r="D907" i="32" s="1"/>
  <c r="P911" i="32"/>
  <c r="Q909" i="32"/>
  <c r="A2328" i="27"/>
  <c r="A412" i="27"/>
  <c r="A188" i="27"/>
  <c r="T188" i="27" s="1"/>
  <c r="AY59" i="34"/>
  <c r="U96" i="32"/>
  <c r="B2330" i="27"/>
  <c r="A754" i="27"/>
  <c r="A2903" i="27"/>
  <c r="F2906" i="27"/>
  <c r="H190" i="27"/>
  <c r="H414" i="27"/>
  <c r="O171" i="24"/>
  <c r="S171" i="24"/>
  <c r="A755" i="27"/>
  <c r="L169" i="24"/>
  <c r="N171" i="24"/>
  <c r="Q171" i="24"/>
  <c r="K1500" i="27"/>
  <c r="K1499" i="27"/>
  <c r="R171" i="24"/>
  <c r="P171" i="24"/>
  <c r="M171" i="24"/>
  <c r="H757" i="27"/>
  <c r="BB35" i="33"/>
  <c r="H592" i="27"/>
  <c r="H593" i="27" s="1"/>
  <c r="H594" i="27" s="1"/>
  <c r="H595" i="27" s="1"/>
  <c r="H596" i="27" s="1"/>
  <c r="H591" i="27"/>
  <c r="Q37" i="29"/>
  <c r="O37" i="29"/>
  <c r="P38" i="29" a="1"/>
  <c r="P38" i="29" s="1"/>
  <c r="U707" i="32"/>
  <c r="I70" i="16" a="1"/>
  <c r="I70" i="16" s="1"/>
  <c r="H71" i="16" a="1"/>
  <c r="H71" i="16" s="1"/>
  <c r="F2635" i="27"/>
  <c r="F2636" i="27" s="1"/>
  <c r="F2637" i="27" s="1"/>
  <c r="F2638" i="27" s="1"/>
  <c r="F2639" i="27" s="1"/>
  <c r="F2634" i="27"/>
  <c r="I756" i="27"/>
  <c r="I2904" i="27"/>
  <c r="O2329" i="27"/>
  <c r="A94" i="32"/>
  <c r="AK33" i="33"/>
  <c r="G94" i="32"/>
  <c r="H2904" i="27"/>
  <c r="K756" i="27"/>
  <c r="G400" i="32"/>
  <c r="D2329" i="27"/>
  <c r="L2329" i="27"/>
  <c r="M189" i="27"/>
  <c r="J2905" i="27"/>
  <c r="O34" i="33"/>
  <c r="AH33" i="33"/>
  <c r="F2329" i="27"/>
  <c r="H2905" i="27"/>
  <c r="BD58" i="34"/>
  <c r="I414" i="27"/>
  <c r="AE33" i="33"/>
  <c r="AB33" i="33"/>
  <c r="A400" i="32"/>
  <c r="J413" i="27"/>
  <c r="I413" i="27"/>
  <c r="N413" i="27"/>
  <c r="G705" i="27"/>
  <c r="K2904" i="27"/>
  <c r="J756" i="27"/>
  <c r="K189" i="27"/>
  <c r="K2906" i="27"/>
  <c r="J189" i="27"/>
  <c r="BC58" i="34"/>
  <c r="K2905" i="27"/>
  <c r="J2329" i="27"/>
  <c r="S33" i="33"/>
  <c r="V33" i="33"/>
  <c r="P2329" i="27"/>
  <c r="I2329" i="27"/>
  <c r="N190" i="27"/>
  <c r="M2329" i="27"/>
  <c r="K413" i="27"/>
  <c r="G705" i="32"/>
  <c r="N2329" i="27"/>
  <c r="N189" i="27"/>
  <c r="Y33" i="33"/>
  <c r="O33" i="33"/>
  <c r="K2329" i="27"/>
  <c r="A705" i="32"/>
  <c r="U404" i="32" l="1"/>
  <c r="S909" i="32" a="1"/>
  <c r="S909" i="32" s="1"/>
  <c r="E909" i="32" s="1"/>
  <c r="R909" i="32" a="1"/>
  <c r="R909" i="32" s="1"/>
  <c r="D909" i="32" s="1"/>
  <c r="T909" i="32" a="1"/>
  <c r="T909" i="32" s="1"/>
  <c r="V909" i="32" a="1"/>
  <c r="V909" i="32" s="1"/>
  <c r="L909" i="32" s="1"/>
  <c r="P913" i="32"/>
  <c r="Q911" i="32"/>
  <c r="A2329" i="27"/>
  <c r="U98" i="32"/>
  <c r="AY60" i="34"/>
  <c r="B2331" i="27"/>
  <c r="A189" i="27"/>
  <c r="T189" i="27" s="1"/>
  <c r="A2904" i="27"/>
  <c r="A413" i="27"/>
  <c r="A2905" i="27"/>
  <c r="F2907" i="27"/>
  <c r="H415" i="27"/>
  <c r="H191" i="27"/>
  <c r="Q173" i="24"/>
  <c r="K1501" i="27"/>
  <c r="K1502" i="27"/>
  <c r="P173" i="24"/>
  <c r="M173" i="24"/>
  <c r="L171" i="24"/>
  <c r="R173" i="24"/>
  <c r="N173" i="24"/>
  <c r="S173" i="24"/>
  <c r="O173" i="24"/>
  <c r="A756" i="27"/>
  <c r="O38" i="29"/>
  <c r="Q38" i="29"/>
  <c r="P39" i="29" a="1"/>
  <c r="P39" i="29" s="1"/>
  <c r="H598" i="27"/>
  <c r="H599" i="27" s="1"/>
  <c r="H600" i="27" s="1"/>
  <c r="H601" i="27" s="1"/>
  <c r="H602" i="27" s="1"/>
  <c r="H597" i="27"/>
  <c r="BB37" i="33"/>
  <c r="F2640" i="27"/>
  <c r="F2641" i="27"/>
  <c r="F2642" i="27" s="1"/>
  <c r="F2643" i="27" s="1"/>
  <c r="F2644" i="27" s="1"/>
  <c r="F2645" i="27" s="1"/>
  <c r="I71" i="16" a="1"/>
  <c r="I71" i="16" s="1"/>
  <c r="H72" i="16" a="1"/>
  <c r="H72" i="16" s="1"/>
  <c r="I72" i="16" s="1" a="1"/>
  <c r="I72" i="16" s="1"/>
  <c r="U709" i="32"/>
  <c r="H758" i="27"/>
  <c r="P2330" i="27"/>
  <c r="G96" i="32"/>
  <c r="F2330" i="27"/>
  <c r="AB35" i="33"/>
  <c r="AE35" i="33"/>
  <c r="V35" i="33"/>
  <c r="L2330" i="27"/>
  <c r="H2906" i="27"/>
  <c r="K414" i="27"/>
  <c r="J2330" i="27"/>
  <c r="O2330" i="27"/>
  <c r="AK35" i="33"/>
  <c r="J414" i="27"/>
  <c r="BD59" i="34"/>
  <c r="I190" i="27"/>
  <c r="O35" i="33"/>
  <c r="I2906" i="27"/>
  <c r="J2906" i="27"/>
  <c r="A402" i="32"/>
  <c r="Y35" i="33"/>
  <c r="I757" i="27"/>
  <c r="G402" i="32"/>
  <c r="K2330" i="27"/>
  <c r="S35" i="33"/>
  <c r="J190" i="27"/>
  <c r="A96" i="32"/>
  <c r="G707" i="32"/>
  <c r="AH35" i="33"/>
  <c r="H2907" i="27"/>
  <c r="J757" i="27"/>
  <c r="K191" i="27"/>
  <c r="N2330" i="27"/>
  <c r="O36" i="33"/>
  <c r="N414" i="27"/>
  <c r="D2330" i="27"/>
  <c r="M415" i="27"/>
  <c r="A707" i="32"/>
  <c r="K757" i="27"/>
  <c r="M414" i="27"/>
  <c r="M2330" i="27"/>
  <c r="M190" i="27"/>
  <c r="K190" i="27"/>
  <c r="I2330" i="27"/>
  <c r="BC59" i="34"/>
  <c r="P33" i="33"/>
  <c r="U406" i="32" l="1"/>
  <c r="A414" i="27"/>
  <c r="V911" i="32" a="1"/>
  <c r="V911" i="32" s="1"/>
  <c r="L911" i="32" s="1"/>
  <c r="S911" i="32" a="1"/>
  <c r="S911" i="32" s="1"/>
  <c r="E911" i="32" s="1"/>
  <c r="R911" i="32" a="1"/>
  <c r="R911" i="32" s="1"/>
  <c r="D911" i="32" s="1"/>
  <c r="T911" i="32" a="1"/>
  <c r="T911" i="32" s="1"/>
  <c r="P915" i="32"/>
  <c r="Q913" i="32"/>
  <c r="A2906" i="27"/>
  <c r="A2330" i="27"/>
  <c r="B2332" i="27"/>
  <c r="AY61" i="34"/>
  <c r="U100" i="32"/>
  <c r="A190" i="27"/>
  <c r="T190" i="27" s="1"/>
  <c r="F2908" i="27"/>
  <c r="H192" i="27"/>
  <c r="H416" i="27"/>
  <c r="M175" i="24"/>
  <c r="R175" i="24"/>
  <c r="S175" i="24"/>
  <c r="L173" i="24"/>
  <c r="P175" i="24"/>
  <c r="N175" i="24"/>
  <c r="A757" i="27"/>
  <c r="Q175" i="24"/>
  <c r="K1503" i="27"/>
  <c r="K1504" i="27"/>
  <c r="O175" i="24"/>
  <c r="BB39" i="33"/>
  <c r="F2647" i="27"/>
  <c r="F2648" i="27" s="1"/>
  <c r="F2649" i="27" s="1"/>
  <c r="F2650" i="27" s="1"/>
  <c r="F2651" i="27" s="1"/>
  <c r="F2646" i="27"/>
  <c r="Q39" i="29"/>
  <c r="O39" i="29"/>
  <c r="P40" i="29" a="1"/>
  <c r="P40" i="29" s="1"/>
  <c r="H604" i="27"/>
  <c r="H605" i="27" s="1"/>
  <c r="H606" i="27" s="1"/>
  <c r="H607" i="27" s="1"/>
  <c r="H608" i="27" s="1"/>
  <c r="H603" i="27"/>
  <c r="H760" i="27"/>
  <c r="H759" i="27"/>
  <c r="U711" i="32"/>
  <c r="D2331" i="27"/>
  <c r="V37" i="33"/>
  <c r="P35" i="33"/>
  <c r="L2331" i="27"/>
  <c r="N415" i="27"/>
  <c r="BC60" i="34"/>
  <c r="A98" i="32"/>
  <c r="M2331" i="27"/>
  <c r="I2331" i="27"/>
  <c r="S37" i="33"/>
  <c r="I758" i="27"/>
  <c r="J191" i="27"/>
  <c r="M191" i="27"/>
  <c r="BD60" i="34"/>
  <c r="K2908" i="27"/>
  <c r="K2331" i="27"/>
  <c r="I2907" i="27"/>
  <c r="F2331" i="27"/>
  <c r="J758" i="27"/>
  <c r="J415" i="27"/>
  <c r="A709" i="32"/>
  <c r="I415" i="27"/>
  <c r="J2907" i="27"/>
  <c r="P2331" i="27"/>
  <c r="AH37" i="33"/>
  <c r="K415" i="27"/>
  <c r="AE37" i="33"/>
  <c r="O37" i="33"/>
  <c r="AK37" i="33"/>
  <c r="AB37" i="33"/>
  <c r="K758" i="27"/>
  <c r="N2331" i="27"/>
  <c r="Y37" i="33"/>
  <c r="O2331" i="27"/>
  <c r="A404" i="32"/>
  <c r="G709" i="32"/>
  <c r="K2907" i="27"/>
  <c r="I191" i="27"/>
  <c r="N191" i="27"/>
  <c r="J2331" i="27"/>
  <c r="G706" i="27"/>
  <c r="G404" i="32"/>
  <c r="G98" i="32"/>
  <c r="O38" i="33"/>
  <c r="A191" i="27" l="1"/>
  <c r="T191" i="27" s="1"/>
  <c r="U408" i="32"/>
  <c r="T913" i="32" a="1"/>
  <c r="T913" i="32" s="1"/>
  <c r="V913" i="32" a="1"/>
  <c r="V913" i="32" s="1"/>
  <c r="L913" i="32" s="1"/>
  <c r="S913" i="32" a="1"/>
  <c r="S913" i="32" s="1"/>
  <c r="E913" i="32" s="1"/>
  <c r="R913" i="32" a="1"/>
  <c r="R913" i="32" s="1"/>
  <c r="D913" i="32" s="1"/>
  <c r="P917" i="32"/>
  <c r="Q915" i="32"/>
  <c r="A2331" i="27"/>
  <c r="AY62" i="34"/>
  <c r="U102" i="32"/>
  <c r="B2333" i="27"/>
  <c r="A415" i="27"/>
  <c r="A2907" i="27"/>
  <c r="F2909" i="27"/>
  <c r="H418" i="27"/>
  <c r="H417" i="27"/>
  <c r="H194" i="27"/>
  <c r="H193" i="27"/>
  <c r="N177" i="24"/>
  <c r="Q177" i="24"/>
  <c r="A758" i="27"/>
  <c r="R177" i="24"/>
  <c r="O177" i="24"/>
  <c r="K1505" i="27"/>
  <c r="K1506" i="27"/>
  <c r="S177" i="24"/>
  <c r="P177" i="24"/>
  <c r="L175" i="24"/>
  <c r="M177" i="24"/>
  <c r="H761" i="27"/>
  <c r="F2652" i="27"/>
  <c r="F2653" i="27"/>
  <c r="F2654" i="27" s="1"/>
  <c r="F2655" i="27" s="1"/>
  <c r="F2656" i="27" s="1"/>
  <c r="F2657" i="27" s="1"/>
  <c r="BB41" i="33"/>
  <c r="U713" i="32"/>
  <c r="H610" i="27"/>
  <c r="H611" i="27" s="1"/>
  <c r="H612" i="27" s="1"/>
  <c r="H613" i="27" s="1"/>
  <c r="H614" i="27" s="1"/>
  <c r="H609" i="27"/>
  <c r="Q40" i="29"/>
  <c r="O40" i="29"/>
  <c r="P41" i="29" a="1"/>
  <c r="P41" i="29" s="1"/>
  <c r="O40" i="33"/>
  <c r="AB39" i="33"/>
  <c r="J759" i="27"/>
  <c r="J2332" i="27"/>
  <c r="M2332" i="27"/>
  <c r="I760" i="27"/>
  <c r="L2332" i="27"/>
  <c r="A406" i="32"/>
  <c r="O2332" i="27"/>
  <c r="G711" i="32"/>
  <c r="G100" i="32"/>
  <c r="K2332" i="27"/>
  <c r="AE39" i="33"/>
  <c r="D2332" i="27"/>
  <c r="G707" i="27"/>
  <c r="J2908" i="27"/>
  <c r="K759" i="27"/>
  <c r="I2909" i="27"/>
  <c r="BC61" i="34"/>
  <c r="M194" i="27"/>
  <c r="V39" i="33"/>
  <c r="I2332" i="27"/>
  <c r="P37" i="33"/>
  <c r="P2332" i="27"/>
  <c r="AK39" i="33"/>
  <c r="I2908" i="27"/>
  <c r="A100" i="32"/>
  <c r="S39" i="33"/>
  <c r="H2908" i="27"/>
  <c r="N2332" i="27"/>
  <c r="Y39" i="33"/>
  <c r="F2332" i="27"/>
  <c r="AH39" i="33"/>
  <c r="BD61" i="34"/>
  <c r="O39" i="33"/>
  <c r="J760" i="27"/>
  <c r="K760" i="27"/>
  <c r="M418" i="27"/>
  <c r="G406" i="32"/>
  <c r="I759" i="27"/>
  <c r="A711" i="32"/>
  <c r="A2908" i="27" l="1"/>
  <c r="U410" i="32"/>
  <c r="S915" i="32" a="1"/>
  <c r="S915" i="32" s="1"/>
  <c r="E915" i="32" s="1"/>
  <c r="T915" i="32" a="1"/>
  <c r="T915" i="32" s="1"/>
  <c r="R915" i="32" a="1"/>
  <c r="R915" i="32" s="1"/>
  <c r="D915" i="32" s="1"/>
  <c r="V915" i="32" a="1"/>
  <c r="V915" i="32" s="1"/>
  <c r="L915" i="32" s="1"/>
  <c r="P919" i="32"/>
  <c r="Q917" i="32"/>
  <c r="A2332" i="27"/>
  <c r="AY63" i="34"/>
  <c r="B2334" i="27"/>
  <c r="U104" i="32"/>
  <c r="F2910" i="27"/>
  <c r="F2911" i="27"/>
  <c r="H195" i="27"/>
  <c r="H419" i="27"/>
  <c r="P179" i="24"/>
  <c r="Q179" i="24"/>
  <c r="L177" i="24"/>
  <c r="S179" i="24"/>
  <c r="K1508" i="27"/>
  <c r="K1507" i="27"/>
  <c r="M179" i="24"/>
  <c r="R179" i="24"/>
  <c r="A760" i="27"/>
  <c r="O179" i="24"/>
  <c r="A759" i="27"/>
  <c r="N179" i="24"/>
  <c r="Q41" i="29"/>
  <c r="O41" i="29"/>
  <c r="P42" i="29" a="1"/>
  <c r="P42" i="29" s="1"/>
  <c r="BB43" i="33"/>
  <c r="U715" i="32"/>
  <c r="H616" i="27"/>
  <c r="H617" i="27" s="1"/>
  <c r="H618" i="27" s="1"/>
  <c r="H619" i="27" s="1"/>
  <c r="H620" i="27" s="1"/>
  <c r="H615" i="27"/>
  <c r="H762" i="27"/>
  <c r="F2658" i="27"/>
  <c r="F2659" i="27"/>
  <c r="F2660" i="27" s="1"/>
  <c r="F2661" i="27" s="1"/>
  <c r="F2662" i="27" s="1"/>
  <c r="F2663" i="27" s="1"/>
  <c r="N418" i="27"/>
  <c r="N194" i="27"/>
  <c r="J419" i="27"/>
  <c r="J194" i="27"/>
  <c r="M2333" i="27"/>
  <c r="K194" i="27"/>
  <c r="I418" i="27"/>
  <c r="Y41" i="33"/>
  <c r="K2333" i="27"/>
  <c r="L2333" i="27"/>
  <c r="K2909" i="27"/>
  <c r="K418" i="27"/>
  <c r="I2911" i="27"/>
  <c r="J2910" i="27"/>
  <c r="O2333" i="27"/>
  <c r="J2333" i="27"/>
  <c r="P39" i="33"/>
  <c r="G102" i="32"/>
  <c r="J761" i="27"/>
  <c r="S41" i="33"/>
  <c r="J2909" i="27"/>
  <c r="AK41" i="33"/>
  <c r="H2909" i="27"/>
  <c r="N2333" i="27"/>
  <c r="I2333" i="27"/>
  <c r="V41" i="33"/>
  <c r="AB41" i="33"/>
  <c r="AH41" i="33"/>
  <c r="P2333" i="27"/>
  <c r="BD62" i="34"/>
  <c r="A102" i="32"/>
  <c r="J418" i="27"/>
  <c r="J195" i="27"/>
  <c r="BC62" i="34"/>
  <c r="O42" i="33"/>
  <c r="I194" i="27"/>
  <c r="A713" i="32"/>
  <c r="G713" i="32"/>
  <c r="AE41" i="33"/>
  <c r="A408" i="32"/>
  <c r="O41" i="33"/>
  <c r="K761" i="27"/>
  <c r="I761" i="27"/>
  <c r="D2333" i="27"/>
  <c r="G408" i="32"/>
  <c r="F2333" i="27"/>
  <c r="U412" i="32" l="1"/>
  <c r="A418" i="27"/>
  <c r="V917" i="32" a="1"/>
  <c r="V917" i="32" s="1"/>
  <c r="L917" i="32" s="1"/>
  <c r="S917" i="32" a="1"/>
  <c r="S917" i="32" s="1"/>
  <c r="E917" i="32" s="1"/>
  <c r="R917" i="32" a="1"/>
  <c r="R917" i="32" s="1"/>
  <c r="D917" i="32" s="1"/>
  <c r="T917" i="32" a="1"/>
  <c r="T917" i="32" s="1"/>
  <c r="P921" i="32"/>
  <c r="Q919" i="32"/>
  <c r="A194" i="27"/>
  <c r="T194" i="27" s="1"/>
  <c r="A2333" i="27"/>
  <c r="U106" i="32"/>
  <c r="B2335" i="27"/>
  <c r="AY64" i="34"/>
  <c r="A2909" i="27"/>
  <c r="F2912" i="27"/>
  <c r="H420" i="27"/>
  <c r="H196" i="27"/>
  <c r="P181" i="24"/>
  <c r="A761" i="27"/>
  <c r="Q181" i="24"/>
  <c r="K1510" i="27"/>
  <c r="K1509" i="27"/>
  <c r="N181" i="24"/>
  <c r="O181" i="24"/>
  <c r="L179" i="24"/>
  <c r="M181" i="24"/>
  <c r="S181" i="24"/>
  <c r="R181" i="24"/>
  <c r="F2664" i="27"/>
  <c r="F2665" i="27"/>
  <c r="F2666" i="27" s="1"/>
  <c r="F2667" i="27" s="1"/>
  <c r="F2668" i="27" s="1"/>
  <c r="F2669" i="27" s="1"/>
  <c r="O42" i="29"/>
  <c r="Q42" i="29"/>
  <c r="P43" i="29" a="1"/>
  <c r="P43" i="29" s="1"/>
  <c r="H621" i="27"/>
  <c r="H622" i="27"/>
  <c r="H623" i="27" s="1"/>
  <c r="H624" i="27" s="1"/>
  <c r="H625" i="27" s="1"/>
  <c r="H626" i="27" s="1"/>
  <c r="U717" i="32"/>
  <c r="H763" i="27"/>
  <c r="BB45" i="33"/>
  <c r="D2334" i="27"/>
  <c r="J2334" i="27"/>
  <c r="I2334" i="27"/>
  <c r="AH43" i="33"/>
  <c r="BC63" i="34"/>
  <c r="A104" i="32"/>
  <c r="I2912" i="27"/>
  <c r="P41" i="33"/>
  <c r="N195" i="27"/>
  <c r="K762" i="27"/>
  <c r="V43" i="33"/>
  <c r="M195" i="27"/>
  <c r="I419" i="27"/>
  <c r="S43" i="33"/>
  <c r="K2334" i="27"/>
  <c r="K2911" i="27"/>
  <c r="O44" i="33"/>
  <c r="G104" i="32"/>
  <c r="G710" i="27"/>
  <c r="K419" i="27"/>
  <c r="N2334" i="27"/>
  <c r="A410" i="32"/>
  <c r="I2910" i="27"/>
  <c r="BD63" i="34"/>
  <c r="M420" i="27"/>
  <c r="Y43" i="33"/>
  <c r="K2910" i="27"/>
  <c r="L2334" i="27"/>
  <c r="H2910" i="27"/>
  <c r="J2911" i="27"/>
  <c r="AE43" i="33"/>
  <c r="H2911" i="27"/>
  <c r="J762" i="27"/>
  <c r="AK43" i="33"/>
  <c r="G410" i="32"/>
  <c r="O2334" i="27"/>
  <c r="A715" i="32"/>
  <c r="F2334" i="27"/>
  <c r="N419" i="27"/>
  <c r="O43" i="33"/>
  <c r="I196" i="27"/>
  <c r="P2334" i="27"/>
  <c r="I195" i="27"/>
  <c r="M2334" i="27"/>
  <c r="I762" i="27"/>
  <c r="M419" i="27"/>
  <c r="K195" i="27"/>
  <c r="G715" i="32"/>
  <c r="AB43" i="33"/>
  <c r="U414" i="32" l="1"/>
  <c r="A2910" i="27"/>
  <c r="A2911" i="27"/>
  <c r="T919" i="32" a="1"/>
  <c r="T919" i="32" s="1"/>
  <c r="V919" i="32" a="1"/>
  <c r="V919" i="32" s="1"/>
  <c r="L919" i="32" s="1"/>
  <c r="R919" i="32" a="1"/>
  <c r="R919" i="32" s="1"/>
  <c r="D919" i="32" s="1"/>
  <c r="S919" i="32" a="1"/>
  <c r="S919" i="32" s="1"/>
  <c r="E919" i="32" s="1"/>
  <c r="P923" i="32"/>
  <c r="Q921" i="32"/>
  <c r="A2334" i="27"/>
  <c r="A419" i="27"/>
  <c r="AY65" i="34"/>
  <c r="B2336" i="27"/>
  <c r="U108" i="32"/>
  <c r="A195" i="27"/>
  <c r="T195" i="27" s="1"/>
  <c r="F2913" i="27"/>
  <c r="H197" i="27"/>
  <c r="H421" i="27"/>
  <c r="N183" i="24"/>
  <c r="L181" i="24"/>
  <c r="Q183" i="24"/>
  <c r="P183" i="24"/>
  <c r="O183" i="24"/>
  <c r="R183" i="24"/>
  <c r="A762" i="27"/>
  <c r="K1512" i="27"/>
  <c r="K1511" i="27"/>
  <c r="S183" i="24"/>
  <c r="M183" i="24"/>
  <c r="O43" i="29"/>
  <c r="Q43" i="29"/>
  <c r="P44" i="29" a="1"/>
  <c r="P44" i="29" s="1"/>
  <c r="F2670" i="27"/>
  <c r="F2671" i="27"/>
  <c r="F2672" i="27" s="1"/>
  <c r="F2673" i="27" s="1"/>
  <c r="F2674" i="27" s="1"/>
  <c r="F2675" i="27" s="1"/>
  <c r="H627" i="27"/>
  <c r="H628" i="27"/>
  <c r="H629" i="27" s="1"/>
  <c r="H630" i="27" s="1"/>
  <c r="H631" i="27" s="1"/>
  <c r="H632" i="27" s="1"/>
  <c r="BB47" i="33"/>
  <c r="U719" i="32"/>
  <c r="H764" i="27"/>
  <c r="P2335" i="27"/>
  <c r="P43" i="33"/>
  <c r="J197" i="27"/>
  <c r="F2335" i="27"/>
  <c r="H2913" i="27"/>
  <c r="D2335" i="27"/>
  <c r="G106" i="32"/>
  <c r="BC64" i="34"/>
  <c r="O45" i="33"/>
  <c r="M2335" i="27"/>
  <c r="J196" i="27"/>
  <c r="K2335" i="27"/>
  <c r="I420" i="27"/>
  <c r="S45" i="33"/>
  <c r="K196" i="27"/>
  <c r="G711" i="27"/>
  <c r="J2335" i="27"/>
  <c r="I2335" i="27"/>
  <c r="A717" i="32"/>
  <c r="G712" i="27"/>
  <c r="K2912" i="27"/>
  <c r="A106" i="32"/>
  <c r="AH45" i="33"/>
  <c r="J2912" i="27"/>
  <c r="L2335" i="27"/>
  <c r="H2912" i="27"/>
  <c r="V45" i="33"/>
  <c r="N420" i="27"/>
  <c r="K763" i="27"/>
  <c r="J420" i="27"/>
  <c r="AB45" i="33"/>
  <c r="AE45" i="33"/>
  <c r="N2335" i="27"/>
  <c r="N196" i="27"/>
  <c r="A412" i="32"/>
  <c r="Y45" i="33"/>
  <c r="G717" i="32"/>
  <c r="AK45" i="33"/>
  <c r="I763" i="27"/>
  <c r="K421" i="27"/>
  <c r="J763" i="27"/>
  <c r="O2335" i="27"/>
  <c r="BD64" i="34"/>
  <c r="K420" i="27"/>
  <c r="G412" i="32"/>
  <c r="M196" i="27"/>
  <c r="O46" i="33"/>
  <c r="U416" i="32" l="1"/>
  <c r="A420" i="27"/>
  <c r="A2912" i="27"/>
  <c r="R921" i="32" a="1"/>
  <c r="R921" i="32" s="1"/>
  <c r="D921" i="32" s="1"/>
  <c r="V921" i="32" a="1"/>
  <c r="V921" i="32" s="1"/>
  <c r="L921" i="32" s="1"/>
  <c r="S921" i="32" a="1"/>
  <c r="S921" i="32" s="1"/>
  <c r="E921" i="32" s="1"/>
  <c r="T921" i="32" a="1"/>
  <c r="T921" i="32" s="1"/>
  <c r="P925" i="32"/>
  <c r="Q923" i="32"/>
  <c r="A2335" i="27"/>
  <c r="B2337" i="27"/>
  <c r="U110" i="32"/>
  <c r="AY66" i="34"/>
  <c r="A196" i="27"/>
  <c r="T196" i="27" s="1"/>
  <c r="F2914" i="27"/>
  <c r="H422" i="27"/>
  <c r="H198" i="27"/>
  <c r="O185" i="24"/>
  <c r="L183" i="24"/>
  <c r="P185" i="24"/>
  <c r="Q185" i="24"/>
  <c r="S185" i="24"/>
  <c r="M185" i="24"/>
  <c r="A763" i="27"/>
  <c r="R185" i="24"/>
  <c r="K1514" i="27"/>
  <c r="K1513" i="27"/>
  <c r="N185" i="24"/>
  <c r="H633" i="27"/>
  <c r="H634" i="27"/>
  <c r="H635" i="27" s="1"/>
  <c r="H636" i="27" s="1"/>
  <c r="H637" i="27" s="1"/>
  <c r="H638" i="27" s="1"/>
  <c r="O44" i="29"/>
  <c r="Q44" i="29"/>
  <c r="P45" i="29" a="1"/>
  <c r="P45" i="29" s="1"/>
  <c r="F2676" i="27"/>
  <c r="F2677" i="27"/>
  <c r="F2678" i="27" s="1"/>
  <c r="F2679" i="27" s="1"/>
  <c r="F2680" i="27" s="1"/>
  <c r="F2681" i="27" s="1"/>
  <c r="H765" i="27"/>
  <c r="H766" i="27"/>
  <c r="U721" i="32"/>
  <c r="BB49" i="33"/>
  <c r="N421" i="27"/>
  <c r="AB47" i="33"/>
  <c r="AE47" i="33"/>
  <c r="O48" i="33"/>
  <c r="N197" i="27"/>
  <c r="AH47" i="33"/>
  <c r="M197" i="27"/>
  <c r="BC65" i="34"/>
  <c r="L2336" i="27"/>
  <c r="K2336" i="27"/>
  <c r="F2336" i="27"/>
  <c r="G108" i="32"/>
  <c r="P2336" i="27"/>
  <c r="A414" i="32"/>
  <c r="J764" i="27"/>
  <c r="D2336" i="27"/>
  <c r="O2336" i="27"/>
  <c r="I2913" i="27"/>
  <c r="J2914" i="27"/>
  <c r="A719" i="32"/>
  <c r="K764" i="27"/>
  <c r="J2336" i="27"/>
  <c r="N2336" i="27"/>
  <c r="I421" i="27"/>
  <c r="O47" i="33"/>
  <c r="I764" i="27"/>
  <c r="J2913" i="27"/>
  <c r="S47" i="33"/>
  <c r="K197" i="27"/>
  <c r="K2913" i="27"/>
  <c r="M421" i="27"/>
  <c r="I197" i="27"/>
  <c r="V47" i="33"/>
  <c r="G719" i="32"/>
  <c r="BD65" i="34"/>
  <c r="Y47" i="33"/>
  <c r="A108" i="32"/>
  <c r="M2336" i="27"/>
  <c r="P45" i="33"/>
  <c r="G414" i="32"/>
  <c r="J421" i="27"/>
  <c r="I2336" i="27"/>
  <c r="AK47" i="33"/>
  <c r="U418" i="32" l="1"/>
  <c r="V923" i="32" a="1"/>
  <c r="V923" i="32" s="1"/>
  <c r="L923" i="32" s="1"/>
  <c r="T923" i="32" a="1"/>
  <c r="T923" i="32" s="1"/>
  <c r="R923" i="32" a="1"/>
  <c r="R923" i="32" s="1"/>
  <c r="D923" i="32" s="1"/>
  <c r="S923" i="32" a="1"/>
  <c r="S923" i="32" s="1"/>
  <c r="E923" i="32" s="1"/>
  <c r="P927" i="32"/>
  <c r="Q925" i="32"/>
  <c r="A2336" i="27"/>
  <c r="U112" i="32"/>
  <c r="AY67" i="34"/>
  <c r="B2338" i="27"/>
  <c r="A197" i="27"/>
  <c r="T197" i="27" s="1"/>
  <c r="A421" i="27"/>
  <c r="A2913" i="27"/>
  <c r="F2915" i="27"/>
  <c r="H200" i="27"/>
  <c r="H199" i="27"/>
  <c r="H424" i="27"/>
  <c r="H423" i="27"/>
  <c r="Q187" i="24"/>
  <c r="O187" i="24"/>
  <c r="M187" i="24"/>
  <c r="R187" i="24"/>
  <c r="N187" i="24"/>
  <c r="S187" i="24"/>
  <c r="A764" i="27"/>
  <c r="P187" i="24"/>
  <c r="K1516" i="27"/>
  <c r="K1515" i="27"/>
  <c r="L185" i="24"/>
  <c r="BB51" i="33"/>
  <c r="U723" i="32"/>
  <c r="H639" i="27"/>
  <c r="H640" i="27"/>
  <c r="H641" i="27" s="1"/>
  <c r="H642" i="27" s="1"/>
  <c r="H643" i="27" s="1"/>
  <c r="H644" i="27" s="1"/>
  <c r="H767" i="27"/>
  <c r="Q45" i="29"/>
  <c r="O45" i="29"/>
  <c r="P46" i="29" a="1"/>
  <c r="P46" i="29" s="1"/>
  <c r="F2683" i="27"/>
  <c r="F2684" i="27" s="1"/>
  <c r="F2685" i="27" s="1"/>
  <c r="F2686" i="27" s="1"/>
  <c r="F2687" i="27" s="1"/>
  <c r="F2682" i="27"/>
  <c r="A110" i="32"/>
  <c r="D2337" i="27"/>
  <c r="O50" i="33"/>
  <c r="O2337" i="27"/>
  <c r="F2337" i="27"/>
  <c r="I2914" i="27"/>
  <c r="L2337" i="27"/>
  <c r="K766" i="27"/>
  <c r="J200" i="27"/>
  <c r="I765" i="27"/>
  <c r="A721" i="32"/>
  <c r="A416" i="32"/>
  <c r="K2915" i="27"/>
  <c r="N424" i="27"/>
  <c r="G713" i="27"/>
  <c r="G416" i="32"/>
  <c r="M2337" i="27"/>
  <c r="G721" i="32"/>
  <c r="O49" i="33"/>
  <c r="AB49" i="33"/>
  <c r="K2914" i="27"/>
  <c r="AK49" i="33"/>
  <c r="J765" i="27"/>
  <c r="V49" i="33"/>
  <c r="BC66" i="34"/>
  <c r="P47" i="33"/>
  <c r="N2337" i="27"/>
  <c r="BD66" i="34"/>
  <c r="K2337" i="27"/>
  <c r="S49" i="33"/>
  <c r="J2337" i="27"/>
  <c r="G110" i="32"/>
  <c r="I2337" i="27"/>
  <c r="P2337" i="27"/>
  <c r="I766" i="27"/>
  <c r="AE49" i="33"/>
  <c r="Y49" i="33"/>
  <c r="H2914" i="27"/>
  <c r="AH49" i="33"/>
  <c r="K765" i="27"/>
  <c r="J766" i="27"/>
  <c r="U420" i="32" l="1"/>
  <c r="R925" i="32" a="1"/>
  <c r="R925" i="32" s="1"/>
  <c r="D925" i="32" s="1"/>
  <c r="T925" i="32" a="1"/>
  <c r="T925" i="32" s="1"/>
  <c r="V925" i="32" a="1"/>
  <c r="V925" i="32" s="1"/>
  <c r="L925" i="32" s="1"/>
  <c r="S925" i="32" a="1"/>
  <c r="S925" i="32" s="1"/>
  <c r="E925" i="32" s="1"/>
  <c r="P929" i="32"/>
  <c r="Q927" i="32"/>
  <c r="A2337" i="27"/>
  <c r="B2339" i="27"/>
  <c r="AY68" i="34"/>
  <c r="U114" i="32"/>
  <c r="A2914" i="27"/>
  <c r="F2917" i="27"/>
  <c r="F2916" i="27"/>
  <c r="H425" i="27"/>
  <c r="H201" i="27"/>
  <c r="M189" i="24"/>
  <c r="A766" i="27"/>
  <c r="P189" i="24"/>
  <c r="R189" i="24"/>
  <c r="Q189" i="24"/>
  <c r="A765" i="27"/>
  <c r="O189" i="24"/>
  <c r="K1517" i="27"/>
  <c r="K1518" i="27"/>
  <c r="N189" i="24"/>
  <c r="S189" i="24"/>
  <c r="L187" i="24"/>
  <c r="H768" i="27"/>
  <c r="BB53" i="33"/>
  <c r="F2688" i="27"/>
  <c r="F2689" i="27"/>
  <c r="F2690" i="27" s="1"/>
  <c r="F2691" i="27" s="1"/>
  <c r="F2692" i="27" s="1"/>
  <c r="F2693" i="27" s="1"/>
  <c r="H645" i="27"/>
  <c r="H646" i="27"/>
  <c r="H647" i="27" s="1"/>
  <c r="H648" i="27" s="1"/>
  <c r="H649" i="27" s="1"/>
  <c r="H650" i="27" s="1"/>
  <c r="U725" i="32"/>
  <c r="O46" i="29"/>
  <c r="Q46" i="29"/>
  <c r="P47" i="29" a="1"/>
  <c r="P47" i="29" s="1"/>
  <c r="M424" i="27"/>
  <c r="H2915" i="27"/>
  <c r="O52" i="33"/>
  <c r="L2338" i="27"/>
  <c r="N2338" i="27"/>
  <c r="J2338" i="27"/>
  <c r="G112" i="32"/>
  <c r="I2338" i="27"/>
  <c r="BD67" i="34"/>
  <c r="G723" i="32"/>
  <c r="AB51" i="33"/>
  <c r="O2338" i="27"/>
  <c r="J424" i="27"/>
  <c r="I767" i="27"/>
  <c r="AK51" i="33"/>
  <c r="D2338" i="27"/>
  <c r="A723" i="32"/>
  <c r="K201" i="27"/>
  <c r="P49" i="33"/>
  <c r="I2917" i="27"/>
  <c r="M200" i="27"/>
  <c r="Y51" i="33"/>
  <c r="A112" i="32"/>
  <c r="G418" i="32"/>
  <c r="I424" i="27"/>
  <c r="O51" i="33"/>
  <c r="AE51" i="33"/>
  <c r="K2916" i="27"/>
  <c r="AH51" i="33"/>
  <c r="J767" i="27"/>
  <c r="P2338" i="27"/>
  <c r="F2338" i="27"/>
  <c r="M2338" i="27"/>
  <c r="A418" i="32"/>
  <c r="K424" i="27"/>
  <c r="J2915" i="27"/>
  <c r="I200" i="27"/>
  <c r="K2338" i="27"/>
  <c r="V51" i="33"/>
  <c r="N200" i="27"/>
  <c r="J425" i="27"/>
  <c r="I2915" i="27"/>
  <c r="K200" i="27"/>
  <c r="K767" i="27"/>
  <c r="S51" i="33"/>
  <c r="BC67" i="34"/>
  <c r="U422" i="32" l="1"/>
  <c r="T927" i="32" a="1"/>
  <c r="T927" i="32" s="1"/>
  <c r="S927" i="32" a="1"/>
  <c r="S927" i="32" s="1"/>
  <c r="E927" i="32" s="1"/>
  <c r="V927" i="32" a="1"/>
  <c r="V927" i="32" s="1"/>
  <c r="L927" i="32" s="1"/>
  <c r="R927" i="32" a="1"/>
  <c r="R927" i="32" s="1"/>
  <c r="D927" i="32" s="1"/>
  <c r="P931" i="32"/>
  <c r="Q929" i="32"/>
  <c r="A200" i="27"/>
  <c r="T200" i="27" s="1"/>
  <c r="A2338" i="27"/>
  <c r="U116" i="32"/>
  <c r="B2340" i="27"/>
  <c r="AY69" i="34"/>
  <c r="A424" i="27"/>
  <c r="A2915" i="27"/>
  <c r="F2918" i="27"/>
  <c r="H202" i="27"/>
  <c r="H426" i="27"/>
  <c r="K1520" i="27"/>
  <c r="K1519" i="27"/>
  <c r="L189" i="24"/>
  <c r="N191" i="24"/>
  <c r="S191" i="24"/>
  <c r="Q191" i="24"/>
  <c r="P191" i="24"/>
  <c r="R191" i="24"/>
  <c r="M191" i="24"/>
  <c r="A767" i="27"/>
  <c r="O191" i="24"/>
  <c r="H652" i="27"/>
  <c r="H653" i="27" s="1"/>
  <c r="H654" i="27" s="1"/>
  <c r="H655" i="27" s="1"/>
  <c r="H656" i="27" s="1"/>
  <c r="H651" i="27"/>
  <c r="F2694" i="27"/>
  <c r="F2695" i="27"/>
  <c r="F2696" i="27" s="1"/>
  <c r="F2697" i="27" s="1"/>
  <c r="F2698" i="27" s="1"/>
  <c r="F2699" i="27" s="1"/>
  <c r="O47" i="29"/>
  <c r="Q47" i="29"/>
  <c r="P48" i="29" a="1"/>
  <c r="P48" i="29" s="1"/>
  <c r="BB55" i="33"/>
  <c r="H769" i="27"/>
  <c r="U727" i="32"/>
  <c r="H2917" i="27"/>
  <c r="J2917" i="27"/>
  <c r="M425" i="27"/>
  <c r="O54" i="33"/>
  <c r="P2339" i="27"/>
  <c r="G716" i="27"/>
  <c r="Y53" i="33"/>
  <c r="I2339" i="27"/>
  <c r="AB53" i="33"/>
  <c r="A114" i="32"/>
  <c r="M426" i="27"/>
  <c r="AK53" i="33"/>
  <c r="P51" i="33"/>
  <c r="I2916" i="27"/>
  <c r="L2339" i="27"/>
  <c r="K768" i="27"/>
  <c r="O53" i="33"/>
  <c r="J2916" i="27"/>
  <c r="G420" i="32"/>
  <c r="H2918" i="27"/>
  <c r="D2339" i="27"/>
  <c r="J201" i="27"/>
  <c r="AE53" i="33"/>
  <c r="G725" i="32"/>
  <c r="N2339" i="27"/>
  <c r="AH53" i="33"/>
  <c r="J2339" i="27"/>
  <c r="K2339" i="27"/>
  <c r="G114" i="32"/>
  <c r="BC68" i="34"/>
  <c r="N201" i="27"/>
  <c r="K425" i="27"/>
  <c r="M2339" i="27"/>
  <c r="F2339" i="27"/>
  <c r="I768" i="27"/>
  <c r="O2339" i="27"/>
  <c r="I425" i="27"/>
  <c r="I201" i="27"/>
  <c r="A420" i="32"/>
  <c r="N425" i="27"/>
  <c r="S53" i="33"/>
  <c r="K2917" i="27"/>
  <c r="K202" i="27"/>
  <c r="BD68" i="34"/>
  <c r="A725" i="32"/>
  <c r="J768" i="27"/>
  <c r="V53" i="33"/>
  <c r="H2916" i="27"/>
  <c r="M201" i="27"/>
  <c r="A2917" i="27" l="1"/>
  <c r="A2916" i="27"/>
  <c r="U424" i="32"/>
  <c r="P933" i="32"/>
  <c r="Q931" i="32"/>
  <c r="R929" i="32" a="1"/>
  <c r="R929" i="32" s="1"/>
  <c r="D929" i="32" s="1"/>
  <c r="T929" i="32" a="1"/>
  <c r="T929" i="32" s="1"/>
  <c r="V929" i="32" a="1"/>
  <c r="V929" i="32" s="1"/>
  <c r="L929" i="32" s="1"/>
  <c r="S929" i="32" a="1"/>
  <c r="S929" i="32" s="1"/>
  <c r="E929" i="32" s="1"/>
  <c r="A2339" i="27"/>
  <c r="AY70" i="34"/>
  <c r="U118" i="32"/>
  <c r="B2341" i="27"/>
  <c r="A425" i="27"/>
  <c r="A201" i="27"/>
  <c r="T201" i="27" s="1"/>
  <c r="F2919" i="27"/>
  <c r="H427" i="27"/>
  <c r="H203" i="27"/>
  <c r="R193" i="24"/>
  <c r="S193" i="24"/>
  <c r="N193" i="24"/>
  <c r="M193" i="24"/>
  <c r="Q193" i="24"/>
  <c r="K1521" i="27"/>
  <c r="K1522" i="27"/>
  <c r="P193" i="24"/>
  <c r="A768" i="27"/>
  <c r="O193" i="24"/>
  <c r="L191" i="24"/>
  <c r="BB57" i="33"/>
  <c r="U729" i="32"/>
  <c r="F2701" i="27"/>
  <c r="F2702" i="27" s="1"/>
  <c r="F2703" i="27" s="1"/>
  <c r="F2704" i="27" s="1"/>
  <c r="F2705" i="27" s="1"/>
  <c r="F2700" i="27"/>
  <c r="Q48" i="29"/>
  <c r="O48" i="29"/>
  <c r="P49" i="29" a="1"/>
  <c r="P49" i="29" s="1"/>
  <c r="H770" i="27"/>
  <c r="H657" i="27"/>
  <c r="H658" i="27"/>
  <c r="H659" i="27" s="1"/>
  <c r="H660" i="27" s="1"/>
  <c r="H661" i="27" s="1"/>
  <c r="H662" i="27" s="1"/>
  <c r="V55" i="33"/>
  <c r="A116" i="32"/>
  <c r="I769" i="27"/>
  <c r="O2340" i="27"/>
  <c r="D2340" i="27"/>
  <c r="N202" i="27"/>
  <c r="O55" i="33"/>
  <c r="I2340" i="27"/>
  <c r="J426" i="27"/>
  <c r="G727" i="32"/>
  <c r="I202" i="27"/>
  <c r="AE55" i="33"/>
  <c r="N203" i="27"/>
  <c r="G422" i="32"/>
  <c r="M202" i="27"/>
  <c r="K2919" i="27"/>
  <c r="I426" i="27"/>
  <c r="J202" i="27"/>
  <c r="J2340" i="27"/>
  <c r="BC69" i="34"/>
  <c r="A422" i="32"/>
  <c r="J2918" i="27"/>
  <c r="M2340" i="27"/>
  <c r="P2340" i="27"/>
  <c r="J769" i="27"/>
  <c r="BD69" i="34"/>
  <c r="A727" i="32"/>
  <c r="G717" i="27"/>
  <c r="N426" i="27"/>
  <c r="I2918" i="27"/>
  <c r="K2918" i="27"/>
  <c r="AK55" i="33"/>
  <c r="O56" i="33"/>
  <c r="K426" i="27"/>
  <c r="Y55" i="33"/>
  <c r="I427" i="27"/>
  <c r="N2340" i="27"/>
  <c r="K769" i="27"/>
  <c r="S55" i="33"/>
  <c r="F2340" i="27"/>
  <c r="G116" i="32"/>
  <c r="P53" i="33"/>
  <c r="AB55" i="33"/>
  <c r="L2340" i="27"/>
  <c r="K2340" i="27"/>
  <c r="AH55" i="33"/>
  <c r="A2918" i="27" l="1"/>
  <c r="U426" i="32"/>
  <c r="R931" i="32" a="1"/>
  <c r="R931" i="32" s="1"/>
  <c r="D931" i="32" s="1"/>
  <c r="V931" i="32" a="1"/>
  <c r="V931" i="32" s="1"/>
  <c r="L931" i="32" s="1"/>
  <c r="T931" i="32" a="1"/>
  <c r="T931" i="32" s="1"/>
  <c r="S931" i="32" a="1"/>
  <c r="S931" i="32" s="1"/>
  <c r="E931" i="32" s="1"/>
  <c r="P935" i="32"/>
  <c r="Q933" i="32"/>
  <c r="A426" i="27"/>
  <c r="A202" i="27"/>
  <c r="T202" i="27" s="1"/>
  <c r="A2340" i="27"/>
  <c r="B2342" i="27"/>
  <c r="U120" i="32"/>
  <c r="AY71" i="34"/>
  <c r="F2920" i="27"/>
  <c r="H204" i="27"/>
  <c r="H428" i="27"/>
  <c r="P195" i="24"/>
  <c r="A769" i="27"/>
  <c r="L193" i="24"/>
  <c r="K1524" i="27"/>
  <c r="K1523" i="27"/>
  <c r="M195" i="24"/>
  <c r="N195" i="24"/>
  <c r="R195" i="24"/>
  <c r="Q195" i="24"/>
  <c r="S195" i="24"/>
  <c r="O195" i="24"/>
  <c r="BB59" i="33"/>
  <c r="F2707" i="27"/>
  <c r="F2708" i="27" s="1"/>
  <c r="F2709" i="27" s="1"/>
  <c r="F2710" i="27" s="1"/>
  <c r="F2711" i="27" s="1"/>
  <c r="F2706" i="27"/>
  <c r="O49" i="29"/>
  <c r="Q49" i="29"/>
  <c r="P50" i="29" a="1"/>
  <c r="P50" i="29" s="1"/>
  <c r="U731" i="32"/>
  <c r="H664" i="27"/>
  <c r="H665" i="27" s="1"/>
  <c r="H666" i="27" s="1"/>
  <c r="H667" i="27" s="1"/>
  <c r="H668" i="27" s="1"/>
  <c r="H663" i="27"/>
  <c r="H771" i="27"/>
  <c r="H772" i="27"/>
  <c r="O57" i="33"/>
  <c r="I2341" i="27"/>
  <c r="P55" i="33"/>
  <c r="O58" i="33"/>
  <c r="P2341" i="27"/>
  <c r="M427" i="27"/>
  <c r="D2341" i="27"/>
  <c r="O2341" i="27"/>
  <c r="M2341" i="27"/>
  <c r="AE57" i="33"/>
  <c r="G729" i="32"/>
  <c r="K2341" i="27"/>
  <c r="H2919" i="27"/>
  <c r="AB57" i="33"/>
  <c r="V57" i="33"/>
  <c r="G118" i="32"/>
  <c r="G424" i="32"/>
  <c r="N427" i="27"/>
  <c r="M203" i="27"/>
  <c r="N2341" i="27"/>
  <c r="Y57" i="33"/>
  <c r="BD70" i="34"/>
  <c r="A424" i="32"/>
  <c r="I2920" i="27"/>
  <c r="G718" i="27"/>
  <c r="AH57" i="33"/>
  <c r="F2341" i="27"/>
  <c r="I2919" i="27"/>
  <c r="J203" i="27"/>
  <c r="J2919" i="27"/>
  <c r="AK57" i="33"/>
  <c r="J2341" i="27"/>
  <c r="I770" i="27"/>
  <c r="BC70" i="34"/>
  <c r="J770" i="27"/>
  <c r="A729" i="32"/>
  <c r="K203" i="27"/>
  <c r="S57" i="33"/>
  <c r="K770" i="27"/>
  <c r="I203" i="27"/>
  <c r="J427" i="27"/>
  <c r="L2341" i="27"/>
  <c r="A118" i="32"/>
  <c r="K427" i="27"/>
  <c r="U428" i="32" l="1"/>
  <c r="A427" i="27"/>
  <c r="R933" i="32" a="1"/>
  <c r="R933" i="32" s="1"/>
  <c r="D933" i="32" s="1"/>
  <c r="V933" i="32" a="1"/>
  <c r="V933" i="32" s="1"/>
  <c r="L933" i="32" s="1"/>
  <c r="S933" i="32" a="1"/>
  <c r="S933" i="32" s="1"/>
  <c r="E933" i="32" s="1"/>
  <c r="T933" i="32" a="1"/>
  <c r="T933" i="32" s="1"/>
  <c r="P937" i="32"/>
  <c r="Q935" i="32"/>
  <c r="A2341" i="27"/>
  <c r="B2343" i="27"/>
  <c r="AY72" i="34"/>
  <c r="U122" i="32"/>
  <c r="A2919" i="27"/>
  <c r="A203" i="27"/>
  <c r="T203" i="27" s="1"/>
  <c r="F2921" i="27"/>
  <c r="H430" i="27"/>
  <c r="H429" i="27"/>
  <c r="H206" i="27"/>
  <c r="H205" i="27"/>
  <c r="K1526" i="27"/>
  <c r="K1525" i="27"/>
  <c r="Q197" i="24"/>
  <c r="S197" i="24"/>
  <c r="M197" i="24"/>
  <c r="P197" i="24"/>
  <c r="R197" i="24"/>
  <c r="L195" i="24"/>
  <c r="A770" i="27"/>
  <c r="O197" i="24"/>
  <c r="N197" i="24"/>
  <c r="F2713" i="27"/>
  <c r="F2714" i="27" s="1"/>
  <c r="F2715" i="27" s="1"/>
  <c r="F2716" i="27" s="1"/>
  <c r="F2717" i="27" s="1"/>
  <c r="F2712" i="27"/>
  <c r="H773" i="27"/>
  <c r="H670" i="27"/>
  <c r="H671" i="27" s="1"/>
  <c r="H672" i="27" s="1"/>
  <c r="H673" i="27" s="1"/>
  <c r="H674" i="27" s="1"/>
  <c r="H669" i="27"/>
  <c r="U733" i="32"/>
  <c r="O50" i="29"/>
  <c r="Q50" i="29"/>
  <c r="P51" i="29" a="1"/>
  <c r="P51" i="29" s="1"/>
  <c r="BB61" i="33"/>
  <c r="J771" i="27"/>
  <c r="K2342" i="27"/>
  <c r="G719" i="27"/>
  <c r="O59" i="33"/>
  <c r="G426" i="32"/>
  <c r="K2920" i="27"/>
  <c r="I772" i="27"/>
  <c r="I2342" i="27"/>
  <c r="J2920" i="27"/>
  <c r="O60" i="33"/>
  <c r="A731" i="32"/>
  <c r="AK59" i="33"/>
  <c r="P2342" i="27"/>
  <c r="J772" i="27"/>
  <c r="J2342" i="27"/>
  <c r="L2342" i="27"/>
  <c r="J2921" i="27"/>
  <c r="S59" i="33"/>
  <c r="N2342" i="27"/>
  <c r="AB59" i="33"/>
  <c r="AE59" i="33"/>
  <c r="H2920" i="27"/>
  <c r="P57" i="33"/>
  <c r="N430" i="27"/>
  <c r="A426" i="32"/>
  <c r="BD71" i="34"/>
  <c r="A120" i="32"/>
  <c r="Y59" i="33"/>
  <c r="F2342" i="27"/>
  <c r="K772" i="27"/>
  <c r="AH59" i="33"/>
  <c r="G731" i="32"/>
  <c r="I771" i="27"/>
  <c r="O2342" i="27"/>
  <c r="J206" i="27"/>
  <c r="K771" i="27"/>
  <c r="M2342" i="27"/>
  <c r="G120" i="32"/>
  <c r="D2342" i="27"/>
  <c r="BC71" i="34"/>
  <c r="V59" i="33"/>
  <c r="U430" i="32" l="1"/>
  <c r="V935" i="32" a="1"/>
  <c r="V935" i="32" s="1"/>
  <c r="L935" i="32" s="1"/>
  <c r="S935" i="32" a="1"/>
  <c r="S935" i="32" s="1"/>
  <c r="E935" i="32" s="1"/>
  <c r="R935" i="32" a="1"/>
  <c r="R935" i="32" s="1"/>
  <c r="D935" i="32" s="1"/>
  <c r="T935" i="32" a="1"/>
  <c r="T935" i="32" s="1"/>
  <c r="P939" i="32"/>
  <c r="Q937" i="32"/>
  <c r="A2342" i="27"/>
  <c r="A2920" i="27"/>
  <c r="AY73" i="34"/>
  <c r="U124" i="32"/>
  <c r="B2344" i="27"/>
  <c r="F2923" i="27"/>
  <c r="F2922" i="27"/>
  <c r="H207" i="27"/>
  <c r="H431" i="27"/>
  <c r="M199" i="24"/>
  <c r="Q199" i="24"/>
  <c r="N199" i="24"/>
  <c r="S199" i="24"/>
  <c r="P199" i="24"/>
  <c r="A772" i="27"/>
  <c r="A771" i="27"/>
  <c r="O199" i="24"/>
  <c r="K1528" i="27"/>
  <c r="K1527" i="27"/>
  <c r="R199" i="24"/>
  <c r="L197" i="24"/>
  <c r="F2719" i="27"/>
  <c r="F2720" i="27" s="1"/>
  <c r="F2721" i="27" s="1"/>
  <c r="F2722" i="27" s="1"/>
  <c r="F2723" i="27" s="1"/>
  <c r="F2718" i="27"/>
  <c r="BB63" i="33"/>
  <c r="H774" i="27"/>
  <c r="Q51" i="29"/>
  <c r="O51" i="29"/>
  <c r="P52" i="29" a="1"/>
  <c r="P52" i="29" s="1"/>
  <c r="H675" i="27"/>
  <c r="H676" i="27"/>
  <c r="H677" i="27" s="1"/>
  <c r="H678" i="27" s="1"/>
  <c r="H679" i="27" s="1"/>
  <c r="H680" i="27" s="1"/>
  <c r="U735" i="32"/>
  <c r="A733" i="32"/>
  <c r="M2343" i="27"/>
  <c r="L2343" i="27"/>
  <c r="P59" i="33"/>
  <c r="G428" i="32"/>
  <c r="A122" i="32"/>
  <c r="I206" i="27"/>
  <c r="I430" i="27"/>
  <c r="AB61" i="33"/>
  <c r="M430" i="27"/>
  <c r="AE61" i="33"/>
  <c r="K2921" i="27"/>
  <c r="V61" i="33"/>
  <c r="I2921" i="27"/>
  <c r="P2343" i="27"/>
  <c r="I2923" i="27"/>
  <c r="AK61" i="33"/>
  <c r="M431" i="27"/>
  <c r="K2922" i="27"/>
  <c r="H2921" i="27"/>
  <c r="G122" i="32"/>
  <c r="G733" i="32"/>
  <c r="K206" i="27"/>
  <c r="K2343" i="27"/>
  <c r="J2343" i="27"/>
  <c r="O62" i="33"/>
  <c r="AH61" i="33"/>
  <c r="D2343" i="27"/>
  <c r="M206" i="27"/>
  <c r="A428" i="32"/>
  <c r="BD72" i="34"/>
  <c r="O2343" i="27"/>
  <c r="Y61" i="33"/>
  <c r="I2343" i="27"/>
  <c r="N2343" i="27"/>
  <c r="N206" i="27"/>
  <c r="K430" i="27"/>
  <c r="BC72" i="34"/>
  <c r="K773" i="27"/>
  <c r="J430" i="27"/>
  <c r="J773" i="27"/>
  <c r="I773" i="27"/>
  <c r="F2343" i="27"/>
  <c r="O61" i="33"/>
  <c r="S61" i="33"/>
  <c r="I207" i="27"/>
  <c r="A2921" i="27" l="1"/>
  <c r="U432" i="32"/>
  <c r="V937" i="32" a="1"/>
  <c r="V937" i="32" s="1"/>
  <c r="L937" i="32" s="1"/>
  <c r="R937" i="32" a="1"/>
  <c r="R937" i="32" s="1"/>
  <c r="D937" i="32" s="1"/>
  <c r="T937" i="32" a="1"/>
  <c r="T937" i="32" s="1"/>
  <c r="S937" i="32" a="1"/>
  <c r="S937" i="32" s="1"/>
  <c r="E937" i="32" s="1"/>
  <c r="P941" i="32"/>
  <c r="Q939" i="32"/>
  <c r="A430" i="27"/>
  <c r="A2343" i="27"/>
  <c r="AY74" i="34"/>
  <c r="U126" i="32"/>
  <c r="B2345" i="27"/>
  <c r="A206" i="27"/>
  <c r="T206" i="27" s="1"/>
  <c r="F2924" i="27"/>
  <c r="H432" i="27"/>
  <c r="H208" i="27"/>
  <c r="P201" i="24"/>
  <c r="K1529" i="27"/>
  <c r="K1530" i="27"/>
  <c r="O201" i="24"/>
  <c r="L199" i="24"/>
  <c r="S201" i="24"/>
  <c r="Q201" i="24"/>
  <c r="A773" i="27"/>
  <c r="N201" i="24"/>
  <c r="M201" i="24"/>
  <c r="R201" i="24"/>
  <c r="Q52" i="29"/>
  <c r="O52" i="29"/>
  <c r="P53" i="29" a="1"/>
  <c r="P53" i="29" s="1"/>
  <c r="F2724" i="27"/>
  <c r="F2725" i="27"/>
  <c r="F2726" i="27" s="1"/>
  <c r="F2727" i="27" s="1"/>
  <c r="F2728" i="27" s="1"/>
  <c r="F2729" i="27" s="1"/>
  <c r="U737" i="32"/>
  <c r="H775" i="27"/>
  <c r="BB65" i="33"/>
  <c r="H681" i="27"/>
  <c r="H682" i="27"/>
  <c r="H683" i="27" s="1"/>
  <c r="H684" i="27" s="1"/>
  <c r="H685" i="27" s="1"/>
  <c r="H686" i="27" s="1"/>
  <c r="AE63" i="33"/>
  <c r="G735" i="32"/>
  <c r="A124" i="32"/>
  <c r="K431" i="27"/>
  <c r="A430" i="32"/>
  <c r="AB63" i="33"/>
  <c r="K774" i="27"/>
  <c r="H2923" i="27"/>
  <c r="J2922" i="27"/>
  <c r="BD73" i="34"/>
  <c r="V63" i="33"/>
  <c r="O64" i="33"/>
  <c r="S63" i="33"/>
  <c r="G430" i="32"/>
  <c r="J2923" i="27"/>
  <c r="M2344" i="27"/>
  <c r="L2344" i="27"/>
  <c r="I2922" i="27"/>
  <c r="F2344" i="27"/>
  <c r="J2344" i="27"/>
  <c r="J774" i="27"/>
  <c r="A735" i="32"/>
  <c r="K2923" i="27"/>
  <c r="P2344" i="27"/>
  <c r="M207" i="27"/>
  <c r="J431" i="27"/>
  <c r="G722" i="27"/>
  <c r="D2344" i="27"/>
  <c r="Y63" i="33"/>
  <c r="N2344" i="27"/>
  <c r="I774" i="27"/>
  <c r="N431" i="27"/>
  <c r="M208" i="27"/>
  <c r="N207" i="27"/>
  <c r="G124" i="32"/>
  <c r="K2924" i="27"/>
  <c r="J207" i="27"/>
  <c r="I2344" i="27"/>
  <c r="O2344" i="27"/>
  <c r="G723" i="27"/>
  <c r="BC73" i="34"/>
  <c r="I432" i="27"/>
  <c r="K207" i="27"/>
  <c r="K2344" i="27"/>
  <c r="AK63" i="33"/>
  <c r="AH63" i="33"/>
  <c r="P61" i="33"/>
  <c r="O63" i="33"/>
  <c r="H2922" i="27"/>
  <c r="I431" i="27"/>
  <c r="U434" i="32" l="1"/>
  <c r="V939" i="32" a="1"/>
  <c r="V939" i="32" s="1"/>
  <c r="L939" i="32" s="1"/>
  <c r="R939" i="32" a="1"/>
  <c r="R939" i="32" s="1"/>
  <c r="D939" i="32" s="1"/>
  <c r="S939" i="32" a="1"/>
  <c r="S939" i="32" s="1"/>
  <c r="E939" i="32" s="1"/>
  <c r="T939" i="32" a="1"/>
  <c r="T939" i="32" s="1"/>
  <c r="P943" i="32"/>
  <c r="Q941" i="32"/>
  <c r="A2344" i="27"/>
  <c r="A2923" i="27"/>
  <c r="A2922" i="27"/>
  <c r="U128" i="32"/>
  <c r="AY75" i="34"/>
  <c r="B2346" i="27"/>
  <c r="A207" i="27"/>
  <c r="T207" i="27" s="1"/>
  <c r="A431" i="27"/>
  <c r="F2925" i="27"/>
  <c r="H209" i="27"/>
  <c r="H433" i="27"/>
  <c r="N203" i="24"/>
  <c r="O203" i="24"/>
  <c r="A774" i="27"/>
  <c r="P203" i="24"/>
  <c r="K1532" i="27"/>
  <c r="K1531" i="27"/>
  <c r="L201" i="24"/>
  <c r="R203" i="24"/>
  <c r="S203" i="24"/>
  <c r="Q203" i="24"/>
  <c r="M203" i="24"/>
  <c r="H687" i="27"/>
  <c r="H688" i="27"/>
  <c r="H689" i="27" s="1"/>
  <c r="H690" i="27" s="1"/>
  <c r="H691" i="27" s="1"/>
  <c r="H692" i="27" s="1"/>
  <c r="BB67" i="33"/>
  <c r="H776" i="27"/>
  <c r="U739" i="32"/>
  <c r="F2731" i="27"/>
  <c r="F2732" i="27" s="1"/>
  <c r="F2733" i="27" s="1"/>
  <c r="F2734" i="27" s="1"/>
  <c r="F2735" i="27" s="1"/>
  <c r="F2730" i="27"/>
  <c r="O53" i="29"/>
  <c r="Q53" i="29"/>
  <c r="P54" i="29" a="1"/>
  <c r="P54" i="29" s="1"/>
  <c r="J775" i="27"/>
  <c r="F2345" i="27"/>
  <c r="I208" i="27"/>
  <c r="J2925" i="27"/>
  <c r="O2345" i="27"/>
  <c r="G126" i="32"/>
  <c r="K2345" i="27"/>
  <c r="AE65" i="33"/>
  <c r="O65" i="33"/>
  <c r="J2345" i="27"/>
  <c r="L2345" i="27"/>
  <c r="J208" i="27"/>
  <c r="K208" i="27"/>
  <c r="D2345" i="27"/>
  <c r="H2924" i="27"/>
  <c r="K209" i="27"/>
  <c r="A126" i="32"/>
  <c r="BC74" i="34"/>
  <c r="K432" i="27"/>
  <c r="N432" i="27"/>
  <c r="J2924" i="27"/>
  <c r="M2345" i="27"/>
  <c r="I2924" i="27"/>
  <c r="BD74" i="34"/>
  <c r="G432" i="32"/>
  <c r="P2345" i="27"/>
  <c r="G737" i="32"/>
  <c r="N208" i="27"/>
  <c r="I775" i="27"/>
  <c r="N2345" i="27"/>
  <c r="K775" i="27"/>
  <c r="A737" i="32"/>
  <c r="A432" i="32"/>
  <c r="P63" i="33"/>
  <c r="V65" i="33"/>
  <c r="AB65" i="33"/>
  <c r="AK65" i="33"/>
  <c r="S65" i="33"/>
  <c r="J432" i="27"/>
  <c r="O66" i="33"/>
  <c r="I2345" i="27"/>
  <c r="AH65" i="33"/>
  <c r="K433" i="27"/>
  <c r="Y65" i="33"/>
  <c r="M432" i="27"/>
  <c r="U436" i="32" l="1"/>
  <c r="A208" i="27"/>
  <c r="T208" i="27" s="1"/>
  <c r="T941" i="32" a="1"/>
  <c r="T941" i="32" s="1"/>
  <c r="R941" i="32" a="1"/>
  <c r="R941" i="32" s="1"/>
  <c r="D941" i="32" s="1"/>
  <c r="V941" i="32" a="1"/>
  <c r="V941" i="32" s="1"/>
  <c r="L941" i="32" s="1"/>
  <c r="S941" i="32" a="1"/>
  <c r="S941" i="32" s="1"/>
  <c r="E941" i="32" s="1"/>
  <c r="P945" i="32"/>
  <c r="Q943" i="32"/>
  <c r="A2345" i="27"/>
  <c r="A2924" i="27"/>
  <c r="AY76" i="34"/>
  <c r="U130" i="32"/>
  <c r="B2347" i="27"/>
  <c r="A432" i="27"/>
  <c r="F2926" i="27"/>
  <c r="H434" i="27"/>
  <c r="H210" i="27"/>
  <c r="M205" i="24"/>
  <c r="L203" i="24"/>
  <c r="A775" i="27"/>
  <c r="P205" i="24"/>
  <c r="Q205" i="24"/>
  <c r="N205" i="24"/>
  <c r="S205" i="24"/>
  <c r="O205" i="24"/>
  <c r="K1534" i="27"/>
  <c r="K1533" i="27"/>
  <c r="R205" i="24"/>
  <c r="H777" i="27"/>
  <c r="H778" i="27"/>
  <c r="U741" i="32"/>
  <c r="Q54" i="29"/>
  <c r="O54" i="29"/>
  <c r="P55" i="29" a="1"/>
  <c r="P55" i="29" s="1"/>
  <c r="H694" i="27"/>
  <c r="H695" i="27" s="1"/>
  <c r="H696" i="27" s="1"/>
  <c r="H697" i="27" s="1"/>
  <c r="H698" i="27" s="1"/>
  <c r="H699" i="27" s="1"/>
  <c r="H693" i="27"/>
  <c r="F2737" i="27"/>
  <c r="F2738" i="27" s="1"/>
  <c r="F2739" i="27" s="1"/>
  <c r="F2740" i="27" s="1"/>
  <c r="F2741" i="27" s="1"/>
  <c r="F2736" i="27"/>
  <c r="N2346" i="27"/>
  <c r="Z67" i="33"/>
  <c r="AF67" i="33"/>
  <c r="J433" i="27"/>
  <c r="J776" i="27"/>
  <c r="K2925" i="27"/>
  <c r="J2346" i="27"/>
  <c r="K2346" i="27"/>
  <c r="D2346" i="27"/>
  <c r="M209" i="27"/>
  <c r="Q67" i="33"/>
  <c r="U68" i="33"/>
  <c r="G434" i="32"/>
  <c r="F2346" i="27"/>
  <c r="AK67" i="33"/>
  <c r="R67" i="33"/>
  <c r="A434" i="32"/>
  <c r="P65" i="33"/>
  <c r="N433" i="27"/>
  <c r="M433" i="27"/>
  <c r="I2925" i="27"/>
  <c r="N209" i="27"/>
  <c r="BC75" i="34"/>
  <c r="J2926" i="27"/>
  <c r="A128" i="32"/>
  <c r="AJ68" i="33"/>
  <c r="BD75" i="34"/>
  <c r="O68" i="33"/>
  <c r="T67" i="33"/>
  <c r="AD68" i="33"/>
  <c r="AA67" i="33"/>
  <c r="I209" i="27"/>
  <c r="AH67" i="33"/>
  <c r="G741" i="32"/>
  <c r="M2346" i="27"/>
  <c r="AL67" i="33"/>
  <c r="U67" i="33"/>
  <c r="X68" i="33"/>
  <c r="AA68" i="33"/>
  <c r="K776" i="27"/>
  <c r="O67" i="33"/>
  <c r="O2346" i="27"/>
  <c r="AC67" i="33"/>
  <c r="I776" i="27"/>
  <c r="G739" i="32"/>
  <c r="AG67" i="33"/>
  <c r="AI67" i="33"/>
  <c r="X67" i="33"/>
  <c r="G128" i="32"/>
  <c r="P2346" i="27"/>
  <c r="G724" i="27"/>
  <c r="W67" i="33"/>
  <c r="J209" i="27"/>
  <c r="L2346" i="27"/>
  <c r="AJ67" i="33"/>
  <c r="AG68" i="33"/>
  <c r="A739" i="32"/>
  <c r="I2346" i="27"/>
  <c r="AD67" i="33"/>
  <c r="I433" i="27"/>
  <c r="H2925" i="27"/>
  <c r="R68" i="33"/>
  <c r="U438" i="32" l="1"/>
  <c r="T943" i="32" a="1"/>
  <c r="T943" i="32" s="1"/>
  <c r="S943" i="32" a="1"/>
  <c r="S943" i="32" s="1"/>
  <c r="E943" i="32" s="1"/>
  <c r="V943" i="32" a="1"/>
  <c r="V943" i="32" s="1"/>
  <c r="L943" i="32" s="1"/>
  <c r="R943" i="32" a="1"/>
  <c r="R943" i="32" s="1"/>
  <c r="D943" i="32" s="1"/>
  <c r="P947" i="32"/>
  <c r="Q945" i="32"/>
  <c r="A209" i="27"/>
  <c r="T209" i="27" s="1"/>
  <c r="A2346" i="27"/>
  <c r="AY77" i="34"/>
  <c r="B2348" i="27"/>
  <c r="U132" i="32"/>
  <c r="A2925" i="27"/>
  <c r="A433" i="27"/>
  <c r="F2927" i="27"/>
  <c r="H211" i="27"/>
  <c r="H212" i="27"/>
  <c r="H435" i="27"/>
  <c r="H436" i="27"/>
  <c r="K1536" i="27"/>
  <c r="K1535" i="27"/>
  <c r="A776" i="27"/>
  <c r="L205" i="24"/>
  <c r="AO207" i="24"/>
  <c r="R207" i="24"/>
  <c r="S207" i="24"/>
  <c r="U743" i="32"/>
  <c r="Q55" i="29"/>
  <c r="O55" i="29"/>
  <c r="P56" i="29" a="1"/>
  <c r="P56" i="29" s="1"/>
  <c r="H779" i="27"/>
  <c r="F2743" i="27"/>
  <c r="F2744" i="27" s="1"/>
  <c r="F2745" i="27" s="1"/>
  <c r="F2746" i="27" s="1"/>
  <c r="F2747" i="27" s="1"/>
  <c r="F2742" i="27"/>
  <c r="A130" i="32"/>
  <c r="K2347" i="27"/>
  <c r="M2347" i="27"/>
  <c r="BD76" i="34"/>
  <c r="S67" i="33"/>
  <c r="G130" i="32"/>
  <c r="I777" i="27"/>
  <c r="D2347" i="27"/>
  <c r="G743" i="32"/>
  <c r="I2926" i="27"/>
  <c r="N2347" i="27"/>
  <c r="J777" i="27"/>
  <c r="M212" i="27"/>
  <c r="N436" i="27"/>
  <c r="O2347" i="27"/>
  <c r="F2347" i="27"/>
  <c r="H2926" i="27"/>
  <c r="G436" i="32"/>
  <c r="P67" i="33"/>
  <c r="A436" i="32"/>
  <c r="K2926" i="27"/>
  <c r="AB67" i="33"/>
  <c r="K778" i="27"/>
  <c r="I778" i="27"/>
  <c r="G725" i="27"/>
  <c r="J778" i="27"/>
  <c r="BC76" i="34"/>
  <c r="I2347" i="27"/>
  <c r="AE67" i="33"/>
  <c r="J2347" i="27"/>
  <c r="A741" i="32"/>
  <c r="Y67" i="33"/>
  <c r="K777" i="27"/>
  <c r="P2347" i="27"/>
  <c r="L2347" i="27"/>
  <c r="V67" i="33"/>
  <c r="I2927" i="27"/>
  <c r="A2926" i="27" l="1"/>
  <c r="U440" i="32"/>
  <c r="T945" i="32" a="1"/>
  <c r="T945" i="32" s="1"/>
  <c r="V945" i="32" a="1"/>
  <c r="V945" i="32" s="1"/>
  <c r="L945" i="32" s="1"/>
  <c r="R945" i="32" a="1"/>
  <c r="R945" i="32" s="1"/>
  <c r="D945" i="32" s="1"/>
  <c r="S945" i="32" a="1"/>
  <c r="S945" i="32" s="1"/>
  <c r="E945" i="32" s="1"/>
  <c r="P949" i="32"/>
  <c r="Q947" i="32"/>
  <c r="A2347" i="27"/>
  <c r="U134" i="32"/>
  <c r="AY78" i="34"/>
  <c r="B2349" i="27"/>
  <c r="O207" i="24"/>
  <c r="Q207" i="24"/>
  <c r="P207" i="24"/>
  <c r="F2929" i="27"/>
  <c r="F2928" i="27"/>
  <c r="H437" i="27"/>
  <c r="H213" i="27"/>
  <c r="L207" i="24"/>
  <c r="A778" i="27"/>
  <c r="A777" i="27"/>
  <c r="K1537" i="27"/>
  <c r="K1538" i="27"/>
  <c r="M207" i="24"/>
  <c r="N207" i="24"/>
  <c r="F2748" i="27"/>
  <c r="F2749" i="27"/>
  <c r="F2750" i="27" s="1"/>
  <c r="F2751" i="27" s="1"/>
  <c r="F2752" i="27" s="1"/>
  <c r="F2753" i="27" s="1"/>
  <c r="H780" i="27"/>
  <c r="Q56" i="29"/>
  <c r="O56" i="29"/>
  <c r="P57" i="29" a="1"/>
  <c r="P57" i="29" s="1"/>
  <c r="U745" i="32"/>
  <c r="K212" i="27"/>
  <c r="L2348" i="27"/>
  <c r="I212" i="27"/>
  <c r="J436" i="27"/>
  <c r="M2348" i="27"/>
  <c r="I436" i="27"/>
  <c r="G745" i="32"/>
  <c r="J2927" i="27"/>
  <c r="N212" i="27"/>
  <c r="J779" i="27"/>
  <c r="J212" i="27"/>
  <c r="M436" i="27"/>
  <c r="J2929" i="27"/>
  <c r="M437" i="27"/>
  <c r="A743" i="32"/>
  <c r="K436" i="27"/>
  <c r="BD77" i="34"/>
  <c r="A438" i="32"/>
  <c r="J2928" i="27"/>
  <c r="BC77" i="34"/>
  <c r="N213" i="27"/>
  <c r="O2348" i="27"/>
  <c r="D2348" i="27"/>
  <c r="K2348" i="27"/>
  <c r="P2348" i="27"/>
  <c r="J2348" i="27"/>
  <c r="F2348" i="27"/>
  <c r="K779" i="27"/>
  <c r="H2927" i="27"/>
  <c r="N2348" i="27"/>
  <c r="K2927" i="27"/>
  <c r="I2348" i="27"/>
  <c r="G132" i="32"/>
  <c r="A132" i="32"/>
  <c r="G438" i="32"/>
  <c r="I779" i="27"/>
  <c r="A2927" i="27" l="1"/>
  <c r="U442" i="32"/>
  <c r="T947" i="32" a="1"/>
  <c r="T947" i="32" s="1"/>
  <c r="V947" i="32" a="1"/>
  <c r="V947" i="32" s="1"/>
  <c r="L947" i="32" s="1"/>
  <c r="S947" i="32" a="1"/>
  <c r="S947" i="32" s="1"/>
  <c r="E947" i="32" s="1"/>
  <c r="R947" i="32" a="1"/>
  <c r="R947" i="32" s="1"/>
  <c r="D947" i="32" s="1"/>
  <c r="P951" i="32"/>
  <c r="Q949" i="32"/>
  <c r="A2348" i="27"/>
  <c r="A436" i="27"/>
  <c r="AY79" i="34"/>
  <c r="U136" i="32"/>
  <c r="B2350" i="27"/>
  <c r="A212" i="27"/>
  <c r="T212" i="27" s="1"/>
  <c r="F2930" i="27"/>
  <c r="H214" i="27"/>
  <c r="H438" i="27"/>
  <c r="A779" i="27"/>
  <c r="K1540" i="27"/>
  <c r="K1539" i="27"/>
  <c r="U747" i="32"/>
  <c r="F2754" i="27"/>
  <c r="F2755" i="27"/>
  <c r="F2756" i="27" s="1"/>
  <c r="F2757" i="27" s="1"/>
  <c r="F2758" i="27" s="1"/>
  <c r="F2759" i="27" s="1"/>
  <c r="O57" i="29"/>
  <c r="Q57" i="29"/>
  <c r="P58" i="29" a="1"/>
  <c r="P58" i="29" s="1"/>
  <c r="H781" i="27"/>
  <c r="BD78" i="34"/>
  <c r="K2349" i="27"/>
  <c r="K213" i="27"/>
  <c r="O2349" i="27"/>
  <c r="J780" i="27"/>
  <c r="G747" i="32"/>
  <c r="BC78" i="34"/>
  <c r="J2349" i="27"/>
  <c r="A745" i="32"/>
  <c r="G728" i="27"/>
  <c r="K2930" i="27"/>
  <c r="I2929" i="27"/>
  <c r="K2929" i="27"/>
  <c r="K438" i="27"/>
  <c r="J213" i="27"/>
  <c r="N438" i="27"/>
  <c r="A440" i="32"/>
  <c r="J437" i="27"/>
  <c r="H2928" i="27"/>
  <c r="M2349" i="27"/>
  <c r="D2349" i="27"/>
  <c r="I437" i="27"/>
  <c r="G440" i="32"/>
  <c r="K214" i="27"/>
  <c r="P2349" i="27"/>
  <c r="K437" i="27"/>
  <c r="N437" i="27"/>
  <c r="I780" i="27"/>
  <c r="H2929" i="27"/>
  <c r="I2928" i="27"/>
  <c r="G134" i="32"/>
  <c r="K2928" i="27"/>
  <c r="N2349" i="27"/>
  <c r="A134" i="32"/>
  <c r="K780" i="27"/>
  <c r="L2349" i="27"/>
  <c r="I2349" i="27"/>
  <c r="I213" i="27"/>
  <c r="M213" i="27"/>
  <c r="F2349" i="27"/>
  <c r="A2928" i="27" l="1"/>
  <c r="U444" i="32"/>
  <c r="T949" i="32" a="1"/>
  <c r="T949" i="32" s="1"/>
  <c r="S949" i="32" a="1"/>
  <c r="S949" i="32" s="1"/>
  <c r="E949" i="32" s="1"/>
  <c r="V949" i="32" a="1"/>
  <c r="V949" i="32" s="1"/>
  <c r="L949" i="32" s="1"/>
  <c r="R949" i="32" a="1"/>
  <c r="R949" i="32" s="1"/>
  <c r="D949" i="32" s="1"/>
  <c r="P953" i="32"/>
  <c r="Q951" i="32"/>
  <c r="A2349" i="27"/>
  <c r="AY80" i="34"/>
  <c r="B2351" i="27"/>
  <c r="U138" i="32"/>
  <c r="A2929" i="27"/>
  <c r="A437" i="27"/>
  <c r="A213" i="27"/>
  <c r="T213" i="27" s="1"/>
  <c r="F2931" i="27"/>
  <c r="H439" i="27"/>
  <c r="H215" i="27"/>
  <c r="K1542" i="27"/>
  <c r="K1541" i="27"/>
  <c r="A780" i="27"/>
  <c r="F2761" i="27"/>
  <c r="F2762" i="27" s="1"/>
  <c r="F2763" i="27" s="1"/>
  <c r="F2764" i="27" s="1"/>
  <c r="F2765" i="27" s="1"/>
  <c r="F2760" i="27"/>
  <c r="H782" i="27"/>
  <c r="U749" i="32"/>
  <c r="Q58" i="29"/>
  <c r="O58" i="29"/>
  <c r="P59" i="29" a="1"/>
  <c r="P59" i="29" s="1"/>
  <c r="H2930" i="27"/>
  <c r="K2350" i="27"/>
  <c r="N2350" i="27"/>
  <c r="J438" i="27"/>
  <c r="J214" i="27"/>
  <c r="BC79" i="34"/>
  <c r="I438" i="27"/>
  <c r="M2350" i="27"/>
  <c r="I2930" i="27"/>
  <c r="J2930" i="27"/>
  <c r="A442" i="32"/>
  <c r="I2350" i="27"/>
  <c r="G729" i="27"/>
  <c r="K781" i="27"/>
  <c r="J2350" i="27"/>
  <c r="G442" i="32"/>
  <c r="K439" i="27"/>
  <c r="N214" i="27"/>
  <c r="M438" i="27"/>
  <c r="K2931" i="27"/>
  <c r="J781" i="27"/>
  <c r="A747" i="32"/>
  <c r="D2350" i="27"/>
  <c r="A136" i="32"/>
  <c r="BD79" i="34"/>
  <c r="M214" i="27"/>
  <c r="I781" i="27"/>
  <c r="L2350" i="27"/>
  <c r="F2350" i="27"/>
  <c r="G136" i="32"/>
  <c r="I214" i="27"/>
  <c r="O2350" i="27"/>
  <c r="P2350" i="27"/>
  <c r="M215" i="27"/>
  <c r="U446" i="32" l="1"/>
  <c r="R951" i="32" a="1"/>
  <c r="R951" i="32" s="1"/>
  <c r="D951" i="32" s="1"/>
  <c r="V951" i="32" a="1"/>
  <c r="V951" i="32" s="1"/>
  <c r="L951" i="32" s="1"/>
  <c r="S951" i="32" a="1"/>
  <c r="S951" i="32" s="1"/>
  <c r="E951" i="32" s="1"/>
  <c r="T951" i="32" a="1"/>
  <c r="T951" i="32" s="1"/>
  <c r="P955" i="32"/>
  <c r="Q953" i="32"/>
  <c r="A2350" i="27"/>
  <c r="U140" i="32"/>
  <c r="AY81" i="34"/>
  <c r="B2352" i="27"/>
  <c r="A214" i="27"/>
  <c r="T214" i="27" s="1"/>
  <c r="A438" i="27"/>
  <c r="A2930" i="27"/>
  <c r="F2932" i="27"/>
  <c r="H216" i="27"/>
  <c r="H440" i="27"/>
  <c r="K1544" i="27"/>
  <c r="K1543" i="27"/>
  <c r="A781" i="27"/>
  <c r="H783" i="27"/>
  <c r="H784" i="27"/>
  <c r="O59" i="29"/>
  <c r="Q59" i="29"/>
  <c r="P60" i="29" a="1"/>
  <c r="P60" i="29" s="1"/>
  <c r="U751" i="32"/>
  <c r="F2767" i="27"/>
  <c r="F2768" i="27" s="1"/>
  <c r="F2769" i="27" s="1"/>
  <c r="F2770" i="27" s="1"/>
  <c r="F2771" i="27" s="1"/>
  <c r="F2766" i="27"/>
  <c r="D2351" i="27"/>
  <c r="K215" i="27"/>
  <c r="F2351" i="27"/>
  <c r="H2931" i="27"/>
  <c r="J2931" i="27"/>
  <c r="G444" i="32"/>
  <c r="L2351" i="27"/>
  <c r="A749" i="32"/>
  <c r="O2351" i="27"/>
  <c r="J2351" i="27"/>
  <c r="I2351" i="27"/>
  <c r="G749" i="32"/>
  <c r="N439" i="27"/>
  <c r="I215" i="27"/>
  <c r="M2351" i="27"/>
  <c r="I439" i="27"/>
  <c r="N215" i="27"/>
  <c r="K2351" i="27"/>
  <c r="BC80" i="34"/>
  <c r="I2931" i="27"/>
  <c r="G138" i="32"/>
  <c r="BD80" i="34"/>
  <c r="J215" i="27"/>
  <c r="J439" i="27"/>
  <c r="K2932" i="27"/>
  <c r="A138" i="32"/>
  <c r="N2351" i="27"/>
  <c r="J782" i="27"/>
  <c r="M439" i="27"/>
  <c r="I782" i="27"/>
  <c r="K782" i="27"/>
  <c r="A444" i="32"/>
  <c r="P2351" i="27"/>
  <c r="G730" i="27"/>
  <c r="U448" i="32" l="1"/>
  <c r="A2931" i="27"/>
  <c r="R953" i="32" a="1"/>
  <c r="R953" i="32" s="1"/>
  <c r="D953" i="32" s="1"/>
  <c r="S953" i="32" a="1"/>
  <c r="S953" i="32" s="1"/>
  <c r="E953" i="32" s="1"/>
  <c r="T953" i="32" a="1"/>
  <c r="T953" i="32" s="1"/>
  <c r="V953" i="32" a="1"/>
  <c r="V953" i="32" s="1"/>
  <c r="L953" i="32" s="1"/>
  <c r="P957" i="32"/>
  <c r="Q955" i="32"/>
  <c r="A2351" i="27"/>
  <c r="B2353" i="27"/>
  <c r="AY82" i="34"/>
  <c r="U142" i="32"/>
  <c r="A215" i="27"/>
  <c r="T215" i="27" s="1"/>
  <c r="A439" i="27"/>
  <c r="F2933" i="27"/>
  <c r="H441" i="27"/>
  <c r="H442" i="27"/>
  <c r="H218" i="27"/>
  <c r="H217" i="27"/>
  <c r="K1545" i="27"/>
  <c r="K1546" i="27"/>
  <c r="A782" i="27"/>
  <c r="O60" i="29"/>
  <c r="Q60" i="29"/>
  <c r="P61" i="29" a="1"/>
  <c r="P61" i="29" s="1"/>
  <c r="H785" i="27"/>
  <c r="U753" i="32"/>
  <c r="F2772" i="27"/>
  <c r="F2773" i="27"/>
  <c r="F2774" i="27" s="1"/>
  <c r="F2775" i="27" s="1"/>
  <c r="F2776" i="27" s="1"/>
  <c r="F2777" i="27" s="1"/>
  <c r="J783" i="27"/>
  <c r="J784" i="27"/>
  <c r="O2352" i="27"/>
  <c r="J2932" i="27"/>
  <c r="I2352" i="27"/>
  <c r="A751" i="32"/>
  <c r="I783" i="27"/>
  <c r="I784" i="27"/>
  <c r="M2352" i="27"/>
  <c r="G751" i="32"/>
  <c r="H2932" i="27"/>
  <c r="G140" i="32"/>
  <c r="P2352" i="27"/>
  <c r="A140" i="32"/>
  <c r="BC81" i="34"/>
  <c r="K783" i="27"/>
  <c r="G731" i="27"/>
  <c r="BD81" i="34"/>
  <c r="K784" i="27"/>
  <c r="J218" i="27"/>
  <c r="L2352" i="27"/>
  <c r="J2352" i="27"/>
  <c r="D2352" i="27"/>
  <c r="K2352" i="27"/>
  <c r="K2933" i="27"/>
  <c r="I442" i="27"/>
  <c r="N2352" i="27"/>
  <c r="G446" i="32"/>
  <c r="F2352" i="27"/>
  <c r="A446" i="32"/>
  <c r="I2932" i="27"/>
  <c r="A2932" i="27" l="1"/>
  <c r="U450" i="32"/>
  <c r="P959" i="32"/>
  <c r="Q957" i="32"/>
  <c r="T955" i="32" a="1"/>
  <c r="T955" i="32" s="1"/>
  <c r="R955" i="32" a="1"/>
  <c r="R955" i="32" s="1"/>
  <c r="D955" i="32" s="1"/>
  <c r="V955" i="32" a="1"/>
  <c r="V955" i="32" s="1"/>
  <c r="L955" i="32" s="1"/>
  <c r="S955" i="32" a="1"/>
  <c r="S955" i="32" s="1"/>
  <c r="E955" i="32" s="1"/>
  <c r="A2352" i="27"/>
  <c r="B2354" i="27"/>
  <c r="U144" i="32"/>
  <c r="AY83" i="34"/>
  <c r="F2934" i="27"/>
  <c r="F2935" i="27"/>
  <c r="H219" i="27"/>
  <c r="H443" i="27"/>
  <c r="A783" i="27"/>
  <c r="K1547" i="27"/>
  <c r="K1548" i="27"/>
  <c r="A784" i="27"/>
  <c r="F2779" i="27"/>
  <c r="F2780" i="27" s="1"/>
  <c r="F2781" i="27" s="1"/>
  <c r="F2782" i="27" s="1"/>
  <c r="F2783" i="27" s="1"/>
  <c r="F2778" i="27"/>
  <c r="U755" i="32"/>
  <c r="H786" i="27"/>
  <c r="O61" i="29"/>
  <c r="Q61" i="29"/>
  <c r="I218" i="27"/>
  <c r="BC82" i="34"/>
  <c r="J2933" i="27"/>
  <c r="J2934" i="27"/>
  <c r="J442" i="27"/>
  <c r="K218" i="27"/>
  <c r="H2933" i="27"/>
  <c r="J785" i="27"/>
  <c r="A448" i="32"/>
  <c r="G448" i="32"/>
  <c r="M218" i="27"/>
  <c r="P2353" i="27"/>
  <c r="A142" i="32"/>
  <c r="K442" i="27"/>
  <c r="N443" i="27"/>
  <c r="J2353" i="27"/>
  <c r="A753" i="32"/>
  <c r="F2353" i="27"/>
  <c r="N442" i="27"/>
  <c r="I2933" i="27"/>
  <c r="N2353" i="27"/>
  <c r="G142" i="32"/>
  <c r="K2935" i="27"/>
  <c r="M2353" i="27"/>
  <c r="K785" i="27"/>
  <c r="BD82" i="34"/>
  <c r="K2353" i="27"/>
  <c r="N218" i="27"/>
  <c r="M442" i="27"/>
  <c r="I785" i="27"/>
  <c r="O2353" i="27"/>
  <c r="D2353" i="27"/>
  <c r="L2353" i="27"/>
  <c r="G753" i="32"/>
  <c r="I2353" i="27"/>
  <c r="M219" i="27"/>
  <c r="A442" i="27" l="1"/>
  <c r="U452" i="32"/>
  <c r="S957" i="32" a="1"/>
  <c r="S957" i="32" s="1"/>
  <c r="E957" i="32" s="1"/>
  <c r="R957" i="32" a="1"/>
  <c r="R957" i="32" s="1"/>
  <c r="D957" i="32" s="1"/>
  <c r="T957" i="32" a="1"/>
  <c r="T957" i="32" s="1"/>
  <c r="V957" i="32" a="1"/>
  <c r="V957" i="32" s="1"/>
  <c r="L957" i="32" s="1"/>
  <c r="P961" i="32"/>
  <c r="Q959" i="32"/>
  <c r="A2353" i="27"/>
  <c r="A2933" i="27"/>
  <c r="AY84" i="34"/>
  <c r="B2355" i="27"/>
  <c r="U146" i="32"/>
  <c r="A218" i="27"/>
  <c r="T218" i="27" s="1"/>
  <c r="F2936" i="27"/>
  <c r="H220" i="27"/>
  <c r="H444" i="27"/>
  <c r="A785" i="27"/>
  <c r="K1550" i="27"/>
  <c r="K1549" i="27"/>
  <c r="H787" i="27"/>
  <c r="U757" i="32"/>
  <c r="F2785" i="27"/>
  <c r="F2786" i="27" s="1"/>
  <c r="F2787" i="27" s="1"/>
  <c r="F2788" i="27" s="1"/>
  <c r="F2789" i="27" s="1"/>
  <c r="F2784" i="27"/>
  <c r="G450" i="32"/>
  <c r="I443" i="27"/>
  <c r="K220" i="27"/>
  <c r="I786" i="27"/>
  <c r="M443" i="27"/>
  <c r="I219" i="27"/>
  <c r="H2935" i="27"/>
  <c r="P2354" i="27"/>
  <c r="H2934" i="27"/>
  <c r="N219" i="27"/>
  <c r="N2354" i="27"/>
  <c r="I2354" i="27"/>
  <c r="BD83" i="34"/>
  <c r="K2934" i="27"/>
  <c r="K786" i="27"/>
  <c r="J786" i="27"/>
  <c r="O2354" i="27"/>
  <c r="I2934" i="27"/>
  <c r="A755" i="32"/>
  <c r="K443" i="27"/>
  <c r="G144" i="32"/>
  <c r="G734" i="27"/>
  <c r="A450" i="32"/>
  <c r="I2935" i="27"/>
  <c r="M2354" i="27"/>
  <c r="BC83" i="34"/>
  <c r="J219" i="27"/>
  <c r="L2354" i="27"/>
  <c r="J2935" i="27"/>
  <c r="K219" i="27"/>
  <c r="G755" i="32"/>
  <c r="J443" i="27"/>
  <c r="A144" i="32"/>
  <c r="J2354" i="27"/>
  <c r="K2354" i="27"/>
  <c r="I2936" i="27"/>
  <c r="I444" i="27"/>
  <c r="D2354" i="27"/>
  <c r="F2354" i="27"/>
  <c r="U454" i="32" l="1"/>
  <c r="T959" i="32" a="1"/>
  <c r="T959" i="32" s="1"/>
  <c r="S959" i="32" a="1"/>
  <c r="S959" i="32" s="1"/>
  <c r="E959" i="32" s="1"/>
  <c r="V959" i="32" a="1"/>
  <c r="V959" i="32" s="1"/>
  <c r="L959" i="32" s="1"/>
  <c r="R959" i="32" a="1"/>
  <c r="R959" i="32" s="1"/>
  <c r="D959" i="32" s="1"/>
  <c r="P963" i="32"/>
  <c r="Q961" i="32"/>
  <c r="A2934" i="27"/>
  <c r="A2354" i="27"/>
  <c r="AY85" i="34"/>
  <c r="U148" i="32"/>
  <c r="B2356" i="27"/>
  <c r="A2935" i="27"/>
  <c r="A219" i="27"/>
  <c r="T219" i="27" s="1"/>
  <c r="A443" i="27"/>
  <c r="F2937" i="27"/>
  <c r="H221" i="27"/>
  <c r="H445" i="27"/>
  <c r="K1551" i="27"/>
  <c r="K1552" i="27"/>
  <c r="A786" i="27"/>
  <c r="F2791" i="27"/>
  <c r="F2792" i="27" s="1"/>
  <c r="F2793" i="27" s="1"/>
  <c r="F2794" i="27" s="1"/>
  <c r="F2795" i="27" s="1"/>
  <c r="F2790" i="27"/>
  <c r="H788" i="27"/>
  <c r="U759" i="32"/>
  <c r="A757" i="32"/>
  <c r="N220" i="27"/>
  <c r="K787" i="27"/>
  <c r="G146" i="32"/>
  <c r="I220" i="27"/>
  <c r="P2355" i="27"/>
  <c r="H2936" i="27"/>
  <c r="M220" i="27"/>
  <c r="M2355" i="27"/>
  <c r="L2355" i="27"/>
  <c r="I2355" i="27"/>
  <c r="M444" i="27"/>
  <c r="G452" i="32"/>
  <c r="A146" i="32"/>
  <c r="BC84" i="34"/>
  <c r="J444" i="27"/>
  <c r="F2355" i="27"/>
  <c r="O2355" i="27"/>
  <c r="D2355" i="27"/>
  <c r="K444" i="27"/>
  <c r="J220" i="27"/>
  <c r="G735" i="27"/>
  <c r="N444" i="27"/>
  <c r="K2936" i="27"/>
  <c r="J2936" i="27"/>
  <c r="K2355" i="27"/>
  <c r="A452" i="32"/>
  <c r="J2355" i="27"/>
  <c r="G757" i="32"/>
  <c r="BD84" i="34"/>
  <c r="I787" i="27"/>
  <c r="J787" i="27"/>
  <c r="K445" i="27"/>
  <c r="N2355" i="27"/>
  <c r="K2937" i="27"/>
  <c r="K221" i="27"/>
  <c r="U456" i="32" l="1"/>
  <c r="A220" i="27"/>
  <c r="T220" i="27" s="1"/>
  <c r="P965" i="32"/>
  <c r="Q963" i="32"/>
  <c r="S961" i="32" a="1"/>
  <c r="S961" i="32" s="1"/>
  <c r="E961" i="32" s="1"/>
  <c r="V961" i="32" a="1"/>
  <c r="V961" i="32" s="1"/>
  <c r="L961" i="32" s="1"/>
  <c r="T961" i="32" a="1"/>
  <c r="T961" i="32" s="1"/>
  <c r="R961" i="32" a="1"/>
  <c r="R961" i="32" s="1"/>
  <c r="D961" i="32" s="1"/>
  <c r="A2355" i="27"/>
  <c r="U150" i="32"/>
  <c r="B2357" i="27"/>
  <c r="AY86" i="34"/>
  <c r="A444" i="27"/>
  <c r="A2936" i="27"/>
  <c r="F2938" i="27"/>
  <c r="H222" i="27"/>
  <c r="H223" i="27" s="1"/>
  <c r="H446" i="27"/>
  <c r="H447" i="27" s="1"/>
  <c r="K1553" i="27"/>
  <c r="K1554" i="27"/>
  <c r="A787" i="27"/>
  <c r="U761" i="32"/>
  <c r="F2797" i="27"/>
  <c r="F2798" i="27" s="1"/>
  <c r="F2799" i="27" s="1"/>
  <c r="F2800" i="27" s="1"/>
  <c r="F2801" i="27" s="1"/>
  <c r="F2796" i="27"/>
  <c r="H790" i="27"/>
  <c r="H789" i="27"/>
  <c r="J2937" i="27"/>
  <c r="G759" i="32"/>
  <c r="M2356" i="27"/>
  <c r="H2937" i="27"/>
  <c r="I788" i="27"/>
  <c r="D2356" i="27"/>
  <c r="A759" i="32"/>
  <c r="N221" i="27"/>
  <c r="BD85" i="34"/>
  <c r="BC85" i="34"/>
  <c r="K788" i="27"/>
  <c r="A454" i="32"/>
  <c r="J2356" i="27"/>
  <c r="I2356" i="27"/>
  <c r="G454" i="32"/>
  <c r="A148" i="32"/>
  <c r="P2356" i="27"/>
  <c r="J445" i="27"/>
  <c r="I445" i="27"/>
  <c r="M221" i="27"/>
  <c r="O2356" i="27"/>
  <c r="J788" i="27"/>
  <c r="L2356" i="27"/>
  <c r="G736" i="27"/>
  <c r="N445" i="27"/>
  <c r="J221" i="27"/>
  <c r="I2937" i="27"/>
  <c r="N2356" i="27"/>
  <c r="F2356" i="27"/>
  <c r="G148" i="32"/>
  <c r="K2356" i="27"/>
  <c r="I221" i="27"/>
  <c r="M445" i="27"/>
  <c r="I2938" i="27"/>
  <c r="U458" i="32" l="1"/>
  <c r="S963" i="32" a="1"/>
  <c r="S963" i="32" s="1"/>
  <c r="E963" i="32" s="1"/>
  <c r="R963" i="32" a="1"/>
  <c r="R963" i="32" s="1"/>
  <c r="D963" i="32" s="1"/>
  <c r="T963" i="32" a="1"/>
  <c r="T963" i="32" s="1"/>
  <c r="V963" i="32" a="1"/>
  <c r="V963" i="32" s="1"/>
  <c r="L963" i="32" s="1"/>
  <c r="P967" i="32"/>
  <c r="Q965" i="32"/>
  <c r="A2356" i="27"/>
  <c r="AY87" i="34"/>
  <c r="B2358" i="27"/>
  <c r="U152" i="32"/>
  <c r="A445" i="27"/>
  <c r="A221" i="27"/>
  <c r="T221" i="27" s="1"/>
  <c r="A2937" i="27"/>
  <c r="F2939" i="27"/>
  <c r="K1556" i="27"/>
  <c r="K1555" i="27"/>
  <c r="H1353" i="27"/>
  <c r="H1354" i="27"/>
  <c r="A788" i="27"/>
  <c r="E1354" i="27"/>
  <c r="E1353" i="27"/>
  <c r="H791" i="27"/>
  <c r="F2802" i="27"/>
  <c r="F2803" i="27"/>
  <c r="F2804" i="27" s="1"/>
  <c r="F2805" i="27" s="1"/>
  <c r="F2806" i="27" s="1"/>
  <c r="F2807" i="27" s="1"/>
  <c r="U763" i="32"/>
  <c r="M2357" i="27"/>
  <c r="BC86" i="34"/>
  <c r="O2357" i="27"/>
  <c r="G737" i="27"/>
  <c r="G456" i="32"/>
  <c r="K2357" i="27"/>
  <c r="F2357" i="27"/>
  <c r="L2357" i="27"/>
  <c r="BD86" i="34"/>
  <c r="J789" i="27"/>
  <c r="K790" i="27"/>
  <c r="H2938" i="27"/>
  <c r="A150" i="32"/>
  <c r="J790" i="27"/>
  <c r="J2938" i="27"/>
  <c r="G150" i="32"/>
  <c r="A456" i="32"/>
  <c r="A761" i="32"/>
  <c r="P2357" i="27"/>
  <c r="I2357" i="27"/>
  <c r="K2938" i="27"/>
  <c r="D2357" i="27"/>
  <c r="K789" i="27"/>
  <c r="J2357" i="27"/>
  <c r="I790" i="27"/>
  <c r="N2357" i="27"/>
  <c r="G761" i="32"/>
  <c r="I789" i="27"/>
  <c r="K2939" i="27"/>
  <c r="U460" i="32" l="1"/>
  <c r="R965" i="32" a="1"/>
  <c r="R965" i="32" s="1"/>
  <c r="D965" i="32" s="1"/>
  <c r="V965" i="32" a="1"/>
  <c r="V965" i="32" s="1"/>
  <c r="L965" i="32" s="1"/>
  <c r="T965" i="32" a="1"/>
  <c r="T965" i="32" s="1"/>
  <c r="S965" i="32" a="1"/>
  <c r="S965" i="32" s="1"/>
  <c r="E965" i="32" s="1"/>
  <c r="P969" i="32"/>
  <c r="Q967" i="32"/>
  <c r="A2357" i="27"/>
  <c r="B2359" i="27"/>
  <c r="U154" i="32"/>
  <c r="AY88" i="34"/>
  <c r="A2938" i="27"/>
  <c r="F2941" i="27"/>
  <c r="F2940" i="27"/>
  <c r="H1355" i="27"/>
  <c r="H1356" i="27"/>
  <c r="K1557" i="27"/>
  <c r="K1558" i="27"/>
  <c r="A790" i="27"/>
  <c r="E1356" i="27"/>
  <c r="E1355" i="27"/>
  <c r="A789" i="27"/>
  <c r="F2808" i="27"/>
  <c r="F2809" i="27"/>
  <c r="F2810" i="27" s="1"/>
  <c r="F2811" i="27" s="1"/>
  <c r="F2812" i="27" s="1"/>
  <c r="F2813" i="27" s="1"/>
  <c r="U765" i="32"/>
  <c r="H792" i="27"/>
  <c r="G763" i="32"/>
  <c r="J2358" i="27"/>
  <c r="M2358" i="27"/>
  <c r="D2358" i="27"/>
  <c r="O2358" i="27"/>
  <c r="G152" i="32"/>
  <c r="P2358" i="27"/>
  <c r="H2939" i="27"/>
  <c r="F2358" i="27"/>
  <c r="K2358" i="27"/>
  <c r="A458" i="32"/>
  <c r="N2358" i="27"/>
  <c r="J791" i="27"/>
  <c r="I2939" i="27"/>
  <c r="A763" i="32"/>
  <c r="L2358" i="27"/>
  <c r="G458" i="32"/>
  <c r="I791" i="27"/>
  <c r="BC87" i="34"/>
  <c r="BD87" i="34"/>
  <c r="A152" i="32"/>
  <c r="J2939" i="27"/>
  <c r="K791" i="27"/>
  <c r="I2358" i="27"/>
  <c r="J2941" i="27"/>
  <c r="K2940" i="27"/>
  <c r="A2939" i="27" l="1"/>
  <c r="U462" i="32"/>
  <c r="V967" i="32" a="1"/>
  <c r="V967" i="32" s="1"/>
  <c r="L967" i="32" s="1"/>
  <c r="R967" i="32" a="1"/>
  <c r="R967" i="32" s="1"/>
  <c r="D967" i="32" s="1"/>
  <c r="S967" i="32" a="1"/>
  <c r="S967" i="32" s="1"/>
  <c r="E967" i="32" s="1"/>
  <c r="T967" i="32" a="1"/>
  <c r="T967" i="32" s="1"/>
  <c r="P971" i="32"/>
  <c r="Q969" i="32"/>
  <c r="A2358" i="27"/>
  <c r="U156" i="32"/>
  <c r="B2360" i="27"/>
  <c r="F2942" i="27"/>
  <c r="K1559" i="27"/>
  <c r="K1560" i="27"/>
  <c r="E1357" i="27"/>
  <c r="E1358" i="27"/>
  <c r="I1358" i="27"/>
  <c r="F1358" i="27"/>
  <c r="K1358" i="27"/>
  <c r="J1358" i="27"/>
  <c r="M1358" i="27"/>
  <c r="A1358" i="27" s="1"/>
  <c r="N1358" i="27"/>
  <c r="L1358" i="27"/>
  <c r="O1358" i="27"/>
  <c r="G1358" i="27"/>
  <c r="H1358" i="27"/>
  <c r="H1357" i="27"/>
  <c r="A791" i="27"/>
  <c r="U767" i="32"/>
  <c r="F2815" i="27"/>
  <c r="F2816" i="27" s="1"/>
  <c r="F2817" i="27" s="1"/>
  <c r="F2818" i="27" s="1"/>
  <c r="F2819" i="27" s="1"/>
  <c r="F2814" i="27"/>
  <c r="H793" i="27"/>
  <c r="H2941" i="27"/>
  <c r="I2359" i="27"/>
  <c r="H2940" i="27"/>
  <c r="K2941" i="27"/>
  <c r="A460" i="32"/>
  <c r="J792" i="27"/>
  <c r="A765" i="32"/>
  <c r="D2359" i="27"/>
  <c r="J2359" i="27"/>
  <c r="K2359" i="27"/>
  <c r="I2942" i="27"/>
  <c r="A154" i="32"/>
  <c r="F2359" i="27"/>
  <c r="K792" i="27"/>
  <c r="J2940" i="27"/>
  <c r="BD88" i="34"/>
  <c r="O2359" i="27"/>
  <c r="I2940" i="27"/>
  <c r="N2359" i="27"/>
  <c r="G765" i="32"/>
  <c r="P2359" i="27"/>
  <c r="G460" i="32"/>
  <c r="L2359" i="27"/>
  <c r="BC88" i="34"/>
  <c r="M2359" i="27"/>
  <c r="I2941" i="27"/>
  <c r="I792" i="27"/>
  <c r="G154" i="32"/>
  <c r="A2940" i="27" l="1"/>
  <c r="U464" i="32"/>
  <c r="V969" i="32" a="1"/>
  <c r="V969" i="32" s="1"/>
  <c r="L969" i="32" s="1"/>
  <c r="R969" i="32" a="1"/>
  <c r="R969" i="32" s="1"/>
  <c r="D969" i="32" s="1"/>
  <c r="T969" i="32" a="1"/>
  <c r="T969" i="32" s="1"/>
  <c r="S969" i="32" a="1"/>
  <c r="S969" i="32" s="1"/>
  <c r="E969" i="32" s="1"/>
  <c r="P973" i="32"/>
  <c r="Q971" i="32"/>
  <c r="A2941" i="27"/>
  <c r="A2359" i="27"/>
  <c r="B2361" i="27"/>
  <c r="U158" i="32"/>
  <c r="F2943" i="27"/>
  <c r="K1562" i="27"/>
  <c r="K1561" i="27"/>
  <c r="A792" i="27"/>
  <c r="H1359" i="27"/>
  <c r="H1360" i="27"/>
  <c r="E1360" i="27"/>
  <c r="E1359" i="27"/>
  <c r="K1359" i="27"/>
  <c r="G1359" i="27"/>
  <c r="L1359" i="27"/>
  <c r="J1359" i="27"/>
  <c r="F1359" i="27"/>
  <c r="F1360" i="27"/>
  <c r="N1360" i="27"/>
  <c r="N1359" i="27"/>
  <c r="I1360" i="27"/>
  <c r="J1360" i="27"/>
  <c r="G1360" i="27"/>
  <c r="K1360" i="27"/>
  <c r="O1360" i="27"/>
  <c r="O1359" i="27"/>
  <c r="M1360" i="27"/>
  <c r="A1360" i="27" s="1"/>
  <c r="L1360" i="27"/>
  <c r="M1359" i="27"/>
  <c r="A1359" i="27" s="1"/>
  <c r="I1359" i="27"/>
  <c r="H794" i="27"/>
  <c r="F2820" i="27"/>
  <c r="F2821" i="27"/>
  <c r="F2822" i="27" s="1"/>
  <c r="F2823" i="27" s="1"/>
  <c r="F2824" i="27" s="1"/>
  <c r="F2825" i="27" s="1"/>
  <c r="U769" i="32"/>
  <c r="K2360" i="27"/>
  <c r="M2360" i="27"/>
  <c r="J2360" i="27"/>
  <c r="N2360" i="27"/>
  <c r="I793" i="27"/>
  <c r="J793" i="27"/>
  <c r="A462" i="32"/>
  <c r="G156" i="32"/>
  <c r="A156" i="32"/>
  <c r="L2360" i="27"/>
  <c r="F2360" i="27"/>
  <c r="O2360" i="27"/>
  <c r="I2943" i="27"/>
  <c r="P2360" i="27"/>
  <c r="K793" i="27"/>
  <c r="A767" i="32"/>
  <c r="D2360" i="27"/>
  <c r="G462" i="32"/>
  <c r="H2942" i="27"/>
  <c r="I2360" i="27"/>
  <c r="J2942" i="27"/>
  <c r="G767" i="32"/>
  <c r="K2942" i="27"/>
  <c r="A2942" i="27" l="1"/>
  <c r="U466" i="32"/>
  <c r="S971" i="32" a="1"/>
  <c r="S971" i="32" s="1"/>
  <c r="E971" i="32" s="1"/>
  <c r="V971" i="32" a="1"/>
  <c r="V971" i="32" s="1"/>
  <c r="L971" i="32" s="1"/>
  <c r="T971" i="32" a="1"/>
  <c r="T971" i="32" s="1"/>
  <c r="R971" i="32" a="1"/>
  <c r="R971" i="32" s="1"/>
  <c r="D971" i="32" s="1"/>
  <c r="P975" i="32"/>
  <c r="Q973" i="32"/>
  <c r="A2360" i="27"/>
  <c r="H1347" i="27"/>
  <c r="H1348" i="27"/>
  <c r="K1347" i="27"/>
  <c r="G1348" i="27"/>
  <c r="N1347" i="27"/>
  <c r="J1347" i="27"/>
  <c r="L1347" i="27"/>
  <c r="I1347" i="27"/>
  <c r="N1348" i="27"/>
  <c r="O1348" i="27"/>
  <c r="L1348" i="27"/>
  <c r="E1347" i="27"/>
  <c r="E1348" i="27"/>
  <c r="G1347" i="27"/>
  <c r="O1347" i="27"/>
  <c r="I1348" i="27"/>
  <c r="J1348" i="27"/>
  <c r="K1348" i="27"/>
  <c r="B2362" i="27"/>
  <c r="U160" i="32"/>
  <c r="F2944" i="27"/>
  <c r="K1563" i="27"/>
  <c r="K1564" i="27"/>
  <c r="A793" i="27"/>
  <c r="E1361" i="27"/>
  <c r="E1362" i="27"/>
  <c r="J1361" i="27"/>
  <c r="J1362" i="27"/>
  <c r="K1362" i="27"/>
  <c r="F1362" i="27"/>
  <c r="L1361" i="27"/>
  <c r="G1362" i="27"/>
  <c r="M1362" i="27"/>
  <c r="A1362" i="27" s="1"/>
  <c r="O1361" i="27"/>
  <c r="G1361" i="27"/>
  <c r="M1361" i="27"/>
  <c r="A1361" i="27" s="1"/>
  <c r="I1362" i="27"/>
  <c r="N1361" i="27"/>
  <c r="O1362" i="27"/>
  <c r="L1362" i="27"/>
  <c r="F1361" i="27"/>
  <c r="K1361" i="27"/>
  <c r="N1362" i="27"/>
  <c r="I1361" i="27"/>
  <c r="H1361" i="27"/>
  <c r="H1362" i="27"/>
  <c r="H795" i="27"/>
  <c r="H796" i="27"/>
  <c r="U771" i="32"/>
  <c r="F2826" i="27"/>
  <c r="F2827" i="27"/>
  <c r="F2828" i="27" s="1"/>
  <c r="F2829" i="27" s="1"/>
  <c r="F2830" i="27" s="1"/>
  <c r="F2831" i="27" s="1"/>
  <c r="O2361" i="27"/>
  <c r="G769" i="32"/>
  <c r="H2943" i="27"/>
  <c r="F2361" i="27"/>
  <c r="K794" i="27"/>
  <c r="P2361" i="27"/>
  <c r="L2361" i="27"/>
  <c r="A158" i="32"/>
  <c r="I2361" i="27"/>
  <c r="G158" i="32"/>
  <c r="N2361" i="27"/>
  <c r="K2943" i="27"/>
  <c r="I2944" i="27"/>
  <c r="A464" i="32"/>
  <c r="J2943" i="27"/>
  <c r="J794" i="27"/>
  <c r="I794" i="27"/>
  <c r="A769" i="32"/>
  <c r="D2361" i="27"/>
  <c r="K2361" i="27"/>
  <c r="J2361" i="27"/>
  <c r="M2361" i="27"/>
  <c r="G464" i="32"/>
  <c r="A2943" i="27" l="1"/>
  <c r="U468" i="32"/>
  <c r="T973" i="32" a="1"/>
  <c r="T973" i="32" s="1"/>
  <c r="R973" i="32" a="1"/>
  <c r="R973" i="32" s="1"/>
  <c r="D973" i="32" s="1"/>
  <c r="S973" i="32" a="1"/>
  <c r="S973" i="32" s="1"/>
  <c r="E973" i="32" s="1"/>
  <c r="V973" i="32" a="1"/>
  <c r="V973" i="32" s="1"/>
  <c r="L973" i="32" s="1"/>
  <c r="P977" i="32"/>
  <c r="Q975" i="32"/>
  <c r="A2361" i="27"/>
  <c r="H1349" i="27"/>
  <c r="H1350" i="27"/>
  <c r="O1349" i="27"/>
  <c r="G1349" i="27"/>
  <c r="N1349" i="27"/>
  <c r="I1349" i="27"/>
  <c r="K1349" i="27"/>
  <c r="J1349" i="27"/>
  <c r="E1349" i="27"/>
  <c r="L1349" i="27"/>
  <c r="K1350" i="27"/>
  <c r="N1350" i="27"/>
  <c r="J1350" i="27"/>
  <c r="E1350" i="27"/>
  <c r="L1350" i="27"/>
  <c r="I1350" i="27"/>
  <c r="O1350" i="27"/>
  <c r="G1350" i="27"/>
  <c r="U162" i="32"/>
  <c r="B2363" i="27"/>
  <c r="F2945" i="27"/>
  <c r="K1566" i="27"/>
  <c r="K1565" i="27"/>
  <c r="E1363" i="27"/>
  <c r="E1364" i="27"/>
  <c r="F1363" i="27"/>
  <c r="K1364" i="27"/>
  <c r="N1364" i="27"/>
  <c r="L1364" i="27"/>
  <c r="N1363" i="27"/>
  <c r="J1364" i="27"/>
  <c r="L1363" i="27"/>
  <c r="G1363" i="27"/>
  <c r="M1364" i="27"/>
  <c r="A1364" i="27" s="1"/>
  <c r="F1364" i="27"/>
  <c r="O1364" i="27"/>
  <c r="O1363" i="27"/>
  <c r="J1363" i="27"/>
  <c r="I1363" i="27"/>
  <c r="M1363" i="27"/>
  <c r="A1363" i="27" s="1"/>
  <c r="K1363" i="27"/>
  <c r="G1364" i="27"/>
  <c r="I1364" i="27"/>
  <c r="A794" i="27"/>
  <c r="H1364" i="27"/>
  <c r="H1363" i="27"/>
  <c r="U773" i="32"/>
  <c r="H797" i="27"/>
  <c r="F2832" i="27"/>
  <c r="F2833" i="27"/>
  <c r="F2834" i="27" s="1"/>
  <c r="F2835" i="27" s="1"/>
  <c r="F2836" i="27" s="1"/>
  <c r="F2837" i="27" s="1"/>
  <c r="A160" i="32"/>
  <c r="M2362" i="27"/>
  <c r="N2362" i="27"/>
  <c r="K2362" i="27"/>
  <c r="D2362" i="27"/>
  <c r="J2362" i="27"/>
  <c r="H2944" i="27"/>
  <c r="A466" i="32"/>
  <c r="G771" i="32"/>
  <c r="J795" i="27"/>
  <c r="G160" i="32"/>
  <c r="K2944" i="27"/>
  <c r="J2944" i="27"/>
  <c r="I796" i="27"/>
  <c r="L2362" i="27"/>
  <c r="O2362" i="27"/>
  <c r="K795" i="27"/>
  <c r="G466" i="32"/>
  <c r="A771" i="32"/>
  <c r="P2362" i="27"/>
  <c r="K796" i="27"/>
  <c r="J796" i="27"/>
  <c r="F2362" i="27"/>
  <c r="K2945" i="27"/>
  <c r="I2362" i="27"/>
  <c r="I795" i="27"/>
  <c r="A2944" i="27" l="1"/>
  <c r="U470" i="32"/>
  <c r="S975" i="32" a="1"/>
  <c r="S975" i="32" s="1"/>
  <c r="E975" i="32" s="1"/>
  <c r="V975" i="32" a="1"/>
  <c r="V975" i="32" s="1"/>
  <c r="L975" i="32" s="1"/>
  <c r="R975" i="32" a="1"/>
  <c r="R975" i="32" s="1"/>
  <c r="D975" i="32" s="1"/>
  <c r="T975" i="32" a="1"/>
  <c r="T975" i="32" s="1"/>
  <c r="P979" i="32"/>
  <c r="Q977" i="32"/>
  <c r="H1351" i="27"/>
  <c r="H1352" i="27"/>
  <c r="A2362" i="27"/>
  <c r="I1351" i="27"/>
  <c r="E1351" i="27"/>
  <c r="K1351" i="27"/>
  <c r="G1351" i="27"/>
  <c r="J1351" i="27"/>
  <c r="O1351" i="27"/>
  <c r="N1351" i="27"/>
  <c r="L1351" i="27"/>
  <c r="O1352" i="27"/>
  <c r="L1352" i="27"/>
  <c r="E1352" i="27"/>
  <c r="G1352" i="27"/>
  <c r="K1352" i="27"/>
  <c r="J1352" i="27"/>
  <c r="N1352" i="27"/>
  <c r="I1352" i="27"/>
  <c r="F1352" i="27"/>
  <c r="F1351" i="27"/>
  <c r="M1351" i="27"/>
  <c r="A1351" i="27" s="1"/>
  <c r="M1352" i="27"/>
  <c r="A1352" i="27" s="1"/>
  <c r="B2364" i="27"/>
  <c r="U164" i="32"/>
  <c r="F2946" i="27"/>
  <c r="F2947" i="27"/>
  <c r="A796" i="27"/>
  <c r="K1568" i="27"/>
  <c r="K1567" i="27"/>
  <c r="E1366" i="27"/>
  <c r="E1365" i="27"/>
  <c r="K1365" i="27"/>
  <c r="L1366" i="27"/>
  <c r="J1365" i="27"/>
  <c r="O1366" i="27"/>
  <c r="L1365" i="27"/>
  <c r="N1365" i="27"/>
  <c r="M1366" i="27"/>
  <c r="A1366" i="27" s="1"/>
  <c r="K1366" i="27"/>
  <c r="N1366" i="27"/>
  <c r="O1365" i="27"/>
  <c r="G1365" i="27"/>
  <c r="I1366" i="27"/>
  <c r="I1365" i="27"/>
  <c r="F1365" i="27"/>
  <c r="M1365" i="27"/>
  <c r="A1365" i="27" s="1"/>
  <c r="F1366" i="27"/>
  <c r="G1366" i="27"/>
  <c r="J1366" i="27"/>
  <c r="A795" i="27"/>
  <c r="H1365" i="27"/>
  <c r="H1366" i="27"/>
  <c r="U775" i="32"/>
  <c r="F2839" i="27"/>
  <c r="F2840" i="27" s="1"/>
  <c r="F2841" i="27" s="1"/>
  <c r="F2842" i="27" s="1"/>
  <c r="F2843" i="27" s="1"/>
  <c r="F2838" i="27"/>
  <c r="H798" i="27"/>
  <c r="A468" i="32"/>
  <c r="A773" i="32"/>
  <c r="G773" i="32"/>
  <c r="D2363" i="27"/>
  <c r="O2363" i="27"/>
  <c r="K2946" i="27"/>
  <c r="G468" i="32"/>
  <c r="K2363" i="27"/>
  <c r="I2947" i="27"/>
  <c r="I2363" i="27"/>
  <c r="L2363" i="27"/>
  <c r="J2363" i="27"/>
  <c r="H2945" i="27"/>
  <c r="F2363" i="27"/>
  <c r="I2945" i="27"/>
  <c r="M2363" i="27"/>
  <c r="A162" i="32"/>
  <c r="I797" i="27"/>
  <c r="H2946" i="27"/>
  <c r="H2947" i="27"/>
  <c r="K797" i="27"/>
  <c r="J2945" i="27"/>
  <c r="J797" i="27"/>
  <c r="G162" i="32"/>
  <c r="N2363" i="27"/>
  <c r="J2946" i="27"/>
  <c r="P2363" i="27"/>
  <c r="A2945" i="27" l="1"/>
  <c r="U472" i="32"/>
  <c r="T977" i="32" a="1"/>
  <c r="T977" i="32" s="1"/>
  <c r="V977" i="32" a="1"/>
  <c r="V977" i="32" s="1"/>
  <c r="L977" i="32" s="1"/>
  <c r="S977" i="32" a="1"/>
  <c r="S977" i="32" s="1"/>
  <c r="E977" i="32" s="1"/>
  <c r="R977" i="32" a="1"/>
  <c r="R977" i="32" s="1"/>
  <c r="D977" i="32" s="1"/>
  <c r="P981" i="32"/>
  <c r="Q979" i="32"/>
  <c r="F1353" i="27"/>
  <c r="O1353" i="27"/>
  <c r="L1353" i="27"/>
  <c r="M1353" i="27"/>
  <c r="A1353" i="27" s="1"/>
  <c r="G1353" i="27"/>
  <c r="J1353" i="27"/>
  <c r="N1353" i="27"/>
  <c r="I1353" i="27"/>
  <c r="K1353" i="27"/>
  <c r="F1354" i="27"/>
  <c r="G1354" i="27"/>
  <c r="N1354" i="27"/>
  <c r="K1354" i="27"/>
  <c r="I1354" i="27"/>
  <c r="M1354" i="27"/>
  <c r="A1354" i="27" s="1"/>
  <c r="L1354" i="27"/>
  <c r="J1354" i="27"/>
  <c r="O1354" i="27"/>
  <c r="H1044" i="27"/>
  <c r="H1045" i="27"/>
  <c r="A2363" i="27"/>
  <c r="U166" i="32"/>
  <c r="A2946" i="27"/>
  <c r="F2948" i="27"/>
  <c r="E1368" i="27"/>
  <c r="E1367" i="27"/>
  <c r="M1368" i="27"/>
  <c r="A1368" i="27" s="1"/>
  <c r="N1367" i="27"/>
  <c r="K1368" i="27"/>
  <c r="L1367" i="27"/>
  <c r="G1368" i="27"/>
  <c r="J1368" i="27"/>
  <c r="G1367" i="27"/>
  <c r="I1368" i="27"/>
  <c r="I1367" i="27"/>
  <c r="M1367" i="27"/>
  <c r="A1367" i="27" s="1"/>
  <c r="J1367" i="27"/>
  <c r="K1367" i="27"/>
  <c r="N1368" i="27"/>
  <c r="O1368" i="27"/>
  <c r="F1368" i="27"/>
  <c r="L1368" i="27"/>
  <c r="O1367" i="27"/>
  <c r="F1367" i="27"/>
  <c r="H1368" i="27"/>
  <c r="H1367" i="27"/>
  <c r="K1569" i="27"/>
  <c r="K1570" i="27"/>
  <c r="A797" i="27"/>
  <c r="F2845" i="27"/>
  <c r="F2846" i="27" s="1"/>
  <c r="F2847" i="27" s="1"/>
  <c r="F2848" i="27" s="1"/>
  <c r="F2849" i="27" s="1"/>
  <c r="F2850" i="27" s="1"/>
  <c r="F2844" i="27"/>
  <c r="U777" i="32"/>
  <c r="H799" i="27"/>
  <c r="A470" i="32"/>
  <c r="G470" i="32"/>
  <c r="O2364" i="27"/>
  <c r="I2364" i="27"/>
  <c r="J2364" i="27"/>
  <c r="P2364" i="27"/>
  <c r="K798" i="27"/>
  <c r="K2364" i="27"/>
  <c r="G775" i="32"/>
  <c r="F2364" i="27"/>
  <c r="I2946" i="27"/>
  <c r="J798" i="27"/>
  <c r="M2364" i="27"/>
  <c r="K2948" i="27"/>
  <c r="J2947" i="27"/>
  <c r="I798" i="27"/>
  <c r="A164" i="32"/>
  <c r="A775" i="32"/>
  <c r="L2364" i="27"/>
  <c r="G164" i="32"/>
  <c r="K2947" i="27"/>
  <c r="N2364" i="27"/>
  <c r="D2364" i="27"/>
  <c r="A2947" i="27" l="1"/>
  <c r="U474" i="32"/>
  <c r="S979" i="32" a="1"/>
  <c r="S979" i="32" s="1"/>
  <c r="E979" i="32" s="1"/>
  <c r="V979" i="32" a="1"/>
  <c r="V979" i="32" s="1"/>
  <c r="L979" i="32" s="1"/>
  <c r="R979" i="32" a="1"/>
  <c r="R979" i="32" s="1"/>
  <c r="D979" i="32" s="1"/>
  <c r="T979" i="32" a="1"/>
  <c r="T979" i="32" s="1"/>
  <c r="P983" i="32"/>
  <c r="Q981" i="32"/>
  <c r="I1355" i="27"/>
  <c r="F1355" i="27"/>
  <c r="O1355" i="27"/>
  <c r="N1355" i="27"/>
  <c r="M1355" i="27"/>
  <c r="A1355" i="27" s="1"/>
  <c r="G1355" i="27"/>
  <c r="K1355" i="27"/>
  <c r="J1355" i="27"/>
  <c r="L1355" i="27"/>
  <c r="N1356" i="27"/>
  <c r="K1356" i="27"/>
  <c r="I1356" i="27"/>
  <c r="L1356" i="27"/>
  <c r="F1356" i="27"/>
  <c r="M1356" i="27"/>
  <c r="A1356" i="27" s="1"/>
  <c r="J1356" i="27"/>
  <c r="O1356" i="27"/>
  <c r="G1356" i="27"/>
  <c r="H1046" i="27"/>
  <c r="H1047" i="27"/>
  <c r="A2364" i="27"/>
  <c r="U168" i="32"/>
  <c r="F2949" i="27"/>
  <c r="E1369" i="27"/>
  <c r="E1370" i="27"/>
  <c r="M1370" i="27"/>
  <c r="A1370" i="27" s="1"/>
  <c r="L1369" i="27"/>
  <c r="J1369" i="27"/>
  <c r="N1370" i="27"/>
  <c r="K1370" i="27"/>
  <c r="F1369" i="27"/>
  <c r="J1370" i="27"/>
  <c r="I1369" i="27"/>
  <c r="O1369" i="27"/>
  <c r="G1370" i="27"/>
  <c r="F1370" i="27"/>
  <c r="K1369" i="27"/>
  <c r="O1370" i="27"/>
  <c r="G1369" i="27"/>
  <c r="N1369" i="27"/>
  <c r="I1370" i="27"/>
  <c r="M1369" i="27"/>
  <c r="A1369" i="27" s="1"/>
  <c r="L1370" i="27"/>
  <c r="H1369" i="27"/>
  <c r="H1370" i="27"/>
  <c r="A798" i="27"/>
  <c r="K1572" i="27"/>
  <c r="K1571" i="27"/>
  <c r="U779" i="32"/>
  <c r="H800" i="27"/>
  <c r="J2948" i="27"/>
  <c r="A472" i="32"/>
  <c r="G777" i="32"/>
  <c r="H2948" i="27"/>
  <c r="K2949" i="27"/>
  <c r="G472" i="32"/>
  <c r="I799" i="27"/>
  <c r="I2948" i="27"/>
  <c r="G166" i="32"/>
  <c r="A777" i="32"/>
  <c r="K799" i="27"/>
  <c r="J799" i="27"/>
  <c r="A166" i="32"/>
  <c r="U476" i="32" l="1"/>
  <c r="A2948" i="27"/>
  <c r="V981" i="32" a="1"/>
  <c r="V981" i="32" s="1"/>
  <c r="L981" i="32" s="1"/>
  <c r="R981" i="32" a="1"/>
  <c r="R981" i="32" s="1"/>
  <c r="D981" i="32" s="1"/>
  <c r="T981" i="32" a="1"/>
  <c r="T981" i="32" s="1"/>
  <c r="S981" i="32" a="1"/>
  <c r="S981" i="32" s="1"/>
  <c r="E981" i="32" s="1"/>
  <c r="P985" i="32"/>
  <c r="Q983" i="32"/>
  <c r="H1048" i="27"/>
  <c r="H1049" i="27"/>
  <c r="J1357" i="27"/>
  <c r="I1357" i="27"/>
  <c r="K1357" i="27"/>
  <c r="L1357" i="27"/>
  <c r="M1357" i="27"/>
  <c r="A1357" i="27" s="1"/>
  <c r="N1357" i="27"/>
  <c r="G1357" i="27"/>
  <c r="F1357" i="27"/>
  <c r="O1357" i="27"/>
  <c r="U170" i="32"/>
  <c r="F2950" i="27"/>
  <c r="K1574" i="27"/>
  <c r="K1573" i="27"/>
  <c r="H1371" i="27"/>
  <c r="H1372" i="27"/>
  <c r="E1372" i="27"/>
  <c r="E1371" i="27"/>
  <c r="N1371" i="27"/>
  <c r="F1371" i="27"/>
  <c r="M1371" i="27"/>
  <c r="A1371" i="27" s="1"/>
  <c r="L1371" i="27"/>
  <c r="I1371" i="27"/>
  <c r="N1372" i="27"/>
  <c r="O1371" i="27"/>
  <c r="K1371" i="27"/>
  <c r="L1372" i="27"/>
  <c r="O1372" i="27"/>
  <c r="J1371" i="27"/>
  <c r="F1372" i="27"/>
  <c r="I1372" i="27"/>
  <c r="K1372" i="27"/>
  <c r="M1372" i="27"/>
  <c r="A1372" i="27" s="1"/>
  <c r="J1372" i="27"/>
  <c r="G1371" i="27"/>
  <c r="G1372" i="27"/>
  <c r="A799" i="27"/>
  <c r="U781" i="32"/>
  <c r="H801" i="27"/>
  <c r="H802" i="27"/>
  <c r="G781" i="32"/>
  <c r="G168" i="32"/>
  <c r="J2949" i="27"/>
  <c r="H2949" i="27"/>
  <c r="K2950" i="27"/>
  <c r="G474" i="32"/>
  <c r="G779" i="32"/>
  <c r="A779" i="32"/>
  <c r="A474" i="32"/>
  <c r="I2949" i="27"/>
  <c r="I800" i="27"/>
  <c r="J800" i="27"/>
  <c r="K800" i="27"/>
  <c r="A168" i="32"/>
  <c r="A2949" i="27" l="1"/>
  <c r="U478" i="32"/>
  <c r="V983" i="32" a="1"/>
  <c r="V983" i="32" s="1"/>
  <c r="L983" i="32" s="1"/>
  <c r="T983" i="32" a="1"/>
  <c r="T983" i="32" s="1"/>
  <c r="R983" i="32" a="1"/>
  <c r="R983" i="32" s="1"/>
  <c r="D983" i="32" s="1"/>
  <c r="S983" i="32" a="1"/>
  <c r="S983" i="32" s="1"/>
  <c r="E983" i="32" s="1"/>
  <c r="P987" i="32"/>
  <c r="Q985" i="32"/>
  <c r="U172" i="32"/>
  <c r="F2951" i="27"/>
  <c r="H1373" i="27"/>
  <c r="H1374" i="27"/>
  <c r="E1373" i="27"/>
  <c r="E1374" i="27"/>
  <c r="K1373" i="27"/>
  <c r="K1374" i="27"/>
  <c r="M1374" i="27"/>
  <c r="A1374" i="27" s="1"/>
  <c r="O1374" i="27"/>
  <c r="F1374" i="27"/>
  <c r="O1373" i="27"/>
  <c r="L1374" i="27"/>
  <c r="J1374" i="27"/>
  <c r="N1374" i="27"/>
  <c r="M1373" i="27"/>
  <c r="A1373" i="27" s="1"/>
  <c r="L1373" i="27"/>
  <c r="N1373" i="27"/>
  <c r="F1373" i="27"/>
  <c r="G1373" i="27"/>
  <c r="I1373" i="27"/>
  <c r="G1374" i="27"/>
  <c r="J1373" i="27"/>
  <c r="I1374" i="27"/>
  <c r="A800" i="27"/>
  <c r="K1576" i="27"/>
  <c r="K1575" i="27"/>
  <c r="H1051" i="27"/>
  <c r="H1050" i="27"/>
  <c r="H803" i="27"/>
  <c r="U783" i="32"/>
  <c r="I2951" i="27"/>
  <c r="K801" i="27"/>
  <c r="I2950" i="27"/>
  <c r="G476" i="32"/>
  <c r="A781" i="32"/>
  <c r="G783" i="32"/>
  <c r="G170" i="32"/>
  <c r="A476" i="32"/>
  <c r="J801" i="27"/>
  <c r="H2951" i="27"/>
  <c r="I801" i="27"/>
  <c r="J802" i="27"/>
  <c r="K802" i="27"/>
  <c r="J2950" i="27"/>
  <c r="H2950" i="27"/>
  <c r="I802" i="27"/>
  <c r="A170" i="32"/>
  <c r="A2950" i="27" l="1"/>
  <c r="U480" i="32"/>
  <c r="S985" i="32" a="1"/>
  <c r="S985" i="32" s="1"/>
  <c r="E985" i="32" s="1"/>
  <c r="T985" i="32" a="1"/>
  <c r="T985" i="32" s="1"/>
  <c r="R985" i="32" a="1"/>
  <c r="R985" i="32" s="1"/>
  <c r="D985" i="32" s="1"/>
  <c r="V985" i="32" a="1"/>
  <c r="V985" i="32" s="1"/>
  <c r="L985" i="32" s="1"/>
  <c r="P989" i="32"/>
  <c r="Q987" i="32"/>
  <c r="U174" i="32"/>
  <c r="F2953" i="27"/>
  <c r="F2952" i="27"/>
  <c r="H1053" i="27"/>
  <c r="H1052" i="27"/>
  <c r="H1375" i="27"/>
  <c r="H1376" i="27"/>
  <c r="E1375" i="27"/>
  <c r="E1376" i="27"/>
  <c r="G1376" i="27"/>
  <c r="J1375" i="27"/>
  <c r="G1375" i="27"/>
  <c r="I1376" i="27"/>
  <c r="I1375" i="27"/>
  <c r="K1375" i="27"/>
  <c r="L1375" i="27"/>
  <c r="O1375" i="27"/>
  <c r="K1376" i="27"/>
  <c r="F1376" i="27"/>
  <c r="J1376" i="27"/>
  <c r="F1375" i="27"/>
  <c r="M1375" i="27"/>
  <c r="A1375" i="27" s="1"/>
  <c r="N1376" i="27"/>
  <c r="N1375" i="27"/>
  <c r="L1376" i="27"/>
  <c r="O1376" i="27"/>
  <c r="M1376" i="27"/>
  <c r="A1376" i="27" s="1"/>
  <c r="K1577" i="27"/>
  <c r="K1578" i="27"/>
  <c r="A802" i="27"/>
  <c r="A801" i="27"/>
  <c r="U785" i="32"/>
  <c r="H804" i="27"/>
  <c r="J2953" i="27"/>
  <c r="J803" i="27"/>
  <c r="I803" i="27"/>
  <c r="G478" i="32"/>
  <c r="H2953" i="27"/>
  <c r="I2952" i="27"/>
  <c r="I2953" i="27"/>
  <c r="A783" i="32"/>
  <c r="A478" i="32"/>
  <c r="G172" i="32"/>
  <c r="K803" i="27"/>
  <c r="G785" i="32"/>
  <c r="K2951" i="27"/>
  <c r="J2951" i="27"/>
  <c r="A172" i="32"/>
  <c r="K2953" i="27"/>
  <c r="A2951" i="27" l="1"/>
  <c r="U482" i="32"/>
  <c r="S987" i="32" a="1"/>
  <c r="S987" i="32" s="1"/>
  <c r="E987" i="32" s="1"/>
  <c r="V987" i="32" a="1"/>
  <c r="V987" i="32" s="1"/>
  <c r="L987" i="32" s="1"/>
  <c r="T987" i="32" a="1"/>
  <c r="T987" i="32" s="1"/>
  <c r="R987" i="32" a="1"/>
  <c r="R987" i="32" s="1"/>
  <c r="D987" i="32" s="1"/>
  <c r="P991" i="32"/>
  <c r="Q989" i="32"/>
  <c r="U176" i="32"/>
  <c r="A2953" i="27"/>
  <c r="F2954" i="27"/>
  <c r="E1377" i="27"/>
  <c r="E1378" i="27"/>
  <c r="G1378" i="27"/>
  <c r="M1378" i="27"/>
  <c r="A1378" i="27" s="1"/>
  <c r="G1377" i="27"/>
  <c r="K1377" i="27"/>
  <c r="J1378" i="27"/>
  <c r="O1378" i="27"/>
  <c r="I1378" i="27"/>
  <c r="J1377" i="27"/>
  <c r="K1378" i="27"/>
  <c r="F1378" i="27"/>
  <c r="N1377" i="27"/>
  <c r="O1377" i="27"/>
  <c r="N1378" i="27"/>
  <c r="F1377" i="27"/>
  <c r="M1377" i="27"/>
  <c r="A1377" i="27" s="1"/>
  <c r="L1378" i="27"/>
  <c r="I1377" i="27"/>
  <c r="L1377" i="27"/>
  <c r="H1377" i="27"/>
  <c r="H1378" i="27"/>
  <c r="A803" i="27"/>
  <c r="H1055" i="27"/>
  <c r="H1054" i="27"/>
  <c r="K1580" i="27"/>
  <c r="K1579" i="27"/>
  <c r="U787" i="32"/>
  <c r="H805" i="27"/>
  <c r="J804" i="27"/>
  <c r="K804" i="27"/>
  <c r="K2952" i="27"/>
  <c r="H2952" i="27"/>
  <c r="G174" i="32"/>
  <c r="J2952" i="27"/>
  <c r="G480" i="32"/>
  <c r="G787" i="32"/>
  <c r="A174" i="32"/>
  <c r="H2954" i="27"/>
  <c r="A785" i="32"/>
  <c r="I2954" i="27"/>
  <c r="I804" i="27"/>
  <c r="A480" i="32"/>
  <c r="K2954" i="27"/>
  <c r="A2952" i="27" l="1"/>
  <c r="U484" i="32"/>
  <c r="R989" i="32" a="1"/>
  <c r="R989" i="32" s="1"/>
  <c r="D989" i="32" s="1"/>
  <c r="T989" i="32" a="1"/>
  <c r="T989" i="32" s="1"/>
  <c r="V989" i="32" a="1"/>
  <c r="V989" i="32" s="1"/>
  <c r="L989" i="32" s="1"/>
  <c r="S989" i="32" a="1"/>
  <c r="S989" i="32" s="1"/>
  <c r="E989" i="32" s="1"/>
  <c r="P993" i="32"/>
  <c r="Q991" i="32"/>
  <c r="G1056" i="27"/>
  <c r="O1056" i="27"/>
  <c r="E1056" i="27"/>
  <c r="N1056" i="27"/>
  <c r="L1056" i="27"/>
  <c r="J1056" i="27"/>
  <c r="M1056" i="27"/>
  <c r="A1056" i="27" s="1"/>
  <c r="I1056" i="27"/>
  <c r="K1056" i="27"/>
  <c r="K1057" i="27"/>
  <c r="G1057" i="27"/>
  <c r="I1057" i="27"/>
  <c r="O1057" i="27"/>
  <c r="M1057" i="27"/>
  <c r="A1057" i="27" s="1"/>
  <c r="E1057" i="27"/>
  <c r="L1057" i="27"/>
  <c r="N1057" i="27"/>
  <c r="J1057" i="27"/>
  <c r="U178" i="32"/>
  <c r="F2955" i="27"/>
  <c r="H1056" i="27"/>
  <c r="H1057" i="27"/>
  <c r="H1379" i="27"/>
  <c r="H1380" i="27"/>
  <c r="E1380" i="27"/>
  <c r="E1379" i="27"/>
  <c r="G1379" i="27"/>
  <c r="J1380" i="27"/>
  <c r="K1380" i="27"/>
  <c r="L1380" i="27"/>
  <c r="F1380" i="27"/>
  <c r="M1380" i="27"/>
  <c r="A1380" i="27" s="1"/>
  <c r="N1379" i="27"/>
  <c r="I1380" i="27"/>
  <c r="O1380" i="27"/>
  <c r="J1379" i="27"/>
  <c r="I1379" i="27"/>
  <c r="L1379" i="27"/>
  <c r="F1379" i="27"/>
  <c r="M1379" i="27"/>
  <c r="A1379" i="27" s="1"/>
  <c r="K1379" i="27"/>
  <c r="N1380" i="27"/>
  <c r="G1380" i="27"/>
  <c r="O1379" i="27"/>
  <c r="A804" i="27"/>
  <c r="K1582" i="27"/>
  <c r="K1581" i="27"/>
  <c r="H806" i="27"/>
  <c r="U789" i="32"/>
  <c r="A176" i="32"/>
  <c r="G482" i="32"/>
  <c r="J2954" i="27"/>
  <c r="A787" i="32"/>
  <c r="K805" i="27"/>
  <c r="I805" i="27"/>
  <c r="G789" i="32"/>
  <c r="J805" i="27"/>
  <c r="J2955" i="27"/>
  <c r="A482" i="32"/>
  <c r="G176" i="32"/>
  <c r="A2954" i="27" l="1"/>
  <c r="U486" i="32"/>
  <c r="T991" i="32" a="1"/>
  <c r="T991" i="32" s="1"/>
  <c r="S991" i="32" a="1"/>
  <c r="S991" i="32" s="1"/>
  <c r="E991" i="32" s="1"/>
  <c r="R991" i="32" a="1"/>
  <c r="R991" i="32" s="1"/>
  <c r="D991" i="32" s="1"/>
  <c r="V991" i="32" a="1"/>
  <c r="V991" i="32" s="1"/>
  <c r="L991" i="32" s="1"/>
  <c r="P995" i="32"/>
  <c r="Q993" i="32"/>
  <c r="E1058" i="27"/>
  <c r="M1058" i="27"/>
  <c r="A1058" i="27" s="1"/>
  <c r="I1058" i="27"/>
  <c r="J1058" i="27"/>
  <c r="K1058" i="27"/>
  <c r="O1058" i="27"/>
  <c r="N1058" i="27"/>
  <c r="G1058" i="27"/>
  <c r="L1058" i="27"/>
  <c r="E1059" i="27"/>
  <c r="L1059" i="27"/>
  <c r="M1059" i="27"/>
  <c r="A1059" i="27" s="1"/>
  <c r="K1059" i="27"/>
  <c r="G1059" i="27"/>
  <c r="J1059" i="27"/>
  <c r="I1059" i="27"/>
  <c r="O1059" i="27"/>
  <c r="N1059" i="27"/>
  <c r="U180" i="32"/>
  <c r="F2956" i="27"/>
  <c r="H1058" i="27"/>
  <c r="H1059" i="27"/>
  <c r="H1381" i="27"/>
  <c r="H1382" i="27"/>
  <c r="A805" i="27"/>
  <c r="E1382" i="27"/>
  <c r="E1381" i="27"/>
  <c r="I1381" i="27"/>
  <c r="N1382" i="27"/>
  <c r="F1382" i="27"/>
  <c r="K1381" i="27"/>
  <c r="G1381" i="27"/>
  <c r="K1382" i="27"/>
  <c r="N1381" i="27"/>
  <c r="J1381" i="27"/>
  <c r="O1381" i="27"/>
  <c r="L1382" i="27"/>
  <c r="F1381" i="27"/>
  <c r="J1382" i="27"/>
  <c r="O1382" i="27"/>
  <c r="I1382" i="27"/>
  <c r="M1382" i="27"/>
  <c r="A1382" i="27" s="1"/>
  <c r="G1382" i="27"/>
  <c r="M1381" i="27"/>
  <c r="A1381" i="27" s="1"/>
  <c r="L1381" i="27"/>
  <c r="K1583" i="27"/>
  <c r="K1584" i="27"/>
  <c r="H808" i="27"/>
  <c r="H807" i="27"/>
  <c r="U791" i="32"/>
  <c r="I2956" i="27"/>
  <c r="G791" i="32"/>
  <c r="K2955" i="27"/>
  <c r="K806" i="27"/>
  <c r="A484" i="32"/>
  <c r="A178" i="32"/>
  <c r="I806" i="27"/>
  <c r="G178" i="32"/>
  <c r="H2955" i="27"/>
  <c r="A789" i="32"/>
  <c r="I2955" i="27"/>
  <c r="G484" i="32"/>
  <c r="J806" i="27"/>
  <c r="U488" i="32" l="1"/>
  <c r="A2955" i="27"/>
  <c r="T993" i="32" a="1"/>
  <c r="T993" i="32" s="1"/>
  <c r="S993" i="32" a="1"/>
  <c r="S993" i="32" s="1"/>
  <c r="E993" i="32" s="1"/>
  <c r="V993" i="32" a="1"/>
  <c r="V993" i="32" s="1"/>
  <c r="L993" i="32" s="1"/>
  <c r="R993" i="32" a="1"/>
  <c r="R993" i="32" s="1"/>
  <c r="D993" i="32" s="1"/>
  <c r="P997" i="32"/>
  <c r="Q995" i="32"/>
  <c r="E1060" i="27"/>
  <c r="K1060" i="27"/>
  <c r="M1060" i="27"/>
  <c r="A1060" i="27" s="1"/>
  <c r="I1060" i="27"/>
  <c r="L1060" i="27"/>
  <c r="J1060" i="27"/>
  <c r="N1060" i="27"/>
  <c r="O1060" i="27"/>
  <c r="G1060" i="27"/>
  <c r="U182" i="32"/>
  <c r="F2957" i="27"/>
  <c r="E1384" i="27"/>
  <c r="E1383" i="27"/>
  <c r="F1384" i="27"/>
  <c r="N1383" i="27"/>
  <c r="N1384" i="27"/>
  <c r="G1384" i="27"/>
  <c r="O1384" i="27"/>
  <c r="I1384" i="27"/>
  <c r="M1384" i="27"/>
  <c r="A1384" i="27" s="1"/>
  <c r="M1383" i="27"/>
  <c r="A1383" i="27" s="1"/>
  <c r="K1383" i="27"/>
  <c r="K1384" i="27"/>
  <c r="I1383" i="27"/>
  <c r="O1383" i="27"/>
  <c r="G1383" i="27"/>
  <c r="J1384" i="27"/>
  <c r="F1383" i="27"/>
  <c r="J1383" i="27"/>
  <c r="L1383" i="27"/>
  <c r="L1384" i="27"/>
  <c r="H1060" i="27"/>
  <c r="H1061" i="27"/>
  <c r="L1061" i="27"/>
  <c r="N1061" i="27"/>
  <c r="K1061" i="27"/>
  <c r="G1061" i="27"/>
  <c r="M1061" i="27"/>
  <c r="A1061" i="27" s="1"/>
  <c r="E1061" i="27"/>
  <c r="J1061" i="27"/>
  <c r="O1061" i="27"/>
  <c r="I1061" i="27"/>
  <c r="K1586" i="27"/>
  <c r="K1585" i="27"/>
  <c r="A806" i="27"/>
  <c r="H1384" i="27"/>
  <c r="H1383" i="27"/>
  <c r="U793" i="32"/>
  <c r="H809" i="27"/>
  <c r="K2956" i="27"/>
  <c r="K807" i="27"/>
  <c r="H2956" i="27"/>
  <c r="G793" i="32"/>
  <c r="K808" i="27"/>
  <c r="J808" i="27"/>
  <c r="G486" i="32"/>
  <c r="G180" i="32"/>
  <c r="I807" i="27"/>
  <c r="K2957" i="27"/>
  <c r="A791" i="32"/>
  <c r="J807" i="27"/>
  <c r="A180" i="32"/>
  <c r="J2957" i="27"/>
  <c r="I808" i="27"/>
  <c r="J2956" i="27"/>
  <c r="A486" i="32"/>
  <c r="U490" i="32" l="1"/>
  <c r="A2956" i="27"/>
  <c r="T995" i="32" a="1"/>
  <c r="T995" i="32" s="1"/>
  <c r="V995" i="32" a="1"/>
  <c r="V995" i="32" s="1"/>
  <c r="L995" i="32" s="1"/>
  <c r="S995" i="32" a="1"/>
  <c r="S995" i="32" s="1"/>
  <c r="E995" i="32" s="1"/>
  <c r="R995" i="32" a="1"/>
  <c r="R995" i="32" s="1"/>
  <c r="D995" i="32" s="1"/>
  <c r="P999" i="32"/>
  <c r="Q997" i="32"/>
  <c r="K1062" i="27"/>
  <c r="E1062" i="27"/>
  <c r="O1062" i="27"/>
  <c r="J1062" i="27"/>
  <c r="G1062" i="27"/>
  <c r="L1062" i="27"/>
  <c r="I1062" i="27"/>
  <c r="N1062" i="27"/>
  <c r="U184" i="32"/>
  <c r="A2957" i="27"/>
  <c r="F2959" i="27"/>
  <c r="F2958" i="27"/>
  <c r="M1062" i="27"/>
  <c r="A1062" i="27" s="1"/>
  <c r="M1063" i="27"/>
  <c r="A1063" i="27" s="1"/>
  <c r="K1063" i="27"/>
  <c r="J1063" i="27"/>
  <c r="G1063" i="27"/>
  <c r="E1063" i="27"/>
  <c r="K1587" i="27"/>
  <c r="K1588" i="27"/>
  <c r="O1063" i="27"/>
  <c r="L1063" i="27"/>
  <c r="N1063" i="27"/>
  <c r="I1063" i="27"/>
  <c r="H1385" i="27"/>
  <c r="H1386" i="27"/>
  <c r="A808" i="27"/>
  <c r="E1385" i="27"/>
  <c r="E1386" i="27"/>
  <c r="O1385" i="27"/>
  <c r="F1385" i="27"/>
  <c r="L1386" i="27"/>
  <c r="G1385" i="27"/>
  <c r="O1386" i="27"/>
  <c r="L1385" i="27"/>
  <c r="J1385" i="27"/>
  <c r="N1385" i="27"/>
  <c r="G1386" i="27"/>
  <c r="I1385" i="27"/>
  <c r="I1386" i="27"/>
  <c r="K1385" i="27"/>
  <c r="J1386" i="27"/>
  <c r="M1385" i="27"/>
  <c r="A1385" i="27" s="1"/>
  <c r="M1386" i="27"/>
  <c r="A1386" i="27" s="1"/>
  <c r="K1386" i="27"/>
  <c r="F1386" i="27"/>
  <c r="N1386" i="27"/>
  <c r="A807" i="27"/>
  <c r="H1062" i="27"/>
  <c r="H1063" i="27"/>
  <c r="H810" i="27"/>
  <c r="U795" i="32"/>
  <c r="K2958" i="27"/>
  <c r="I2957" i="27"/>
  <c r="H2959" i="27"/>
  <c r="A182" i="32"/>
  <c r="J809" i="27"/>
  <c r="A488" i="32"/>
  <c r="I809" i="27"/>
  <c r="G182" i="32"/>
  <c r="A793" i="32"/>
  <c r="I2959" i="27"/>
  <c r="K809" i="27"/>
  <c r="H2957" i="27"/>
  <c r="G795" i="32"/>
  <c r="G488" i="32"/>
  <c r="U492" i="32" l="1"/>
  <c r="V997" i="32" a="1"/>
  <c r="V997" i="32" s="1"/>
  <c r="L997" i="32" s="1"/>
  <c r="S997" i="32" a="1"/>
  <c r="S997" i="32" s="1"/>
  <c r="E997" i="32" s="1"/>
  <c r="T997" i="32" a="1"/>
  <c r="T997" i="32" s="1"/>
  <c r="R997" i="32" a="1"/>
  <c r="R997" i="32" s="1"/>
  <c r="D997" i="32" s="1"/>
  <c r="P1001" i="32"/>
  <c r="Q999" i="32"/>
  <c r="U186" i="32"/>
  <c r="F2960" i="27"/>
  <c r="N1065" i="27"/>
  <c r="G1064" i="27"/>
  <c r="L1064" i="27"/>
  <c r="G1065" i="27"/>
  <c r="I1065" i="27"/>
  <c r="E1064" i="27"/>
  <c r="K1590" i="27"/>
  <c r="N1064" i="27"/>
  <c r="K1064" i="27"/>
  <c r="L1065" i="27"/>
  <c r="O1065" i="27"/>
  <c r="K1589" i="27"/>
  <c r="K1065" i="27"/>
  <c r="I1064" i="27"/>
  <c r="O1064" i="27"/>
  <c r="E1065" i="27"/>
  <c r="J1064" i="27"/>
  <c r="J1065" i="27"/>
  <c r="M1064" i="27"/>
  <c r="A1064" i="27" s="1"/>
  <c r="M1065" i="27"/>
  <c r="A1065" i="27" s="1"/>
  <c r="H1387" i="27"/>
  <c r="H1388" i="27"/>
  <c r="H1065" i="27"/>
  <c r="H1064" i="27"/>
  <c r="E1388" i="27"/>
  <c r="E1387" i="27"/>
  <c r="O1387" i="27"/>
  <c r="M1387" i="27"/>
  <c r="A1387" i="27" s="1"/>
  <c r="F1388" i="27"/>
  <c r="M1388" i="27"/>
  <c r="A1388" i="27" s="1"/>
  <c r="I1387" i="27"/>
  <c r="N1388" i="27"/>
  <c r="K1387" i="27"/>
  <c r="L1388" i="27"/>
  <c r="J1388" i="27"/>
  <c r="K1388" i="27"/>
  <c r="G1387" i="27"/>
  <c r="J1387" i="27"/>
  <c r="F1387" i="27"/>
  <c r="L1387" i="27"/>
  <c r="G1388" i="27"/>
  <c r="O1388" i="27"/>
  <c r="I1388" i="27"/>
  <c r="N1387" i="27"/>
  <c r="A809" i="27"/>
  <c r="U797" i="32"/>
  <c r="H811" i="27"/>
  <c r="I810" i="27"/>
  <c r="K810" i="27"/>
  <c r="J810" i="27"/>
  <c r="K2960" i="27"/>
  <c r="A184" i="32"/>
  <c r="A795" i="32"/>
  <c r="I2960" i="27"/>
  <c r="A490" i="32"/>
  <c r="I2958" i="27"/>
  <c r="G797" i="32"/>
  <c r="K2959" i="27"/>
  <c r="G490" i="32"/>
  <c r="J2958" i="27"/>
  <c r="J2959" i="27"/>
  <c r="G184" i="32"/>
  <c r="H2958" i="27"/>
  <c r="U494" i="32" l="1"/>
  <c r="A2959" i="27"/>
  <c r="A2958" i="27"/>
  <c r="T999" i="32" a="1"/>
  <c r="T999" i="32" s="1"/>
  <c r="R999" i="32" a="1"/>
  <c r="R999" i="32" s="1"/>
  <c r="D999" i="32" s="1"/>
  <c r="V999" i="32" a="1"/>
  <c r="V999" i="32" s="1"/>
  <c r="L999" i="32" s="1"/>
  <c r="S999" i="32" a="1"/>
  <c r="S999" i="32" s="1"/>
  <c r="E999" i="32" s="1"/>
  <c r="P1003" i="32"/>
  <c r="Q1001" i="32"/>
  <c r="U188" i="32"/>
  <c r="F2961" i="27"/>
  <c r="A810" i="27"/>
  <c r="E1389" i="27"/>
  <c r="E1390" i="27"/>
  <c r="I1390" i="27"/>
  <c r="M1390" i="27"/>
  <c r="A1390" i="27" s="1"/>
  <c r="J1389" i="27"/>
  <c r="L1390" i="27"/>
  <c r="N1390" i="27"/>
  <c r="L1389" i="27"/>
  <c r="K1390" i="27"/>
  <c r="K1389" i="27"/>
  <c r="I1389" i="27"/>
  <c r="F1390" i="27"/>
  <c r="F1389" i="27"/>
  <c r="J1390" i="27"/>
  <c r="M1389" i="27"/>
  <c r="A1389" i="27" s="1"/>
  <c r="G1390" i="27"/>
  <c r="N1389" i="27"/>
  <c r="G1389" i="27"/>
  <c r="O1389" i="27"/>
  <c r="O1390" i="27"/>
  <c r="H1389" i="27"/>
  <c r="H1390" i="27"/>
  <c r="H1066" i="27"/>
  <c r="H1067" i="27"/>
  <c r="G1067" i="27"/>
  <c r="O1067" i="27"/>
  <c r="K1067" i="27"/>
  <c r="E1066" i="27"/>
  <c r="K1066" i="27"/>
  <c r="N1066" i="27"/>
  <c r="K1592" i="27"/>
  <c r="K1591" i="27"/>
  <c r="G1066" i="27"/>
  <c r="I1066" i="27"/>
  <c r="O1066" i="27"/>
  <c r="I1067" i="27"/>
  <c r="N1067" i="27"/>
  <c r="E1067" i="27"/>
  <c r="L1067" i="27"/>
  <c r="J1067" i="27"/>
  <c r="M1067" i="27"/>
  <c r="A1067" i="27" s="1"/>
  <c r="L1066" i="27"/>
  <c r="J1066" i="27"/>
  <c r="M1066" i="27"/>
  <c r="A1066" i="27" s="1"/>
  <c r="U799" i="32"/>
  <c r="H812" i="27"/>
  <c r="J811" i="27"/>
  <c r="K2961" i="27"/>
  <c r="H2961" i="27"/>
  <c r="G186" i="32"/>
  <c r="J2960" i="27"/>
  <c r="I811" i="27"/>
  <c r="G492" i="32"/>
  <c r="A186" i="32"/>
  <c r="G799" i="32"/>
  <c r="K811" i="27"/>
  <c r="A492" i="32"/>
  <c r="H2960" i="27"/>
  <c r="A797" i="32"/>
  <c r="A2960" i="27" l="1"/>
  <c r="U496" i="32"/>
  <c r="T1001" i="32" a="1"/>
  <c r="T1001" i="32" s="1"/>
  <c r="R1001" i="32" a="1"/>
  <c r="R1001" i="32" s="1"/>
  <c r="D1001" i="32" s="1"/>
  <c r="V1001" i="32" a="1"/>
  <c r="V1001" i="32" s="1"/>
  <c r="L1001" i="32" s="1"/>
  <c r="S1001" i="32" a="1"/>
  <c r="S1001" i="32" s="1"/>
  <c r="E1001" i="32" s="1"/>
  <c r="P1005" i="32"/>
  <c r="Q1003" i="32"/>
  <c r="U190" i="32"/>
  <c r="F2962" i="27"/>
  <c r="E1392" i="27"/>
  <c r="E1391" i="27"/>
  <c r="O1391" i="27"/>
  <c r="F1392" i="27"/>
  <c r="G1392" i="27"/>
  <c r="L1392" i="27"/>
  <c r="J1391" i="27"/>
  <c r="M1391" i="27"/>
  <c r="A1391" i="27" s="1"/>
  <c r="I1391" i="27"/>
  <c r="K1391" i="27"/>
  <c r="O1392" i="27"/>
  <c r="J1392" i="27"/>
  <c r="N1392" i="27"/>
  <c r="K1392" i="27"/>
  <c r="L1391" i="27"/>
  <c r="M1392" i="27"/>
  <c r="A1392" i="27" s="1"/>
  <c r="G1391" i="27"/>
  <c r="F1391" i="27"/>
  <c r="I1392" i="27"/>
  <c r="N1391" i="27"/>
  <c r="A811" i="27"/>
  <c r="H1391" i="27"/>
  <c r="H1392" i="27"/>
  <c r="H1068" i="27"/>
  <c r="H1069" i="27"/>
  <c r="L1069" i="27"/>
  <c r="L1068" i="27"/>
  <c r="K1593" i="27"/>
  <c r="J1068" i="27"/>
  <c r="O1068" i="27"/>
  <c r="G1069" i="27"/>
  <c r="J1069" i="27"/>
  <c r="E1069" i="27"/>
  <c r="K1068" i="27"/>
  <c r="I1068" i="27"/>
  <c r="G1068" i="27"/>
  <c r="K1594" i="27"/>
  <c r="O1069" i="27"/>
  <c r="N1069" i="27"/>
  <c r="M1068" i="27"/>
  <c r="A1068" i="27" s="1"/>
  <c r="N1068" i="27"/>
  <c r="K1069" i="27"/>
  <c r="I1069" i="27"/>
  <c r="E1068" i="27"/>
  <c r="M1069" i="27"/>
  <c r="A1069" i="27" s="1"/>
  <c r="H814" i="27"/>
  <c r="H813" i="27"/>
  <c r="U801" i="32"/>
  <c r="I2961" i="27"/>
  <c r="K812" i="27"/>
  <c r="K2962" i="27"/>
  <c r="A188" i="32"/>
  <c r="I2962" i="27"/>
  <c r="G188" i="32"/>
  <c r="A799" i="32"/>
  <c r="A494" i="32"/>
  <c r="J812" i="27"/>
  <c r="H2962" i="27"/>
  <c r="G494" i="32"/>
  <c r="I812" i="27"/>
  <c r="G801" i="32"/>
  <c r="J2962" i="27"/>
  <c r="J2961" i="27"/>
  <c r="A2961" i="27" l="1"/>
  <c r="U498" i="32"/>
  <c r="T1003" i="32" a="1"/>
  <c r="T1003" i="32" s="1"/>
  <c r="V1003" i="32" a="1"/>
  <c r="V1003" i="32" s="1"/>
  <c r="L1003" i="32" s="1"/>
  <c r="R1003" i="32" a="1"/>
  <c r="R1003" i="32" s="1"/>
  <c r="D1003" i="32" s="1"/>
  <c r="S1003" i="32" a="1"/>
  <c r="S1003" i="32" s="1"/>
  <c r="E1003" i="32" s="1"/>
  <c r="P1007" i="32"/>
  <c r="Q1005" i="32"/>
  <c r="U192" i="32"/>
  <c r="A2962" i="27"/>
  <c r="F2963" i="27"/>
  <c r="H1071" i="27"/>
  <c r="H1070" i="27"/>
  <c r="O1070" i="27"/>
  <c r="I1071" i="27"/>
  <c r="K1595" i="27"/>
  <c r="E1070" i="27"/>
  <c r="K1071" i="27"/>
  <c r="G1071" i="27"/>
  <c r="K1070" i="27"/>
  <c r="J1071" i="27"/>
  <c r="N1071" i="27"/>
  <c r="J1070" i="27"/>
  <c r="L1070" i="27"/>
  <c r="L1071" i="27"/>
  <c r="I1070" i="27"/>
  <c r="N1070" i="27"/>
  <c r="G1070" i="27"/>
  <c r="O1071" i="27"/>
  <c r="K1596" i="27"/>
  <c r="E1071" i="27"/>
  <c r="M1071" i="27"/>
  <c r="A1071" i="27" s="1"/>
  <c r="M1070" i="27"/>
  <c r="A1070" i="27" s="1"/>
  <c r="H1394" i="27"/>
  <c r="H1393" i="27"/>
  <c r="E1394" i="27"/>
  <c r="E1393" i="27"/>
  <c r="K1393" i="27"/>
  <c r="N1393" i="27"/>
  <c r="F1393" i="27"/>
  <c r="K1394" i="27"/>
  <c r="G1394" i="27"/>
  <c r="N1394" i="27"/>
  <c r="I1394" i="27"/>
  <c r="O1394" i="27"/>
  <c r="M1394" i="27"/>
  <c r="A1394" i="27" s="1"/>
  <c r="M1393" i="27"/>
  <c r="A1393" i="27" s="1"/>
  <c r="F1394" i="27"/>
  <c r="I1393" i="27"/>
  <c r="L1394" i="27"/>
  <c r="L1393" i="27"/>
  <c r="O1393" i="27"/>
  <c r="J1394" i="27"/>
  <c r="G1393" i="27"/>
  <c r="J1393" i="27"/>
  <c r="A812" i="27"/>
  <c r="H815" i="27"/>
  <c r="U803" i="32"/>
  <c r="G803" i="32"/>
  <c r="K814" i="27"/>
  <c r="J813" i="27"/>
  <c r="I814" i="27"/>
  <c r="K813" i="27"/>
  <c r="J814" i="27"/>
  <c r="I2963" i="27"/>
  <c r="I813" i="27"/>
  <c r="A496" i="32"/>
  <c r="A190" i="32"/>
  <c r="K2963" i="27"/>
  <c r="G496" i="32"/>
  <c r="H2963" i="27"/>
  <c r="A801" i="32"/>
  <c r="G190" i="32"/>
  <c r="U500" i="32" l="1"/>
  <c r="T1005" i="32" a="1"/>
  <c r="T1005" i="32" s="1"/>
  <c r="R1005" i="32" a="1"/>
  <c r="R1005" i="32" s="1"/>
  <c r="D1005" i="32" s="1"/>
  <c r="V1005" i="32" a="1"/>
  <c r="V1005" i="32" s="1"/>
  <c r="L1005" i="32" s="1"/>
  <c r="S1005" i="32" a="1"/>
  <c r="S1005" i="32" s="1"/>
  <c r="E1005" i="32" s="1"/>
  <c r="P1009" i="32"/>
  <c r="Q1007" i="32"/>
  <c r="U194" i="32"/>
  <c r="F2965" i="27"/>
  <c r="F2964" i="27"/>
  <c r="H1073" i="27"/>
  <c r="H1072" i="27"/>
  <c r="A813" i="27"/>
  <c r="H1395" i="27"/>
  <c r="H1396" i="27"/>
  <c r="E1395" i="27"/>
  <c r="E1396" i="27"/>
  <c r="G1396" i="27"/>
  <c r="K1395" i="27"/>
  <c r="G1395" i="27"/>
  <c r="J1396" i="27"/>
  <c r="M1395" i="27"/>
  <c r="A1395" i="27" s="1"/>
  <c r="L1395" i="27"/>
  <c r="K1396" i="27"/>
  <c r="O1396" i="27"/>
  <c r="L1396" i="27"/>
  <c r="F1395" i="27"/>
  <c r="I1396" i="27"/>
  <c r="J1395" i="27"/>
  <c r="N1395" i="27"/>
  <c r="O1395" i="27"/>
  <c r="M1396" i="27"/>
  <c r="A1396" i="27" s="1"/>
  <c r="F1396" i="27"/>
  <c r="N1396" i="27"/>
  <c r="I1395" i="27"/>
  <c r="A814" i="27"/>
  <c r="J1072" i="27"/>
  <c r="M1072" i="27"/>
  <c r="A1072" i="27" s="1"/>
  <c r="J1073" i="27"/>
  <c r="L1073" i="27"/>
  <c r="I1073" i="27"/>
  <c r="L1072" i="27"/>
  <c r="G1073" i="27"/>
  <c r="K1073" i="27"/>
  <c r="M1073" i="27"/>
  <c r="A1073" i="27" s="1"/>
  <c r="I1072" i="27"/>
  <c r="N1072" i="27"/>
  <c r="N1073" i="27"/>
  <c r="K1598" i="27"/>
  <c r="E1073" i="27"/>
  <c r="E1072" i="27"/>
  <c r="K1072" i="27"/>
  <c r="K1597" i="27"/>
  <c r="G1072" i="27"/>
  <c r="O1073" i="27"/>
  <c r="O1072" i="27"/>
  <c r="H816" i="27"/>
  <c r="U805" i="32"/>
  <c r="G192" i="32"/>
  <c r="J2965" i="27"/>
  <c r="G498" i="32"/>
  <c r="I2964" i="27"/>
  <c r="I815" i="27"/>
  <c r="K2965" i="27"/>
  <c r="I2965" i="27"/>
  <c r="K815" i="27"/>
  <c r="J2964" i="27"/>
  <c r="K2964" i="27"/>
  <c r="A498" i="32"/>
  <c r="J815" i="27"/>
  <c r="A192" i="32"/>
  <c r="G805" i="32"/>
  <c r="J2963" i="27"/>
  <c r="H2964" i="27"/>
  <c r="H2965" i="27"/>
  <c r="A803" i="32"/>
  <c r="A2963" i="27" l="1"/>
  <c r="U502" i="32"/>
  <c r="V1007" i="32" a="1"/>
  <c r="V1007" i="32" s="1"/>
  <c r="L1007" i="32" s="1"/>
  <c r="T1007" i="32" a="1"/>
  <c r="T1007" i="32" s="1"/>
  <c r="S1007" i="32" a="1"/>
  <c r="S1007" i="32" s="1"/>
  <c r="E1007" i="32" s="1"/>
  <c r="R1007" i="32" a="1"/>
  <c r="R1007" i="32" s="1"/>
  <c r="D1007" i="32" s="1"/>
  <c r="P1011" i="32"/>
  <c r="Q1009" i="32"/>
  <c r="U196" i="32"/>
  <c r="A2964" i="27"/>
  <c r="A2965" i="27"/>
  <c r="F2966" i="27"/>
  <c r="A815" i="27"/>
  <c r="H1074" i="27"/>
  <c r="H1075" i="27"/>
  <c r="E1397" i="27"/>
  <c r="E1398" i="27"/>
  <c r="O1398" i="27"/>
  <c r="O1397" i="27"/>
  <c r="J1398" i="27"/>
  <c r="F1397" i="27"/>
  <c r="G1397" i="27"/>
  <c r="J1397" i="27"/>
  <c r="M1398" i="27"/>
  <c r="A1398" i="27" s="1"/>
  <c r="M1397" i="27"/>
  <c r="A1397" i="27" s="1"/>
  <c r="L1397" i="27"/>
  <c r="N1398" i="27"/>
  <c r="N1397" i="27"/>
  <c r="F1398" i="27"/>
  <c r="I1397" i="27"/>
  <c r="K1397" i="27"/>
  <c r="L1398" i="27"/>
  <c r="K1398" i="27"/>
  <c r="G1398" i="27"/>
  <c r="I1398" i="27"/>
  <c r="M1075" i="27"/>
  <c r="A1075" i="27" s="1"/>
  <c r="K1075" i="27"/>
  <c r="E1075" i="27"/>
  <c r="L1074" i="27"/>
  <c r="G1075" i="27"/>
  <c r="L1075" i="27"/>
  <c r="E1074" i="27"/>
  <c r="O1075" i="27"/>
  <c r="N1074" i="27"/>
  <c r="K1599" i="27"/>
  <c r="O1074" i="27"/>
  <c r="K1074" i="27"/>
  <c r="I1075" i="27"/>
  <c r="K1600" i="27"/>
  <c r="J1074" i="27"/>
  <c r="M1074" i="27"/>
  <c r="A1074" i="27" s="1"/>
  <c r="N1075" i="27"/>
  <c r="G1074" i="27"/>
  <c r="I1074" i="27"/>
  <c r="J1075" i="27"/>
  <c r="H1397" i="27"/>
  <c r="H1398" i="27"/>
  <c r="H817" i="27"/>
  <c r="U807" i="32"/>
  <c r="H2966" i="27"/>
  <c r="A805" i="32"/>
  <c r="I816" i="27"/>
  <c r="J2966" i="27"/>
  <c r="J816" i="27"/>
  <c r="K2966" i="27"/>
  <c r="K816" i="27"/>
  <c r="G807" i="32"/>
  <c r="G194" i="32"/>
  <c r="A194" i="32"/>
  <c r="I2966" i="27"/>
  <c r="G500" i="32"/>
  <c r="A500" i="32"/>
  <c r="U504" i="32" l="1"/>
  <c r="V1009" i="32" a="1"/>
  <c r="V1009" i="32" s="1"/>
  <c r="L1009" i="32" s="1"/>
  <c r="R1009" i="32" a="1"/>
  <c r="R1009" i="32" s="1"/>
  <c r="D1009" i="32" s="1"/>
  <c r="S1009" i="32" a="1"/>
  <c r="S1009" i="32" s="1"/>
  <c r="E1009" i="32" s="1"/>
  <c r="T1009" i="32" a="1"/>
  <c r="T1009" i="32" s="1"/>
  <c r="P1013" i="32"/>
  <c r="Q1011" i="32"/>
  <c r="U198" i="32"/>
  <c r="A2966" i="27"/>
  <c r="F2967" i="27"/>
  <c r="A816" i="27"/>
  <c r="I1077" i="27"/>
  <c r="E1077" i="27"/>
  <c r="L1077" i="27"/>
  <c r="K1602" i="27"/>
  <c r="O1077" i="27"/>
  <c r="K1076" i="27"/>
  <c r="K1077" i="27"/>
  <c r="J1077" i="27"/>
  <c r="L1076" i="27"/>
  <c r="M1077" i="27"/>
  <c r="A1077" i="27" s="1"/>
  <c r="O1076" i="27"/>
  <c r="N1076" i="27"/>
  <c r="I1076" i="27"/>
  <c r="E1076" i="27"/>
  <c r="G1076" i="27"/>
  <c r="J1076" i="27"/>
  <c r="N1077" i="27"/>
  <c r="M1076" i="27"/>
  <c r="A1076" i="27" s="1"/>
  <c r="G1077" i="27"/>
  <c r="K1601" i="27"/>
  <c r="H1399" i="27"/>
  <c r="H1400" i="27"/>
  <c r="E1399" i="27"/>
  <c r="E1400" i="27"/>
  <c r="J1400" i="27"/>
  <c r="I1400" i="27"/>
  <c r="G1399" i="27"/>
  <c r="J1399" i="27"/>
  <c r="F1400" i="27"/>
  <c r="K1400" i="27"/>
  <c r="N1399" i="27"/>
  <c r="O1399" i="27"/>
  <c r="N1400" i="27"/>
  <c r="O1400" i="27"/>
  <c r="L1400" i="27"/>
  <c r="G1400" i="27"/>
  <c r="K1399" i="27"/>
  <c r="F1399" i="27"/>
  <c r="M1400" i="27"/>
  <c r="A1400" i="27" s="1"/>
  <c r="I1399" i="27"/>
  <c r="L1399" i="27"/>
  <c r="M1399" i="27"/>
  <c r="A1399" i="27" s="1"/>
  <c r="H1076" i="27"/>
  <c r="H1077" i="27"/>
  <c r="H818" i="27"/>
  <c r="U809" i="32"/>
  <c r="K2967" i="27"/>
  <c r="G502" i="32"/>
  <c r="G809" i="32"/>
  <c r="H2967" i="27"/>
  <c r="I817" i="27"/>
  <c r="I2967" i="27"/>
  <c r="J817" i="27"/>
  <c r="A196" i="32"/>
  <c r="A502" i="32"/>
  <c r="J2967" i="27"/>
  <c r="A807" i="32"/>
  <c r="G196" i="32"/>
  <c r="K817" i="27"/>
  <c r="U506" i="32" l="1"/>
  <c r="T1011" i="32" a="1"/>
  <c r="T1011" i="32" s="1"/>
  <c r="V1011" i="32" a="1"/>
  <c r="V1011" i="32" s="1"/>
  <c r="L1011" i="32" s="1"/>
  <c r="S1011" i="32" a="1"/>
  <c r="S1011" i="32" s="1"/>
  <c r="E1011" i="32" s="1"/>
  <c r="R1011" i="32" a="1"/>
  <c r="R1011" i="32" s="1"/>
  <c r="D1011" i="32" s="1"/>
  <c r="P1015" i="32"/>
  <c r="Q1013" i="32"/>
  <c r="U200" i="32"/>
  <c r="A2967" i="27"/>
  <c r="F2968" i="27"/>
  <c r="N1078" i="27"/>
  <c r="M1079" i="27"/>
  <c r="A1079" i="27" s="1"/>
  <c r="K1079" i="27"/>
  <c r="N1079" i="27"/>
  <c r="E1078" i="27"/>
  <c r="O1079" i="27"/>
  <c r="M1078" i="27"/>
  <c r="A1078" i="27" s="1"/>
  <c r="J1079" i="27"/>
  <c r="K1603" i="27"/>
  <c r="L1078" i="27"/>
  <c r="J1078" i="27"/>
  <c r="G1078" i="27"/>
  <c r="G1079" i="27"/>
  <c r="I1079" i="27"/>
  <c r="K1604" i="27"/>
  <c r="I1078" i="27"/>
  <c r="O1078" i="27"/>
  <c r="L1079" i="27"/>
  <c r="K1078" i="27"/>
  <c r="E1079" i="27"/>
  <c r="H1401" i="27"/>
  <c r="H1402" i="27"/>
  <c r="H1078" i="27"/>
  <c r="H1079" i="27"/>
  <c r="A817" i="27"/>
  <c r="E1402" i="27"/>
  <c r="E1401" i="27"/>
  <c r="K1402" i="27"/>
  <c r="J1402" i="27"/>
  <c r="F1402" i="27"/>
  <c r="N1401" i="27"/>
  <c r="G1402" i="27"/>
  <c r="F1401" i="27"/>
  <c r="L1402" i="27"/>
  <c r="M1401" i="27"/>
  <c r="A1401" i="27" s="1"/>
  <c r="O1401" i="27"/>
  <c r="L1401" i="27"/>
  <c r="N1402" i="27"/>
  <c r="I1401" i="27"/>
  <c r="O1402" i="27"/>
  <c r="J1401" i="27"/>
  <c r="G1401" i="27"/>
  <c r="M1402" i="27"/>
  <c r="A1402" i="27" s="1"/>
  <c r="I1402" i="27"/>
  <c r="K1401" i="27"/>
  <c r="U811" i="32"/>
  <c r="H819" i="27"/>
  <c r="H820" i="27"/>
  <c r="J2968" i="27"/>
  <c r="A504" i="32"/>
  <c r="K818" i="27"/>
  <c r="H2968" i="27"/>
  <c r="A809" i="32"/>
  <c r="G504" i="32"/>
  <c r="G198" i="32"/>
  <c r="K2968" i="27"/>
  <c r="J818" i="27"/>
  <c r="A198" i="32"/>
  <c r="I818" i="27"/>
  <c r="I2968" i="27"/>
  <c r="G811" i="32"/>
  <c r="U508" i="32" l="1"/>
  <c r="R1013" i="32" a="1"/>
  <c r="R1013" i="32" s="1"/>
  <c r="D1013" i="32" s="1"/>
  <c r="S1013" i="32" a="1"/>
  <c r="S1013" i="32" s="1"/>
  <c r="E1013" i="32" s="1"/>
  <c r="V1013" i="32" a="1"/>
  <c r="V1013" i="32" s="1"/>
  <c r="L1013" i="32" s="1"/>
  <c r="T1013" i="32" a="1"/>
  <c r="T1013" i="32" s="1"/>
  <c r="P1017" i="32"/>
  <c r="Q1015" i="32"/>
  <c r="U202" i="32"/>
  <c r="A2968" i="27"/>
  <c r="F2969" i="27"/>
  <c r="M1080" i="27"/>
  <c r="A1080" i="27" s="1"/>
  <c r="K1081" i="27"/>
  <c r="O1081" i="27"/>
  <c r="G1080" i="27"/>
  <c r="J1080" i="27"/>
  <c r="N1081" i="27"/>
  <c r="E1081" i="27"/>
  <c r="I1080" i="27"/>
  <c r="E1080" i="27"/>
  <c r="O1080" i="27"/>
  <c r="I1081" i="27"/>
  <c r="G1081" i="27"/>
  <c r="M1081" i="27"/>
  <c r="A1081" i="27" s="1"/>
  <c r="K1605" i="27"/>
  <c r="K1080" i="27"/>
  <c r="N1080" i="27"/>
  <c r="K1606" i="27"/>
  <c r="J1081" i="27"/>
  <c r="L1081" i="27"/>
  <c r="L1080" i="27"/>
  <c r="H1081" i="27"/>
  <c r="H1080" i="27"/>
  <c r="A818" i="27"/>
  <c r="E1403" i="27"/>
  <c r="E1404" i="27"/>
  <c r="F1404" i="27"/>
  <c r="K1403" i="27"/>
  <c r="K1404" i="27"/>
  <c r="O1404" i="27"/>
  <c r="J1404" i="27"/>
  <c r="J1403" i="27"/>
  <c r="N1404" i="27"/>
  <c r="L1403" i="27"/>
  <c r="G1404" i="27"/>
  <c r="G1403" i="27"/>
  <c r="F1403" i="27"/>
  <c r="N1403" i="27"/>
  <c r="O1403" i="27"/>
  <c r="M1403" i="27"/>
  <c r="A1403" i="27" s="1"/>
  <c r="I1404" i="27"/>
  <c r="L1404" i="27"/>
  <c r="M1404" i="27"/>
  <c r="A1404" i="27" s="1"/>
  <c r="I1403" i="27"/>
  <c r="H1404" i="27"/>
  <c r="H1403" i="27"/>
  <c r="U813" i="32"/>
  <c r="H821" i="27"/>
  <c r="I820" i="27"/>
  <c r="K820" i="27"/>
  <c r="I819" i="27"/>
  <c r="H2969" i="27"/>
  <c r="A811" i="32"/>
  <c r="J2969" i="27"/>
  <c r="K819" i="27"/>
  <c r="G813" i="32"/>
  <c r="K2969" i="27"/>
  <c r="G506" i="32"/>
  <c r="A200" i="32"/>
  <c r="J819" i="27"/>
  <c r="J820" i="27"/>
  <c r="I2969" i="27"/>
  <c r="A506" i="32"/>
  <c r="G200" i="32"/>
  <c r="U510" i="32" l="1"/>
  <c r="T1015" i="32" a="1"/>
  <c r="T1015" i="32" s="1"/>
  <c r="V1015" i="32" a="1"/>
  <c r="V1015" i="32" s="1"/>
  <c r="L1015" i="32" s="1"/>
  <c r="S1015" i="32" a="1"/>
  <c r="S1015" i="32" s="1"/>
  <c r="E1015" i="32" s="1"/>
  <c r="R1015" i="32" a="1"/>
  <c r="R1015" i="32" s="1"/>
  <c r="D1015" i="32" s="1"/>
  <c r="P1019" i="32"/>
  <c r="Q1017" i="32"/>
  <c r="U204" i="32"/>
  <c r="A2969" i="27"/>
  <c r="F2970" i="27"/>
  <c r="F2971" i="27"/>
  <c r="E1405" i="27"/>
  <c r="E1406" i="27"/>
  <c r="K1406" i="27"/>
  <c r="L1406" i="27"/>
  <c r="M1405" i="27"/>
  <c r="A1405" i="27" s="1"/>
  <c r="O1405" i="27"/>
  <c r="K1405" i="27"/>
  <c r="J1405" i="27"/>
  <c r="N1405" i="27"/>
  <c r="J1406" i="27"/>
  <c r="N1406" i="27"/>
  <c r="G1406" i="27"/>
  <c r="M1406" i="27"/>
  <c r="A1406" i="27" s="1"/>
  <c r="O1406" i="27"/>
  <c r="L1405" i="27"/>
  <c r="F1406" i="27"/>
  <c r="F1405" i="27"/>
  <c r="I1406" i="27"/>
  <c r="G1405" i="27"/>
  <c r="I1405" i="27"/>
  <c r="A820" i="27"/>
  <c r="G1083" i="27"/>
  <c r="E1082" i="27"/>
  <c r="I1083" i="27"/>
  <c r="G1082" i="27"/>
  <c r="I1082" i="27"/>
  <c r="M1082" i="27"/>
  <c r="A1082" i="27" s="1"/>
  <c r="K1607" i="27"/>
  <c r="K1608" i="27"/>
  <c r="E1083" i="27"/>
  <c r="J1083" i="27"/>
  <c r="M1083" i="27"/>
  <c r="A1083" i="27" s="1"/>
  <c r="O1083" i="27"/>
  <c r="O1082" i="27"/>
  <c r="K1083" i="27"/>
  <c r="L1082" i="27"/>
  <c r="K1082" i="27"/>
  <c r="N1082" i="27"/>
  <c r="J1082" i="27"/>
  <c r="L1083" i="27"/>
  <c r="N1083" i="27"/>
  <c r="H1082" i="27"/>
  <c r="H1083" i="27"/>
  <c r="A819" i="27"/>
  <c r="H1405" i="27"/>
  <c r="H1406" i="27"/>
  <c r="H822" i="27"/>
  <c r="U815" i="32"/>
  <c r="I821" i="27"/>
  <c r="K2971" i="27"/>
  <c r="K2970" i="27"/>
  <c r="J821" i="27"/>
  <c r="J2970" i="27"/>
  <c r="K821" i="27"/>
  <c r="G508" i="32"/>
  <c r="H2970" i="27"/>
  <c r="G815" i="32"/>
  <c r="I2970" i="27"/>
  <c r="I2971" i="27"/>
  <c r="H2971" i="27"/>
  <c r="G202" i="32"/>
  <c r="A813" i="32"/>
  <c r="J2971" i="27"/>
  <c r="A508" i="32"/>
  <c r="A202" i="32"/>
  <c r="U512" i="32" l="1"/>
  <c r="R1017" i="32" a="1"/>
  <c r="R1017" i="32" s="1"/>
  <c r="D1017" i="32" s="1"/>
  <c r="T1017" i="32" a="1"/>
  <c r="T1017" i="32" s="1"/>
  <c r="S1017" i="32" a="1"/>
  <c r="S1017" i="32" s="1"/>
  <c r="E1017" i="32" s="1"/>
  <c r="V1017" i="32" a="1"/>
  <c r="V1017" i="32" s="1"/>
  <c r="L1017" i="32" s="1"/>
  <c r="P1021" i="32"/>
  <c r="Q1019" i="32"/>
  <c r="U206" i="32"/>
  <c r="A2971" i="27"/>
  <c r="A2970" i="27"/>
  <c r="F2972" i="27"/>
  <c r="I1085" i="27"/>
  <c r="K1609" i="27"/>
  <c r="N1084" i="27"/>
  <c r="L1084" i="27"/>
  <c r="L1085" i="27"/>
  <c r="M1085" i="27"/>
  <c r="A1085" i="27" s="1"/>
  <c r="G1084" i="27"/>
  <c r="N1085" i="27"/>
  <c r="K1084" i="27"/>
  <c r="I1084" i="27"/>
  <c r="K1085" i="27"/>
  <c r="G1085" i="27"/>
  <c r="O1084" i="27"/>
  <c r="E1084" i="27"/>
  <c r="E1085" i="27"/>
  <c r="J1084" i="27"/>
  <c r="K1610" i="27"/>
  <c r="J1085" i="27"/>
  <c r="M1084" i="27"/>
  <c r="A1084" i="27" s="1"/>
  <c r="O1085" i="27"/>
  <c r="E1407" i="27"/>
  <c r="E1408" i="27"/>
  <c r="M1408" i="27"/>
  <c r="A1408" i="27" s="1"/>
  <c r="L1407" i="27"/>
  <c r="O1407" i="27"/>
  <c r="M1407" i="27"/>
  <c r="A1407" i="27" s="1"/>
  <c r="I1407" i="27"/>
  <c r="F1408" i="27"/>
  <c r="O1408" i="27"/>
  <c r="G1408" i="27"/>
  <c r="N1407" i="27"/>
  <c r="K1407" i="27"/>
  <c r="F1407" i="27"/>
  <c r="I1408" i="27"/>
  <c r="G1407" i="27"/>
  <c r="J1408" i="27"/>
  <c r="N1408" i="27"/>
  <c r="J1407" i="27"/>
  <c r="K1408" i="27"/>
  <c r="L1408" i="27"/>
  <c r="H1407" i="27"/>
  <c r="H1408" i="27"/>
  <c r="H1085" i="27"/>
  <c r="H1084" i="27"/>
  <c r="A821" i="27"/>
  <c r="U817" i="32"/>
  <c r="H823" i="27"/>
  <c r="A815" i="32"/>
  <c r="K2972" i="27"/>
  <c r="I2972" i="27"/>
  <c r="J822" i="27"/>
  <c r="A204" i="32"/>
  <c r="H2972" i="27"/>
  <c r="G204" i="32"/>
  <c r="J2972" i="27"/>
  <c r="K822" i="27"/>
  <c r="I822" i="27"/>
  <c r="A510" i="32"/>
  <c r="G510" i="32"/>
  <c r="U514" i="32" l="1"/>
  <c r="T1019" i="32" a="1"/>
  <c r="T1019" i="32" s="1"/>
  <c r="S1019" i="32" a="1"/>
  <c r="S1019" i="32" s="1"/>
  <c r="E1019" i="32" s="1"/>
  <c r="V1019" i="32" a="1"/>
  <c r="V1019" i="32" s="1"/>
  <c r="L1019" i="32" s="1"/>
  <c r="R1019" i="32" a="1"/>
  <c r="R1019" i="32" s="1"/>
  <c r="D1019" i="32" s="1"/>
  <c r="P1023" i="32"/>
  <c r="Q1021" i="32"/>
  <c r="U208" i="32"/>
  <c r="A2972" i="27"/>
  <c r="F2973" i="27"/>
  <c r="E1409" i="27"/>
  <c r="E1410" i="27"/>
  <c r="J1410" i="27"/>
  <c r="N1409" i="27"/>
  <c r="O1409" i="27"/>
  <c r="G1410" i="27"/>
  <c r="F1409" i="27"/>
  <c r="I1409" i="27"/>
  <c r="O1410" i="27"/>
  <c r="K1410" i="27"/>
  <c r="G1409" i="27"/>
  <c r="K1409" i="27"/>
  <c r="L1409" i="27"/>
  <c r="J1409" i="27"/>
  <c r="I1410" i="27"/>
  <c r="M1410" i="27"/>
  <c r="A1410" i="27" s="1"/>
  <c r="L1410" i="27"/>
  <c r="F1410" i="27"/>
  <c r="M1409" i="27"/>
  <c r="A1409" i="27" s="1"/>
  <c r="N1410" i="27"/>
  <c r="K1087" i="27"/>
  <c r="I1087" i="27"/>
  <c r="G1087" i="27"/>
  <c r="J1087" i="27"/>
  <c r="K1086" i="27"/>
  <c r="E1086" i="27"/>
  <c r="G1086" i="27"/>
  <c r="M1086" i="27"/>
  <c r="A1086" i="27" s="1"/>
  <c r="L1086" i="27"/>
  <c r="N1087" i="27"/>
  <c r="O1087" i="27"/>
  <c r="K1612" i="27"/>
  <c r="E1087" i="27"/>
  <c r="J1086" i="27"/>
  <c r="N1086" i="27"/>
  <c r="I1086" i="27"/>
  <c r="K1611" i="27"/>
  <c r="M1087" i="27"/>
  <c r="A1087" i="27" s="1"/>
  <c r="O1086" i="27"/>
  <c r="L1087" i="27"/>
  <c r="H1087" i="27"/>
  <c r="H1086" i="27"/>
  <c r="A822" i="27"/>
  <c r="H1410" i="27"/>
  <c r="H1409" i="27"/>
  <c r="U819" i="32"/>
  <c r="H824" i="27"/>
  <c r="A512" i="32"/>
  <c r="H2973" i="27"/>
  <c r="J2973" i="27"/>
  <c r="G817" i="32"/>
  <c r="G512" i="32"/>
  <c r="G206" i="32"/>
  <c r="I2973" i="27"/>
  <c r="K2973" i="27"/>
  <c r="K823" i="27"/>
  <c r="J823" i="27"/>
  <c r="A206" i="32"/>
  <c r="I823" i="27"/>
  <c r="A817" i="32"/>
  <c r="U516" i="32" l="1"/>
  <c r="V1021" i="32" a="1"/>
  <c r="V1021" i="32" s="1"/>
  <c r="L1021" i="32" s="1"/>
  <c r="T1021" i="32" a="1"/>
  <c r="T1021" i="32" s="1"/>
  <c r="S1021" i="32" a="1"/>
  <c r="S1021" i="32" s="1"/>
  <c r="E1021" i="32" s="1"/>
  <c r="R1021" i="32" a="1"/>
  <c r="R1021" i="32" s="1"/>
  <c r="D1021" i="32" s="1"/>
  <c r="P1025" i="32"/>
  <c r="Q1023" i="32"/>
  <c r="U210" i="32"/>
  <c r="A2973" i="27"/>
  <c r="F2974" i="27"/>
  <c r="H1412" i="27"/>
  <c r="H1411" i="27"/>
  <c r="H1088" i="27"/>
  <c r="H1089" i="27"/>
  <c r="I1088" i="27"/>
  <c r="J1088" i="27"/>
  <c r="K1089" i="27"/>
  <c r="E1088" i="27"/>
  <c r="G1089" i="27"/>
  <c r="L1089" i="27"/>
  <c r="K1613" i="27"/>
  <c r="I1089" i="27"/>
  <c r="J1089" i="27"/>
  <c r="O1089" i="27"/>
  <c r="K1614" i="27"/>
  <c r="G1088" i="27"/>
  <c r="M1089" i="27"/>
  <c r="A1089" i="27" s="1"/>
  <c r="N1088" i="27"/>
  <c r="O1088" i="27"/>
  <c r="L1088" i="27"/>
  <c r="M1088" i="27"/>
  <c r="A1088" i="27" s="1"/>
  <c r="K1088" i="27"/>
  <c r="N1089" i="27"/>
  <c r="E1089" i="27"/>
  <c r="A823" i="27"/>
  <c r="E1412" i="27"/>
  <c r="E1411" i="27"/>
  <c r="N1412" i="27"/>
  <c r="O1412" i="27"/>
  <c r="G1411" i="27"/>
  <c r="L1412" i="27"/>
  <c r="F1412" i="27"/>
  <c r="K1412" i="27"/>
  <c r="I1412" i="27"/>
  <c r="M1412" i="27"/>
  <c r="A1412" i="27" s="1"/>
  <c r="J1411" i="27"/>
  <c r="L1411" i="27"/>
  <c r="F1411" i="27"/>
  <c r="G1412" i="27"/>
  <c r="I1411" i="27"/>
  <c r="O1411" i="27"/>
  <c r="N1411" i="27"/>
  <c r="J1412" i="27"/>
  <c r="K1411" i="27"/>
  <c r="M1411" i="27"/>
  <c r="A1411" i="27" s="1"/>
  <c r="U821" i="32"/>
  <c r="H825" i="27"/>
  <c r="H826" i="27"/>
  <c r="G514" i="32"/>
  <c r="A208" i="32"/>
  <c r="G819" i="32"/>
  <c r="K824" i="27"/>
  <c r="A514" i="32"/>
  <c r="A819" i="32"/>
  <c r="J824" i="27"/>
  <c r="G821" i="32"/>
  <c r="I2974" i="27"/>
  <c r="G208" i="32"/>
  <c r="H2974" i="27"/>
  <c r="I824" i="27"/>
  <c r="J2974" i="27"/>
  <c r="U518" i="32" l="1"/>
  <c r="T1023" i="32" a="1"/>
  <c r="T1023" i="32" s="1"/>
  <c r="S1023" i="32" a="1"/>
  <c r="S1023" i="32" s="1"/>
  <c r="E1023" i="32" s="1"/>
  <c r="V1023" i="32" a="1"/>
  <c r="V1023" i="32" s="1"/>
  <c r="L1023" i="32" s="1"/>
  <c r="R1023" i="32" a="1"/>
  <c r="R1023" i="32" s="1"/>
  <c r="D1023" i="32" s="1"/>
  <c r="P1027" i="32"/>
  <c r="Q1025" i="32"/>
  <c r="U212" i="32"/>
  <c r="F2975" i="27"/>
  <c r="A824" i="27"/>
  <c r="H1090" i="27"/>
  <c r="H1091" i="27"/>
  <c r="E1090" i="27"/>
  <c r="J1090" i="27"/>
  <c r="K1615" i="27"/>
  <c r="G1090" i="27"/>
  <c r="M1090" i="27"/>
  <c r="A1090" i="27" s="1"/>
  <c r="E1091" i="27"/>
  <c r="K1616" i="27"/>
  <c r="N1090" i="27"/>
  <c r="O1091" i="27"/>
  <c r="K1091" i="27"/>
  <c r="I1091" i="27"/>
  <c r="J1091" i="27"/>
  <c r="O1090" i="27"/>
  <c r="L1091" i="27"/>
  <c r="I1090" i="27"/>
  <c r="G1091" i="27"/>
  <c r="L1090" i="27"/>
  <c r="M1091" i="27"/>
  <c r="A1091" i="27" s="1"/>
  <c r="N1091" i="27"/>
  <c r="K1090" i="27"/>
  <c r="E1414" i="27"/>
  <c r="E1413" i="27"/>
  <c r="M1414" i="27"/>
  <c r="A1414" i="27" s="1"/>
  <c r="O1414" i="27"/>
  <c r="M1413" i="27"/>
  <c r="A1413" i="27" s="1"/>
  <c r="L1413" i="27"/>
  <c r="I1414" i="27"/>
  <c r="G1413" i="27"/>
  <c r="N1414" i="27"/>
  <c r="F1414" i="27"/>
  <c r="G1414" i="27"/>
  <c r="J1414" i="27"/>
  <c r="F1413" i="27"/>
  <c r="O1413" i="27"/>
  <c r="K1414" i="27"/>
  <c r="K1413" i="27"/>
  <c r="L1414" i="27"/>
  <c r="N1413" i="27"/>
  <c r="J1413" i="27"/>
  <c r="I1413" i="27"/>
  <c r="H1414" i="27"/>
  <c r="H1413" i="27"/>
  <c r="H827" i="27"/>
  <c r="U823" i="32"/>
  <c r="I2975" i="27"/>
  <c r="J825" i="27"/>
  <c r="I825" i="27"/>
  <c r="I826" i="27"/>
  <c r="K2975" i="27"/>
  <c r="G516" i="32"/>
  <c r="A821" i="32"/>
  <c r="A516" i="32"/>
  <c r="J2975" i="27"/>
  <c r="A210" i="32"/>
  <c r="J826" i="27"/>
  <c r="G210" i="32"/>
  <c r="K826" i="27"/>
  <c r="K2974" i="27"/>
  <c r="H2975" i="27"/>
  <c r="K825" i="27"/>
  <c r="G823" i="32"/>
  <c r="A2974" i="27" l="1"/>
  <c r="U520" i="32"/>
  <c r="V1025" i="32" a="1"/>
  <c r="V1025" i="32" s="1"/>
  <c r="L1025" i="32" s="1"/>
  <c r="R1025" i="32" a="1"/>
  <c r="R1025" i="32" s="1"/>
  <c r="D1025" i="32" s="1"/>
  <c r="S1025" i="32" a="1"/>
  <c r="S1025" i="32" s="1"/>
  <c r="E1025" i="32" s="1"/>
  <c r="T1025" i="32" a="1"/>
  <c r="T1025" i="32" s="1"/>
  <c r="P1029" i="32"/>
  <c r="Q1027" i="32"/>
  <c r="U214" i="32"/>
  <c r="A2975" i="27"/>
  <c r="F2977" i="27"/>
  <c r="F2976" i="27"/>
  <c r="J1092" i="27"/>
  <c r="G1093" i="27"/>
  <c r="I1093" i="27"/>
  <c r="J1093" i="27"/>
  <c r="M1093" i="27"/>
  <c r="A1093" i="27" s="1"/>
  <c r="I1092" i="27"/>
  <c r="E1093" i="27"/>
  <c r="M1092" i="27"/>
  <c r="A1092" i="27" s="1"/>
  <c r="K1092" i="27"/>
  <c r="K1617" i="27"/>
  <c r="L1093" i="27"/>
  <c r="N1093" i="27"/>
  <c r="N1092" i="27"/>
  <c r="E1092" i="27"/>
  <c r="O1092" i="27"/>
  <c r="L1092" i="27"/>
  <c r="G1092" i="27"/>
  <c r="K1618" i="27"/>
  <c r="K1093" i="27"/>
  <c r="O1093" i="27"/>
  <c r="E1415" i="27"/>
  <c r="M1415" i="27"/>
  <c r="A1415" i="27" s="1"/>
  <c r="J1415" i="27"/>
  <c r="G1415" i="27"/>
  <c r="I1415" i="27"/>
  <c r="O1415" i="27"/>
  <c r="N1415" i="27"/>
  <c r="K1415" i="27"/>
  <c r="L1415" i="27"/>
  <c r="F1415" i="27"/>
  <c r="H1415" i="27"/>
  <c r="A825" i="27"/>
  <c r="A826" i="27"/>
  <c r="H1092" i="27"/>
  <c r="H1093" i="27"/>
  <c r="U825" i="32"/>
  <c r="H828" i="27"/>
  <c r="A823" i="32"/>
  <c r="G825" i="32"/>
  <c r="I827" i="27"/>
  <c r="A518" i="32"/>
  <c r="K2976" i="27"/>
  <c r="J827" i="27"/>
  <c r="K827" i="27"/>
  <c r="J2977" i="27"/>
  <c r="A212" i="32"/>
  <c r="G212" i="32"/>
  <c r="G518" i="32"/>
  <c r="H2976" i="27"/>
  <c r="I2977" i="27"/>
  <c r="U522" i="32" l="1"/>
  <c r="T1027" i="32" a="1"/>
  <c r="T1027" i="32" s="1"/>
  <c r="V1027" i="32" a="1"/>
  <c r="V1027" i="32" s="1"/>
  <c r="L1027" i="32" s="1"/>
  <c r="R1027" i="32" a="1"/>
  <c r="R1027" i="32" s="1"/>
  <c r="D1027" i="32" s="1"/>
  <c r="S1027" i="32" a="1"/>
  <c r="S1027" i="32" s="1"/>
  <c r="E1027" i="32" s="1"/>
  <c r="P1031" i="32"/>
  <c r="Q1029" i="32"/>
  <c r="U216" i="32"/>
  <c r="F2978" i="27"/>
  <c r="A827" i="27"/>
  <c r="L1094" i="27"/>
  <c r="N1094" i="27"/>
  <c r="O1095" i="27"/>
  <c r="E1094" i="27"/>
  <c r="O1094" i="27"/>
  <c r="K1619" i="27"/>
  <c r="K1095" i="27"/>
  <c r="K1620" i="27"/>
  <c r="I1095" i="27"/>
  <c r="E1095" i="27"/>
  <c r="J1095" i="27"/>
  <c r="J1094" i="27"/>
  <c r="N1095" i="27"/>
  <c r="G1094" i="27"/>
  <c r="K1094" i="27"/>
  <c r="L1095" i="27"/>
  <c r="M1095" i="27"/>
  <c r="A1095" i="27" s="1"/>
  <c r="I1094" i="27"/>
  <c r="M1094" i="27"/>
  <c r="A1094" i="27" s="1"/>
  <c r="G1095" i="27"/>
  <c r="H1094" i="27"/>
  <c r="H1095" i="27"/>
  <c r="U827" i="32"/>
  <c r="H829" i="27"/>
  <c r="K2977" i="27"/>
  <c r="I2978" i="27"/>
  <c r="I2976" i="27"/>
  <c r="H2977" i="27"/>
  <c r="A520" i="32"/>
  <c r="G827" i="32"/>
  <c r="I828" i="27"/>
  <c r="G214" i="32"/>
  <c r="J828" i="27"/>
  <c r="A214" i="32"/>
  <c r="K2978" i="27"/>
  <c r="A825" i="32"/>
  <c r="G520" i="32"/>
  <c r="K828" i="27"/>
  <c r="J2976" i="27"/>
  <c r="H2978" i="27"/>
  <c r="A2976" i="27" l="1"/>
  <c r="A2977" i="27"/>
  <c r="U524" i="32"/>
  <c r="T1029" i="32" a="1"/>
  <c r="T1029" i="32" s="1"/>
  <c r="V1029" i="32" a="1"/>
  <c r="V1029" i="32" s="1"/>
  <c r="L1029" i="32" s="1"/>
  <c r="R1029" i="32" a="1"/>
  <c r="R1029" i="32" s="1"/>
  <c r="D1029" i="32" s="1"/>
  <c r="S1029" i="32" a="1"/>
  <c r="S1029" i="32" s="1"/>
  <c r="E1029" i="32" s="1"/>
  <c r="P1033" i="32"/>
  <c r="Q1031" i="32"/>
  <c r="U218" i="32"/>
  <c r="F2979" i="27"/>
  <c r="A828" i="27"/>
  <c r="O1097" i="27"/>
  <c r="G1097" i="27"/>
  <c r="N1097" i="27"/>
  <c r="J1096" i="27"/>
  <c r="K1621" i="27"/>
  <c r="M1097" i="27"/>
  <c r="A1097" i="27" s="1"/>
  <c r="N1096" i="27"/>
  <c r="O1096" i="27"/>
  <c r="G1096" i="27"/>
  <c r="L1097" i="27"/>
  <c r="E1096" i="27"/>
  <c r="E1097" i="27"/>
  <c r="M1096" i="27"/>
  <c r="A1096" i="27" s="1"/>
  <c r="J1097" i="27"/>
  <c r="K1096" i="27"/>
  <c r="I1097" i="27"/>
  <c r="L1096" i="27"/>
  <c r="K1622" i="27"/>
  <c r="I1096" i="27"/>
  <c r="K1097" i="27"/>
  <c r="H1097" i="27"/>
  <c r="H1096" i="27"/>
  <c r="H830" i="27"/>
  <c r="U829" i="32"/>
  <c r="A216" i="32"/>
  <c r="G216" i="32"/>
  <c r="G522" i="32"/>
  <c r="I829" i="27"/>
  <c r="A522" i="32"/>
  <c r="K829" i="27"/>
  <c r="H2979" i="27"/>
  <c r="J2978" i="27"/>
  <c r="J829" i="27"/>
  <c r="A827" i="32"/>
  <c r="G829" i="32"/>
  <c r="A2978" i="27" l="1"/>
  <c r="U526" i="32"/>
  <c r="T1031" i="32" a="1"/>
  <c r="T1031" i="32" s="1"/>
  <c r="R1031" i="32" a="1"/>
  <c r="R1031" i="32" s="1"/>
  <c r="D1031" i="32" s="1"/>
  <c r="S1031" i="32" a="1"/>
  <c r="S1031" i="32" s="1"/>
  <c r="E1031" i="32" s="1"/>
  <c r="V1031" i="32" a="1"/>
  <c r="V1031" i="32" s="1"/>
  <c r="L1031" i="32" s="1"/>
  <c r="P1035" i="32"/>
  <c r="Q1033" i="32"/>
  <c r="U220" i="32"/>
  <c r="F2980" i="27"/>
  <c r="A829" i="27"/>
  <c r="H1098" i="27"/>
  <c r="H1099" i="27"/>
  <c r="L1098" i="27"/>
  <c r="N1098" i="27"/>
  <c r="J1098" i="27"/>
  <c r="O1099" i="27"/>
  <c r="G1099" i="27"/>
  <c r="K1099" i="27"/>
  <c r="G1098" i="27"/>
  <c r="K1624" i="27"/>
  <c r="J1099" i="27"/>
  <c r="O1098" i="27"/>
  <c r="E1099" i="27"/>
  <c r="K1098" i="27"/>
  <c r="L1099" i="27"/>
  <c r="K1623" i="27"/>
  <c r="E1098" i="27"/>
  <c r="N1099" i="27"/>
  <c r="M1099" i="27"/>
  <c r="A1099" i="27" s="1"/>
  <c r="I1099" i="27"/>
  <c r="I1098" i="27"/>
  <c r="M1098" i="27"/>
  <c r="A1098" i="27" s="1"/>
  <c r="U831" i="32"/>
  <c r="H832" i="27"/>
  <c r="H831" i="27"/>
  <c r="J2979" i="27"/>
  <c r="A829" i="32"/>
  <c r="J830" i="27"/>
  <c r="I830" i="27"/>
  <c r="H2980" i="27"/>
  <c r="A524" i="32"/>
  <c r="A218" i="32"/>
  <c r="I2979" i="27"/>
  <c r="G218" i="32"/>
  <c r="K830" i="27"/>
  <c r="I2980" i="27"/>
  <c r="K2979" i="27"/>
  <c r="G524" i="32"/>
  <c r="A2979" i="27" l="1"/>
  <c r="U528" i="32"/>
  <c r="T1033" i="32" a="1"/>
  <c r="T1033" i="32" s="1"/>
  <c r="R1033" i="32" a="1"/>
  <c r="R1033" i="32" s="1"/>
  <c r="D1033" i="32" s="1"/>
  <c r="S1033" i="32" a="1"/>
  <c r="S1033" i="32" s="1"/>
  <c r="E1033" i="32" s="1"/>
  <c r="V1033" i="32" a="1"/>
  <c r="V1033" i="32" s="1"/>
  <c r="L1033" i="32" s="1"/>
  <c r="P1037" i="32"/>
  <c r="Q1035" i="32"/>
  <c r="U222" i="32"/>
  <c r="F2981" i="27"/>
  <c r="H1100" i="27"/>
  <c r="H1101" i="27"/>
  <c r="I1100" i="27"/>
  <c r="N1101" i="27"/>
  <c r="K1626" i="27"/>
  <c r="K1100" i="27"/>
  <c r="O1100" i="27"/>
  <c r="J1100" i="27"/>
  <c r="K1625" i="27"/>
  <c r="J1101" i="27"/>
  <c r="L1101" i="27"/>
  <c r="G1100" i="27"/>
  <c r="N1100" i="27"/>
  <c r="I1101" i="27"/>
  <c r="L1100" i="27"/>
  <c r="O1101" i="27"/>
  <c r="M1101" i="27"/>
  <c r="A1101" i="27" s="1"/>
  <c r="G1101" i="27"/>
  <c r="K1101" i="27"/>
  <c r="E1101" i="27"/>
  <c r="M1100" i="27"/>
  <c r="A1100" i="27" s="1"/>
  <c r="E1100" i="27"/>
  <c r="A830" i="27"/>
  <c r="H833" i="27"/>
  <c r="U833" i="32"/>
  <c r="A526" i="32"/>
  <c r="G220" i="32"/>
  <c r="J831" i="27"/>
  <c r="J832" i="27"/>
  <c r="I832" i="27"/>
  <c r="I831" i="27"/>
  <c r="K2980" i="27"/>
  <c r="G526" i="32"/>
  <c r="K2981" i="27"/>
  <c r="J2981" i="27"/>
  <c r="K831" i="27"/>
  <c r="J2980" i="27"/>
  <c r="K832" i="27"/>
  <c r="A220" i="32"/>
  <c r="A831" i="32"/>
  <c r="H2981" i="27"/>
  <c r="G831" i="32"/>
  <c r="A2980" i="27" l="1"/>
  <c r="U530" i="32"/>
  <c r="S1035" i="32" a="1"/>
  <c r="S1035" i="32" s="1"/>
  <c r="E1035" i="32" s="1"/>
  <c r="R1035" i="32" a="1"/>
  <c r="R1035" i="32" s="1"/>
  <c r="D1035" i="32" s="1"/>
  <c r="T1035" i="32" a="1"/>
  <c r="T1035" i="32" s="1"/>
  <c r="V1035" i="32" a="1"/>
  <c r="V1035" i="32" s="1"/>
  <c r="L1035" i="32" s="1"/>
  <c r="P1039" i="32"/>
  <c r="Q1037" i="32"/>
  <c r="U224" i="32"/>
  <c r="A2981" i="27"/>
  <c r="F2983" i="27"/>
  <c r="F2982" i="27"/>
  <c r="O1103" i="27"/>
  <c r="N1102" i="27"/>
  <c r="O1102" i="27"/>
  <c r="E1102" i="27"/>
  <c r="I1102" i="27"/>
  <c r="J1102" i="27"/>
  <c r="K1628" i="27"/>
  <c r="G1103" i="27"/>
  <c r="N1103" i="27"/>
  <c r="M1103" i="27"/>
  <c r="A1103" i="27" s="1"/>
  <c r="K1103" i="27"/>
  <c r="K1627" i="27"/>
  <c r="I1103" i="27"/>
  <c r="E1103" i="27"/>
  <c r="J1103" i="27"/>
  <c r="K1102" i="27"/>
  <c r="G1102" i="27"/>
  <c r="L1102" i="27"/>
  <c r="M1102" i="27"/>
  <c r="A1102" i="27" s="1"/>
  <c r="L1103" i="27"/>
  <c r="A832" i="27"/>
  <c r="A831" i="27"/>
  <c r="H1102" i="27"/>
  <c r="H1103" i="27"/>
  <c r="U835" i="32"/>
  <c r="H834" i="27"/>
  <c r="J833" i="27"/>
  <c r="A222" i="32"/>
  <c r="I833" i="27"/>
  <c r="I2983" i="27"/>
  <c r="I2981" i="27"/>
  <c r="G222" i="32"/>
  <c r="A528" i="32"/>
  <c r="A833" i="32"/>
  <c r="J2983" i="27"/>
  <c r="G528" i="32"/>
  <c r="H2982" i="27"/>
  <c r="K2982" i="27"/>
  <c r="K833" i="27"/>
  <c r="G833" i="32"/>
  <c r="J2982" i="27"/>
  <c r="U532" i="32" l="1"/>
  <c r="V1037" i="32" a="1"/>
  <c r="V1037" i="32" s="1"/>
  <c r="L1037" i="32" s="1"/>
  <c r="S1037" i="32" a="1"/>
  <c r="S1037" i="32" s="1"/>
  <c r="E1037" i="32" s="1"/>
  <c r="R1037" i="32" a="1"/>
  <c r="R1037" i="32" s="1"/>
  <c r="D1037" i="32" s="1"/>
  <c r="T1037" i="32" a="1"/>
  <c r="T1037" i="32" s="1"/>
  <c r="P1041" i="32"/>
  <c r="Q1039" i="32"/>
  <c r="U226" i="32"/>
  <c r="A2982" i="27"/>
  <c r="F2984" i="27"/>
  <c r="H1104" i="27"/>
  <c r="H1105" i="27"/>
  <c r="O1105" i="27"/>
  <c r="M1104" i="27"/>
  <c r="A1104" i="27" s="1"/>
  <c r="G1104" i="27"/>
  <c r="I1104" i="27"/>
  <c r="N1104" i="27"/>
  <c r="G1105" i="27"/>
  <c r="E1104" i="27"/>
  <c r="J1105" i="27"/>
  <c r="K1629" i="27"/>
  <c r="K1104" i="27"/>
  <c r="I1105" i="27"/>
  <c r="L1104" i="27"/>
  <c r="E1105" i="27"/>
  <c r="K1105" i="27"/>
  <c r="O1104" i="27"/>
  <c r="K1630" i="27"/>
  <c r="L1105" i="27"/>
  <c r="M1105" i="27"/>
  <c r="A1105" i="27" s="1"/>
  <c r="N1105" i="27"/>
  <c r="J1104" i="27"/>
  <c r="A833" i="27"/>
  <c r="H835" i="27"/>
  <c r="U837" i="32"/>
  <c r="A224" i="32"/>
  <c r="K834" i="27"/>
  <c r="K2983" i="27"/>
  <c r="G224" i="32"/>
  <c r="G530" i="32"/>
  <c r="G835" i="32"/>
  <c r="H2983" i="27"/>
  <c r="I2982" i="27"/>
  <c r="J834" i="27"/>
  <c r="H2984" i="27"/>
  <c r="A530" i="32"/>
  <c r="A835" i="32"/>
  <c r="I834" i="27"/>
  <c r="A2983" i="27" l="1"/>
  <c r="U534" i="32"/>
  <c r="S1039" i="32" a="1"/>
  <c r="S1039" i="32" s="1"/>
  <c r="E1039" i="32" s="1"/>
  <c r="R1039" i="32" a="1"/>
  <c r="R1039" i="32" s="1"/>
  <c r="D1039" i="32" s="1"/>
  <c r="V1039" i="32" a="1"/>
  <c r="V1039" i="32" s="1"/>
  <c r="L1039" i="32" s="1"/>
  <c r="T1039" i="32" a="1"/>
  <c r="T1039" i="32" s="1"/>
  <c r="P1043" i="32"/>
  <c r="Q1041" i="32"/>
  <c r="U228" i="32"/>
  <c r="F2985" i="27"/>
  <c r="H1106" i="27"/>
  <c r="H1107" i="27"/>
  <c r="A834" i="27"/>
  <c r="K1107" i="27"/>
  <c r="O1107" i="27"/>
  <c r="J1106" i="27"/>
  <c r="J1107" i="27"/>
  <c r="I1106" i="27"/>
  <c r="K1106" i="27"/>
  <c r="M1106" i="27"/>
  <c r="A1106" i="27" s="1"/>
  <c r="M1107" i="27"/>
  <c r="A1107" i="27" s="1"/>
  <c r="I1107" i="27"/>
  <c r="G1106" i="27"/>
  <c r="N1106" i="27"/>
  <c r="K1632" i="27"/>
  <c r="E1106" i="27"/>
  <c r="L1107" i="27"/>
  <c r="O1106" i="27"/>
  <c r="N1107" i="27"/>
  <c r="K1631" i="27"/>
  <c r="E1107" i="27"/>
  <c r="G1107" i="27"/>
  <c r="L1106" i="27"/>
  <c r="U839" i="32"/>
  <c r="H836" i="27"/>
  <c r="I2984" i="27"/>
  <c r="G837" i="32"/>
  <c r="G226" i="32"/>
  <c r="A532" i="32"/>
  <c r="J2984" i="27"/>
  <c r="A226" i="32"/>
  <c r="K2984" i="27"/>
  <c r="J835" i="27"/>
  <c r="H2985" i="27"/>
  <c r="A837" i="32"/>
  <c r="K835" i="27"/>
  <c r="I835" i="27"/>
  <c r="G532" i="32"/>
  <c r="A2984" i="27" l="1"/>
  <c r="U536" i="32"/>
  <c r="S1041" i="32" a="1"/>
  <c r="S1041" i="32" s="1"/>
  <c r="E1041" i="32" s="1"/>
  <c r="R1041" i="32" a="1"/>
  <c r="R1041" i="32" s="1"/>
  <c r="D1041" i="32" s="1"/>
  <c r="T1041" i="32" a="1"/>
  <c r="T1041" i="32" s="1"/>
  <c r="V1041" i="32" a="1"/>
  <c r="V1041" i="32" s="1"/>
  <c r="L1041" i="32" s="1"/>
  <c r="P1045" i="32"/>
  <c r="Q1043" i="32"/>
  <c r="U230" i="32"/>
  <c r="F2986" i="27"/>
  <c r="H1109" i="27"/>
  <c r="H1108" i="27"/>
  <c r="A835" i="27"/>
  <c r="E1109" i="27"/>
  <c r="J1109" i="27"/>
  <c r="K1108" i="27"/>
  <c r="K1109" i="27"/>
  <c r="N1108" i="27"/>
  <c r="E1108" i="27"/>
  <c r="M1109" i="27"/>
  <c r="A1109" i="27" s="1"/>
  <c r="L1109" i="27"/>
  <c r="I1109" i="27"/>
  <c r="G1109" i="27"/>
  <c r="L1108" i="27"/>
  <c r="N1109" i="27"/>
  <c r="O1109" i="27"/>
  <c r="O1108" i="27"/>
  <c r="J1108" i="27"/>
  <c r="G1108" i="27"/>
  <c r="M1108" i="27"/>
  <c r="A1108" i="27" s="1"/>
  <c r="K1633" i="27"/>
  <c r="I1108" i="27"/>
  <c r="K1634" i="27"/>
  <c r="H838" i="27"/>
  <c r="H837" i="27"/>
  <c r="U841" i="32"/>
  <c r="I2986" i="27"/>
  <c r="J836" i="27"/>
  <c r="A228" i="32"/>
  <c r="I836" i="27"/>
  <c r="J2985" i="27"/>
  <c r="K2985" i="27"/>
  <c r="I2985" i="27"/>
  <c r="G839" i="32"/>
  <c r="A839" i="32"/>
  <c r="K2986" i="27"/>
  <c r="J2986" i="27"/>
  <c r="A534" i="32"/>
  <c r="K836" i="27"/>
  <c r="H2986" i="27"/>
  <c r="G534" i="32"/>
  <c r="G228" i="32"/>
  <c r="A2985" i="27" l="1"/>
  <c r="U538" i="32"/>
  <c r="V1043" i="32" a="1"/>
  <c r="V1043" i="32" s="1"/>
  <c r="L1043" i="32" s="1"/>
  <c r="T1043" i="32" a="1"/>
  <c r="T1043" i="32" s="1"/>
  <c r="R1043" i="32" a="1"/>
  <c r="R1043" i="32" s="1"/>
  <c r="D1043" i="32" s="1"/>
  <c r="S1043" i="32" a="1"/>
  <c r="S1043" i="32" s="1"/>
  <c r="E1043" i="32" s="1"/>
  <c r="P1047" i="32"/>
  <c r="Q1045" i="32"/>
  <c r="U232" i="32"/>
  <c r="A2986" i="27"/>
  <c r="F2987" i="27"/>
  <c r="K1635" i="27"/>
  <c r="K1111" i="27"/>
  <c r="N1110" i="27"/>
  <c r="J1111" i="27"/>
  <c r="M1110" i="27"/>
  <c r="A1110" i="27" s="1"/>
  <c r="L1111" i="27"/>
  <c r="L1110" i="27"/>
  <c r="G1111" i="27"/>
  <c r="O1111" i="27"/>
  <c r="K1636" i="27"/>
  <c r="I1110" i="27"/>
  <c r="E1110" i="27"/>
  <c r="E1111" i="27"/>
  <c r="K1110" i="27"/>
  <c r="I1111" i="27"/>
  <c r="M1111" i="27"/>
  <c r="A1111" i="27" s="1"/>
  <c r="O1110" i="27"/>
  <c r="J1110" i="27"/>
  <c r="N1111" i="27"/>
  <c r="G1110" i="27"/>
  <c r="H1111" i="27"/>
  <c r="H1110" i="27"/>
  <c r="A836" i="27"/>
  <c r="H839" i="27"/>
  <c r="U843" i="32"/>
  <c r="A841" i="32"/>
  <c r="G536" i="32"/>
  <c r="A536" i="32"/>
  <c r="J2987" i="27"/>
  <c r="K837" i="27"/>
  <c r="J838" i="27"/>
  <c r="K2987" i="27"/>
  <c r="I837" i="27"/>
  <c r="G841" i="32"/>
  <c r="G230" i="32"/>
  <c r="A230" i="32"/>
  <c r="J837" i="27"/>
  <c r="K838" i="27"/>
  <c r="I838" i="27"/>
  <c r="U540" i="32" l="1"/>
  <c r="V1045" i="32" a="1"/>
  <c r="V1045" i="32" s="1"/>
  <c r="L1045" i="32" s="1"/>
  <c r="S1045" i="32" a="1"/>
  <c r="S1045" i="32" s="1"/>
  <c r="E1045" i="32" s="1"/>
  <c r="R1045" i="32" a="1"/>
  <c r="R1045" i="32" s="1"/>
  <c r="D1045" i="32" s="1"/>
  <c r="T1045" i="32" a="1"/>
  <c r="T1045" i="32" s="1"/>
  <c r="P1049" i="32"/>
  <c r="Q1047" i="32"/>
  <c r="U234" i="32"/>
  <c r="A2987" i="27"/>
  <c r="F2989" i="27"/>
  <c r="F2988" i="27"/>
  <c r="K1112" i="27"/>
  <c r="O1112" i="27"/>
  <c r="J1112" i="27"/>
  <c r="L1112" i="27"/>
  <c r="K1113" i="27"/>
  <c r="O1113" i="27"/>
  <c r="G1113" i="27"/>
  <c r="I1113" i="27"/>
  <c r="N1113" i="27"/>
  <c r="E1113" i="27"/>
  <c r="I1112" i="27"/>
  <c r="G1112" i="27"/>
  <c r="M1113" i="27"/>
  <c r="A1113" i="27" s="1"/>
  <c r="K1638" i="27"/>
  <c r="N1112" i="27"/>
  <c r="E1112" i="27"/>
  <c r="M1112" i="27"/>
  <c r="A1112" i="27" s="1"/>
  <c r="K1637" i="27"/>
  <c r="L1113" i="27"/>
  <c r="J1113" i="27"/>
  <c r="H1113" i="27"/>
  <c r="H1112" i="27"/>
  <c r="A837" i="27"/>
  <c r="A838" i="27"/>
  <c r="H840" i="27"/>
  <c r="U845" i="32"/>
  <c r="I2989" i="27"/>
  <c r="I839" i="27"/>
  <c r="A843" i="32"/>
  <c r="K839" i="27"/>
  <c r="H2987" i="27"/>
  <c r="A232" i="32"/>
  <c r="G538" i="32"/>
  <c r="I2987" i="27"/>
  <c r="G232" i="32"/>
  <c r="K2989" i="27"/>
  <c r="J839" i="27"/>
  <c r="K2988" i="27"/>
  <c r="A538" i="32"/>
  <c r="G843" i="32"/>
  <c r="U542" i="32" l="1"/>
  <c r="V1047" i="32" a="1"/>
  <c r="V1047" i="32" s="1"/>
  <c r="L1047" i="32" s="1"/>
  <c r="T1047" i="32" a="1"/>
  <c r="T1047" i="32" s="1"/>
  <c r="R1047" i="32" a="1"/>
  <c r="R1047" i="32" s="1"/>
  <c r="D1047" i="32" s="1"/>
  <c r="S1047" i="32" a="1"/>
  <c r="S1047" i="32" s="1"/>
  <c r="E1047" i="32" s="1"/>
  <c r="P1051" i="32"/>
  <c r="Q1049" i="32"/>
  <c r="U236" i="32"/>
  <c r="F2990" i="27"/>
  <c r="H1114" i="27"/>
  <c r="H1115" i="27"/>
  <c r="G1115" i="27"/>
  <c r="G1114" i="27"/>
  <c r="I1115" i="27"/>
  <c r="L1114" i="27"/>
  <c r="K1639" i="27"/>
  <c r="J1114" i="27"/>
  <c r="E1115" i="27"/>
  <c r="O1114" i="27"/>
  <c r="I1114" i="27"/>
  <c r="K1640" i="27"/>
  <c r="O1115" i="27"/>
  <c r="K1115" i="27"/>
  <c r="J1115" i="27"/>
  <c r="N1115" i="27"/>
  <c r="L1115" i="27"/>
  <c r="N1114" i="27"/>
  <c r="M1115" i="27"/>
  <c r="A1115" i="27" s="1"/>
  <c r="M1114" i="27"/>
  <c r="A1114" i="27" s="1"/>
  <c r="K1114" i="27"/>
  <c r="E1114" i="27"/>
  <c r="A839" i="27"/>
  <c r="U847" i="32"/>
  <c r="H841" i="27"/>
  <c r="A845" i="32"/>
  <c r="G845" i="32"/>
  <c r="A540" i="32"/>
  <c r="G540" i="32"/>
  <c r="I840" i="27"/>
  <c r="H2989" i="27"/>
  <c r="I2988" i="27"/>
  <c r="G234" i="32"/>
  <c r="A234" i="32"/>
  <c r="J2989" i="27"/>
  <c r="I2990" i="27"/>
  <c r="H2988" i="27"/>
  <c r="J2988" i="27"/>
  <c r="J840" i="27"/>
  <c r="H2990" i="27"/>
  <c r="K840" i="27"/>
  <c r="A2988" i="27" l="1"/>
  <c r="A2989" i="27"/>
  <c r="U544" i="32"/>
  <c r="V1049" i="32" a="1"/>
  <c r="V1049" i="32" s="1"/>
  <c r="L1049" i="32" s="1"/>
  <c r="T1049" i="32" a="1"/>
  <c r="T1049" i="32" s="1"/>
  <c r="R1049" i="32" a="1"/>
  <c r="R1049" i="32" s="1"/>
  <c r="D1049" i="32" s="1"/>
  <c r="S1049" i="32" a="1"/>
  <c r="S1049" i="32" s="1"/>
  <c r="E1049" i="32" s="1"/>
  <c r="P1053" i="32"/>
  <c r="Q1051" i="32"/>
  <c r="U238" i="32"/>
  <c r="F2991" i="27"/>
  <c r="I1116" i="27"/>
  <c r="G1116" i="27"/>
  <c r="K1116" i="27"/>
  <c r="G1117" i="27"/>
  <c r="N1116" i="27"/>
  <c r="L1117" i="27"/>
  <c r="K1641" i="27"/>
  <c r="K1117" i="27"/>
  <c r="J1116" i="27"/>
  <c r="N1117" i="27"/>
  <c r="J1117" i="27"/>
  <c r="I1117" i="27"/>
  <c r="O1117" i="27"/>
  <c r="K1642" i="27"/>
  <c r="M1116" i="27"/>
  <c r="A1116" i="27" s="1"/>
  <c r="L1116" i="27"/>
  <c r="E1117" i="27"/>
  <c r="E1116" i="27"/>
  <c r="O1116" i="27"/>
  <c r="M1117" i="27"/>
  <c r="A1117" i="27" s="1"/>
  <c r="H1116" i="27"/>
  <c r="H1117" i="27"/>
  <c r="A840" i="27"/>
  <c r="U849" i="32"/>
  <c r="H842" i="27"/>
  <c r="G847" i="32"/>
  <c r="A847" i="32"/>
  <c r="I2991" i="27"/>
  <c r="K2990" i="27"/>
  <c r="J2990" i="27"/>
  <c r="J2991" i="27"/>
  <c r="A542" i="32"/>
  <c r="A236" i="32"/>
  <c r="H2991" i="27"/>
  <c r="G236" i="32"/>
  <c r="G542" i="32"/>
  <c r="K841" i="27"/>
  <c r="I841" i="27"/>
  <c r="J841" i="27"/>
  <c r="K2991" i="27"/>
  <c r="A2990" i="27" l="1"/>
  <c r="U546" i="32"/>
  <c r="R1051" i="32" a="1"/>
  <c r="R1051" i="32" s="1"/>
  <c r="D1051" i="32" s="1"/>
  <c r="V1051" i="32" a="1"/>
  <c r="V1051" i="32" s="1"/>
  <c r="L1051" i="32" s="1"/>
  <c r="S1051" i="32" a="1"/>
  <c r="S1051" i="32" s="1"/>
  <c r="E1051" i="32" s="1"/>
  <c r="T1051" i="32" a="1"/>
  <c r="T1051" i="32" s="1"/>
  <c r="P1055" i="32"/>
  <c r="Q1053" i="32"/>
  <c r="U240" i="32"/>
  <c r="A2991" i="27"/>
  <c r="F2992" i="27"/>
  <c r="A841" i="27"/>
  <c r="H1119" i="27"/>
  <c r="H1118" i="27"/>
  <c r="K1118" i="27"/>
  <c r="O1119" i="27"/>
  <c r="K1119" i="27"/>
  <c r="E1119" i="27"/>
  <c r="N1118" i="27"/>
  <c r="I1119" i="27"/>
  <c r="I1118" i="27"/>
  <c r="L1119" i="27"/>
  <c r="J1118" i="27"/>
  <c r="J1119" i="27"/>
  <c r="L1118" i="27"/>
  <c r="M1119" i="27"/>
  <c r="A1119" i="27" s="1"/>
  <c r="K1644" i="27"/>
  <c r="N1119" i="27"/>
  <c r="M1118" i="27"/>
  <c r="A1118" i="27" s="1"/>
  <c r="G1118" i="27"/>
  <c r="E1118" i="27"/>
  <c r="O1118" i="27"/>
  <c r="G1119" i="27"/>
  <c r="K1643" i="27"/>
  <c r="U851" i="32"/>
  <c r="H844" i="27"/>
  <c r="H843" i="27"/>
  <c r="G849" i="32"/>
  <c r="I842" i="27"/>
  <c r="J842" i="27"/>
  <c r="G544" i="32"/>
  <c r="J2992" i="27"/>
  <c r="A238" i="32"/>
  <c r="A849" i="32"/>
  <c r="A544" i="32"/>
  <c r="K842" i="27"/>
  <c r="G238" i="32"/>
  <c r="U548" i="32" l="1"/>
  <c r="T1053" i="32" a="1"/>
  <c r="T1053" i="32" s="1"/>
  <c r="V1053" i="32" a="1"/>
  <c r="V1053" i="32" s="1"/>
  <c r="L1053" i="32" s="1"/>
  <c r="R1053" i="32" a="1"/>
  <c r="R1053" i="32" s="1"/>
  <c r="D1053" i="32" s="1"/>
  <c r="S1053" i="32" a="1"/>
  <c r="S1053" i="32" s="1"/>
  <c r="E1053" i="32" s="1"/>
  <c r="P1057" i="32"/>
  <c r="Q1055" i="32"/>
  <c r="U242" i="32"/>
  <c r="F2993" i="27"/>
  <c r="E1121" i="27"/>
  <c r="N1120" i="27"/>
  <c r="L1120" i="27"/>
  <c r="O1121" i="27"/>
  <c r="L1121" i="27"/>
  <c r="I1121" i="27"/>
  <c r="N1121" i="27"/>
  <c r="K1645" i="27"/>
  <c r="M1120" i="27"/>
  <c r="A1120" i="27" s="1"/>
  <c r="J1121" i="27"/>
  <c r="I1120" i="27"/>
  <c r="G1121" i="27"/>
  <c r="J1120" i="27"/>
  <c r="K1121" i="27"/>
  <c r="E1120" i="27"/>
  <c r="G1120" i="27"/>
  <c r="K1120" i="27"/>
  <c r="M1121" i="27"/>
  <c r="A1121" i="27" s="1"/>
  <c r="K1646" i="27"/>
  <c r="O1120" i="27"/>
  <c r="H1120" i="27"/>
  <c r="H1121" i="27"/>
  <c r="A842" i="27"/>
  <c r="H845" i="27"/>
  <c r="U853" i="32"/>
  <c r="J844" i="27"/>
  <c r="G851" i="32"/>
  <c r="I2993" i="27"/>
  <c r="K843" i="27"/>
  <c r="J2993" i="27"/>
  <c r="I844" i="27"/>
  <c r="K2993" i="27"/>
  <c r="G240" i="32"/>
  <c r="J843" i="27"/>
  <c r="A851" i="32"/>
  <c r="A240" i="32"/>
  <c r="A546" i="32"/>
  <c r="H2993" i="27"/>
  <c r="K844" i="27"/>
  <c r="H2992" i="27"/>
  <c r="I2992" i="27"/>
  <c r="K2992" i="27"/>
  <c r="I843" i="27"/>
  <c r="G546" i="32"/>
  <c r="A2992" i="27" l="1"/>
  <c r="U550" i="32"/>
  <c r="V1055" i="32" a="1"/>
  <c r="V1055" i="32" s="1"/>
  <c r="L1055" i="32" s="1"/>
  <c r="T1055" i="32" a="1"/>
  <c r="T1055" i="32" s="1"/>
  <c r="S1055" i="32" a="1"/>
  <c r="S1055" i="32" s="1"/>
  <c r="E1055" i="32" s="1"/>
  <c r="R1055" i="32" a="1"/>
  <c r="R1055" i="32" s="1"/>
  <c r="D1055" i="32" s="1"/>
  <c r="P1059" i="32"/>
  <c r="Q1057" i="32"/>
  <c r="U244" i="32"/>
  <c r="A2993" i="27"/>
  <c r="F2995" i="27"/>
  <c r="F2994" i="27"/>
  <c r="A843" i="27"/>
  <c r="H1122" i="27"/>
  <c r="H1123" i="27"/>
  <c r="O1123" i="27"/>
  <c r="L1122" i="27"/>
  <c r="J1122" i="27"/>
  <c r="I1122" i="27"/>
  <c r="E1123" i="27"/>
  <c r="I1123" i="27"/>
  <c r="J1123" i="27"/>
  <c r="N1122" i="27"/>
  <c r="N1123" i="27"/>
  <c r="K1647" i="27"/>
  <c r="K1122" i="27"/>
  <c r="K1648" i="27"/>
  <c r="E1122" i="27"/>
  <c r="L1123" i="27"/>
  <c r="M1122" i="27"/>
  <c r="A1122" i="27" s="1"/>
  <c r="G1122" i="27"/>
  <c r="O1122" i="27"/>
  <c r="K1123" i="27"/>
  <c r="G1123" i="27"/>
  <c r="M1123" i="27"/>
  <c r="A1123" i="27" s="1"/>
  <c r="A844" i="27"/>
  <c r="U855" i="32"/>
  <c r="H846" i="27"/>
  <c r="G242" i="32"/>
  <c r="H2995" i="27"/>
  <c r="G853" i="32"/>
  <c r="A548" i="32"/>
  <c r="A242" i="32"/>
  <c r="K2994" i="27"/>
  <c r="I2995" i="27"/>
  <c r="J845" i="27"/>
  <c r="J2994" i="27"/>
  <c r="I845" i="27"/>
  <c r="G548" i="32"/>
  <c r="K845" i="27"/>
  <c r="A853" i="32"/>
  <c r="U552" i="32" l="1"/>
  <c r="V1057" i="32" a="1"/>
  <c r="V1057" i="32" s="1"/>
  <c r="L1057" i="32" s="1"/>
  <c r="S1057" i="32" a="1"/>
  <c r="S1057" i="32" s="1"/>
  <c r="E1057" i="32" s="1"/>
  <c r="R1057" i="32" a="1"/>
  <c r="R1057" i="32" s="1"/>
  <c r="D1057" i="32" s="1"/>
  <c r="T1057" i="32" a="1"/>
  <c r="T1057" i="32" s="1"/>
  <c r="P1061" i="32"/>
  <c r="Q1059" i="32"/>
  <c r="U246" i="32"/>
  <c r="A2994" i="27"/>
  <c r="F2996" i="27"/>
  <c r="I1125" i="27"/>
  <c r="L1124" i="27"/>
  <c r="M1124" i="27"/>
  <c r="A1124" i="27" s="1"/>
  <c r="G1125" i="27"/>
  <c r="E1124" i="27"/>
  <c r="I1124" i="27"/>
  <c r="O1124" i="27"/>
  <c r="O1125" i="27"/>
  <c r="L1125" i="27"/>
  <c r="M1125" i="27"/>
  <c r="A1125" i="27" s="1"/>
  <c r="K1650" i="27"/>
  <c r="N1125" i="27"/>
  <c r="K1649" i="27"/>
  <c r="J1124" i="27"/>
  <c r="G1124" i="27"/>
  <c r="K1124" i="27"/>
  <c r="N1124" i="27"/>
  <c r="J1125" i="27"/>
  <c r="E1125" i="27"/>
  <c r="K1125" i="27"/>
  <c r="A845" i="27"/>
  <c r="H1125" i="27"/>
  <c r="H1124" i="27"/>
  <c r="U857" i="32"/>
  <c r="H847" i="27"/>
  <c r="I2994" i="27"/>
  <c r="G550" i="32"/>
  <c r="K2996" i="27"/>
  <c r="K846" i="27"/>
  <c r="A855" i="32"/>
  <c r="J2996" i="27"/>
  <c r="G855" i="32"/>
  <c r="H2994" i="27"/>
  <c r="J2995" i="27"/>
  <c r="A244" i="32"/>
  <c r="I846" i="27"/>
  <c r="J846" i="27"/>
  <c r="K2995" i="27"/>
  <c r="I2996" i="27"/>
  <c r="G244" i="32"/>
  <c r="A550" i="32"/>
  <c r="A2995" i="27" l="1"/>
  <c r="U554" i="32"/>
  <c r="T1059" i="32" a="1"/>
  <c r="T1059" i="32" s="1"/>
  <c r="S1059" i="32" a="1"/>
  <c r="S1059" i="32" s="1"/>
  <c r="E1059" i="32" s="1"/>
  <c r="R1059" i="32" a="1"/>
  <c r="R1059" i="32" s="1"/>
  <c r="D1059" i="32" s="1"/>
  <c r="V1059" i="32" a="1"/>
  <c r="V1059" i="32" s="1"/>
  <c r="L1059" i="32" s="1"/>
  <c r="P1063" i="32"/>
  <c r="Q1061" i="32"/>
  <c r="U248" i="32"/>
  <c r="A2996" i="27"/>
  <c r="F2997" i="27"/>
  <c r="H1127" i="27"/>
  <c r="H1126" i="27"/>
  <c r="N1127" i="27"/>
  <c r="J1127" i="27"/>
  <c r="K1652" i="27"/>
  <c r="O1126" i="27"/>
  <c r="I1126" i="27"/>
  <c r="E1127" i="27"/>
  <c r="I1127" i="27"/>
  <c r="L1126" i="27"/>
  <c r="E1126" i="27"/>
  <c r="J1126" i="27"/>
  <c r="G1126" i="27"/>
  <c r="O1127" i="27"/>
  <c r="M1126" i="27"/>
  <c r="A1126" i="27" s="1"/>
  <c r="M1127" i="27"/>
  <c r="A1127" i="27" s="1"/>
  <c r="G1127" i="27"/>
  <c r="K1126" i="27"/>
  <c r="L1127" i="27"/>
  <c r="K1127" i="27"/>
  <c r="K1651" i="27"/>
  <c r="N1126" i="27"/>
  <c r="A846" i="27"/>
  <c r="U859" i="32"/>
  <c r="H848" i="27"/>
  <c r="A246" i="32"/>
  <c r="G552" i="32"/>
  <c r="A552" i="32"/>
  <c r="G857" i="32"/>
  <c r="K2997" i="27"/>
  <c r="G246" i="32"/>
  <c r="A857" i="32"/>
  <c r="K847" i="27"/>
  <c r="I847" i="27"/>
  <c r="J847" i="27"/>
  <c r="H2996" i="27"/>
  <c r="U556" i="32" l="1"/>
  <c r="R1061" i="32" a="1"/>
  <c r="R1061" i="32" s="1"/>
  <c r="D1061" i="32" s="1"/>
  <c r="S1061" i="32" a="1"/>
  <c r="S1061" i="32" s="1"/>
  <c r="E1061" i="32" s="1"/>
  <c r="V1061" i="32" a="1"/>
  <c r="V1061" i="32" s="1"/>
  <c r="L1061" i="32" s="1"/>
  <c r="T1061" i="32" a="1"/>
  <c r="T1061" i="32" s="1"/>
  <c r="P1065" i="32"/>
  <c r="Q1063" i="32"/>
  <c r="U250" i="32"/>
  <c r="F2998" i="27"/>
  <c r="A847" i="27"/>
  <c r="H1129" i="27"/>
  <c r="H1128" i="27"/>
  <c r="E1129" i="27"/>
  <c r="G1129" i="27"/>
  <c r="I1128" i="27"/>
  <c r="K1128" i="27"/>
  <c r="M1129" i="27"/>
  <c r="A1129" i="27" s="1"/>
  <c r="M1128" i="27"/>
  <c r="A1128" i="27" s="1"/>
  <c r="N1128" i="27"/>
  <c r="E1128" i="27"/>
  <c r="K1653" i="27"/>
  <c r="J1128" i="27"/>
  <c r="G1128" i="27"/>
  <c r="O1129" i="27"/>
  <c r="L1128" i="27"/>
  <c r="K1129" i="27"/>
  <c r="K1654" i="27"/>
  <c r="N1129" i="27"/>
  <c r="L1129" i="27"/>
  <c r="J1129" i="27"/>
  <c r="I1129" i="27"/>
  <c r="O1128" i="27"/>
  <c r="H849" i="27"/>
  <c r="H850" i="27"/>
  <c r="U861" i="32"/>
  <c r="K2998" i="27"/>
  <c r="A859" i="32"/>
  <c r="H2997" i="27"/>
  <c r="A248" i="32"/>
  <c r="J2998" i="27"/>
  <c r="A554" i="32"/>
  <c r="K848" i="27"/>
  <c r="G248" i="32"/>
  <c r="G554" i="32"/>
  <c r="I848" i="27"/>
  <c r="I2997" i="27"/>
  <c r="G859" i="32"/>
  <c r="J848" i="27"/>
  <c r="H2998" i="27"/>
  <c r="J2997" i="27"/>
  <c r="G861" i="32"/>
  <c r="I2998" i="27"/>
  <c r="A2997" i="27" l="1"/>
  <c r="U558" i="32"/>
  <c r="R1063" i="32" a="1"/>
  <c r="R1063" i="32" s="1"/>
  <c r="D1063" i="32" s="1"/>
  <c r="S1063" i="32" a="1"/>
  <c r="S1063" i="32" s="1"/>
  <c r="E1063" i="32" s="1"/>
  <c r="T1063" i="32" a="1"/>
  <c r="T1063" i="32" s="1"/>
  <c r="V1063" i="32" a="1"/>
  <c r="V1063" i="32" s="1"/>
  <c r="L1063" i="32" s="1"/>
  <c r="P1067" i="32"/>
  <c r="Q1065" i="32"/>
  <c r="U252" i="32"/>
  <c r="A2998" i="27"/>
  <c r="F2999" i="27"/>
  <c r="A848" i="27"/>
  <c r="E1131" i="27"/>
  <c r="M1131" i="27"/>
  <c r="A1131" i="27" s="1"/>
  <c r="K1130" i="27"/>
  <c r="L1131" i="27"/>
  <c r="K1655" i="27"/>
  <c r="G1131" i="27"/>
  <c r="O1131" i="27"/>
  <c r="I1130" i="27"/>
  <c r="G1130" i="27"/>
  <c r="E1130" i="27"/>
  <c r="K1131" i="27"/>
  <c r="J1130" i="27"/>
  <c r="I1131" i="27"/>
  <c r="M1130" i="27"/>
  <c r="A1130" i="27" s="1"/>
  <c r="J1131" i="27"/>
  <c r="L1130" i="27"/>
  <c r="N1131" i="27"/>
  <c r="N1130" i="27"/>
  <c r="O1130" i="27"/>
  <c r="K1656" i="27"/>
  <c r="H1131" i="27"/>
  <c r="H1130" i="27"/>
  <c r="U863" i="32"/>
  <c r="H851" i="27"/>
  <c r="A250" i="32"/>
  <c r="A861" i="32"/>
  <c r="G863" i="32"/>
  <c r="I850" i="27"/>
  <c r="G556" i="32"/>
  <c r="J850" i="27"/>
  <c r="K850" i="27"/>
  <c r="A556" i="32"/>
  <c r="J2999" i="27"/>
  <c r="J849" i="27"/>
  <c r="K849" i="27"/>
  <c r="G250" i="32"/>
  <c r="I849" i="27"/>
  <c r="H2999" i="27"/>
  <c r="U560" i="32" l="1"/>
  <c r="T1065" i="32" a="1"/>
  <c r="T1065" i="32" s="1"/>
  <c r="S1065" i="32" a="1"/>
  <c r="S1065" i="32" s="1"/>
  <c r="E1065" i="32" s="1"/>
  <c r="R1065" i="32" a="1"/>
  <c r="R1065" i="32" s="1"/>
  <c r="D1065" i="32" s="1"/>
  <c r="V1065" i="32" a="1"/>
  <c r="V1065" i="32" s="1"/>
  <c r="L1065" i="32" s="1"/>
  <c r="P1069" i="32"/>
  <c r="Q1067" i="32"/>
  <c r="U254" i="32"/>
  <c r="F3001" i="27"/>
  <c r="F3000" i="27"/>
  <c r="A850" i="27"/>
  <c r="H1133" i="27"/>
  <c r="H1132" i="27"/>
  <c r="I1132" i="27"/>
  <c r="K1132" i="27"/>
  <c r="I1133" i="27"/>
  <c r="E1132" i="27"/>
  <c r="K1657" i="27"/>
  <c r="G1133" i="27"/>
  <c r="K1658" i="27"/>
  <c r="E1133" i="27"/>
  <c r="N1132" i="27"/>
  <c r="L1132" i="27"/>
  <c r="M1132" i="27"/>
  <c r="A1132" i="27" s="1"/>
  <c r="K1133" i="27"/>
  <c r="G1132" i="27"/>
  <c r="J1132" i="27"/>
  <c r="N1133" i="27"/>
  <c r="J1133" i="27"/>
  <c r="L1133" i="27"/>
  <c r="M1133" i="27"/>
  <c r="A1133" i="27" s="1"/>
  <c r="O1132" i="27"/>
  <c r="O1133" i="27"/>
  <c r="A849" i="27"/>
  <c r="H852" i="27"/>
  <c r="U865" i="32"/>
  <c r="H3001" i="27"/>
  <c r="A863" i="32"/>
  <c r="K2999" i="27"/>
  <c r="G252" i="32"/>
  <c r="K851" i="27"/>
  <c r="A558" i="32"/>
  <c r="I3001" i="27"/>
  <c r="G865" i="32"/>
  <c r="I2999" i="27"/>
  <c r="J851" i="27"/>
  <c r="K3001" i="27"/>
  <c r="A252" i="32"/>
  <c r="J3001" i="27"/>
  <c r="G558" i="32"/>
  <c r="J3000" i="27"/>
  <c r="I851" i="27"/>
  <c r="A2999" i="27" l="1"/>
  <c r="U562" i="32"/>
  <c r="R1067" i="32" a="1"/>
  <c r="R1067" i="32" s="1"/>
  <c r="D1067" i="32" s="1"/>
  <c r="T1067" i="32" a="1"/>
  <c r="T1067" i="32" s="1"/>
  <c r="V1067" i="32" a="1"/>
  <c r="V1067" i="32" s="1"/>
  <c r="L1067" i="32" s="1"/>
  <c r="S1067" i="32" a="1"/>
  <c r="S1067" i="32" s="1"/>
  <c r="E1067" i="32" s="1"/>
  <c r="P1071" i="32"/>
  <c r="Q1069" i="32"/>
  <c r="U256" i="32"/>
  <c r="A3001" i="27"/>
  <c r="F3002" i="27"/>
  <c r="K1134" i="27"/>
  <c r="K1659" i="27"/>
  <c r="L1135" i="27"/>
  <c r="I1134" i="27"/>
  <c r="O1134" i="27"/>
  <c r="J1134" i="27"/>
  <c r="G1135" i="27"/>
  <c r="J1135" i="27"/>
  <c r="L1134" i="27"/>
  <c r="N1135" i="27"/>
  <c r="M1135" i="27"/>
  <c r="A1135" i="27" s="1"/>
  <c r="M1134" i="27"/>
  <c r="A1134" i="27" s="1"/>
  <c r="O1135" i="27"/>
  <c r="E1134" i="27"/>
  <c r="E1135" i="27"/>
  <c r="N1134" i="27"/>
  <c r="K1660" i="27"/>
  <c r="K1135" i="27"/>
  <c r="I1135" i="27"/>
  <c r="G1134" i="27"/>
  <c r="A851" i="27"/>
  <c r="H1135" i="27"/>
  <c r="H1134" i="27"/>
  <c r="U867" i="32"/>
  <c r="H853" i="27"/>
  <c r="H3000" i="27"/>
  <c r="G867" i="32"/>
  <c r="G254" i="32"/>
  <c r="A865" i="32"/>
  <c r="G560" i="32"/>
  <c r="J852" i="27"/>
  <c r="A254" i="32"/>
  <c r="K3000" i="27"/>
  <c r="A560" i="32"/>
  <c r="I852" i="27"/>
  <c r="I3000" i="27"/>
  <c r="K852" i="27"/>
  <c r="I3002" i="27"/>
  <c r="A3000" i="27" l="1"/>
  <c r="U564" i="32"/>
  <c r="S1069" i="32" a="1"/>
  <c r="S1069" i="32" s="1"/>
  <c r="E1069" i="32" s="1"/>
  <c r="R1069" i="32" a="1"/>
  <c r="R1069" i="32" s="1"/>
  <c r="D1069" i="32" s="1"/>
  <c r="V1069" i="32" a="1"/>
  <c r="V1069" i="32" s="1"/>
  <c r="L1069" i="32" s="1"/>
  <c r="T1069" i="32" a="1"/>
  <c r="T1069" i="32" s="1"/>
  <c r="P1073" i="32"/>
  <c r="Q1071" i="32"/>
  <c r="U258" i="32"/>
  <c r="F3003" i="27"/>
  <c r="H1137" i="27"/>
  <c r="H1136" i="27"/>
  <c r="A852" i="27"/>
  <c r="M1137" i="27"/>
  <c r="A1137" i="27" s="1"/>
  <c r="K1137" i="27"/>
  <c r="I1137" i="27"/>
  <c r="M1136" i="27"/>
  <c r="A1136" i="27" s="1"/>
  <c r="O1137" i="27"/>
  <c r="L1136" i="27"/>
  <c r="L1137" i="27"/>
  <c r="O1136" i="27"/>
  <c r="J1137" i="27"/>
  <c r="K1661" i="27"/>
  <c r="N1137" i="27"/>
  <c r="E1136" i="27"/>
  <c r="G1137" i="27"/>
  <c r="E1137" i="27"/>
  <c r="K1136" i="27"/>
  <c r="N1136" i="27"/>
  <c r="G1136" i="27"/>
  <c r="I1136" i="27"/>
  <c r="J1136" i="27"/>
  <c r="K1662" i="27"/>
  <c r="H854" i="27"/>
  <c r="U869" i="32"/>
  <c r="H3002" i="27"/>
  <c r="G256" i="32"/>
  <c r="K853" i="27"/>
  <c r="I3003" i="27"/>
  <c r="K3002" i="27"/>
  <c r="I853" i="27"/>
  <c r="J853" i="27"/>
  <c r="A867" i="32"/>
  <c r="G869" i="32"/>
  <c r="J3002" i="27"/>
  <c r="G562" i="32"/>
  <c r="A256" i="32"/>
  <c r="A562" i="32"/>
  <c r="A3002" i="27" l="1"/>
  <c r="U566" i="32"/>
  <c r="T1071" i="32" a="1"/>
  <c r="T1071" i="32" s="1"/>
  <c r="V1071" i="32" a="1"/>
  <c r="V1071" i="32" s="1"/>
  <c r="L1071" i="32" s="1"/>
  <c r="S1071" i="32" a="1"/>
  <c r="S1071" i="32" s="1"/>
  <c r="E1071" i="32" s="1"/>
  <c r="R1071" i="32" a="1"/>
  <c r="R1071" i="32" s="1"/>
  <c r="D1071" i="32" s="1"/>
  <c r="P1075" i="32"/>
  <c r="Q1073" i="32"/>
  <c r="U260" i="32"/>
  <c r="F3004" i="27"/>
  <c r="E1139" i="27"/>
  <c r="I1139" i="27"/>
  <c r="K1139" i="27"/>
  <c r="M1139" i="27"/>
  <c r="A1139" i="27" s="1"/>
  <c r="G1139" i="27"/>
  <c r="E1138" i="27"/>
  <c r="L1138" i="27"/>
  <c r="J1138" i="27"/>
  <c r="O1139" i="27"/>
  <c r="I1138" i="27"/>
  <c r="N1138" i="27"/>
  <c r="K1663" i="27"/>
  <c r="O1138" i="27"/>
  <c r="J1139" i="27"/>
  <c r="L1139" i="27"/>
  <c r="G1138" i="27"/>
  <c r="K1138" i="27"/>
  <c r="N1139" i="27"/>
  <c r="M1138" i="27"/>
  <c r="A1138" i="27" s="1"/>
  <c r="K1664" i="27"/>
  <c r="H1138" i="27"/>
  <c r="H1139" i="27"/>
  <c r="A853" i="27"/>
  <c r="U871" i="32"/>
  <c r="H855" i="27"/>
  <c r="H856" i="27"/>
  <c r="G564" i="32"/>
  <c r="G258" i="32"/>
  <c r="H3003" i="27"/>
  <c r="A869" i="32"/>
  <c r="K854" i="27"/>
  <c r="A258" i="32"/>
  <c r="G871" i="32"/>
  <c r="J854" i="27"/>
  <c r="A564" i="32"/>
  <c r="H3004" i="27"/>
  <c r="I854" i="27"/>
  <c r="I3004" i="27"/>
  <c r="K3003" i="27"/>
  <c r="J3003" i="27"/>
  <c r="A3003" i="27" l="1"/>
  <c r="U568" i="32"/>
  <c r="V1073" i="32" a="1"/>
  <c r="V1073" i="32" s="1"/>
  <c r="L1073" i="32" s="1"/>
  <c r="T1073" i="32" a="1"/>
  <c r="T1073" i="32" s="1"/>
  <c r="S1073" i="32" a="1"/>
  <c r="S1073" i="32" s="1"/>
  <c r="E1073" i="32" s="1"/>
  <c r="R1073" i="32" a="1"/>
  <c r="R1073" i="32" s="1"/>
  <c r="D1073" i="32" s="1"/>
  <c r="P1077" i="32"/>
  <c r="Q1075" i="32"/>
  <c r="U262" i="32"/>
  <c r="F3005" i="27"/>
  <c r="A854" i="27"/>
  <c r="H1140" i="27"/>
  <c r="H1141" i="27"/>
  <c r="I1140" i="27"/>
  <c r="G1141" i="27"/>
  <c r="J1140" i="27"/>
  <c r="N1141" i="27"/>
  <c r="E1140" i="27"/>
  <c r="L1140" i="27"/>
  <c r="K1665" i="27"/>
  <c r="M1140" i="27"/>
  <c r="A1140" i="27" s="1"/>
  <c r="O1140" i="27"/>
  <c r="K1666" i="27"/>
  <c r="N1140" i="27"/>
  <c r="L1141" i="27"/>
  <c r="G1140" i="27"/>
  <c r="O1141" i="27"/>
  <c r="J1141" i="27"/>
  <c r="M1141" i="27"/>
  <c r="A1141" i="27" s="1"/>
  <c r="I1141" i="27"/>
  <c r="K1141" i="27"/>
  <c r="E1141" i="27"/>
  <c r="K1140" i="27"/>
  <c r="H857" i="27"/>
  <c r="U873" i="32"/>
  <c r="G566" i="32"/>
  <c r="A260" i="32"/>
  <c r="H3005" i="27"/>
  <c r="J3004" i="27"/>
  <c r="I856" i="27"/>
  <c r="K856" i="27"/>
  <c r="A566" i="32"/>
  <c r="J855" i="27"/>
  <c r="J3005" i="27"/>
  <c r="K3004" i="27"/>
  <c r="G873" i="32"/>
  <c r="G260" i="32"/>
  <c r="I3005" i="27"/>
  <c r="A871" i="32"/>
  <c r="K855" i="27"/>
  <c r="J856" i="27"/>
  <c r="K3005" i="27"/>
  <c r="I855" i="27"/>
  <c r="A3004" i="27" l="1"/>
  <c r="U570" i="32"/>
  <c r="V1075" i="32" a="1"/>
  <c r="V1075" i="32" s="1"/>
  <c r="L1075" i="32" s="1"/>
  <c r="S1075" i="32" a="1"/>
  <c r="S1075" i="32" s="1"/>
  <c r="E1075" i="32" s="1"/>
  <c r="T1075" i="32" a="1"/>
  <c r="T1075" i="32" s="1"/>
  <c r="R1075" i="32" a="1"/>
  <c r="R1075" i="32" s="1"/>
  <c r="D1075" i="32" s="1"/>
  <c r="P1079" i="32"/>
  <c r="Q1077" i="32"/>
  <c r="U264" i="32"/>
  <c r="A3005" i="27"/>
  <c r="F3006" i="27"/>
  <c r="F3007" i="27"/>
  <c r="A855" i="27"/>
  <c r="A856" i="27"/>
  <c r="M1142" i="27"/>
  <c r="A1142" i="27" s="1"/>
  <c r="M1143" i="27"/>
  <c r="A1143" i="27" s="1"/>
  <c r="G1142" i="27"/>
  <c r="E1142" i="27"/>
  <c r="I1143" i="27"/>
  <c r="N1142" i="27"/>
  <c r="J1142" i="27"/>
  <c r="I1142" i="27"/>
  <c r="K1668" i="27"/>
  <c r="E1143" i="27"/>
  <c r="K1143" i="27"/>
  <c r="L1143" i="27"/>
  <c r="K1667" i="27"/>
  <c r="O1142" i="27"/>
  <c r="G1143" i="27"/>
  <c r="L1142" i="27"/>
  <c r="J1143" i="27"/>
  <c r="N1143" i="27"/>
  <c r="O1143" i="27"/>
  <c r="K1142" i="27"/>
  <c r="H1143" i="27"/>
  <c r="H1142" i="27"/>
  <c r="H858" i="27"/>
  <c r="U875" i="32"/>
  <c r="J3006" i="27"/>
  <c r="J3007" i="27"/>
  <c r="I3006" i="27"/>
  <c r="G262" i="32"/>
  <c r="J857" i="27"/>
  <c r="I857" i="27"/>
  <c r="K857" i="27"/>
  <c r="K3006" i="27"/>
  <c r="A568" i="32"/>
  <c r="K3007" i="27"/>
  <c r="A262" i="32"/>
  <c r="A873" i="32"/>
  <c r="H3006" i="27"/>
  <c r="G568" i="32"/>
  <c r="U572" i="32" l="1"/>
  <c r="R1077" i="32" a="1"/>
  <c r="R1077" i="32" s="1"/>
  <c r="D1077" i="32" s="1"/>
  <c r="T1077" i="32" a="1"/>
  <c r="T1077" i="32" s="1"/>
  <c r="S1077" i="32" a="1"/>
  <c r="S1077" i="32" s="1"/>
  <c r="E1077" i="32" s="1"/>
  <c r="V1077" i="32" a="1"/>
  <c r="V1077" i="32" s="1"/>
  <c r="L1077" i="32" s="1"/>
  <c r="P1081" i="32"/>
  <c r="Q1079" i="32"/>
  <c r="U266" i="32"/>
  <c r="A3007" i="27"/>
  <c r="A3006" i="27"/>
  <c r="F3008" i="27"/>
  <c r="H1144" i="27"/>
  <c r="H1145" i="27"/>
  <c r="G1145" i="27"/>
  <c r="M1145" i="27"/>
  <c r="A1145" i="27" s="1"/>
  <c r="N1145" i="27"/>
  <c r="J1144" i="27"/>
  <c r="I1144" i="27"/>
  <c r="K1670" i="27"/>
  <c r="L1144" i="27"/>
  <c r="E1145" i="27"/>
  <c r="J1145" i="27"/>
  <c r="N1144" i="27"/>
  <c r="O1145" i="27"/>
  <c r="K1669" i="27"/>
  <c r="G1144" i="27"/>
  <c r="K1145" i="27"/>
  <c r="K1144" i="27"/>
  <c r="L1145" i="27"/>
  <c r="I1145" i="27"/>
  <c r="M1144" i="27"/>
  <c r="A1144" i="27" s="1"/>
  <c r="O1144" i="27"/>
  <c r="E1144" i="27"/>
  <c r="A857" i="27"/>
  <c r="U877" i="32"/>
  <c r="H859" i="27"/>
  <c r="A875" i="32"/>
  <c r="K3008" i="27"/>
  <c r="H3007" i="27"/>
  <c r="J3008" i="27"/>
  <c r="I858" i="27"/>
  <c r="I3008" i="27"/>
  <c r="A570" i="32"/>
  <c r="G570" i="32"/>
  <c r="J858" i="27"/>
  <c r="K858" i="27"/>
  <c r="G264" i="32"/>
  <c r="H3008" i="27"/>
  <c r="G875" i="32"/>
  <c r="I3007" i="27"/>
  <c r="A264" i="32"/>
  <c r="U574" i="32" l="1"/>
  <c r="V1079" i="32" a="1"/>
  <c r="V1079" i="32" s="1"/>
  <c r="L1079" i="32" s="1"/>
  <c r="T1079" i="32" a="1"/>
  <c r="T1079" i="32" s="1"/>
  <c r="R1079" i="32" a="1"/>
  <c r="R1079" i="32" s="1"/>
  <c r="D1079" i="32" s="1"/>
  <c r="S1079" i="32" a="1"/>
  <c r="S1079" i="32" s="1"/>
  <c r="E1079" i="32" s="1"/>
  <c r="P1083" i="32"/>
  <c r="Q1081" i="32"/>
  <c r="U268" i="32"/>
  <c r="A3008" i="27"/>
  <c r="F3009" i="27"/>
  <c r="H1146" i="27"/>
  <c r="H1147" i="27"/>
  <c r="G1146" i="27"/>
  <c r="M1146" i="27"/>
  <c r="A1146" i="27" s="1"/>
  <c r="K1672" i="27"/>
  <c r="G1147" i="27"/>
  <c r="E1147" i="27"/>
  <c r="K1671" i="27"/>
  <c r="L1147" i="27"/>
  <c r="M1147" i="27"/>
  <c r="A1147" i="27" s="1"/>
  <c r="O1147" i="27"/>
  <c r="J1146" i="27"/>
  <c r="K1146" i="27"/>
  <c r="J1147" i="27"/>
  <c r="I1146" i="27"/>
  <c r="N1146" i="27"/>
  <c r="E1146" i="27"/>
  <c r="L1146" i="27"/>
  <c r="O1146" i="27"/>
  <c r="I1147" i="27"/>
  <c r="N1147" i="27"/>
  <c r="K1147" i="27"/>
  <c r="A858" i="27"/>
  <c r="H860" i="27"/>
  <c r="U879" i="32"/>
  <c r="G877" i="32"/>
  <c r="A266" i="32"/>
  <c r="I3009" i="27"/>
  <c r="A877" i="32"/>
  <c r="J3009" i="27"/>
  <c r="G572" i="32"/>
  <c r="K859" i="27"/>
  <c r="J859" i="27"/>
  <c r="I859" i="27"/>
  <c r="G266" i="32"/>
  <c r="A572" i="32"/>
  <c r="K3009" i="27"/>
  <c r="H3009" i="27"/>
  <c r="U576" i="32" l="1"/>
  <c r="T1081" i="32" a="1"/>
  <c r="T1081" i="32" s="1"/>
  <c r="S1081" i="32" a="1"/>
  <c r="S1081" i="32" s="1"/>
  <c r="E1081" i="32" s="1"/>
  <c r="V1081" i="32" a="1"/>
  <c r="V1081" i="32" s="1"/>
  <c r="L1081" i="32" s="1"/>
  <c r="R1081" i="32" a="1"/>
  <c r="R1081" i="32" s="1"/>
  <c r="D1081" i="32" s="1"/>
  <c r="P1085" i="32"/>
  <c r="Q1083" i="32"/>
  <c r="U270" i="32"/>
  <c r="A3009" i="27"/>
  <c r="F3010" i="27"/>
  <c r="A859" i="27"/>
  <c r="G1148" i="27"/>
  <c r="L1148" i="27"/>
  <c r="G1149" i="27"/>
  <c r="K1674" i="27"/>
  <c r="J1149" i="27"/>
  <c r="K1149" i="27"/>
  <c r="I1148" i="27"/>
  <c r="M1149" i="27"/>
  <c r="A1149" i="27" s="1"/>
  <c r="O1148" i="27"/>
  <c r="I1149" i="27"/>
  <c r="J1148" i="27"/>
  <c r="E1149" i="27"/>
  <c r="K1673" i="27"/>
  <c r="N1148" i="27"/>
  <c r="E1148" i="27"/>
  <c r="M1148" i="27"/>
  <c r="A1148" i="27" s="1"/>
  <c r="K1148" i="27"/>
  <c r="O1149" i="27"/>
  <c r="N1149" i="27"/>
  <c r="L1149" i="27"/>
  <c r="H1148" i="27"/>
  <c r="H1149" i="27"/>
  <c r="U881" i="32"/>
  <c r="H861" i="27"/>
  <c r="H862" i="27"/>
  <c r="G268" i="32"/>
  <c r="I860" i="27"/>
  <c r="A879" i="32"/>
  <c r="G879" i="32"/>
  <c r="K3010" i="27"/>
  <c r="K860" i="27"/>
  <c r="G574" i="32"/>
  <c r="J860" i="27"/>
  <c r="A574" i="32"/>
  <c r="J3010" i="27"/>
  <c r="A268" i="32"/>
  <c r="H3010" i="27"/>
  <c r="I3010" i="27"/>
  <c r="U578" i="32" l="1"/>
  <c r="T1083" i="32" a="1"/>
  <c r="T1083" i="32" s="1"/>
  <c r="V1083" i="32" a="1"/>
  <c r="V1083" i="32" s="1"/>
  <c r="L1083" i="32" s="1"/>
  <c r="R1083" i="32" a="1"/>
  <c r="R1083" i="32" s="1"/>
  <c r="D1083" i="32" s="1"/>
  <c r="S1083" i="32" a="1"/>
  <c r="S1083" i="32" s="1"/>
  <c r="E1083" i="32" s="1"/>
  <c r="P1087" i="32"/>
  <c r="Q1085" i="32"/>
  <c r="U272" i="32"/>
  <c r="A3010" i="27"/>
  <c r="F3011" i="27"/>
  <c r="A860" i="27"/>
  <c r="H1151" i="27"/>
  <c r="H1150" i="27"/>
  <c r="G1151" i="27"/>
  <c r="O1150" i="27"/>
  <c r="L1150" i="27"/>
  <c r="I1151" i="27"/>
  <c r="M1150" i="27"/>
  <c r="A1150" i="27" s="1"/>
  <c r="E1150" i="27"/>
  <c r="K1675" i="27"/>
  <c r="N1150" i="27"/>
  <c r="I1150" i="27"/>
  <c r="K1676" i="27"/>
  <c r="J1151" i="27"/>
  <c r="O1151" i="27"/>
  <c r="J1150" i="27"/>
  <c r="K1151" i="27"/>
  <c r="E1151" i="27"/>
  <c r="N1151" i="27"/>
  <c r="L1151" i="27"/>
  <c r="G1150" i="27"/>
  <c r="M1151" i="27"/>
  <c r="A1151" i="27" s="1"/>
  <c r="K1150" i="27"/>
  <c r="H863" i="27"/>
  <c r="U883" i="32"/>
  <c r="I861" i="27"/>
  <c r="A881" i="32"/>
  <c r="G576" i="32"/>
  <c r="K862" i="27"/>
  <c r="I3011" i="27"/>
  <c r="J861" i="27"/>
  <c r="K3011" i="27"/>
  <c r="G881" i="32"/>
  <c r="I862" i="27"/>
  <c r="A270" i="32"/>
  <c r="K861" i="27"/>
  <c r="J862" i="27"/>
  <c r="A576" i="32"/>
  <c r="G270" i="32"/>
  <c r="U580" i="32" l="1"/>
  <c r="V1085" i="32" a="1"/>
  <c r="V1085" i="32" s="1"/>
  <c r="L1085" i="32" s="1"/>
  <c r="T1085" i="32" a="1"/>
  <c r="T1085" i="32" s="1"/>
  <c r="R1085" i="32" a="1"/>
  <c r="R1085" i="32" s="1"/>
  <c r="D1085" i="32" s="1"/>
  <c r="S1085" i="32" a="1"/>
  <c r="S1085" i="32" s="1"/>
  <c r="E1085" i="32" s="1"/>
  <c r="P1089" i="32"/>
  <c r="Q1087" i="32"/>
  <c r="U274" i="32"/>
  <c r="F3013" i="27"/>
  <c r="F3012" i="27"/>
  <c r="H1153" i="27"/>
  <c r="H1152" i="27"/>
  <c r="K1153" i="27"/>
  <c r="E1153" i="27"/>
  <c r="K1678" i="27"/>
  <c r="K1152" i="27"/>
  <c r="M1153" i="27"/>
  <c r="A1153" i="27" s="1"/>
  <c r="E1152" i="27"/>
  <c r="I1152" i="27"/>
  <c r="N1152" i="27"/>
  <c r="O1153" i="27"/>
  <c r="N1153" i="27"/>
  <c r="G1152" i="27"/>
  <c r="G1153" i="27"/>
  <c r="O1152" i="27"/>
  <c r="L1153" i="27"/>
  <c r="J1152" i="27"/>
  <c r="L1152" i="27"/>
  <c r="M1152" i="27"/>
  <c r="A1152" i="27" s="1"/>
  <c r="J1153" i="27"/>
  <c r="I1153" i="27"/>
  <c r="K1677" i="27"/>
  <c r="A861" i="27"/>
  <c r="A862" i="27"/>
  <c r="U885" i="32"/>
  <c r="H864" i="27"/>
  <c r="A578" i="32"/>
  <c r="G883" i="32"/>
  <c r="J863" i="27"/>
  <c r="J3012" i="27"/>
  <c r="H3011" i="27"/>
  <c r="I863" i="27"/>
  <c r="G578" i="32"/>
  <c r="A883" i="32"/>
  <c r="H3013" i="27"/>
  <c r="J3013" i="27"/>
  <c r="K3013" i="27"/>
  <c r="K863" i="27"/>
  <c r="G272" i="32"/>
  <c r="A272" i="32"/>
  <c r="I3013" i="27"/>
  <c r="K3012" i="27"/>
  <c r="J3011" i="27"/>
  <c r="A3011" i="27" l="1"/>
  <c r="U582" i="32"/>
  <c r="V1087" i="32" a="1"/>
  <c r="V1087" i="32" s="1"/>
  <c r="L1087" i="32" s="1"/>
  <c r="S1087" i="32" a="1"/>
  <c r="S1087" i="32" s="1"/>
  <c r="E1087" i="32" s="1"/>
  <c r="R1087" i="32" a="1"/>
  <c r="R1087" i="32" s="1"/>
  <c r="D1087" i="32" s="1"/>
  <c r="T1087" i="32" a="1"/>
  <c r="T1087" i="32" s="1"/>
  <c r="P1091" i="32"/>
  <c r="Q1089" i="32"/>
  <c r="U276" i="32"/>
  <c r="A3012" i="27"/>
  <c r="A3013" i="27"/>
  <c r="F3014" i="27"/>
  <c r="H1155" i="27"/>
  <c r="H1154" i="27"/>
  <c r="K1154" i="27"/>
  <c r="E1155" i="27"/>
  <c r="M1154" i="27"/>
  <c r="A1154" i="27" s="1"/>
  <c r="O1154" i="27"/>
  <c r="E1154" i="27"/>
  <c r="I1154" i="27"/>
  <c r="L1155" i="27"/>
  <c r="L1154" i="27"/>
  <c r="N1154" i="27"/>
  <c r="I1155" i="27"/>
  <c r="O1155" i="27"/>
  <c r="K1679" i="27"/>
  <c r="J1155" i="27"/>
  <c r="G1154" i="27"/>
  <c r="N1155" i="27"/>
  <c r="G1155" i="27"/>
  <c r="M1155" i="27"/>
  <c r="A1155" i="27" s="1"/>
  <c r="J1154" i="27"/>
  <c r="K1680" i="27"/>
  <c r="K1155" i="27"/>
  <c r="A863" i="27"/>
  <c r="U887" i="32"/>
  <c r="H865" i="27"/>
  <c r="I3014" i="27"/>
  <c r="G274" i="32"/>
  <c r="I864" i="27"/>
  <c r="H3012" i="27"/>
  <c r="G885" i="32"/>
  <c r="J864" i="27"/>
  <c r="A580" i="32"/>
  <c r="K3014" i="27"/>
  <c r="A274" i="32"/>
  <c r="A885" i="32"/>
  <c r="H3014" i="27"/>
  <c r="K864" i="27"/>
  <c r="I3012" i="27"/>
  <c r="J3014" i="27"/>
  <c r="G580" i="32"/>
  <c r="U584" i="32" l="1"/>
  <c r="T1089" i="32" a="1"/>
  <c r="T1089" i="32" s="1"/>
  <c r="R1089" i="32" a="1"/>
  <c r="R1089" i="32" s="1"/>
  <c r="D1089" i="32" s="1"/>
  <c r="S1089" i="32" a="1"/>
  <c r="S1089" i="32" s="1"/>
  <c r="E1089" i="32" s="1"/>
  <c r="V1089" i="32" a="1"/>
  <c r="V1089" i="32" s="1"/>
  <c r="L1089" i="32" s="1"/>
  <c r="P1093" i="32"/>
  <c r="Q1091" i="32"/>
  <c r="U278" i="32"/>
  <c r="A3014" i="27"/>
  <c r="F3015" i="27"/>
  <c r="A864" i="27"/>
  <c r="K1157" i="27"/>
  <c r="L1156" i="27"/>
  <c r="M1157" i="27"/>
  <c r="A1157" i="27" s="1"/>
  <c r="J1156" i="27"/>
  <c r="E1156" i="27"/>
  <c r="E1157" i="27"/>
  <c r="G1156" i="27"/>
  <c r="O1157" i="27"/>
  <c r="G1157" i="27"/>
  <c r="I1157" i="27"/>
  <c r="K1681" i="27"/>
  <c r="K1156" i="27"/>
  <c r="K1682" i="27"/>
  <c r="L1157" i="27"/>
  <c r="I1156" i="27"/>
  <c r="O1156" i="27"/>
  <c r="M1156" i="27"/>
  <c r="A1156" i="27" s="1"/>
  <c r="J1157" i="27"/>
  <c r="N1156" i="27"/>
  <c r="N1157" i="27"/>
  <c r="H1156" i="27"/>
  <c r="H1157" i="27"/>
  <c r="H866" i="27"/>
  <c r="U889" i="32"/>
  <c r="J865" i="27"/>
  <c r="I3015" i="27"/>
  <c r="G887" i="32"/>
  <c r="G582" i="32"/>
  <c r="H3015" i="27"/>
  <c r="A887" i="32"/>
  <c r="G276" i="32"/>
  <c r="I865" i="27"/>
  <c r="K865" i="27"/>
  <c r="J3015" i="27"/>
  <c r="A582" i="32"/>
  <c r="K3015" i="27"/>
  <c r="A276" i="32"/>
  <c r="U586" i="32" l="1"/>
  <c r="V1091" i="32" a="1"/>
  <c r="V1091" i="32" s="1"/>
  <c r="L1091" i="32" s="1"/>
  <c r="R1091" i="32" a="1"/>
  <c r="R1091" i="32" s="1"/>
  <c r="D1091" i="32" s="1"/>
  <c r="T1091" i="32" a="1"/>
  <c r="T1091" i="32" s="1"/>
  <c r="S1091" i="32" a="1"/>
  <c r="S1091" i="32" s="1"/>
  <c r="E1091" i="32" s="1"/>
  <c r="P1095" i="32"/>
  <c r="Q1093" i="32"/>
  <c r="U280" i="32"/>
  <c r="A3015" i="27"/>
  <c r="F3016" i="27"/>
  <c r="A865" i="27"/>
  <c r="O1159" i="27"/>
  <c r="K1684" i="27"/>
  <c r="K1159" i="27"/>
  <c r="L1159" i="27"/>
  <c r="I1159" i="27"/>
  <c r="G1158" i="27"/>
  <c r="L1158" i="27"/>
  <c r="N1159" i="27"/>
  <c r="M1159" i="27"/>
  <c r="A1159" i="27" s="1"/>
  <c r="K1683" i="27"/>
  <c r="J1158" i="27"/>
  <c r="J1159" i="27"/>
  <c r="N1158" i="27"/>
  <c r="K1158" i="27"/>
  <c r="O1158" i="27"/>
  <c r="G1159" i="27"/>
  <c r="E1158" i="27"/>
  <c r="E1159" i="27"/>
  <c r="I1158" i="27"/>
  <c r="M1158" i="27"/>
  <c r="A1158" i="27" s="1"/>
  <c r="H1158" i="27"/>
  <c r="H1159" i="27"/>
  <c r="U891" i="32"/>
  <c r="H867" i="27"/>
  <c r="H868" i="27"/>
  <c r="J866" i="27"/>
  <c r="A889" i="32"/>
  <c r="I866" i="27"/>
  <c r="G278" i="32"/>
  <c r="J3016" i="27"/>
  <c r="H3016" i="27"/>
  <c r="K3016" i="27"/>
  <c r="G889" i="32"/>
  <c r="I3016" i="27"/>
  <c r="K866" i="27"/>
  <c r="A278" i="32"/>
  <c r="A584" i="32"/>
  <c r="G584" i="32"/>
  <c r="U588" i="32" l="1"/>
  <c r="V1093" i="32" a="1"/>
  <c r="V1093" i="32" s="1"/>
  <c r="L1093" i="32" s="1"/>
  <c r="T1093" i="32" a="1"/>
  <c r="T1093" i="32" s="1"/>
  <c r="R1093" i="32" a="1"/>
  <c r="R1093" i="32" s="1"/>
  <c r="D1093" i="32" s="1"/>
  <c r="S1093" i="32" a="1"/>
  <c r="S1093" i="32" s="1"/>
  <c r="E1093" i="32" s="1"/>
  <c r="P1097" i="32"/>
  <c r="Q1095" i="32"/>
  <c r="U282" i="32"/>
  <c r="A3016" i="27"/>
  <c r="F3017" i="27"/>
  <c r="A866" i="27"/>
  <c r="N1160" i="27"/>
  <c r="I1160" i="27"/>
  <c r="L1160" i="27"/>
  <c r="I1161" i="27"/>
  <c r="O1160" i="27"/>
  <c r="J1160" i="27"/>
  <c r="E1160" i="27"/>
  <c r="O1161" i="27"/>
  <c r="M1160" i="27"/>
  <c r="A1160" i="27" s="1"/>
  <c r="J1161" i="27"/>
  <c r="M1161" i="27"/>
  <c r="A1161" i="27" s="1"/>
  <c r="E1161" i="27"/>
  <c r="L1161" i="27"/>
  <c r="G1161" i="27"/>
  <c r="N1161" i="27"/>
  <c r="K1686" i="27"/>
  <c r="K1160" i="27"/>
  <c r="G1160" i="27"/>
  <c r="K1685" i="27"/>
  <c r="K1161" i="27"/>
  <c r="H1161" i="27"/>
  <c r="H1160" i="27"/>
  <c r="H869" i="27"/>
  <c r="U893" i="32"/>
  <c r="G586" i="32"/>
  <c r="A280" i="32"/>
  <c r="J867" i="27"/>
  <c r="J3017" i="27"/>
  <c r="I3017" i="27"/>
  <c r="H3017" i="27"/>
  <c r="A891" i="32"/>
  <c r="I867" i="27"/>
  <c r="I868" i="27"/>
  <c r="G891" i="32"/>
  <c r="J868" i="27"/>
  <c r="A586" i="32"/>
  <c r="K867" i="27"/>
  <c r="G280" i="32"/>
  <c r="K3017" i="27"/>
  <c r="K868" i="27"/>
  <c r="U590" i="32" l="1"/>
  <c r="T1095" i="32" a="1"/>
  <c r="T1095" i="32" s="1"/>
  <c r="V1095" i="32" a="1"/>
  <c r="V1095" i="32" s="1"/>
  <c r="L1095" i="32" s="1"/>
  <c r="R1095" i="32" a="1"/>
  <c r="R1095" i="32" s="1"/>
  <c r="D1095" i="32" s="1"/>
  <c r="S1095" i="32" a="1"/>
  <c r="S1095" i="32" s="1"/>
  <c r="E1095" i="32" s="1"/>
  <c r="P1099" i="32"/>
  <c r="Q1097" i="32"/>
  <c r="U284" i="32"/>
  <c r="A3017" i="27"/>
  <c r="F3019" i="27"/>
  <c r="F3018" i="27"/>
  <c r="A867" i="27"/>
  <c r="H1163" i="27"/>
  <c r="H1162" i="27"/>
  <c r="M1162" i="27"/>
  <c r="A1162" i="27" s="1"/>
  <c r="M1163" i="27"/>
  <c r="A1163" i="27" s="1"/>
  <c r="K1688" i="27"/>
  <c r="E1163" i="27"/>
  <c r="O1162" i="27"/>
  <c r="G1163" i="27"/>
  <c r="J1162" i="27"/>
  <c r="K1163" i="27"/>
  <c r="N1162" i="27"/>
  <c r="N1163" i="27"/>
  <c r="J1163" i="27"/>
  <c r="K1687" i="27"/>
  <c r="O1163" i="27"/>
  <c r="E1162" i="27"/>
  <c r="I1162" i="27"/>
  <c r="G1162" i="27"/>
  <c r="L1162" i="27"/>
  <c r="I1163" i="27"/>
  <c r="K1162" i="27"/>
  <c r="L1163" i="27"/>
  <c r="A868" i="27"/>
  <c r="U895" i="32"/>
  <c r="H870" i="27"/>
  <c r="K3018" i="27"/>
  <c r="G893" i="32"/>
  <c r="H3018" i="27"/>
  <c r="G282" i="32"/>
  <c r="I869" i="27"/>
  <c r="J869" i="27"/>
  <c r="I3018" i="27"/>
  <c r="A893" i="32"/>
  <c r="A282" i="32"/>
  <c r="K869" i="27"/>
  <c r="G588" i="32"/>
  <c r="A588" i="32"/>
  <c r="K3019" i="27"/>
  <c r="J3018" i="27"/>
  <c r="U592" i="32" l="1"/>
  <c r="R1097" i="32" a="1"/>
  <c r="R1097" i="32" s="1"/>
  <c r="D1097" i="32" s="1"/>
  <c r="S1097" i="32" a="1"/>
  <c r="S1097" i="32" s="1"/>
  <c r="E1097" i="32" s="1"/>
  <c r="V1097" i="32" a="1"/>
  <c r="V1097" i="32" s="1"/>
  <c r="L1097" i="32" s="1"/>
  <c r="T1097" i="32" a="1"/>
  <c r="T1097" i="32" s="1"/>
  <c r="P1101" i="32"/>
  <c r="P1103" i="32" s="1"/>
  <c r="P1105" i="32" s="1"/>
  <c r="P1107" i="32" s="1"/>
  <c r="P1109" i="32" s="1"/>
  <c r="P1111" i="32" s="1"/>
  <c r="P1113" i="32" s="1"/>
  <c r="P1115" i="32" s="1"/>
  <c r="P1117" i="32" s="1"/>
  <c r="P1119" i="32" s="1"/>
  <c r="P1121" i="32" s="1"/>
  <c r="P1123" i="32" s="1"/>
  <c r="P1125" i="32" s="1"/>
  <c r="P1127" i="32" s="1"/>
  <c r="P1129" i="32" s="1"/>
  <c r="P1131" i="32" s="1"/>
  <c r="P1133" i="32" s="1"/>
  <c r="P1135" i="32" s="1"/>
  <c r="P1137" i="32" s="1"/>
  <c r="P1139" i="32" s="1"/>
  <c r="P1141" i="32" s="1"/>
  <c r="P1143" i="32" s="1"/>
  <c r="P1145" i="32" s="1"/>
  <c r="P1147" i="32" s="1"/>
  <c r="P1149" i="32" s="1"/>
  <c r="P1151" i="32" s="1"/>
  <c r="P1153" i="32" s="1"/>
  <c r="P1155" i="32" s="1"/>
  <c r="P1157" i="32" s="1"/>
  <c r="P1159" i="32" s="1"/>
  <c r="P1161" i="32" s="1"/>
  <c r="P1163" i="32" s="1"/>
  <c r="P1165" i="32" s="1"/>
  <c r="P1167" i="32" s="1"/>
  <c r="P1169" i="32" s="1"/>
  <c r="P1171" i="32" s="1"/>
  <c r="P1173" i="32" s="1"/>
  <c r="P1175" i="32" s="1"/>
  <c r="P1177" i="32" s="1"/>
  <c r="P1179" i="32" s="1"/>
  <c r="P1181" i="32" s="1"/>
  <c r="P1183" i="32" s="1"/>
  <c r="P1185" i="32" s="1"/>
  <c r="P1187" i="32" s="1"/>
  <c r="P1189" i="32" s="1"/>
  <c r="P1191" i="32" s="1"/>
  <c r="P1193" i="32" s="1"/>
  <c r="P1195" i="32" s="1"/>
  <c r="P1197" i="32" s="1"/>
  <c r="P1199" i="32" s="1"/>
  <c r="P1201" i="32" s="1"/>
  <c r="P1203" i="32" s="1"/>
  <c r="P1205" i="32" s="1"/>
  <c r="P1207" i="32" s="1"/>
  <c r="P1209" i="32" s="1"/>
  <c r="P1211" i="32" s="1"/>
  <c r="P1213" i="32" s="1"/>
  <c r="P1215" i="32" s="1"/>
  <c r="P1217" i="32" s="1"/>
  <c r="P1219" i="32" s="1"/>
  <c r="P1221" i="32" s="1"/>
  <c r="P1223" i="32" s="1"/>
  <c r="P1225" i="32" s="1"/>
  <c r="P1227" i="32" s="1"/>
  <c r="P1229" i="32" s="1"/>
  <c r="P1231" i="32" s="1"/>
  <c r="P1233" i="32" s="1"/>
  <c r="P1235" i="32" s="1"/>
  <c r="P1237" i="32" s="1"/>
  <c r="P1239" i="32" s="1"/>
  <c r="P1241" i="32" s="1"/>
  <c r="P1243" i="32" s="1"/>
  <c r="P1245" i="32" s="1"/>
  <c r="P1247" i="32" s="1"/>
  <c r="P1249" i="32" s="1"/>
  <c r="P1251" i="32" s="1"/>
  <c r="P1253" i="32" s="1"/>
  <c r="P1255" i="32" s="1"/>
  <c r="P1257" i="32" s="1"/>
  <c r="P1259" i="32" s="1"/>
  <c r="P1261" i="32" s="1"/>
  <c r="P1263" i="32" s="1"/>
  <c r="P1265" i="32" s="1"/>
  <c r="P1267" i="32" s="1"/>
  <c r="P1269" i="32" s="1"/>
  <c r="P1271" i="32" s="1"/>
  <c r="P1273" i="32" s="1"/>
  <c r="P1275" i="32" s="1"/>
  <c r="P1277" i="32" s="1"/>
  <c r="P1279" i="32" s="1"/>
  <c r="P1281" i="32" s="1"/>
  <c r="P1283" i="32" s="1"/>
  <c r="P1285" i="32" s="1"/>
  <c r="P1287" i="32" s="1"/>
  <c r="P1289" i="32" s="1"/>
  <c r="P1291" i="32" s="1"/>
  <c r="P1293" i="32" s="1"/>
  <c r="P1295" i="32" s="1"/>
  <c r="P1297" i="32" s="1"/>
  <c r="P1299" i="32" s="1"/>
  <c r="P1301" i="32" s="1"/>
  <c r="P1303" i="32" s="1"/>
  <c r="P1305" i="32" s="1"/>
  <c r="P1307" i="32" s="1"/>
  <c r="P1309" i="32" s="1"/>
  <c r="P1311" i="32" s="1"/>
  <c r="P1313" i="32" s="1"/>
  <c r="P1315" i="32" s="1"/>
  <c r="P1317" i="32" s="1"/>
  <c r="P1319" i="32" s="1"/>
  <c r="P1321" i="32" s="1"/>
  <c r="P1323" i="32" s="1"/>
  <c r="P1325" i="32" s="1"/>
  <c r="P1327" i="32" s="1"/>
  <c r="P1329" i="32" s="1"/>
  <c r="P1331" i="32" s="1"/>
  <c r="P1333" i="32" s="1"/>
  <c r="P1335" i="32" s="1"/>
  <c r="P1337" i="32" s="1"/>
  <c r="P1339" i="32" s="1"/>
  <c r="P1341" i="32" s="1"/>
  <c r="P1343" i="32" s="1"/>
  <c r="P1345" i="32" s="1"/>
  <c r="P1347" i="32" s="1"/>
  <c r="P1349" i="32" s="1"/>
  <c r="P1351" i="32" s="1"/>
  <c r="P1353" i="32" s="1"/>
  <c r="P1355" i="32" s="1"/>
  <c r="P1357" i="32" s="1"/>
  <c r="P1359" i="32" s="1"/>
  <c r="P1361" i="32" s="1"/>
  <c r="P1363" i="32" s="1"/>
  <c r="P1365" i="32" s="1"/>
  <c r="P1367" i="32" s="1"/>
  <c r="P1369" i="32" s="1"/>
  <c r="P1371" i="32" s="1"/>
  <c r="P1373" i="32" s="1"/>
  <c r="P1375" i="32" s="1"/>
  <c r="P1377" i="32" s="1"/>
  <c r="P1379" i="32" s="1"/>
  <c r="P1381" i="32" s="1"/>
  <c r="P1383" i="32" s="1"/>
  <c r="P1385" i="32" s="1"/>
  <c r="P1387" i="32" s="1"/>
  <c r="P1389" i="32" s="1"/>
  <c r="P1391" i="32" s="1"/>
  <c r="P1393" i="32" s="1"/>
  <c r="P1395" i="32" s="1"/>
  <c r="P1397" i="32" s="1"/>
  <c r="P1399" i="32" s="1"/>
  <c r="P1401" i="32" s="1"/>
  <c r="P1403" i="32" s="1"/>
  <c r="P1405" i="32" s="1"/>
  <c r="P1407" i="32" s="1"/>
  <c r="P1409" i="32" s="1"/>
  <c r="P1411" i="32" s="1"/>
  <c r="P1413" i="32" s="1"/>
  <c r="P1415" i="32" s="1"/>
  <c r="P1417" i="32" s="1"/>
  <c r="P1419" i="32" s="1"/>
  <c r="P1421" i="32" s="1"/>
  <c r="P1423" i="32" s="1"/>
  <c r="P1425" i="32" s="1"/>
  <c r="P1427" i="32" s="1"/>
  <c r="P1429" i="32" s="1"/>
  <c r="P1431" i="32" s="1"/>
  <c r="P1433" i="32" s="1"/>
  <c r="P1435" i="32" s="1"/>
  <c r="P1437" i="32" s="1"/>
  <c r="P1439" i="32" s="1"/>
  <c r="P1441" i="32" s="1"/>
  <c r="P1443" i="32" s="1"/>
  <c r="P1445" i="32" s="1"/>
  <c r="P1447" i="32" s="1"/>
  <c r="P1449" i="32" s="1"/>
  <c r="P1451" i="32" s="1"/>
  <c r="P1453" i="32" s="1"/>
  <c r="P1455" i="32" s="1"/>
  <c r="P1457" i="32" s="1"/>
  <c r="P1459" i="32" s="1"/>
  <c r="P1461" i="32" s="1"/>
  <c r="P1463" i="32" s="1"/>
  <c r="P1465" i="32" s="1"/>
  <c r="P1467" i="32" s="1"/>
  <c r="P1469" i="32" s="1"/>
  <c r="P1471" i="32" s="1"/>
  <c r="P1473" i="32" s="1"/>
  <c r="P1475" i="32" s="1"/>
  <c r="P1477" i="32" s="1"/>
  <c r="P1479" i="32" s="1"/>
  <c r="P1481" i="32" s="1"/>
  <c r="P1483" i="32" s="1"/>
  <c r="P1485" i="32" s="1"/>
  <c r="P1487" i="32" s="1"/>
  <c r="P1489" i="32" s="1"/>
  <c r="P1491" i="32" s="1"/>
  <c r="P1493" i="32" s="1"/>
  <c r="P1495" i="32" s="1"/>
  <c r="P1497" i="32" s="1"/>
  <c r="P1499" i="32" s="1"/>
  <c r="P1501" i="32" s="1"/>
  <c r="P1503" i="32" s="1"/>
  <c r="P1505" i="32" s="1"/>
  <c r="P1507" i="32" s="1"/>
  <c r="P1509" i="32" s="1"/>
  <c r="P1511" i="32" s="1"/>
  <c r="P1513" i="32" s="1"/>
  <c r="P1515" i="32" s="1"/>
  <c r="P1517" i="32" s="1"/>
  <c r="P1519" i="32" s="1"/>
  <c r="P1521" i="32" s="1"/>
  <c r="P1523" i="32" s="1"/>
  <c r="P1525" i="32" s="1"/>
  <c r="P1527" i="32" s="1"/>
  <c r="P1529" i="32" s="1"/>
  <c r="P1531" i="32" s="1"/>
  <c r="P1533" i="32" s="1"/>
  <c r="P1535" i="32" s="1"/>
  <c r="P1537" i="32" s="1"/>
  <c r="P1539" i="32" s="1"/>
  <c r="P1541" i="32" s="1"/>
  <c r="P1543" i="32" s="1"/>
  <c r="P1545" i="32" s="1"/>
  <c r="P1547" i="32" s="1"/>
  <c r="P1549" i="32" s="1"/>
  <c r="P1551" i="32" s="1"/>
  <c r="P1553" i="32" s="1"/>
  <c r="P1555" i="32" s="1"/>
  <c r="P1557" i="32" s="1"/>
  <c r="P1559" i="32" s="1"/>
  <c r="P1561" i="32" s="1"/>
  <c r="P1563" i="32" s="1"/>
  <c r="P1565" i="32" s="1"/>
  <c r="P1567" i="32" s="1"/>
  <c r="P1569" i="32" s="1"/>
  <c r="P1571" i="32" s="1"/>
  <c r="P1573" i="32" s="1"/>
  <c r="P1575" i="32" s="1"/>
  <c r="P1577" i="32" s="1"/>
  <c r="P1579" i="32" s="1"/>
  <c r="P1581" i="32" s="1"/>
  <c r="P1583" i="32" s="1"/>
  <c r="P1585" i="32" s="1"/>
  <c r="P1587" i="32" s="1"/>
  <c r="P1589" i="32" s="1"/>
  <c r="P1591" i="32" s="1"/>
  <c r="P1593" i="32" s="1"/>
  <c r="P1595" i="32" s="1"/>
  <c r="P1597" i="32" s="1"/>
  <c r="P1599" i="32" s="1"/>
  <c r="P1601" i="32" s="1"/>
  <c r="P1603" i="32" s="1"/>
  <c r="P1605" i="32" s="1"/>
  <c r="P1607" i="32" s="1"/>
  <c r="P1609" i="32" s="1"/>
  <c r="P1611" i="32" s="1"/>
  <c r="P1613" i="32" s="1"/>
  <c r="P1615" i="32" s="1"/>
  <c r="P1617" i="32" s="1"/>
  <c r="P1619" i="32" s="1"/>
  <c r="P1621" i="32" s="1"/>
  <c r="P1623" i="32" s="1"/>
  <c r="P1625" i="32" s="1"/>
  <c r="P1627" i="32" s="1"/>
  <c r="P1629" i="32" s="1"/>
  <c r="P1631" i="32" s="1"/>
  <c r="P1633" i="32" s="1"/>
  <c r="P1635" i="32" s="1"/>
  <c r="P1637" i="32" s="1"/>
  <c r="P1639" i="32" s="1"/>
  <c r="P1641" i="32" s="1"/>
  <c r="P1643" i="32" s="1"/>
  <c r="P1645" i="32" s="1"/>
  <c r="P1647" i="32" s="1"/>
  <c r="P1649" i="32" s="1"/>
  <c r="P1651" i="32" s="1"/>
  <c r="P1653" i="32" s="1"/>
  <c r="P1655" i="32" s="1"/>
  <c r="P1657" i="32" s="1"/>
  <c r="P1659" i="32" s="1"/>
  <c r="P1661" i="32" s="1"/>
  <c r="P1663" i="32" s="1"/>
  <c r="P1665" i="32" s="1"/>
  <c r="P1667" i="32" s="1"/>
  <c r="P1669" i="32" s="1"/>
  <c r="P1671" i="32" s="1"/>
  <c r="P1673" i="32" s="1"/>
  <c r="P1675" i="32" s="1"/>
  <c r="P1677" i="32" s="1"/>
  <c r="P1679" i="32" s="1"/>
  <c r="P1681" i="32" s="1"/>
  <c r="P1683" i="32" s="1"/>
  <c r="P1685" i="32" s="1"/>
  <c r="P1687" i="32" s="1"/>
  <c r="P1689" i="32" s="1"/>
  <c r="P1691" i="32" s="1"/>
  <c r="P1693" i="32" s="1"/>
  <c r="P1695" i="32" s="1"/>
  <c r="P1697" i="32" s="1"/>
  <c r="P1699" i="32" s="1"/>
  <c r="P1701" i="32" s="1"/>
  <c r="P1703" i="32" s="1"/>
  <c r="P1705" i="32" s="1"/>
  <c r="P1707" i="32" s="1"/>
  <c r="P1709" i="32" s="1"/>
  <c r="P1711" i="32" s="1"/>
  <c r="P1713" i="32" s="1"/>
  <c r="P1715" i="32" s="1"/>
  <c r="P1717" i="32" s="1"/>
  <c r="P1719" i="32" s="1"/>
  <c r="P1721" i="32" s="1"/>
  <c r="P1723" i="32" s="1"/>
  <c r="P1725" i="32" s="1"/>
  <c r="P1727" i="32" s="1"/>
  <c r="P1729" i="32" s="1"/>
  <c r="P1731" i="32" s="1"/>
  <c r="P1733" i="32" s="1"/>
  <c r="P1735" i="32" s="1"/>
  <c r="P1737" i="32" s="1"/>
  <c r="P1739" i="32" s="1"/>
  <c r="P1741" i="32" s="1"/>
  <c r="P1743" i="32" s="1"/>
  <c r="P1745" i="32" s="1"/>
  <c r="P1747" i="32" s="1"/>
  <c r="P1749" i="32" s="1"/>
  <c r="P1751" i="32" s="1"/>
  <c r="P1753" i="32" s="1"/>
  <c r="P1755" i="32" s="1"/>
  <c r="P1757" i="32" s="1"/>
  <c r="P1759" i="32" s="1"/>
  <c r="P1761" i="32" s="1"/>
  <c r="P1763" i="32" s="1"/>
  <c r="P1765" i="32" s="1"/>
  <c r="P1767" i="32" s="1"/>
  <c r="P1769" i="32" s="1"/>
  <c r="P1771" i="32" s="1"/>
  <c r="P1773" i="32" s="1"/>
  <c r="P1775" i="32" s="1"/>
  <c r="P1777" i="32" s="1"/>
  <c r="P1779" i="32" s="1"/>
  <c r="P1781" i="32" s="1"/>
  <c r="P1783" i="32" s="1"/>
  <c r="P1785" i="32" s="1"/>
  <c r="P1787" i="32" s="1"/>
  <c r="P1789" i="32" s="1"/>
  <c r="P1791" i="32" s="1"/>
  <c r="P1793" i="32" s="1"/>
  <c r="P1795" i="32" s="1"/>
  <c r="P1797" i="32" s="1"/>
  <c r="P1799" i="32" s="1"/>
  <c r="P1801" i="32" s="1"/>
  <c r="P1803" i="32" s="1"/>
  <c r="P1805" i="32" s="1"/>
  <c r="P1807" i="32" s="1"/>
  <c r="P1809" i="32" s="1"/>
  <c r="P1811" i="32" s="1"/>
  <c r="P1813" i="32" s="1"/>
  <c r="P1815" i="32" s="1"/>
  <c r="P1817" i="32" s="1"/>
  <c r="P1819" i="32" s="1"/>
  <c r="Q1099" i="32"/>
  <c r="U286" i="32"/>
  <c r="A3018" i="27"/>
  <c r="F3020" i="27"/>
  <c r="K1165" i="27"/>
  <c r="I1164" i="27"/>
  <c r="O1165" i="27"/>
  <c r="N1165" i="27"/>
  <c r="L1164" i="27"/>
  <c r="L1165" i="27"/>
  <c r="K1164" i="27"/>
  <c r="M1165" i="27"/>
  <c r="A1165" i="27" s="1"/>
  <c r="N1164" i="27"/>
  <c r="J1165" i="27"/>
  <c r="K1690" i="27"/>
  <c r="O1164" i="27"/>
  <c r="M1164" i="27"/>
  <c r="A1164" i="27" s="1"/>
  <c r="J1164" i="27"/>
  <c r="E1164" i="27"/>
  <c r="E1165" i="27"/>
  <c r="G1165" i="27"/>
  <c r="K1689" i="27"/>
  <c r="I1165" i="27"/>
  <c r="G1164" i="27"/>
  <c r="A869" i="27"/>
  <c r="H1164" i="27"/>
  <c r="H1165" i="27"/>
  <c r="U897" i="32"/>
  <c r="H871" i="27"/>
  <c r="G590" i="32"/>
  <c r="I3019" i="27"/>
  <c r="H3019" i="27"/>
  <c r="G284" i="32"/>
  <c r="K870" i="27"/>
  <c r="A590" i="32"/>
  <c r="H3020" i="27"/>
  <c r="G895" i="32"/>
  <c r="A284" i="32"/>
  <c r="I3020" i="27"/>
  <c r="J870" i="27"/>
  <c r="A895" i="32"/>
  <c r="I870" i="27"/>
  <c r="J3019" i="27"/>
  <c r="A3019" i="27" l="1"/>
  <c r="U594" i="32"/>
  <c r="S1099" i="32" a="1"/>
  <c r="S1099" i="32" s="1"/>
  <c r="E1099" i="32" s="1"/>
  <c r="T1099" i="32" a="1"/>
  <c r="T1099" i="32" s="1"/>
  <c r="V1099" i="32" a="1"/>
  <c r="V1099" i="32" s="1"/>
  <c r="L1099" i="32" s="1"/>
  <c r="R1099" i="32" a="1"/>
  <c r="R1099" i="32" s="1"/>
  <c r="D1099" i="32" s="1"/>
  <c r="U288" i="32"/>
  <c r="F3021" i="27"/>
  <c r="H1166" i="27"/>
  <c r="H1167" i="27"/>
  <c r="J1166" i="27"/>
  <c r="O1166" i="27"/>
  <c r="L1167" i="27"/>
  <c r="K1167" i="27"/>
  <c r="O1167" i="27"/>
  <c r="K1166" i="27"/>
  <c r="N1166" i="27"/>
  <c r="L1166" i="27"/>
  <c r="K1691" i="27"/>
  <c r="J1167" i="27"/>
  <c r="E1167" i="27"/>
  <c r="M1166" i="27"/>
  <c r="A1166" i="27" s="1"/>
  <c r="I1166" i="27"/>
  <c r="N1167" i="27"/>
  <c r="G1167" i="27"/>
  <c r="E1166" i="27"/>
  <c r="M1167" i="27"/>
  <c r="A1167" i="27" s="1"/>
  <c r="I1167" i="27"/>
  <c r="G1166" i="27"/>
  <c r="K1692" i="27"/>
  <c r="A870" i="27"/>
  <c r="H872" i="27"/>
  <c r="U899" i="32"/>
  <c r="K3021" i="27"/>
  <c r="K3020" i="27"/>
  <c r="G897" i="32"/>
  <c r="I871" i="27"/>
  <c r="K871" i="27"/>
  <c r="G592" i="32"/>
  <c r="J3020" i="27"/>
  <c r="A592" i="32"/>
  <c r="A897" i="32"/>
  <c r="A286" i="32"/>
  <c r="J871" i="27"/>
  <c r="G286" i="32"/>
  <c r="U596" i="32" l="1"/>
  <c r="A3020" i="27"/>
  <c r="U290" i="32"/>
  <c r="F3022" i="27"/>
  <c r="A871" i="27"/>
  <c r="H1168" i="27"/>
  <c r="H1169" i="27"/>
  <c r="E1168" i="27"/>
  <c r="K1168" i="27"/>
  <c r="J1168" i="27"/>
  <c r="K1169" i="27"/>
  <c r="G1168" i="27"/>
  <c r="M1168" i="27"/>
  <c r="A1168" i="27" s="1"/>
  <c r="E1169" i="27"/>
  <c r="K1693" i="27"/>
  <c r="O1169" i="27"/>
  <c r="O1168" i="27"/>
  <c r="L1168" i="27"/>
  <c r="I1169" i="27"/>
  <c r="M1169" i="27"/>
  <c r="A1169" i="27" s="1"/>
  <c r="G1169" i="27"/>
  <c r="I1168" i="27"/>
  <c r="L1169" i="27"/>
  <c r="K1694" i="27"/>
  <c r="N1169" i="27"/>
  <c r="N1168" i="27"/>
  <c r="J1169" i="27"/>
  <c r="H873" i="27"/>
  <c r="H874" i="27"/>
  <c r="U901" i="32"/>
  <c r="A899" i="32"/>
  <c r="H3021" i="27"/>
  <c r="G288" i="32"/>
  <c r="A594" i="32"/>
  <c r="G901" i="32"/>
  <c r="G594" i="32"/>
  <c r="A288" i="32"/>
  <c r="J872" i="27"/>
  <c r="G899" i="32"/>
  <c r="J3021" i="27"/>
  <c r="I3021" i="27"/>
  <c r="K872" i="27"/>
  <c r="K3022" i="27"/>
  <c r="I872" i="27"/>
  <c r="A3021" i="27" l="1"/>
  <c r="U598" i="32"/>
  <c r="U292" i="32"/>
  <c r="F3023" i="27"/>
  <c r="H1171" i="27"/>
  <c r="H1170" i="27"/>
  <c r="N1171" i="27"/>
  <c r="I1171" i="27"/>
  <c r="I1170" i="27"/>
  <c r="E1171" i="27"/>
  <c r="K1170" i="27"/>
  <c r="G1170" i="27"/>
  <c r="M1170" i="27"/>
  <c r="A1170" i="27" s="1"/>
  <c r="O1170" i="27"/>
  <c r="E1170" i="27"/>
  <c r="J1170" i="27"/>
  <c r="G1171" i="27"/>
  <c r="M1171" i="27"/>
  <c r="A1171" i="27" s="1"/>
  <c r="K1696" i="27"/>
  <c r="L1170" i="27"/>
  <c r="O1171" i="27"/>
  <c r="J1171" i="27"/>
  <c r="K1695" i="27"/>
  <c r="N1170" i="27"/>
  <c r="L1171" i="27"/>
  <c r="K1171" i="27"/>
  <c r="A872" i="27"/>
  <c r="U903" i="32"/>
  <c r="H875" i="27"/>
  <c r="A901" i="32"/>
  <c r="J3022" i="27"/>
  <c r="I873" i="27"/>
  <c r="J3023" i="27"/>
  <c r="I874" i="27"/>
  <c r="A596" i="32"/>
  <c r="I3022" i="27"/>
  <c r="J873" i="27"/>
  <c r="G596" i="32"/>
  <c r="I3023" i="27"/>
  <c r="G290" i="32"/>
  <c r="A290" i="32"/>
  <c r="G903" i="32"/>
  <c r="K873" i="27"/>
  <c r="H3022" i="27"/>
  <c r="K874" i="27"/>
  <c r="J874" i="27"/>
  <c r="H3023" i="27"/>
  <c r="A3022" i="27" l="1"/>
  <c r="U600" i="32"/>
  <c r="U294" i="32"/>
  <c r="F3025" i="27"/>
  <c r="F3024" i="27"/>
  <c r="H1173" i="27"/>
  <c r="H1172" i="27"/>
  <c r="A874" i="27"/>
  <c r="K1172" i="27"/>
  <c r="G1172" i="27"/>
  <c r="I1172" i="27"/>
  <c r="E1172" i="27"/>
  <c r="N1173" i="27"/>
  <c r="J1172" i="27"/>
  <c r="G1173" i="27"/>
  <c r="E1173" i="27"/>
  <c r="L1172" i="27"/>
  <c r="K1697" i="27"/>
  <c r="O1172" i="27"/>
  <c r="L1173" i="27"/>
  <c r="K1698" i="27"/>
  <c r="J1173" i="27"/>
  <c r="M1172" i="27"/>
  <c r="A1172" i="27" s="1"/>
  <c r="O1173" i="27"/>
  <c r="N1172" i="27"/>
  <c r="M1173" i="27"/>
  <c r="A1173" i="27" s="1"/>
  <c r="I1173" i="27"/>
  <c r="K1173" i="27"/>
  <c r="A873" i="27"/>
  <c r="K916" i="27"/>
  <c r="K921" i="27"/>
  <c r="K925" i="27"/>
  <c r="K920" i="27"/>
  <c r="K913" i="27"/>
  <c r="K915" i="27"/>
  <c r="K918" i="27"/>
  <c r="K919" i="27"/>
  <c r="K924" i="27"/>
  <c r="K923" i="27"/>
  <c r="K914" i="27"/>
  <c r="K922" i="27"/>
  <c r="K917" i="27"/>
  <c r="K926" i="27"/>
  <c r="K927" i="27"/>
  <c r="K929" i="27"/>
  <c r="K928" i="27"/>
  <c r="K930" i="27"/>
  <c r="K931" i="27"/>
  <c r="K933" i="27"/>
  <c r="K932" i="27"/>
  <c r="K934" i="27"/>
  <c r="K935" i="27"/>
  <c r="K937" i="27"/>
  <c r="K936" i="27"/>
  <c r="K938" i="27"/>
  <c r="K939" i="27"/>
  <c r="K941" i="27"/>
  <c r="K940" i="27"/>
  <c r="K943" i="27"/>
  <c r="K942" i="27"/>
  <c r="K944" i="27"/>
  <c r="K945" i="27"/>
  <c r="K946" i="27"/>
  <c r="K947" i="27"/>
  <c r="K948" i="27"/>
  <c r="K949" i="27"/>
  <c r="K951" i="27"/>
  <c r="K950" i="27"/>
  <c r="K953" i="27"/>
  <c r="K952" i="27"/>
  <c r="K955" i="27"/>
  <c r="K954" i="27"/>
  <c r="K957" i="27"/>
  <c r="K956" i="27"/>
  <c r="K958" i="27"/>
  <c r="K959" i="27"/>
  <c r="K961" i="27"/>
  <c r="K960" i="27"/>
  <c r="K963" i="27"/>
  <c r="K962" i="27"/>
  <c r="K965" i="27"/>
  <c r="K964" i="27"/>
  <c r="K966" i="27"/>
  <c r="K967" i="27"/>
  <c r="K968" i="27"/>
  <c r="K969" i="27"/>
  <c r="K970" i="27"/>
  <c r="K971" i="27"/>
  <c r="K972" i="27"/>
  <c r="K973" i="27"/>
  <c r="K975" i="27"/>
  <c r="K974" i="27"/>
  <c r="K976" i="27"/>
  <c r="K977" i="27"/>
  <c r="K979" i="27"/>
  <c r="K978" i="27"/>
  <c r="K980" i="27"/>
  <c r="K981" i="27"/>
  <c r="K982" i="27"/>
  <c r="K983" i="27"/>
  <c r="K985" i="27"/>
  <c r="K984" i="27"/>
  <c r="K987" i="27"/>
  <c r="K986" i="27"/>
  <c r="K989" i="27"/>
  <c r="K988" i="27"/>
  <c r="K990" i="27"/>
  <c r="K991" i="27"/>
  <c r="K992" i="27"/>
  <c r="K993" i="27"/>
  <c r="K994" i="27"/>
  <c r="K995" i="27"/>
  <c r="K997" i="27"/>
  <c r="K996" i="27"/>
  <c r="K998" i="27"/>
  <c r="K999" i="27"/>
  <c r="K1000" i="27"/>
  <c r="K1001" i="27"/>
  <c r="K1002" i="27"/>
  <c r="K1003" i="27"/>
  <c r="K1004" i="27"/>
  <c r="K1005" i="27"/>
  <c r="K1006" i="27"/>
  <c r="K1007" i="27"/>
  <c r="K1008" i="27"/>
  <c r="K1009" i="27"/>
  <c r="K1010" i="27"/>
  <c r="K1011" i="27"/>
  <c r="K1012" i="27"/>
  <c r="K1013" i="27"/>
  <c r="K1015" i="27"/>
  <c r="K1014" i="27"/>
  <c r="K1016" i="27"/>
  <c r="K1017" i="27"/>
  <c r="K1018" i="27"/>
  <c r="K1019" i="27"/>
  <c r="K1021" i="27"/>
  <c r="K1020" i="27"/>
  <c r="K1023" i="27"/>
  <c r="K1022" i="27"/>
  <c r="K1025" i="27"/>
  <c r="K1024" i="27"/>
  <c r="K1027" i="27"/>
  <c r="K1026" i="27"/>
  <c r="U905" i="32"/>
  <c r="H876" i="27"/>
  <c r="G905" i="32"/>
  <c r="I875" i="27"/>
  <c r="K875" i="27"/>
  <c r="J3024" i="27"/>
  <c r="I3025" i="27"/>
  <c r="K3024" i="27"/>
  <c r="J3025" i="27"/>
  <c r="G292" i="32"/>
  <c r="A903" i="32"/>
  <c r="J875" i="27"/>
  <c r="A598" i="32"/>
  <c r="G598" i="32"/>
  <c r="H3025" i="27"/>
  <c r="K3025" i="27"/>
  <c r="K3023" i="27"/>
  <c r="H3024" i="27"/>
  <c r="A292" i="32"/>
  <c r="K1028" i="27" l="1"/>
  <c r="U602" i="32"/>
  <c r="A3023" i="27"/>
  <c r="U296" i="32"/>
  <c r="A3024" i="27"/>
  <c r="A3025" i="27"/>
  <c r="F3026" i="27"/>
  <c r="O1175" i="27"/>
  <c r="I1174" i="27"/>
  <c r="J1175" i="27"/>
  <c r="L1174" i="27"/>
  <c r="K1700" i="27"/>
  <c r="N1174" i="27"/>
  <c r="I1175" i="27"/>
  <c r="G1174" i="27"/>
  <c r="M1175" i="27"/>
  <c r="A1175" i="27" s="1"/>
  <c r="G1175" i="27"/>
  <c r="E1174" i="27"/>
  <c r="L1175" i="27"/>
  <c r="J1174" i="27"/>
  <c r="N1175" i="27"/>
  <c r="M1174" i="27"/>
  <c r="A1174" i="27" s="1"/>
  <c r="E1175" i="27"/>
  <c r="K1699" i="27"/>
  <c r="K1175" i="27"/>
  <c r="O1174" i="27"/>
  <c r="K1174" i="27"/>
  <c r="A875" i="27"/>
  <c r="H1174" i="27"/>
  <c r="H1175" i="27"/>
  <c r="K1220" i="27"/>
  <c r="K1223" i="27"/>
  <c r="K1227" i="27"/>
  <c r="K1228" i="27"/>
  <c r="K1221" i="27"/>
  <c r="K1225" i="27"/>
  <c r="K1209" i="27"/>
  <c r="K1212" i="27"/>
  <c r="K1226" i="27"/>
  <c r="K1208" i="27"/>
  <c r="K1214" i="27"/>
  <c r="K1222" i="27"/>
  <c r="K1218" i="27"/>
  <c r="K1211" i="27"/>
  <c r="K1215" i="27"/>
  <c r="K1232" i="27"/>
  <c r="K1224" i="27"/>
  <c r="K1210" i="27"/>
  <c r="K1219" i="27"/>
  <c r="K1216" i="27"/>
  <c r="K1213" i="27"/>
  <c r="K1231" i="27"/>
  <c r="K1217" i="27"/>
  <c r="K1229" i="27"/>
  <c r="K1230" i="27"/>
  <c r="K1234" i="27"/>
  <c r="K1233" i="27"/>
  <c r="K1236" i="27"/>
  <c r="K1235" i="27"/>
  <c r="K1238" i="27"/>
  <c r="K1237" i="27"/>
  <c r="K1239" i="27"/>
  <c r="K1240" i="27"/>
  <c r="K1242" i="27"/>
  <c r="K1241" i="27"/>
  <c r="K1244" i="27"/>
  <c r="K1243" i="27"/>
  <c r="K1245" i="27"/>
  <c r="K1246" i="27"/>
  <c r="K1247" i="27"/>
  <c r="K1248" i="27"/>
  <c r="K1249" i="27"/>
  <c r="K1250" i="27"/>
  <c r="K1251" i="27"/>
  <c r="K1252" i="27"/>
  <c r="K1253" i="27"/>
  <c r="K1254" i="27"/>
  <c r="K1256" i="27"/>
  <c r="K1255" i="27"/>
  <c r="K1257" i="27"/>
  <c r="K1258" i="27"/>
  <c r="K1259" i="27"/>
  <c r="K1260" i="27"/>
  <c r="K1261" i="27"/>
  <c r="K1262" i="27"/>
  <c r="K1264" i="27"/>
  <c r="K1263" i="27"/>
  <c r="K1266" i="27"/>
  <c r="K1265" i="27"/>
  <c r="K1267" i="27"/>
  <c r="K1268" i="27"/>
  <c r="K1269" i="27"/>
  <c r="K1270" i="27"/>
  <c r="K1271" i="27"/>
  <c r="K1272" i="27"/>
  <c r="K1273" i="27"/>
  <c r="K1274" i="27"/>
  <c r="K1275" i="27"/>
  <c r="K1276" i="27"/>
  <c r="K1278" i="27"/>
  <c r="K1277" i="27"/>
  <c r="K1279" i="27"/>
  <c r="K1280" i="27"/>
  <c r="K1281" i="27"/>
  <c r="K1282" i="27"/>
  <c r="K1283" i="27"/>
  <c r="K1284" i="27"/>
  <c r="K1286" i="27"/>
  <c r="K1285" i="27"/>
  <c r="K1287" i="27"/>
  <c r="K1288" i="27"/>
  <c r="K1289" i="27"/>
  <c r="K1290" i="27"/>
  <c r="K1291" i="27"/>
  <c r="K1292" i="27"/>
  <c r="K1294" i="27"/>
  <c r="K1293" i="27"/>
  <c r="K1295" i="27"/>
  <c r="K1296" i="27"/>
  <c r="K1298" i="27"/>
  <c r="K1297" i="27"/>
  <c r="K1300" i="27"/>
  <c r="K1299" i="27"/>
  <c r="K1302" i="27"/>
  <c r="K1301" i="27"/>
  <c r="K1303" i="27"/>
  <c r="K1304" i="27"/>
  <c r="K1306" i="27"/>
  <c r="K1305" i="27"/>
  <c r="K1307" i="27"/>
  <c r="K1308" i="27"/>
  <c r="K1310" i="27"/>
  <c r="K1309" i="27"/>
  <c r="K1312" i="27"/>
  <c r="K1311" i="27"/>
  <c r="K1313" i="27"/>
  <c r="K1314" i="27"/>
  <c r="K1316" i="27"/>
  <c r="K1315" i="27"/>
  <c r="K1318" i="27"/>
  <c r="K1317" i="27"/>
  <c r="K1319" i="27"/>
  <c r="K1320" i="27"/>
  <c r="K1321" i="27"/>
  <c r="K1322" i="27"/>
  <c r="K1323" i="27"/>
  <c r="K1324" i="27"/>
  <c r="K1325" i="27"/>
  <c r="K1326" i="27"/>
  <c r="K1328" i="27"/>
  <c r="K1327" i="27"/>
  <c r="K1329" i="27"/>
  <c r="K1330" i="27"/>
  <c r="K1331" i="27"/>
  <c r="K1332" i="27"/>
  <c r="H877" i="27"/>
  <c r="U907" i="32"/>
  <c r="A905" i="32"/>
  <c r="I876" i="27"/>
  <c r="G600" i="32"/>
  <c r="H3026" i="27"/>
  <c r="A294" i="32"/>
  <c r="K876" i="27"/>
  <c r="I3026" i="27"/>
  <c r="G907" i="32"/>
  <c r="G294" i="32"/>
  <c r="I3024" i="27"/>
  <c r="A600" i="32"/>
  <c r="J3026" i="27"/>
  <c r="J876" i="27"/>
  <c r="K3026" i="27"/>
  <c r="K1029" i="27" l="1"/>
  <c r="U604" i="32"/>
  <c r="K1333" i="27"/>
  <c r="U298" i="32"/>
  <c r="A3026" i="27"/>
  <c r="F3027" i="27"/>
  <c r="H1176" i="27"/>
  <c r="H1177" i="27"/>
  <c r="M1176" i="27"/>
  <c r="A1176" i="27" s="1"/>
  <c r="J1176" i="27"/>
  <c r="N1177" i="27"/>
  <c r="I1177" i="27"/>
  <c r="M1177" i="27"/>
  <c r="A1177" i="27" s="1"/>
  <c r="E1176" i="27"/>
  <c r="I1176" i="27"/>
  <c r="O1176" i="27"/>
  <c r="G1177" i="27"/>
  <c r="K1177" i="27"/>
  <c r="N1176" i="27"/>
  <c r="K1176" i="27"/>
  <c r="J1177" i="27"/>
  <c r="L1177" i="27"/>
  <c r="O1177" i="27"/>
  <c r="K1701" i="27"/>
  <c r="K1702" i="27"/>
  <c r="E1177" i="27"/>
  <c r="G1176" i="27"/>
  <c r="L1176" i="27"/>
  <c r="A876" i="27"/>
  <c r="H878" i="27"/>
  <c r="U909" i="32"/>
  <c r="A907" i="32"/>
  <c r="A296" i="32"/>
  <c r="K3027" i="27"/>
  <c r="I3027" i="27"/>
  <c r="G909" i="32"/>
  <c r="J877" i="27"/>
  <c r="I877" i="27"/>
  <c r="A602" i="32"/>
  <c r="G602" i="32"/>
  <c r="K877" i="27"/>
  <c r="G296" i="32"/>
  <c r="K1030" i="27" l="1"/>
  <c r="U606" i="32"/>
  <c r="K1334" i="27"/>
  <c r="U300" i="32"/>
  <c r="F3028" i="27"/>
  <c r="A877" i="27"/>
  <c r="E1179" i="27"/>
  <c r="I1178" i="27"/>
  <c r="I1179" i="27"/>
  <c r="K1704" i="27"/>
  <c r="E1178" i="27"/>
  <c r="M1178" i="27"/>
  <c r="A1178" i="27" s="1"/>
  <c r="J1179" i="27"/>
  <c r="K1179" i="27"/>
  <c r="M1179" i="27"/>
  <c r="A1179" i="27" s="1"/>
  <c r="J1178" i="27"/>
  <c r="G1179" i="27"/>
  <c r="L1179" i="27"/>
  <c r="N1178" i="27"/>
  <c r="O1178" i="27"/>
  <c r="L1178" i="27"/>
  <c r="O1179" i="27"/>
  <c r="G1178" i="27"/>
  <c r="K1178" i="27"/>
  <c r="K1703" i="27"/>
  <c r="N1179" i="27"/>
  <c r="H1178" i="27"/>
  <c r="H1179" i="27"/>
  <c r="H879" i="27"/>
  <c r="U911" i="32"/>
  <c r="G604" i="32"/>
  <c r="K3028" i="27"/>
  <c r="I3028" i="27"/>
  <c r="J3027" i="27"/>
  <c r="J3028" i="27"/>
  <c r="K878" i="27"/>
  <c r="G911" i="32"/>
  <c r="J878" i="27"/>
  <c r="G298" i="32"/>
  <c r="A298" i="32"/>
  <c r="A909" i="32"/>
  <c r="H3028" i="27"/>
  <c r="A604" i="32"/>
  <c r="H3027" i="27"/>
  <c r="I878" i="27"/>
  <c r="A3027" i="27" l="1"/>
  <c r="K1031" i="27"/>
  <c r="U608" i="32"/>
  <c r="K1335" i="27"/>
  <c r="U302" i="32"/>
  <c r="A3028" i="27"/>
  <c r="F3029" i="27"/>
  <c r="I1181" i="27"/>
  <c r="K1705" i="27"/>
  <c r="O1180" i="27"/>
  <c r="M1181" i="27"/>
  <c r="A1181" i="27" s="1"/>
  <c r="J1180" i="27"/>
  <c r="G1181" i="27"/>
  <c r="K1181" i="27"/>
  <c r="E1181" i="27"/>
  <c r="K1706" i="27"/>
  <c r="N1180" i="27"/>
  <c r="N1181" i="27"/>
  <c r="I1180" i="27"/>
  <c r="M1180" i="27"/>
  <c r="A1180" i="27" s="1"/>
  <c r="E1180" i="27"/>
  <c r="L1180" i="27"/>
  <c r="G1180" i="27"/>
  <c r="O1181" i="27"/>
  <c r="J1181" i="27"/>
  <c r="L1181" i="27"/>
  <c r="K1180" i="27"/>
  <c r="H1181" i="27"/>
  <c r="H1180" i="27"/>
  <c r="A878" i="27"/>
  <c r="U913" i="32"/>
  <c r="K879" i="27"/>
  <c r="A911" i="32"/>
  <c r="A300" i="32"/>
  <c r="G913" i="32"/>
  <c r="I879" i="27"/>
  <c r="J879" i="27"/>
  <c r="H3029" i="27"/>
  <c r="G606" i="32"/>
  <c r="A606" i="32"/>
  <c r="G300" i="32"/>
  <c r="K3029" i="27"/>
  <c r="K1032" i="27" l="1"/>
  <c r="U610" i="32"/>
  <c r="K1336" i="27"/>
  <c r="U304" i="32"/>
  <c r="F3031" i="27"/>
  <c r="F3030" i="27"/>
  <c r="E1182" i="27"/>
  <c r="L1182" i="27"/>
  <c r="O1182" i="27"/>
  <c r="N1182" i="27"/>
  <c r="K1708" i="27"/>
  <c r="K1707" i="27"/>
  <c r="M1182" i="27"/>
  <c r="A1182" i="27" s="1"/>
  <c r="G1182" i="27"/>
  <c r="J1182" i="27"/>
  <c r="K1182" i="27"/>
  <c r="I1182" i="27"/>
  <c r="H1182" i="27"/>
  <c r="A879" i="27"/>
  <c r="U915" i="32"/>
  <c r="K3031" i="27"/>
  <c r="A608" i="32"/>
  <c r="A302" i="32"/>
  <c r="G915" i="32"/>
  <c r="H3030" i="27"/>
  <c r="J3030" i="27"/>
  <c r="I3029" i="27"/>
  <c r="I3031" i="27"/>
  <c r="J3029" i="27"/>
  <c r="A913" i="32"/>
  <c r="G608" i="32"/>
  <c r="I3030" i="27"/>
  <c r="G302" i="32"/>
  <c r="A3029" i="27" l="1"/>
  <c r="O1183" i="27"/>
  <c r="N1183" i="27"/>
  <c r="M1183" i="27"/>
  <c r="A1183" i="27" s="1"/>
  <c r="K1183" i="27"/>
  <c r="K1033" i="27"/>
  <c r="E1183" i="27"/>
  <c r="G1183" i="27"/>
  <c r="H1183" i="27"/>
  <c r="I1183" i="27"/>
  <c r="L1183" i="27"/>
  <c r="J1183" i="27"/>
  <c r="U612" i="32"/>
  <c r="K1337" i="27"/>
  <c r="U306" i="32"/>
  <c r="F3032" i="27"/>
  <c r="K1710" i="27"/>
  <c r="K1709" i="27"/>
  <c r="U917" i="32"/>
  <c r="A304" i="32"/>
  <c r="K3032" i="27"/>
  <c r="A610" i="32"/>
  <c r="K3030" i="27"/>
  <c r="A915" i="32"/>
  <c r="H3031" i="27"/>
  <c r="G610" i="32"/>
  <c r="J3031" i="27"/>
  <c r="G304" i="32"/>
  <c r="A3031" i="27" l="1"/>
  <c r="A3030" i="27"/>
  <c r="K1034" i="27"/>
  <c r="K1184" i="27"/>
  <c r="N1184" i="27"/>
  <c r="E1184" i="27"/>
  <c r="H1184" i="27"/>
  <c r="L1184" i="27"/>
  <c r="I1184" i="27"/>
  <c r="M1184" i="27"/>
  <c r="A1184" i="27" s="1"/>
  <c r="G1184" i="27"/>
  <c r="O1184" i="27"/>
  <c r="J1184" i="27"/>
  <c r="U614" i="32"/>
  <c r="K894" i="27"/>
  <c r="K895" i="27"/>
  <c r="K908" i="27"/>
  <c r="K907" i="27"/>
  <c r="K909" i="27"/>
  <c r="K910" i="27"/>
  <c r="K911" i="27"/>
  <c r="K912" i="27"/>
  <c r="U308" i="32"/>
  <c r="F3033" i="27"/>
  <c r="K1711" i="27"/>
  <c r="K1712" i="27"/>
  <c r="U919" i="32"/>
  <c r="G917" i="32"/>
  <c r="H3032" i="27"/>
  <c r="G306" i="32"/>
  <c r="I3033" i="27"/>
  <c r="A306" i="32"/>
  <c r="J3032" i="27"/>
  <c r="A917" i="32"/>
  <c r="I3032" i="27"/>
  <c r="A612" i="32"/>
  <c r="G612" i="32"/>
  <c r="A3032" i="27" l="1"/>
  <c r="L1185" i="27"/>
  <c r="E1185" i="27"/>
  <c r="H1185" i="27"/>
  <c r="K1185" i="27"/>
  <c r="N1185" i="27"/>
  <c r="I1185" i="27"/>
  <c r="K1035" i="27"/>
  <c r="G1185" i="27"/>
  <c r="J1185" i="27"/>
  <c r="M1185" i="27"/>
  <c r="A1185" i="27" s="1"/>
  <c r="O1185" i="27"/>
  <c r="F3034" i="27"/>
  <c r="K1714" i="27"/>
  <c r="K1713" i="27"/>
  <c r="U921" i="32"/>
  <c r="H3033" i="27"/>
  <c r="A919" i="32"/>
  <c r="K3034" i="27"/>
  <c r="G308" i="32"/>
  <c r="G614" i="32"/>
  <c r="J3033" i="27"/>
  <c r="A614" i="32"/>
  <c r="K3033" i="27"/>
  <c r="A308" i="32"/>
  <c r="G919" i="32"/>
  <c r="L886" i="27" l="1"/>
  <c r="I886" i="27"/>
  <c r="J1186" i="27"/>
  <c r="M1186" i="27"/>
  <c r="A1186" i="27" s="1"/>
  <c r="I1186" i="27"/>
  <c r="O886" i="27"/>
  <c r="N1186" i="27"/>
  <c r="H1186" i="27"/>
  <c r="H886" i="27"/>
  <c r="O1186" i="27"/>
  <c r="K1036" i="27"/>
  <c r="E1186" i="27"/>
  <c r="K886" i="27"/>
  <c r="M886" i="27"/>
  <c r="A886" i="27" s="1"/>
  <c r="G1186" i="27"/>
  <c r="E886" i="27"/>
  <c r="K1186" i="27"/>
  <c r="N886" i="27"/>
  <c r="J886" i="27"/>
  <c r="L1186" i="27"/>
  <c r="G886" i="27"/>
  <c r="A3033" i="27"/>
  <c r="K1198" i="27"/>
  <c r="K1197" i="27"/>
  <c r="K1199" i="27"/>
  <c r="K1200" i="27"/>
  <c r="K1201" i="27"/>
  <c r="K1202" i="27"/>
  <c r="K1203" i="27"/>
  <c r="K1204" i="27"/>
  <c r="K1205" i="27"/>
  <c r="K1206" i="27"/>
  <c r="K1207" i="27"/>
  <c r="N1190" i="27"/>
  <c r="F1190" i="27"/>
  <c r="K1339" i="27"/>
  <c r="M1190" i="27"/>
  <c r="A1190" i="27" s="1"/>
  <c r="G1190" i="27"/>
  <c r="L1190" i="27"/>
  <c r="K1338" i="27"/>
  <c r="K1190" i="27"/>
  <c r="E1190" i="27"/>
  <c r="I1190" i="27"/>
  <c r="K1340" i="27"/>
  <c r="O1190" i="27"/>
  <c r="J1190" i="27"/>
  <c r="H1190" i="27"/>
  <c r="F3035" i="27"/>
  <c r="K1716" i="27"/>
  <c r="K1715" i="27"/>
  <c r="U923" i="32"/>
  <c r="G921" i="32"/>
  <c r="I3034" i="27"/>
  <c r="A921" i="32"/>
  <c r="H3035" i="27"/>
  <c r="J3034" i="27"/>
  <c r="H3034" i="27"/>
  <c r="A3034" i="27" l="1"/>
  <c r="F3036" i="27"/>
  <c r="F3037" i="27"/>
  <c r="K1717" i="27"/>
  <c r="K1718" i="27"/>
  <c r="U925" i="32"/>
  <c r="K3035" i="27"/>
  <c r="J3036" i="27"/>
  <c r="A923" i="32"/>
  <c r="J3035" i="27"/>
  <c r="I3035" i="27"/>
  <c r="G923" i="32"/>
  <c r="K3037" i="27"/>
  <c r="A3035" i="27" l="1"/>
  <c r="F3038" i="27"/>
  <c r="K1720" i="27"/>
  <c r="K1719" i="27"/>
  <c r="U927" i="32"/>
  <c r="H3036" i="27"/>
  <c r="K3036" i="27"/>
  <c r="J3037" i="27"/>
  <c r="J3038" i="27"/>
  <c r="I3037" i="27"/>
  <c r="G925" i="32"/>
  <c r="A925" i="32"/>
  <c r="I3036" i="27"/>
  <c r="H3037" i="27"/>
  <c r="A3036" i="27" l="1"/>
  <c r="A3037" i="27"/>
  <c r="F3039" i="27"/>
  <c r="K1722" i="27"/>
  <c r="K1721" i="27"/>
  <c r="U929" i="32"/>
  <c r="I3038" i="27"/>
  <c r="G927" i="32"/>
  <c r="A927" i="32"/>
  <c r="J3039" i="27"/>
  <c r="H3038" i="27"/>
  <c r="K3038" i="27"/>
  <c r="A3038" i="27" l="1"/>
  <c r="F3040" i="27"/>
  <c r="K1723" i="27"/>
  <c r="K1724" i="27"/>
  <c r="U931" i="32"/>
  <c r="K3039" i="27"/>
  <c r="J3040" i="27"/>
  <c r="H3039" i="27"/>
  <c r="G929" i="32"/>
  <c r="I3039" i="27"/>
  <c r="A929" i="32"/>
  <c r="A3039" i="27" l="1"/>
  <c r="F3041" i="27"/>
  <c r="K1725" i="27"/>
  <c r="K1726" i="27"/>
  <c r="U933" i="32"/>
  <c r="A931" i="32"/>
  <c r="I3041" i="27"/>
  <c r="K3040" i="27"/>
  <c r="I3040" i="27"/>
  <c r="G931" i="32"/>
  <c r="H3040" i="27"/>
  <c r="A3040" i="27" l="1"/>
  <c r="F3042" i="27"/>
  <c r="F3043" i="27"/>
  <c r="K1728" i="27"/>
  <c r="K1727" i="27"/>
  <c r="U935" i="32"/>
  <c r="I3043" i="27"/>
  <c r="K3041" i="27"/>
  <c r="H3041" i="27"/>
  <c r="G933" i="32"/>
  <c r="J3042" i="27"/>
  <c r="J3041" i="27"/>
  <c r="A933" i="32"/>
  <c r="A3041" i="27" l="1"/>
  <c r="F3044" i="27"/>
  <c r="K1729" i="27"/>
  <c r="K1730" i="27"/>
  <c r="U937" i="32"/>
  <c r="J3044" i="27"/>
  <c r="J3043" i="27"/>
  <c r="I3042" i="27"/>
  <c r="K3043" i="27"/>
  <c r="H3043" i="27"/>
  <c r="A935" i="32"/>
  <c r="H3042" i="27"/>
  <c r="G935" i="32"/>
  <c r="K3042" i="27"/>
  <c r="A3042" i="27" l="1"/>
  <c r="A3043" i="27"/>
  <c r="F3045" i="27"/>
  <c r="K1731" i="27"/>
  <c r="K1732" i="27"/>
  <c r="U939" i="32"/>
  <c r="K3044" i="27"/>
  <c r="H3045" i="27"/>
  <c r="H3044" i="27"/>
  <c r="A937" i="32"/>
  <c r="G937" i="32"/>
  <c r="I3044" i="27"/>
  <c r="A3044" i="27" l="1"/>
  <c r="F3046" i="27"/>
  <c r="K1733" i="27"/>
  <c r="K1734" i="27"/>
  <c r="U941" i="32"/>
  <c r="G939" i="32"/>
  <c r="I3045" i="27"/>
  <c r="K3046" i="27"/>
  <c r="K3045" i="27"/>
  <c r="A939" i="32"/>
  <c r="J3045" i="27"/>
  <c r="A3045" i="27" l="1"/>
  <c r="F3047" i="27"/>
  <c r="K1735" i="27"/>
  <c r="K1736" i="27"/>
  <c r="U943" i="32"/>
  <c r="J3047" i="27"/>
  <c r="I3046" i="27"/>
  <c r="J3046" i="27"/>
  <c r="H3046" i="27"/>
  <c r="A941" i="32"/>
  <c r="G941" i="32"/>
  <c r="A3046" i="27" l="1"/>
  <c r="F3049" i="27"/>
  <c r="F3048" i="27"/>
  <c r="K1737" i="27"/>
  <c r="K1738" i="27"/>
  <c r="U945" i="32"/>
  <c r="I3048" i="27"/>
  <c r="K3047" i="27"/>
  <c r="H3047" i="27"/>
  <c r="I3047" i="27"/>
  <c r="I3049" i="27"/>
  <c r="G943" i="32"/>
  <c r="A943" i="32"/>
  <c r="A3047" i="27" l="1"/>
  <c r="F3050" i="27"/>
  <c r="K1740" i="27"/>
  <c r="K1739" i="27"/>
  <c r="U947" i="32"/>
  <c r="K3049" i="27"/>
  <c r="H3048" i="27"/>
  <c r="A945" i="32"/>
  <c r="K3048" i="27"/>
  <c r="H3049" i="27"/>
  <c r="G945" i="32"/>
  <c r="J3048" i="27"/>
  <c r="H3050" i="27"/>
  <c r="J3049" i="27"/>
  <c r="A3049" i="27" l="1"/>
  <c r="A3048" i="27"/>
  <c r="F3051" i="27"/>
  <c r="K1741" i="27"/>
  <c r="K1742" i="27"/>
  <c r="U949" i="32"/>
  <c r="A947" i="32"/>
  <c r="I3050" i="27"/>
  <c r="G947" i="32"/>
  <c r="J3050" i="27"/>
  <c r="K3050" i="27"/>
  <c r="I3051" i="27"/>
  <c r="A3050" i="27" l="1"/>
  <c r="F3052" i="27"/>
  <c r="K1744" i="27"/>
  <c r="K1743" i="27"/>
  <c r="U951" i="32"/>
  <c r="H3051" i="27"/>
  <c r="G949" i="32"/>
  <c r="A949" i="32"/>
  <c r="J3051" i="27"/>
  <c r="K3051" i="27"/>
  <c r="I3052" i="27"/>
  <c r="A3051" i="27" l="1"/>
  <c r="F3053" i="27"/>
  <c r="K1746" i="27"/>
  <c r="K1745" i="27"/>
  <c r="U953" i="32"/>
  <c r="K3052" i="27"/>
  <c r="I3053" i="27"/>
  <c r="J3052" i="27"/>
  <c r="H3052" i="27"/>
  <c r="G951" i="32"/>
  <c r="A951" i="32"/>
  <c r="A3052" i="27" l="1"/>
  <c r="F3054" i="27"/>
  <c r="F3055" i="27"/>
  <c r="K1747" i="27"/>
  <c r="K1748" i="27"/>
  <c r="U955" i="32"/>
  <c r="G953" i="32"/>
  <c r="K3053" i="27"/>
  <c r="A953" i="32"/>
  <c r="J3053" i="27"/>
  <c r="H3053" i="27"/>
  <c r="I3055" i="27"/>
  <c r="I3054" i="27"/>
  <c r="A3053" i="27" l="1"/>
  <c r="F3056" i="27"/>
  <c r="K1749" i="27"/>
  <c r="K1750" i="27"/>
  <c r="U957" i="32"/>
  <c r="A955" i="32"/>
  <c r="H3055" i="27"/>
  <c r="J3054" i="27"/>
  <c r="H3054" i="27"/>
  <c r="K3054" i="27"/>
  <c r="K3055" i="27"/>
  <c r="J3055" i="27"/>
  <c r="G955" i="32"/>
  <c r="H3056" i="27"/>
  <c r="A3054" i="27" l="1"/>
  <c r="A3055" i="27"/>
  <c r="F3057" i="27"/>
  <c r="K1752" i="27"/>
  <c r="K1751" i="27"/>
  <c r="U959" i="32"/>
  <c r="G957" i="32"/>
  <c r="J3057" i="27"/>
  <c r="I3056" i="27"/>
  <c r="J3056" i="27"/>
  <c r="K3056" i="27"/>
  <c r="A957" i="32"/>
  <c r="A3056" i="27" l="1"/>
  <c r="F3058" i="27"/>
  <c r="K1753" i="27"/>
  <c r="K1754" i="27"/>
  <c r="U961" i="32"/>
  <c r="I3057" i="27"/>
  <c r="H3058" i="27"/>
  <c r="G959" i="32"/>
  <c r="K3057" i="27"/>
  <c r="A959" i="32"/>
  <c r="H3057" i="27"/>
  <c r="A3057" i="27" l="1"/>
  <c r="F3059" i="27"/>
  <c r="K1756" i="27"/>
  <c r="K1755" i="27"/>
  <c r="U963" i="32"/>
  <c r="K3058" i="27"/>
  <c r="K3059" i="27"/>
  <c r="G961" i="32"/>
  <c r="I3058" i="27"/>
  <c r="J3058" i="27"/>
  <c r="A961" i="32"/>
  <c r="A3058" i="27" l="1"/>
  <c r="F3060" i="27"/>
  <c r="F3061" i="27"/>
  <c r="K1758" i="27"/>
  <c r="K1757" i="27"/>
  <c r="U965" i="32"/>
  <c r="J3059" i="27"/>
  <c r="G963" i="32"/>
  <c r="I3059" i="27"/>
  <c r="A963" i="32"/>
  <c r="I3060" i="27"/>
  <c r="H3059" i="27"/>
  <c r="K3061" i="27"/>
  <c r="A3059" i="27" l="1"/>
  <c r="F3062" i="27"/>
  <c r="K1760" i="27"/>
  <c r="K1759" i="27"/>
  <c r="U967" i="32"/>
  <c r="K3060" i="27"/>
  <c r="I3061" i="27"/>
  <c r="K3062" i="27"/>
  <c r="J3061" i="27"/>
  <c r="J3060" i="27"/>
  <c r="G965" i="32"/>
  <c r="H3061" i="27"/>
  <c r="A965" i="32"/>
  <c r="H3060" i="27"/>
  <c r="A3060" i="27" l="1"/>
  <c r="A3061" i="27"/>
  <c r="F3063" i="27"/>
  <c r="K1761" i="27"/>
  <c r="K1762" i="27"/>
  <c r="U969" i="32"/>
  <c r="J3062" i="27"/>
  <c r="H3062" i="27"/>
  <c r="A967" i="32"/>
  <c r="I3062" i="27"/>
  <c r="I3063" i="27"/>
  <c r="G967" i="32"/>
  <c r="A3062" i="27" l="1"/>
  <c r="F3064" i="27"/>
  <c r="K1763" i="27"/>
  <c r="K1764" i="27"/>
  <c r="U971" i="32"/>
  <c r="J3063" i="27"/>
  <c r="H3064" i="27"/>
  <c r="K3063" i="27"/>
  <c r="H3063" i="27"/>
  <c r="G969" i="32"/>
  <c r="A969" i="32"/>
  <c r="A3063" i="27" l="1"/>
  <c r="F3065" i="27"/>
  <c r="K1766" i="27"/>
  <c r="K1765" i="27"/>
  <c r="U973" i="32"/>
  <c r="J3064" i="27"/>
  <c r="A971" i="32"/>
  <c r="I3064" i="27"/>
  <c r="J3065" i="27"/>
  <c r="K3064" i="27"/>
  <c r="G971" i="32"/>
  <c r="K3065" i="27"/>
  <c r="A3064" i="27" l="1"/>
  <c r="A3065" i="27"/>
  <c r="F3066" i="27"/>
  <c r="F3067" i="27"/>
  <c r="K1767" i="27"/>
  <c r="K1768" i="27"/>
  <c r="U975" i="32"/>
  <c r="G973" i="32"/>
  <c r="I3067" i="27"/>
  <c r="I3065" i="27"/>
  <c r="A973" i="32"/>
  <c r="H3066" i="27"/>
  <c r="H3065" i="27"/>
  <c r="F3068" i="27" l="1"/>
  <c r="K1770" i="27"/>
  <c r="K1769" i="27"/>
  <c r="U977" i="32"/>
  <c r="G975" i="32"/>
  <c r="J3067" i="27"/>
  <c r="A975" i="32"/>
  <c r="K3066" i="27"/>
  <c r="I3066" i="27"/>
  <c r="J3066" i="27"/>
  <c r="K3067" i="27"/>
  <c r="H3067" i="27"/>
  <c r="H3068" i="27"/>
  <c r="A3067" i="27" l="1"/>
  <c r="A3066" i="27"/>
  <c r="F3069" i="27"/>
  <c r="K1771" i="27"/>
  <c r="K1772" i="27"/>
  <c r="U979" i="32"/>
  <c r="J3069" i="27"/>
  <c r="I3068" i="27"/>
  <c r="K3068" i="27"/>
  <c r="J3068" i="27"/>
  <c r="A977" i="32"/>
  <c r="G977" i="32"/>
  <c r="A3068" i="27" l="1"/>
  <c r="F3070" i="27"/>
  <c r="K1774" i="27"/>
  <c r="K1773" i="27"/>
  <c r="U981" i="32"/>
  <c r="A979" i="32"/>
  <c r="K3069" i="27"/>
  <c r="H3069" i="27"/>
  <c r="G979" i="32"/>
  <c r="J3070" i="27"/>
  <c r="I3069" i="27"/>
  <c r="A3069" i="27" l="1"/>
  <c r="F3071" i="27"/>
  <c r="K1775" i="27"/>
  <c r="K1776" i="27"/>
  <c r="U983" i="32"/>
  <c r="I3070" i="27"/>
  <c r="I3071" i="27"/>
  <c r="G981" i="32"/>
  <c r="H3070" i="27"/>
  <c r="K3070" i="27"/>
  <c r="A981" i="32"/>
  <c r="A3070" i="27" l="1"/>
  <c r="F3073" i="27"/>
  <c r="F3072" i="27"/>
  <c r="K1778" i="27"/>
  <c r="K1777" i="27"/>
  <c r="U985" i="32"/>
  <c r="A983" i="32"/>
  <c r="J3071" i="27"/>
  <c r="K3071" i="27"/>
  <c r="H3071" i="27"/>
  <c r="K3073" i="27"/>
  <c r="I3072" i="27"/>
  <c r="G983" i="32"/>
  <c r="A3071" i="27" l="1"/>
  <c r="F3074" i="27"/>
  <c r="K1779" i="27"/>
  <c r="K1780" i="27"/>
  <c r="U987" i="32"/>
  <c r="I3073" i="27"/>
  <c r="J3073" i="27"/>
  <c r="A985" i="32"/>
  <c r="G985" i="32"/>
  <c r="H3072" i="27"/>
  <c r="K3074" i="27"/>
  <c r="K3072" i="27"/>
  <c r="H3073" i="27"/>
  <c r="J3072" i="27"/>
  <c r="A3073" i="27" l="1"/>
  <c r="A3072" i="27"/>
  <c r="F3075" i="27"/>
  <c r="K1781" i="27"/>
  <c r="K1782" i="27"/>
  <c r="U989" i="32"/>
  <c r="I3074" i="27"/>
  <c r="I3075" i="27"/>
  <c r="G987" i="32"/>
  <c r="A987" i="32"/>
  <c r="J3074" i="27"/>
  <c r="H3074" i="27"/>
  <c r="A3074" i="27" l="1"/>
  <c r="F3076" i="27"/>
  <c r="K1783" i="27"/>
  <c r="K1784" i="27"/>
  <c r="U991" i="32"/>
  <c r="K3076" i="27"/>
  <c r="K3075" i="27"/>
  <c r="A989" i="32"/>
  <c r="J3075" i="27"/>
  <c r="G989" i="32"/>
  <c r="H3075" i="27"/>
  <c r="A3075" i="27" l="1"/>
  <c r="F3077" i="27"/>
  <c r="K1785" i="27"/>
  <c r="K1786" i="27"/>
  <c r="U993" i="32"/>
  <c r="J3076" i="27"/>
  <c r="I3077" i="27"/>
  <c r="A991" i="32"/>
  <c r="H3076" i="27"/>
  <c r="G991" i="32"/>
  <c r="I3076" i="27"/>
  <c r="A3076" i="27" l="1"/>
  <c r="F3078" i="27"/>
  <c r="F3079" i="27"/>
  <c r="K1788" i="27"/>
  <c r="K1787" i="27"/>
  <c r="U995" i="32"/>
  <c r="J3078" i="27"/>
  <c r="G993" i="32"/>
  <c r="K3079" i="27"/>
  <c r="K3077" i="27"/>
  <c r="A993" i="32"/>
  <c r="H3077" i="27"/>
  <c r="J3077" i="27"/>
  <c r="A3077" i="27" l="1"/>
  <c r="F3080" i="27"/>
  <c r="K1789" i="27"/>
  <c r="K1790" i="27"/>
  <c r="U997" i="32"/>
  <c r="G995" i="32"/>
  <c r="K3078" i="27"/>
  <c r="I3080" i="27"/>
  <c r="I3078" i="27"/>
  <c r="I3079" i="27"/>
  <c r="H3079" i="27"/>
  <c r="J3079" i="27"/>
  <c r="A995" i="32"/>
  <c r="H3078" i="27"/>
  <c r="A3078" i="27" l="1"/>
  <c r="A3079" i="27"/>
  <c r="F3081" i="27"/>
  <c r="K1791" i="27"/>
  <c r="K1792" i="27"/>
  <c r="U999" i="32"/>
  <c r="G997" i="32"/>
  <c r="I3081" i="27"/>
  <c r="H3080" i="27"/>
  <c r="J3080" i="27"/>
  <c r="K3080" i="27"/>
  <c r="A997" i="32"/>
  <c r="A3080" i="27" l="1"/>
  <c r="F3082" i="27"/>
  <c r="K1794" i="27"/>
  <c r="K1793" i="27"/>
  <c r="U1001" i="32"/>
  <c r="J3082" i="27"/>
  <c r="G999" i="32"/>
  <c r="J3081" i="27"/>
  <c r="A999" i="32"/>
  <c r="K3081" i="27"/>
  <c r="H3081" i="27"/>
  <c r="A3081" i="27" l="1"/>
  <c r="F3083" i="27"/>
  <c r="K1795" i="27"/>
  <c r="K1796" i="27"/>
  <c r="U1003" i="32"/>
  <c r="I3082" i="27"/>
  <c r="J3083" i="27"/>
  <c r="G1001" i="32"/>
  <c r="K3082" i="27"/>
  <c r="H3082" i="27"/>
  <c r="A1001" i="32"/>
  <c r="A3082" i="27" l="1"/>
  <c r="F3084" i="27"/>
  <c r="F3085" i="27"/>
  <c r="K1798" i="27"/>
  <c r="K1797" i="27"/>
  <c r="U1005" i="32"/>
  <c r="G1003" i="32"/>
  <c r="I3083" i="27"/>
  <c r="K3084" i="27"/>
  <c r="K3083" i="27"/>
  <c r="K3085" i="27"/>
  <c r="A1003" i="32"/>
  <c r="H3083" i="27"/>
  <c r="A3083" i="27" l="1"/>
  <c r="F3086" i="27"/>
  <c r="K1800" i="27"/>
  <c r="K1799" i="27"/>
  <c r="U1007" i="32"/>
  <c r="H3084" i="27"/>
  <c r="H3085" i="27"/>
  <c r="H3086" i="27"/>
  <c r="J3085" i="27"/>
  <c r="I3084" i="27"/>
  <c r="A1005" i="32"/>
  <c r="G1005" i="32"/>
  <c r="J3084" i="27"/>
  <c r="I3085" i="27"/>
  <c r="A3085" i="27" l="1"/>
  <c r="A3084" i="27"/>
  <c r="F3087" i="27"/>
  <c r="K1802" i="27"/>
  <c r="K1801" i="27"/>
  <c r="U1009" i="32"/>
  <c r="A1007" i="32"/>
  <c r="K3086" i="27"/>
  <c r="I3086" i="27"/>
  <c r="K3087" i="27"/>
  <c r="G1007" i="32"/>
  <c r="J3086" i="27"/>
  <c r="A3086" i="27" l="1"/>
  <c r="F3088" i="27"/>
  <c r="K1804" i="27"/>
  <c r="K1803" i="27"/>
  <c r="U1011" i="32"/>
  <c r="I3087" i="27"/>
  <c r="G1009" i="32"/>
  <c r="H3087" i="27"/>
  <c r="A1009" i="32"/>
  <c r="J3087" i="27"/>
  <c r="K3088" i="27"/>
  <c r="A3087" i="27" l="1"/>
  <c r="F3089" i="27"/>
  <c r="K1805" i="27"/>
  <c r="K1806" i="27"/>
  <c r="U1013" i="32"/>
  <c r="G1011" i="32"/>
  <c r="H3089" i="27"/>
  <c r="J3088" i="27"/>
  <c r="H3088" i="27"/>
  <c r="A1011" i="32"/>
  <c r="I3088" i="27"/>
  <c r="A3088" i="27" l="1"/>
  <c r="F3091" i="27"/>
  <c r="F3090" i="27"/>
  <c r="K1808" i="27"/>
  <c r="K1807" i="27"/>
  <c r="U1015" i="32"/>
  <c r="G1013" i="32"/>
  <c r="K3089" i="27"/>
  <c r="I3089" i="27"/>
  <c r="A1013" i="32"/>
  <c r="K3091" i="27"/>
  <c r="J3089" i="27"/>
  <c r="I3090" i="27"/>
  <c r="A3089" i="27" l="1"/>
  <c r="F3092" i="27"/>
  <c r="K1809" i="27"/>
  <c r="K1810" i="27"/>
  <c r="U1017" i="32"/>
  <c r="J3090" i="27"/>
  <c r="H3090" i="27"/>
  <c r="I3092" i="27"/>
  <c r="J3091" i="27"/>
  <c r="I3091" i="27"/>
  <c r="H3091" i="27"/>
  <c r="G1015" i="32"/>
  <c r="A1015" i="32"/>
  <c r="K3090" i="27"/>
  <c r="A3091" i="27" l="1"/>
  <c r="A3090" i="27"/>
  <c r="F3093" i="27"/>
  <c r="K1812" i="27"/>
  <c r="K1811" i="27"/>
  <c r="U1019" i="32"/>
  <c r="K3092" i="27"/>
  <c r="J3092" i="27"/>
  <c r="H3092" i="27"/>
  <c r="K3093" i="27"/>
  <c r="G1017" i="32"/>
  <c r="A1017" i="32"/>
  <c r="A3092" i="27" l="1"/>
  <c r="F3094" i="27"/>
  <c r="K1814" i="27"/>
  <c r="K1813" i="27"/>
  <c r="U1021" i="32"/>
  <c r="H3093" i="27"/>
  <c r="A1019" i="32"/>
  <c r="J3093" i="27"/>
  <c r="H3094" i="27"/>
  <c r="G1019" i="32"/>
  <c r="G1021" i="32"/>
  <c r="I3093" i="27"/>
  <c r="A3093" i="27" l="1"/>
  <c r="F3095" i="27"/>
  <c r="K1816" i="27"/>
  <c r="K1815" i="27"/>
  <c r="U1023" i="32"/>
  <c r="K3094" i="27"/>
  <c r="G1023" i="32"/>
  <c r="J3094" i="27"/>
  <c r="A1021" i="32"/>
  <c r="I3094" i="27"/>
  <c r="J3095" i="27"/>
  <c r="A3094" i="27" l="1"/>
  <c r="F3097" i="27"/>
  <c r="F3096" i="27"/>
  <c r="K1818" i="27"/>
  <c r="K1817" i="27"/>
  <c r="U1025" i="32"/>
  <c r="I3095" i="27"/>
  <c r="H3097" i="27"/>
  <c r="J3096" i="27"/>
  <c r="K3095" i="27"/>
  <c r="A1023" i="32"/>
  <c r="G1025" i="32"/>
  <c r="H3095" i="27"/>
  <c r="A3095" i="27" l="1"/>
  <c r="F3098" i="27"/>
  <c r="K1819" i="27"/>
  <c r="K1820" i="27"/>
  <c r="U1027" i="32"/>
  <c r="K3096" i="27"/>
  <c r="J3097" i="27"/>
  <c r="H3098" i="27"/>
  <c r="H3096" i="27"/>
  <c r="G1027" i="32"/>
  <c r="K3097" i="27"/>
  <c r="I3096" i="27"/>
  <c r="A1025" i="32"/>
  <c r="I3097" i="27"/>
  <c r="A3097" i="27" l="1"/>
  <c r="A3096" i="27"/>
  <c r="F3099" i="27"/>
  <c r="K1821" i="27"/>
  <c r="K1822" i="27"/>
  <c r="U1029" i="32"/>
  <c r="A1027" i="32"/>
  <c r="J3098" i="27"/>
  <c r="K3098" i="27"/>
  <c r="I3098" i="27"/>
  <c r="K3099" i="27"/>
  <c r="A3098" i="27" l="1"/>
  <c r="F3100" i="27"/>
  <c r="K1824" i="27"/>
  <c r="K1823" i="27"/>
  <c r="U1031" i="32"/>
  <c r="H3099" i="27"/>
  <c r="I3100" i="27"/>
  <c r="I3099" i="27"/>
  <c r="A1029" i="32"/>
  <c r="G1029" i="32"/>
  <c r="J3099" i="27"/>
  <c r="A3099" i="27" l="1"/>
  <c r="F3101" i="27"/>
  <c r="K1825" i="27"/>
  <c r="K1826" i="27"/>
  <c r="U1033" i="32"/>
  <c r="J3100" i="27"/>
  <c r="I3101" i="27"/>
  <c r="A1031" i="32"/>
  <c r="H3100" i="27"/>
  <c r="G1031" i="32"/>
  <c r="K3100" i="27"/>
  <c r="A3100" i="27" l="1"/>
  <c r="F3103" i="27"/>
  <c r="F3102" i="27"/>
  <c r="K1828" i="27"/>
  <c r="K1827" i="27"/>
  <c r="U1035" i="32"/>
  <c r="J3101" i="27"/>
  <c r="J3102" i="27"/>
  <c r="G1033" i="32"/>
  <c r="H3103" i="27"/>
  <c r="H3101" i="27"/>
  <c r="A1033" i="32"/>
  <c r="K3101" i="27"/>
  <c r="I3103" i="27"/>
  <c r="A3101" i="27" l="1"/>
  <c r="F3104" i="27"/>
  <c r="K1830" i="27"/>
  <c r="K1829" i="27"/>
  <c r="U1037" i="32"/>
  <c r="J3103" i="27"/>
  <c r="K3104" i="27"/>
  <c r="K3103" i="27"/>
  <c r="K3102" i="27"/>
  <c r="G1035" i="32"/>
  <c r="A1035" i="32"/>
  <c r="I3102" i="27"/>
  <c r="H3102" i="27"/>
  <c r="A3102" i="27" l="1"/>
  <c r="A3103" i="27"/>
  <c r="F3105" i="27"/>
  <c r="K1831" i="27"/>
  <c r="K1832" i="27"/>
  <c r="U1039" i="32"/>
  <c r="G1037" i="32"/>
  <c r="H3104" i="27"/>
  <c r="I3104" i="27"/>
  <c r="A1037" i="32"/>
  <c r="J3104" i="27"/>
  <c r="J3105" i="27"/>
  <c r="A3104" i="27" l="1"/>
  <c r="F3106" i="27"/>
  <c r="K1833" i="27"/>
  <c r="K1834" i="27"/>
  <c r="U1041" i="32"/>
  <c r="G1039" i="32"/>
  <c r="K3106" i="27"/>
  <c r="K3105" i="27"/>
  <c r="I3105" i="27"/>
  <c r="A1039" i="32"/>
  <c r="H3105" i="27"/>
  <c r="A3105" i="27" l="1"/>
  <c r="F3107" i="27"/>
  <c r="K1835" i="27"/>
  <c r="K1836" i="27"/>
  <c r="U1043" i="32"/>
  <c r="G1041" i="32"/>
  <c r="I3107" i="27"/>
  <c r="A1041" i="32"/>
  <c r="H3106" i="27"/>
  <c r="I3106" i="27"/>
  <c r="J3106" i="27"/>
  <c r="A3106" i="27" l="1"/>
  <c r="F3109" i="27"/>
  <c r="F3108" i="27"/>
  <c r="K1838" i="27"/>
  <c r="K1837" i="27"/>
  <c r="U1045" i="32"/>
  <c r="A1043" i="32"/>
  <c r="K3107" i="27"/>
  <c r="G1043" i="32"/>
  <c r="H3107" i="27"/>
  <c r="K3109" i="27"/>
  <c r="I3108" i="27"/>
  <c r="J3107" i="27"/>
  <c r="A3107" i="27" l="1"/>
  <c r="F3110" i="27"/>
  <c r="K1840" i="27"/>
  <c r="K1839" i="27"/>
  <c r="U1047" i="32"/>
  <c r="H3109" i="27"/>
  <c r="I3109" i="27"/>
  <c r="A1045" i="32"/>
  <c r="K3110" i="27"/>
  <c r="J3109" i="27"/>
  <c r="J3108" i="27"/>
  <c r="H3108" i="27"/>
  <c r="K3108" i="27"/>
  <c r="G1045" i="32"/>
  <c r="A3109" i="27" l="1"/>
  <c r="A3108" i="27"/>
  <c r="F3111" i="27"/>
  <c r="K1842" i="27"/>
  <c r="K1841" i="27"/>
  <c r="U1049" i="32"/>
  <c r="H3111" i="27"/>
  <c r="I3110" i="27"/>
  <c r="J3110" i="27"/>
  <c r="G1047" i="32"/>
  <c r="A1047" i="32"/>
  <c r="H3110" i="27"/>
  <c r="A3110" i="27" l="1"/>
  <c r="F3112" i="27"/>
  <c r="K1843" i="27"/>
  <c r="K1844" i="27"/>
  <c r="U1051" i="32"/>
  <c r="I3111" i="27"/>
  <c r="G1049" i="32"/>
  <c r="K3112" i="27"/>
  <c r="J3111" i="27"/>
  <c r="H3112" i="27"/>
  <c r="K3111" i="27"/>
  <c r="A1049" i="32"/>
  <c r="A3111" i="27" l="1"/>
  <c r="F3113" i="27"/>
  <c r="K1846" i="27"/>
  <c r="K1845" i="27"/>
  <c r="U1053" i="32"/>
  <c r="A1051" i="32"/>
  <c r="G1051" i="32"/>
  <c r="J3113" i="27"/>
  <c r="I3112" i="27"/>
  <c r="J3112" i="27"/>
  <c r="A3112" i="27" l="1"/>
  <c r="F3114" i="27"/>
  <c r="F3115" i="27"/>
  <c r="K1847" i="27"/>
  <c r="K1848" i="27"/>
  <c r="U1055" i="32"/>
  <c r="K3113" i="27"/>
  <c r="K3114" i="27"/>
  <c r="I3113" i="27"/>
  <c r="G1053" i="32"/>
  <c r="K3115" i="27"/>
  <c r="J3115" i="27"/>
  <c r="J3114" i="27"/>
  <c r="H3113" i="27"/>
  <c r="A1053" i="32"/>
  <c r="A3113" i="27" l="1"/>
  <c r="A3114" i="27"/>
  <c r="A3115" i="27"/>
  <c r="F3116" i="27"/>
  <c r="K1849" i="27"/>
  <c r="K1850" i="27"/>
  <c r="U1057" i="32"/>
  <c r="I3116" i="27"/>
  <c r="I3114" i="27"/>
  <c r="H3115" i="27"/>
  <c r="G1055" i="32"/>
  <c r="H3114" i="27"/>
  <c r="A1055" i="32"/>
  <c r="I3115" i="27"/>
  <c r="F3117" i="27" l="1"/>
  <c r="K1851" i="27"/>
  <c r="K1852" i="27"/>
  <c r="U1059" i="32"/>
  <c r="A1057" i="32"/>
  <c r="K3117" i="27"/>
  <c r="H3116" i="27"/>
  <c r="G1057" i="32"/>
  <c r="K3116" i="27"/>
  <c r="J3116" i="27"/>
  <c r="A3116" i="27" l="1"/>
  <c r="F3118" i="27"/>
  <c r="K1853" i="27"/>
  <c r="K1854" i="27"/>
  <c r="U1061" i="32"/>
  <c r="H3117" i="27"/>
  <c r="G1061" i="32"/>
  <c r="G1059" i="32"/>
  <c r="I3117" i="27"/>
  <c r="J3117" i="27"/>
  <c r="A1059" i="32"/>
  <c r="J3118" i="27"/>
  <c r="K3118" i="27"/>
  <c r="A3117" i="27" l="1"/>
  <c r="A3118" i="27"/>
  <c r="F3119" i="27"/>
  <c r="K1856" i="27"/>
  <c r="K1855" i="27"/>
  <c r="U1063" i="32"/>
  <c r="G1063" i="32"/>
  <c r="A1061" i="32"/>
  <c r="I3118" i="27"/>
  <c r="H3118" i="27"/>
  <c r="J3119" i="27"/>
  <c r="F3121" i="27" l="1"/>
  <c r="F3120" i="27"/>
  <c r="K1858" i="27"/>
  <c r="K1857" i="27"/>
  <c r="U1065" i="32"/>
  <c r="I3119" i="27"/>
  <c r="H3119" i="27"/>
  <c r="K3119" i="27"/>
  <c r="K3120" i="27"/>
  <c r="K3121" i="27"/>
  <c r="A1063" i="32"/>
  <c r="G1065" i="32"/>
  <c r="A3119" i="27" l="1"/>
  <c r="F3122" i="27"/>
  <c r="K1860" i="27"/>
  <c r="K1859" i="27"/>
  <c r="U1067" i="32"/>
  <c r="I3121" i="27"/>
  <c r="H3120" i="27"/>
  <c r="J3121" i="27"/>
  <c r="J3122" i="27"/>
  <c r="A1065" i="32"/>
  <c r="G1067" i="32"/>
  <c r="J3120" i="27"/>
  <c r="I3120" i="27"/>
  <c r="H3121" i="27"/>
  <c r="A3120" i="27" l="1"/>
  <c r="A3121" i="27"/>
  <c r="F3123" i="27"/>
  <c r="K1862" i="27"/>
  <c r="K1861" i="27"/>
  <c r="U1069" i="32"/>
  <c r="G1069" i="32"/>
  <c r="K3123" i="27"/>
  <c r="K3122" i="27"/>
  <c r="H3122" i="27"/>
  <c r="A1067" i="32"/>
  <c r="I3122" i="27"/>
  <c r="A3122" i="27" l="1"/>
  <c r="F3124" i="27"/>
  <c r="K1863" i="27"/>
  <c r="K1864" i="27"/>
  <c r="U1071" i="32"/>
  <c r="J3123" i="27"/>
  <c r="I3124" i="27"/>
  <c r="A1069" i="32"/>
  <c r="I3123" i="27"/>
  <c r="H3123" i="27"/>
  <c r="G1071" i="32"/>
  <c r="A3123" i="27" l="1"/>
  <c r="F3125" i="27"/>
  <c r="K1865" i="27"/>
  <c r="K1866" i="27"/>
  <c r="U1073" i="32"/>
  <c r="H3124" i="27"/>
  <c r="J3124" i="27"/>
  <c r="K3124" i="27"/>
  <c r="A1071" i="32"/>
  <c r="I3125" i="27"/>
  <c r="A3124" i="27" l="1"/>
  <c r="F3127" i="27"/>
  <c r="F3126" i="27"/>
  <c r="K1868" i="27"/>
  <c r="K1867" i="27"/>
  <c r="U1075" i="32"/>
  <c r="K3126" i="27"/>
  <c r="H3127" i="27"/>
  <c r="A1073" i="32"/>
  <c r="K3125" i="27"/>
  <c r="G1073" i="32"/>
  <c r="J3127" i="27"/>
  <c r="H3125" i="27"/>
  <c r="J3125" i="27"/>
  <c r="A3125" i="27" l="1"/>
  <c r="F3128" i="27"/>
  <c r="K1869" i="27"/>
  <c r="K1870" i="27"/>
  <c r="U1077" i="32"/>
  <c r="H3126" i="27"/>
  <c r="H3128" i="27"/>
  <c r="J3126" i="27"/>
  <c r="I3126" i="27"/>
  <c r="A1075" i="32"/>
  <c r="G1075" i="32"/>
  <c r="K3127" i="27"/>
  <c r="I3127" i="27"/>
  <c r="A3127" i="27" l="1"/>
  <c r="A3126" i="27"/>
  <c r="F3129" i="27"/>
  <c r="K1872" i="27"/>
  <c r="K1871" i="27"/>
  <c r="U1079" i="32"/>
  <c r="J3128" i="27"/>
  <c r="J3129" i="27"/>
  <c r="G1077" i="32"/>
  <c r="A1077" i="32"/>
  <c r="I3128" i="27"/>
  <c r="K3128" i="27"/>
  <c r="A3128" i="27" l="1"/>
  <c r="F3130" i="27"/>
  <c r="K1874" i="27"/>
  <c r="K1873" i="27"/>
  <c r="U1081" i="32"/>
  <c r="I3129" i="27"/>
  <c r="H3130" i="27"/>
  <c r="A1079" i="32"/>
  <c r="G1079" i="32"/>
  <c r="H3129" i="27"/>
  <c r="K3129" i="27"/>
  <c r="A3129" i="27" l="1"/>
  <c r="F3131" i="27"/>
  <c r="K1876" i="27"/>
  <c r="K1875" i="27"/>
  <c r="U1083" i="32"/>
  <c r="J3130" i="27"/>
  <c r="I3130" i="27"/>
  <c r="K3131" i="27"/>
  <c r="K3130" i="27"/>
  <c r="A1081" i="32"/>
  <c r="G1081" i="32"/>
  <c r="A3130" i="27" l="1"/>
  <c r="F3133" i="27"/>
  <c r="F3132" i="27"/>
  <c r="K1878" i="27"/>
  <c r="K1877" i="27"/>
  <c r="U1085" i="32"/>
  <c r="J3131" i="27"/>
  <c r="J3133" i="27"/>
  <c r="G1083" i="32"/>
  <c r="H3131" i="27"/>
  <c r="K3132" i="27"/>
  <c r="A1083" i="32"/>
  <c r="I3131" i="27"/>
  <c r="A3131" i="27" l="1"/>
  <c r="F3134" i="27"/>
  <c r="K1879" i="27"/>
  <c r="K1880" i="27"/>
  <c r="U1087" i="32"/>
  <c r="G1085" i="32"/>
  <c r="K3133" i="27"/>
  <c r="A1085" i="32"/>
  <c r="I3132" i="27"/>
  <c r="J3132" i="27"/>
  <c r="H3133" i="27"/>
  <c r="I3133" i="27"/>
  <c r="J3134" i="27"/>
  <c r="H3132" i="27"/>
  <c r="A3133" i="27" l="1"/>
  <c r="A3132" i="27"/>
  <c r="F3135" i="27"/>
  <c r="K1881" i="27"/>
  <c r="K1882" i="27"/>
  <c r="U1089" i="32"/>
  <c r="A1087" i="32"/>
  <c r="K3134" i="27"/>
  <c r="H3134" i="27"/>
  <c r="I3135" i="27"/>
  <c r="G1087" i="32"/>
  <c r="I3134" i="27"/>
  <c r="A3134" i="27" l="1"/>
  <c r="F3136" i="27"/>
  <c r="K1884" i="27"/>
  <c r="K1883" i="27"/>
  <c r="U1091" i="32"/>
  <c r="K3135" i="27"/>
  <c r="H3136" i="27"/>
  <c r="A1089" i="32"/>
  <c r="J3135" i="27"/>
  <c r="G1089" i="32"/>
  <c r="H3135" i="27"/>
  <c r="A3135" i="27" l="1"/>
  <c r="F3137" i="27"/>
  <c r="K1886" i="27"/>
  <c r="K1885" i="27"/>
  <c r="U1093" i="32"/>
  <c r="A1091" i="32"/>
  <c r="K3136" i="27"/>
  <c r="J3136" i="27"/>
  <c r="I3137" i="27"/>
  <c r="I3136" i="27"/>
  <c r="G1091" i="32"/>
  <c r="A3136" i="27" l="1"/>
  <c r="F3138" i="27"/>
  <c r="F3139" i="27"/>
  <c r="K1888" i="27"/>
  <c r="K1887" i="27"/>
  <c r="U1095" i="32"/>
  <c r="H3137" i="27"/>
  <c r="G1093" i="32"/>
  <c r="K3137" i="27"/>
  <c r="A1093" i="32"/>
  <c r="K3138" i="27"/>
  <c r="J3137" i="27"/>
  <c r="I3139" i="27"/>
  <c r="A3137" i="27" l="1"/>
  <c r="F3140" i="27"/>
  <c r="K1889" i="27"/>
  <c r="K1890" i="27"/>
  <c r="U1097" i="32"/>
  <c r="A1095" i="32"/>
  <c r="H3139" i="27"/>
  <c r="H3140" i="27"/>
  <c r="G1095" i="32"/>
  <c r="I3138" i="27"/>
  <c r="H3138" i="27"/>
  <c r="J3138" i="27"/>
  <c r="K3139" i="27"/>
  <c r="J3139" i="27"/>
  <c r="A3138" i="27" l="1"/>
  <c r="A3139" i="27"/>
  <c r="F3141" i="27"/>
  <c r="K1891" i="27"/>
  <c r="K1892" i="27"/>
  <c r="U1099" i="32"/>
  <c r="I3140" i="27"/>
  <c r="A1097" i="32"/>
  <c r="K3141" i="27"/>
  <c r="G1097" i="32"/>
  <c r="J3140" i="27"/>
  <c r="K3140" i="27"/>
  <c r="A3140" i="27" l="1"/>
  <c r="F3142" i="27"/>
  <c r="K1893" i="27"/>
  <c r="K1894" i="27"/>
  <c r="U1101" i="32"/>
  <c r="H3141" i="27"/>
  <c r="I3142" i="27"/>
  <c r="I3141" i="27"/>
  <c r="J3141" i="27"/>
  <c r="G1099" i="32"/>
  <c r="A1099" i="32"/>
  <c r="A3141" i="27" l="1"/>
  <c r="F3143" i="27"/>
  <c r="K1896" i="27"/>
  <c r="K1895" i="27"/>
  <c r="U1103" i="32"/>
  <c r="A1101" i="32"/>
  <c r="H3142" i="27"/>
  <c r="J3142" i="27"/>
  <c r="H3143" i="27"/>
  <c r="G1101" i="32"/>
  <c r="K3142" i="27"/>
  <c r="A3142" i="27" l="1"/>
  <c r="F3145" i="27"/>
  <c r="F3144" i="27"/>
  <c r="K1898" i="27"/>
  <c r="K1897" i="27"/>
  <c r="U1105" i="32"/>
  <c r="A1103" i="32"/>
  <c r="H3145" i="27"/>
  <c r="K3143" i="27"/>
  <c r="J3143" i="27"/>
  <c r="J3144" i="27"/>
  <c r="I3143" i="27"/>
  <c r="G1103" i="32"/>
  <c r="A3143" i="27" l="1"/>
  <c r="F3146" i="27"/>
  <c r="K1899" i="27"/>
  <c r="K1900" i="27"/>
  <c r="U1107" i="32"/>
  <c r="A1105" i="32"/>
  <c r="K3145" i="27"/>
  <c r="I3146" i="27"/>
  <c r="K3144" i="27"/>
  <c r="J3145" i="27"/>
  <c r="I3145" i="27"/>
  <c r="I3144" i="27"/>
  <c r="H3144" i="27"/>
  <c r="G1105" i="32"/>
  <c r="A3144" i="27" l="1"/>
  <c r="A3145" i="27"/>
  <c r="F3147" i="27"/>
  <c r="K1901" i="27"/>
  <c r="K1902" i="27"/>
  <c r="U1109" i="32"/>
  <c r="K3146" i="27"/>
  <c r="J3147" i="27"/>
  <c r="J3146" i="27"/>
  <c r="G1107" i="32"/>
  <c r="A1107" i="32"/>
  <c r="H3146" i="27"/>
  <c r="A3146" i="27" l="1"/>
  <c r="F3148" i="27"/>
  <c r="K1904" i="27"/>
  <c r="K1903" i="27"/>
  <c r="U1111" i="32"/>
  <c r="G1109" i="32"/>
  <c r="I3148" i="27"/>
  <c r="K3147" i="27"/>
  <c r="A1109" i="32"/>
  <c r="H3147" i="27"/>
  <c r="I3147" i="27"/>
  <c r="A3147" i="27" l="1"/>
  <c r="F3149" i="27"/>
  <c r="K1905" i="27"/>
  <c r="K1906" i="27"/>
  <c r="U1113" i="32"/>
  <c r="J3149" i="27"/>
  <c r="I3149" i="27"/>
  <c r="K3148" i="27"/>
  <c r="G1111" i="32"/>
  <c r="H3148" i="27"/>
  <c r="A1111" i="32"/>
  <c r="J3148" i="27"/>
  <c r="A3148" i="27" l="1"/>
  <c r="F3150" i="27"/>
  <c r="F3151" i="27"/>
  <c r="K1907" i="27"/>
  <c r="K1908" i="27"/>
  <c r="U1115" i="32"/>
  <c r="J3150" i="27"/>
  <c r="J3151" i="27"/>
  <c r="A1113" i="32"/>
  <c r="G1113" i="32"/>
  <c r="H3149" i="27"/>
  <c r="K3149" i="27"/>
  <c r="A3149" i="27" l="1"/>
  <c r="F3152" i="27"/>
  <c r="K1909" i="27"/>
  <c r="K1910" i="27"/>
  <c r="U1117" i="32"/>
  <c r="I3151" i="27"/>
  <c r="I3150" i="27"/>
  <c r="K3152" i="27"/>
  <c r="A1115" i="32"/>
  <c r="H3150" i="27"/>
  <c r="K3150" i="27"/>
  <c r="K3151" i="27"/>
  <c r="G1115" i="32"/>
  <c r="H3151" i="27"/>
  <c r="A3151" i="27" l="1"/>
  <c r="A3150" i="27"/>
  <c r="F3153" i="27"/>
  <c r="K1911" i="27"/>
  <c r="K1912" i="27"/>
  <c r="U1119" i="32"/>
  <c r="J3152" i="27"/>
  <c r="A1117" i="32"/>
  <c r="H3152" i="27"/>
  <c r="I3152" i="27"/>
  <c r="J3153" i="27"/>
  <c r="G1117" i="32"/>
  <c r="A3152" i="27" l="1"/>
  <c r="F3154" i="27"/>
  <c r="K1913" i="27"/>
  <c r="K1914" i="27"/>
  <c r="U1121" i="32"/>
  <c r="A1119" i="32"/>
  <c r="G1119" i="32"/>
  <c r="H3153" i="27"/>
  <c r="K3153" i="27"/>
  <c r="I3154" i="27"/>
  <c r="I3153" i="27"/>
  <c r="A3153" i="27" l="1"/>
  <c r="F3155" i="27"/>
  <c r="K1916" i="27"/>
  <c r="K1915" i="27"/>
  <c r="U1123" i="32"/>
  <c r="H3154" i="27"/>
  <c r="A1121" i="32"/>
  <c r="G1121" i="32"/>
  <c r="J3154" i="27"/>
  <c r="K3154" i="27"/>
  <c r="H3155" i="27"/>
  <c r="A3154" i="27" l="1"/>
  <c r="F3157" i="27"/>
  <c r="F3156" i="27"/>
  <c r="K1917" i="27"/>
  <c r="K1918" i="27"/>
  <c r="U1125" i="32"/>
  <c r="G1123" i="32"/>
  <c r="K3155" i="27"/>
  <c r="A1123" i="32"/>
  <c r="H3156" i="27"/>
  <c r="J3157" i="27"/>
  <c r="J3155" i="27"/>
  <c r="I3155" i="27"/>
  <c r="A3155" i="27" l="1"/>
  <c r="F3158" i="27"/>
  <c r="K1919" i="27"/>
  <c r="K1920" i="27"/>
  <c r="U1127" i="32"/>
  <c r="A1125" i="32"/>
  <c r="K3156" i="27"/>
  <c r="I3157" i="27"/>
  <c r="K3157" i="27"/>
  <c r="I3156" i="27"/>
  <c r="H3157" i="27"/>
  <c r="J3158" i="27"/>
  <c r="K3158" i="27"/>
  <c r="G1125" i="32"/>
  <c r="J3156" i="27"/>
  <c r="A3157" i="27" l="1"/>
  <c r="A3156" i="27"/>
  <c r="A3158" i="27"/>
  <c r="F3159" i="27"/>
  <c r="K1922" i="27"/>
  <c r="K1921" i="27"/>
  <c r="U1129" i="32"/>
  <c r="K3159" i="27"/>
  <c r="I3158" i="27"/>
  <c r="A1127" i="32"/>
  <c r="H3158" i="27"/>
  <c r="G1127" i="32"/>
  <c r="F3160" i="27" l="1"/>
  <c r="K1923" i="27"/>
  <c r="K1924" i="27"/>
  <c r="U1131" i="32"/>
  <c r="H3159" i="27"/>
  <c r="G1129" i="32"/>
  <c r="I3159" i="27"/>
  <c r="A1129" i="32"/>
  <c r="J3160" i="27"/>
  <c r="J3159" i="27"/>
  <c r="A3159" i="27" l="1"/>
  <c r="F3161" i="27"/>
  <c r="K1926" i="27"/>
  <c r="K1925" i="27"/>
  <c r="U1133" i="32"/>
  <c r="I3160" i="27"/>
  <c r="G1131" i="32"/>
  <c r="A1131" i="32"/>
  <c r="K3161" i="27"/>
  <c r="K3160" i="27"/>
  <c r="H3160" i="27"/>
  <c r="A3160" i="27" l="1"/>
  <c r="F3163" i="27"/>
  <c r="F3162" i="27"/>
  <c r="K1927" i="27"/>
  <c r="K1928" i="27"/>
  <c r="U1135" i="32"/>
  <c r="I3161" i="27"/>
  <c r="A1133" i="32"/>
  <c r="H3162" i="27"/>
  <c r="H3161" i="27"/>
  <c r="K3163" i="27"/>
  <c r="G1133" i="32"/>
  <c r="J3161" i="27"/>
  <c r="A3161" i="27" l="1"/>
  <c r="F3164" i="27"/>
  <c r="K1930" i="27"/>
  <c r="K1929" i="27"/>
  <c r="U1137" i="32"/>
  <c r="J3162" i="27"/>
  <c r="I3162" i="27"/>
  <c r="H3164" i="27"/>
  <c r="J3163" i="27"/>
  <c r="I3163" i="27"/>
  <c r="K3162" i="27"/>
  <c r="G1135" i="32"/>
  <c r="H3163" i="27"/>
  <c r="A1135" i="32"/>
  <c r="A3163" i="27" l="1"/>
  <c r="A3162" i="27"/>
  <c r="F3165" i="27"/>
  <c r="K1931" i="27"/>
  <c r="K1932" i="27"/>
  <c r="U1139" i="32"/>
  <c r="I3164" i="27"/>
  <c r="A1137" i="32"/>
  <c r="J3164" i="27"/>
  <c r="K3164" i="27"/>
  <c r="H3165" i="27"/>
  <c r="G1137" i="32"/>
  <c r="A3164" i="27" l="1"/>
  <c r="F3166" i="27"/>
  <c r="K1934" i="27"/>
  <c r="K1933" i="27"/>
  <c r="U1141" i="32"/>
  <c r="G1139" i="32"/>
  <c r="I3165" i="27"/>
  <c r="J3165" i="27"/>
  <c r="A1139" i="32"/>
  <c r="I3166" i="27"/>
  <c r="K3165" i="27"/>
  <c r="A3165" i="27" l="1"/>
  <c r="F3167" i="27"/>
  <c r="K1936" i="27"/>
  <c r="K1935" i="27"/>
  <c r="U1143" i="32"/>
  <c r="G1141" i="32"/>
  <c r="H3166" i="27"/>
  <c r="J3166" i="27"/>
  <c r="K3167" i="27"/>
  <c r="K3166" i="27"/>
  <c r="A1141" i="32"/>
  <c r="A3166" i="27" l="1"/>
  <c r="F3168" i="27"/>
  <c r="F3169" i="27"/>
  <c r="K1937" i="27"/>
  <c r="K1938" i="27"/>
  <c r="U1145" i="32"/>
  <c r="H3168" i="27"/>
  <c r="I3167" i="27"/>
  <c r="I3168" i="27"/>
  <c r="H3167" i="27"/>
  <c r="A1143" i="32"/>
  <c r="G1143" i="32"/>
  <c r="J3167" i="27"/>
  <c r="H3169" i="27"/>
  <c r="A3167" i="27" l="1"/>
  <c r="F3170" i="27"/>
  <c r="K1940" i="27"/>
  <c r="K1939" i="27"/>
  <c r="U1147" i="32"/>
  <c r="K3169" i="27"/>
  <c r="I3169" i="27"/>
  <c r="K3168" i="27"/>
  <c r="A1145" i="32"/>
  <c r="J3169" i="27"/>
  <c r="G1145" i="32"/>
  <c r="J3168" i="27"/>
  <c r="I3170" i="27"/>
  <c r="A3168" i="27" l="1"/>
  <c r="A3169" i="27"/>
  <c r="F3171" i="27"/>
  <c r="K1942" i="27"/>
  <c r="K1941" i="27"/>
  <c r="U1149" i="32"/>
  <c r="J3170" i="27"/>
  <c r="G1147" i="32"/>
  <c r="H3170" i="27"/>
  <c r="J3171" i="27"/>
  <c r="K3170" i="27"/>
  <c r="A1147" i="32"/>
  <c r="A3170" i="27" l="1"/>
  <c r="F3172" i="27"/>
  <c r="K1944" i="27"/>
  <c r="K1943" i="27"/>
  <c r="U1151" i="32"/>
  <c r="G1149" i="32"/>
  <c r="I3172" i="27"/>
  <c r="K3171" i="27"/>
  <c r="A1149" i="32"/>
  <c r="H3171" i="27"/>
  <c r="I3171" i="27"/>
  <c r="A3171" i="27" l="1"/>
  <c r="F3173" i="27"/>
  <c r="K1945" i="27"/>
  <c r="K1946" i="27"/>
  <c r="U1153" i="32"/>
  <c r="J3173" i="27"/>
  <c r="A1151" i="32"/>
  <c r="J3172" i="27"/>
  <c r="H3172" i="27"/>
  <c r="K3172" i="27"/>
  <c r="G1151" i="32"/>
  <c r="A3172" i="27" l="1"/>
  <c r="F3175" i="27"/>
  <c r="F3174" i="27"/>
  <c r="K1947" i="27"/>
  <c r="K1948" i="27"/>
  <c r="U1155" i="32"/>
  <c r="K3173" i="27"/>
  <c r="I3173" i="27"/>
  <c r="H3174" i="27"/>
  <c r="A1153" i="32"/>
  <c r="H3175" i="27"/>
  <c r="H3173" i="27"/>
  <c r="G1153" i="32"/>
  <c r="A3173" i="27" l="1"/>
  <c r="F3176" i="27"/>
  <c r="K1950" i="27"/>
  <c r="K1949" i="27"/>
  <c r="U1157" i="32"/>
  <c r="J3175" i="27"/>
  <c r="J3174" i="27"/>
  <c r="G1155" i="32"/>
  <c r="A1155" i="32"/>
  <c r="I3174" i="27"/>
  <c r="K3174" i="27"/>
  <c r="I3175" i="27"/>
  <c r="H3176" i="27"/>
  <c r="K3175" i="27"/>
  <c r="A3175" i="27" l="1"/>
  <c r="A3174" i="27"/>
  <c r="F3177" i="27"/>
  <c r="K1951" i="27"/>
  <c r="K1952" i="27"/>
  <c r="U1159" i="32"/>
  <c r="K3177" i="27"/>
  <c r="A1157" i="32"/>
  <c r="K3176" i="27"/>
  <c r="I3176" i="27"/>
  <c r="J3176" i="27"/>
  <c r="G1157" i="32"/>
  <c r="A3176" i="27" l="1"/>
  <c r="F3178" i="27"/>
  <c r="K1953" i="27"/>
  <c r="K1954" i="27"/>
  <c r="U1161" i="32"/>
  <c r="H3178" i="27"/>
  <c r="I3177" i="27"/>
  <c r="H3177" i="27"/>
  <c r="A1159" i="32"/>
  <c r="J3177" i="27"/>
  <c r="G1159" i="32"/>
  <c r="A3177" i="27" l="1"/>
  <c r="F3179" i="27"/>
  <c r="K1956" i="27"/>
  <c r="K1955" i="27"/>
  <c r="U1163" i="32"/>
  <c r="J3178" i="27"/>
  <c r="K3179" i="27"/>
  <c r="I3178" i="27"/>
  <c r="A1161" i="32"/>
  <c r="G1161" i="32"/>
  <c r="K3178" i="27"/>
  <c r="A3178" i="27" l="1"/>
  <c r="F3180" i="27"/>
  <c r="F3181" i="27"/>
  <c r="K1958" i="27"/>
  <c r="K1957" i="27"/>
  <c r="U1165" i="32"/>
  <c r="J3180" i="27"/>
  <c r="A1163" i="32"/>
  <c r="I3179" i="27"/>
  <c r="H3181" i="27"/>
  <c r="H3179" i="27"/>
  <c r="J3179" i="27"/>
  <c r="G1163" i="32"/>
  <c r="A3179" i="27" l="1"/>
  <c r="F3182" i="27"/>
  <c r="K1960" i="27"/>
  <c r="K1959" i="27"/>
  <c r="U1167" i="32"/>
  <c r="I3180" i="27"/>
  <c r="I3181" i="27"/>
  <c r="A1165" i="32"/>
  <c r="K3182" i="27"/>
  <c r="K3181" i="27"/>
  <c r="J3181" i="27"/>
  <c r="H3180" i="27"/>
  <c r="G1165" i="32"/>
  <c r="K3180" i="27"/>
  <c r="A3180" i="27" l="1"/>
  <c r="A3181" i="27"/>
  <c r="F3183" i="27"/>
  <c r="K1962" i="27"/>
  <c r="K1961" i="27"/>
  <c r="U1169" i="32"/>
  <c r="J3182" i="27"/>
  <c r="H3182" i="27"/>
  <c r="I3182" i="27"/>
  <c r="G1167" i="32"/>
  <c r="J3183" i="27"/>
  <c r="A1167" i="32"/>
  <c r="A3182" i="27" l="1"/>
  <c r="F3184" i="27"/>
  <c r="K1964" i="27"/>
  <c r="K1963" i="27"/>
  <c r="U1171" i="32"/>
  <c r="G1169" i="32"/>
  <c r="K3183" i="27"/>
  <c r="H3183" i="27"/>
  <c r="I3183" i="27"/>
  <c r="A1169" i="32"/>
  <c r="H3184" i="27"/>
  <c r="A3183" i="27" l="1"/>
  <c r="F3185" i="27"/>
  <c r="K1966" i="27"/>
  <c r="K1965" i="27"/>
  <c r="U1173" i="32"/>
  <c r="I3184" i="27"/>
  <c r="K3185" i="27"/>
  <c r="A1171" i="32"/>
  <c r="G1171" i="32"/>
  <c r="K3184" i="27"/>
  <c r="J3184" i="27"/>
  <c r="A3184" i="27" l="1"/>
  <c r="F3186" i="27"/>
  <c r="F3187" i="27"/>
  <c r="K1967" i="27"/>
  <c r="K1968" i="27"/>
  <c r="U1175" i="32"/>
  <c r="J3185" i="27"/>
  <c r="H3185" i="27"/>
  <c r="G1173" i="32"/>
  <c r="H3186" i="27"/>
  <c r="I3187" i="27"/>
  <c r="A1173" i="32"/>
  <c r="I3185" i="27"/>
  <c r="A3185" i="27" l="1"/>
  <c r="F3188" i="27"/>
  <c r="K1970" i="27"/>
  <c r="K1969" i="27"/>
  <c r="U1177" i="32"/>
  <c r="G1175" i="32"/>
  <c r="I3188" i="27"/>
  <c r="K3187" i="27"/>
  <c r="K3186" i="27"/>
  <c r="J3187" i="27"/>
  <c r="H3187" i="27"/>
  <c r="I3186" i="27"/>
  <c r="J3186" i="27"/>
  <c r="A1175" i="32"/>
  <c r="A3186" i="27" l="1"/>
  <c r="A3187" i="27"/>
  <c r="F3189" i="27"/>
  <c r="K1971" i="27"/>
  <c r="K1972" i="27"/>
  <c r="U1179" i="32"/>
  <c r="J3188" i="27"/>
  <c r="A1177" i="32"/>
  <c r="K3188" i="27"/>
  <c r="H3188" i="27"/>
  <c r="K3189" i="27"/>
  <c r="G1177" i="32"/>
  <c r="A3188" i="27" l="1"/>
  <c r="F3190" i="27"/>
  <c r="K1974" i="27"/>
  <c r="K1973" i="27"/>
  <c r="U1181" i="32"/>
  <c r="J3189" i="27"/>
  <c r="I3189" i="27"/>
  <c r="H3189" i="27"/>
  <c r="K3190" i="27"/>
  <c r="A1179" i="32"/>
  <c r="G1179" i="32"/>
  <c r="A3189" i="27" l="1"/>
  <c r="F3191" i="27"/>
  <c r="K1976" i="27"/>
  <c r="K1975" i="27"/>
  <c r="U1183" i="32"/>
  <c r="I3190" i="27"/>
  <c r="H3190" i="27"/>
  <c r="A1181" i="32"/>
  <c r="K3191" i="27"/>
  <c r="J3190" i="27"/>
  <c r="G1181" i="32"/>
  <c r="A3190" i="27" l="1"/>
  <c r="F3193" i="27"/>
  <c r="F3192" i="27"/>
  <c r="K1978" i="27"/>
  <c r="K1977" i="27"/>
  <c r="U1185" i="32"/>
  <c r="J3191" i="27"/>
  <c r="J3192" i="27"/>
  <c r="A1183" i="32"/>
  <c r="H3191" i="27"/>
  <c r="G1183" i="32"/>
  <c r="I3191" i="27"/>
  <c r="H3193" i="27"/>
  <c r="A3191" i="27" l="1"/>
  <c r="F3194" i="27"/>
  <c r="K1980" i="27"/>
  <c r="K1979" i="27"/>
  <c r="U1187" i="32"/>
  <c r="J3193" i="27"/>
  <c r="K3193" i="27"/>
  <c r="A1185" i="32"/>
  <c r="H3194" i="27"/>
  <c r="K3192" i="27"/>
  <c r="I3192" i="27"/>
  <c r="I3193" i="27"/>
  <c r="H3192" i="27"/>
  <c r="G1185" i="32"/>
  <c r="A3192" i="27" l="1"/>
  <c r="A3193" i="27"/>
  <c r="F3195" i="27"/>
  <c r="K1982" i="27"/>
  <c r="K1981" i="27"/>
  <c r="U1189" i="32"/>
  <c r="G1187" i="32"/>
  <c r="I3194" i="27"/>
  <c r="K3194" i="27"/>
  <c r="J3194" i="27"/>
  <c r="A1187" i="32"/>
  <c r="K3195" i="27"/>
  <c r="A3194" i="27" l="1"/>
  <c r="F3196" i="27"/>
  <c r="K1983" i="27"/>
  <c r="K1984" i="27"/>
  <c r="U1191" i="32"/>
  <c r="J3195" i="27"/>
  <c r="G1189" i="32"/>
  <c r="H3195" i="27"/>
  <c r="K3196" i="27"/>
  <c r="I3195" i="27"/>
  <c r="A1189" i="32"/>
  <c r="A3195" i="27" l="1"/>
  <c r="F3197" i="27"/>
  <c r="K1986" i="27"/>
  <c r="K1985" i="27"/>
  <c r="U1193" i="32"/>
  <c r="G1191" i="32"/>
  <c r="A1191" i="32"/>
  <c r="I3197" i="27"/>
  <c r="J3196" i="27"/>
  <c r="H3196" i="27"/>
  <c r="I3196" i="27"/>
  <c r="A3196" i="27" l="1"/>
  <c r="F3198" i="27"/>
  <c r="F3199" i="27"/>
  <c r="K1987" i="27"/>
  <c r="K1988" i="27"/>
  <c r="U1195" i="32"/>
  <c r="H3197" i="27"/>
  <c r="G1193" i="32"/>
  <c r="J3199" i="27"/>
  <c r="J3197" i="27"/>
  <c r="K3197" i="27"/>
  <c r="A1193" i="32"/>
  <c r="I3198" i="27"/>
  <c r="A3197" i="27" l="1"/>
  <c r="F3200" i="27"/>
  <c r="K1990" i="27"/>
  <c r="K1989" i="27"/>
  <c r="U1197" i="32"/>
  <c r="J3200" i="27"/>
  <c r="A1195" i="32"/>
  <c r="K3198" i="27"/>
  <c r="H3198" i="27"/>
  <c r="J3198" i="27"/>
  <c r="I3199" i="27"/>
  <c r="H3199" i="27"/>
  <c r="K3199" i="27"/>
  <c r="G1195" i="32"/>
  <c r="A3199" i="27" l="1"/>
  <c r="A3198" i="27"/>
  <c r="F3201" i="27"/>
  <c r="K1991" i="27"/>
  <c r="K1992" i="27"/>
  <c r="U1199" i="32"/>
  <c r="H3200" i="27"/>
  <c r="K3200" i="27"/>
  <c r="G1197" i="32"/>
  <c r="A1197" i="32"/>
  <c r="K3201" i="27"/>
  <c r="I3200" i="27"/>
  <c r="A3200" i="27" l="1"/>
  <c r="F3202" i="27"/>
  <c r="K1994" i="27"/>
  <c r="K1993" i="27"/>
  <c r="U1201" i="32"/>
  <c r="A1199" i="32"/>
  <c r="G1199" i="32"/>
  <c r="I3201" i="27"/>
  <c r="J3201" i="27"/>
  <c r="H3201" i="27"/>
  <c r="J3202" i="27"/>
  <c r="A3201" i="27" l="1"/>
  <c r="F3203" i="27"/>
  <c r="K1995" i="27"/>
  <c r="K1996" i="27"/>
  <c r="U1203" i="32"/>
  <c r="K3203" i="27"/>
  <c r="H3202" i="27"/>
  <c r="K3202" i="27"/>
  <c r="I3202" i="27"/>
  <c r="A1201" i="32"/>
  <c r="G1201" i="32"/>
  <c r="A3202" i="27" l="1"/>
  <c r="F3205" i="27"/>
  <c r="F3204" i="27"/>
  <c r="K1998" i="27"/>
  <c r="K1997" i="27"/>
  <c r="U1205" i="32"/>
  <c r="J3205" i="27"/>
  <c r="I3203" i="27"/>
  <c r="H3205" i="27"/>
  <c r="H3203" i="27"/>
  <c r="A1203" i="32"/>
  <c r="G1203" i="32"/>
  <c r="J3203" i="27"/>
  <c r="I3204" i="27"/>
  <c r="A3203" i="27" l="1"/>
  <c r="F3206" i="27"/>
  <c r="K2000" i="27"/>
  <c r="K1999" i="27"/>
  <c r="U1207" i="32"/>
  <c r="K3206" i="27"/>
  <c r="H3204" i="27"/>
  <c r="A1205" i="32"/>
  <c r="K3205" i="27"/>
  <c r="J3204" i="27"/>
  <c r="I3205" i="27"/>
  <c r="K3204" i="27"/>
  <c r="G1205" i="32"/>
  <c r="A3205" i="27" l="1"/>
  <c r="A3204" i="27"/>
  <c r="F3207" i="27"/>
  <c r="K2001" i="27"/>
  <c r="K2002" i="27"/>
  <c r="U1209" i="32"/>
  <c r="G1207" i="32"/>
  <c r="I3206" i="27"/>
  <c r="A1207" i="32"/>
  <c r="J3206" i="27"/>
  <c r="I3207" i="27"/>
  <c r="H3206" i="27"/>
  <c r="A3206" i="27" l="1"/>
  <c r="F3208" i="27"/>
  <c r="K2004" i="27"/>
  <c r="K2003" i="27"/>
  <c r="U1211" i="32"/>
  <c r="G1209" i="32"/>
  <c r="I3208" i="27"/>
  <c r="H3207" i="27"/>
  <c r="J3207" i="27"/>
  <c r="K3207" i="27"/>
  <c r="A1209" i="32"/>
  <c r="A3207" i="27" l="1"/>
  <c r="F3209" i="27"/>
  <c r="K2006" i="27"/>
  <c r="K2005" i="27"/>
  <c r="U1213" i="32"/>
  <c r="I3209" i="27"/>
  <c r="H3208" i="27"/>
  <c r="K3208" i="27"/>
  <c r="G1211" i="32"/>
  <c r="K3209" i="27"/>
  <c r="J3208" i="27"/>
  <c r="A1211" i="32"/>
  <c r="A3208" i="27" l="1"/>
  <c r="F3211" i="27"/>
  <c r="F3210" i="27"/>
  <c r="K2008" i="27"/>
  <c r="K2007" i="27"/>
  <c r="U1215" i="32"/>
  <c r="G1213" i="32"/>
  <c r="I3211" i="27"/>
  <c r="H3209" i="27"/>
  <c r="A1213" i="32"/>
  <c r="H3210" i="27"/>
  <c r="J3209" i="27"/>
  <c r="A3209" i="27" l="1"/>
  <c r="F3212" i="27"/>
  <c r="K2010" i="27"/>
  <c r="K2009" i="27"/>
  <c r="U1217" i="32"/>
  <c r="A1215" i="32"/>
  <c r="J3210" i="27"/>
  <c r="I3210" i="27"/>
  <c r="K3210" i="27"/>
  <c r="K3211" i="27"/>
  <c r="G1215" i="32"/>
  <c r="J3211" i="27"/>
  <c r="H3211" i="27"/>
  <c r="K3212" i="27"/>
  <c r="A3210" i="27" l="1"/>
  <c r="A3211" i="27"/>
  <c r="F3213" i="27"/>
  <c r="K2012" i="27"/>
  <c r="K2011" i="27"/>
  <c r="U1219" i="32"/>
  <c r="H3212" i="27"/>
  <c r="G1217" i="32"/>
  <c r="I3212" i="27"/>
  <c r="A1217" i="32"/>
  <c r="H3213" i="27"/>
  <c r="J3212" i="27"/>
  <c r="A3212" i="27" l="1"/>
  <c r="F3214" i="27"/>
  <c r="K2014" i="27"/>
  <c r="K2013" i="27"/>
  <c r="U1221" i="32"/>
  <c r="I3213" i="27"/>
  <c r="J3213" i="27"/>
  <c r="K3213" i="27"/>
  <c r="A1219" i="32"/>
  <c r="J3214" i="27"/>
  <c r="G1219" i="32"/>
  <c r="A3213" i="27" l="1"/>
  <c r="F3215" i="27"/>
  <c r="K2015" i="27"/>
  <c r="K2016" i="27"/>
  <c r="U1223" i="32"/>
  <c r="G1221" i="32"/>
  <c r="I3214" i="27"/>
  <c r="H3214" i="27"/>
  <c r="K3215" i="27"/>
  <c r="K3214" i="27"/>
  <c r="A1221" i="32"/>
  <c r="A3214" i="27" l="1"/>
  <c r="F3216" i="27"/>
  <c r="F3217" i="27"/>
  <c r="K2017" i="27"/>
  <c r="K2018" i="27"/>
  <c r="U1225" i="32"/>
  <c r="J3215" i="27"/>
  <c r="A1223" i="32"/>
  <c r="I3215" i="27"/>
  <c r="I3217" i="27"/>
  <c r="J3216" i="27"/>
  <c r="K3217" i="27"/>
  <c r="G1223" i="32"/>
  <c r="H3215" i="27"/>
  <c r="A3215" i="27" l="1"/>
  <c r="F3218" i="27"/>
  <c r="K2019" i="27"/>
  <c r="U1227" i="32"/>
  <c r="A1225" i="32"/>
  <c r="K3218" i="27"/>
  <c r="K3216" i="27"/>
  <c r="J3217" i="27"/>
  <c r="H3216" i="27"/>
  <c r="H3217" i="27"/>
  <c r="G1225" i="32"/>
  <c r="I3216" i="27"/>
  <c r="A3216" i="27" l="1"/>
  <c r="A3217" i="27"/>
  <c r="F3219" i="27"/>
  <c r="U1229" i="32"/>
  <c r="H3218" i="27"/>
  <c r="A1227" i="32"/>
  <c r="J3218" i="27"/>
  <c r="G1227" i="32"/>
  <c r="K3219" i="27"/>
  <c r="I3218" i="27"/>
  <c r="A3218" i="27" l="1"/>
  <c r="F3220" i="27"/>
  <c r="U1231" i="32"/>
  <c r="G1229" i="32"/>
  <c r="H3219" i="27"/>
  <c r="J3219" i="27"/>
  <c r="I3219" i="27"/>
  <c r="A1229" i="32"/>
  <c r="J3220" i="27"/>
  <c r="A3219" i="27" l="1"/>
  <c r="F3221" i="27"/>
  <c r="U1233" i="32"/>
  <c r="K3220" i="27"/>
  <c r="I3220" i="27"/>
  <c r="A1231" i="32"/>
  <c r="K3221" i="27"/>
  <c r="G1231" i="32"/>
  <c r="H3220" i="27"/>
  <c r="A3220" i="27" l="1"/>
  <c r="F3223" i="27"/>
  <c r="F3222" i="27"/>
  <c r="U1235" i="32"/>
  <c r="J3223" i="27"/>
  <c r="A1233" i="32"/>
  <c r="H3221" i="27"/>
  <c r="I3221" i="27"/>
  <c r="G1233" i="32"/>
  <c r="J3221" i="27"/>
  <c r="H3222" i="27"/>
  <c r="A3221" i="27" l="1"/>
  <c r="F3224" i="27"/>
  <c r="U1237" i="32"/>
  <c r="K3223" i="27"/>
  <c r="I3223" i="27"/>
  <c r="J3222" i="27"/>
  <c r="J3224" i="27"/>
  <c r="I3222" i="27"/>
  <c r="K3222" i="27"/>
  <c r="H3223" i="27"/>
  <c r="G1235" i="32"/>
  <c r="A1235" i="32"/>
  <c r="A3223" i="27" l="1"/>
  <c r="A3222" i="27"/>
  <c r="F3225" i="27"/>
  <c r="U1239" i="32"/>
  <c r="A1237" i="32"/>
  <c r="G1237" i="32"/>
  <c r="H3224" i="27"/>
  <c r="I3224" i="27"/>
  <c r="K3224" i="27"/>
  <c r="J3225" i="27"/>
  <c r="A3224" i="27" l="1"/>
  <c r="F3226" i="27"/>
  <c r="U1241" i="32"/>
  <c r="K3226" i="27"/>
  <c r="K3225" i="27"/>
  <c r="H3225" i="27"/>
  <c r="G1239" i="32"/>
  <c r="I3225" i="27"/>
  <c r="A1239" i="32"/>
  <c r="A3225" i="27" l="1"/>
  <c r="F3227" i="27"/>
  <c r="U1243" i="32"/>
  <c r="A1241" i="32"/>
  <c r="I3226" i="27"/>
  <c r="J3226" i="27"/>
  <c r="I3227" i="27"/>
  <c r="G1241" i="32"/>
  <c r="H3226" i="27"/>
  <c r="A3226" i="27" l="1"/>
  <c r="F3228" i="27"/>
  <c r="F3229" i="27"/>
  <c r="F2037" i="27"/>
  <c r="E2037" i="27"/>
  <c r="M2037" i="27"/>
  <c r="A2037" i="27" s="1"/>
  <c r="I2038" i="27"/>
  <c r="P2037" i="27"/>
  <c r="M2038" i="27"/>
  <c r="A2038" i="27" s="1"/>
  <c r="G2038" i="27"/>
  <c r="F2038" i="27"/>
  <c r="N2038" i="27"/>
  <c r="O2038" i="27"/>
  <c r="I2037" i="27"/>
  <c r="K2037" i="27"/>
  <c r="G2037" i="27"/>
  <c r="E2038" i="27"/>
  <c r="K2038" i="27"/>
  <c r="O2037" i="27"/>
  <c r="P2038" i="27"/>
  <c r="N2037" i="27"/>
  <c r="U1245" i="32"/>
  <c r="H3228" i="27"/>
  <c r="G1243" i="32"/>
  <c r="J3227" i="27"/>
  <c r="K3227" i="27"/>
  <c r="H3227" i="27"/>
  <c r="A1243" i="32"/>
  <c r="K3229" i="27"/>
  <c r="A3227" i="27" l="1"/>
  <c r="F3230" i="27"/>
  <c r="K2039" i="27"/>
  <c r="E2039" i="27"/>
  <c r="F2040" i="27"/>
  <c r="O2039" i="27"/>
  <c r="M2039" i="27"/>
  <c r="A2039" i="27" s="1"/>
  <c r="E2040" i="27"/>
  <c r="G2040" i="27"/>
  <c r="P2039" i="27"/>
  <c r="M2040" i="27"/>
  <c r="A2040" i="27" s="1"/>
  <c r="N2039" i="27"/>
  <c r="F2039" i="27"/>
  <c r="I2039" i="27"/>
  <c r="K2040" i="27"/>
  <c r="P2040" i="27"/>
  <c r="G2039" i="27"/>
  <c r="O2040" i="27"/>
  <c r="I2040" i="27"/>
  <c r="N2040" i="27"/>
  <c r="U1247" i="32"/>
  <c r="J3228" i="27"/>
  <c r="I3229" i="27"/>
  <c r="J3229" i="27"/>
  <c r="K3230" i="27"/>
  <c r="K3228" i="27"/>
  <c r="I3228" i="27"/>
  <c r="H3229" i="27"/>
  <c r="G1245" i="32"/>
  <c r="A1245" i="32"/>
  <c r="A3229" i="27" l="1"/>
  <c r="A3228" i="27"/>
  <c r="F3231" i="27"/>
  <c r="F2042" i="27"/>
  <c r="K2041" i="27"/>
  <c r="M2041" i="27"/>
  <c r="A2041" i="27" s="1"/>
  <c r="E2041" i="27"/>
  <c r="O2042" i="27"/>
  <c r="N2041" i="27"/>
  <c r="G2041" i="27"/>
  <c r="P2042" i="27"/>
  <c r="P2041" i="27"/>
  <c r="I2041" i="27"/>
  <c r="F2041" i="27"/>
  <c r="E2042" i="27"/>
  <c r="O2041" i="27"/>
  <c r="M2042" i="27"/>
  <c r="A2042" i="27" s="1"/>
  <c r="N2042" i="27"/>
  <c r="K2042" i="27"/>
  <c r="G2042" i="27"/>
  <c r="I2042" i="27"/>
  <c r="U1249" i="32"/>
  <c r="I3230" i="27"/>
  <c r="J3231" i="27"/>
  <c r="H3230" i="27"/>
  <c r="K3231" i="27"/>
  <c r="A1247" i="32"/>
  <c r="H3231" i="27"/>
  <c r="G1247" i="32"/>
  <c r="J3230" i="27"/>
  <c r="I3231" i="27"/>
  <c r="A3230" i="27" l="1"/>
  <c r="A3231" i="27"/>
  <c r="F3232" i="27"/>
  <c r="P2043" i="27"/>
  <c r="N2043" i="27"/>
  <c r="K2044" i="27"/>
  <c r="M2043" i="27"/>
  <c r="A2043" i="27" s="1"/>
  <c r="G2044" i="27"/>
  <c r="I2043" i="27"/>
  <c r="F2043" i="27"/>
  <c r="O2043" i="27"/>
  <c r="M2044" i="27"/>
  <c r="A2044" i="27" s="1"/>
  <c r="E2044" i="27"/>
  <c r="E2043" i="27"/>
  <c r="P2044" i="27"/>
  <c r="N2044" i="27"/>
  <c r="F2044" i="27"/>
  <c r="I2044" i="27"/>
  <c r="O2044" i="27"/>
  <c r="K2043" i="27"/>
  <c r="G2043" i="27"/>
  <c r="U1251" i="32"/>
  <c r="G1249" i="32"/>
  <c r="I3232" i="27"/>
  <c r="A1249" i="32"/>
  <c r="H3232" i="27"/>
  <c r="F3233" i="27" l="1"/>
  <c r="K2045" i="27"/>
  <c r="M2046" i="27"/>
  <c r="A2046" i="27" s="1"/>
  <c r="N2045" i="27"/>
  <c r="I2046" i="27"/>
  <c r="E2046" i="27"/>
  <c r="O2045" i="27"/>
  <c r="E2045" i="27"/>
  <c r="K2046" i="27"/>
  <c r="F2046" i="27"/>
  <c r="O2046" i="27"/>
  <c r="G2046" i="27"/>
  <c r="N2046" i="27"/>
  <c r="I2045" i="27"/>
  <c r="P2045" i="27"/>
  <c r="P2046" i="27"/>
  <c r="F2045" i="27"/>
  <c r="G2045" i="27"/>
  <c r="M2045" i="27"/>
  <c r="A2045" i="27" s="1"/>
  <c r="U1253" i="32"/>
  <c r="K3232" i="27"/>
  <c r="J3232" i="27"/>
  <c r="H3233" i="27"/>
  <c r="A1251" i="32"/>
  <c r="G1251" i="32"/>
  <c r="K3233" i="27"/>
  <c r="I3233" i="27"/>
  <c r="A3232" i="27" l="1"/>
  <c r="F3235" i="27"/>
  <c r="F3234" i="27"/>
  <c r="E2048" i="27"/>
  <c r="K2048" i="27"/>
  <c r="F2048" i="27"/>
  <c r="F2047" i="27"/>
  <c r="K2047" i="27"/>
  <c r="M2047" i="27"/>
  <c r="A2047" i="27" s="1"/>
  <c r="P2047" i="27"/>
  <c r="O2048" i="27"/>
  <c r="P2048" i="27"/>
  <c r="N2048" i="27"/>
  <c r="N2047" i="27"/>
  <c r="I2048" i="27"/>
  <c r="E2047" i="27"/>
  <c r="O2047" i="27"/>
  <c r="I2047" i="27"/>
  <c r="M2048" i="27"/>
  <c r="A2048" i="27" s="1"/>
  <c r="G2048" i="27"/>
  <c r="G2047" i="27"/>
  <c r="U1255" i="32"/>
  <c r="J3233" i="27"/>
  <c r="K3235" i="27"/>
  <c r="J3235" i="27"/>
  <c r="I3235" i="27"/>
  <c r="G1253" i="32"/>
  <c r="H3235" i="27"/>
  <c r="A1253" i="32"/>
  <c r="J3234" i="27"/>
  <c r="H3234" i="27"/>
  <c r="I3234" i="27"/>
  <c r="A3233" i="27" l="1"/>
  <c r="A3235" i="27"/>
  <c r="F3236" i="27"/>
  <c r="M2049" i="27"/>
  <c r="A2049" i="27" s="1"/>
  <c r="I2049" i="27"/>
  <c r="F2049" i="27"/>
  <c r="K2049" i="27"/>
  <c r="I2050" i="27"/>
  <c r="M2050" i="27"/>
  <c r="A2050" i="27" s="1"/>
  <c r="O2049" i="27"/>
  <c r="P2049" i="27"/>
  <c r="O2050" i="27"/>
  <c r="F2050" i="27"/>
  <c r="P2050" i="27"/>
  <c r="E2050" i="27"/>
  <c r="G2050" i="27"/>
  <c r="G2049" i="27"/>
  <c r="K2050" i="27"/>
  <c r="N2049" i="27"/>
  <c r="N2050" i="27"/>
  <c r="E2049" i="27"/>
  <c r="U1257" i="32"/>
  <c r="J3236" i="27"/>
  <c r="A1255" i="32"/>
  <c r="K3234" i="27"/>
  <c r="G1255" i="32"/>
  <c r="A3234" i="27" l="1"/>
  <c r="F3237" i="27"/>
  <c r="P2052" i="27"/>
  <c r="G2052" i="27"/>
  <c r="G2051" i="27"/>
  <c r="N2051" i="27"/>
  <c r="O2052" i="27"/>
  <c r="M2051" i="27"/>
  <c r="A2051" i="27" s="1"/>
  <c r="O2051" i="27"/>
  <c r="E2051" i="27"/>
  <c r="I2052" i="27"/>
  <c r="F2052" i="27"/>
  <c r="I2051" i="27"/>
  <c r="M2052" i="27"/>
  <c r="A2052" i="27" s="1"/>
  <c r="P2051" i="27"/>
  <c r="F2051" i="27"/>
  <c r="K2051" i="27"/>
  <c r="K2052" i="27"/>
  <c r="N2052" i="27"/>
  <c r="E2052" i="27"/>
  <c r="U1259" i="32"/>
  <c r="K3236" i="27"/>
  <c r="H3236" i="27"/>
  <c r="I3236" i="27"/>
  <c r="G1257" i="32"/>
  <c r="A1257" i="32"/>
  <c r="H3237" i="27"/>
  <c r="I3237" i="27"/>
  <c r="A3236" i="27" l="1"/>
  <c r="F3238" i="27"/>
  <c r="K2053" i="27"/>
  <c r="F2054" i="27"/>
  <c r="G2053" i="27"/>
  <c r="E2053" i="27"/>
  <c r="N2053" i="27"/>
  <c r="P2054" i="27"/>
  <c r="F2053" i="27"/>
  <c r="O2054" i="27"/>
  <c r="M2054" i="27"/>
  <c r="A2054" i="27" s="1"/>
  <c r="O2053" i="27"/>
  <c r="P2053" i="27"/>
  <c r="E2054" i="27"/>
  <c r="I2054" i="27"/>
  <c r="I2053" i="27"/>
  <c r="K2054" i="27"/>
  <c r="M2053" i="27"/>
  <c r="A2053" i="27" s="1"/>
  <c r="G2054" i="27"/>
  <c r="N2054" i="27"/>
  <c r="U1261" i="32"/>
  <c r="A1259" i="32"/>
  <c r="J3238" i="27"/>
  <c r="K3237" i="27"/>
  <c r="G1259" i="32"/>
  <c r="J3237" i="27"/>
  <c r="I3238" i="27"/>
  <c r="A3237" i="27" l="1"/>
  <c r="F3239" i="27"/>
  <c r="N2056" i="27"/>
  <c r="M2056" i="27"/>
  <c r="A2056" i="27" s="1"/>
  <c r="G2055" i="27"/>
  <c r="I2056" i="27"/>
  <c r="I2055" i="27"/>
  <c r="P2056" i="27"/>
  <c r="K2055" i="27"/>
  <c r="F2056" i="27"/>
  <c r="P2055" i="27"/>
  <c r="E2055" i="27"/>
  <c r="E2056" i="27"/>
  <c r="O2056" i="27"/>
  <c r="N2055" i="27"/>
  <c r="M2055" i="27"/>
  <c r="A2055" i="27" s="1"/>
  <c r="K2056" i="27"/>
  <c r="O2055" i="27"/>
  <c r="F2055" i="27"/>
  <c r="G2056" i="27"/>
  <c r="U1263" i="32"/>
  <c r="K3238" i="27"/>
  <c r="A1261" i="32"/>
  <c r="K3239" i="27"/>
  <c r="H3238" i="27"/>
  <c r="G1261" i="32"/>
  <c r="H3239" i="27"/>
  <c r="A3238" i="27" l="1"/>
  <c r="F3241" i="27"/>
  <c r="F3240" i="27"/>
  <c r="M2057" i="27"/>
  <c r="A2057" i="27" s="1"/>
  <c r="G2057" i="27"/>
  <c r="E2058" i="27"/>
  <c r="G2058" i="27"/>
  <c r="M2058" i="27"/>
  <c r="A2058" i="27" s="1"/>
  <c r="P2058" i="27"/>
  <c r="N2057" i="27"/>
  <c r="F2058" i="27"/>
  <c r="E2057" i="27"/>
  <c r="K2058" i="27"/>
  <c r="O2057" i="27"/>
  <c r="I2058" i="27"/>
  <c r="N2058" i="27"/>
  <c r="O2058" i="27"/>
  <c r="K2057" i="27"/>
  <c r="F2057" i="27"/>
  <c r="I2057" i="27"/>
  <c r="P2057" i="27"/>
  <c r="U1265" i="32"/>
  <c r="G1263" i="32"/>
  <c r="K3240" i="27"/>
  <c r="H3241" i="27"/>
  <c r="I3240" i="27"/>
  <c r="J3240" i="27"/>
  <c r="H3240" i="27"/>
  <c r="I3239" i="27"/>
  <c r="A1263" i="32"/>
  <c r="J3239" i="27"/>
  <c r="K3241" i="27"/>
  <c r="A3239" i="27" l="1"/>
  <c r="A3240" i="27"/>
  <c r="F3242" i="27"/>
  <c r="E2060" i="27"/>
  <c r="F2059" i="27"/>
  <c r="O2059" i="27"/>
  <c r="P2059" i="27"/>
  <c r="P2060" i="27"/>
  <c r="G2060" i="27"/>
  <c r="N2059" i="27"/>
  <c r="F2060" i="27"/>
  <c r="O2060" i="27"/>
  <c r="M2059" i="27"/>
  <c r="A2059" i="27" s="1"/>
  <c r="E2059" i="27"/>
  <c r="N2060" i="27"/>
  <c r="M2060" i="27"/>
  <c r="A2060" i="27" s="1"/>
  <c r="K2059" i="27"/>
  <c r="K2060" i="27"/>
  <c r="I2059" i="27"/>
  <c r="G2059" i="27"/>
  <c r="I2060" i="27"/>
  <c r="U1267" i="32"/>
  <c r="H3242" i="27"/>
  <c r="J3241" i="27"/>
  <c r="A1265" i="32"/>
  <c r="I3242" i="27"/>
  <c r="J3242" i="27"/>
  <c r="I3241" i="27"/>
  <c r="G1265" i="32"/>
  <c r="K3242" i="27"/>
  <c r="A3241" i="27" l="1"/>
  <c r="A3242" i="27"/>
  <c r="F3243" i="27"/>
  <c r="F2062" i="27"/>
  <c r="I2062" i="27"/>
  <c r="E2061" i="27"/>
  <c r="M2061" i="27"/>
  <c r="A2061" i="27" s="1"/>
  <c r="G2061" i="27"/>
  <c r="E2062" i="27"/>
  <c r="K2062" i="27"/>
  <c r="N2061" i="27"/>
  <c r="O2061" i="27"/>
  <c r="P2062" i="27"/>
  <c r="K2061" i="27"/>
  <c r="P2061" i="27"/>
  <c r="G2062" i="27"/>
  <c r="F2061" i="27"/>
  <c r="I2061" i="27"/>
  <c r="M2062" i="27"/>
  <c r="A2062" i="27" s="1"/>
  <c r="N2062" i="27"/>
  <c r="O2062" i="27"/>
  <c r="U1269" i="32"/>
  <c r="A1267" i="32"/>
  <c r="J3243" i="27"/>
  <c r="G1267" i="32"/>
  <c r="K3243" i="27"/>
  <c r="I3243" i="27"/>
  <c r="A3243" i="27" l="1"/>
  <c r="F3244" i="27"/>
  <c r="I2064" i="27"/>
  <c r="M2063" i="27"/>
  <c r="A2063" i="27" s="1"/>
  <c r="F2064" i="27"/>
  <c r="K2064" i="27"/>
  <c r="N2063" i="27"/>
  <c r="O2064" i="27"/>
  <c r="G2064" i="27"/>
  <c r="P2064" i="27"/>
  <c r="E2064" i="27"/>
  <c r="E2063" i="27"/>
  <c r="O2063" i="27"/>
  <c r="G2063" i="27"/>
  <c r="I2063" i="27"/>
  <c r="K2063" i="27"/>
  <c r="M2064" i="27"/>
  <c r="A2064" i="27" s="1"/>
  <c r="P2063" i="27"/>
  <c r="F2063" i="27"/>
  <c r="N2064" i="27"/>
  <c r="U1271" i="32"/>
  <c r="H3243" i="27"/>
  <c r="K3244" i="27"/>
  <c r="J3244" i="27"/>
  <c r="I3244" i="27"/>
  <c r="A1269" i="32"/>
  <c r="G1269" i="32"/>
  <c r="H3244" i="27"/>
  <c r="A3244" i="27" l="1"/>
  <c r="F3245" i="27"/>
  <c r="M2066" i="27"/>
  <c r="A2066" i="27" s="1"/>
  <c r="K2065" i="27"/>
  <c r="E2066" i="27"/>
  <c r="E2065" i="27"/>
  <c r="F2066" i="27"/>
  <c r="K2066" i="27"/>
  <c r="F2065" i="27"/>
  <c r="O2066" i="27"/>
  <c r="N2065" i="27"/>
  <c r="I2066" i="27"/>
  <c r="G2066" i="27"/>
  <c r="O2065" i="27"/>
  <c r="M2065" i="27"/>
  <c r="A2065" i="27" s="1"/>
  <c r="N2066" i="27"/>
  <c r="I2065" i="27"/>
  <c r="P2066" i="27"/>
  <c r="P2065" i="27"/>
  <c r="G2065" i="27"/>
  <c r="U1273" i="32"/>
  <c r="K3245" i="27"/>
  <c r="I3245" i="27"/>
  <c r="H3245" i="27"/>
  <c r="J3245" i="27"/>
  <c r="G1271" i="32"/>
  <c r="A1271" i="32"/>
  <c r="A3245" i="27" l="1"/>
  <c r="F3246" i="27"/>
  <c r="F3247" i="27"/>
  <c r="P2067" i="27"/>
  <c r="M2068" i="27"/>
  <c r="A2068" i="27" s="1"/>
  <c r="F2068" i="27"/>
  <c r="G2068" i="27"/>
  <c r="E2068" i="27"/>
  <c r="O2067" i="27"/>
  <c r="K2067" i="27"/>
  <c r="K2068" i="27"/>
  <c r="E2067" i="27"/>
  <c r="P2068" i="27"/>
  <c r="I2067" i="27"/>
  <c r="M2067" i="27"/>
  <c r="A2067" i="27" s="1"/>
  <c r="N2067" i="27"/>
  <c r="G2067" i="27"/>
  <c r="O2068" i="27"/>
  <c r="N2068" i="27"/>
  <c r="F2067" i="27"/>
  <c r="I2068" i="27"/>
  <c r="U1275" i="32"/>
  <c r="I3247" i="27"/>
  <c r="G1273" i="32"/>
  <c r="J3247" i="27"/>
  <c r="H3246" i="27"/>
  <c r="K3247" i="27"/>
  <c r="K3246" i="27"/>
  <c r="I3246" i="27"/>
  <c r="J3246" i="27"/>
  <c r="A1273" i="32"/>
  <c r="A3247" i="27" l="1"/>
  <c r="A3246" i="27"/>
  <c r="F3248" i="27"/>
  <c r="K2070" i="27"/>
  <c r="G2069" i="27"/>
  <c r="K2069" i="27"/>
  <c r="F2070" i="27"/>
  <c r="N2070" i="27"/>
  <c r="N2069" i="27"/>
  <c r="F2069" i="27"/>
  <c r="G2070" i="27"/>
  <c r="I2069" i="27"/>
  <c r="P2069" i="27"/>
  <c r="I2070" i="27"/>
  <c r="M2069" i="27"/>
  <c r="A2069" i="27" s="1"/>
  <c r="M2070" i="27"/>
  <c r="A2070" i="27" s="1"/>
  <c r="E2070" i="27"/>
  <c r="P2070" i="27"/>
  <c r="O2069" i="27"/>
  <c r="O2070" i="27"/>
  <c r="E2069" i="27"/>
  <c r="U1277" i="32"/>
  <c r="A1275" i="32"/>
  <c r="G1275" i="32"/>
  <c r="J3248" i="27"/>
  <c r="H3247" i="27"/>
  <c r="I3248" i="27"/>
  <c r="F3249" i="27" l="1"/>
  <c r="E2071" i="27"/>
  <c r="M2071" i="27"/>
  <c r="A2071" i="27" s="1"/>
  <c r="I2072" i="27"/>
  <c r="K2072" i="27"/>
  <c r="F2071" i="27"/>
  <c r="G2072" i="27"/>
  <c r="O2071" i="27"/>
  <c r="N2072" i="27"/>
  <c r="I2071" i="27"/>
  <c r="P2072" i="27"/>
  <c r="P2071" i="27"/>
  <c r="O2072" i="27"/>
  <c r="F2072" i="27"/>
  <c r="E2072" i="27"/>
  <c r="M2072" i="27"/>
  <c r="A2072" i="27" s="1"/>
  <c r="N2071" i="27"/>
  <c r="K2071" i="27"/>
  <c r="G2071" i="27"/>
  <c r="U1279" i="32"/>
  <c r="G1277" i="32"/>
  <c r="A1277" i="32"/>
  <c r="H3248" i="27"/>
  <c r="K3248" i="27"/>
  <c r="I3249" i="27"/>
  <c r="A3248" i="27" l="1"/>
  <c r="F3250" i="27"/>
  <c r="G2074" i="27"/>
  <c r="N2074" i="27"/>
  <c r="F2074" i="27"/>
  <c r="F2073" i="27"/>
  <c r="P2073" i="27"/>
  <c r="G2073" i="27"/>
  <c r="M2073" i="27"/>
  <c r="A2073" i="27" s="1"/>
  <c r="N2073" i="27"/>
  <c r="O2073" i="27"/>
  <c r="K2073" i="27"/>
  <c r="E2074" i="27"/>
  <c r="O2074" i="27"/>
  <c r="E2073" i="27"/>
  <c r="P2074" i="27"/>
  <c r="I2073" i="27"/>
  <c r="M2074" i="27"/>
  <c r="A2074" i="27" s="1"/>
  <c r="I2074" i="27"/>
  <c r="K2074" i="27"/>
  <c r="U1281" i="32"/>
  <c r="H3250" i="27"/>
  <c r="J3250" i="27"/>
  <c r="J3249" i="27"/>
  <c r="H3249" i="27"/>
  <c r="K3249" i="27"/>
  <c r="I3250" i="27"/>
  <c r="G1279" i="32"/>
  <c r="A1279" i="32"/>
  <c r="A3249" i="27" l="1"/>
  <c r="F3251" i="27"/>
  <c r="K2075" i="27"/>
  <c r="N2075" i="27"/>
  <c r="F2076" i="27"/>
  <c r="G2076" i="27"/>
  <c r="F2075" i="27"/>
  <c r="O2075" i="27"/>
  <c r="N2076" i="27"/>
  <c r="I2076" i="27"/>
  <c r="I2075" i="27"/>
  <c r="G2075" i="27"/>
  <c r="E2076" i="27"/>
  <c r="P2076" i="27"/>
  <c r="M2075" i="27"/>
  <c r="A2075" i="27" s="1"/>
  <c r="O2076" i="27"/>
  <c r="K2076" i="27"/>
  <c r="M2076" i="27"/>
  <c r="A2076" i="27" s="1"/>
  <c r="E2075" i="27"/>
  <c r="P2075" i="27"/>
  <c r="U1283" i="32"/>
  <c r="H3251" i="27"/>
  <c r="G1281" i="32"/>
  <c r="K3250" i="27"/>
  <c r="A1281" i="32"/>
  <c r="K3251" i="27"/>
  <c r="I3251" i="27"/>
  <c r="A3250" i="27" l="1"/>
  <c r="F3252" i="27"/>
  <c r="F3253" i="27"/>
  <c r="P2077" i="27"/>
  <c r="O2078" i="27"/>
  <c r="F2077" i="27"/>
  <c r="N2078" i="27"/>
  <c r="E2077" i="27"/>
  <c r="M2077" i="27"/>
  <c r="A2077" i="27" s="1"/>
  <c r="G2078" i="27"/>
  <c r="M2078" i="27"/>
  <c r="A2078" i="27" s="1"/>
  <c r="I2078" i="27"/>
  <c r="O2077" i="27"/>
  <c r="I2077" i="27"/>
  <c r="N2077" i="27"/>
  <c r="G2077" i="27"/>
  <c r="F2078" i="27"/>
  <c r="K2078" i="27"/>
  <c r="P2078" i="27"/>
  <c r="K2077" i="27"/>
  <c r="E2078" i="27"/>
  <c r="U1285" i="32"/>
  <c r="I3252" i="27"/>
  <c r="K3252" i="27"/>
  <c r="J3253" i="27"/>
  <c r="J3251" i="27"/>
  <c r="K3253" i="27"/>
  <c r="J3252" i="27"/>
  <c r="H3253" i="27"/>
  <c r="H3252" i="27"/>
  <c r="A1283" i="32"/>
  <c r="G1283" i="32"/>
  <c r="I3253" i="27"/>
  <c r="A3251" i="27" l="1"/>
  <c r="A3253" i="27"/>
  <c r="A3252" i="27"/>
  <c r="F3254" i="27"/>
  <c r="I2080" i="27"/>
  <c r="E2079" i="27"/>
  <c r="K2079" i="27"/>
  <c r="M2079" i="27"/>
  <c r="A2079" i="27" s="1"/>
  <c r="K2080" i="27"/>
  <c r="F2079" i="27"/>
  <c r="P2080" i="27"/>
  <c r="E2080" i="27"/>
  <c r="O2080" i="27"/>
  <c r="N2079" i="27"/>
  <c r="F2080" i="27"/>
  <c r="G2080" i="27"/>
  <c r="I2079" i="27"/>
  <c r="N2080" i="27"/>
  <c r="M2080" i="27"/>
  <c r="A2080" i="27" s="1"/>
  <c r="G2079" i="27"/>
  <c r="P2079" i="27"/>
  <c r="O2079" i="27"/>
  <c r="U1287" i="32"/>
  <c r="G1285" i="32"/>
  <c r="A1285" i="32"/>
  <c r="H3254" i="27"/>
  <c r="J3254" i="27"/>
  <c r="K3254" i="27"/>
  <c r="A3254" i="27" l="1"/>
  <c r="F3255" i="27"/>
  <c r="E2082" i="27"/>
  <c r="M2081" i="27"/>
  <c r="A2081" i="27" s="1"/>
  <c r="M2082" i="27"/>
  <c r="A2082" i="27" s="1"/>
  <c r="P2081" i="27"/>
  <c r="N2081" i="27"/>
  <c r="P2082" i="27"/>
  <c r="O2082" i="27"/>
  <c r="I2082" i="27"/>
  <c r="K2082" i="27"/>
  <c r="F2082" i="27"/>
  <c r="G2082" i="27"/>
  <c r="O2081" i="27"/>
  <c r="G2081" i="27"/>
  <c r="K2081" i="27"/>
  <c r="F2081" i="27"/>
  <c r="N2082" i="27"/>
  <c r="E2081" i="27"/>
  <c r="I2081" i="27"/>
  <c r="U1289" i="32"/>
  <c r="K3255" i="27"/>
  <c r="I3255" i="27"/>
  <c r="J3255" i="27"/>
  <c r="I3254" i="27"/>
  <c r="A1287" i="32"/>
  <c r="G1287" i="32"/>
  <c r="H3255" i="27"/>
  <c r="A3255" i="27" l="1"/>
  <c r="F3256" i="27"/>
  <c r="O2084" i="27"/>
  <c r="F2083" i="27"/>
  <c r="M2084" i="27"/>
  <c r="A2084" i="27" s="1"/>
  <c r="P2083" i="27"/>
  <c r="I2084" i="27"/>
  <c r="E2084" i="27"/>
  <c r="G2084" i="27"/>
  <c r="K2084" i="27"/>
  <c r="I2083" i="27"/>
  <c r="P2084" i="27"/>
  <c r="F2084" i="27"/>
  <c r="O2083" i="27"/>
  <c r="N2083" i="27"/>
  <c r="E2083" i="27"/>
  <c r="M2083" i="27"/>
  <c r="A2083" i="27" s="1"/>
  <c r="G2083" i="27"/>
  <c r="N2084" i="27"/>
  <c r="K2083" i="27"/>
  <c r="U1291" i="32"/>
  <c r="H3256" i="27"/>
  <c r="G1289" i="32"/>
  <c r="A1289" i="32"/>
  <c r="F3257" i="27" l="1"/>
  <c r="O2085" i="27"/>
  <c r="K2086" i="27"/>
  <c r="G2085" i="27"/>
  <c r="G2086" i="27"/>
  <c r="P2086" i="27"/>
  <c r="O2086" i="27"/>
  <c r="E2086" i="27"/>
  <c r="I2086" i="27"/>
  <c r="K2085" i="27"/>
  <c r="F2085" i="27"/>
  <c r="M2085" i="27"/>
  <c r="A2085" i="27" s="1"/>
  <c r="I2085" i="27"/>
  <c r="P2085" i="27"/>
  <c r="E2085" i="27"/>
  <c r="N2086" i="27"/>
  <c r="M2086" i="27"/>
  <c r="A2086" i="27" s="1"/>
  <c r="F2086" i="27"/>
  <c r="N2085" i="27"/>
  <c r="U1293" i="32"/>
  <c r="K3256" i="27"/>
  <c r="J3256" i="27"/>
  <c r="G1291" i="32"/>
  <c r="I3256" i="27"/>
  <c r="A1291" i="32"/>
  <c r="J3257" i="27"/>
  <c r="A3256" i="27" l="1"/>
  <c r="F3259" i="27"/>
  <c r="F3258" i="27"/>
  <c r="I2088" i="27"/>
  <c r="P2087" i="27"/>
  <c r="N2088" i="27"/>
  <c r="F2088" i="27"/>
  <c r="K2087" i="27"/>
  <c r="E2088" i="27"/>
  <c r="G2087" i="27"/>
  <c r="M2087" i="27"/>
  <c r="A2087" i="27" s="1"/>
  <c r="G2088" i="27"/>
  <c r="O2088" i="27"/>
  <c r="K2088" i="27"/>
  <c r="M2088" i="27"/>
  <c r="A2088" i="27" s="1"/>
  <c r="F2087" i="27"/>
  <c r="E2087" i="27"/>
  <c r="O2087" i="27"/>
  <c r="N2087" i="27"/>
  <c r="P2088" i="27"/>
  <c r="I2087" i="27"/>
  <c r="U1295" i="32"/>
  <c r="K3257" i="27"/>
  <c r="H3257" i="27"/>
  <c r="J3258" i="27"/>
  <c r="G1293" i="32"/>
  <c r="I3259" i="27"/>
  <c r="K3258" i="27"/>
  <c r="A1293" i="32"/>
  <c r="I3258" i="27"/>
  <c r="I3257" i="27"/>
  <c r="H3259" i="27"/>
  <c r="K3259" i="27"/>
  <c r="H3258" i="27"/>
  <c r="J3259" i="27"/>
  <c r="A3257" i="27" l="1"/>
  <c r="A3258" i="27"/>
  <c r="A3259" i="27"/>
  <c r="F3260" i="27"/>
  <c r="I2090" i="27"/>
  <c r="P2089" i="27"/>
  <c r="O2089" i="27"/>
  <c r="E2090" i="27"/>
  <c r="F2089" i="27"/>
  <c r="G2090" i="27"/>
  <c r="O2090" i="27"/>
  <c r="M2090" i="27"/>
  <c r="A2090" i="27" s="1"/>
  <c r="M2089" i="27"/>
  <c r="A2089" i="27" s="1"/>
  <c r="K2089" i="27"/>
  <c r="K2090" i="27"/>
  <c r="E2089" i="27"/>
  <c r="I2089" i="27"/>
  <c r="P2090" i="27"/>
  <c r="G2089" i="27"/>
  <c r="N2089" i="27"/>
  <c r="N2090" i="27"/>
  <c r="F2090" i="27"/>
  <c r="U1297" i="32"/>
  <c r="I3260" i="27"/>
  <c r="H3260" i="27"/>
  <c r="A1295" i="32"/>
  <c r="G1295" i="32"/>
  <c r="K3260" i="27"/>
  <c r="J3260" i="27"/>
  <c r="A3260" i="27" l="1"/>
  <c r="F3261" i="27"/>
  <c r="F2091" i="27"/>
  <c r="P2091" i="27"/>
  <c r="K2091" i="27"/>
  <c r="I2092" i="27"/>
  <c r="E2091" i="27"/>
  <c r="O2092" i="27"/>
  <c r="K2092" i="27"/>
  <c r="N2092" i="27"/>
  <c r="M2092" i="27"/>
  <c r="A2092" i="27" s="1"/>
  <c r="P2092" i="27"/>
  <c r="G2091" i="27"/>
  <c r="O2091" i="27"/>
  <c r="F2092" i="27"/>
  <c r="E2092" i="27"/>
  <c r="I2091" i="27"/>
  <c r="G2092" i="27"/>
  <c r="M2091" i="27"/>
  <c r="A2091" i="27" s="1"/>
  <c r="N2091" i="27"/>
  <c r="U1299" i="32"/>
  <c r="J3261" i="27"/>
  <c r="H3261" i="27"/>
  <c r="K3261" i="27"/>
  <c r="A1297" i="32"/>
  <c r="G1297" i="32"/>
  <c r="I3261" i="27"/>
  <c r="A3261" i="27" l="1"/>
  <c r="F3262" i="27"/>
  <c r="F2093" i="27"/>
  <c r="M2094" i="27"/>
  <c r="A2094" i="27" s="1"/>
  <c r="P2093" i="27"/>
  <c r="P2094" i="27"/>
  <c r="G2094" i="27"/>
  <c r="G2093" i="27"/>
  <c r="N2093" i="27"/>
  <c r="E2093" i="27"/>
  <c r="K2093" i="27"/>
  <c r="F2094" i="27"/>
  <c r="K2094" i="27"/>
  <c r="O2093" i="27"/>
  <c r="M2093" i="27"/>
  <c r="A2093" i="27" s="1"/>
  <c r="I2094" i="27"/>
  <c r="I2093" i="27"/>
  <c r="E2094" i="27"/>
  <c r="N2094" i="27"/>
  <c r="O2094" i="27"/>
  <c r="U1301" i="32"/>
  <c r="I3262" i="27"/>
  <c r="H3262" i="27"/>
  <c r="A1299" i="32"/>
  <c r="G1299" i="32"/>
  <c r="J3262" i="27"/>
  <c r="K3262" i="27"/>
  <c r="A3262" i="27" l="1"/>
  <c r="F3263" i="27"/>
  <c r="P2096" i="27"/>
  <c r="N2095" i="27"/>
  <c r="F2095" i="27"/>
  <c r="G2095" i="27"/>
  <c r="K2095" i="27"/>
  <c r="I2095" i="27"/>
  <c r="I2096" i="27"/>
  <c r="K2096" i="27"/>
  <c r="P2095" i="27"/>
  <c r="M2095" i="27"/>
  <c r="A2095" i="27" s="1"/>
  <c r="E2096" i="27"/>
  <c r="N2096" i="27"/>
  <c r="O2096" i="27"/>
  <c r="O2095" i="27"/>
  <c r="G2096" i="27"/>
  <c r="F2096" i="27"/>
  <c r="M2096" i="27"/>
  <c r="A2096" i="27" s="1"/>
  <c r="E2095" i="27"/>
  <c r="U1303" i="32"/>
  <c r="A1301" i="32"/>
  <c r="J3263" i="27"/>
  <c r="H3263" i="27"/>
  <c r="G1301" i="32"/>
  <c r="I3263" i="27"/>
  <c r="K3263" i="27"/>
  <c r="A3263" i="27" l="1"/>
  <c r="F3264" i="27"/>
  <c r="F3265" i="27"/>
  <c r="N2097" i="27"/>
  <c r="G2097" i="27"/>
  <c r="E2097" i="27"/>
  <c r="N2098" i="27"/>
  <c r="I2097" i="27"/>
  <c r="G2098" i="27"/>
  <c r="M2097" i="27"/>
  <c r="A2097" i="27" s="1"/>
  <c r="F2098" i="27"/>
  <c r="K2097" i="27"/>
  <c r="E2098" i="27"/>
  <c r="P2098" i="27"/>
  <c r="O2097" i="27"/>
  <c r="K2098" i="27"/>
  <c r="P2097" i="27"/>
  <c r="I2098" i="27"/>
  <c r="F2097" i="27"/>
  <c r="M2098" i="27"/>
  <c r="A2098" i="27" s="1"/>
  <c r="O2098" i="27"/>
  <c r="U1305" i="32"/>
  <c r="H3265" i="27"/>
  <c r="I3265" i="27"/>
  <c r="I3264" i="27"/>
  <c r="J3265" i="27"/>
  <c r="K3265" i="27"/>
  <c r="J3264" i="27"/>
  <c r="H3264" i="27"/>
  <c r="K3264" i="27"/>
  <c r="G1303" i="32"/>
  <c r="A1303" i="32"/>
  <c r="A3265" i="27" l="1"/>
  <c r="A3264" i="27"/>
  <c r="F3266" i="27"/>
  <c r="O2100" i="27"/>
  <c r="N2100" i="27"/>
  <c r="F2099" i="27"/>
  <c r="G2100" i="27"/>
  <c r="F2100" i="27"/>
  <c r="N2099" i="27"/>
  <c r="K2100" i="27"/>
  <c r="G2099" i="27"/>
  <c r="M2099" i="27"/>
  <c r="A2099" i="27" s="1"/>
  <c r="K2099" i="27"/>
  <c r="P2100" i="27"/>
  <c r="P2099" i="27"/>
  <c r="E2099" i="27"/>
  <c r="E2100" i="27"/>
  <c r="I2100" i="27"/>
  <c r="I2099" i="27"/>
  <c r="O2099" i="27"/>
  <c r="M2100" i="27"/>
  <c r="A2100" i="27" s="1"/>
  <c r="U1307" i="32"/>
  <c r="G1305" i="32"/>
  <c r="K3266" i="27"/>
  <c r="A1305" i="32"/>
  <c r="J3266" i="27"/>
  <c r="A3266" i="27" l="1"/>
  <c r="F3267" i="27"/>
  <c r="I2101" i="27"/>
  <c r="K2102" i="27"/>
  <c r="E2102" i="27"/>
  <c r="K2101" i="27"/>
  <c r="M2101" i="27"/>
  <c r="A2101" i="27" s="1"/>
  <c r="N2102" i="27"/>
  <c r="P2101" i="27"/>
  <c r="I2102" i="27"/>
  <c r="F2102" i="27"/>
  <c r="F2101" i="27"/>
  <c r="N2101" i="27"/>
  <c r="M2102" i="27"/>
  <c r="A2102" i="27" s="1"/>
  <c r="G2101" i="27"/>
  <c r="O2102" i="27"/>
  <c r="O2101" i="27"/>
  <c r="E2101" i="27"/>
  <c r="G2102" i="27"/>
  <c r="P2102" i="27"/>
  <c r="U1309" i="32"/>
  <c r="H3266" i="27"/>
  <c r="I3267" i="27"/>
  <c r="G1307" i="32"/>
  <c r="I3266" i="27"/>
  <c r="A1307" i="32"/>
  <c r="K3267" i="27"/>
  <c r="H3267" i="27"/>
  <c r="J3267" i="27"/>
  <c r="A3267" i="27" l="1"/>
  <c r="F3268" i="27"/>
  <c r="E2103" i="27"/>
  <c r="P2104" i="27"/>
  <c r="N2103" i="27"/>
  <c r="F2103" i="27"/>
  <c r="K2104" i="27"/>
  <c r="E2104" i="27"/>
  <c r="G2103" i="27"/>
  <c r="F2104" i="27"/>
  <c r="I2103" i="27"/>
  <c r="O2103" i="27"/>
  <c r="M2103" i="27"/>
  <c r="A2103" i="27" s="1"/>
  <c r="I2104" i="27"/>
  <c r="M2104" i="27"/>
  <c r="A2104" i="27" s="1"/>
  <c r="P2103" i="27"/>
  <c r="O2104" i="27"/>
  <c r="K2103" i="27"/>
  <c r="N2104" i="27"/>
  <c r="G2104" i="27"/>
  <c r="U1311" i="32"/>
  <c r="J3268" i="27"/>
  <c r="A1309" i="32"/>
  <c r="G1309" i="32"/>
  <c r="F3269" i="27" l="1"/>
  <c r="I2105" i="27"/>
  <c r="P2105" i="27"/>
  <c r="F2106" i="27"/>
  <c r="K2105" i="27"/>
  <c r="E2106" i="27"/>
  <c r="K2106" i="27"/>
  <c r="O2106" i="27"/>
  <c r="N2105" i="27"/>
  <c r="N2106" i="27"/>
  <c r="G2106" i="27"/>
  <c r="P2106" i="27"/>
  <c r="F2105" i="27"/>
  <c r="M2105" i="27"/>
  <c r="A2105" i="27" s="1"/>
  <c r="I2106" i="27"/>
  <c r="E2105" i="27"/>
  <c r="M2106" i="27"/>
  <c r="A2106" i="27" s="1"/>
  <c r="O2105" i="27"/>
  <c r="G2105" i="27"/>
  <c r="U1313" i="32"/>
  <c r="A1311" i="32"/>
  <c r="I3268" i="27"/>
  <c r="J3269" i="27"/>
  <c r="H3268" i="27"/>
  <c r="G1311" i="32"/>
  <c r="K3269" i="27"/>
  <c r="H3269" i="27"/>
  <c r="I3269" i="27"/>
  <c r="K3268" i="27"/>
  <c r="A3268" i="27" l="1"/>
  <c r="A3269" i="27"/>
  <c r="F3271" i="27"/>
  <c r="F3270" i="27"/>
  <c r="G2107" i="27"/>
  <c r="E2107" i="27"/>
  <c r="I2108" i="27"/>
  <c r="K2108" i="27"/>
  <c r="I2107" i="27"/>
  <c r="P2108" i="27"/>
  <c r="F2108" i="27"/>
  <c r="O2107" i="27"/>
  <c r="M2108" i="27"/>
  <c r="A2108" i="27" s="1"/>
  <c r="K2107" i="27"/>
  <c r="G2108" i="27"/>
  <c r="N2107" i="27"/>
  <c r="F2107" i="27"/>
  <c r="M2107" i="27"/>
  <c r="A2107" i="27" s="1"/>
  <c r="O2108" i="27"/>
  <c r="N2108" i="27"/>
  <c r="P2107" i="27"/>
  <c r="E2108" i="27"/>
  <c r="U1315" i="32"/>
  <c r="K3270" i="27"/>
  <c r="A1313" i="32"/>
  <c r="H3270" i="27"/>
  <c r="K3271" i="27"/>
  <c r="H3271" i="27"/>
  <c r="G1313" i="32"/>
  <c r="I3270" i="27"/>
  <c r="J3270" i="27"/>
  <c r="J3271" i="27"/>
  <c r="I3271" i="27"/>
  <c r="A3270" i="27" l="1"/>
  <c r="A3271" i="27"/>
  <c r="F3272" i="27"/>
  <c r="F2109" i="27"/>
  <c r="N2110" i="27"/>
  <c r="E2109" i="27"/>
  <c r="O2110" i="27"/>
  <c r="G2109" i="27"/>
  <c r="K2109" i="27"/>
  <c r="E2110" i="27"/>
  <c r="I2110" i="27"/>
  <c r="P2110" i="27"/>
  <c r="M2109" i="27"/>
  <c r="A2109" i="27" s="1"/>
  <c r="F2110" i="27"/>
  <c r="M2110" i="27"/>
  <c r="A2110" i="27" s="1"/>
  <c r="P2109" i="27"/>
  <c r="O2109" i="27"/>
  <c r="N2109" i="27"/>
  <c r="G2110" i="27"/>
  <c r="K2110" i="27"/>
  <c r="I2109" i="27"/>
  <c r="U1317" i="32"/>
  <c r="J3272" i="27"/>
  <c r="A1315" i="32"/>
  <c r="G1315" i="32"/>
  <c r="F3273" i="27" l="1"/>
  <c r="E2111" i="27"/>
  <c r="N2112" i="27"/>
  <c r="G2111" i="27"/>
  <c r="P2111" i="27"/>
  <c r="F2111" i="27"/>
  <c r="I2111" i="27"/>
  <c r="O2112" i="27"/>
  <c r="F2112" i="27"/>
  <c r="N2111" i="27"/>
  <c r="M2112" i="27"/>
  <c r="A2112" i="27" s="1"/>
  <c r="I2112" i="27"/>
  <c r="G2112" i="27"/>
  <c r="K2112" i="27"/>
  <c r="K2111" i="27"/>
  <c r="O2111" i="27"/>
  <c r="E2112" i="27"/>
  <c r="M2111" i="27"/>
  <c r="A2111" i="27" s="1"/>
  <c r="P2112" i="27"/>
  <c r="U1319" i="32"/>
  <c r="K3272" i="27"/>
  <c r="A1317" i="32"/>
  <c r="I3272" i="27"/>
  <c r="K3273" i="27"/>
  <c r="I3273" i="27"/>
  <c r="G1317" i="32"/>
  <c r="H3272" i="27"/>
  <c r="A3272" i="27" l="1"/>
  <c r="F3274" i="27"/>
  <c r="O2114" i="27"/>
  <c r="K2113" i="27"/>
  <c r="E2113" i="27"/>
  <c r="N2114" i="27"/>
  <c r="K2114" i="27"/>
  <c r="G2113" i="27"/>
  <c r="P2114" i="27"/>
  <c r="I2113" i="27"/>
  <c r="O2113" i="27"/>
  <c r="M2113" i="27"/>
  <c r="A2113" i="27" s="1"/>
  <c r="N2113" i="27"/>
  <c r="P2113" i="27"/>
  <c r="F2113" i="27"/>
  <c r="I2114" i="27"/>
  <c r="G2114" i="27"/>
  <c r="M2114" i="27"/>
  <c r="A2114" i="27" s="1"/>
  <c r="F2114" i="27"/>
  <c r="E2114" i="27"/>
  <c r="U1321" i="32"/>
  <c r="A1319" i="32"/>
  <c r="G1319" i="32"/>
  <c r="H3274" i="27"/>
  <c r="J3273" i="27"/>
  <c r="J3274" i="27"/>
  <c r="K3274" i="27"/>
  <c r="H3273" i="27"/>
  <c r="I3274" i="27"/>
  <c r="A3273" i="27" l="1"/>
  <c r="A3274" i="27"/>
  <c r="F3275" i="27"/>
  <c r="N2115" i="27"/>
  <c r="I2115" i="27"/>
  <c r="M2115" i="27"/>
  <c r="A2115" i="27" s="1"/>
  <c r="M2116" i="27"/>
  <c r="A2116" i="27" s="1"/>
  <c r="G2116" i="27"/>
  <c r="N2116" i="27"/>
  <c r="E2115" i="27"/>
  <c r="I2116" i="27"/>
  <c r="O2116" i="27"/>
  <c r="E2116" i="27"/>
  <c r="K2116" i="27"/>
  <c r="F2116" i="27"/>
  <c r="O2115" i="27"/>
  <c r="K2115" i="27"/>
  <c r="P2115" i="27"/>
  <c r="F2115" i="27"/>
  <c r="P2116" i="27"/>
  <c r="G2115" i="27"/>
  <c r="U1323" i="32"/>
  <c r="H3275" i="27"/>
  <c r="G1321" i="32"/>
  <c r="J3275" i="27"/>
  <c r="I3275" i="27"/>
  <c r="K3275" i="27"/>
  <c r="A1321" i="32"/>
  <c r="A3275" i="27" l="1"/>
  <c r="F3277" i="27"/>
  <c r="F3276" i="27"/>
  <c r="K2117" i="27"/>
  <c r="E2118" i="27"/>
  <c r="F2118" i="27"/>
  <c r="N2117" i="27"/>
  <c r="P2117" i="27"/>
  <c r="G2118" i="27"/>
  <c r="M2117" i="27"/>
  <c r="A2117" i="27" s="1"/>
  <c r="F2117" i="27"/>
  <c r="K2118" i="27"/>
  <c r="O2118" i="27"/>
  <c r="E2117" i="27"/>
  <c r="P2118" i="27"/>
  <c r="I2117" i="27"/>
  <c r="N2118" i="27"/>
  <c r="O2117" i="27"/>
  <c r="M2118" i="27"/>
  <c r="A2118" i="27" s="1"/>
  <c r="G2117" i="27"/>
  <c r="I2118" i="27"/>
  <c r="U1325" i="32"/>
  <c r="K3277" i="27"/>
  <c r="H3277" i="27"/>
  <c r="A1323" i="32"/>
  <c r="J3276" i="27"/>
  <c r="H3276" i="27"/>
  <c r="I3276" i="27"/>
  <c r="I3277" i="27"/>
  <c r="J3277" i="27"/>
  <c r="G1323" i="32"/>
  <c r="K3276" i="27"/>
  <c r="A3276" i="27" l="1"/>
  <c r="A3277" i="27"/>
  <c r="F3278" i="27"/>
  <c r="E2120" i="27"/>
  <c r="G2119" i="27"/>
  <c r="I2120" i="27"/>
  <c r="K2119" i="27"/>
  <c r="I2119" i="27"/>
  <c r="M2119" i="27"/>
  <c r="A2119" i="27" s="1"/>
  <c r="N2120" i="27"/>
  <c r="O2120" i="27"/>
  <c r="K2120" i="27"/>
  <c r="P2120" i="27"/>
  <c r="O2119" i="27"/>
  <c r="P2119" i="27"/>
  <c r="G2120" i="27"/>
  <c r="M2120" i="27"/>
  <c r="A2120" i="27" s="1"/>
  <c r="F2120" i="27"/>
  <c r="E2119" i="27"/>
  <c r="N2119" i="27"/>
  <c r="F2119" i="27"/>
  <c r="U1327" i="32"/>
  <c r="K3278" i="27"/>
  <c r="G1325" i="32"/>
  <c r="A1325" i="32"/>
  <c r="J3278" i="27"/>
  <c r="A3278" i="27" l="1"/>
  <c r="F3279" i="27"/>
  <c r="G2121" i="27"/>
  <c r="M2122" i="27"/>
  <c r="A2122" i="27" s="1"/>
  <c r="I2121" i="27"/>
  <c r="M2121" i="27"/>
  <c r="A2121" i="27" s="1"/>
  <c r="F2122" i="27"/>
  <c r="O2121" i="27"/>
  <c r="F2121" i="27"/>
  <c r="E2121" i="27"/>
  <c r="E2122" i="27"/>
  <c r="P2122" i="27"/>
  <c r="N2121" i="27"/>
  <c r="G2122" i="27"/>
  <c r="K2121" i="27"/>
  <c r="K2122" i="27"/>
  <c r="O2122" i="27"/>
  <c r="P2121" i="27"/>
  <c r="I2122" i="27"/>
  <c r="N2122" i="27"/>
  <c r="U1329" i="32"/>
  <c r="H3278" i="27"/>
  <c r="K3279" i="27"/>
  <c r="H3279" i="27"/>
  <c r="G1327" i="32"/>
  <c r="I3279" i="27"/>
  <c r="A1327" i="32"/>
  <c r="J3279" i="27"/>
  <c r="I3278" i="27"/>
  <c r="A3279" i="27" l="1"/>
  <c r="F3280" i="27"/>
  <c r="M2123" i="27"/>
  <c r="A2123" i="27" s="1"/>
  <c r="F2124" i="27"/>
  <c r="G2123" i="27"/>
  <c r="I2123" i="27"/>
  <c r="P2124" i="27"/>
  <c r="E2123" i="27"/>
  <c r="N2124" i="27"/>
  <c r="G2124" i="27"/>
  <c r="F2123" i="27"/>
  <c r="O2124" i="27"/>
  <c r="I2124" i="27"/>
  <c r="K2123" i="27"/>
  <c r="N2123" i="27"/>
  <c r="M2124" i="27"/>
  <c r="A2124" i="27" s="1"/>
  <c r="O2123" i="27"/>
  <c r="P2123" i="27"/>
  <c r="K2124" i="27"/>
  <c r="E2124" i="27"/>
  <c r="U1331" i="32"/>
  <c r="I3280" i="27"/>
  <c r="J3280" i="27"/>
  <c r="G1329" i="32"/>
  <c r="K3280" i="27"/>
  <c r="A1329" i="32"/>
  <c r="H3280" i="27"/>
  <c r="A3280" i="27" l="1"/>
  <c r="F3281" i="27"/>
  <c r="E2125" i="27"/>
  <c r="K2126" i="27"/>
  <c r="I2125" i="27"/>
  <c r="G2125" i="27"/>
  <c r="I2126" i="27"/>
  <c r="N2125" i="27"/>
  <c r="G2126" i="27"/>
  <c r="F2125" i="27"/>
  <c r="P2125" i="27"/>
  <c r="E2126" i="27"/>
  <c r="O2126" i="27"/>
  <c r="N2126" i="27"/>
  <c r="F2126" i="27"/>
  <c r="K2125" i="27"/>
  <c r="M2125" i="27"/>
  <c r="A2125" i="27" s="1"/>
  <c r="O2125" i="27"/>
  <c r="P2126" i="27"/>
  <c r="M2126" i="27"/>
  <c r="A2126" i="27" s="1"/>
  <c r="U1333" i="32"/>
  <c r="A1331" i="32"/>
  <c r="K3281" i="27"/>
  <c r="G1331" i="32"/>
  <c r="I3281" i="27"/>
  <c r="J3281" i="27"/>
  <c r="A3281" i="27" l="1"/>
  <c r="F3283" i="27"/>
  <c r="F3282" i="27"/>
  <c r="I2127" i="27"/>
  <c r="P2128" i="27"/>
  <c r="M2127" i="27"/>
  <c r="A2127" i="27" s="1"/>
  <c r="N2128" i="27"/>
  <c r="O2128" i="27"/>
  <c r="O2127" i="27"/>
  <c r="G2127" i="27"/>
  <c r="M2128" i="27"/>
  <c r="A2128" i="27" s="1"/>
  <c r="G2128" i="27"/>
  <c r="K2127" i="27"/>
  <c r="F2127" i="27"/>
  <c r="N2127" i="27"/>
  <c r="E2127" i="27"/>
  <c r="E2128" i="27"/>
  <c r="I2128" i="27"/>
  <c r="F2128" i="27"/>
  <c r="P2127" i="27"/>
  <c r="K2128" i="27"/>
  <c r="U1335" i="32"/>
  <c r="G1333" i="32"/>
  <c r="H3281" i="27"/>
  <c r="I3282" i="27"/>
  <c r="I3283" i="27"/>
  <c r="K3283" i="27"/>
  <c r="J3283" i="27"/>
  <c r="K3282" i="27"/>
  <c r="H3282" i="27"/>
  <c r="A1333" i="32"/>
  <c r="H3283" i="27"/>
  <c r="A3283" i="27" l="1"/>
  <c r="F3284" i="27"/>
  <c r="O2130" i="27"/>
  <c r="I2130" i="27"/>
  <c r="P2129" i="27"/>
  <c r="E2129" i="27"/>
  <c r="E2130" i="27"/>
  <c r="M2129" i="27"/>
  <c r="A2129" i="27" s="1"/>
  <c r="M2130" i="27"/>
  <c r="A2130" i="27" s="1"/>
  <c r="G2130" i="27"/>
  <c r="F2130" i="27"/>
  <c r="N2130" i="27"/>
  <c r="N2129" i="27"/>
  <c r="I2129" i="27"/>
  <c r="K2130" i="27"/>
  <c r="F2129" i="27"/>
  <c r="O2129" i="27"/>
  <c r="K2129" i="27"/>
  <c r="P2130" i="27"/>
  <c r="G2129" i="27"/>
  <c r="U1337" i="32"/>
  <c r="J3282" i="27"/>
  <c r="K3284" i="27"/>
  <c r="G1335" i="32"/>
  <c r="H3284" i="27"/>
  <c r="A1335" i="32"/>
  <c r="A3282" i="27" l="1"/>
  <c r="F3285" i="27"/>
  <c r="G2132" i="27"/>
  <c r="O2132" i="27"/>
  <c r="F2132" i="27"/>
  <c r="N2132" i="27"/>
  <c r="N2131" i="27"/>
  <c r="P2132" i="27"/>
  <c r="O2131" i="27"/>
  <c r="M2132" i="27"/>
  <c r="A2132" i="27" s="1"/>
  <c r="F2131" i="27"/>
  <c r="G2131" i="27"/>
  <c r="I2131" i="27"/>
  <c r="K2131" i="27"/>
  <c r="M2131" i="27"/>
  <c r="A2131" i="27" s="1"/>
  <c r="E2132" i="27"/>
  <c r="P2131" i="27"/>
  <c r="I2132" i="27"/>
  <c r="E2131" i="27"/>
  <c r="K2132" i="27"/>
  <c r="U1339" i="32"/>
  <c r="G1337" i="32"/>
  <c r="I3284" i="27"/>
  <c r="A1337" i="32"/>
  <c r="H3285" i="27"/>
  <c r="I3285" i="27"/>
  <c r="K3285" i="27"/>
  <c r="J3284" i="27"/>
  <c r="A3284" i="27" l="1"/>
  <c r="F3286" i="27"/>
  <c r="E2134" i="27"/>
  <c r="G2133" i="27"/>
  <c r="K2133" i="27"/>
  <c r="F2134" i="27"/>
  <c r="G2134" i="27"/>
  <c r="P2134" i="27"/>
  <c r="I2133" i="27"/>
  <c r="O2134" i="27"/>
  <c r="N2134" i="27"/>
  <c r="N2133" i="27"/>
  <c r="K2134" i="27"/>
  <c r="P2133" i="27"/>
  <c r="M2134" i="27"/>
  <c r="A2134" i="27" s="1"/>
  <c r="E2133" i="27"/>
  <c r="F2133" i="27"/>
  <c r="O2133" i="27"/>
  <c r="M2133" i="27"/>
  <c r="A2133" i="27" s="1"/>
  <c r="I2134" i="27"/>
  <c r="U1341" i="32"/>
  <c r="G1339" i="32"/>
  <c r="A1339" i="32"/>
  <c r="I3286" i="27"/>
  <c r="J3285" i="27"/>
  <c r="A3285" i="27" l="1"/>
  <c r="F3287" i="27"/>
  <c r="K2135" i="27"/>
  <c r="O2136" i="27"/>
  <c r="N2135" i="27"/>
  <c r="P2135" i="27"/>
  <c r="G2136" i="27"/>
  <c r="I2136" i="27"/>
  <c r="O2135" i="27"/>
  <c r="N2136" i="27"/>
  <c r="K2136" i="27"/>
  <c r="E2136" i="27"/>
  <c r="F2136" i="27"/>
  <c r="P2136" i="27"/>
  <c r="F2135" i="27"/>
  <c r="I2135" i="27"/>
  <c r="M2136" i="27"/>
  <c r="A2136" i="27" s="1"/>
  <c r="M2135" i="27"/>
  <c r="A2135" i="27" s="1"/>
  <c r="G2135" i="27"/>
  <c r="E2135" i="27"/>
  <c r="U1343" i="32"/>
  <c r="K3286" i="27"/>
  <c r="J3287" i="27"/>
  <c r="G1341" i="32"/>
  <c r="A1341" i="32"/>
  <c r="H3286" i="27"/>
  <c r="J3286" i="27"/>
  <c r="A3286" i="27" l="1"/>
  <c r="F3289" i="27"/>
  <c r="F3288" i="27"/>
  <c r="E2137" i="27"/>
  <c r="F2138" i="27"/>
  <c r="N2137" i="27"/>
  <c r="K2137" i="27"/>
  <c r="I2137" i="27"/>
  <c r="P2138" i="27"/>
  <c r="E2138" i="27"/>
  <c r="F2137" i="27"/>
  <c r="M2138" i="27"/>
  <c r="A2138" i="27" s="1"/>
  <c r="N2138" i="27"/>
  <c r="P2137" i="27"/>
  <c r="G2137" i="27"/>
  <c r="M2137" i="27"/>
  <c r="A2137" i="27" s="1"/>
  <c r="K2138" i="27"/>
  <c r="O2137" i="27"/>
  <c r="G2138" i="27"/>
  <c r="O2138" i="27"/>
  <c r="I2138" i="27"/>
  <c r="U1345" i="32"/>
  <c r="G1343" i="32"/>
  <c r="K3289" i="27"/>
  <c r="H3289" i="27"/>
  <c r="I3289" i="27"/>
  <c r="H3288" i="27"/>
  <c r="J3289" i="27"/>
  <c r="I3287" i="27"/>
  <c r="H3287" i="27"/>
  <c r="K3287" i="27"/>
  <c r="A1343" i="32"/>
  <c r="A3287" i="27" l="1"/>
  <c r="A3289" i="27"/>
  <c r="F3290" i="27"/>
  <c r="P2139" i="27"/>
  <c r="I2139" i="27"/>
  <c r="P2140" i="27"/>
  <c r="F2139" i="27"/>
  <c r="N2139" i="27"/>
  <c r="M2140" i="27"/>
  <c r="A2140" i="27" s="1"/>
  <c r="G2139" i="27"/>
  <c r="E2139" i="27"/>
  <c r="E2140" i="27"/>
  <c r="G2140" i="27"/>
  <c r="O2139" i="27"/>
  <c r="I2140" i="27"/>
  <c r="N2140" i="27"/>
  <c r="K2140" i="27"/>
  <c r="K2139" i="27"/>
  <c r="F2140" i="27"/>
  <c r="O2140" i="27"/>
  <c r="M2139" i="27"/>
  <c r="A2139" i="27" s="1"/>
  <c r="U1347" i="32"/>
  <c r="G1345" i="32"/>
  <c r="J3288" i="27"/>
  <c r="A1345" i="32"/>
  <c r="K3288" i="27"/>
  <c r="J3290" i="27"/>
  <c r="I3288" i="27"/>
  <c r="A3288" i="27" l="1"/>
  <c r="F3291" i="27"/>
  <c r="K2141" i="27"/>
  <c r="O2141" i="27"/>
  <c r="K2142" i="27"/>
  <c r="G2142" i="27"/>
  <c r="P2142" i="27"/>
  <c r="M2142" i="27"/>
  <c r="A2142" i="27" s="1"/>
  <c r="O2142" i="27"/>
  <c r="F2141" i="27"/>
  <c r="E2141" i="27"/>
  <c r="N2142" i="27"/>
  <c r="N2141" i="27"/>
  <c r="P2141" i="27"/>
  <c r="F2142" i="27"/>
  <c r="M2141" i="27"/>
  <c r="A2141" i="27" s="1"/>
  <c r="E2142" i="27"/>
  <c r="G2141" i="27"/>
  <c r="I2141" i="27"/>
  <c r="I2142" i="27"/>
  <c r="U1349" i="32"/>
  <c r="I3290" i="27"/>
  <c r="I3291" i="27"/>
  <c r="H3290" i="27"/>
  <c r="K3290" i="27"/>
  <c r="G1347" i="32"/>
  <c r="J3291" i="27"/>
  <c r="A1347" i="32"/>
  <c r="A3290" i="27" l="1"/>
  <c r="F3292" i="27"/>
  <c r="P2143" i="27"/>
  <c r="G2143" i="27"/>
  <c r="G2144" i="27"/>
  <c r="P2144" i="27"/>
  <c r="M2144" i="27"/>
  <c r="A2144" i="27" s="1"/>
  <c r="E2144" i="27"/>
  <c r="E2143" i="27"/>
  <c r="M2143" i="27"/>
  <c r="A2143" i="27" s="1"/>
  <c r="N2143" i="27"/>
  <c r="K2143" i="27"/>
  <c r="I2143" i="27"/>
  <c r="K2144" i="27"/>
  <c r="N2144" i="27"/>
  <c r="F2143" i="27"/>
  <c r="O2143" i="27"/>
  <c r="I2144" i="27"/>
  <c r="O2144" i="27"/>
  <c r="F2144" i="27"/>
  <c r="U1351" i="32"/>
  <c r="G1349" i="32"/>
  <c r="K3291" i="27"/>
  <c r="J3292" i="27"/>
  <c r="H3291" i="27"/>
  <c r="I3292" i="27"/>
  <c r="K3292" i="27"/>
  <c r="A1349" i="32"/>
  <c r="A3291" i="27" l="1"/>
  <c r="A3292" i="27"/>
  <c r="F3293" i="27"/>
  <c r="M2146" i="27"/>
  <c r="A2146" i="27" s="1"/>
  <c r="N2145" i="27"/>
  <c r="I2145" i="27"/>
  <c r="E2145" i="27"/>
  <c r="I2146" i="27"/>
  <c r="O2145" i="27"/>
  <c r="G2146" i="27"/>
  <c r="K2145" i="27"/>
  <c r="M2145" i="27"/>
  <c r="A2145" i="27" s="1"/>
  <c r="N2146" i="27"/>
  <c r="P2146" i="27"/>
  <c r="G2145" i="27"/>
  <c r="O2146" i="27"/>
  <c r="F2146" i="27"/>
  <c r="P2145" i="27"/>
  <c r="F2145" i="27"/>
  <c r="K2146" i="27"/>
  <c r="E2146" i="27"/>
  <c r="U1353" i="32"/>
  <c r="G1351" i="32"/>
  <c r="I3293" i="27"/>
  <c r="K3293" i="27"/>
  <c r="H3293" i="27"/>
  <c r="J3293" i="27"/>
  <c r="H3292" i="27"/>
  <c r="A1351" i="32"/>
  <c r="A3293" i="27" l="1"/>
  <c r="F3295" i="27"/>
  <c r="F3294" i="27"/>
  <c r="E2148" i="27"/>
  <c r="N2147" i="27"/>
  <c r="F2147" i="27"/>
  <c r="I2147" i="27"/>
  <c r="K2148" i="27"/>
  <c r="E2147" i="27"/>
  <c r="I2148" i="27"/>
  <c r="P2148" i="27"/>
  <c r="F2148" i="27"/>
  <c r="G2148" i="27"/>
  <c r="G2147" i="27"/>
  <c r="K2147" i="27"/>
  <c r="M2148" i="27"/>
  <c r="A2148" i="27" s="1"/>
  <c r="M2147" i="27"/>
  <c r="A2147" i="27" s="1"/>
  <c r="N2148" i="27"/>
  <c r="P2147" i="27"/>
  <c r="O2148" i="27"/>
  <c r="O2147" i="27"/>
  <c r="U1355" i="32"/>
  <c r="H3294" i="27"/>
  <c r="G1353" i="32"/>
  <c r="K3295" i="27"/>
  <c r="A1353" i="32"/>
  <c r="H3295" i="27"/>
  <c r="J3294" i="27"/>
  <c r="F3296" i="27" l="1"/>
  <c r="K2150" i="27"/>
  <c r="I2150" i="27"/>
  <c r="O2150" i="27"/>
  <c r="G2149" i="27"/>
  <c r="E2149" i="27"/>
  <c r="K2149" i="27"/>
  <c r="N2149" i="27"/>
  <c r="P2150" i="27"/>
  <c r="F2150" i="27"/>
  <c r="N2150" i="27"/>
  <c r="M2149" i="27"/>
  <c r="A2149" i="27" s="1"/>
  <c r="F2149" i="27"/>
  <c r="E2150" i="27"/>
  <c r="M2150" i="27"/>
  <c r="A2150" i="27" s="1"/>
  <c r="G2150" i="27"/>
  <c r="I2149" i="27"/>
  <c r="P2149" i="27"/>
  <c r="O2149" i="27"/>
  <c r="U1357" i="32"/>
  <c r="I3296" i="27"/>
  <c r="H3296" i="27"/>
  <c r="K3294" i="27"/>
  <c r="K3296" i="27"/>
  <c r="A1355" i="32"/>
  <c r="G1355" i="32"/>
  <c r="I3295" i="27"/>
  <c r="I3294" i="27"/>
  <c r="J3295" i="27"/>
  <c r="A3294" i="27" l="1"/>
  <c r="A3295" i="27"/>
  <c r="F3297" i="27"/>
  <c r="O2152" i="27"/>
  <c r="I2152" i="27"/>
  <c r="G2152" i="27"/>
  <c r="E2152" i="27"/>
  <c r="I2151" i="27"/>
  <c r="M2152" i="27"/>
  <c r="A2152" i="27" s="1"/>
  <c r="O2151" i="27"/>
  <c r="F2152" i="27"/>
  <c r="K2151" i="27"/>
  <c r="P2152" i="27"/>
  <c r="K2152" i="27"/>
  <c r="N2152" i="27"/>
  <c r="M2151" i="27"/>
  <c r="A2151" i="27" s="1"/>
  <c r="E2151" i="27"/>
  <c r="F2151" i="27"/>
  <c r="G2151" i="27"/>
  <c r="P2151" i="27"/>
  <c r="N2151" i="27"/>
  <c r="U1359" i="32"/>
  <c r="G1357" i="32"/>
  <c r="K3297" i="27"/>
  <c r="H3297" i="27"/>
  <c r="J3296" i="27"/>
  <c r="J3297" i="27"/>
  <c r="A1357" i="32"/>
  <c r="A3296" i="27" l="1"/>
  <c r="A3297" i="27"/>
  <c r="F3298" i="27"/>
  <c r="F2154" i="27"/>
  <c r="M2153" i="27"/>
  <c r="A2153" i="27" s="1"/>
  <c r="N2154" i="27"/>
  <c r="K2154" i="27"/>
  <c r="G2154" i="27"/>
  <c r="P2153" i="27"/>
  <c r="G2153" i="27"/>
  <c r="E2154" i="27"/>
  <c r="K2153" i="27"/>
  <c r="O2154" i="27"/>
  <c r="P2154" i="27"/>
  <c r="E2153" i="27"/>
  <c r="I2153" i="27"/>
  <c r="M2154" i="27"/>
  <c r="A2154" i="27" s="1"/>
  <c r="F2153" i="27"/>
  <c r="I2154" i="27"/>
  <c r="N2153" i="27"/>
  <c r="O2153" i="27"/>
  <c r="U1361" i="32"/>
  <c r="A1359" i="32"/>
  <c r="J3298" i="27"/>
  <c r="I3298" i="27"/>
  <c r="G1359" i="32"/>
  <c r="K3298" i="27"/>
  <c r="H3298" i="27"/>
  <c r="I3297" i="27"/>
  <c r="A3298" i="27" l="1"/>
  <c r="F3299" i="27"/>
  <c r="P2156" i="27"/>
  <c r="E2155" i="27"/>
  <c r="M2156" i="27"/>
  <c r="A2156" i="27" s="1"/>
  <c r="O2155" i="27"/>
  <c r="O2156" i="27"/>
  <c r="G2155" i="27"/>
  <c r="K2156" i="27"/>
  <c r="P2155" i="27"/>
  <c r="K2155" i="27"/>
  <c r="N2155" i="27"/>
  <c r="E2156" i="27"/>
  <c r="F2156" i="27"/>
  <c r="G2156" i="27"/>
  <c r="I2156" i="27"/>
  <c r="F2155" i="27"/>
  <c r="N2156" i="27"/>
  <c r="I2155" i="27"/>
  <c r="M2155" i="27"/>
  <c r="A2155" i="27" s="1"/>
  <c r="U1363" i="32"/>
  <c r="I3299" i="27"/>
  <c r="A1361" i="32"/>
  <c r="G1361" i="32"/>
  <c r="K3299" i="27"/>
  <c r="H3299" i="27"/>
  <c r="J3299" i="27"/>
  <c r="A3299" i="27" l="1"/>
  <c r="F3301" i="27"/>
  <c r="F3300" i="27"/>
  <c r="P2157" i="27"/>
  <c r="N2157" i="27"/>
  <c r="M2158" i="27"/>
  <c r="A2158" i="27" s="1"/>
  <c r="E2158" i="27"/>
  <c r="I2158" i="27"/>
  <c r="K2158" i="27"/>
  <c r="M2157" i="27"/>
  <c r="A2157" i="27" s="1"/>
  <c r="O2158" i="27"/>
  <c r="E2157" i="27"/>
  <c r="G2157" i="27"/>
  <c r="G2158" i="27"/>
  <c r="F2158" i="27"/>
  <c r="O2157" i="27"/>
  <c r="F2157" i="27"/>
  <c r="N2158" i="27"/>
  <c r="P2158" i="27"/>
  <c r="K2157" i="27"/>
  <c r="I2157" i="27"/>
  <c r="U1365" i="32"/>
  <c r="K3300" i="27"/>
  <c r="J3300" i="27"/>
  <c r="H3300" i="27"/>
  <c r="K3301" i="27"/>
  <c r="I3300" i="27"/>
  <c r="J3301" i="27"/>
  <c r="G1363" i="32"/>
  <c r="I3301" i="27"/>
  <c r="H3301" i="27"/>
  <c r="A1363" i="32"/>
  <c r="A3300" i="27" l="1"/>
  <c r="A3301" i="27"/>
  <c r="F3302" i="27"/>
  <c r="O2159" i="27"/>
  <c r="N2159" i="27"/>
  <c r="K2160" i="27"/>
  <c r="P2160" i="27"/>
  <c r="E2159" i="27"/>
  <c r="E2160" i="27"/>
  <c r="P2159" i="27"/>
  <c r="F2159" i="27"/>
  <c r="G2160" i="27"/>
  <c r="G2159" i="27"/>
  <c r="M2159" i="27"/>
  <c r="A2159" i="27" s="1"/>
  <c r="O2160" i="27"/>
  <c r="K2159" i="27"/>
  <c r="I2159" i="27"/>
  <c r="F2160" i="27"/>
  <c r="N2160" i="27"/>
  <c r="M2160" i="27"/>
  <c r="A2160" i="27" s="1"/>
  <c r="I2160" i="27"/>
  <c r="U1367" i="32"/>
  <c r="H3302" i="27"/>
  <c r="J3302" i="27"/>
  <c r="A1365" i="32"/>
  <c r="G1365" i="32"/>
  <c r="K3302" i="27"/>
  <c r="A3302" i="27" l="1"/>
  <c r="F3303" i="27"/>
  <c r="K2162" i="27"/>
  <c r="E2161" i="27"/>
  <c r="N2161" i="27"/>
  <c r="O2161" i="27"/>
  <c r="K2161" i="27"/>
  <c r="G2162" i="27"/>
  <c r="P2162" i="27"/>
  <c r="O2162" i="27"/>
  <c r="G2161" i="27"/>
  <c r="M2161" i="27"/>
  <c r="A2161" i="27" s="1"/>
  <c r="I2161" i="27"/>
  <c r="F2161" i="27"/>
  <c r="P2161" i="27"/>
  <c r="I2162" i="27"/>
  <c r="E2162" i="27"/>
  <c r="N2162" i="27"/>
  <c r="F2162" i="27"/>
  <c r="M2162" i="27"/>
  <c r="A2162" i="27" s="1"/>
  <c r="U1369" i="32"/>
  <c r="K3303" i="27"/>
  <c r="I3302" i="27"/>
  <c r="H3303" i="27"/>
  <c r="A1367" i="32"/>
  <c r="J3303" i="27"/>
  <c r="I3303" i="27"/>
  <c r="G1367" i="32"/>
  <c r="A3303" i="27" l="1"/>
  <c r="F3304" i="27"/>
  <c r="F2163" i="27"/>
  <c r="I2164" i="27"/>
  <c r="O2163" i="27"/>
  <c r="E2163" i="27"/>
  <c r="G2163" i="27"/>
  <c r="I2163" i="27"/>
  <c r="N2163" i="27"/>
  <c r="N2164" i="27"/>
  <c r="G2164" i="27"/>
  <c r="E2164" i="27"/>
  <c r="M2163" i="27"/>
  <c r="A2163" i="27" s="1"/>
  <c r="P2164" i="27"/>
  <c r="P2163" i="27"/>
  <c r="K2163" i="27"/>
  <c r="O2164" i="27"/>
  <c r="K2164" i="27"/>
  <c r="F2164" i="27"/>
  <c r="M2164" i="27"/>
  <c r="A2164" i="27" s="1"/>
  <c r="U1371" i="32"/>
  <c r="J3304" i="27"/>
  <c r="H3304" i="27"/>
  <c r="A1369" i="32"/>
  <c r="I3304" i="27"/>
  <c r="K3304" i="27"/>
  <c r="G1369" i="32"/>
  <c r="A3304" i="27" l="1"/>
  <c r="F3305" i="27"/>
  <c r="N2165" i="27"/>
  <c r="M2166" i="27"/>
  <c r="A2166" i="27" s="1"/>
  <c r="E2165" i="27"/>
  <c r="G2166" i="27"/>
  <c r="K2166" i="27"/>
  <c r="M2165" i="27"/>
  <c r="A2165" i="27" s="1"/>
  <c r="I2165" i="27"/>
  <c r="P2166" i="27"/>
  <c r="G2165" i="27"/>
  <c r="O2165" i="27"/>
  <c r="F2165" i="27"/>
  <c r="I2166" i="27"/>
  <c r="F2166" i="27"/>
  <c r="P2165" i="27"/>
  <c r="N2166" i="27"/>
  <c r="K2165" i="27"/>
  <c r="O2166" i="27"/>
  <c r="E2166" i="27"/>
  <c r="U1373" i="32"/>
  <c r="I3305" i="27"/>
  <c r="G1371" i="32"/>
  <c r="H3305" i="27"/>
  <c r="A1371" i="32"/>
  <c r="J3305" i="27"/>
  <c r="K3305" i="27"/>
  <c r="A3305" i="27" l="1"/>
  <c r="F3306" i="27"/>
  <c r="F3307" i="27"/>
  <c r="M2168" i="27"/>
  <c r="A2168" i="27" s="1"/>
  <c r="K2168" i="27"/>
  <c r="M2167" i="27"/>
  <c r="A2167" i="27" s="1"/>
  <c r="N2168" i="27"/>
  <c r="N2167" i="27"/>
  <c r="I2168" i="27"/>
  <c r="F2167" i="27"/>
  <c r="O2167" i="27"/>
  <c r="K2167" i="27"/>
  <c r="G2168" i="27"/>
  <c r="E2168" i="27"/>
  <c r="P2168" i="27"/>
  <c r="P2167" i="27"/>
  <c r="O2168" i="27"/>
  <c r="F2168" i="27"/>
  <c r="I2167" i="27"/>
  <c r="E2167" i="27"/>
  <c r="G2167" i="27"/>
  <c r="U1375" i="32"/>
  <c r="I3306" i="27"/>
  <c r="K3307" i="27"/>
  <c r="G1373" i="32"/>
  <c r="H3307" i="27"/>
  <c r="I3307" i="27"/>
  <c r="A1373" i="32"/>
  <c r="F3308" i="27" l="1"/>
  <c r="O2169" i="27"/>
  <c r="P2170" i="27"/>
  <c r="G2169" i="27"/>
  <c r="I2169" i="27"/>
  <c r="E2170" i="27"/>
  <c r="M2169" i="27"/>
  <c r="A2169" i="27" s="1"/>
  <c r="M2170" i="27"/>
  <c r="A2170" i="27" s="1"/>
  <c r="O2170" i="27"/>
  <c r="E2169" i="27"/>
  <c r="I2170" i="27"/>
  <c r="K2169" i="27"/>
  <c r="N2169" i="27"/>
  <c r="G2170" i="27"/>
  <c r="N2170" i="27"/>
  <c r="P2169" i="27"/>
  <c r="F2169" i="27"/>
  <c r="K2170" i="27"/>
  <c r="F2170" i="27"/>
  <c r="U1377" i="32"/>
  <c r="A1375" i="32"/>
  <c r="J3307" i="27"/>
  <c r="K3308" i="27"/>
  <c r="G1375" i="32"/>
  <c r="J3306" i="27"/>
  <c r="H3306" i="27"/>
  <c r="K3306" i="27"/>
  <c r="A3306" i="27" l="1"/>
  <c r="A3307" i="27"/>
  <c r="F3309" i="27"/>
  <c r="F2172" i="27"/>
  <c r="P2171" i="27"/>
  <c r="P2172" i="27"/>
  <c r="G2171" i="27"/>
  <c r="N2171" i="27"/>
  <c r="M2172" i="27"/>
  <c r="A2172" i="27" s="1"/>
  <c r="O2172" i="27"/>
  <c r="O2171" i="27"/>
  <c r="E2171" i="27"/>
  <c r="E2172" i="27"/>
  <c r="M2171" i="27"/>
  <c r="A2171" i="27" s="1"/>
  <c r="N2172" i="27"/>
  <c r="K2171" i="27"/>
  <c r="I2172" i="27"/>
  <c r="G2172" i="27"/>
  <c r="F2171" i="27"/>
  <c r="I2171" i="27"/>
  <c r="K2172" i="27"/>
  <c r="U1379" i="32"/>
  <c r="H3308" i="27"/>
  <c r="A1377" i="32"/>
  <c r="J3309" i="27"/>
  <c r="I3308" i="27"/>
  <c r="H3309" i="27"/>
  <c r="G1377" i="32"/>
  <c r="J3308" i="27"/>
  <c r="A3308" i="27" l="1"/>
  <c r="F3310" i="27"/>
  <c r="M2174" i="27"/>
  <c r="A2174" i="27" s="1"/>
  <c r="E2174" i="27"/>
  <c r="O2173" i="27"/>
  <c r="M2173" i="27"/>
  <c r="A2173" i="27" s="1"/>
  <c r="E2173" i="27"/>
  <c r="N2174" i="27"/>
  <c r="K2173" i="27"/>
  <c r="P2173" i="27"/>
  <c r="I2173" i="27"/>
  <c r="F2174" i="27"/>
  <c r="K2174" i="27"/>
  <c r="N2173" i="27"/>
  <c r="P2174" i="27"/>
  <c r="G2173" i="27"/>
  <c r="O2174" i="27"/>
  <c r="I2174" i="27"/>
  <c r="G2174" i="27"/>
  <c r="F2173" i="27"/>
  <c r="U1381" i="32"/>
  <c r="K3309" i="27"/>
  <c r="K3310" i="27"/>
  <c r="G1379" i="32"/>
  <c r="H3310" i="27"/>
  <c r="I3309" i="27"/>
  <c r="I3310" i="27"/>
  <c r="A1379" i="32"/>
  <c r="J3310" i="27"/>
  <c r="A3309" i="27" l="1"/>
  <c r="A3310" i="27"/>
  <c r="F3311" i="27"/>
  <c r="G2176" i="27"/>
  <c r="M2176" i="27"/>
  <c r="A2176" i="27" s="1"/>
  <c r="E2176" i="27"/>
  <c r="N2176" i="27"/>
  <c r="K2175" i="27"/>
  <c r="O2175" i="27"/>
  <c r="O2176" i="27"/>
  <c r="K2176" i="27"/>
  <c r="M2175" i="27"/>
  <c r="A2175" i="27" s="1"/>
  <c r="P2175" i="27"/>
  <c r="P2176" i="27"/>
  <c r="E2175" i="27"/>
  <c r="G2175" i="27"/>
  <c r="F2176" i="27"/>
  <c r="I2175" i="27"/>
  <c r="I2176" i="27"/>
  <c r="N2175" i="27"/>
  <c r="F2175" i="27"/>
  <c r="U1383" i="32"/>
  <c r="I3311" i="27"/>
  <c r="J3311" i="27"/>
  <c r="H3311" i="27"/>
  <c r="A1381" i="32"/>
  <c r="K3311" i="27"/>
  <c r="G1381" i="32"/>
  <c r="A3311" i="27" l="1"/>
  <c r="F3313" i="27"/>
  <c r="F3312" i="27"/>
  <c r="G2178" i="27"/>
  <c r="I2177" i="27"/>
  <c r="E2177" i="27"/>
  <c r="O2177" i="27"/>
  <c r="P2177" i="27"/>
  <c r="F2177" i="27"/>
  <c r="E2178" i="27"/>
  <c r="N2178" i="27"/>
  <c r="M2177" i="27"/>
  <c r="A2177" i="27" s="1"/>
  <c r="P2178" i="27"/>
  <c r="N2177" i="27"/>
  <c r="K2177" i="27"/>
  <c r="M2178" i="27"/>
  <c r="A2178" i="27" s="1"/>
  <c r="F2178" i="27"/>
  <c r="I2178" i="27"/>
  <c r="G2177" i="27"/>
  <c r="O2178" i="27"/>
  <c r="K2178" i="27"/>
  <c r="U1385" i="32"/>
  <c r="A1383" i="32"/>
  <c r="J3313" i="27"/>
  <c r="I3313" i="27"/>
  <c r="J3312" i="27"/>
  <c r="H3313" i="27"/>
  <c r="G1383" i="32"/>
  <c r="H3312" i="27"/>
  <c r="K3312" i="27"/>
  <c r="K3313" i="27"/>
  <c r="I3312" i="27"/>
  <c r="A3312" i="27" l="1"/>
  <c r="A3313" i="27"/>
  <c r="F3314" i="27"/>
  <c r="P2180" i="27"/>
  <c r="F2179" i="27"/>
  <c r="O2180" i="27"/>
  <c r="K2180" i="27"/>
  <c r="G2180" i="27"/>
  <c r="N2180" i="27"/>
  <c r="N2179" i="27"/>
  <c r="I2179" i="27"/>
  <c r="G2179" i="27"/>
  <c r="P2179" i="27"/>
  <c r="E2179" i="27"/>
  <c r="I2180" i="27"/>
  <c r="M2179" i="27"/>
  <c r="A2179" i="27" s="1"/>
  <c r="M2180" i="27"/>
  <c r="A2180" i="27" s="1"/>
  <c r="E2180" i="27"/>
  <c r="K2179" i="27"/>
  <c r="F2180" i="27"/>
  <c r="O2179" i="27"/>
  <c r="U1387" i="32"/>
  <c r="A1385" i="32"/>
  <c r="J3314" i="27"/>
  <c r="G1385" i="32"/>
  <c r="F3315" i="27" l="1"/>
  <c r="M2181" i="27"/>
  <c r="A2181" i="27" s="1"/>
  <c r="K2182" i="27"/>
  <c r="P2182" i="27"/>
  <c r="I2181" i="27"/>
  <c r="F2182" i="27"/>
  <c r="F2181" i="27"/>
  <c r="G2181" i="27"/>
  <c r="O2182" i="27"/>
  <c r="E2182" i="27"/>
  <c r="P2181" i="27"/>
  <c r="K2181" i="27"/>
  <c r="O2181" i="27"/>
  <c r="N2181" i="27"/>
  <c r="M2182" i="27"/>
  <c r="A2182" i="27" s="1"/>
  <c r="I2182" i="27"/>
  <c r="N2182" i="27"/>
  <c r="E2181" i="27"/>
  <c r="G2182" i="27"/>
  <c r="U1389" i="32"/>
  <c r="K3314" i="27"/>
  <c r="I3314" i="27"/>
  <c r="A1387" i="32"/>
  <c r="G1387" i="32"/>
  <c r="H3315" i="27"/>
  <c r="H3314" i="27"/>
  <c r="A3314" i="27" l="1"/>
  <c r="F3316" i="27"/>
  <c r="I2183" i="27"/>
  <c r="K2184" i="27"/>
  <c r="G2184" i="27"/>
  <c r="I2184" i="27"/>
  <c r="P2183" i="27"/>
  <c r="G2183" i="27"/>
  <c r="N2183" i="27"/>
  <c r="K2183" i="27"/>
  <c r="M2184" i="27"/>
  <c r="A2184" i="27" s="1"/>
  <c r="O2184" i="27"/>
  <c r="N2184" i="27"/>
  <c r="F2183" i="27"/>
  <c r="M2183" i="27"/>
  <c r="A2183" i="27" s="1"/>
  <c r="O2183" i="27"/>
  <c r="F2184" i="27"/>
  <c r="P2184" i="27"/>
  <c r="E2184" i="27"/>
  <c r="E2183" i="27"/>
  <c r="U1391" i="32"/>
  <c r="K3315" i="27"/>
  <c r="J3315" i="27"/>
  <c r="A1389" i="32"/>
  <c r="I3316" i="27"/>
  <c r="G1389" i="32"/>
  <c r="I3315" i="27"/>
  <c r="A3315" i="27" l="1"/>
  <c r="F3317" i="27"/>
  <c r="F2185" i="27"/>
  <c r="K2185" i="27"/>
  <c r="E2186" i="27"/>
  <c r="P2186" i="27"/>
  <c r="N2185" i="27"/>
  <c r="N2186" i="27"/>
  <c r="O2185" i="27"/>
  <c r="K2186" i="27"/>
  <c r="P2185" i="27"/>
  <c r="I2186" i="27"/>
  <c r="G2185" i="27"/>
  <c r="G2186" i="27"/>
  <c r="O2186" i="27"/>
  <c r="F2186" i="27"/>
  <c r="M2186" i="27"/>
  <c r="A2186" i="27" s="1"/>
  <c r="E2185" i="27"/>
  <c r="M2185" i="27"/>
  <c r="A2185" i="27" s="1"/>
  <c r="I2185" i="27"/>
  <c r="U1393" i="32"/>
  <c r="K3316" i="27"/>
  <c r="H3316" i="27"/>
  <c r="J3316" i="27"/>
  <c r="H3317" i="27"/>
  <c r="K3317" i="27"/>
  <c r="A1391" i="32"/>
  <c r="G1391" i="32"/>
  <c r="A3316" i="27" l="1"/>
  <c r="F3319" i="27"/>
  <c r="F3318" i="27"/>
  <c r="I2187" i="27"/>
  <c r="M2188" i="27"/>
  <c r="A2188" i="27" s="1"/>
  <c r="O2188" i="27"/>
  <c r="M2187" i="27"/>
  <c r="A2187" i="27" s="1"/>
  <c r="E2188" i="27"/>
  <c r="O2187" i="27"/>
  <c r="F2187" i="27"/>
  <c r="P2187" i="27"/>
  <c r="N2188" i="27"/>
  <c r="K2188" i="27"/>
  <c r="K2187" i="27"/>
  <c r="I2188" i="27"/>
  <c r="F2188" i="27"/>
  <c r="G2187" i="27"/>
  <c r="G2188" i="27"/>
  <c r="N2187" i="27"/>
  <c r="P2188" i="27"/>
  <c r="E2187" i="27"/>
  <c r="U1395" i="32"/>
  <c r="J3317" i="27"/>
  <c r="A1393" i="32"/>
  <c r="J3318" i="27"/>
  <c r="H3319" i="27"/>
  <c r="I3317" i="27"/>
  <c r="J3319" i="27"/>
  <c r="I3318" i="27"/>
  <c r="I3319" i="27"/>
  <c r="G1393" i="32"/>
  <c r="A3317" i="27" l="1"/>
  <c r="F3320" i="27"/>
  <c r="M2190" i="27"/>
  <c r="A2190" i="27" s="1"/>
  <c r="O2190" i="27"/>
  <c r="O2189" i="27"/>
  <c r="K2189" i="27"/>
  <c r="K2190" i="27"/>
  <c r="I2190" i="27"/>
  <c r="I2189" i="27"/>
  <c r="F2190" i="27"/>
  <c r="G2189" i="27"/>
  <c r="M2189" i="27"/>
  <c r="A2189" i="27" s="1"/>
  <c r="F2189" i="27"/>
  <c r="P2190" i="27"/>
  <c r="E2189" i="27"/>
  <c r="N2190" i="27"/>
  <c r="G2190" i="27"/>
  <c r="E2190" i="27"/>
  <c r="P2189" i="27"/>
  <c r="N2189" i="27"/>
  <c r="U1397" i="32"/>
  <c r="J3320" i="27"/>
  <c r="H3318" i="27"/>
  <c r="K3319" i="27"/>
  <c r="K3318" i="27"/>
  <c r="A1395" i="32"/>
  <c r="I3320" i="27"/>
  <c r="G1395" i="32"/>
  <c r="A3318" i="27" l="1"/>
  <c r="A3319" i="27"/>
  <c r="F3321" i="27"/>
  <c r="O2192" i="27"/>
  <c r="K2192" i="27"/>
  <c r="P2192" i="27"/>
  <c r="I2192" i="27"/>
  <c r="K2191" i="27"/>
  <c r="G2192" i="27"/>
  <c r="P2191" i="27"/>
  <c r="E2192" i="27"/>
  <c r="F2192" i="27"/>
  <c r="O2191" i="27"/>
  <c r="G2191" i="27"/>
  <c r="M2191" i="27"/>
  <c r="A2191" i="27" s="1"/>
  <c r="M2192" i="27"/>
  <c r="A2192" i="27" s="1"/>
  <c r="N2192" i="27"/>
  <c r="E2191" i="27"/>
  <c r="N2191" i="27"/>
  <c r="F2191" i="27"/>
  <c r="I2191" i="27"/>
  <c r="U1399" i="32"/>
  <c r="A1397" i="32"/>
  <c r="I3321" i="27"/>
  <c r="G1397" i="32"/>
  <c r="H3320" i="27"/>
  <c r="K3320" i="27"/>
  <c r="K3321" i="27"/>
  <c r="A3320" i="27" l="1"/>
  <c r="F3322" i="27"/>
  <c r="F2194" i="27"/>
  <c r="I2194" i="27"/>
  <c r="O2194" i="27"/>
  <c r="P2194" i="27"/>
  <c r="G2193" i="27"/>
  <c r="M2194" i="27"/>
  <c r="A2194" i="27" s="1"/>
  <c r="P2193" i="27"/>
  <c r="K2194" i="27"/>
  <c r="N2193" i="27"/>
  <c r="M2193" i="27"/>
  <c r="A2193" i="27" s="1"/>
  <c r="G2194" i="27"/>
  <c r="F2193" i="27"/>
  <c r="E2194" i="27"/>
  <c r="K2193" i="27"/>
  <c r="E2193" i="27"/>
  <c r="I2193" i="27"/>
  <c r="O2193" i="27"/>
  <c r="N2194" i="27"/>
  <c r="U1401" i="32"/>
  <c r="H3321" i="27"/>
  <c r="J3321" i="27"/>
  <c r="G1399" i="32"/>
  <c r="A1399" i="32"/>
  <c r="J3322" i="27"/>
  <c r="A3321" i="27" l="1"/>
  <c r="F3323" i="27"/>
  <c r="K2195" i="27"/>
  <c r="P2195" i="27"/>
  <c r="O2195" i="27"/>
  <c r="F2195" i="27"/>
  <c r="M2195" i="27"/>
  <c r="A2195" i="27" s="1"/>
  <c r="O2196" i="27"/>
  <c r="I2196" i="27"/>
  <c r="E2196" i="27"/>
  <c r="M2196" i="27"/>
  <c r="A2196" i="27" s="1"/>
  <c r="K2196" i="27"/>
  <c r="E2195" i="27"/>
  <c r="F2196" i="27"/>
  <c r="N2195" i="27"/>
  <c r="P2196" i="27"/>
  <c r="G2195" i="27"/>
  <c r="I2195" i="27"/>
  <c r="G2196" i="27"/>
  <c r="N2196" i="27"/>
  <c r="U1403" i="32"/>
  <c r="I3322" i="27"/>
  <c r="K3323" i="27"/>
  <c r="I3323" i="27"/>
  <c r="G1401" i="32"/>
  <c r="H3323" i="27"/>
  <c r="A1401" i="32"/>
  <c r="H3322" i="27"/>
  <c r="J3323" i="27"/>
  <c r="K3322" i="27"/>
  <c r="A3322" i="27" l="1"/>
  <c r="A3323" i="27"/>
  <c r="F3324" i="27"/>
  <c r="F3325" i="27"/>
  <c r="M2198" i="27"/>
  <c r="A2198" i="27" s="1"/>
  <c r="P2197" i="27"/>
  <c r="K2197" i="27"/>
  <c r="N2198" i="27"/>
  <c r="G2197" i="27"/>
  <c r="I2198" i="27"/>
  <c r="P2198" i="27"/>
  <c r="E2197" i="27"/>
  <c r="E2198" i="27"/>
  <c r="M2197" i="27"/>
  <c r="A2197" i="27" s="1"/>
  <c r="K2198" i="27"/>
  <c r="O2197" i="27"/>
  <c r="F2197" i="27"/>
  <c r="G2198" i="27"/>
  <c r="F2198" i="27"/>
  <c r="N2197" i="27"/>
  <c r="O2198" i="27"/>
  <c r="I2197" i="27"/>
  <c r="U1405" i="32"/>
  <c r="I3325" i="27"/>
  <c r="J3324" i="27"/>
  <c r="K3325" i="27"/>
  <c r="H3324" i="27"/>
  <c r="J3325" i="27"/>
  <c r="G1403" i="32"/>
  <c r="H3325" i="27"/>
  <c r="A1403" i="32"/>
  <c r="A3325" i="27" l="1"/>
  <c r="F3326" i="27"/>
  <c r="M2199" i="27"/>
  <c r="A2199" i="27" s="1"/>
  <c r="K2199" i="27"/>
  <c r="E2199" i="27"/>
  <c r="P2199" i="27"/>
  <c r="O2199" i="27"/>
  <c r="G2199" i="27"/>
  <c r="N2199" i="27"/>
  <c r="F2199" i="27"/>
  <c r="I2199" i="27"/>
  <c r="U1407" i="32"/>
  <c r="G1405" i="32"/>
  <c r="K3324" i="27"/>
  <c r="A1405" i="32"/>
  <c r="K3326" i="27"/>
  <c r="I3324" i="27"/>
  <c r="H3326" i="27"/>
  <c r="A3324" i="27" l="1"/>
  <c r="F3327" i="27"/>
  <c r="U1409" i="32"/>
  <c r="J3326" i="27"/>
  <c r="G1407" i="32"/>
  <c r="I3326" i="27"/>
  <c r="A1407" i="32"/>
  <c r="K3327" i="27"/>
  <c r="A3326" i="27" l="1"/>
  <c r="F3328" i="27"/>
  <c r="U1411" i="32"/>
  <c r="I3327" i="27"/>
  <c r="J3327" i="27"/>
  <c r="J3328" i="27"/>
  <c r="A1409" i="32"/>
  <c r="G1409" i="32"/>
  <c r="H3327" i="27"/>
  <c r="A3327" i="27" l="1"/>
  <c r="F3329" i="27"/>
  <c r="U1413" i="32"/>
  <c r="G1411" i="32"/>
  <c r="A1411" i="32"/>
  <c r="H3328" i="27"/>
  <c r="I3328" i="27"/>
  <c r="K3328" i="27"/>
  <c r="K3329" i="27"/>
  <c r="A3328" i="27" l="1"/>
  <c r="F3330" i="27"/>
  <c r="U1415" i="32"/>
  <c r="A1413" i="32"/>
  <c r="I3329" i="27"/>
  <c r="G1413" i="32"/>
  <c r="H3329" i="27"/>
  <c r="J3330" i="27"/>
  <c r="J3329" i="27"/>
  <c r="A3329" i="27" l="1"/>
  <c r="U1417" i="32"/>
  <c r="I3330" i="27"/>
  <c r="H3330" i="27"/>
  <c r="A1415" i="32"/>
  <c r="K3330" i="27"/>
  <c r="G1415" i="32"/>
  <c r="A3330" i="27" l="1"/>
  <c r="U1419" i="32"/>
  <c r="G1417" i="32"/>
  <c r="A1417" i="32"/>
  <c r="U1421" i="32" l="1"/>
  <c r="G1419" i="32"/>
  <c r="A1419" i="32"/>
  <c r="U1423" i="32" l="1"/>
  <c r="A1421" i="32"/>
  <c r="G1421" i="32"/>
  <c r="U1425" i="32" l="1"/>
  <c r="A1423" i="32"/>
  <c r="G1423" i="32"/>
  <c r="U1427" i="32" l="1"/>
  <c r="A1425" i="32"/>
  <c r="G1425" i="32"/>
  <c r="U1429" i="32" l="1"/>
  <c r="G1427" i="32"/>
  <c r="A1427" i="32"/>
  <c r="U1431" i="32" l="1"/>
  <c r="G1429" i="32"/>
  <c r="A1429" i="32"/>
  <c r="U1433" i="32" l="1"/>
  <c r="A1431" i="32"/>
  <c r="G1431" i="32"/>
  <c r="U1435" i="32" l="1"/>
  <c r="G1433" i="32"/>
  <c r="A1433" i="32"/>
  <c r="U1437" i="32" l="1"/>
  <c r="G1435" i="32"/>
  <c r="A1435" i="32"/>
  <c r="U1439" i="32" l="1"/>
  <c r="G1437" i="32"/>
  <c r="A1437" i="32"/>
  <c r="U1441" i="32" l="1"/>
  <c r="A1439" i="32"/>
  <c r="G1439" i="32"/>
  <c r="U1443" i="32" l="1"/>
  <c r="A1441" i="32"/>
  <c r="G1441" i="32"/>
  <c r="U1445" i="32" l="1"/>
  <c r="A1443" i="32"/>
  <c r="G1443" i="32"/>
  <c r="U1447" i="32" l="1"/>
  <c r="G1445" i="32"/>
  <c r="A1445" i="32"/>
  <c r="U1449" i="32" l="1"/>
  <c r="A1447" i="32"/>
  <c r="G1447" i="32"/>
  <c r="U1451" i="32" l="1"/>
  <c r="G1449" i="32"/>
  <c r="A1449" i="32"/>
  <c r="U1453" i="32" l="1"/>
  <c r="G1451" i="32"/>
  <c r="A1451" i="32"/>
  <c r="U1455" i="32" l="1"/>
  <c r="A1453" i="32"/>
  <c r="G1453" i="32"/>
  <c r="U1457" i="32" l="1"/>
  <c r="G1455" i="32"/>
  <c r="A1455" i="32"/>
  <c r="U1459" i="32" l="1"/>
  <c r="A1457" i="32"/>
  <c r="G1457" i="32"/>
  <c r="U1461" i="32" l="1"/>
  <c r="A1459" i="32"/>
  <c r="G1459" i="32"/>
  <c r="U1463" i="32" l="1"/>
  <c r="G1461" i="32"/>
  <c r="A1461" i="32"/>
  <c r="U1465" i="32" l="1"/>
  <c r="A1463" i="32"/>
  <c r="G1463" i="32"/>
  <c r="U1467" i="32" l="1"/>
  <c r="A1465" i="32"/>
  <c r="G1465" i="32"/>
  <c r="U1469" i="32" l="1"/>
  <c r="A1467" i="32"/>
  <c r="G1467" i="32"/>
  <c r="U1471" i="32" l="1"/>
  <c r="A1469" i="32"/>
  <c r="G1469" i="32"/>
  <c r="U1473" i="32" l="1"/>
  <c r="A1471" i="32"/>
  <c r="G1471" i="32"/>
  <c r="U1475" i="32" l="1"/>
  <c r="A1473" i="32"/>
  <c r="G1473" i="32"/>
  <c r="U1477" i="32" l="1"/>
  <c r="A1475" i="32"/>
  <c r="G1475" i="32"/>
  <c r="U1479" i="32" l="1"/>
  <c r="A1477" i="32"/>
  <c r="G1477" i="32"/>
  <c r="U1481" i="32" l="1"/>
  <c r="A1479" i="32"/>
  <c r="G1479" i="32"/>
  <c r="U1483" i="32" l="1"/>
  <c r="G1481" i="32"/>
  <c r="A1481" i="32"/>
  <c r="U1485" i="32" l="1"/>
  <c r="G1483" i="32"/>
  <c r="A1483" i="32"/>
  <c r="U1487" i="32" l="1"/>
  <c r="G1485" i="32"/>
  <c r="A1485" i="32"/>
  <c r="U1489" i="32" l="1"/>
  <c r="A1487" i="32"/>
  <c r="G1487" i="32"/>
  <c r="U1491" i="32" l="1"/>
  <c r="A1489" i="32"/>
  <c r="G1489" i="32"/>
  <c r="U1493" i="32" l="1"/>
  <c r="A1491" i="32"/>
  <c r="G1491" i="32"/>
  <c r="U1495" i="32" l="1"/>
  <c r="A1493" i="32"/>
  <c r="G1493" i="32"/>
  <c r="U1497" i="32" l="1"/>
  <c r="G1495" i="32"/>
  <c r="A1495" i="32"/>
  <c r="U1499" i="32" l="1"/>
  <c r="A1497" i="32"/>
  <c r="G1497" i="32"/>
  <c r="U1501" i="32" l="1"/>
  <c r="G1499" i="32"/>
  <c r="A1499" i="32"/>
  <c r="U1503" i="32" l="1"/>
  <c r="A1501" i="32"/>
  <c r="G1501" i="32"/>
  <c r="U1505" i="32" l="1"/>
  <c r="G1503" i="32"/>
  <c r="A1503" i="32"/>
  <c r="U1507" i="32" l="1"/>
  <c r="G1505" i="32"/>
  <c r="A1505" i="32"/>
  <c r="U1509" i="32" l="1"/>
  <c r="A1507" i="32"/>
  <c r="G1507" i="32"/>
  <c r="U1511" i="32" l="1"/>
  <c r="G1509" i="32"/>
  <c r="A1509" i="32"/>
  <c r="U1513" i="32" l="1"/>
  <c r="G1511" i="32"/>
  <c r="A1511" i="32"/>
  <c r="U1515" i="32" l="1"/>
  <c r="A1513" i="32"/>
  <c r="G1513" i="32"/>
  <c r="U1517" i="32" l="1"/>
  <c r="G1515" i="32"/>
  <c r="A1515" i="32"/>
  <c r="U1519" i="32" l="1"/>
  <c r="G1517" i="32"/>
  <c r="A1517" i="32"/>
  <c r="U1521" i="32" l="1"/>
  <c r="A1519" i="32"/>
  <c r="G1519" i="32"/>
  <c r="U1523" i="32" l="1"/>
  <c r="G1521" i="32"/>
  <c r="A1521" i="32"/>
  <c r="U1525" i="32" l="1"/>
  <c r="G1523" i="32"/>
  <c r="A1523" i="32"/>
  <c r="U1527" i="32" l="1"/>
  <c r="G1525" i="32"/>
  <c r="A1525" i="32"/>
  <c r="U1529" i="32" l="1"/>
  <c r="G1527" i="32"/>
  <c r="A1527" i="32"/>
  <c r="U1531" i="32" l="1"/>
  <c r="G1529" i="32"/>
  <c r="A1529" i="32"/>
  <c r="U1533" i="32" l="1"/>
  <c r="G1531" i="32"/>
  <c r="A1531" i="32"/>
  <c r="U1535" i="32" l="1"/>
  <c r="G1533" i="32"/>
  <c r="A1533" i="32"/>
  <c r="U1537" i="32" l="1"/>
  <c r="G1535" i="32"/>
  <c r="A1535" i="32"/>
  <c r="U1539" i="32" l="1"/>
  <c r="A1537" i="32"/>
  <c r="G1537" i="32"/>
  <c r="U1541" i="32" l="1"/>
  <c r="A1539" i="32"/>
  <c r="G1539" i="32"/>
  <c r="U1543" i="32" l="1"/>
  <c r="A1541" i="32"/>
  <c r="G1541" i="32"/>
  <c r="U1545" i="32" l="1"/>
  <c r="A1543" i="32"/>
  <c r="G1543" i="32"/>
  <c r="U1547" i="32" l="1"/>
  <c r="G1545" i="32"/>
  <c r="A1545" i="32"/>
  <c r="U1549" i="32" l="1"/>
  <c r="A1547" i="32"/>
  <c r="G1547" i="32"/>
  <c r="U1551" i="32" l="1"/>
  <c r="A1549" i="32"/>
  <c r="G1549" i="32"/>
  <c r="U1553" i="32" l="1"/>
  <c r="A1551" i="32"/>
  <c r="G1551" i="32"/>
  <c r="U1555" i="32" l="1"/>
  <c r="G1553" i="32"/>
  <c r="A1553" i="32"/>
  <c r="U1557" i="32" l="1"/>
  <c r="A1555" i="32"/>
  <c r="G1555" i="32"/>
  <c r="U1559" i="32" l="1"/>
  <c r="G1557" i="32"/>
  <c r="A1557" i="32"/>
  <c r="U1561" i="32" l="1"/>
  <c r="G1559" i="32"/>
  <c r="A1559" i="32"/>
  <c r="U1563" i="32" l="1"/>
  <c r="G1561" i="32"/>
  <c r="A1561" i="32"/>
  <c r="U1565" i="32" l="1"/>
  <c r="G1563" i="32"/>
  <c r="A1563" i="32"/>
  <c r="U1567" i="32" l="1"/>
  <c r="G1565" i="32"/>
  <c r="A1565" i="32"/>
  <c r="U1569" i="32" l="1"/>
  <c r="A1567" i="32"/>
  <c r="G1567" i="32"/>
  <c r="U1571" i="32" l="1"/>
  <c r="A1569" i="32"/>
  <c r="G1569" i="32"/>
  <c r="U1573" i="32" l="1"/>
  <c r="A1571" i="32"/>
  <c r="G1571" i="32"/>
  <c r="U1575" i="32" l="1"/>
  <c r="A1573" i="32"/>
  <c r="G1573" i="32"/>
  <c r="U1577" i="32" l="1"/>
  <c r="A1575" i="32"/>
  <c r="G1575" i="32"/>
  <c r="U1579" i="32" l="1"/>
  <c r="G1577" i="32"/>
  <c r="A1577" i="32"/>
  <c r="U1581" i="32" l="1"/>
  <c r="G1579" i="32"/>
  <c r="A1579" i="32"/>
  <c r="U1583" i="32" l="1"/>
  <c r="A1581" i="32"/>
  <c r="G1581" i="32"/>
  <c r="U1585" i="32" l="1"/>
  <c r="A1583" i="32"/>
  <c r="G1583" i="32"/>
  <c r="U1587" i="32" l="1"/>
  <c r="G1585" i="32"/>
  <c r="A1585" i="32"/>
  <c r="U1589" i="32" l="1"/>
  <c r="G1587" i="32"/>
  <c r="A1587" i="32"/>
  <c r="U1591" i="32" l="1"/>
  <c r="G1589" i="32"/>
  <c r="A1589" i="32"/>
  <c r="U1593" i="32" l="1"/>
  <c r="G1591" i="32"/>
  <c r="A1591" i="32"/>
  <c r="U1595" i="32" l="1"/>
  <c r="G1593" i="32"/>
  <c r="A1593" i="32"/>
  <c r="U1597" i="32" l="1"/>
  <c r="G1595" i="32"/>
  <c r="A1595" i="32"/>
  <c r="U1599" i="32" l="1"/>
  <c r="A1597" i="32"/>
  <c r="G1597" i="32"/>
  <c r="U1601" i="32" l="1"/>
  <c r="G1599" i="32"/>
  <c r="A1599" i="32"/>
  <c r="U1603" i="32" l="1"/>
  <c r="A1601" i="32"/>
  <c r="G1601" i="32"/>
  <c r="U1605" i="32" l="1"/>
  <c r="G1603" i="32"/>
  <c r="A1603" i="32"/>
  <c r="U1607" i="32" l="1"/>
  <c r="G1605" i="32"/>
  <c r="A1605" i="32"/>
  <c r="U1609" i="32" l="1"/>
  <c r="A1607" i="32"/>
  <c r="G1607" i="32"/>
  <c r="U1611" i="32" l="1"/>
  <c r="A1609" i="32"/>
  <c r="G1609" i="32"/>
  <c r="U1613" i="32" l="1"/>
  <c r="A1611" i="32"/>
  <c r="G1611" i="32"/>
  <c r="U1615" i="32" l="1"/>
  <c r="A1613" i="32"/>
  <c r="G1613" i="32"/>
  <c r="U1617" i="32" l="1"/>
  <c r="A1615" i="32"/>
  <c r="G1615" i="32"/>
  <c r="U1619" i="32" l="1"/>
  <c r="A1617" i="32"/>
  <c r="G1617" i="32"/>
  <c r="U1621" i="32" l="1"/>
  <c r="G1619" i="32"/>
  <c r="A1619" i="32"/>
  <c r="U1623" i="32" l="1"/>
  <c r="G1621" i="32"/>
  <c r="A1621" i="32"/>
  <c r="U1625" i="32" l="1"/>
  <c r="A1623" i="32"/>
  <c r="G1623" i="32"/>
  <c r="U1627" i="32" l="1"/>
  <c r="G1625" i="32"/>
  <c r="A1625" i="32"/>
  <c r="U1629" i="32" l="1"/>
  <c r="G1627" i="32"/>
  <c r="A1627" i="32"/>
  <c r="U1631" i="32" l="1"/>
  <c r="A1629" i="32"/>
  <c r="G1629" i="32"/>
  <c r="U1633" i="32" l="1"/>
  <c r="A1631" i="32"/>
  <c r="G1631" i="32"/>
  <c r="U1635" i="32" l="1"/>
  <c r="A1633" i="32"/>
  <c r="G1633" i="32"/>
  <c r="U1637" i="32" l="1"/>
  <c r="A1635" i="32"/>
  <c r="G1635" i="32"/>
  <c r="U1639" i="32" l="1"/>
  <c r="A1637" i="32"/>
  <c r="G1637" i="32"/>
  <c r="U1641" i="32" l="1"/>
  <c r="G1639" i="32"/>
  <c r="A1639" i="32"/>
  <c r="U1643" i="32" l="1"/>
  <c r="A1641" i="32"/>
  <c r="G1641" i="32"/>
  <c r="U1645" i="32" l="1"/>
  <c r="G1643" i="32"/>
  <c r="A1643" i="32"/>
  <c r="U1647" i="32" l="1"/>
  <c r="G1645" i="32"/>
  <c r="A1645" i="32"/>
  <c r="U1649" i="32" l="1"/>
  <c r="A1647" i="32"/>
  <c r="G1647" i="32"/>
  <c r="U1651" i="32" l="1"/>
  <c r="A1649" i="32"/>
  <c r="G1649" i="32"/>
  <c r="U1653" i="32" l="1"/>
  <c r="A1651" i="32"/>
  <c r="G1651" i="32"/>
  <c r="U1655" i="32" l="1"/>
  <c r="A1653" i="32"/>
  <c r="G1653" i="32"/>
  <c r="U1657" i="32" l="1"/>
  <c r="G1655" i="32"/>
  <c r="A1655" i="32"/>
  <c r="U1659" i="32" l="1"/>
  <c r="G1657" i="32"/>
  <c r="A1657" i="32"/>
  <c r="U1661" i="32" l="1"/>
  <c r="A1659" i="32"/>
  <c r="G1659" i="32"/>
  <c r="U1663" i="32" l="1"/>
  <c r="G1661" i="32"/>
  <c r="A1661" i="32"/>
  <c r="U1665" i="32" l="1"/>
  <c r="A1663" i="32"/>
  <c r="G1663" i="32"/>
  <c r="U1667" i="32" l="1"/>
  <c r="A1665" i="32"/>
  <c r="G1665" i="32"/>
  <c r="U1669" i="32" l="1"/>
  <c r="A1667" i="32"/>
  <c r="G1667" i="32"/>
  <c r="U1671" i="32" l="1"/>
  <c r="G1669" i="32"/>
  <c r="A1669" i="32"/>
  <c r="U1673" i="32" l="1"/>
  <c r="G1671" i="32"/>
  <c r="A1671" i="32"/>
  <c r="U1675" i="32" l="1"/>
  <c r="G1673" i="32"/>
  <c r="A1673" i="32"/>
  <c r="U1677" i="32" l="1"/>
  <c r="A1675" i="32"/>
  <c r="G1675" i="32"/>
  <c r="U1679" i="32" l="1"/>
  <c r="A1677" i="32"/>
  <c r="G1677" i="32"/>
  <c r="U1681" i="32" l="1"/>
  <c r="A1679" i="32"/>
  <c r="G1679" i="32"/>
  <c r="U1683" i="32" l="1"/>
  <c r="G1681" i="32"/>
  <c r="A1681" i="32"/>
  <c r="U1685" i="32" l="1"/>
  <c r="G1683" i="32"/>
  <c r="A1683" i="32"/>
  <c r="U1687" i="32" l="1"/>
  <c r="A1685" i="32"/>
  <c r="G1685" i="32"/>
  <c r="U1689" i="32" l="1"/>
  <c r="G1687" i="32"/>
  <c r="A1687" i="32"/>
  <c r="U1691" i="32" l="1"/>
  <c r="G1689" i="32"/>
  <c r="A1689" i="32"/>
  <c r="U1693" i="32" l="1"/>
  <c r="G1691" i="32"/>
  <c r="A1691" i="32"/>
  <c r="U1695" i="32" l="1"/>
  <c r="A1693" i="32"/>
  <c r="G1693" i="32"/>
  <c r="U1697" i="32" l="1"/>
  <c r="G1695" i="32"/>
  <c r="A1695" i="32"/>
  <c r="U1699" i="32" l="1"/>
  <c r="G1697" i="32"/>
  <c r="A1697" i="32"/>
  <c r="U1701" i="32" l="1"/>
  <c r="A1699" i="32"/>
  <c r="G1699" i="32"/>
  <c r="U1703" i="32" l="1"/>
  <c r="A1701" i="32"/>
  <c r="G1701" i="32"/>
  <c r="U1705" i="32" l="1"/>
  <c r="A1703" i="32"/>
  <c r="G1703" i="32"/>
  <c r="U1707" i="32" l="1"/>
  <c r="A1705" i="32"/>
  <c r="G1705" i="32"/>
  <c r="U1709" i="32" l="1"/>
  <c r="A1707" i="32"/>
  <c r="G1707" i="32"/>
  <c r="U1711" i="32" l="1"/>
  <c r="G1709" i="32"/>
  <c r="A1709" i="32"/>
  <c r="U1713" i="32" l="1"/>
  <c r="G1711" i="32"/>
  <c r="A1711" i="32"/>
  <c r="U1715" i="32" l="1"/>
  <c r="A1713" i="32"/>
  <c r="G1713" i="32"/>
  <c r="U1717" i="32" l="1"/>
  <c r="A1715" i="32"/>
  <c r="G1715" i="32"/>
  <c r="U1719" i="32" l="1"/>
  <c r="A1717" i="32"/>
  <c r="G1717" i="32"/>
  <c r="U1721" i="32" l="1"/>
  <c r="G1719" i="32"/>
  <c r="A1719" i="32"/>
  <c r="U1723" i="32" l="1"/>
  <c r="G1721" i="32"/>
  <c r="A1721" i="32"/>
  <c r="U1725" i="32" l="1"/>
  <c r="A1723" i="32"/>
  <c r="G1723" i="32"/>
  <c r="U1727" i="32" l="1"/>
  <c r="A1725" i="32"/>
  <c r="G1725" i="32"/>
  <c r="U1729" i="32" l="1"/>
  <c r="A1727" i="32"/>
  <c r="G1727" i="32"/>
  <c r="U1731" i="32" l="1"/>
  <c r="G1729" i="32"/>
  <c r="A1729" i="32"/>
  <c r="U1733" i="32" l="1"/>
  <c r="G1731" i="32"/>
  <c r="A1731" i="32"/>
  <c r="U1735" i="32" l="1"/>
  <c r="A1733" i="32"/>
  <c r="G1733" i="32"/>
  <c r="U1737" i="32" l="1"/>
  <c r="A1735" i="32"/>
  <c r="G1735" i="32"/>
  <c r="U1739" i="32" l="1"/>
  <c r="G1737" i="32"/>
  <c r="A1737" i="32"/>
  <c r="U1741" i="32" l="1"/>
  <c r="A1739" i="32"/>
  <c r="G1739" i="32"/>
  <c r="U1743" i="32" l="1"/>
  <c r="G1741" i="32"/>
  <c r="A1741" i="32"/>
  <c r="U1745" i="32" l="1"/>
  <c r="G1743" i="32"/>
  <c r="A1743" i="32"/>
  <c r="U1747" i="32" l="1"/>
  <c r="A1745" i="32"/>
  <c r="G1745" i="32"/>
  <c r="U1749" i="32" l="1"/>
  <c r="G1747" i="32"/>
  <c r="A1747" i="32"/>
  <c r="U1751" i="32" l="1"/>
  <c r="G1749" i="32"/>
  <c r="A1749" i="32"/>
  <c r="U1753" i="32" l="1"/>
  <c r="A1751" i="32"/>
  <c r="G1751" i="32"/>
  <c r="U1755" i="32" l="1"/>
  <c r="G1753" i="32"/>
  <c r="A1753" i="32"/>
  <c r="U1757" i="32" l="1"/>
  <c r="G1755" i="32"/>
  <c r="A1755" i="32"/>
  <c r="U1759" i="32" l="1"/>
  <c r="A1757" i="32"/>
  <c r="G1757" i="32"/>
  <c r="U1761" i="32" l="1"/>
  <c r="G1759" i="32"/>
  <c r="A1759" i="32"/>
  <c r="U1763" i="32" l="1"/>
  <c r="A1761" i="32"/>
  <c r="G1761" i="32"/>
  <c r="U1765" i="32" l="1"/>
  <c r="A1763" i="32"/>
  <c r="G1763" i="32"/>
  <c r="U1767" i="32" l="1"/>
  <c r="G1765" i="32"/>
  <c r="A1765" i="32"/>
  <c r="U1769" i="32" l="1"/>
  <c r="G1767" i="32"/>
  <c r="A1767" i="32"/>
  <c r="U1771" i="32" l="1"/>
  <c r="A1769" i="32"/>
  <c r="G1769" i="32"/>
  <c r="U1773" i="32" l="1"/>
  <c r="G1771" i="32"/>
  <c r="A1771" i="32"/>
  <c r="U1775" i="32" l="1"/>
  <c r="G1773" i="32"/>
  <c r="A1773" i="32"/>
  <c r="U1777" i="32" l="1"/>
  <c r="G1775" i="32"/>
  <c r="A1775" i="32"/>
  <c r="U1779" i="32" l="1"/>
  <c r="A1777" i="32"/>
  <c r="G1777" i="32"/>
  <c r="U1781" i="32" l="1"/>
  <c r="G1779" i="32"/>
  <c r="A1779" i="32"/>
  <c r="U1783" i="32" l="1"/>
  <c r="G1781" i="32"/>
  <c r="A1781" i="32"/>
  <c r="U1785" i="32" l="1"/>
  <c r="A1783" i="32"/>
  <c r="G1783" i="32"/>
  <c r="U1787" i="32" l="1"/>
  <c r="G1785" i="32"/>
  <c r="A1785" i="32"/>
  <c r="U1789" i="32" l="1"/>
  <c r="G1787" i="32"/>
  <c r="A1787" i="32"/>
  <c r="U1791" i="32" l="1"/>
  <c r="A1789" i="32"/>
  <c r="G1789" i="32"/>
  <c r="U1793" i="32" l="1"/>
  <c r="A1791" i="32"/>
  <c r="G1791" i="32"/>
  <c r="U1795" i="32" l="1"/>
  <c r="A1793" i="32"/>
  <c r="G1793" i="32"/>
  <c r="U1797" i="32" l="1"/>
  <c r="G1795" i="32"/>
  <c r="A1795" i="32"/>
  <c r="U1799" i="32" l="1"/>
  <c r="G1797" i="32"/>
  <c r="A1797" i="32"/>
  <c r="U1801" i="32" l="1"/>
  <c r="A1799" i="32"/>
  <c r="G1799" i="32"/>
  <c r="U1803" i="32" l="1"/>
  <c r="G1801" i="32"/>
  <c r="A1801" i="32"/>
  <c r="U1805" i="32" l="1"/>
  <c r="G1803" i="32"/>
  <c r="A1803" i="32"/>
  <c r="U1807" i="32" l="1"/>
  <c r="G1805" i="32"/>
  <c r="A1805" i="32"/>
  <c r="U1809" i="32" l="1"/>
  <c r="G1807" i="32"/>
  <c r="A1807" i="32"/>
  <c r="U1811" i="32" l="1"/>
  <c r="G1809" i="32"/>
  <c r="A1809" i="32"/>
  <c r="U1813" i="32" l="1"/>
  <c r="A1811" i="32"/>
  <c r="G1811" i="32"/>
  <c r="U1815" i="32" l="1"/>
  <c r="G1813" i="32"/>
  <c r="A1813" i="32"/>
  <c r="U1817" i="32" l="1"/>
  <c r="G1815" i="32"/>
  <c r="A1815" i="32"/>
  <c r="U1819" i="32" l="1"/>
  <c r="A1817" i="32"/>
  <c r="G1819" i="32"/>
  <c r="G1817" i="32"/>
  <c r="A1819" i="32"/>
  <c r="J2085" i="27" l="1"/>
  <c r="J2077" i="27"/>
  <c r="J2093" i="27"/>
  <c r="J2152" i="27"/>
  <c r="J2066" i="27"/>
  <c r="J2137" i="27"/>
  <c r="J2091" i="27"/>
  <c r="J2112" i="27"/>
  <c r="J2073" i="27"/>
  <c r="J2199" i="27"/>
  <c r="J2147" i="27"/>
  <c r="J2169" i="27"/>
  <c r="J2131" i="27"/>
  <c r="J2071" i="27"/>
  <c r="J2118" i="27"/>
  <c r="J2161" i="27"/>
  <c r="J2176" i="27"/>
  <c r="J2053" i="27"/>
  <c r="J2184" i="27"/>
  <c r="J2124" i="27"/>
  <c r="J2120" i="27"/>
  <c r="J2103" i="27"/>
  <c r="J2163" i="27"/>
  <c r="J2059" i="27"/>
  <c r="J2139" i="27"/>
  <c r="J2074" i="27"/>
  <c r="J2096" i="27"/>
  <c r="J2153" i="27"/>
  <c r="J2186" i="27"/>
  <c r="J2099" i="27"/>
  <c r="J2135" i="27"/>
  <c r="J2132" i="27"/>
  <c r="J2115" i="27"/>
  <c r="J2063" i="27"/>
  <c r="J2068" i="27"/>
  <c r="J2097" i="27"/>
  <c r="J2095" i="27"/>
  <c r="J2122" i="27"/>
  <c r="J1419" i="27"/>
  <c r="J2047" i="27"/>
  <c r="J2072" i="27"/>
  <c r="J2061" i="27"/>
  <c r="J2054" i="27"/>
  <c r="J2149" i="27"/>
  <c r="J2196" i="27"/>
  <c r="J2181" i="27"/>
  <c r="J2130" i="27"/>
  <c r="J2146" i="27"/>
  <c r="J2090" i="27"/>
  <c r="J2062" i="27"/>
  <c r="J2049" i="27"/>
  <c r="J2185" i="27"/>
  <c r="J2141" i="27"/>
  <c r="J2172" i="27"/>
  <c r="J2178" i="27"/>
  <c r="J2138" i="27"/>
  <c r="J2189" i="27"/>
  <c r="J2056" i="27"/>
  <c r="J2156" i="27"/>
  <c r="J2159" i="27"/>
  <c r="J2174" i="27"/>
  <c r="J2102" i="27"/>
  <c r="J2133" i="27"/>
  <c r="J2104" i="27"/>
  <c r="J2100" i="27"/>
  <c r="J2182" i="27"/>
  <c r="J2101" i="27"/>
  <c r="J2165" i="27"/>
  <c r="J2078" i="27"/>
  <c r="J2151" i="27"/>
  <c r="J2170" i="27"/>
  <c r="J2187" i="27"/>
  <c r="J2125" i="27"/>
  <c r="J2084" i="27"/>
  <c r="J2058" i="27"/>
  <c r="J2064" i="27"/>
  <c r="J2128" i="27"/>
  <c r="J2105" i="27"/>
  <c r="J2197" i="27"/>
  <c r="J2154" i="27"/>
  <c r="J2143" i="27"/>
  <c r="J2188" i="27"/>
  <c r="J2123" i="27"/>
  <c r="J2198" i="27"/>
  <c r="J2164" i="27"/>
  <c r="J2126" i="27"/>
  <c r="J2150" i="27"/>
  <c r="J2134" i="27"/>
  <c r="J2045" i="27"/>
  <c r="J2119" i="27"/>
  <c r="J2180" i="27"/>
  <c r="J2067" i="27"/>
  <c r="J2158" i="27"/>
  <c r="J2144" i="27"/>
  <c r="J2070" i="27"/>
  <c r="J2166" i="27"/>
  <c r="J2080" i="27"/>
  <c r="J2069" i="27"/>
  <c r="J2098" i="27"/>
  <c r="J2171" i="27"/>
  <c r="J2116" i="27"/>
  <c r="J2109" i="27"/>
  <c r="J2046" i="27"/>
  <c r="J2076" i="27"/>
  <c r="J2160" i="27"/>
  <c r="J2048" i="27"/>
  <c r="J2140" i="27"/>
  <c r="J2086" i="27"/>
  <c r="J2183" i="27"/>
  <c r="J2065" i="27"/>
  <c r="J2087" i="27"/>
  <c r="J2127" i="27"/>
  <c r="J2162" i="27"/>
  <c r="J2110" i="27"/>
  <c r="J2177" i="27"/>
  <c r="J2121" i="27"/>
  <c r="J2092" i="27"/>
  <c r="J2155" i="27"/>
  <c r="J2057" i="27"/>
  <c r="J2190" i="27"/>
  <c r="J2089" i="27"/>
  <c r="J2173" i="27"/>
  <c r="J2142" i="27"/>
  <c r="J2083" i="27"/>
  <c r="J2191" i="27"/>
  <c r="J2145" i="27"/>
  <c r="J2060" i="27"/>
  <c r="J2114" i="27"/>
  <c r="J2157" i="27"/>
  <c r="J2108" i="27"/>
  <c r="J2129" i="27"/>
  <c r="J2050" i="27"/>
  <c r="J2107" i="27"/>
  <c r="J2081" i="27"/>
  <c r="J2194" i="27"/>
  <c r="J2113" i="27"/>
  <c r="J2088" i="27"/>
  <c r="J2167" i="27"/>
  <c r="J2075" i="27"/>
  <c r="J2192" i="27"/>
  <c r="J2055" i="27"/>
  <c r="J2051" i="27"/>
  <c r="J2117" i="27"/>
  <c r="J2106" i="27"/>
  <c r="J2136" i="27"/>
  <c r="J2193" i="27"/>
  <c r="J2094" i="27"/>
  <c r="J2079" i="27"/>
  <c r="J2148" i="27"/>
  <c r="J2168" i="27"/>
  <c r="J2082" i="27"/>
  <c r="J2052" i="27"/>
  <c r="J2179" i="27"/>
  <c r="J2111" i="27"/>
  <c r="J2195" i="27"/>
  <c r="J2175" i="27"/>
  <c r="H2140" i="27"/>
  <c r="H2099" i="27"/>
  <c r="H2050" i="27"/>
  <c r="H2093" i="27"/>
  <c r="H2084" i="27"/>
  <c r="H2056" i="27"/>
  <c r="H2076" i="27"/>
  <c r="H2028" i="27"/>
  <c r="H2097" i="27"/>
  <c r="H2057" i="27"/>
  <c r="H2113" i="27"/>
  <c r="H2123" i="27"/>
  <c r="H2085" i="27"/>
  <c r="H2064" i="27"/>
  <c r="H2153" i="27"/>
  <c r="H2160" i="27"/>
  <c r="H2149" i="27"/>
  <c r="H2088" i="27"/>
  <c r="H2074" i="27"/>
  <c r="H2146" i="27"/>
  <c r="H2103" i="27"/>
  <c r="H2033" i="27"/>
  <c r="H2155" i="27"/>
  <c r="H2032" i="27"/>
  <c r="H2098" i="27"/>
  <c r="H2039" i="27"/>
  <c r="H2184" i="27"/>
  <c r="H2161" i="27"/>
  <c r="H2178" i="27"/>
  <c r="H2129" i="27"/>
  <c r="H2136" i="27"/>
  <c r="H2105" i="27"/>
  <c r="H2157" i="27"/>
  <c r="H2182" i="27"/>
  <c r="H2048" i="27"/>
  <c r="H2177" i="27"/>
  <c r="H2110" i="27"/>
  <c r="H2119" i="27"/>
  <c r="H2065" i="27"/>
  <c r="H2167" i="27"/>
  <c r="H2137" i="27"/>
  <c r="H2059" i="27"/>
  <c r="H2125" i="27"/>
  <c r="H2051" i="27"/>
  <c r="H2046" i="27"/>
  <c r="H2194" i="27"/>
  <c r="H2027" i="27"/>
  <c r="H2159" i="27"/>
  <c r="H2104" i="27"/>
  <c r="H2043" i="27"/>
  <c r="H2179" i="27"/>
  <c r="H2185" i="27"/>
  <c r="H2186" i="27"/>
  <c r="H2139" i="27"/>
  <c r="H2148" i="27"/>
  <c r="H2067" i="27"/>
  <c r="H2124" i="27"/>
  <c r="H2080" i="27"/>
  <c r="H2026" i="27"/>
  <c r="H2175" i="27"/>
  <c r="H2142" i="27"/>
  <c r="H2172" i="27"/>
  <c r="H2106" i="27"/>
  <c r="H2090" i="27"/>
  <c r="H2035" i="27"/>
  <c r="H2128" i="27"/>
  <c r="H2107" i="27"/>
  <c r="H2055" i="27"/>
  <c r="H2170" i="27"/>
  <c r="H2025" i="27"/>
  <c r="H2117" i="27"/>
  <c r="H2193" i="27"/>
  <c r="H2114" i="27"/>
  <c r="H2135" i="27"/>
  <c r="H2162" i="27"/>
  <c r="H2073" i="27"/>
  <c r="H2189" i="27"/>
  <c r="H2115" i="27"/>
  <c r="H2169" i="27"/>
  <c r="H2047" i="27"/>
  <c r="H2168" i="27"/>
  <c r="H2077" i="27"/>
  <c r="H2061" i="27"/>
  <c r="H2083" i="27"/>
  <c r="H2199" i="27"/>
  <c r="H2188" i="27"/>
  <c r="H2163" i="27"/>
  <c r="H2060" i="27"/>
  <c r="H2147" i="27"/>
  <c r="H2192" i="27"/>
  <c r="H2141" i="27"/>
  <c r="H2156" i="27"/>
  <c r="H2069" i="27"/>
  <c r="H2034" i="27"/>
  <c r="H2176" i="27"/>
  <c r="H2070" i="27"/>
  <c r="H2145" i="27"/>
  <c r="H2079" i="27"/>
  <c r="H2102" i="27"/>
  <c r="H2091" i="27"/>
  <c r="H2052" i="27"/>
  <c r="H2089" i="27"/>
  <c r="H2116" i="27"/>
  <c r="H2054" i="27"/>
  <c r="H2111" i="27"/>
  <c r="H2096" i="27"/>
  <c r="H2058" i="27"/>
  <c r="H2171" i="27"/>
  <c r="H2165" i="27"/>
  <c r="H2082" i="27"/>
  <c r="H2191" i="27"/>
  <c r="H2044" i="27"/>
  <c r="H2127" i="27"/>
  <c r="H2037" i="27"/>
  <c r="H2130" i="27"/>
  <c r="H2131" i="27"/>
  <c r="H2181" i="27"/>
  <c r="H2132" i="27"/>
  <c r="H2041" i="27"/>
  <c r="H2092" i="27"/>
  <c r="H2038" i="27"/>
  <c r="H2063" i="27"/>
  <c r="H2196" i="27"/>
  <c r="H2081" i="27"/>
  <c r="H2164" i="27"/>
  <c r="H2045" i="27"/>
  <c r="H2151" i="27"/>
  <c r="H2072" i="27"/>
  <c r="H2150" i="27"/>
  <c r="H2036" i="27"/>
  <c r="H2133" i="27"/>
  <c r="H2071" i="27"/>
  <c r="H2068" i="27"/>
  <c r="H2066" i="27"/>
  <c r="H2040" i="27"/>
  <c r="H2031" i="27"/>
  <c r="H2122" i="27"/>
  <c r="H2108" i="27"/>
  <c r="H2152" i="27"/>
  <c r="H2118" i="27"/>
  <c r="H2112" i="27"/>
  <c r="H2173" i="27"/>
  <c r="H2095" i="27"/>
  <c r="H2120" i="27"/>
  <c r="H2049" i="27"/>
  <c r="H2053" i="27"/>
  <c r="H2086" i="27"/>
  <c r="H2143" i="27"/>
  <c r="H2154" i="27"/>
  <c r="H2174" i="27"/>
  <c r="H2144" i="27"/>
  <c r="H2187" i="27"/>
  <c r="H1419" i="27"/>
  <c r="H2195" i="27"/>
  <c r="H2198" i="27"/>
  <c r="H2029" i="27"/>
  <c r="H2183" i="27"/>
  <c r="H2075" i="27"/>
  <c r="H2190" i="27"/>
  <c r="H2109" i="27"/>
  <c r="H2100" i="27"/>
  <c r="H2094" i="27"/>
  <c r="H2126" i="27"/>
  <c r="H2042" i="27"/>
  <c r="H2166" i="27"/>
  <c r="H2078" i="27"/>
  <c r="H2062" i="27"/>
  <c r="H2134" i="27"/>
  <c r="H2087" i="27"/>
  <c r="H2138" i="27"/>
  <c r="H2197" i="27"/>
  <c r="H2180" i="27"/>
  <c r="H2121" i="27"/>
  <c r="H2158" i="27"/>
  <c r="H2030" i="27"/>
  <c r="H2101" i="27"/>
</calcChain>
</file>

<file path=xl/sharedStrings.xml><?xml version="1.0" encoding="utf-8"?>
<sst xmlns="http://schemas.openxmlformats.org/spreadsheetml/2006/main" count="20621" uniqueCount="8301">
  <si>
    <t>Instrucciones para completar la plantilla de marco de desempeño</t>
  </si>
  <si>
    <t>I. Introducción</t>
  </si>
  <si>
    <t>1.       Estas instrucciones proporcionan orientación sobre cómo llenar la plantilla de marco de desempeño (MD). Está destinado a todas las partes interesadas involucradas en el desarrollo y la revisión de los marcos de desempeño, tanto en el momento de la solicitud de financiación como en la etapa de preparación de la subvención. Esto incluye Mecanismos de Coordinación de País (MCP), Receptores Principales (RP), otros implementadores de subvenciones, proveedores de asistencia técnica, el Panel de Revisión Técnica, la Secretaría del Fondo Mundial y los Agentes Locales del Fondo (ALF).</t>
  </si>
  <si>
    <r>
      <rPr>
        <sz val="11"/>
        <color indexed="8"/>
        <rFont val="Calibri"/>
        <family val="2"/>
      </rPr>
      <t>2.</t>
    </r>
    <r>
      <rPr>
        <sz val="11"/>
        <color indexed="63"/>
        <rFont val="Calibri"/>
        <family val="2"/>
      </rPr>
      <t>       En la etapa de solicitud de financiamiento se debe presentar un MD y se refina aún más en la etapa de preparación de la subvención. El MD es parte del Acuerdo de Subvención entre el Fondo Mundial y el país / Receptor Principal y define los indicadores y metas a alcanzar durante el período de la subvención.</t>
    </r>
  </si>
  <si>
    <r>
      <rPr>
        <sz val="11"/>
        <rFont val="Calibri"/>
        <family val="2"/>
      </rPr>
      <t xml:space="preserve">3.       El MD incluye indicadores de impacto, resultado y cobertura, cada uno con metas asociados y un cronograma para la presentación de reportes. Cada indicador de cobertura está vinculado a un módulo específico establecido en la subvención del Fondo Mundial. La plantilla del MD proporciona una lista estandarizada de indicadores para seleccionar. Estos provienen de las guías de los socios técnicos para garantizar reportes consistentes y armonizados. Consulte el </t>
    </r>
    <r>
      <rPr>
        <u/>
        <sz val="11"/>
        <color indexed="30"/>
        <rFont val="Calibri"/>
        <family val="2"/>
      </rPr>
      <t>Manual del Marco Modular-Octubre 2019</t>
    </r>
    <r>
      <rPr>
        <sz val="11"/>
        <rFont val="Calibri"/>
        <family val="2"/>
      </rPr>
      <t xml:space="preserve">  para obtener una lista completa de los indicadores a reportar al Fondo Mundial.</t>
    </r>
  </si>
  <si>
    <t>II. Orientación general</t>
  </si>
  <si>
    <t>4.     La plantilla de Excel del MD es compatible solo con MS Excel 2010 o versiones posteriores. Es posible que algunos menús desplegables y fórmulas no funcionen en MS Excel 2007 o versiones anteriores. Por lo tanto, los solicitantes / receptores principales con versiones anteriores de MS deben actualizar a MS Excel 2010 o versiones posteriores antes de trabajar en este archivo.</t>
  </si>
  <si>
    <r>
      <rPr>
        <sz val="11"/>
        <color indexed="8"/>
        <rFont val="Calibri"/>
        <family val="2"/>
      </rPr>
      <t xml:space="preserve">5.     La plantilla de Excel incluye hojas de trabajo vinculadas y está protegida. Los usuarios no deben alterar el archivo. La manipulación del archivo provocará la pérdida de algunas funciones y no permitirá volver a importarlo en el Sistema operativo de subvenciones del Fondo Mundial. Los marcos de desempeño que estaban sujetos a manipulación (por ejemplo, cuando se vulneró la protección de contraseña, los menús desplegables se sobrescribieron copiando y pegando valores, o la estructura del formulario se modificó agregando o eliminando columnas y / o filas, etc.) </t>
    </r>
    <r>
      <rPr>
        <b/>
        <sz val="11"/>
        <color indexed="8"/>
        <rFont val="Calibri"/>
        <family val="2"/>
      </rPr>
      <t>será rechazado</t>
    </r>
    <r>
      <rPr>
        <sz val="11"/>
        <color indexed="8"/>
        <rFont val="Calibri"/>
        <family val="2"/>
      </rPr>
      <t xml:space="preserve"> y los usuarios deberán volver a enviar la información en una nueva plantilla.</t>
    </r>
  </si>
  <si>
    <t>6.     La plantilla incluye formato condicional en varias celdas, como la fecha estandarizada (por ejemplo, 01-enero-2021) y formatos de números (usando el punto "." Como decimal y coma para miles de separadores. No cambie esta convención.</t>
  </si>
  <si>
    <t>7.      La plantilla de MD está disponible en inglés, francés y español.</t>
  </si>
  <si>
    <r>
      <rPr>
        <sz val="11"/>
        <rFont val="Calibri"/>
        <family val="2"/>
      </rPr>
      <t>8.      </t>
    </r>
    <r>
      <rPr>
        <b/>
        <sz val="11"/>
        <rFont val="Calibri"/>
        <family val="2"/>
      </rPr>
      <t>En la etapa de solicitud de financiamiento</t>
    </r>
    <r>
      <rPr>
        <sz val="11"/>
        <rFont val="Calibri"/>
        <family val="2"/>
      </rPr>
      <t xml:space="preserve">: los solicitantes deben solicitar al Equipo de País una plantilla de MD. En su solicitud, los solicitantes deben especificar el (los) componente (s) que se cubrirán en su (s) solicitud (es) de financiación. Para obtener detalles sobre las presentaciones conjuntas, consulte las </t>
    </r>
    <r>
      <rPr>
        <u/>
        <sz val="11"/>
        <color indexed="30"/>
        <rFont val="Calibri"/>
        <family val="2"/>
      </rPr>
      <t>Instrucciones de solicitud de financiación</t>
    </r>
    <r>
      <rPr>
        <sz val="11"/>
        <rFont val="Calibri"/>
        <family val="2"/>
      </rPr>
      <t>. Los Equipos de País del Fondo Mundial generarán y compartirán una plantilla de MD, específica para cada solicitante. Los solicitantes utilizarán una plantilla de MD para la solicitud de financiación para todos los Receptores Principales nominados.</t>
    </r>
  </si>
  <si>
    <r>
      <rPr>
        <sz val="11"/>
        <color indexed="8"/>
        <rFont val="Calibri"/>
        <family val="2"/>
      </rPr>
      <t>9.      </t>
    </r>
    <r>
      <rPr>
        <b/>
        <sz val="11"/>
        <color indexed="8"/>
        <rFont val="Calibri"/>
        <family val="2"/>
      </rPr>
      <t>En la etapa de preparación de la subvención</t>
    </r>
    <r>
      <rPr>
        <sz val="11"/>
        <color indexed="8"/>
        <rFont val="Calibri"/>
        <family val="2"/>
      </rPr>
      <t>: después de que el Panel de Revisión Técnica (PRT) revise y recomiende la solicitud de financiación, se solicitará al (los) Receptor (es) Principal (es) designado (s) que procedan con la preparación de la subvención. En esta etapa, el Equipo de País compartirá las plantillas del MD, rellenadas previamente con los indicadores y las líneas de base de la solicitud de financiamiento revisada por el PRT, con cada Receptor (es) Principal (es) designado (s). Si se nominó a más de un Receptor Principal en la etapa de solicitud de financiamiento, el MD estará separado por implementador y disponible por cada uno de los diferentes Receptores Principales. Esto servirá como base para la negociación de los indicadores y metas durante el proceso de preparación de subvenciones.</t>
    </r>
  </si>
  <si>
    <r>
      <rPr>
        <sz val="11"/>
        <color indexed="8"/>
        <rFont val="Calibri"/>
        <family val="2"/>
      </rPr>
      <t>10.</t>
    </r>
    <r>
      <rPr>
        <sz val="7"/>
        <color indexed="8"/>
        <rFont val="Times New Roman"/>
        <family val="1"/>
      </rPr>
      <t xml:space="preserve">       </t>
    </r>
    <r>
      <rPr>
        <sz val="11"/>
        <color indexed="8"/>
        <rFont val="Calibri"/>
        <family val="2"/>
      </rPr>
      <t>Las instrucciones siguen la estructura de la plantilla de MD y se dividen en consecuencia en las siguientes secciones:</t>
    </r>
  </si>
  <si>
    <r>
      <rPr>
        <sz val="11"/>
        <color indexed="8"/>
        <rFont val="Calibri"/>
        <family val="2"/>
      </rPr>
      <t xml:space="preserve">o </t>
    </r>
    <r>
      <rPr>
        <b/>
        <sz val="11"/>
        <color indexed="8"/>
        <rFont val="Calibri"/>
        <family val="2"/>
      </rPr>
      <t xml:space="preserve">Sección A: </t>
    </r>
    <r>
      <rPr>
        <sz val="11"/>
        <color indexed="8"/>
        <rFont val="Calibri"/>
        <family val="2"/>
      </rPr>
      <t>Descripción general</t>
    </r>
  </si>
  <si>
    <r>
      <rPr>
        <sz val="11"/>
        <color indexed="8"/>
        <rFont val="Calibri"/>
        <family val="2"/>
      </rPr>
      <t xml:space="preserve">o </t>
    </r>
    <r>
      <rPr>
        <b/>
        <sz val="11"/>
        <color indexed="8"/>
        <rFont val="Calibri"/>
        <family val="2"/>
      </rPr>
      <t xml:space="preserve">Sección B: </t>
    </r>
    <r>
      <rPr>
        <sz val="11"/>
        <color indexed="8"/>
        <rFont val="Calibri"/>
        <family val="2"/>
      </rPr>
      <t>Indicadores de impacto</t>
    </r>
  </si>
  <si>
    <r>
      <rPr>
        <sz val="11"/>
        <color indexed="8"/>
        <rFont val="Calibri"/>
        <family val="2"/>
      </rPr>
      <t xml:space="preserve">o </t>
    </r>
    <r>
      <rPr>
        <b/>
        <sz val="11"/>
        <color indexed="8"/>
        <rFont val="Calibri"/>
        <family val="2"/>
      </rPr>
      <t>Sección C:</t>
    </r>
    <r>
      <rPr>
        <sz val="11"/>
        <color indexed="8"/>
        <rFont val="Calibri"/>
        <family val="2"/>
      </rPr>
      <t xml:space="preserve"> Indicadores de resultado</t>
    </r>
  </si>
  <si>
    <r>
      <rPr>
        <sz val="11"/>
        <color indexed="8"/>
        <rFont val="Calibri"/>
        <family val="2"/>
      </rPr>
      <t xml:space="preserve">o </t>
    </r>
    <r>
      <rPr>
        <b/>
        <sz val="11"/>
        <color indexed="8"/>
        <rFont val="Calibri"/>
        <family val="2"/>
      </rPr>
      <t>Sección D:</t>
    </r>
    <r>
      <rPr>
        <sz val="11"/>
        <color indexed="8"/>
        <rFont val="Calibri"/>
        <family val="2"/>
      </rPr>
      <t xml:space="preserve"> Indicadores de cobertura</t>
    </r>
  </si>
  <si>
    <r>
      <rPr>
        <sz val="11"/>
        <color indexed="8"/>
        <rFont val="Calibri"/>
        <family val="2"/>
      </rPr>
      <t xml:space="preserve">o </t>
    </r>
    <r>
      <rPr>
        <b/>
        <sz val="11"/>
        <color indexed="8"/>
        <rFont val="Calibri"/>
        <family val="2"/>
      </rPr>
      <t xml:space="preserve">Sección E: </t>
    </r>
    <r>
      <rPr>
        <sz val="11"/>
        <color indexed="8"/>
        <rFont val="Calibri"/>
        <family val="2"/>
      </rPr>
      <t>Desagregación (indicadores de impacto, resultado y cobertura)</t>
    </r>
  </si>
  <si>
    <r>
      <rPr>
        <sz val="11"/>
        <color indexed="8"/>
        <rFont val="Calibri"/>
        <family val="2"/>
      </rPr>
      <t xml:space="preserve">o </t>
    </r>
    <r>
      <rPr>
        <b/>
        <sz val="11"/>
        <color indexed="8"/>
        <rFont val="Calibri"/>
        <family val="2"/>
      </rPr>
      <t>Sección F:</t>
    </r>
    <r>
      <rPr>
        <sz val="11"/>
        <color indexed="8"/>
        <rFont val="Calibri"/>
        <family val="2"/>
      </rPr>
      <t xml:space="preserve"> Medidas de seguimiento al plan de trabajo (MSPT)</t>
    </r>
  </si>
  <si>
    <t>11.    En la pestaña de desagregación (sección E) se pueden encontrar varias filas vacías para cada indicador. Esto es para facilitar la visualización de todos los posibles valores de desagregación según el orden en que se seleccionan los indicadores en las pestañas de indicadores de impacto, resultado y cobertura. Se puede usar el menú de navegación de la página en la parte superior de la página para ir a varias secciones en esta pestaña. Se puede usar ctrl + home para volver al menú de navegación de la página.</t>
  </si>
  <si>
    <t>12.    La última pestaña del MD denominada "Vista de impresión" proporciona una descripción general de la información ingresada en cada una de las secciones para facilitar la impresión y revisión del documento.</t>
  </si>
  <si>
    <t>III. Instrucciones</t>
  </si>
  <si>
    <t>13.    Las instrucciones detalladas para completar diferentes secciones de la plantilla de MD se proporcionan a continuación:</t>
  </si>
  <si>
    <t>Descripción General -Sección A</t>
  </si>
  <si>
    <t>País / Geografía</t>
  </si>
  <si>
    <r>
      <rPr>
        <sz val="11"/>
        <color indexed="8"/>
        <rFont val="Symbol"/>
        <family val="1"/>
        <charset val="2"/>
      </rPr>
      <t>·</t>
    </r>
    <r>
      <rPr>
        <sz val="7"/>
        <color indexed="8"/>
        <rFont val="Times New Roman"/>
        <family val="1"/>
      </rPr>
      <t xml:space="preserve">     </t>
    </r>
    <r>
      <rPr>
        <sz val="11"/>
        <color indexed="8"/>
        <rFont val="Calibri"/>
        <family val="2"/>
      </rPr>
      <t>Este campo será rellenado previamente por el Fondo Mundial y enviado a cada país / solicitante.</t>
    </r>
  </si>
  <si>
    <t>Nombre de la subvención / Nombre de la solicitud de financiación</t>
  </si>
  <si>
    <r>
      <rPr>
        <sz val="11"/>
        <color indexed="8"/>
        <rFont val="Symbol"/>
        <family val="1"/>
        <charset val="2"/>
      </rPr>
      <t>·</t>
    </r>
    <r>
      <rPr>
        <sz val="7"/>
        <color indexed="8"/>
        <rFont val="Times New Roman"/>
        <family val="1"/>
      </rPr>
      <t xml:space="preserve">     </t>
    </r>
    <r>
      <rPr>
        <sz val="11"/>
        <color indexed="8"/>
        <rFont val="Calibri"/>
        <family val="2"/>
      </rPr>
      <t>Este campo estará rellenado previamente por el Fondo Mundial</t>
    </r>
  </si>
  <si>
    <t>En la etapa de solicitud de financiación</t>
  </si>
  <si>
    <r>
      <rPr>
        <sz val="11"/>
        <color indexed="8"/>
        <rFont val="Symbol"/>
        <family val="1"/>
        <charset val="2"/>
      </rPr>
      <t>·</t>
    </r>
    <r>
      <rPr>
        <sz val="7"/>
        <color indexed="8"/>
        <rFont val="Times New Roman"/>
        <family val="1"/>
      </rPr>
      <t xml:space="preserve">     </t>
    </r>
    <r>
      <rPr>
        <sz val="11"/>
        <color indexed="8"/>
        <rFont val="Calibri"/>
        <family val="2"/>
      </rPr>
      <t>Antes de poner a disposición del solicitante la plantilla del MD, el Fondo Mundial completará previamente el nombre de la solicitud de financiamiento.</t>
    </r>
  </si>
  <si>
    <t>En la etapa de preparación de subvenciones</t>
  </si>
  <si>
    <t>•   Este campo se refiere al nombre de la subvención. Se genera utilizando el nombre del país o el solicitante multipaís, el componente de la enfermedad y el Receptor Principal seleccionado.</t>
  </si>
  <si>
    <t>Fecha de inicio del período de implementación</t>
  </si>
  <si>
    <t>•   Este campo se refiere a la fecha de inicio del Período de implementación, que generalmente seguirá a la fecha de finalización del Período de implementación anterior (incluido el período de extensión según corresponda). Si el solicitante no tiene subvenciones existentes del Fondo Mundial, la Fecha de inicio del período de implementación será la fecha de inicio del programa según lo pida el solicitante.</t>
  </si>
  <si>
    <t>•   La fecha estará rellenada previamente en la plantilla de MD. En caso de que sea necesario cambiar la fecha, los solicitantes / Receptores principales pueden hacer esto directamente en la plantilla después de reportar al Equipo de País.</t>
  </si>
  <si>
    <t>•   El inicio del Período de implementación siempre debe ser el primer día del mes.</t>
  </si>
  <si>
    <r>
      <rPr>
        <sz val="11"/>
        <color indexed="8"/>
        <rFont val="Symbol"/>
        <family val="1"/>
        <charset val="2"/>
      </rPr>
      <t>·</t>
    </r>
    <r>
      <rPr>
        <sz val="7"/>
        <color indexed="8"/>
        <rFont val="Times New Roman"/>
        <family val="1"/>
      </rPr>
      <t xml:space="preserve">     </t>
    </r>
    <r>
      <rPr>
        <sz val="11"/>
        <color indexed="8"/>
        <rFont val="Calibri"/>
        <family val="2"/>
      </rPr>
      <t>Esta fecha debe ser coherente en todos los documentos requeridos durante las etapas de Solicitud de financiación y Preparación de subvenciones (por ejemplo, Presupuesto y Lista de productos de salud).</t>
    </r>
  </si>
  <si>
    <t>Fecha de finalización del período de implementación</t>
  </si>
  <si>
    <r>
      <rPr>
        <sz val="11"/>
        <color indexed="8"/>
        <rFont val="Symbol"/>
        <family val="1"/>
        <charset val="2"/>
      </rPr>
      <t>·</t>
    </r>
    <r>
      <rPr>
        <sz val="7"/>
        <color indexed="8"/>
        <rFont val="Times New Roman"/>
        <family val="1"/>
      </rPr>
      <t xml:space="preserve">     </t>
    </r>
    <r>
      <rPr>
        <sz val="11"/>
        <color indexed="8"/>
        <rFont val="Calibri"/>
        <family val="2"/>
      </rPr>
      <t>Este campo se refiere a la fecha de finalización propuesta del Período de implementación.</t>
    </r>
  </si>
  <si>
    <t>•   Esto sería tres años después de la Fecha de inicio del Período de implementación, excepto cuando el Fondo Mundial haya acordado una subvención para tener un Período de implementación de menos de tres años.</t>
  </si>
  <si>
    <r>
      <rPr>
        <sz val="11"/>
        <color indexed="8"/>
        <rFont val="Symbol"/>
        <family val="1"/>
        <charset val="2"/>
      </rPr>
      <t>·</t>
    </r>
    <r>
      <rPr>
        <sz val="7"/>
        <color indexed="8"/>
        <rFont val="Times New Roman"/>
        <family val="1"/>
      </rPr>
      <t xml:space="preserve">     </t>
    </r>
    <r>
      <rPr>
        <sz val="11"/>
        <color indexed="8"/>
        <rFont val="Calibri"/>
        <family val="2"/>
      </rPr>
      <t>La fecha estará rellenada previamente en la plantilla de MD. En caso de que sea necesario cambiar la fecha, los solicitantes / Receptores principales pueden hacer esto directamente en la plantilla.</t>
    </r>
  </si>
  <si>
    <r>
      <rPr>
        <sz val="11"/>
        <color indexed="8"/>
        <rFont val="Symbol"/>
        <family val="1"/>
        <charset val="2"/>
      </rPr>
      <t>·</t>
    </r>
    <r>
      <rPr>
        <sz val="7"/>
        <color indexed="8"/>
        <rFont val="Times New Roman"/>
        <family val="1"/>
      </rPr>
      <t xml:space="preserve">     </t>
    </r>
    <r>
      <rPr>
        <sz val="11"/>
        <color indexed="8"/>
        <rFont val="Calibri"/>
        <family val="2"/>
      </rPr>
      <t>El final del Período de implementación siempre debe ser el último día del mes.</t>
    </r>
  </si>
  <si>
    <r>
      <rPr>
        <sz val="11"/>
        <color indexed="8"/>
        <rFont val="Symbol"/>
        <family val="1"/>
        <charset val="2"/>
      </rPr>
      <t>·</t>
    </r>
    <r>
      <rPr>
        <sz val="7"/>
        <color indexed="8"/>
        <rFont val="Times New Roman"/>
        <family val="1"/>
      </rPr>
      <t xml:space="preserve">     </t>
    </r>
    <r>
      <rPr>
        <sz val="11"/>
        <color indexed="8"/>
        <rFont val="Calibri"/>
        <family val="2"/>
      </rPr>
      <t>Esta fecha debe ser coherente en todos los documentos requeridos en las etapas de Solicitud de financiación y Preparación de subvenciones (por ejemplo, presupuesto y lista de productos de salud).</t>
    </r>
  </si>
  <si>
    <t>Frecuencia de reporte</t>
  </si>
  <si>
    <r>
      <rPr>
        <sz val="11"/>
        <color indexed="8"/>
        <rFont val="Symbol"/>
        <family val="1"/>
        <charset val="2"/>
      </rPr>
      <t>·</t>
    </r>
    <r>
      <rPr>
        <sz val="7"/>
        <color indexed="8"/>
        <rFont val="Times New Roman"/>
        <family val="1"/>
      </rPr>
      <t xml:space="preserve">     </t>
    </r>
    <r>
      <rPr>
        <sz val="11"/>
        <color indexed="8"/>
        <rFont val="Calibri"/>
        <family val="2"/>
      </rPr>
      <t>Este campo se refiere a la frecuencia con la que los resultados se reportarán al Fondo Mundial durante la implementación de la subvención. En consecuencia, en el MD se define si las metas serán semestrales o anuales.</t>
    </r>
  </si>
  <si>
    <r>
      <rPr>
        <sz val="11"/>
        <color indexed="8"/>
        <rFont val="Symbol"/>
        <family val="1"/>
        <charset val="2"/>
      </rPr>
      <t>·</t>
    </r>
    <r>
      <rPr>
        <sz val="7"/>
        <color indexed="8"/>
        <rFont val="Times New Roman"/>
        <family val="1"/>
      </rPr>
      <t xml:space="preserve">     </t>
    </r>
    <r>
      <rPr>
        <sz val="11"/>
        <color indexed="8"/>
        <rFont val="Calibri"/>
        <family val="2"/>
      </rPr>
      <t>La frecuencia de reportes se establece en 12 meses para todas las solicitudes de financiación de forma predeterminada. Los solicitantes deben proporcionar metas anuales. Si los solicitantes tienen la intención de incluir metas semestrales, es posible hacerlo seleccionando "6" en el menú desplegable.</t>
    </r>
  </si>
  <si>
    <t xml:space="preserve">•   Seleccione "6" o "12" según la categoría del país en el marco de diferenciación del Fondo Mundial.
             - Carteras clasificadas como “inversión focalizada” deben reportar anualmente.
             - Se espera que las carteras clasificadas como "Inversión esencial" o "de alto impacto" reporten semestralmente.
</t>
  </si>
  <si>
    <t>Fecha de inicio del período de utilización de la asignación</t>
  </si>
  <si>
    <t>• Es el período durante el cual la asignación de país por componente de enfermedad puede utilizarse para implementar programas. Comienza el día posterior a la fecha de finalización del Período de utilización de la asignación anterior.</t>
  </si>
  <si>
    <t>• La fecha de inicio del Período de utilización de la asignación por componente de enfermedad se documenta en la Carta de asignación.</t>
  </si>
  <si>
    <t>Fecha de finalización del período de utilización de la asignación</t>
  </si>
  <si>
    <t>• Esta fecha se refiere a la fecha de finalización del Período de utilización de la asignación indicada en la Carta de asignación.</t>
  </si>
  <si>
    <t>• Son tres años a partir de la fecha de inicio del Período de utilización de la asignación.</t>
  </si>
  <si>
    <t xml:space="preserve">Navegación de la página </t>
  </si>
  <si>
    <r>
      <rPr>
        <sz val="11"/>
        <color indexed="8"/>
        <rFont val="Symbol"/>
        <family val="1"/>
        <charset val="2"/>
      </rPr>
      <t>·</t>
    </r>
    <r>
      <rPr>
        <sz val="7"/>
        <color indexed="8"/>
        <rFont val="Times New Roman"/>
        <family val="1"/>
      </rPr>
      <t xml:space="preserve">     </t>
    </r>
    <r>
      <rPr>
        <sz val="11"/>
        <color indexed="8"/>
        <rFont val="Calibri"/>
        <family val="2"/>
      </rPr>
      <t>Proporciona enlaces para facilitar la navegación dentro de cada página y a la página de instrucciones</t>
    </r>
  </si>
  <si>
    <t>Nombre del componente</t>
  </si>
  <si>
    <r>
      <rPr>
        <sz val="11"/>
        <color indexed="8"/>
        <rFont val="Symbol"/>
        <family val="1"/>
        <charset val="2"/>
      </rPr>
      <t>·</t>
    </r>
    <r>
      <rPr>
        <sz val="7"/>
        <color indexed="8"/>
        <rFont val="Times New Roman"/>
        <family val="1"/>
      </rPr>
      <t xml:space="preserve">     </t>
    </r>
    <r>
      <rPr>
        <sz val="11"/>
        <color indexed="8"/>
        <rFont val="Calibri"/>
        <family val="2"/>
      </rPr>
      <t>El nombre del componente se rellenará previamente para el solicitante / Receptor principal cuando el Equipo de país del Fondo Mundial comparta la plantilla del MD, según lo solicite el solicitante.</t>
    </r>
  </si>
  <si>
    <r>
      <rPr>
        <sz val="11"/>
        <color indexed="8"/>
        <rFont val="Symbol"/>
        <family val="1"/>
        <charset val="2"/>
      </rPr>
      <t>·</t>
    </r>
    <r>
      <rPr>
        <sz val="7"/>
        <color indexed="8"/>
        <rFont val="Times New Roman"/>
        <family val="1"/>
      </rPr>
      <t xml:space="preserve">     </t>
    </r>
    <r>
      <rPr>
        <sz val="11"/>
        <color indexed="8"/>
        <rFont val="Calibri"/>
        <family val="2"/>
      </rPr>
      <t>Al seleccionar el componente se completarán automáticamente los menús desplegables con una lista relevante de módulos, intervenciones e indicadores que sean aplicables a los componentes seleccionados.</t>
    </r>
  </si>
  <si>
    <t>Receptores Principales</t>
  </si>
  <si>
    <r>
      <rPr>
        <sz val="11"/>
        <color indexed="8"/>
        <rFont val="Symbol"/>
        <family val="1"/>
        <charset val="2"/>
      </rPr>
      <t>·</t>
    </r>
    <r>
      <rPr>
        <sz val="7"/>
        <color indexed="8"/>
        <rFont val="Times New Roman"/>
        <family val="1"/>
      </rPr>
      <t xml:space="preserve">     </t>
    </r>
    <r>
      <rPr>
        <sz val="11"/>
        <color indexed="8"/>
        <rFont val="Calibri"/>
        <family val="2"/>
      </rPr>
      <t xml:space="preserve">En la columna </t>
    </r>
    <r>
      <rPr>
        <b/>
        <sz val="11"/>
        <color indexed="8"/>
        <rFont val="Calibri"/>
        <family val="2"/>
      </rPr>
      <t>Nombre del</t>
    </r>
    <r>
      <rPr>
        <sz val="11"/>
        <color indexed="8"/>
        <rFont val="Calibri"/>
        <family val="2"/>
      </rPr>
      <t xml:space="preserve"> </t>
    </r>
    <r>
      <rPr>
        <b/>
        <sz val="11"/>
        <color indexed="8"/>
        <rFont val="Calibri"/>
        <family val="2"/>
      </rPr>
      <t>Receptor Principal</t>
    </r>
    <r>
      <rPr>
        <sz val="11"/>
        <color indexed="8"/>
        <rFont val="Calibri"/>
        <family val="2"/>
      </rPr>
      <t>, el solicitante incluirá el nombre de los implementadores.</t>
    </r>
  </si>
  <si>
    <r>
      <rPr>
        <sz val="11"/>
        <color indexed="8"/>
        <rFont val="Symbol"/>
        <family val="1"/>
        <charset val="2"/>
      </rPr>
      <t>·</t>
    </r>
    <r>
      <rPr>
        <sz val="7"/>
        <color indexed="8"/>
        <rFont val="Times New Roman"/>
        <family val="1"/>
      </rPr>
      <t xml:space="preserve">     </t>
    </r>
    <r>
      <rPr>
        <sz val="11"/>
        <color indexed="8"/>
        <rFont val="Calibri"/>
        <family val="2"/>
      </rPr>
      <t>Esto se puede hacer mediante el uso de un menú desplegable que contiene la lista de todos los implementadores que administraron previamente una subvención del Fondo Mundial.</t>
    </r>
  </si>
  <si>
    <r>
      <rPr>
        <sz val="11"/>
        <color indexed="8"/>
        <rFont val="Symbol"/>
        <family val="1"/>
        <charset val="2"/>
      </rPr>
      <t>·</t>
    </r>
    <r>
      <rPr>
        <sz val="7"/>
        <color indexed="8"/>
        <rFont val="Times New Roman"/>
        <family val="1"/>
      </rPr>
      <t xml:space="preserve">     </t>
    </r>
    <r>
      <rPr>
        <sz val="11"/>
        <color indexed="8"/>
        <rFont val="Calibri"/>
        <family val="2"/>
      </rPr>
      <t>Si el implementador seleccionado es nuevo y no ha administrado previamente subvenciones del Fondo Mundial, el usuario puede escribir manualmente su nombre, en una nueva fila, en la columna</t>
    </r>
    <r>
      <rPr>
        <b/>
        <sz val="11"/>
        <color indexed="8"/>
        <rFont val="Calibri"/>
        <family val="2"/>
      </rPr>
      <t xml:space="preserve"> Nuevo nombre del Receptor principal.</t>
    </r>
  </si>
  <si>
    <t>Períodos de reporte</t>
  </si>
  <si>
    <r>
      <rPr>
        <sz val="11"/>
        <color indexed="8"/>
        <rFont val="Symbol"/>
        <family val="1"/>
        <charset val="2"/>
      </rPr>
      <t>·</t>
    </r>
    <r>
      <rPr>
        <sz val="7"/>
        <color indexed="8"/>
        <rFont val="Times New Roman"/>
        <family val="1"/>
      </rPr>
      <t xml:space="preserve">     </t>
    </r>
    <r>
      <rPr>
        <sz val="11"/>
        <color indexed="8"/>
        <rFont val="Calibri"/>
        <family val="2"/>
      </rPr>
      <t>Los períodos de reporte se rellenarán de forma predeterminada, en función de las fechas de inicio y finalización del Período de implementación anual y la frecuencia de reportes seleccionada.</t>
    </r>
  </si>
  <si>
    <r>
      <rPr>
        <sz val="11"/>
        <color indexed="8"/>
        <rFont val="Symbol"/>
        <family val="1"/>
        <charset val="2"/>
      </rPr>
      <t>·</t>
    </r>
    <r>
      <rPr>
        <sz val="7"/>
        <color indexed="8"/>
        <rFont val="Times New Roman"/>
        <family val="1"/>
      </rPr>
      <t xml:space="preserve">     </t>
    </r>
    <r>
      <rPr>
        <sz val="11"/>
        <color indexed="8"/>
        <rFont val="Calibri"/>
        <family val="2"/>
      </rPr>
      <t>Estos períodos de reporte de progreso deben estar alineados con el ciclo de reporte nacional y no necesariamente estar vinculados al año calendario o años de implementación desde la fecha de inicio del programa. La alineación con el ciclo nacional de reportes es necesaria para garantizar la disponibilidad de resultados programáticos.</t>
    </r>
  </si>
  <si>
    <r>
      <rPr>
        <sz val="11"/>
        <color indexed="8"/>
        <rFont val="Symbol"/>
        <family val="1"/>
        <charset val="2"/>
      </rPr>
      <t>·</t>
    </r>
    <r>
      <rPr>
        <sz val="7"/>
        <color indexed="8"/>
        <rFont val="Times New Roman"/>
        <family val="1"/>
      </rPr>
      <t xml:space="preserve">     </t>
    </r>
    <r>
      <rPr>
        <sz val="11"/>
        <color indexed="8"/>
        <rFont val="Calibri"/>
        <family val="2"/>
      </rPr>
      <t>Para alinear las fechas de inicio de la subvención con los ciclos nacionales de presentación de reportes, el primer y último período de presentación de reportes de una subvención podría ser mayor o menor que 6 o 12 meses. Esto se puede hacer sobrescribiendo las fechas de inicio y finalización de los períodos de reportes. Por ejemplo, si la subvención comienza el 1 de abril y el período de reporte programático para el país es de enero a diciembre, el primer período de reporte se puede ajustar para cubrir los nueve meses restantes de ese período. Del mismo modo, las fechas de finalización del último período de reporte también deberán ajustarse. Esto ajustará la duración de los períodos de reporte en los indicadores de cobertura, sección D y Medidas de seguimiento del plan de trabajo, sección F.</t>
    </r>
  </si>
  <si>
    <r>
      <rPr>
        <sz val="11"/>
        <color indexed="8"/>
        <rFont val="Symbol"/>
        <family val="1"/>
        <charset val="2"/>
      </rPr>
      <t>·</t>
    </r>
    <r>
      <rPr>
        <sz val="7"/>
        <color indexed="8"/>
        <rFont val="Times New Roman"/>
        <family val="1"/>
      </rPr>
      <t xml:space="preserve">     </t>
    </r>
    <r>
      <rPr>
        <sz val="11"/>
        <color indexed="8"/>
        <rFont val="Calibri"/>
        <family val="2"/>
      </rPr>
      <t>El solicitante / Receptor Principal debe asegurarse de que los ciclos de reportes programáticos y financieros estén alineados. En los casos en que los ciclos de reportes programáticos en el país y los ciclos fiscales sean diferentes, debe haber un acuerdo entre CT y el solicitante / receptor principal para tener un ciclo de reportes común, es decir, alineado con el ciclo de reportes programáticos o con el ciclo fiscal.</t>
    </r>
  </si>
  <si>
    <t>Fecha de inicio del período</t>
  </si>
  <si>
    <t xml:space="preserve">    •   La fecha de inicio del primer período de reporte es la misma que la fecha de inicio de la subvención. El resto de los períodos de reporte comienzan el día siguiente a la fecha de finalización del período de reporte anterior.</t>
  </si>
  <si>
    <t>Fecha de finalización del período</t>
  </si>
  <si>
    <t xml:space="preserve">    •   La fecha de finalización del período de reporte suele ser de 6 o 12 meses después de la fecha de inicio del período de reporte, según la frecuencia de reporte acordada. La duración del período de reporte puede cambiarse para garantizar la alineación en el ciclo de reporte.</t>
  </si>
  <si>
    <t>PUDR esperado</t>
  </si>
  <si>
    <t xml:space="preserve">    •   Indique si se enviará una solicitud de desembolso con la actualización de progreso para cada uno de los períodos de reporte seleccionando "sí" o "no" en el menú desplegable.</t>
  </si>
  <si>
    <t>Día de entrega</t>
  </si>
  <si>
    <t xml:space="preserve">    •   La fecha de presentación de la Actualización de progreso (PU semestral) y la Solicitud de actualización de progreso y desembolso (PUDR anual) se completarán previamente. Para el PU, son 45 días al final del período de reporte y para el PUDR, 60 días después del final del período de reporte anual.</t>
  </si>
  <si>
    <t xml:space="preserve">    •   Los Receptores principales son responsables de agregar datos de los Sub-receptores y presentar un reporte consolidado al Fondo Mundial.</t>
  </si>
  <si>
    <t>Descripción de la meta</t>
  </si>
  <si>
    <t xml:space="preserve">    •   Incluya la meta del programa en esta sección. La meta del programa es una declaración amplia y general de un impacto deseado del programa a mediano y largo plazo y debe ser consistente con los planes estratégicos nacionales o las estrategias regionales.</t>
  </si>
  <si>
    <t xml:space="preserve">Descripción de los objetivos </t>
  </si>
  <si>
    <t xml:space="preserve">    •   Incluir los objetivos del programa en esta sección. Cada objetivo debe tener un conjunto de metas relacionadas y más específicas que permitirán que el programa logre los objetivos establecidos. Estas metas deben ser consistentes con las metas de los planes estratégicos nacionales o estrategias regionales.</t>
  </si>
  <si>
    <t xml:space="preserve">Nombre del módulo </t>
  </si>
  <si>
    <t xml:space="preserve">    •   Seleccione los módulos para los que se incluirán indicadores y MSPT en el MD, desde el menú desplegable. No está permitido agregar ningún otro módulo fuera de esta lista.
          - Solo aquellos módulos que se seleccionen en esta página aparecerán en las listas desplegables debajo de “Indicadores de cobertura- Sección D” y “MSPT- Sección F”. 
          - A menos que se seleccione un módulo en la página de resumen, los indicadores de cobertura relacionados no aparecerán en las listas desplegables en "Indicadores de cobertura - Sección D".</t>
  </si>
  <si>
    <t xml:space="preserve">    •   En caso de que la solicitud de financiamiento incluya más de un componente, el menú desplegable mostrará todos los módulos relacionados con estos componentes, así como todos los módulos RSSH.</t>
  </si>
  <si>
    <t xml:space="preserve">    •   Para solicitudes de financiación de componentes múltiples, se recomienda incluir módulos relacionados con cada uno de los componentes en orden, en lugar de mezclarlos. Por ejemplo, en una solicitud conjunta de financiamiento de VIH y TB, incluya primero todos los módulos relevantes de VIH, seguidos de los módulos de TB o viceversa.</t>
  </si>
  <si>
    <t xml:space="preserve">    •   El número de módulos a escoger está restringido a quince.</t>
  </si>
  <si>
    <t>Intervenciones</t>
  </si>
  <si>
    <t xml:space="preserve">    •   Si están utilizando MSPT para realizar un seguimiento del progreso de las actividades clave, incluya la lista de módulos y los nombres de intervención asociados para las actividades seleccionadas de la lista desplegable.</t>
  </si>
  <si>
    <t xml:space="preserve">Intervención personalizada
(solo si se elige la intervención "Otro")
</t>
  </si>
  <si>
    <r>
      <rPr>
        <sz val="11"/>
        <color indexed="8"/>
        <rFont val="Calibri"/>
        <family val="2"/>
      </rPr>
      <t xml:space="preserve">    •   La inclusión de intervenciones personalizadas que </t>
    </r>
    <r>
      <rPr>
        <u/>
        <sz val="11"/>
        <color indexed="8"/>
        <rFont val="Calibri"/>
        <family val="2"/>
      </rPr>
      <t>no están en la lista desplegable no está permitida para VIH, TB y RSSH</t>
    </r>
    <r>
      <rPr>
        <sz val="11"/>
        <color indexed="8"/>
        <rFont val="Calibri"/>
        <family val="2"/>
      </rPr>
      <t>. En casos excepcionales, estos pueden incluirse para la malaria.</t>
    </r>
  </si>
  <si>
    <r>
      <rPr>
        <sz val="11"/>
        <color indexed="8"/>
        <rFont val="Calibri"/>
        <family val="2"/>
      </rPr>
      <t xml:space="preserve">    •   Para la malaria, </t>
    </r>
    <r>
      <rPr>
        <u/>
        <sz val="11"/>
        <color indexed="8"/>
        <rFont val="Calibri"/>
        <family val="2"/>
      </rPr>
      <t>se puede hacer primero seleccionando "Otras intervenciones</t>
    </r>
    <r>
      <rPr>
        <sz val="11"/>
        <color indexed="8"/>
        <rFont val="Calibri"/>
        <family val="2"/>
      </rPr>
      <t>" de la lista desplegable en la columna titulada "Intervención estándar" y luego proporcionando el nombre de la intervención personalizada que desea incluir en la columna titulada "Intervenciones personalizadas ". Si las intervenciones personalizadas se incluyen sin seleccionar la opción "Otras intervenciones" en la columna "Intervención estándar", no se pueden volver a importar.</t>
    </r>
  </si>
  <si>
    <t xml:space="preserve">    •   La inclusión de intervenciones personalizadas requerirá revisión y validación por parte del Equipo de País.</t>
  </si>
  <si>
    <t>Población</t>
  </si>
  <si>
    <t xml:space="preserve">    •   Este campo es aplicable solo para módulos seleccionados e intervenciones estándar asociadas bajo el componente VIH. Esto incluye los módulos "Prevención", "Servicios de prueba de VIH diferenciados" y "Tratamiento, atención y apoyo". Para los módulos RSSH, TB, malaria y VIH restantes e intervenciones relacionadas, seleccione "No aplica" de la lista desplegable.</t>
  </si>
  <si>
    <t xml:space="preserve">    •   Una vez que se selecciona una "Intervención estándar", el menú desplegable en el campo "Población" mostrará los grupos de población relevantes que aplican a esta intervención. Seleccione esta opción usando la lista desplegable.</t>
  </si>
  <si>
    <t xml:space="preserve">    •   Para intervenciones personalizadas no se requiere el campo de población. Si se selecciona una "Intervención personalizada", el menú desplegable en el campo "Población" mostrará solo una opción "No aplica". Seleccione esto usando la lista desplegable. No sobrescriba este campo para agregar un grupo de población.</t>
  </si>
  <si>
    <t>Indicadores de Impacto – Sección B</t>
  </si>
  <si>
    <t>Navegación de la página</t>
  </si>
  <si>
    <t xml:space="preserve">    •   Incluye el enlace a la sección de las instrucciones que es relevante para completar los Indicadores de impacto - sección B.</t>
  </si>
  <si>
    <t xml:space="preserve">    •   Los indicadores de impacto deben reportarse a nivel de programa nacional. En caso de que se seleccionaron múltiples receptores principales para cualquier componente, se debe incluir un conjunto común de indicadores de impacto y metas en todas las subvenciones relacionadas con este componente, para cada uno de los receptores principales.</t>
  </si>
  <si>
    <t xml:space="preserve">Indicador estándar </t>
  </si>
  <si>
    <t xml:space="preserve">    •   Seleccione los indicadores de impacto relevantes del menú desplegable. Los indicadores de impacto están relacionados con los objetivos definidos.</t>
  </si>
  <si>
    <t xml:space="preserve">    •   El menú desplegable incluye una lista de indicadores de impacto estándar, con un código de indicador estándar, que se utilizará para la presentación de reportes del Fondo Mundial. Estos se derivan de los indicadores recomendados por los socios técnicos para la presentación de reportes mundiales y nacionales.</t>
  </si>
  <si>
    <t xml:space="preserve">    •   Portafolios con inversiones focalizadas: bajo los requisitos de reportes diferenciados, se espera que los países clasificados como “Portafolios con inversiones focalizadas” por el Fondo Mundial tengan menos indicadores en sus marcos de desempeño. Los indicadores recomendados están marcados con una (M) en el Manual del Marco Modular y en la lista desplegable de la plantilla del marco del desempeño. Para obtener más orientación, póngase en contacto con sus equipos de país</t>
  </si>
  <si>
    <t xml:space="preserve">    •   Para solicitudes de financiamiento de componentes múltiples, se recomienda incluir indicadores relacionados con cada uno de los componentes en orden, en lugar de mezclarlos. Por ejemplo, en una solicitud conjunta de financiación de VIH y TB, incluya primero todos los indicadores de VIH relevantes, seguidos de los indicadores de TB o viceversa.</t>
  </si>
  <si>
    <t>Indicador personalizado</t>
  </si>
  <si>
    <t xml:space="preserve">    •   Los indicadores de impacto personalizados, fuera de la lista de indicadores estándar proporcionados, solo se permiten en casos excepcionales.</t>
  </si>
  <si>
    <t xml:space="preserve">    •   Los indicadores de impacto personalizados deben codificarse de la siguiente manera: (Componente) luego I (para Impacto) - otro 1 (el conteo para la cantidad de indicadores de impacto personalizados). Por ejemplo, un indicador personalizado para el VIH tendría el siguiente código: VIH I - Otro 1: Porcentaje de ...</t>
  </si>
  <si>
    <t xml:space="preserve">    •   La inclusión de cualquier indicador personalizado requerirá la revisión y aprobación del equipo de Monitoreo y Evaluación y Análisis de País en el Fondo Mundial.</t>
  </si>
  <si>
    <t xml:space="preserve">Línea de base #N
Línea de base #D
</t>
  </si>
  <si>
    <t xml:space="preserve">    •   Proporcione los valores de numerador y denominador de referencia (según corresponda) para cada indicador de impacto. El valor del % se calculará automáticamente. Las líneas de base sirven como el punto de partida contra el cual se medirá el desempeño del programa. Las líneas de base se refieren a los últimos resultados disponibles de fuentes de datos válidas.</t>
  </si>
  <si>
    <t xml:space="preserve">    •   Para los indicadores que se reportan como tasas por 1000 o 100000, solo se debe proporcionar el valor de la tasa en la casilla del numerador.</t>
  </si>
  <si>
    <t xml:space="preserve">    •   Si no hay datos disponibles en la etapa de solicitud de financiamiento, entonces este campo debe dejarse en blanco y las líneas de base deben determinarse durante la preparación o durante la implementación de la subvención.</t>
  </si>
  <si>
    <t>Línea de base %</t>
  </si>
  <si>
    <t xml:space="preserve">    •   Este campo se calculará automáticamente en los casos en que se ingresen valores de numerador y denominador de referencia para el indicador.</t>
  </si>
  <si>
    <t xml:space="preserve">    •   En los casos en que no se requieren valores de numerador y denominador de referencia, los valores de % se pueden incluir manualmente.</t>
  </si>
  <si>
    <t xml:space="preserve">Línea de base año </t>
  </si>
  <si>
    <t xml:space="preserve">    •   Incluir el año de los datos de la línea de base. En caso de que no haya una línea de base disponible, este campo debe dejarse en blanco.</t>
  </si>
  <si>
    <t xml:space="preserve">Fuente línea de base </t>
  </si>
  <si>
    <t xml:space="preserve">    •   Incluya la fuente de datos para la línea de base. Podría referirse, por ejemplo, al nombre del sistema de datos o al nombre de la encuesta / estudio, título de un reporte, etc.</t>
  </si>
  <si>
    <t xml:space="preserve">    •   Si la línea de base no está disponible en el momento de la presentación de la solicitud de financiación o en el momento de la preparación de la subvención, indique "TBD" y mencione la fecha en que se determinará "TBD por MM / AAAA</t>
  </si>
  <si>
    <t xml:space="preserve">    •   Si la fuente de datos de la línea base es diferente de la fuente de datos que se utilizará para reportar sobre el indicador, esto debe explicarse en el campo "comentarios".</t>
  </si>
  <si>
    <t>Desagregaciones requeridas</t>
  </si>
  <si>
    <t xml:space="preserve">    •   Para garantizar la equidad y garantizar que los programas lleguen a las poblaciones en riesgo o más afectadas por las enfermedades, algunos indicadores seleccionados de la lista de indicadores del Fondo Mundial requieren la presentación de reportes de resultados desagregados en categorías previamente identificadas.</t>
  </si>
  <si>
    <t xml:space="preserve">    •   Para los indicadores que requieren desagregación, esta columna se rellenará previamente con las categorías previamente identificadas. Esta columna indica las categorías de desagregación contra las cuales se deben reportar los resultados, una vez al año, durante la implementación de la subvención.</t>
  </si>
  <si>
    <t xml:space="preserve">    •   Las líneas de base (valor, año y fuente) para cada una de las categorías de desagregación requeridas deben incluirse en la pestaña titulada "Desagregación - Sección E".</t>
  </si>
  <si>
    <t xml:space="preserve">    •   No es posible agregar una categoría de desagregación para indicadores personalizados.</t>
  </si>
  <si>
    <t xml:space="preserve">    •   Según los requisitos de reportes diferenciados, los países clasificados como "inversiones focalizadas" por el Fondo Mundial no están obligados a reportar sobre resultados desagregados.</t>
  </si>
  <si>
    <t>RP responsible</t>
  </si>
  <si>
    <t xml:space="preserve">    •   El solicitante debe incluir el nombre del Receptor Principal (entre los Receptores Principales nominados bajo la solicitud de financiamiento) que son responsables de estos indicadores en el MD en la etapa de solicitud de financiamiento. El nombre debe seleccionarse en el menú desplegable que se rellena previamente con los nombres ingresados en la "Descripción general-Sección A".</t>
  </si>
  <si>
    <t xml:space="preserve">    •   Si se nominó a más de un Receptor Principal en la etapa de solicitud de financiamiento, se pondrán a disposición plantillas de MD separadas para cada Receptor Principal seleccionado para la negociación de la subvención. Este campo no aparecerá en el MD de la preparación de subvenciones.</t>
  </si>
  <si>
    <t xml:space="preserve">    •   El RP de la subvención será responsable de reportar sobre los indicadores incluidos en el MD de la subvención.</t>
  </si>
  <si>
    <t>País</t>
  </si>
  <si>
    <t xml:space="preserve">    •   Para solicitudes / subvenciones de un solo país, seleccione el nombre del país.</t>
  </si>
  <si>
    <t xml:space="preserve">    •   Para solicitudes / subvenciones regionales, el solicitante / Receptor principal debe especificar el nombre del país correspondiente a cada indicador seleccionado.</t>
  </si>
  <si>
    <t xml:space="preserve">    •   Para solicitudes / subvenciones regionales, si un indicador cubre dos o más países en la solicitud / subvención regional, los solicitantes / Receptor principal deben seleccionar la opción "Multi-país" en el menú desplegable y especificar los países / áreas geográficas relacionadas en la columna de comentarios.</t>
  </si>
  <si>
    <t>Año de la meta</t>
  </si>
  <si>
    <r>
      <rPr>
        <sz val="11"/>
        <color indexed="8"/>
        <rFont val="Symbol"/>
        <family val="1"/>
        <charset val="2"/>
      </rPr>
      <t>·</t>
    </r>
    <r>
      <rPr>
        <sz val="7"/>
        <color indexed="8"/>
        <rFont val="Times New Roman"/>
        <family val="1"/>
      </rPr>
      <t xml:space="preserve">    </t>
    </r>
    <r>
      <rPr>
        <sz val="11"/>
        <color indexed="8"/>
        <rFont val="Calibri"/>
        <family val="2"/>
      </rPr>
      <t>El año de la meta se rellena previamente en función de la fecha de inicio del período de implementación.</t>
    </r>
  </si>
  <si>
    <t>•  Todos los campos de metas (N, D y%) son campos numéricos y no permiten ingresar caracteres alfanuméricos o comentarios (por ejemplo, &lt;,&gt; o TBD)</t>
  </si>
  <si>
    <t xml:space="preserve">Meta #N
Meta #D
</t>
  </si>
  <si>
    <t>•  Proporcione el numerador y denominador (según corresponda) de la meta para cada indicador de impacto.</t>
  </si>
  <si>
    <t>•  Las metas deben ser consistentes con el plan estratégico nacional o cualquier otra meta de país actualizada y acordada. Estos deben incluirse de acuerdo con la frecuencia de su medición. Por ejemplo, si las encuestas se realizan en los años 1 y 3, solo en estos años se deben proporcionar las metas.</t>
  </si>
  <si>
    <t xml:space="preserve">Meta % </t>
  </si>
  <si>
    <t xml:space="preserve">    •  Este campo se calculará automáticamente en los casos en que se ingresen valores de numerador y denominador parala meta  del indicador.</t>
  </si>
  <si>
    <t xml:space="preserve">    •   En los casos en que no se requieren valores de numerador y denominador de destino, se pueden incluir manualmente el % de las metas</t>
  </si>
  <si>
    <t>Fecha de reporte</t>
  </si>
  <si>
    <t xml:space="preserve">    •   Indique los plazos cuando los resultados de los indicadores de impacto estarán disponibles en el país. Esto puede ser diferente de la fecha en que se reportarán al Fondo Mundial con los reportes de progreso.</t>
  </si>
  <si>
    <t>Marcar si la meta es "TBD"</t>
  </si>
  <si>
    <t xml:space="preserve">    •  Ingrese “TBD” si las metas se determinarán en una etapa posterior (por ejemplo, en casos en los que no se dispone de líneas de base, o se esperan los resultados de la encuesta al momento de desarrollar el MD y, por lo tanto, no es posible establecer una meta en el momento de la presentación del MD).</t>
  </si>
  <si>
    <t>Comentarios</t>
  </si>
  <si>
    <t>Esta columna debe usarse para proporcionar información adicional relacionada con el indicador y las metas, como:</t>
  </si>
  <si>
    <t>- Supuestos de las metas, p. ej. alineación con el Plan Estratégico Nacional (PEN) o cualquier otra meta o compromiso del país;</t>
  </si>
  <si>
    <t>- Fuentes de datos, si son diferentes de las fuentes de datos de la línea de base;</t>
  </si>
  <si>
    <t>- Población objetivo, si esto no está ya indicado en la definición estándar del indicador;</t>
  </si>
  <si>
    <t>- Descripción del área geográfica si las metas son subnacionales (por ejemplo, en el caso de beneficiarios principales de ONGs que reportan desde sitios específicos del proyecto);</t>
  </si>
  <si>
    <t>- Entidad responsable de la recopilación de datos y la presentación de reportes;</t>
  </si>
  <si>
    <t>- Área geográfica cubierta por las encuestas;</t>
  </si>
  <si>
    <t>- Cualquier cambio en la metodología de medición del año anterior;</t>
  </si>
  <si>
    <t>- En caso de que falten líneas de base y / o metas, indique cuándo estará disponible esta información y se actualizará el MD.</t>
  </si>
  <si>
    <t xml:space="preserve">Indicadores de Resultado- Sección C </t>
  </si>
  <si>
    <t>• Incluye el enlace a la sección de las instrucciones que es relevante para completar los Indicadores de resultado - sección C.</t>
  </si>
  <si>
    <t>• Los indicadores de resultado deben reportarse a nivel de programa nacional. En caso de que se seleccionaron múltiples receptores principales para cualquier componente, se debe incluir un conjunto común de indicadores de resultado y metas en todas las subvenciones relacionadas con este componente, para cada uno de los receptores principales.</t>
  </si>
  <si>
    <t>• Seleccione los indicadores de resultado relevantes del menú desplegable. Los indicadores de resultado están relacionados con los objetivos definidos.</t>
  </si>
  <si>
    <t>• El menú desplegable incluye una lista de indicadores de resultado estándar, con un código de indicador estándar, que se utilizará para la presentación de reportes del Fondo Mundial. Estos se derivan de los indicadores recomendados por los socios técnicos para la presentación de reportes mundiales y nacionales.</t>
  </si>
  <si>
    <t>• Portafolios con inversiones focalizadas: bajo los requisitos de reportes diferenciados, se espera que los países clasificados como “Portafolios con inversiones focalizadas” por el Fondo Mundial tengan menos indicadores en sus marcos de desempeño. Los indicadores recomendados están marcados con una (M) en el Manual del Marco Modular y en la lista desplegable de la plantilla del marco del desempeño. Para obtener más orientación, póngase en contacto con sus equipos de país</t>
  </si>
  <si>
    <t>• Para solicitudes de financiamiento de componentes múltiples, se recomienda incluir indicadores relacionados con cada uno de los componentes en orden, en lugar de mezclarlos. Por ejemplo, en una solicitud conjunta de financiación de VIH y TB, incluya primero todos los indicadores de VIH relevantes, seguidos de los indicadores de TB o viceversa.</t>
  </si>
  <si>
    <t xml:space="preserve">Indicador personalizado </t>
  </si>
  <si>
    <t>• Los indicadores de resultados personalizados, fuera de la lista de indicadores estándar proporcionados, solo se permiten en casos excepcionales.</t>
  </si>
  <si>
    <t>• Los indicadores de resultados personalizados deben codificarse de la siguiente manera: (Componente) luego O (para el Resultado) - otro 1 (el conteo para el número de indicadores de resultado). Por ejemplo, un indicador personalizado para el VIH tendría el siguiente código: VIH O - otro 1: Porcentaje de ...</t>
  </si>
  <si>
    <t>• La inclusión de cualquier indicador personalizado requerirá la revisión y aprobación del equipo de Monitoreo y Evaluación y Análisis de País en el Fondo Mundial.</t>
  </si>
  <si>
    <t>• Proporcione los valores de referencia del numerador y del denominador (según corresponda) para cada indicador de resultado. El valor del % se calculará automáticamente. Las líneas de base sirven como el punto de partida contra el cual se medirá el desempeño del programa. Las líneas de base se refieren a los últimos resultados disponibles de fuentes de datos válidas.</t>
  </si>
  <si>
    <t>• Para los indicadores que se reportan como tasas por 1000 o 100000, solo se debe proporcionar el valor de la tasa en la celda del numerador.</t>
  </si>
  <si>
    <t>• Si no hay línea de base disponible en la etapa de solicitud de financiamiento, entonces este campo debe dejarse en blanco y las líneas de base deben determinarse durante la preparación de la subvención o durante la implementación de la misma.</t>
  </si>
  <si>
    <t>• Este campo se calculará automáticamente en los casos en que se ingresen valores de numerador y denominador de referencia para el indicador.</t>
  </si>
  <si>
    <t>• En los casos en que no se requieren valores de numerador y denominador, los valores en % se pueden incluir manualmente.</t>
  </si>
  <si>
    <t>• Incluir el año de la línea de base. En caso de que no haya una línea de base disponible, este campo debe dejarse en blanco.</t>
  </si>
  <si>
    <t>• Incluir la fuente de datos para la línea de base. Podría referirse, por ejemplo, al nombre del sistema de datos o al nombre de la encuesta / estudio, título de un reporte, etc.</t>
  </si>
  <si>
    <t>• Si la línea de base no está disponible en el momento de la presentación de la solicitud de financiación o en el momento de la preparación de la subvención, indique "TBD" y mencione la fecha en que se determinará "TBD por MM / AAAA.</t>
  </si>
  <si>
    <t>• Si la fuente de datos de la línea base es diferente de la fuente de datos que se utilizará para reportar sobre el indicador, esto debe explicarse en el campo "comentarios".</t>
  </si>
  <si>
    <t xml:space="preserve">Desagregaciones requeridas  </t>
  </si>
  <si>
    <t>• Para garantizar la equidad y garantizar que los programas lleguen a las poblaciones en riesgo o más afectadas por las enfermedades, algunos indicadores seleccionados de la lista central de indicadores del Fondo Mundial requieren la presentación de reportes de resultados desglosados en categorías previamente identificadas.</t>
  </si>
  <si>
    <t>• Para los indicadores que requieren desagregación, esta columna se rellenará previamente con las categorías previamente identificadas. Esta columna indica las categorías de desagregación contra las cuales se deben reportar los resultados, una vez al año, durante la implementación de la subvención.</t>
  </si>
  <si>
    <t>• Las líneas de base (valor, año y fuente) para cada una de las categorías de desagregación requeridas deben incluirse en la pestaña titulada "Desagregación - Sección E".</t>
  </si>
  <si>
    <t>• No es posible agregar una categoría de desagregación para indicadores personalizados.</t>
  </si>
  <si>
    <t>• Según los requisitos de reportes diferenciados, los países clasificados como "con inversiones focalizadas" por el Fondo Mundial no están obligados a reportar sobre resultados desagregados.</t>
  </si>
  <si>
    <t xml:space="preserve">RP Responsable </t>
  </si>
  <si>
    <t>• El solicitante debe incluir el nombre del Receptor Principal (entre los Receptores Principales nominados bajo la solicitud de financiamiento) que son responsables de estos indicadores en el MD en la etapa de solicitud de financiamiento. El nombre debe seleccionarse en el menú desplegable que se rellena previamente con los nombres ingresados en la "Descripción general-Sección A".</t>
  </si>
  <si>
    <t>En la etapa de preparación de la subvención</t>
  </si>
  <si>
    <t>• Si se nominó a más de un Receptor Principal en la etapa de solicitud de financiamiento, se pondrán a disposición plantillas de MD separadas para cada Receptor Principal seleccionado para la negociación de la subvención. Este campo no aparecerá en el MD de la preparación de subvenciones.</t>
  </si>
  <si>
    <t>• El RP de la subvención será responsable de reportar sobre los indicadores incluidos en el MD de la subvención.</t>
  </si>
  <si>
    <t>• Para solicitudes / subvenciones de un solo país, seleccione el nombre del país.</t>
  </si>
  <si>
    <t>• Para solicitudes / subvenciones regionales, el solicitante / Receptor principal debe especificar el nombre del país correspondiente a cada indicador seleccionado.</t>
  </si>
  <si>
    <t>• Para solicitudes / subvenciones regionales, si un indicador cubre dos o más países en la solicitud / subvención regional, los solicitantes / Receptor principal deben seleccionar la opción "Multi-país" en el menú desplegable y especificar los países / áreas geográficas relacionadas en la columna de comentarios.</t>
  </si>
  <si>
    <t>• El año de la meta se rellena previamente en función de la fecha de inicio del período de implementación.</t>
  </si>
  <si>
    <t>• Todos los campos de las metas (N, D y %) son campos numéricos y no permiten ingresar caracteres alfanuméricos o comentarios (por ejemplo, &lt;,&gt; o TBD)</t>
  </si>
  <si>
    <t>• Proporcione el numerador y denominador (según corresponda) de la meta para cada indicador de resultado</t>
  </si>
  <si>
    <t>• Las metas deben ser consistentes con el plan estratégico nacional o cualquier otra meta de país actualizada y acordada. Estos deben incluirse de acuerdo con la frecuencia de su medición. Por ejemplo, si las encuestas se realizan en los años 1 y 3, solo en estos años se deben proporcionar las metas.</t>
  </si>
  <si>
    <t>• Este campo se calculará automáticamente en los casos en que se ingresen valores de numerador y denominador de la meta para el indicador.</t>
  </si>
  <si>
    <t>• En los casos en que no se requieren numerador y denominador, se puede incluir manualmente el % de la meta.</t>
  </si>
  <si>
    <t>• Indique los plazos cuando los valores para los indicadores de resultado estarán disponibles en el país. Esto puede ser diferente de la fecha en que se reportarán al Fondo Mundial con los Reportes de progreso.</t>
  </si>
  <si>
    <t>• Ingrese “TBD” si las metas se determinarán en una etapa posterior (por ejemplo, en casos en los que no se dispone de linease de base, o se esperan los resultados de la encuesta al momento de desarrollar el MD y, por lo tanto, no es posible establecerlos una meta en el momento de la presentación del MD).</t>
  </si>
  <si>
    <r>
      <rPr>
        <sz val="11"/>
        <color indexed="8"/>
        <rFont val="Symbol"/>
        <family val="1"/>
        <charset val="2"/>
      </rPr>
      <t>·</t>
    </r>
    <r>
      <rPr>
        <sz val="7"/>
        <color indexed="8"/>
        <rFont val="Times New Roman"/>
        <family val="1"/>
      </rPr>
      <t xml:space="preserve">    </t>
    </r>
    <r>
      <rPr>
        <sz val="11"/>
        <color indexed="8"/>
        <rFont val="Calibri"/>
        <family val="2"/>
      </rPr>
      <t>Esta columna debe usarse para proporcionar información adicional relacionada con el indicador y las metas, como:</t>
    </r>
  </si>
  <si>
    <t>- Supuestos de las metas, p. ej. alineación con el Plan estratégico nacional o cualquier otra meta o compromiso del país;</t>
  </si>
  <si>
    <t xml:space="preserve">           - En caso de que falten líneas de base y / o metas, indique cuándo estará disponible esta información y se actualizará el MD.</t>
  </si>
  <si>
    <t xml:space="preserve">Indicadores de cobertura - Sección D </t>
  </si>
  <si>
    <t>Navegación de página</t>
  </si>
  <si>
    <t>• Incluye el enlace a la sección de las instrucciones que es relevante para completar los Indicadores de cobertura - sección D.</t>
  </si>
  <si>
    <t>• Seleccione el nombre del módulo dentro de las opciones en el menú desplegable. La lista incluirá todos los módulos que hayan sido incluidos en la descripción general - Sección A.</t>
  </si>
  <si>
    <t>• Este campo se puede completar solo después de seleccionar los indicadores en la columna adyacente "Indicador estándar".</t>
  </si>
  <si>
    <t>• Este campo es aplicable solo para módulos seleccionados e indicadores estándar relacionados bajo el componente VIH. Esto incluye los módulos de Prevención, Servicios diferenciados de pruebas de VIH y Tratamiento, atención y apoyo. Para los módulos de RSSH, TB, malaria y los que restan de VIH y sus indicadores relacionados, seleccione "No aplica" de la lista desplegable.</t>
  </si>
  <si>
    <t>• Una vez que se selecciona un "Indicador estándar", el menú desplegable en el campo "Población" se mostrará el grupo de población relevante que aplica para este indicador. Seleccione la población utilizando la lista desplegable.</t>
  </si>
  <si>
    <t>• Para los indicadores personalizados, no se requiere el campo de población. Si se selecciona un "Indicador personalizado", el menú desplegable en el campo "Población" mostrará solo una opción "No aplica". Seleccione esta opción usando la lista desplegable. No sobrescriba en este campo para agregar un grupo de población.</t>
  </si>
  <si>
    <t>• Seleccione los indicadores de cobertura relevantes del menú desplegable. La lista incluye una lista de indicadores de cobertura estándar, con un código de indicador estándar, que se utilizará para reportar al Fondo Mundial. Estos se derivan de los indicadores recomendados por los socios técnicos para la presentación de informes mundiales y nacionales.</t>
  </si>
  <si>
    <t>• Portafolios de inversión focalizada: en el marco de la diferenciación de requerimientos para reportar, se espera que los países clasificados por el Fondo Mundial como “Portafolios de inversión focalizada” tengan menos indicadores en sus marcos de desempeño. Los indicadores recomendados están marcados con una (M) en el Manual del Marco Modular y en la lista desplegable de la plantilla del marco de desempeño. Para obtener más orientación, contacte sus equipos de país.</t>
  </si>
  <si>
    <t>• Los indicadores de cobertura personalizados, no incluidos en la lista de indicadores estándar que han sido proporcionados, solo se permiten en casos excepcionales.</t>
  </si>
  <si>
    <t>• Los indicadores de cobertura personalizados deben codificarse de la siguiente manera:</t>
  </si>
  <si>
    <t xml:space="preserve">     - Nombre del módulo (abreviado como en la lista de indicadores estándar) - Otro 1 (el recuento para el número de indicadores de cobertura personalizados). Por ejemplo, un indicador personalizado relacionado con el módulo "Manejo de casos" de la malaria debe tener el siguiente código: CM - Otro 1: Porcentaje de ...</t>
  </si>
  <si>
    <t>• La inclusión de cualquier indicador personalizado requerirá la revisión y aprobación del equipo de Monitoreo y Evaluación y Análisis a nivel de Países, en el Fondo Mundial.</t>
  </si>
  <si>
    <t xml:space="preserve">
Línea de base #N
Línea de base #D
</t>
  </si>
  <si>
    <t>• Proporcione el numerador de referencia y los valores del denominador (según corresponda) para cada indicador de cobertura. Las líneas de base sirven como el punto de partida contra el cual se medirá el desempeño del programa. Las líneas de base se refieren a los últimos resultados disponibles de fuentes de datos válidas.</t>
  </si>
  <si>
    <t>• Si no hay datos disponibles en la etapa de solicitud de financiamiento, entonces este campo debe dejarse en blanco y las líneas de base deben determinarse durante la concesión o durante la implementación de la subvención.</t>
  </si>
  <si>
    <t xml:space="preserve">Línea de base % </t>
  </si>
  <si>
    <t>• Incluir el año de los datos de referencia. En caso de que no haya un valor de referencia disponible, este campo debe dejarse en blanco.</t>
  </si>
  <si>
    <t>• Incluir la fuente de datos para el valor de referencia.</t>
  </si>
  <si>
    <t>• Si los datos de referencia no están disponibles en el momento de la presentación de la solicitud de financiación o en el momento de la preparación de la subvención, indique "TBD" y mencione la fecha en que se determinará "TBD por MM / AAAA.</t>
  </si>
  <si>
    <t>• Si la fuente de datos de la línea base es diferente de la fuente de datos que se utilizará para informar sobre el indicador, esto debe explicarse en el campo "comentarios".</t>
  </si>
  <si>
    <t xml:space="preserve">Desagregaciones requeridas </t>
  </si>
  <si>
    <t>• Para garantizar la equidad y garantizar que los programas lleguen a las poblaciones en riesgo o más afectadas por las enfermedades, algunos indicadores seleccionados de la lista central de indicadores del Fondo Mundial requieren el reporte de resultados desagregados en categorías previamente indicadas.</t>
  </si>
  <si>
    <t>• Para los indicadores que requieren desagregación, esta columna se rellenará previamente con las categorías previamente indicadas. Esta columna indica las categorías de desagregación contra las cuales se deben informar los resultados, una vez al año, durante la implementación de la subvención.</t>
  </si>
  <si>
    <t>• En caso de que falten líneas de base, indique en el cuadro de comentarios las acciones que se están tomando / planificando y cuándo se espera que esta información esté disponible, y que el marco de desempeño sea actualizado.</t>
  </si>
  <si>
    <t>• Según los requisitos de informes diferenciados, los países clasificados como "países de inversión focalizada" por el Fondo Mundial no están obligados a informar sobre resultados desagregados.</t>
  </si>
  <si>
    <t>Incluir en resultados del Fondo Mundial</t>
  </si>
  <si>
    <t xml:space="preserve">En la etapa de preparación de la subvención: </t>
  </si>
  <si>
    <r>
      <rPr>
        <sz val="11"/>
        <color indexed="8"/>
        <rFont val="Calibri"/>
        <family val="2"/>
      </rPr>
      <t xml:space="preserve">• </t>
    </r>
    <r>
      <rPr>
        <b/>
        <sz val="11"/>
        <color indexed="8"/>
        <rFont val="Calibri"/>
        <family val="2"/>
      </rPr>
      <t>El especialista del Equipo de País / PHME del Fondo Mundial debe llenar</t>
    </r>
    <r>
      <rPr>
        <sz val="11"/>
        <color indexed="8"/>
        <rFont val="Calibri"/>
        <family val="2"/>
      </rPr>
      <t xml:space="preserve"> este campo seleccionando "Sí" o "No" en el menú desplegable.</t>
    </r>
  </si>
  <si>
    <t>• Se pretende identificar qué cifras se utilizarán para la presentación de informes de resultados de la cartera del Fondo Mundial en casos en que múltiples RP en un país informan sobre el mismo indicador. Este campo ayudará a evitar la duplicación de los resultados reportados.</t>
  </si>
  <si>
    <t xml:space="preserve">Receptor principal responsable </t>
  </si>
  <si>
    <t xml:space="preserve">En la etapa de solicitud de financiación: </t>
  </si>
  <si>
    <t>• El solicitante debe incluir el nombre del Receptor Principal (entre los Receptores Principales nominados bajo la solicitud de financiamiento) que será responsable de implementar y reportar estos indicadores al Fondo Mundial. Los nombres deben seleccionarse en el menú desplegable que se rellena previamente con los nombres ingresados en la pestaña "Descripción general-Sección A".</t>
  </si>
  <si>
    <t>• Si se nominó a más de un Receptor Principal en la etapa de solicitud de financiamiento, se pondrán a disposición plantillas de marco de desempeño separadas para cada Receptor Principal seleccionado para la negociación de la subvención. Este campo no aparecerá en el Marco de desempeño a utilizar durante la etapa de preparación de la subvención.</t>
  </si>
  <si>
    <t>• El RP de la subvención será responsable de informar sobre los indicadores incluidos en el marco de desempeño de la subvención.</t>
  </si>
  <si>
    <t xml:space="preserve">País/ Alcance de las metas </t>
  </si>
  <si>
    <r>
      <rPr>
        <sz val="11"/>
        <color indexed="8"/>
        <rFont val="Symbol"/>
        <family val="1"/>
        <charset val="2"/>
      </rPr>
      <t>·</t>
    </r>
    <r>
      <rPr>
        <sz val="7"/>
        <color indexed="8"/>
        <rFont val="Times New Roman"/>
        <family val="1"/>
      </rPr>
      <t xml:space="preserve">    </t>
    </r>
    <r>
      <rPr>
        <sz val="11"/>
        <color indexed="8"/>
        <rFont val="Calibri"/>
        <family val="2"/>
      </rPr>
      <t>Para solicitudes / subvenciones de un solo país, incluya el nombre del país.</t>
    </r>
  </si>
  <si>
    <r>
      <rPr>
        <sz val="11"/>
        <color indexed="8"/>
        <rFont val="Symbol"/>
        <family val="1"/>
        <charset val="2"/>
      </rPr>
      <t>·</t>
    </r>
    <r>
      <rPr>
        <sz val="7"/>
        <color indexed="8"/>
        <rFont val="Times New Roman"/>
        <family val="1"/>
      </rPr>
      <t xml:space="preserve">    </t>
    </r>
    <r>
      <rPr>
        <sz val="11"/>
        <color indexed="8"/>
        <rFont val="Calibri"/>
        <family val="2"/>
      </rPr>
      <t>Para solicitudes / subvenciones regionales o de varios países, el solicitante / Receptor principal debe seleccionar el nombre del país correspondiente a cada indicador seleccionado.</t>
    </r>
  </si>
  <si>
    <r>
      <rPr>
        <sz val="11"/>
        <rFont val="Symbol"/>
        <family val="1"/>
        <charset val="2"/>
      </rPr>
      <t>·</t>
    </r>
    <r>
      <rPr>
        <sz val="7"/>
        <rFont val="Times New Roman"/>
        <family val="1"/>
      </rPr>
      <t xml:space="preserve">    </t>
    </r>
    <r>
      <rPr>
        <sz val="11"/>
        <color indexed="8"/>
        <rFont val="Calibri"/>
        <family val="2"/>
      </rPr>
      <t>Para solicitudes / subvenciones regionales o multipaíses, si un indicador cubre dos o más países, los solicitantes / Destinatario principal deben seleccionar la opción "Multipaís" del menú desplegable y especificar los nombres de estos países / área geográfica en la columna de comentarios.</t>
    </r>
  </si>
  <si>
    <r>
      <rPr>
        <sz val="11"/>
        <color indexed="8"/>
        <rFont val="Symbol"/>
        <family val="1"/>
        <charset val="2"/>
      </rPr>
      <t>·</t>
    </r>
    <r>
      <rPr>
        <sz val="7"/>
        <color indexed="8"/>
        <rFont val="Times New Roman"/>
        <family val="1"/>
      </rPr>
      <t xml:space="preserve">    </t>
    </r>
    <r>
      <rPr>
        <sz val="11"/>
        <color indexed="8"/>
        <rFont val="Calibri"/>
        <family val="2"/>
      </rPr>
      <t>En el segundo campo debajo del nombre del país, especifique el alcance de los objetivos para cada indicador utilizando el menú desplegable. Las opciones proporcionadas ayudan a distinguir si los objetivos son de alcance:</t>
    </r>
  </si>
  <si>
    <r>
      <rPr>
        <sz val="11"/>
        <color indexed="8"/>
        <rFont val="Calibri"/>
        <family val="2"/>
      </rPr>
      <t>−</t>
    </r>
    <r>
      <rPr>
        <sz val="7"/>
        <color indexed="8"/>
        <rFont val="Times New Roman"/>
        <family val="1"/>
      </rPr>
      <t xml:space="preserve">   </t>
    </r>
    <r>
      <rPr>
        <sz val="11"/>
        <color indexed="8"/>
        <rFont val="Calibri"/>
        <family val="2"/>
      </rPr>
      <t>Geográfico nacional, i.e. se refiere a todo el país y representan el 100% de las metas del programa nacional;</t>
    </r>
  </si>
  <si>
    <r>
      <rPr>
        <sz val="11"/>
        <color indexed="8"/>
        <rFont val="Calibri"/>
        <family val="2"/>
      </rPr>
      <t>−</t>
    </r>
    <r>
      <rPr>
        <sz val="7"/>
        <color indexed="8"/>
        <rFont val="Times New Roman"/>
        <family val="1"/>
      </rPr>
      <t xml:space="preserve">   </t>
    </r>
    <r>
      <rPr>
        <sz val="11"/>
        <color indexed="8"/>
        <rFont val="Calibri"/>
        <family val="2"/>
      </rPr>
      <t>Geográfico subnacional, i.e. se refiere solo a algunas áreas geográficas pero representan el 100% de las metas del programa nacional. Por ejemplo, en los casos en que la epidemia se concentra en algunas áreas específicas del país y las metas abarcan todas estas áreas;</t>
    </r>
  </si>
  <si>
    <t>−  Geográfico subnacional, i.e. se refieren solo a algunas áreas geográficas y representan menos del 100% de las metas del programa nacional. Por ejemplo, en los casos en que las metas son de algunas áreas específicas apoyadas por la subvención del Fondo Mundial / receptores principales y no cubren otras áreas geográficas afectadas.</t>
  </si>
  <si>
    <t xml:space="preserve">    •   Si las metas son subnacionales, especifique el área de cobertura en el campo de comentarios para el indicador.</t>
  </si>
  <si>
    <t>Tipo de acumulación</t>
  </si>
  <si>
    <t xml:space="preserve">  •  En este campo, indique cómo se establecen los objetivos durante los períodos de informe seleccionando las categorías de acumulación relevantes de las listas desplegables. El Fondo Mundial utilizará estas categorías para generar el desempeño combinado durante los períodos de informe dentro de un año para tomar la decisión de desembolso anual. El menú desplegable ofrece las siguientes tres opciones:</t>
  </si>
  <si>
    <r>
      <rPr>
        <sz val="11"/>
        <color indexed="8"/>
        <rFont val="Calibri"/>
        <family val="2"/>
      </rPr>
      <t xml:space="preserve"> o </t>
    </r>
    <r>
      <rPr>
        <b/>
        <sz val="11"/>
        <color indexed="8"/>
        <rFont val="Calibri"/>
        <family val="2"/>
      </rPr>
      <t>No acumulativo:</t>
    </r>
    <r>
      <rPr>
        <sz val="11"/>
        <color indexed="8"/>
        <rFont val="Calibri"/>
        <family val="2"/>
      </rPr>
      <t xml:space="preserve"> estos reflejan metas específicas del período, i.e. el valor se refiere a lo que se logrará en un período de reporte, independientemente de las metas en los períodos anteriores. En estos casos, las metas periódicas relevantes (numeradores o numeradores y denominadores, según corresponda) se sumarán para calificar el desempeño del indicador al momento de la Decisión de Desembolso Anual.</t>
    </r>
  </si>
  <si>
    <r>
      <rPr>
        <sz val="11"/>
        <color indexed="8"/>
        <rFont val="Calibri"/>
        <family val="2"/>
      </rPr>
      <t xml:space="preserve"> o </t>
    </r>
    <r>
      <rPr>
        <b/>
        <sz val="11"/>
        <color indexed="8"/>
        <rFont val="Calibri"/>
        <family val="2"/>
      </rPr>
      <t xml:space="preserve">No acumulativo - Especial: </t>
    </r>
    <r>
      <rPr>
        <sz val="11"/>
        <color indexed="8"/>
        <rFont val="Calibri"/>
        <family val="2"/>
      </rPr>
      <t>también refleja metas específicas del período, igual que la categoría anterior, excepto que en este caso los denominadores son los mismos durante los períodos de informe (por ejemplo, estimaciones de tamaño para poblaciones clave). Se agregarán las metas periódicas relevantes (numeradores) pero no el denominador, es decir, el denominador del período de reporte actual se usará para calificar el desempeño del indicador al momento de la Decisión de Desembolso Anual.</t>
    </r>
  </si>
  <si>
    <r>
      <rPr>
        <sz val="11"/>
        <color indexed="8"/>
        <rFont val="Calibri"/>
        <family val="2"/>
      </rPr>
      <t xml:space="preserve"> o </t>
    </r>
    <r>
      <rPr>
        <b/>
        <sz val="11"/>
        <color indexed="8"/>
        <rFont val="Calibri"/>
        <family val="2"/>
      </rPr>
      <t xml:space="preserve">No acumulativo - Otro: </t>
    </r>
    <r>
      <rPr>
        <sz val="11"/>
        <color indexed="8"/>
        <rFont val="Calibri"/>
        <family val="2"/>
      </rPr>
      <t>Esto se aplica a los indicadores que se refieren a las personas que actualmente reciben servicios independientemente de las metas en períodos anteriores. Por ejemplo, "Porcentaje de personas en TARV". En tales casos, las metas periódicas relevantes del último período de reporte son las que se utilizarán para calificar el desempeño del indicador al momento de la Decisión de Desembolso Anual.</t>
    </r>
  </si>
  <si>
    <t xml:space="preserve">
Meta #N
Meta #D
</t>
  </si>
  <si>
    <t xml:space="preserve">   •   Proporcione numerador de la meta y los valores del denominador (según corresponda) para cada indicador de cobertura</t>
  </si>
  <si>
    <r>
      <rPr>
        <sz val="11"/>
        <color indexed="8"/>
        <rFont val="Symbol"/>
        <family val="1"/>
        <charset val="2"/>
      </rPr>
      <t>·</t>
    </r>
    <r>
      <rPr>
        <sz val="7"/>
        <color indexed="8"/>
        <rFont val="Times New Roman"/>
        <family val="1"/>
      </rPr>
      <t xml:space="preserve">    </t>
    </r>
    <r>
      <rPr>
        <sz val="11"/>
        <color indexed="8"/>
        <rFont val="Calibri"/>
        <family val="2"/>
      </rPr>
      <t>Las metas deben ser consistentes con el plan estratégico nacional o cualquier otra meta de país actualizada y acordada, y deben basarse en el análisis de brecha programática en la solicitud de financiamiento.</t>
    </r>
  </si>
  <si>
    <r>
      <rPr>
        <sz val="11"/>
        <color indexed="8"/>
        <rFont val="Symbol"/>
        <family val="1"/>
        <charset val="2"/>
      </rPr>
      <t>·</t>
    </r>
    <r>
      <rPr>
        <sz val="7"/>
        <color indexed="8"/>
        <rFont val="Times New Roman"/>
        <family val="1"/>
      </rPr>
      <t xml:space="preserve">    </t>
    </r>
    <r>
      <rPr>
        <sz val="11"/>
        <color indexed="8"/>
        <rFont val="Calibri"/>
        <family val="2"/>
      </rPr>
      <t>Incluir metas en los períodos en que se recopilarán los datos.</t>
    </r>
  </si>
  <si>
    <r>
      <rPr>
        <sz val="11"/>
        <color indexed="8"/>
        <rFont val="Symbol"/>
        <family val="1"/>
        <charset val="2"/>
      </rPr>
      <t>·</t>
    </r>
    <r>
      <rPr>
        <sz val="7"/>
        <color indexed="8"/>
        <rFont val="Times New Roman"/>
        <family val="1"/>
      </rPr>
      <t xml:space="preserve">    </t>
    </r>
    <r>
      <rPr>
        <sz val="11"/>
        <color indexed="8"/>
        <rFont val="Calibri"/>
        <family val="2"/>
      </rPr>
      <t>No todos los indicadores necesitan ser reportados durante todos los períodos. Incluya las metas según la frecuencia de reporte que haya sido recomendada.</t>
    </r>
  </si>
  <si>
    <t xml:space="preserve">   •   En el marco de los requerimientos diferenciados, los países clasificados por el Fondo Mundial como “países de inversiones focalizadas” incluyen generalmente metas anuales en el marco de desempeño. Los países clasificados como inversiones “esenciales” y los “de alto impacto" incluyen generalmente metas semestrales.</t>
  </si>
  <si>
    <r>
      <rPr>
        <sz val="11"/>
        <color indexed="8"/>
        <rFont val="Symbol"/>
        <family val="1"/>
        <charset val="2"/>
      </rPr>
      <t>·</t>
    </r>
    <r>
      <rPr>
        <sz val="7"/>
        <color indexed="8"/>
        <rFont val="Times New Roman"/>
        <family val="1"/>
      </rPr>
      <t xml:space="preserve">    </t>
    </r>
    <r>
      <rPr>
        <sz val="11"/>
        <color indexed="8"/>
        <rFont val="Calibri"/>
        <family val="2"/>
      </rPr>
      <t>Este campo se calculará automáticamente en los casos en que se ingresen valores de numerador y denominador para las metas del indicador.</t>
    </r>
  </si>
  <si>
    <r>
      <rPr>
        <sz val="11"/>
        <color indexed="8"/>
        <rFont val="Symbol"/>
        <family val="1"/>
        <charset val="2"/>
      </rPr>
      <t>·</t>
    </r>
    <r>
      <rPr>
        <sz val="7"/>
        <color indexed="8"/>
        <rFont val="Times New Roman"/>
        <family val="1"/>
      </rPr>
      <t xml:space="preserve">    </t>
    </r>
    <r>
      <rPr>
        <sz val="11"/>
        <color indexed="8"/>
        <rFont val="Calibri"/>
        <family val="2"/>
      </rPr>
      <t>En los casos en que no se requieren valores de numerador y denominador para las metas, la meta en % se puede incluir manualmente.</t>
    </r>
  </si>
  <si>
    <t xml:space="preserve">    •  Para algunos indicadores, aunque se establezcan metas en %, se requerirá que los resultados se reporten incluyendo el numerador, denominador y porcentaje.</t>
  </si>
  <si>
    <t xml:space="preserve">   •   Ingrese "TBD" si las metas se determinarán en una etapa posterior (por ejemplo, en casos en los que no se dispone de datos de referencia precisos o se esperan resultados al momento de elaborar el marco de desempeño y, por lo tanto, no es posible establecer la meta al momento de la presentación del Marco de desempeño).</t>
  </si>
  <si>
    <t xml:space="preserve">   •   Esta columna debe usarse para proporcionar información adicional relacionada con el indicador y las metas, como:</t>
  </si>
  <si>
    <t>- Supuestos para las metas, por ejemplo, cómo se alinean con el PEN o cualquiera de las otras metas o compromisos del país;</t>
  </si>
  <si>
    <t>- Descripción del área geográfica si las metas son subnacionales (por ejemplo, en el caso de beneficiarios principales de ONG que informan desde sitios específicos del proyecto);</t>
  </si>
  <si>
    <t>- En caso de que falten líneas de base y/o metas, indique cuándo estará disponible esta información y se actualizará el marco de desempeño.</t>
  </si>
  <si>
    <t xml:space="preserve"> - Información relevante adicional, por ejemplo, la cobertura de consultas prenatales al establecer objetivos de PTMI, las Fuentes de datos utilizadas para generar las estimaciones del tamaño de la Población, para intervenciones que incluyen un paquete de servicios, y la Descripción de los componentes del paquete.</t>
  </si>
  <si>
    <t>Desagregación (indicadores de impacto, resultado y cobertura) – Sección E</t>
  </si>
  <si>
    <t>• Utilice los enlaces provistos para desplazarse hacia abajo hasta los indicadores de impacto, resultado y cobertura en esta página que requieren una desagregación.</t>
  </si>
  <si>
    <t>• También incluye el enlace a la sección de las instrucciones que es relevante para completar la Desagregación - sección E.</t>
  </si>
  <si>
    <t>Desagregación del indicador</t>
  </si>
  <si>
    <t>• Los campos para Número de indicador, Nombre del indicador, categoría de desagregación y valor de desagregación se generarán de manera automática o previae en función de las categorías de desagregación requeridas para los indicadores estándar de impacto, resultado y cobertura que sean seleccionados en las secciones anteriores.</t>
  </si>
  <si>
    <t xml:space="preserve">
Línea de base #N
Línea de base #D 
</t>
  </si>
  <si>
    <t>• Proporcione los valores de numerador y denominador de referencia (según corresponda) para las categorías y variables de desagregación requeridas.</t>
  </si>
  <si>
    <t>• En caso de que falten líneas de base, deje este campo en blanco e indique en el cuadro de comentarios las acciones que se están tomando y cuándo estará disponible esta información, y se espera actualizar el marco de desempeño.</t>
  </si>
  <si>
    <t>• Este campo se calculará automáticamente en los casos en que se ingresen valores de numerador y denominador de la línea de base para el indicador.</t>
  </si>
  <si>
    <t>• Incluir el año de los datos de la línea de base. En caso de que no haya un valor de línea de base disponible, este campo debe dejarse en blanco.</t>
  </si>
  <si>
    <t xml:space="preserve">Fuente de línea de base </t>
  </si>
  <si>
    <t>• Incluir la fuente de datos para la línea de base.</t>
  </si>
  <si>
    <t>• Proporcionar cualquier información relevante relacionada con los datos desagregados.</t>
  </si>
  <si>
    <t>• Indique si la fuente de datos para la desagregación es diferente del valor de la línea de base total.</t>
  </si>
  <si>
    <t>• Indique si la fuente de datos de la línea de base es diferente de la fuente de datos que se utilizará para reportar el indicador.</t>
  </si>
  <si>
    <t>• Indique cualquier acción que se esté tomando / planificando para recopilar los datos que no estén disponibles para la línea de base y cuándo será necesario actualizar el marco de desempeño.</t>
  </si>
  <si>
    <t xml:space="preserve">Medidas de seguimiento al plan de trabajo - Sección F </t>
  </si>
  <si>
    <t>Para ser completado por los solicitantes regionales / RP</t>
  </si>
  <si>
    <t>Medidas de seguimiento al plan de trabajo</t>
  </si>
  <si>
    <t>• Las medidas de seguimiento del plan de trabajo (MSPT) podrían incluirse en la solicitud de financiamiento para módulos e intervenciones que no tienen indicadores de cobertura suficientes o adecuados para medir el progreso durante el período de implementación de la subvención.</t>
  </si>
  <si>
    <t>• Estos son monitoreados usando un conjunto definido de hitos / metas. Por ejemplo, para módulos e intervenciones relacionadas con RSSH, o Derechos Humanos, o en subvenciones regionales o de múltiples países, para dar seguimiento a las acciones de abogacía y otras actividades transfronterizas que no es posible medir a través de la lista de indicadores estándar.</t>
  </si>
  <si>
    <t xml:space="preserve">Navegación de página </t>
  </si>
  <si>
    <t>• Incluye el enlace a la sección de las instrucciones que es corresponde para completar las MSPT - sección F.</t>
  </si>
  <si>
    <t>• Inserte el nombre del módulo relacionado con la actividad en el menú desplegable. La lista incluirá todos los módulos que hayan sido incluidos en la Descripción general - Sección A.</t>
  </si>
  <si>
    <t>• Este campo solo se puede completar después de seleccionar las intervenciones estándar en la columna adyacente "Intervención".</t>
  </si>
  <si>
    <t>• Este campo aplica solo para algunos módulos e intervenciones estándar relacionadas solo con el componente VIH. Esto incluye los módulos "Prevención", "Servicios diferenciados de prueba de VIH " y "Tratamiento, atención y apoyo". Para los módulos RSSH, TB, malaria y los restantes de VIH e intervenciones relacionadas, seleccione la opción "No aplica" de la lista desplegable.</t>
  </si>
  <si>
    <t>• Una vez que se selecciona una "Intervención estándar", el menú desplegable en el campo "Población" mostrará los grupos de población relevantes que aplican a esta intervención. Seleccione el correspondiente usando la lista desplegable.</t>
  </si>
  <si>
    <t>• Para intervenciones personalizadas no se requiere identificar una población en el campo de población. Si se selecciona una "Intervención personalizada", el menú desplegable en el campo "Población" mostrará solo una opción: "No aplica". Seleccione esta opción usando la lista desplegable. No sobrescriba este campo para agregar un grupo de población.</t>
  </si>
  <si>
    <t>Intervención</t>
  </si>
  <si>
    <t>• Debajo de cada módulo, seleccione la intervención relacionada con la medida de seguimiento del menú desplegable. La lista incluirá todas las intervenciones incluidas en la Descripción General - Sección A.</t>
  </si>
  <si>
    <t xml:space="preserve">Actividades claves </t>
  </si>
  <si>
    <t>• Incluir la actividad clave a ser monitoreada en base a un conjunto definido de hitos y metas.</t>
  </si>
  <si>
    <t>Receptor principal responsible</t>
  </si>
  <si>
    <t>En la etapa de solicitud de financiación:</t>
  </si>
  <si>
    <t>• El solicitante debe incluir el nombre del Receptor Principal (a seleccionar de los Receptores Principales identificados en la solicitud de financiamiento) que será responsable de implementar y reportar sobre estas actividades e hitos / metas al Fondo Mundial. Los nombres deben seleccionarse en el menú desplegable que se rellena previamente con los nombres ingresados en la pestaña "Descripción general-Sección A".</t>
  </si>
  <si>
    <t>En la etapa de elaboración de las subvenciones:</t>
  </si>
  <si>
    <t>• Si se nominó a más de un Receptor Principal en la etapa de solicitud de financiamiento, se pondrán a disposición plantillas de marco de desempeño separadas para cada Receptor Principal seleccionado durante la negociación de la subvención. Este campo no aparecerá en el Marco de desempeño de la elaboración de la subvención.</t>
  </si>
  <si>
    <t>• Para solicitudes / subvenciones de un solo país, incluya el nombre del país.</t>
  </si>
  <si>
    <t>• Para solicitudes / subvenciones regionales o de varios países, el solicitante / Receptor principal debe especificar el nombre del país correspondiente para cada actividad seleccionada.</t>
  </si>
  <si>
    <t>• Para solicitudes / subvenciones regionales o de varios países, si una actividad y un hito / meta relacionado cubre dos o más países, los solicitantes / Receptores principales deben seleccionar la opción "Multi-país" del menú desplegable y especificar los nombres de estos países / área geográfica en la columna de comentarios.</t>
  </si>
  <si>
    <t xml:space="preserve">Hito/descripción de la meta </t>
  </si>
  <si>
    <t>• Las MSPT podrían ser hitos cualitativos o metas cuantitativas.</t>
  </si>
  <si>
    <t>• Identifique las medidas (como hitos cualitativos o metas cuantitativas) que permitirán mostrar el progreso de cada una de las actividades seleccionadas en cada período cuando se espera que se alcance la MSPT (i.e. hito o meta).</t>
  </si>
  <si>
    <t>• Incluya un número limitado de MSPT (hasta cinco para todos los módulos en su conjunto) que se reportarán durante el período de implementación de la subvención. No es necesario que todos los períodos de reporte tengan MSPT (i.e. un hito o meta).</t>
  </si>
  <si>
    <t>• Si la subvención ya incluye indicadores personalizados, evite usar MSPT.</t>
  </si>
  <si>
    <t>• La descripción del hito no debe exceder los 200 caracteres.</t>
  </si>
  <si>
    <t>Criterios de completitud</t>
  </si>
  <si>
    <t>• Especifique el criterio cuando la MSPT, i.e. el hito / objetivo se considerará como "no iniciado", "iniciado", "avanzado" o "completado". Es obligatorio completar este campo, ya que se utilizará para calcular el avance y calificar las MSPT.</t>
  </si>
  <si>
    <t>• Estos criterios se utilizarán para evaluar y calificar el progreso de las MSPT durante la implementación de actividades clave. Por ejemplo, para el hito "Evaluación de necesidades realizada", los criterios de completitud para evaluar el nivel de implementación de la actividad podrían ser los siguientes:</t>
  </si>
  <si>
    <r>
      <rPr>
        <sz val="11"/>
        <color indexed="8"/>
        <rFont val="Calibri"/>
        <family val="2"/>
      </rPr>
      <t xml:space="preserve">o </t>
    </r>
    <r>
      <rPr>
        <b/>
        <sz val="11"/>
        <color indexed="8"/>
        <rFont val="Calibri"/>
        <family val="2"/>
      </rPr>
      <t xml:space="preserve">NO INICIADA: </t>
    </r>
    <r>
      <rPr>
        <sz val="11"/>
        <color indexed="8"/>
        <rFont val="Calibri"/>
        <family val="2"/>
      </rPr>
      <t>Actividad no iniciada</t>
    </r>
  </si>
  <si>
    <r>
      <rPr>
        <sz val="11"/>
        <color indexed="8"/>
        <rFont val="Calibri"/>
        <family val="2"/>
      </rPr>
      <t xml:space="preserve">o </t>
    </r>
    <r>
      <rPr>
        <b/>
        <sz val="11"/>
        <color indexed="8"/>
        <rFont val="Calibri"/>
        <family val="2"/>
      </rPr>
      <t>INICIADA</t>
    </r>
    <r>
      <rPr>
        <sz val="11"/>
        <color indexed="8"/>
        <rFont val="Calibri"/>
        <family val="2"/>
      </rPr>
      <t>: Protocolo desarrollado</t>
    </r>
  </si>
  <si>
    <r>
      <rPr>
        <sz val="11"/>
        <color indexed="8"/>
        <rFont val="Calibri"/>
        <family val="2"/>
      </rPr>
      <t xml:space="preserve">o </t>
    </r>
    <r>
      <rPr>
        <b/>
        <sz val="11"/>
        <color indexed="8"/>
        <rFont val="Calibri"/>
        <family val="2"/>
      </rPr>
      <t>AVANZADA</t>
    </r>
    <r>
      <rPr>
        <sz val="11"/>
        <color indexed="8"/>
        <rFont val="Calibri"/>
        <family val="2"/>
      </rPr>
      <t>: trabajo de campo completado</t>
    </r>
  </si>
  <si>
    <r>
      <rPr>
        <sz val="11"/>
        <color indexed="8"/>
        <rFont val="Calibri"/>
        <family val="2"/>
      </rPr>
      <t xml:space="preserve">o </t>
    </r>
    <r>
      <rPr>
        <b/>
        <sz val="11"/>
        <color indexed="8"/>
        <rFont val="Calibri"/>
        <family val="2"/>
      </rPr>
      <t xml:space="preserve">COMPLETADA: </t>
    </r>
    <r>
      <rPr>
        <sz val="11"/>
        <color indexed="8"/>
        <rFont val="Calibri"/>
        <family val="2"/>
      </rPr>
      <t>El informe de la evaluación de necesidades está avalado por las autoridades pertinentes, ha sido publicado y difundido en el sitio web.</t>
    </r>
  </si>
  <si>
    <t>• Proporcionar cualquier información relevante relacionada con la actividad y/o la MSPT.</t>
  </si>
  <si>
    <t>Version  2.0.4</t>
  </si>
  <si>
    <t>Spanish</t>
  </si>
  <si>
    <t>IP Record Type</t>
  </si>
  <si>
    <t>Funding Request</t>
  </si>
  <si>
    <t xml:space="preserve"> </t>
  </si>
  <si>
    <t>IP End Date</t>
  </si>
  <si>
    <t>Programmatic Report Period Frequency</t>
  </si>
  <si>
    <t>Type of Revision</t>
  </si>
  <si>
    <t>AUP1 Start Date</t>
  </si>
  <si>
    <t>IP Record ID</t>
  </si>
  <si>
    <t>a1K3p000007CppVEAS</t>
  </si>
  <si>
    <t>AUP1 End Date</t>
  </si>
  <si>
    <t>sheet name</t>
  </si>
  <si>
    <t>Component (Name)</t>
  </si>
  <si>
    <t>[Component Name]</t>
  </si>
  <si>
    <t>[Component (Name)]</t>
  </si>
  <si>
    <t>HIV/AIDS</t>
  </si>
  <si>
    <t>Tuberculosis</t>
  </si>
  <si>
    <t>RSSH</t>
  </si>
  <si>
    <t>Record ID</t>
  </si>
  <si>
    <t>Account Role ID</t>
  </si>
  <si>
    <t>Grant (Name)</t>
  </si>
  <si>
    <t>[Account (Name)]</t>
  </si>
  <si>
    <t>[Record ID]</t>
  </si>
  <si>
    <t>[Account Role ID]</t>
  </si>
  <si>
    <t>[Grant (Name)]</t>
  </si>
  <si>
    <t>Allow creation from PF</t>
  </si>
  <si>
    <t>Concatenation of Names</t>
  </si>
  <si>
    <t>Temporary Placeholder for Account Id</t>
  </si>
  <si>
    <t>Dummy Account Id</t>
  </si>
  <si>
    <t>Account (Name)</t>
  </si>
  <si>
    <t>[Account Role Number]</t>
  </si>
  <si>
    <t>[Alternative Account]</t>
  </si>
  <si>
    <t>[Account]</t>
  </si>
  <si>
    <t>United Nations Development Programme</t>
  </si>
  <si>
    <t>0013600000zN6z8AAC</t>
  </si>
  <si>
    <t>a123p000006a3ZEAAY</t>
  </si>
  <si>
    <t>Funding Request Place Holder</t>
  </si>
  <si>
    <t>AR-10752</t>
  </si>
  <si>
    <t>a123p000006a3ZFAAY</t>
  </si>
  <si>
    <t>AR-10753</t>
  </si>
  <si>
    <t>a123p000006a3ZGAAY</t>
  </si>
  <si>
    <t>AR-10754</t>
  </si>
  <si>
    <t>a123p000006a3ZHAAY</t>
  </si>
  <si>
    <t>AR-10755</t>
  </si>
  <si>
    <t>a123p000006a3ZIAAY</t>
  </si>
  <si>
    <t>AR-10756</t>
  </si>
  <si>
    <t>a123p000006a3ZJAAY</t>
  </si>
  <si>
    <t>AR-10757</t>
  </si>
  <si>
    <t>a123p000006a3ZKAAY</t>
  </si>
  <si>
    <t>AR-10758</t>
  </si>
  <si>
    <t>a123p000006a3ZLAAY</t>
  </si>
  <si>
    <t>AR-10759</t>
  </si>
  <si>
    <t>a123p000006a3ZMAAY</t>
  </si>
  <si>
    <t>AR-10760</t>
  </si>
  <si>
    <t>Disbursement Request</t>
  </si>
  <si>
    <t>Disbursement Request(Display)</t>
  </si>
  <si>
    <t>Reporting Period Start Date</t>
  </si>
  <si>
    <t>Reporting Period End Date</t>
  </si>
  <si>
    <t>[Disbursement Request]</t>
  </si>
  <si>
    <t>[Reporting Period Start Date]</t>
  </si>
  <si>
    <t>[Reporting Period End Date]</t>
  </si>
  <si>
    <t>Sí</t>
  </si>
  <si>
    <t>a1Y3p000007Lr0mEAC</t>
  </si>
  <si>
    <t>a1Y3p000007Lr0nEAC</t>
  </si>
  <si>
    <t>No</t>
  </si>
  <si>
    <t>a1Y3p000007Lr0oEAC</t>
  </si>
  <si>
    <t>a1Y3p000007Lr0pEAC</t>
  </si>
  <si>
    <t>a1Y3p000007Lr0qEAC</t>
  </si>
  <si>
    <t>a1Y3p000007Lr0rEAC</t>
  </si>
  <si>
    <t>[Goal Number]</t>
  </si>
  <si>
    <t>[Goal Name]</t>
  </si>
  <si>
    <t>Contribuir con la reducción de nuevos casos de VIH/SIDA manteniendo la prevalencia por debajo de 0.30%, con enfoque en las poblaciones clave de mayor prevalencia en Bolivia</t>
  </si>
  <si>
    <t>a1C3p00000ZCuLaEAL</t>
  </si>
  <si>
    <t>Reducir la incidencia de la tuberculosis en todas sus formas en 1,5% al 2025.</t>
  </si>
  <si>
    <t>a1C3p00000ZCuLbEAL</t>
  </si>
  <si>
    <t>a1C3p00000ZCuLcEAL</t>
  </si>
  <si>
    <t>a1C3p00000ZCuLdEAL</t>
  </si>
  <si>
    <t>a1C3p00000ZCuLeEAL</t>
  </si>
  <si>
    <t>a1C3p00000ZCuLfEAL</t>
  </si>
  <si>
    <t>a1C3p00000ZCuLgEAL</t>
  </si>
  <si>
    <t>a1C3p00000ZCuLhEAL</t>
  </si>
  <si>
    <t>a1C3p00000ZCuLiEAL</t>
  </si>
  <si>
    <t>a1C3p00000ZCuLjEAL</t>
  </si>
  <si>
    <t>a1C3p00000ZCuLkEAL</t>
  </si>
  <si>
    <t>a1C3p00000ZCuLlEAL</t>
  </si>
  <si>
    <t>[Objective Number]</t>
  </si>
  <si>
    <t>[Objective Name]</t>
  </si>
  <si>
    <t>Mejorar el acceso de los gays, bisexuales y otros hombres que tienen sexo con hombres, mujeres trans y Trabajadoras sexuales a los servicios de prevención y diagnóstico del VIH.</t>
  </si>
  <si>
    <t>a1R3p000007n04PEAQ</t>
  </si>
  <si>
    <t>Fortalecer la vinculación, retención, acceso a tratamiento ARV y supresión de la carga viral de las personas viviendo con VIH.</t>
  </si>
  <si>
    <t>a1R3p000007n04QEAQ</t>
  </si>
  <si>
    <t>Ofertar servicios de atención, detección de casos, diagnóstico y tratamiento de la Tuberculosis, para reducir la carga de Tuberculosis en todas sus formas.</t>
  </si>
  <si>
    <t>a1R3p000007n04REAQ</t>
  </si>
  <si>
    <t>Fortalecer la oferta de servicios de atención TB MDR, con el diagnóstico temprano, detección de casos, garantizando tratamiento y seguimiento; para reducir la carga de TB MDR.</t>
  </si>
  <si>
    <t>a1R3p000007n04SEAQ</t>
  </si>
  <si>
    <t>a1R3p000007n04TEAQ</t>
  </si>
  <si>
    <t>a1R3p000007n04UEAQ</t>
  </si>
  <si>
    <t>a1R3p000007n04VEAQ</t>
  </si>
  <si>
    <t>a1R3p000007n04WEAQ</t>
  </si>
  <si>
    <t>a1R3p000007n04XEAQ</t>
  </si>
  <si>
    <t>a1R3p000007n04YEAQ</t>
  </si>
  <si>
    <t>a1R3p000007n04ZEAQ</t>
  </si>
  <si>
    <t>a1R3p000007n04aEAA</t>
  </si>
  <si>
    <t>module name repeated</t>
  </si>
  <si>
    <t>Module ID</t>
  </si>
  <si>
    <t>Module Reference (Name)</t>
  </si>
  <si>
    <t>Module Reference</t>
  </si>
  <si>
    <t>[Module Number]</t>
  </si>
  <si>
    <t>[Module ID]</t>
  </si>
  <si>
    <t>[Module Reference (Name)]</t>
  </si>
  <si>
    <t>M-64455</t>
  </si>
  <si>
    <t>Prevención</t>
  </si>
  <si>
    <t>a1P3p00000CPRBdEAP</t>
  </si>
  <si>
    <t>M-64456</t>
  </si>
  <si>
    <t>Servicios diferenciados de diagnóstico del VIH</t>
  </si>
  <si>
    <t>a1P3p00000CPRBeEAP</t>
  </si>
  <si>
    <t>M-64457</t>
  </si>
  <si>
    <t>Tratamiento, atención y apoyo</t>
  </si>
  <si>
    <t>a1P3p00000CPRBfEAP</t>
  </si>
  <si>
    <t>M-64458</t>
  </si>
  <si>
    <t>Atención y prevención de la tuberculosis</t>
  </si>
  <si>
    <t>a1P3p00000CPRBgEAP</t>
  </si>
  <si>
    <t>M-64459</t>
  </si>
  <si>
    <t>Tuberculosis multirresistente</t>
  </si>
  <si>
    <t>a1P3p00000CPRBhEAP</t>
  </si>
  <si>
    <t>M-64460</t>
  </si>
  <si>
    <t>SSRS: Sistemas de información de gestión de salud y M&amp;E (Monitoria y Evaluación)</t>
  </si>
  <si>
    <t>a1P3p00000CPRBiEAP</t>
  </si>
  <si>
    <t>M-64461</t>
  </si>
  <si>
    <t>Gestión de programas</t>
  </si>
  <si>
    <t>a1P3p00000CPRBjEAP</t>
  </si>
  <si>
    <t>M-64462</t>
  </si>
  <si>
    <t>a1P3p00000CPRBkEAP</t>
  </si>
  <si>
    <t>M-64463</t>
  </si>
  <si>
    <t>a1P3p00000CPRBlEAP</t>
  </si>
  <si>
    <t>M-64464</t>
  </si>
  <si>
    <t>a1P3p00000CPRBmEAP</t>
  </si>
  <si>
    <t>M-64465</t>
  </si>
  <si>
    <t>a1P3p00000CPRBnEAP</t>
  </si>
  <si>
    <t>M-64466</t>
  </si>
  <si>
    <t>a1P3p00000CPRBoEAP</t>
  </si>
  <si>
    <t>M-64467</t>
  </si>
  <si>
    <t>a1P3p00000CPRBpEAP</t>
  </si>
  <si>
    <t>M-64468</t>
  </si>
  <si>
    <t>a1P3p00000CPRBqEAP</t>
  </si>
  <si>
    <t>M-64469</t>
  </si>
  <si>
    <t>a1P3p00000CPRBrEAP</t>
  </si>
  <si>
    <t>Interventions</t>
  </si>
  <si>
    <t>original population</t>
  </si>
  <si>
    <t>Intervention ES</t>
  </si>
  <si>
    <t>Intervention FR</t>
  </si>
  <si>
    <t>Column6</t>
  </si>
  <si>
    <t>Column7</t>
  </si>
  <si>
    <t>Column8</t>
  </si>
  <si>
    <t>Intervention Name</t>
  </si>
  <si>
    <t>Dependent List Population Start</t>
  </si>
  <si>
    <t>Dependent List Population Stop</t>
  </si>
  <si>
    <t>Column12</t>
  </si>
  <si>
    <t>Column13</t>
  </si>
  <si>
    <t>Standard Intervention2</t>
  </si>
  <si>
    <t>Column9</t>
  </si>
  <si>
    <t>Module Name</t>
  </si>
  <si>
    <t>Population</t>
  </si>
  <si>
    <t>Allow Field Update</t>
  </si>
  <si>
    <t>Intervention ID</t>
  </si>
  <si>
    <t>Formula to sort module name</t>
  </si>
  <si>
    <t>formula to fetch intervention based on module name-used in WPTM sheet</t>
  </si>
  <si>
    <t>concat module&amp;inter</t>
  </si>
  <si>
    <t>Helper1 module + int + pop</t>
  </si>
  <si>
    <t>helper 2</t>
  </si>
  <si>
    <t>rank</t>
  </si>
  <si>
    <t>sorted</t>
  </si>
  <si>
    <t>module</t>
  </si>
  <si>
    <t>pop</t>
  </si>
  <si>
    <t>module+pop</t>
  </si>
  <si>
    <t>Intervention ID--no use(for putting formula)</t>
  </si>
  <si>
    <t>[Intervention ES]</t>
  </si>
  <si>
    <t>[Intervention FR]</t>
  </si>
  <si>
    <t>[Intervention]</t>
  </si>
  <si>
    <t>[Intervention ID (Name)]</t>
  </si>
  <si>
    <t>[Intervention ID]</t>
  </si>
  <si>
    <t>Pruebas a nivel comunitario</t>
  </si>
  <si>
    <t>HSH</t>
  </si>
  <si>
    <t>a1M3p00000Em1RsEAJ</t>
  </si>
  <si>
    <t>INT-257063</t>
  </si>
  <si>
    <t>PrEP</t>
  </si>
  <si>
    <t>a1M3p00000Em1RtEAJ</t>
  </si>
  <si>
    <t>INT-257064</t>
  </si>
  <si>
    <t>Detección y diagnóstico de casos (Atención y prevención de la tuberculosis)</t>
  </si>
  <si>
    <t>No aplicable</t>
  </si>
  <si>
    <t>a1M3p00000Em1RuEAJ</t>
  </si>
  <si>
    <t>INT-257065</t>
  </si>
  <si>
    <t>Tratamiento (Tuberculosis multirresistente)</t>
  </si>
  <si>
    <t>a1M3p00000Em1RvEAJ</t>
  </si>
  <si>
    <t>INT-257066</t>
  </si>
  <si>
    <t>a1M3p00000Em1RwEAJ</t>
  </si>
  <si>
    <t>INT-257067</t>
  </si>
  <si>
    <t>a1M3p00000Em1RxEAJ</t>
  </si>
  <si>
    <t>INT-257068</t>
  </si>
  <si>
    <t>a1M3p00000Em1RyEAJ</t>
  </si>
  <si>
    <t>INT-257069</t>
  </si>
  <si>
    <t>a1M3p00000Em1RzEAJ</t>
  </si>
  <si>
    <t>INT-257070</t>
  </si>
  <si>
    <t>a1M3p00000Em1S0EAJ</t>
  </si>
  <si>
    <t>INT-257071</t>
  </si>
  <si>
    <t>a1M3p00000Em1S1EAJ</t>
  </si>
  <si>
    <t>INT-257072</t>
  </si>
  <si>
    <t>a1M3p00000Em1S2EAJ</t>
  </si>
  <si>
    <t>INT-257073</t>
  </si>
  <si>
    <t>a1M3p00000Em1S3EAJ</t>
  </si>
  <si>
    <t>INT-257074</t>
  </si>
  <si>
    <t>a1M3p00000Em1S4EAJ</t>
  </si>
  <si>
    <t>INT-257075</t>
  </si>
  <si>
    <t>a1M3p00000Em1S5EAJ</t>
  </si>
  <si>
    <t>INT-257076</t>
  </si>
  <si>
    <t>a1M3p00000Em1S6EAJ</t>
  </si>
  <si>
    <t>INT-257077</t>
  </si>
  <si>
    <t>a1M3p00000Em1S7EAJ</t>
  </si>
  <si>
    <t>INT-257078</t>
  </si>
  <si>
    <t>a1M3p00000Em1S8EAJ</t>
  </si>
  <si>
    <t>INT-257079</t>
  </si>
  <si>
    <t>a1M3p00000Em1S9EAJ</t>
  </si>
  <si>
    <t>INT-257080</t>
  </si>
  <si>
    <t>a1M3p00000Em1SAEAZ</t>
  </si>
  <si>
    <t>INT-257081</t>
  </si>
  <si>
    <t>a1M3p00000Em1SBEAZ</t>
  </si>
  <si>
    <t>INT-257082</t>
  </si>
  <si>
    <t>a1M3p00000Em1SCEAZ</t>
  </si>
  <si>
    <t>INT-257083</t>
  </si>
  <si>
    <t>a1M3p00000Em1SDEAZ</t>
  </si>
  <si>
    <t>INT-257084</t>
  </si>
  <si>
    <t>a1M3p00000Em1SEEAZ</t>
  </si>
  <si>
    <t>INT-257085</t>
  </si>
  <si>
    <t>a1M3p00000Em1SFEAZ</t>
  </si>
  <si>
    <t>INT-257086</t>
  </si>
  <si>
    <t>a1M3p00000Em1SGEAZ</t>
  </si>
  <si>
    <t>INT-257087</t>
  </si>
  <si>
    <t>a1M3p00000Em1SHEAZ</t>
  </si>
  <si>
    <t>INT-257088</t>
  </si>
  <si>
    <t>a1M3p00000Em1SIEAZ</t>
  </si>
  <si>
    <t>INT-257089</t>
  </si>
  <si>
    <t>a1M3p00000Em1SJEAZ</t>
  </si>
  <si>
    <t>INT-257090</t>
  </si>
  <si>
    <t>a1M3p00000Em1SKEAZ</t>
  </si>
  <si>
    <t>INT-257091</t>
  </si>
  <si>
    <t>a1M3p00000Em1SLEAZ</t>
  </si>
  <si>
    <t>INT-257092</t>
  </si>
  <si>
    <t>a1M3p00000Em1SMEAZ</t>
  </si>
  <si>
    <t>INT-257093</t>
  </si>
  <si>
    <t>a1M3p00000Em1SNEAZ</t>
  </si>
  <si>
    <t>INT-257094</t>
  </si>
  <si>
    <t>a1M3p00000Em1SOEAZ</t>
  </si>
  <si>
    <t>INT-257095</t>
  </si>
  <si>
    <t>a1M3p00000Em1SPEAZ</t>
  </si>
  <si>
    <t>INT-257096</t>
  </si>
  <si>
    <t>a1M3p00000Em1SQEAZ</t>
  </si>
  <si>
    <t>INT-257097</t>
  </si>
  <si>
    <t>a1M3p00000Em1SREAZ</t>
  </si>
  <si>
    <t>INT-257098</t>
  </si>
  <si>
    <t>a1M3p00000Em1SSEAZ</t>
  </si>
  <si>
    <t>INT-257099</t>
  </si>
  <si>
    <t>a1M3p00000Em1STEAZ</t>
  </si>
  <si>
    <t>INT-257100</t>
  </si>
  <si>
    <t>a1M3p00000Em1SUEAZ</t>
  </si>
  <si>
    <t>INT-257101</t>
  </si>
  <si>
    <t>a1M3p00000Em1SVEAZ</t>
  </si>
  <si>
    <t>INT-257102</t>
  </si>
  <si>
    <t>a1M3p00000Em1SWEAZ</t>
  </si>
  <si>
    <t>INT-257103</t>
  </si>
  <si>
    <t>a1M3p00000Em1SXEAZ</t>
  </si>
  <si>
    <t>INT-257104</t>
  </si>
  <si>
    <t>a1M3p00000Em1SYEAZ</t>
  </si>
  <si>
    <t>INT-257105</t>
  </si>
  <si>
    <t>a1M3p00000Em1SZEAZ</t>
  </si>
  <si>
    <t>INT-257106</t>
  </si>
  <si>
    <t>a1M3p00000Em1SaEAJ</t>
  </si>
  <si>
    <t>INT-257107</t>
  </si>
  <si>
    <t>a1M3p00000Em1SbEAJ</t>
  </si>
  <si>
    <t>INT-257108</t>
  </si>
  <si>
    <t>a1M3p00000Em1ScEAJ</t>
  </si>
  <si>
    <t>INT-257109</t>
  </si>
  <si>
    <t>a1M3p00000Em1SdEAJ</t>
  </si>
  <si>
    <t>INT-257110</t>
  </si>
  <si>
    <t>a1M3p00000Em1SeEAJ</t>
  </si>
  <si>
    <t>INT-257111</t>
  </si>
  <si>
    <t>a1M3p00000Em1SfEAJ</t>
  </si>
  <si>
    <t>INT-257112</t>
  </si>
  <si>
    <t>hi</t>
  </si>
  <si>
    <t>Version number</t>
  </si>
  <si>
    <t>Date</t>
  </si>
  <si>
    <t>Changes made</t>
  </si>
  <si>
    <t>Made by</t>
  </si>
  <si>
    <t>At request of</t>
  </si>
  <si>
    <t xml:space="preserve">• Changed mapping on Overview page to pick up module IDs
• Changed mapping on Disaggregation under coverage indicators to bring indicator reference ID withformula RIGHT( ) instead of LEFT() to fix issue for TCP 2M
• Changed modules to read from softdeleted sheet
</t>
  </si>
  <si>
    <t>Tanaka Ndowa</t>
  </si>
  <si>
    <t>Kingsley Awuku</t>
  </si>
  <si>
    <t>• Signed the macro
• Added save attachment on extraction</t>
  </si>
  <si>
    <t>2.0.3 (This is to align with the English PF version, and we do not have the 2.0.2 version for Spanish)</t>
  </si>
  <si>
    <t>27/05/2020</t>
  </si>
  <si>
    <t xml:space="preserve">
1. 0 value fix 
2. Visualization rules
3. Coverage Indicator TBD Fix
4. Print View visualization of 0 values.
5. Enabling 4 decimal places for Impact, Outcome, Disaggregation N#
6. Print view to incorporate 4 decimal place.
7. Print view to incorporate Other language Local
8. Responsible PR formula Fix to include Grant Making logic
9. Allowing WPTM Results for 9 Reporting Periods.
10. Conditional Formatting for Population Columns.</t>
  </si>
  <si>
    <t>Shalini Mitra</t>
  </si>
  <si>
    <t>Irina Kirkman</t>
  </si>
  <si>
    <t>2.0.3</t>
  </si>
  <si>
    <t>Added Enable and Disable calculations macro to each AddRow operation in the ActionFlow to increase the performance.</t>
  </si>
  <si>
    <t>Vasu Deva Dattatreya</t>
  </si>
  <si>
    <t>Swamikan Nadar</t>
  </si>
  <si>
    <t>2.0.4</t>
  </si>
  <si>
    <t>1.Fixed Target  Result Issue in Impact/outcome Indicator Sections.
2.Fixed the indicator Name issue which exceeds 255 character Limit in Coverage Indicator Section.
3.Fixed Impact disaggreagation comments(exceeds 255 character Limit) issue in disaggregation Section.
4. Fixed the Macro for Coverage Indicator Section</t>
  </si>
  <si>
    <t>Shalini Mitra &amp; Uma Maheswari</t>
  </si>
  <si>
    <t>Dalvinder Chandok</t>
  </si>
  <si>
    <t>Multicountry</t>
  </si>
  <si>
    <t>Impact Data - Component - Indicator Reference</t>
  </si>
  <si>
    <t>Impact Outcome Reference (Name)</t>
  </si>
  <si>
    <t>translated name</t>
  </si>
  <si>
    <t>translated disaggregation category</t>
  </si>
  <si>
    <t>Unique Name-Not in use</t>
  </si>
  <si>
    <t>unique Id</t>
  </si>
  <si>
    <t>unique name list</t>
  </si>
  <si>
    <t>truncated translated name name</t>
  </si>
  <si>
    <t>Component Indicator Reference ID</t>
  </si>
  <si>
    <t>Record Type (Name)</t>
  </si>
  <si>
    <t>Allocation Cycle (Name)</t>
  </si>
  <si>
    <t>Name</t>
  </si>
  <si>
    <t>Name - FR</t>
  </si>
  <si>
    <t>Name - ES</t>
  </si>
  <si>
    <t>Disaggregation Categories</t>
  </si>
  <si>
    <t>Disaggregation Categories FR</t>
  </si>
  <si>
    <t>Disaggregation Categories ES</t>
  </si>
  <si>
    <t>[Impact Outcome Reference (Name)]</t>
  </si>
  <si>
    <t>[Component Indicator Reference ID]</t>
  </si>
  <si>
    <t>[Record Type (Name)]</t>
  </si>
  <si>
    <t>[Allocation Cycle (Name)]</t>
  </si>
  <si>
    <t>--Select--</t>
  </si>
  <si>
    <t>[Disaggregation Categories]</t>
  </si>
  <si>
    <t>[Disaggregation Categories FR]</t>
  </si>
  <si>
    <t>[Disaggregation Categories ES]</t>
  </si>
  <si>
    <t>IOR-00079</t>
  </si>
  <si>
    <t>a1J1R000008lToKUAU</t>
  </si>
  <si>
    <t>a3z1R0000007SGD</t>
  </si>
  <si>
    <t>Impact</t>
  </si>
  <si>
    <t>2020-2022</t>
  </si>
  <si>
    <t>HIV I-13 Percentage of people living with HIV</t>
  </si>
  <si>
    <t>HIV I-13 Pourcentage de personnes vivant avec le VIH</t>
  </si>
  <si>
    <t>HIV I-13 Porcentaje de personas que viven con el VIH</t>
  </si>
  <si>
    <t>Gender | Age,Gender,Age</t>
  </si>
  <si>
    <t>Sexe,Age</t>
  </si>
  <si>
    <t>Género,Edad</t>
  </si>
  <si>
    <t>IOR-00080</t>
  </si>
  <si>
    <t>a1J1R000008lToLUAU</t>
  </si>
  <si>
    <t>a3z1R0000007SGE</t>
  </si>
  <si>
    <t>HIV I-14 Number of new HIV infections per 1000 uninfected population</t>
  </si>
  <si>
    <t>HIV I-14 Nombre de nouvelles infections par le VIH pour 1000 habitants non infectés</t>
  </si>
  <si>
    <t>HIV I-14 Número de infecciones nuevas de VIH por 1.000 habitantes no infectados</t>
  </si>
  <si>
    <t>IOR-00081</t>
  </si>
  <si>
    <t>a1J1R000008lToMUAU</t>
  </si>
  <si>
    <t>a3z1R0000007SGF</t>
  </si>
  <si>
    <t>HIV I-4 Number of AIDS-related deaths per 100,000 population</t>
  </si>
  <si>
    <t>HIV I-4 Nombre de décès liés au sida pour 100,000 habitants</t>
  </si>
  <si>
    <t>HIV I-4 Número de muertes relacionadas con el sida por cada 100.000 habitantes</t>
  </si>
  <si>
    <t>Age,Gender,Gender | Age</t>
  </si>
  <si>
    <t>Age,Sexe</t>
  </si>
  <si>
    <t>Edad,Género</t>
  </si>
  <si>
    <t>IOR-00082</t>
  </si>
  <si>
    <t>a1J1R000008lToNUAU</t>
  </si>
  <si>
    <t>a3z1R0000007SGG</t>
  </si>
  <si>
    <t>HIV I-6 Estimated percentage of children newly infected with HIV from mother-to-child transmission among women living with HIV delivering in the past 12 months</t>
  </si>
  <si>
    <t>HIV I-6 Pourcentage estimé d’enfants ayant été nouvellement infectés par le VIH dans le cadre de la transmission de la mère à l’enfant chez les femmes séropositives ayant accouché au cours des 12 derniers mois</t>
  </si>
  <si>
    <t>HIV I-6 Porcentaje estimado de niños que contraen el VIH mediante transmisión maternoinfantil entre el número de mujeres que viven con el VIH que han dado a luz en los 12 meses anteriores</t>
  </si>
  <si>
    <t>IOR-00083</t>
  </si>
  <si>
    <t>a1J1R000008lToOUAU</t>
  </si>
  <si>
    <t>a3z1R0000007SGH</t>
  </si>
  <si>
    <t>HIV I-9a⁽ᴹ⁾ Percentage of men who have sex with men who are living with HIV</t>
  </si>
  <si>
    <t>HIV I-9a⁽ᴹ⁾ Pourcentage d’hommes ayant des rapports sexuels avec des hommes vivant avec le VIH</t>
  </si>
  <si>
    <t>HIV I-9a⁽ᴹ⁾ Porcentaje de HSH y viven con el VIH</t>
  </si>
  <si>
    <t>Age</t>
  </si>
  <si>
    <t>Edad</t>
  </si>
  <si>
    <t>IOR-00084</t>
  </si>
  <si>
    <t>a1J1R000008lToPUAU</t>
  </si>
  <si>
    <t>a3z1R0000007SGI</t>
  </si>
  <si>
    <t>HIV I-9b⁽ᴹ⁾ Percentage of transgender people who are living with HIV</t>
  </si>
  <si>
    <t>HIV I-9b⁽ᴹ⁾ Pourcentage de personnes transgenres vivant avec le VIH</t>
  </si>
  <si>
    <t>HIV I-9b⁽ᴹ⁾ Porcentaje de personas transgénero que viven con el VIH</t>
  </si>
  <si>
    <t>IOR-00085</t>
  </si>
  <si>
    <t>a1J1R000008lToQUAU</t>
  </si>
  <si>
    <t>a3z1R0000007SGJ</t>
  </si>
  <si>
    <t>HIV I-10⁽ᴹ⁾ Percentage of sex workers who are living with HIV</t>
  </si>
  <si>
    <t>HIV I-10⁽ᴹ⁾ Pourcentage de professionnels du sexe vivant avec le VIH</t>
  </si>
  <si>
    <t>HIV I-10⁽ᴹ⁾ Porcentaje de trabajadores sexuales que viven con el VIH</t>
  </si>
  <si>
    <t>Gender,Age</t>
  </si>
  <si>
    <t>IOR-00086</t>
  </si>
  <si>
    <t>a1J1R000008lToRUAU</t>
  </si>
  <si>
    <t>a3z1R0000007SGK</t>
  </si>
  <si>
    <t>HIV I-11⁽ᴹ⁾ Percentage of people who inject drugs who are living with HIV</t>
  </si>
  <si>
    <t>HIV I-11⁽ᴹ⁾ Pourcentage de personnes qui s’injectent des drogues vivant avec le VIH</t>
  </si>
  <si>
    <t>HIV I-11⁽ᴹ⁾ Porcentaje de personas que consumen drogas inyectables y que viven con el VIH</t>
  </si>
  <si>
    <t>IOR-00087</t>
  </si>
  <si>
    <t>a1J1R000008lToSUAU</t>
  </si>
  <si>
    <t>a3z1R0000007SGL</t>
  </si>
  <si>
    <t>HIV I-12 Percentage of other vulnerable populations (specify) who are living with HIV</t>
  </si>
  <si>
    <t>HIV I-12 Pourcentage de personnes appartenant à d'autres populations vulnérables (à préciser) vivant avec le VIH</t>
  </si>
  <si>
    <t>HIV I-12 Porcentaje de otras poblaciones vulnerables (especifíquense) que viven con el VIH</t>
  </si>
  <si>
    <t>IOR-00088</t>
  </si>
  <si>
    <t>a1J1R000008lToTUAU</t>
  </si>
  <si>
    <t>a3z1R0000007SGM</t>
  </si>
  <si>
    <t>TB I-2 TB incidence rate per 100,000 population</t>
  </si>
  <si>
    <t>TB I-2 Taux d'incidence de la tuberculose pour 100,000 habitants</t>
  </si>
  <si>
    <t>TB I-2 Tasa de incidencia de la tuberculosis por 100.000 habitantes.</t>
  </si>
  <si>
    <t>IOR-00089</t>
  </si>
  <si>
    <t>a1J1R000008lToUUAU</t>
  </si>
  <si>
    <t>a3z1R0000007SGN</t>
  </si>
  <si>
    <t>TB I-3⁽ᴹ⁾ TB mortality rate per 100,000 population</t>
  </si>
  <si>
    <t>TB I-3⁽ᴹ⁾ Taux de mortalité par tuberculose pour 100,000 habitants</t>
  </si>
  <si>
    <t>TB I-3⁽ᴹ⁾ Tasa de mortalidad de la tuberculosis por 100.000 habitantes</t>
  </si>
  <si>
    <t>IOR-00090</t>
  </si>
  <si>
    <t>a1J1R000008lToVUAU</t>
  </si>
  <si>
    <t>a3z1R0000007SGO</t>
  </si>
  <si>
    <t>TB I-4⁽ᴹ⁾ RR-TB and/or MDR-TB prevalence among new TB patients: Proportion of new TB cases with RR-TB and/or MDR-TB</t>
  </si>
  <si>
    <t>TB I-4⁽ᴹ⁾ Prévalence de la tuberculose résistante à la rifampicine et/ou de la tuberculose multirésistante chez les nouveaux patients atteints de tuberculose : proportion de nouveaux cas de tuberculose avec TB-RR et/ou TB-MR</t>
  </si>
  <si>
    <t>TB I-4⁽ᴹ⁾ Prevalencia de la tuberculosis resistente a la rifampicina y/o la tuberculosis multirresistente en pacientes nuevos de la enfermedad: Proporción de nuevos casos de tuberculosis resistente a la rifampicina y/o tuberculosis multirresistente.</t>
  </si>
  <si>
    <t>IOR-00091</t>
  </si>
  <si>
    <t>a1J1R000008lToWUAU</t>
  </si>
  <si>
    <t>a3z1R0000007SGP</t>
  </si>
  <si>
    <t>TB/HIV I-1 TB/HIV mortality rate per 100,000 population</t>
  </si>
  <si>
    <t>TB/HIV I-1 Taux de mortalité par tuberculose/VIH (pour 100 000 habitants)</t>
  </si>
  <si>
    <t>TB/HIV I-1 Tasa de mortalidad de la TB y el VIH por 100.000 habitantes</t>
  </si>
  <si>
    <t>a3z1R0000007SGQ</t>
  </si>
  <si>
    <t>Outcome Data - Component - Indicator Reference</t>
  </si>
  <si>
    <t>Translated name</t>
  </si>
  <si>
    <t>IOR-00100</t>
  </si>
  <si>
    <t>a1J1R000008lTofUAE</t>
  </si>
  <si>
    <t>a3z1R0000007SGZ</t>
  </si>
  <si>
    <t>Outcome</t>
  </si>
  <si>
    <t>HIV O-10 Percent of respondents who say they used a condom the last time they had sex with a non-marital, non-cohabiting partner, of those who have had sex with such a partner in the last 12 months</t>
  </si>
  <si>
    <t>HIV O-10 Pourcentage de personnes interrogées qui disent avoir utilisé un préservatif lors de leur dernier rapport sexuel avec un partenaire non marié/ non cohabitant, parmi celles qui ont eu des rapports sexuels avec un tel partenaire au cours des 12 derniers mois</t>
  </si>
  <si>
    <t>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t>
  </si>
  <si>
    <t>IOR-00101</t>
  </si>
  <si>
    <t>a1J1R000008lTogUAE</t>
  </si>
  <si>
    <t>a3z1R0000007SGa</t>
  </si>
  <si>
    <t>HIV O-4a⁽ᴹ⁾ Percentage of men reporting the use of a condom the last time they had anal sex with a non regular partner</t>
  </si>
  <si>
    <t>HIV O-4a⁽ᴹ⁾ Pourcentage d’hommes qui indiquent avoir utilisé un préservatif lors de leur dernier rapport anal avec un partenaire occasionel</t>
  </si>
  <si>
    <t>HIV O-4a⁽ᴹ⁾ Porcentaje de hombres que afirman haber utilizado preservativo en su última relación de sexo anal con una pareja masculina no regular</t>
  </si>
  <si>
    <t>IOR-00102</t>
  </si>
  <si>
    <t>a1J1R000008lTohUAE</t>
  </si>
  <si>
    <t>a3z1R0000007SGb</t>
  </si>
  <si>
    <t>HIV O-4.1b⁽ᴹ⁾ Percentage of transgender people reporting using a condom in their last anal sex with a non-regular male partner</t>
  </si>
  <si>
    <t>HIV O-4.1b⁽ᴹ⁾ Pourcentage de personnes transgenres qui indiquent avoir utilisé un préservatif lors de leur dernier rapport sexuel anal avec un partenaire occasionel masculin</t>
  </si>
  <si>
    <t>HIV O-4.1b⁽ᴹ⁾ Porcentaje de personas transgénero que afirman haber utilizado preservativo en su último encuentro sexual o relación de sexo anal con una pareja masculina no regular</t>
  </si>
  <si>
    <t>IOR-00103</t>
  </si>
  <si>
    <t>a1J1R000008lToiUAE</t>
  </si>
  <si>
    <t>a3z1R0000007SGc</t>
  </si>
  <si>
    <t>HIV O-5⁽ᴹ⁾ Percentage of sex workers reporting the use of a condom with their most recent client</t>
  </si>
  <si>
    <t>HIV O-5⁽ᴹ⁾ Pourcentage de professionnels du sexe qui indiquent avoir utilisé un préservatif avec leur dernier client</t>
  </si>
  <si>
    <t>HIV O-5⁽ᴹ⁾ Porcentaje de trabajadores sexuales que afirman haber utilizado preservativo con su último cliente</t>
  </si>
  <si>
    <t>IOR-00104</t>
  </si>
  <si>
    <t>a1J1R000008lTojUAE</t>
  </si>
  <si>
    <t>a3z1R0000007SGd</t>
  </si>
  <si>
    <t>HIV O-6⁽ᴹ⁾ Percentage of people who inject drugs reporting the use of sterile injecting equipment the last time they injected</t>
  </si>
  <si>
    <t>HIV O-6⁽ᴹ⁾ Pourcentage de personnes qui s'injectent des drogues qui indiquent avoir utilisé du matériel d’injection stérile lors de leur dernière injection</t>
  </si>
  <si>
    <t>HIV O-6⁽ᴹ⁾ Porcentaje de consumidores de drogas inyectables que afirman haber utilizado material de inyección esterilizado en su última inyección</t>
  </si>
  <si>
    <t>IOR-00105</t>
  </si>
  <si>
    <t>a1J1R000008lTokUAE</t>
  </si>
  <si>
    <t>a3z1R0000007SGe</t>
  </si>
  <si>
    <t>HIV O-9 Percentage of people who inject drugs reporting condom use at last sex</t>
  </si>
  <si>
    <t>HIV O-9 Pourcentage de personnes qui s'injectent des drogues qui indiquent avoir utilisé un préservatif lors de leur dernier rapport sexuel</t>
  </si>
  <si>
    <t>HIV O-9 Porcentaje de consumidores de drogas inyectables que afirman haber utilizado preservativo en su última relación sexual</t>
  </si>
  <si>
    <t>IOR-00106</t>
  </si>
  <si>
    <t>a1J1R000008lTolUAE</t>
  </si>
  <si>
    <t>a3z1R0000007SGf</t>
  </si>
  <si>
    <t>HIV O-7 Percentage of other vulnerable populations who report the use of a condom at last sexual intercourse</t>
  </si>
  <si>
    <t>HIV O-7 Pourcentage de personnes appartenant à d'autres populations vulnérables qui indiquent avoir utilisé un préservatif lors de leur dernier rapport sexuel</t>
  </si>
  <si>
    <t>HIV O-7 Porcentaje de otras poblaciones vulnerables que afirman haber utilizado preservativo en su última relación sexual</t>
  </si>
  <si>
    <t>IOR-00107</t>
  </si>
  <si>
    <t>a1J1R000008lTomUAE</t>
  </si>
  <si>
    <t>a3z1R0000007SGg</t>
  </si>
  <si>
    <t>HIV O-11⁽ᴹ⁾ Percentage of people living with HIV who know their HIV status at the end of the reporting period</t>
  </si>
  <si>
    <t>HIV O-11⁽ᴹ⁾ Pourcentage de personnes vivant avec le VIH qui connaissent leur statut sérologique à la fin de la période de rapportage</t>
  </si>
  <si>
    <t>HIV O-11⁽ᴹ⁾ Porcentaje de personas que viven con el VIH que conocen su Estatus de VIH al final del período de reporte</t>
  </si>
  <si>
    <t>Gender</t>
  </si>
  <si>
    <t>Sexe</t>
  </si>
  <si>
    <t>Género</t>
  </si>
  <si>
    <t>IOR-00108</t>
  </si>
  <si>
    <t>a1J1R000008lTonUAE</t>
  </si>
  <si>
    <t>a3z1R0000007SGh</t>
  </si>
  <si>
    <t>HIV O-12 Percentage of people living with HIV and on ART who are virologically suppressed</t>
  </si>
  <si>
    <t>HIV O-12 Pourcentage de personnes vivant avec le VIH sous traitement antirétroviral qui ont une charge virale indétectable</t>
  </si>
  <si>
    <t>HIV O-12 Porcentaje de personas que viven con VIH que reciben tratamiento antirretroviral y tienen carga viral suprimida</t>
  </si>
  <si>
    <t>IOR-00109</t>
  </si>
  <si>
    <t>a1J1R000008lTooUAE</t>
  </si>
  <si>
    <t>a3z1R0000007SGi</t>
  </si>
  <si>
    <t>HIV O-13 Proportion of ever-married or partnered women aged 15-49 who experienced physical or sexual violence from a male intimate partner in the past 12 months</t>
  </si>
  <si>
    <t>HIV O-13 Proportion de femmes âgées de 15 à 49 ans qui sont ou ont été mariées ou sont en couple, et qui ont été victimes de violences physiques ou sexuelles de la part d’un partenaire masculin au cours des 12 derniers mois</t>
  </si>
  <si>
    <t>HIV O-13 Porcentaje de mujeres de 15 a 49 años, no solteras o con pareja, que han sufrido violencia física o sexual de una pareja masculina en los últimos 12 meses</t>
  </si>
  <si>
    <t>IOR-00110</t>
  </si>
  <si>
    <t>a1J1R000008lTopUAE</t>
  </si>
  <si>
    <t>a3z1R0000007SGj</t>
  </si>
  <si>
    <t>HIV O-14 Percentage of women and men aged 15–49 who report discriminatory attitudes towards people living with HIV</t>
  </si>
  <si>
    <t>HIV O-14 Pourcentage de femmes et d’hommes de 15 à 49 ans qui font état d’attitudes discriminatoires à l’encontre des personnes vivant avec le VIH</t>
  </si>
  <si>
    <t>HIV O-14 Porcentaje de mujeres y hombres de 15 a 49 años que informan de actitudes discriminatorias hacia las personas que viven con el VIH</t>
  </si>
  <si>
    <t>IOR-00111</t>
  </si>
  <si>
    <t>a1J1R000008lToqUAE</t>
  </si>
  <si>
    <t>a3z1R0000007SGk</t>
  </si>
  <si>
    <t>HIV O-15 Percentage of people living with HIV who report experiences of HIV-related discrimination in health-care settings</t>
  </si>
  <si>
    <t>HIV O-15 Pourcentage de personnes vivant avec le VIH déclarant avoir été victimes de discrimination liée au VIH dans les services de soins de santé</t>
  </si>
  <si>
    <t>HIV O-15 Porcentaje de personas que viven con el VIH que afirman haber experimentado discriminación relacionada con el VIH en el ámbito de servicios de salud</t>
  </si>
  <si>
    <t>IOR-00112</t>
  </si>
  <si>
    <t>a1J1R000008lTorUAE</t>
  </si>
  <si>
    <t>a3z1R0000007SGl</t>
  </si>
  <si>
    <t>HIV O-16a Percentage of men who have sex with men who avoid health care because of stigma and discrimination</t>
  </si>
  <si>
    <t>HIV O-16a Pourcentage d’hommes ayant des rapports sexuels avec des hommes (HSH) évitant d’avoir recours aux services de soins de santé en raison de la stigmatisation et de la discrimination encourues</t>
  </si>
  <si>
    <t>HIV O-16a Porcentaje de HSH que evitan la atención sanitaria debido al estigma y la discriminación</t>
  </si>
  <si>
    <t>IOR-00113</t>
  </si>
  <si>
    <t>a1J1R000008lTosUAE</t>
  </si>
  <si>
    <t>a3z1R0000007SGm</t>
  </si>
  <si>
    <t>HIV O-16b Percentage of transgender people who avoid health care because of stigma and discrimination</t>
  </si>
  <si>
    <t>HIV O-16b Pourcentage de personnes transgenres évitant d’avoir recours aux services de soins de santé en raison de la stigmatisation et de la discrimination encourues</t>
  </si>
  <si>
    <t>HIV O-16b Porcentaje de grupos objetivo que evitan la atención sanitaria debido al estigma y la discriminación</t>
  </si>
  <si>
    <t>IOR-00114</t>
  </si>
  <si>
    <t>a1J1R000008lTotUAE</t>
  </si>
  <si>
    <t>a3z1R0000007SGn</t>
  </si>
  <si>
    <t>HIV O-16c Percentage of sex workers who avoid health care because of stigma and discrimination</t>
  </si>
  <si>
    <t>HIV O-16c Pourcentage de professionnels du sexe évitant d’avoir recours aux services de soins de santé en raison de la stigmatisation et de la discrimination encourues</t>
  </si>
  <si>
    <t>HIV O-16c Porcentaje de trabajadores sexuales que evitan la atención sanitaria debido al estigma y la discriminación</t>
  </si>
  <si>
    <t>IOR-00115</t>
  </si>
  <si>
    <t>a1J1R000008lTouUAE</t>
  </si>
  <si>
    <t>a3z1R0000007SGo</t>
  </si>
  <si>
    <t>HIV O-16d Percentage of people who inject drugs who avoid health care because of stigma and discrimination</t>
  </si>
  <si>
    <t>HIV O-16d Pourcentage de personnes qui s'injectent des drogues évitant d’avoir recours aux services de soins de santé en raison de la stigmatisation et de la discrimination encourues</t>
  </si>
  <si>
    <t>HIV O-16d Porcentaje de personas que consumen drogas inyectables que evitan la atención sanitaria debido al estigma y la discriminación</t>
  </si>
  <si>
    <t>IOR-00116</t>
  </si>
  <si>
    <t>a1J1R000008lTovUAE</t>
  </si>
  <si>
    <t>a3z1R0000007SGp</t>
  </si>
  <si>
    <t>HIV O-17 Percentage of people living with HIV reporting their rights were violated who sought legal redress</t>
  </si>
  <si>
    <t>HIV O-17 Pourcentage de personnes vivant avec le VIH déclarant avoir exercé un recours judiciaire à la suite de la violation de leurs droits</t>
  </si>
  <si>
    <t>HIV O-17 Porcentaje de personas que viven con el VIH que, habiendo notificado la violación de sus derechos, buscaron compensación jurídica</t>
  </si>
  <si>
    <t>Target / Risk population group,Gender,Age</t>
  </si>
  <si>
    <t>Groupe à risque cible,Sexe,Age</t>
  </si>
  <si>
    <t>Grupo de riesgo objetivo,Género,Edad</t>
  </si>
  <si>
    <t>IOR-00117</t>
  </si>
  <si>
    <t>a1J1R000008lTowUAE</t>
  </si>
  <si>
    <t>a3z1R0000007SGq</t>
  </si>
  <si>
    <t>HIV O-18 Percentage of women aged 15-24 who had 2+ partners in the past 12 months</t>
  </si>
  <si>
    <t>HIV O-18 Pourcentage de femmes entre 15 et 24 ans qui ont eu plus de 2 partenaires au cours des 12 derniers mois</t>
  </si>
  <si>
    <t>HIV O-18 Porcentajes de mujeres de 15 a 24 años de edad que han tenido dos o más parejas en los últimos 12 meses</t>
  </si>
  <si>
    <t>IOR-00118</t>
  </si>
  <si>
    <t>a1J1R000008lToxUAE</t>
  </si>
  <si>
    <t>a3z1R0000007SGr</t>
  </si>
  <si>
    <t>HIV O-19 Percentage of women aged 15-19 who have had a live birth or are currently pregnant</t>
  </si>
  <si>
    <t>HIV O-19 Pourcentage de femmes entre 15 et 19 ans enceintes ou ayant donné naissance à un enfant vivant</t>
  </si>
  <si>
    <t>HIV O-19 Porcentaje de mujeres de 15 a 19 años de edad que han tenido un niño nacido vivo o que están embarazadas actualmente</t>
  </si>
  <si>
    <t>IOR-00119</t>
  </si>
  <si>
    <t>a1J1R000008lToyUAE</t>
  </si>
  <si>
    <t>a3z1R0000007SGs</t>
  </si>
  <si>
    <t>HIV O-20 Percentage of females aged 15-24 who dropped out of school in the last year</t>
  </si>
  <si>
    <t>HIV O-20 Pourcentage de femmes entre 15 et 24 ans ayant abandonné l’école durant la dernière année</t>
  </si>
  <si>
    <t>HIV O-20 Porcentaje de mujeres de 15 a 24 años de edad que abandonaron los estudios en el último año</t>
  </si>
  <si>
    <t>IOR-00120</t>
  </si>
  <si>
    <t>a1J1R000008lTozUAE</t>
  </si>
  <si>
    <t>a3z1R0000007SGt</t>
  </si>
  <si>
    <t>HIV O-21 Percentage of people living with HIV not on ART at the end of the reporting period among people living with HIV who were either on ART at the end of the last reporting period or newly initiated on ART during the reporting period</t>
  </si>
  <si>
    <t>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t>
  </si>
  <si>
    <t>HIV O-21 Porcentaje de personas que viven con el VIH que no reciben TARV al final del período de reporte entre el total de personas que viven con el VIH en TARV o que iniciaron TARV durante el período de reporte</t>
  </si>
  <si>
    <t>Age,Treatment outcome,Gender</t>
  </si>
  <si>
    <t>Age,Résultat du traitement,Sexe</t>
  </si>
  <si>
    <t>Edad,Resultados de tratamiento,Género</t>
  </si>
  <si>
    <t>IOR-00121</t>
  </si>
  <si>
    <t>a1J1R000008lTp0UAE</t>
  </si>
  <si>
    <t>a3z1R0000007SGu</t>
  </si>
  <si>
    <t>TB O-1a Case notification rate of all forms of TB per 100,000 population - bacteriologically confirmed plus clinically diagnosed, new and relapse cases</t>
  </si>
  <si>
    <t>TB O-1a Taux de déclaration des cas de tuberculose (toutes formes confondues) pour 100 000 habitants – bactériologiquement confirmés et cliniquement diagnostiqués, nouveaux cas et récidives</t>
  </si>
  <si>
    <t>TB O-1a Tasa de notificación de casos de todas las  forma de tuberculosis por cada 100.000 habitantes, confirmados bacteriológicamente y con diagnóstico clínico, casos nuevos y recaídas.</t>
  </si>
  <si>
    <t>IOR-00122</t>
  </si>
  <si>
    <t>a1J1R000008lTp1UAE</t>
  </si>
  <si>
    <t>a3z1R0000007SGv</t>
  </si>
  <si>
    <t>TB O-2a Treatment success rate of all forms of TB - bacteriologically confirmed plus clinically diagnosed, new and relapse cases</t>
  </si>
  <si>
    <t>TB O-2a Taux de succès thérapeutique, toutes formes de tuberculose confondues - bactériologiquement confirmés et cliniquement diagnostiqués, nouveaux cas et récidives</t>
  </si>
  <si>
    <t>TB O-2a Tasa de éxito del tratamiento en todas las formas de tuberculosis, confirmada bacteriológicamente y con diagnóstico clínico, casos nuevos y recaídas.</t>
  </si>
  <si>
    <t>IOR-00123</t>
  </si>
  <si>
    <t>a1J1R000008lTp2UAE</t>
  </si>
  <si>
    <t>a3z1R0000007SGy</t>
  </si>
  <si>
    <t>TB O-6 Notification of RR-TB and/or MDR-TB cases – Percentage of notified cases of bacteriologically confirmed, drug resistant RR-TB and/or MDR-TB as a proportion of all estimated RR-TB and/or MDR-TB cases</t>
  </si>
  <si>
    <t>TB O-6 Déclaration des cas TB-RR et/ou TB-MR – Pourcentage de cas notifiés bactériologiquement confirmés, résistants aux médicaments TB-RR et/ou TB-MR en tant que proportion de tous les cas estimés TB-RR et/ou TB-MR</t>
  </si>
  <si>
    <t>TB O-6 Notificación de casos de tuberculosis resistente a la rifampicina (TB-RR) y/o tuberculosis multirresistente (TB-MR): porcentaje de casos notificados de TB-RR y/o TB-MR confirmados bacteriológicamente como proporción de todos los casos estimados de TB-RR y/o TB-MR.</t>
  </si>
  <si>
    <t>IOR-00124</t>
  </si>
  <si>
    <t>a1J1R000008lTp3UAE</t>
  </si>
  <si>
    <t>a3z1R0000007SGw</t>
  </si>
  <si>
    <t>TB O-4⁽ᴹ⁾ Treatment success rate of RR TB and/or MDR-TB: Percentage of cases with RR and/or MDR-TB successfully treated</t>
  </si>
  <si>
    <t>TB O-4⁽ᴹ⁾ Taux de succès therapeutique de TB-RR et/ou TB-MR : pourcentage de cas de tuberculose résistante à la rifampicine et/ou tuberculose multirésistante traités avec succès</t>
  </si>
  <si>
    <t>TB O-4⁽ᴹ⁾ Tasa de éxito del tratamiento de los casos de tuberculosis resistente a la rifampicina y/o tuberculosis multirresistente: Porcentaje de casos de tuberculosis resistente a la rifampicina y/o tuberculosis multirresistente tratados con éxito.</t>
  </si>
  <si>
    <t>IOR-00125</t>
  </si>
  <si>
    <t>a1J1R000008lTp4UAE</t>
  </si>
  <si>
    <t>a3z1R0000007SGx</t>
  </si>
  <si>
    <t>TB O-5⁽ᴹ⁾ TB treatment coverage: Percentage of new and relapse cases that were notified and treated among the estimated number of incident TB cases in the same year (all form of TB - bacteriologically confirmed plus clinically diagnosed)</t>
  </si>
  <si>
    <t>TB O-5⁽ᴹ⁾ Couverture des traitements antituberculeux : pourcentage de nouveaux cas et de récidives déclarés et traités dans le nombre de cas incidents estimé la même année (toutes formes de la maladie confondues – cas confirmés bactériologiquement plus cas diagnostiqués cliniquement)</t>
  </si>
  <si>
    <t>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t>
  </si>
  <si>
    <t>IOR-00126</t>
  </si>
  <si>
    <t>a1J1R000008lTp5UAE</t>
  </si>
  <si>
    <t>a3z1R0000007SGz</t>
  </si>
  <si>
    <t>TB O-7 Percentage of people diagnosed with TB who experienced self-stigma that inhibited them from seeking and accessing TB services</t>
  </si>
  <si>
    <t>TB O-7 Pourcentage de personnes atteintes de tuberculose qui ont souffert d'auto stigmatisation en raison de leur maladie et les ayant empêché de recourir et d'accéder aux services de TB</t>
  </si>
  <si>
    <t>TB O-7 Porcentaje de personas con tuberculosis que han sufrido autoestigmatización a causa de su estado con respecto a la enfermedad que les ha impedido buscar servicios relacionados con la tuberculosis y acceder</t>
  </si>
  <si>
    <t>IOR-00127</t>
  </si>
  <si>
    <t>a1J1R000008lTp6UAE</t>
  </si>
  <si>
    <t>a3z1R0000007SH0</t>
  </si>
  <si>
    <t>TB O-8 Percentage of people diagnosed with TB who report stigma in health care settings that inhibited them from seeking and accessing TB services</t>
  </si>
  <si>
    <t>TB O-8 Pourcentage de personnes atteintes de tuberculose qui ont souffert de stigmatisation en raison de leur maladie et les ayant empêché de recourir et d'accéder aux services de TB.</t>
  </si>
  <si>
    <t>TB O-8 Porcentaje de personas con tuberculosis que han sufrido estigmatización en centros de atención de la salud a causa de su estado con respecto a la enfermedad que les ha impedido buscar servicios relacionados con la tuberculosis y acceder</t>
  </si>
  <si>
    <t>IOR-00128</t>
  </si>
  <si>
    <t>a1J1R000008lTp7UAE</t>
  </si>
  <si>
    <t>a3z1R0000007SH1</t>
  </si>
  <si>
    <t>TB O-9 Percentage of people diagnosed with TB who report stigma in community settings that inhibited them from seeking and accessing TB services</t>
  </si>
  <si>
    <t>TB O-9 Pourcentage de personnes atteintes de tuberculose qui ont souffert de stigmatisation dans la communauté en raison de leur maladie et les ayant empêché de recourir et d'accéder aux services de TB</t>
  </si>
  <si>
    <t>TB O-9 Porcentajeo de personas con tuberculosis que han sufrido estigmatización en centros comunitarios a causa de su estado con respecto a la enfermedad que les ha impedido buscar servicios relacionados con la tuberculosis y acceder</t>
  </si>
  <si>
    <t>IOR-00137</t>
  </si>
  <si>
    <t>a1J1R000008lTpGUAU</t>
  </si>
  <si>
    <t>a3z1R0000007SHA</t>
  </si>
  <si>
    <t>HSS O-5 Percentage of health facilities with tracer medicines for the three diseases available on the day of the visit or day of reporting</t>
  </si>
  <si>
    <t>HSS O-5 Pourcentage des établissements de santé disposant de médicaments traceurs pour les trois maladies le jour de la visite ou le jour du rapportage</t>
  </si>
  <si>
    <t>HSS O-5 Porcentaje de centros de establecimientos de salud con medicamentos marcadores para las tres enfermedades disponibles el día de la visita o el día de la notificación</t>
  </si>
  <si>
    <t>a3z1R0000007SHM</t>
  </si>
  <si>
    <t>a3z1R0000007SHS</t>
  </si>
  <si>
    <t>IOR-00138</t>
  </si>
  <si>
    <t>a1J1R000008lTpHUAU</t>
  </si>
  <si>
    <t>a3z1R0000007SHB</t>
  </si>
  <si>
    <t>HSS O-6 Percentage of facilities providing diagnostic services on the day of the assessment</t>
  </si>
  <si>
    <t>HSS O-6 Pourcentage d’établissements délivrant des services de diagnostic le jour de l’évaluation</t>
  </si>
  <si>
    <t>HSS O-6 Porcentaje de establecimientos  de salud que prestan servicios de diagnóstico el día de la evaluación</t>
  </si>
  <si>
    <t>a3z1R0000007SHN</t>
  </si>
  <si>
    <t>a3z1R0000007SHT</t>
  </si>
  <si>
    <t>IOR-00139</t>
  </si>
  <si>
    <t>a1J1R000008lTpIUAU</t>
  </si>
  <si>
    <t>a3z1R0000007SHC</t>
  </si>
  <si>
    <t>HSS O-7 National aggregate HMIS fully deployed and functional: Percentage of HMIS components in place (HIS deployment, completeness, timeliness, and integration of aggregate disease reporting for HIV, TB and malaria indicators)</t>
  </si>
  <si>
    <t>HSS O-7 Système de gestion de l’information sanitaire entièrement déployé et fonctionnel: Pourcentage de composants du SGIS en place (système d'information sanitaire déployé, complétude, promptitude et rapportage intégré des indicateurs aggrégés du VIH, de la tuberculose et du paludisme)</t>
  </si>
  <si>
    <t>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t>
  </si>
  <si>
    <t>a3z1R0000007SHO</t>
  </si>
  <si>
    <t>a3z1R0000007SHU</t>
  </si>
  <si>
    <t>IOR-00140</t>
  </si>
  <si>
    <t>a1J1R000008lTpJUAU</t>
  </si>
  <si>
    <t>a3z1R0000007SHD</t>
  </si>
  <si>
    <t>HSS O-8 Active health workers per 10,000 population</t>
  </si>
  <si>
    <t>HSS O-8 Agents de santé actifs pour 10,000 habitants</t>
  </si>
  <si>
    <t>HSS O-8 Trabajadores de  salud activos por cada 10.000 habitantes</t>
  </si>
  <si>
    <t>Occupation group</t>
  </si>
  <si>
    <t>Groupe d'occupation</t>
  </si>
  <si>
    <t>Grupo de ocupación</t>
  </si>
  <si>
    <t>a3z1R0000007SHP</t>
  </si>
  <si>
    <t>a3z1R0000007SHV</t>
  </si>
  <si>
    <t>IOR-00141</t>
  </si>
  <si>
    <t>a1J1R000008lTpKUAU</t>
  </si>
  <si>
    <t>a3z1R0000007SHE</t>
  </si>
  <si>
    <t>HSS O-9 Percentage of antenatal clients with 1st visit before 12 weeks</t>
  </si>
  <si>
    <t>HSS O-9 Pourcentage de femmes ayant eu une première consultation prénatale avant 12 semaines</t>
  </si>
  <si>
    <t>HSS O-9 Porcentaje de clientes prenatales con primera visita antes de las 12 semanas</t>
  </si>
  <si>
    <t>a3z1R0000007SHQ</t>
  </si>
  <si>
    <t>a3z1R0000007SHW</t>
  </si>
  <si>
    <t>IOR-00142</t>
  </si>
  <si>
    <t>a1J1R000008lTpLUAU</t>
  </si>
  <si>
    <t>a3z1R0000007SHF</t>
  </si>
  <si>
    <t>HSS O-10 Proportion of population with large household expenditure on health as a share of total household expenditure or income (catastrophic spending on health)</t>
  </si>
  <si>
    <t>HSS O-10 Part de la population consacrant d’importantes dépenses du ménage dans la santé par rapport aux dépenses totales ou au revenu total du ménage (dépenses catastrophiques dans la santé)</t>
  </si>
  <si>
    <t>HSS O-10 Proporción de población con importantes gastos en salud en el hogar como parte de los gastos o ingresos totales del hogar (gastos catastróficos en salud)</t>
  </si>
  <si>
    <t>a3z1R0000007SHR</t>
  </si>
  <si>
    <t>a3z1R0000007SHX</t>
  </si>
  <si>
    <t>Coverage Data - Module-Coverage-Intervention Reference</t>
  </si>
  <si>
    <t>Module</t>
  </si>
  <si>
    <t>Name ID</t>
  </si>
  <si>
    <t>transalted coverage categories name</t>
  </si>
  <si>
    <t>Column1</t>
  </si>
  <si>
    <t>Column2</t>
  </si>
  <si>
    <t>Column3</t>
  </si>
  <si>
    <t>Soft Delete</t>
  </si>
  <si>
    <t>Cumulation Type</t>
  </si>
  <si>
    <t>[Module (Name)]</t>
  </si>
  <si>
    <t>[Name ID]</t>
  </si>
  <si>
    <t>[Soft Delete]</t>
  </si>
  <si>
    <t>[Cumulation Type]</t>
  </si>
  <si>
    <t>MCI-00648</t>
  </si>
  <si>
    <t>MCI-01045</t>
  </si>
  <si>
    <t>a1O1R000006c5nXUAQ</t>
  </si>
  <si>
    <t>true</t>
  </si>
  <si>
    <t>Non cumulative;Non cumulative – other;Non cumulative - special</t>
  </si>
  <si>
    <t>KP-1a⁽ᴹ⁾ Percentage of men who have sex with men reached with HIV prevention programs - defined package of services</t>
  </si>
  <si>
    <t>KP-1a⁽ᴹ⁾ Pourcentage de HSH ayant bénéficié de programmes préventifs de lutte contre le VIH (paquet de services définis)</t>
  </si>
  <si>
    <t>KP-1a⁽ᴹ⁾ Porcentaje de HSH alcanzados por programas de prevención del VIH - paquete definido de servicios</t>
  </si>
  <si>
    <t>MCI-01046</t>
  </si>
  <si>
    <t>a1O1R000006c5nYUAQ</t>
  </si>
  <si>
    <t>KP-1b⁽ᴹ⁾ Percentage of transgender people reached with HIV prevention programs - defined package of services</t>
  </si>
  <si>
    <t>KP-1b⁽ᴹ⁾ Pourcentage de personnes transgenres ayant bénéficié de programmes préventifs de lutte contre le VIH (paquet de services définis)</t>
  </si>
  <si>
    <t>KP-1b⁽ᴹ⁾ Porcentaje de personas transgénero alcanzados por programas de prevención del VIH - paquete definido de servicios</t>
  </si>
  <si>
    <t>MCI-01047</t>
  </si>
  <si>
    <t>a1O1R000006c5nZUAQ</t>
  </si>
  <si>
    <t>KP-1c⁽ᴹ⁾ Percentage of sex workers reached with HIV prevention programs - defined package of services</t>
  </si>
  <si>
    <t>KP-1c⁽ᴹ⁾ Pourcentage de professionnels du sexe ayant bénéficié de programmes préventifs de lutte contre le VIH (paquet de services définis)</t>
  </si>
  <si>
    <t>KP-1c⁽ᴹ⁾ Porcentaje de trabajadores sexuales alcanzados por programas de prevención del VIH - paquete definido de servicios</t>
  </si>
  <si>
    <t>MCI-01048</t>
  </si>
  <si>
    <t>a1O1R000006c5naUAA</t>
  </si>
  <si>
    <t>KP-1d⁽ᴹ⁾ Percentage of people who inject drugs reached with HIV prevention programs - defined package of services</t>
  </si>
  <si>
    <t>KP-1d⁽ᴹ⁾ Pourcentage de personnes qui s'injectent des drogues ayant bénéficié de programmes préventifs de lutte contre le VIH (paquet de services définis)</t>
  </si>
  <si>
    <t>KP-1d⁽ᴹ⁾ Porcentaje de personas que consumen drogas inyectables alcanzados por programas de prevención del VIH - paquete definido de servicios</t>
  </si>
  <si>
    <t>Age,Gender</t>
  </si>
  <si>
    <t>MCI-01049</t>
  </si>
  <si>
    <t>a1O1R000006c5nbUAA</t>
  </si>
  <si>
    <t>KP-1e Percentage of other vulnerable populations reached with HIV prevention programs - defined package of services</t>
  </si>
  <si>
    <t>KP-1e Pourcentage de personnes ayant bénéficié de programmes préventifs de lutte contre le VIH parmi les autres populations vulnérables (paquet de services définis)</t>
  </si>
  <si>
    <t>KP-1e Porcentaje de otras poblaciones vulnerables alcanzados por programas de prevención del VIH - paquete definido de servicios</t>
  </si>
  <si>
    <t>MCI-01050</t>
  </si>
  <si>
    <t>a1O1R000006c5ncUAA</t>
  </si>
  <si>
    <t>KP-1f⁽ᴹ⁾ Number of people in prisons and other closed settings reached with HIV prevention programs - defined package of services</t>
  </si>
  <si>
    <t>KP-1f⁽ᴹ⁾ Pourcentage de personnes en détention ou se trouvant dans d’autres lieux fermés ayant bénéficié de programmes préventifs de lutte contre le VIH (paquet de services définis)</t>
  </si>
  <si>
    <t>KP-1f⁽ᴹ⁾ Número de personas privadas de libertad en centros penitenciarios y otros lugares de reclusión alcanzados por programas de prevención del VIH - paquete definido de servicios</t>
  </si>
  <si>
    <t>MCI-01051</t>
  </si>
  <si>
    <t>a1O1R000006c5ndUAA</t>
  </si>
  <si>
    <t>Non cumulative – other</t>
  </si>
  <si>
    <t>KP-4 Number of needles and syringes distributed per person who injects drugs per year by needle and syringe programs</t>
  </si>
  <si>
    <t>KP-4 Nombre d’aiguilles et de seringues distribuées par les personnes qui s'injectent des drogues, par an et lors de programmes d’échange d’aiguilles et de seringues</t>
  </si>
  <si>
    <t>KP-4 Número de agujas y jeringuillas distribuidas al año por persona que consume drogas inyectables a través de programas de agujas y jeringuillas</t>
  </si>
  <si>
    <t>MCI-01052</t>
  </si>
  <si>
    <t>a1O1R000006c5neUAA</t>
  </si>
  <si>
    <t>Non cumulative</t>
  </si>
  <si>
    <t>KP-5 Percentage of individuals receiving Opioid Substitution Therapy who received treatment for at least 6 months</t>
  </si>
  <si>
    <t>KP-5 Pourcentage d’individus recevant un traitement de substitution aux opioïdes depuis au moins 6 mois</t>
  </si>
  <si>
    <t>KP-5 Porcentaje de personas en terapia de sustitución de opiáceos que recibieron tratamiento durante al menos 6 meses</t>
  </si>
  <si>
    <t>MCI-01053</t>
  </si>
  <si>
    <t>a1O1R000006c5nfUAA</t>
  </si>
  <si>
    <t>KP-6a Percentage of eligible men who have sex with men who initiated oral antiretroviral PrEP during the reporting period</t>
  </si>
  <si>
    <t>KP-6a Pourcentage d’hommes éligibles ayant des rapports sexuels avec des hommes ayant commencé un traitement antirétroviral oral par PrEP durant la période de rapportage</t>
  </si>
  <si>
    <t>KP-6a Porcentaje de HSH elegibles que iniciaron PrEP durante el período de reporte</t>
  </si>
  <si>
    <t>MCI-01054</t>
  </si>
  <si>
    <t>a1O1R000006c5ngUAA</t>
  </si>
  <si>
    <t>KP-6b Percentage of eligible transgender people who initiated oral antiretroviral PrEP during the reporting period</t>
  </si>
  <si>
    <t>KP-6b Pourcentage de personnes transgenres éligibles ayant commencé un traitement antirétroviral oral par PrEP durant la période de rapportage</t>
  </si>
  <si>
    <t>KP-6b Porcentaje de personas transgénero elegibles que iniciaron PrEP durante el período de reporte</t>
  </si>
  <si>
    <t>MCI-01055</t>
  </si>
  <si>
    <t>a1O1R000006c5nhUAA</t>
  </si>
  <si>
    <t>KP-6c Percentage of eligible sex workers who initiated oral antiretroviral PrEP during the reporting period</t>
  </si>
  <si>
    <t>KP-6c Pourcentage de professionnels du sexe éligibles ayant commencé un traitement antirétroviral oral par PrEP durant la période de rapportage</t>
  </si>
  <si>
    <t>KP-6c Porcentaje de trabajadores sexuales elegibles que iniciaron PrEP durante el período de reporte</t>
  </si>
  <si>
    <t>MCI-01044</t>
  </si>
  <si>
    <t>a1O1R000006c5nWUAQ</t>
  </si>
  <si>
    <t>MEN-1 Number of medical male circumcisions performed according to national standards</t>
  </si>
  <si>
    <t>MEN-1 Nombre de circoncisions masculines médicales pratiquées selon les normes nationales</t>
  </si>
  <si>
    <t>MEN-1 Número de circuncisiones masculinas médicas realizadas de conformidad con las normas nacionales</t>
  </si>
  <si>
    <t>MCI-01056</t>
  </si>
  <si>
    <t>a1O1R000006c5niUAA</t>
  </si>
  <si>
    <t>YP-1a Percentage of young people aged 10-24 years attending school reached by compehensive sexuality education and/or life skills-based HIV education in schools</t>
  </si>
  <si>
    <t>YP-1a Pourcentage d’élèves âgés de 10 à 24 ans fréquentant un établissement scolaire bénéficiant d’une éducation sexuelle complète ou de l’enseignement de compétences psychosociales (concernant les questions liées au VIH)</t>
  </si>
  <si>
    <t>YP-1a Porcentaje de jóvenes de 10 a 24 años asistiendo a la escuela alcanzados con programas de educación sexual integral y/o educación basada en el desarrollo de habilidades para la vida y  VIH, en las escuelas</t>
  </si>
  <si>
    <t>MCI-01057</t>
  </si>
  <si>
    <t>a1O1R000006c5njUAA</t>
  </si>
  <si>
    <t>YP-1b Percentage of young people aged 10–24 years reached by comprehensive sexuality education and/or life skills–based HIV education out of schools</t>
  </si>
  <si>
    <t>YP-1b Pourcentage de jeunes âgés de 10 à 24 ans bénéficiant d’une éducation sexuelle complète ou de l’enseignement de compétences psychosociales (concernant les questions liées au VIH) en dehors du cadre scolaire</t>
  </si>
  <si>
    <t>YP-1b Porcentaje de jóvenes de 10 a 24 años alcanzados por programas de educación sexual integral y/o educación basada en el desarrollo de habilidades para la vida y VIH, fuera de las escuelas</t>
  </si>
  <si>
    <t>MCI-01058</t>
  </si>
  <si>
    <t>a1O1R000006c5nkUAA</t>
  </si>
  <si>
    <t>YP-2 Percentage of adolescent girls and young women reached with HIV prevention programs- defined package of services</t>
  </si>
  <si>
    <t>YP-2 Pourcentage d’adolescentes et de jeunes femmes bénéficiant de programmes préventifs de lutte contre le VIH (paquet de services définis)</t>
  </si>
  <si>
    <t>YP-2 Porcentaje de niñas adolescentes y mujeres jóvenes alcanzadas por programas de prevención del VIH - paquete definido de servicios</t>
  </si>
  <si>
    <t>MCI-01059</t>
  </si>
  <si>
    <t>a1O1R000006c5nlUAA</t>
  </si>
  <si>
    <t>YP-4 Percentage of eligible adolescent girls and young women who initiated oral antiretroviral PrEP during the reporting period</t>
  </si>
  <si>
    <t>YP-4 Pourcentage d’adolescentes et de jeunes femmes éligibles ayant commencé un traitement antirétroviral oral par PrEP durant la période de rapportage</t>
  </si>
  <si>
    <t>YP-4 Porcentaje de niñas adolescentes y mujeres jóvenes elegibles que iniciaron PrEP durante el período de reporte</t>
  </si>
  <si>
    <t>MCI-00649</t>
  </si>
  <si>
    <t>MCI-01060</t>
  </si>
  <si>
    <t>a1O1R000006c5nmUAA</t>
  </si>
  <si>
    <t>Non cumulative - special</t>
  </si>
  <si>
    <t>PMTCT-1 Percentage of pregnant women who know their HIV status</t>
  </si>
  <si>
    <t>PMTCT-1 Pourcentage de femmes enceintes qui connaissent leur statut sérologique pour le VIH</t>
  </si>
  <si>
    <t>PMTCT-1 Porcentaje de mujeres embarazadas que conocen su Estatus de VIH</t>
  </si>
  <si>
    <t>HIV test status</t>
  </si>
  <si>
    <t>Résultat du test VIH</t>
  </si>
  <si>
    <t>Resultado de prueba del VIH</t>
  </si>
  <si>
    <t>MCI-01061</t>
  </si>
  <si>
    <t>a1O1R000006c5nnUAA</t>
  </si>
  <si>
    <t>PMTCT-2.1 Percentage of HIV-positive women who received ART during pregnancy and/or labour and delivery</t>
  </si>
  <si>
    <t>PMTCT-2.1 Pourcentage de femmes enceintes séropositives pour le VIH ayant reçu une TARV durant leur grossesse et/ou le travail et l'accouchement</t>
  </si>
  <si>
    <t>PMTCT-2.1 Porcentaje de mujeres seropositivas que recibieron TARV durante el embarazo y/o trabajo de parto y parto</t>
  </si>
  <si>
    <t>NA</t>
  </si>
  <si>
    <t>MCI-01062</t>
  </si>
  <si>
    <t>a1O1R000006c5noUAA</t>
  </si>
  <si>
    <t>PMTCT-3.1 Percentage of HIV-exposed infants receiving a virological test for HIV within 2 months of birth</t>
  </si>
  <si>
    <t>PMTCT-3.1 Pourcentage de nourrissons exposés au VIH ayant bénéficié d’un dépistage du VIH dans les 2 mois qui ont suivi leur naissance</t>
  </si>
  <si>
    <t>PMTCT-3.1 Porcentaje de recién nacidos expuestos al VIH que se sometieron a una prueba virológica del VIH durante los 2 meses posteriores a su nacimiento</t>
  </si>
  <si>
    <t>MCI-01063</t>
  </si>
  <si>
    <t>a1O1R000006c5npUAA</t>
  </si>
  <si>
    <t>PMTCT-4 Percentage of antenatal care attendees tested for syphilis</t>
  </si>
  <si>
    <t>PMTCT-4 Pourcentage de femmes recevant des soins prénatals ayant bénéficié d’un dépistage de la syphilis</t>
  </si>
  <si>
    <t>PMTCT-4 Porcentaje de pacientes de atención prenatal que se sometieron a la prueba de la sífilis</t>
  </si>
  <si>
    <t>MCI-00650</t>
  </si>
  <si>
    <t>MCI-01064</t>
  </si>
  <si>
    <t>a1O1R000006c5nqUAA</t>
  </si>
  <si>
    <t>HTS-2 Number of adolescent girls and young women who were tested for HIV and received their results during the reporting period</t>
  </si>
  <si>
    <t>HTS-2 Pourcentage d’adolescentes et de jeunes femmes chez lesquelles un dépistage du VIH a été réalisé durant la période de rapportage et qui connaissent leur résultat</t>
  </si>
  <si>
    <t>HTS-2 Número de niñas adolescentes y mujeres jóvenes que se sometieron a la prueba del VIH y recibieron los resultados durante el período de reporte</t>
  </si>
  <si>
    <t>Age,HIV test status</t>
  </si>
  <si>
    <t>Age,Résultat du test VIH</t>
  </si>
  <si>
    <t>Edad,Resultado de prueba del VIH</t>
  </si>
  <si>
    <t>MCI-01065</t>
  </si>
  <si>
    <t>a1O1R000006c5nrUAA</t>
  </si>
  <si>
    <t>HTS-3a⁽ᴹ⁾ Percentage of men who have sex with men that have received an HIV test during the reporting period and know their results</t>
  </si>
  <si>
    <t>HTS-3a⁽ᴹ⁾ Pourcentage de HSH chez lesquels un dépistage du VIH a été réalisé durant la période de rapportage et qui connaissent leur résultat</t>
  </si>
  <si>
    <t>HTS-3a⁽ᴹ⁾ Porcentaje de HSH a los que se les ha realizado una prueba de VIH durante el período de reporte y que conocen sus resultados</t>
  </si>
  <si>
    <t>MCI-01066</t>
  </si>
  <si>
    <t>a1O1R000006c5nsUAA</t>
  </si>
  <si>
    <t>HTS-3b⁽ᴹ⁾ Percentage of transgender people that have received an HIV test during the reporting period and know their results</t>
  </si>
  <si>
    <t>HTS-3b⁽ᴹ⁾ Pourcentage de personnes transgenres chez lesquels un dépistage du VIH a été réalisé durant la période de rapportage et qui connaissent leur résultat</t>
  </si>
  <si>
    <t>HTS-3b⁽ᴹ⁾ Porcentaje de personas transgénero a los que se les ha realizado una prueba de VIH durante el período de reporte y que conocen sus resultados</t>
  </si>
  <si>
    <t>MCI-01067</t>
  </si>
  <si>
    <t>a1O1R000006c5ntUAA</t>
  </si>
  <si>
    <t>HTS-3c⁽ᴹ⁾ Percentage of sex workers that have received an HIV test during the reporting period and know their results</t>
  </si>
  <si>
    <t>HTS-3c⁽ᴹ⁾  Pourcentage de professionnels du sexe chez lesquels un dépistage du VIH a été réalisé durant la période de rapportage et qui connaissent leur résultat</t>
  </si>
  <si>
    <t>HTS-3c⁽ᴹ⁾ Porcentaje de trabajadores sexuales a los que se les ha realizado una prueba de VIH durante el período de reporte y que conocen sus resultados</t>
  </si>
  <si>
    <t>Age,Gender,HIV test status</t>
  </si>
  <si>
    <t>Age,Sexe,Résultat du test VIH</t>
  </si>
  <si>
    <t>Edad,Género,Resultado de prueba del VIH</t>
  </si>
  <si>
    <t>MCI-01068</t>
  </si>
  <si>
    <t>a1O1R000006c5nuUAA</t>
  </si>
  <si>
    <t>HTS-3d⁽ᴹ⁾ Percentage of people who inject drugs that have received an HIV test during the reporting period and know their results</t>
  </si>
  <si>
    <t>HTS-3d⁽ᴹ⁾ Pourcentage de personnes qui s’injectent des drogues chez lesquels un dépistage du VIH a été réalisé durant la période de rapportage et qui connaissent leur résultat</t>
  </si>
  <si>
    <t>HTS-3d⁽ᴹ⁾ Porcentaje de consumidores de drogas inyectables a los que se les ha realizado una prueba de VIH durante el período de reporte y que conocen sus resultados</t>
  </si>
  <si>
    <t>MCI-01069</t>
  </si>
  <si>
    <t>a1O1R000006c5nvUAA</t>
  </si>
  <si>
    <t>HTS-3e Percentage of other vulnerable populations that have received an HIV test during the reporting period and know their results</t>
  </si>
  <si>
    <t>HTS-3e Pourcentage de personnes parmi d'autres populations vulnérables chez lesquels un dépistage du VIH a été réalisé durant la période de communication de l’information et qui connaissent leur résultat</t>
  </si>
  <si>
    <t>HTS-3e Porcentaje de otras poblaciones vulnerables a los que se les ha realizado una prueba de VIH durante el período de reporte y que conocen sus resultados</t>
  </si>
  <si>
    <t>MCI-01070</t>
  </si>
  <si>
    <t>a1O1R000006c5nwUAA</t>
  </si>
  <si>
    <t>HTS-3f⁽ᴹ⁾ Number of people in prisons or other closed settings that have received an HIV test during the reporting period and know their results</t>
  </si>
  <si>
    <t>HTS-3f⁽ᴹ⁾ Pourcentage de personnes en détention ou se trouvant dans d’autres lieux fermés chez lesquels un dépistage du VIH a été réalisé durant la période de communication de l’information et qui connaissent leur résultat</t>
  </si>
  <si>
    <t>HTS-3f⁽ᴹ⁾ Número de personas privadas de libertad en centros penitenciarios y otros lugares de reclusión a los que se les ha realizado una prueba de VIH durante el período de reporte y que conocen sus resultados</t>
  </si>
  <si>
    <t>MCI-01071</t>
  </si>
  <si>
    <t>a1O1R000006c5nxUAA</t>
  </si>
  <si>
    <t>HTS-4 Percentage of HIV-positive results among the total HIV tests performed during the reporting period</t>
  </si>
  <si>
    <t>HTS-4 Pourcentage de résultats de test VIH positifs parmi le total des tests de dépistage du VIH effectués au cours de la période de rapportage</t>
  </si>
  <si>
    <t>HTS-4 Porcentaje de resultados de VIH positivos entre el total de pruebas de VIH realizadas durante el período de reporte.</t>
  </si>
  <si>
    <t>Age,Gender,Community testing,Facility testing</t>
  </si>
  <si>
    <t>Age,Sexe,Tests fait dans la communauté,Tests fait dans un centre de santé</t>
  </si>
  <si>
    <t>Edad,Género,Diagnóstico en la comunidad,Diagnóstico en establecimientos de salud</t>
  </si>
  <si>
    <t>MCI-01072</t>
  </si>
  <si>
    <t>a1O1R000006c5nyUAA</t>
  </si>
  <si>
    <t>HTS-5 Percentage of people newly diagnosed with HIV initiated on ART</t>
  </si>
  <si>
    <t>HTS-5 Pourcentage de personnes récemment diagnostiquées séropositives pour le VIH et qui ont commencé le TARV</t>
  </si>
  <si>
    <t>HTS-5 Porcentaje de personas con diagnóstico nuevo de VIH que han iniciado terapia antirretroviral</t>
  </si>
  <si>
    <t>Gender,Target / Risk population group</t>
  </si>
  <si>
    <t>Sexe,Groupe à risque cible</t>
  </si>
  <si>
    <t>Género,Grupo de riesgo objetivo</t>
  </si>
  <si>
    <t>MCI-00651</t>
  </si>
  <si>
    <t>MCI-01073</t>
  </si>
  <si>
    <t>a1O1R000006c5nzUAA</t>
  </si>
  <si>
    <t>TCS-1.1⁽ᴹ⁾ Percentage of people on ART among all people living with HIV at the end of the reporting period</t>
  </si>
  <si>
    <t>TCS-1.1⁽ᴹ⁾ Pourcentage de personnes sous TARV parmi toutes les personnes vivant avec le VIH à la fin de la période de rapportage</t>
  </si>
  <si>
    <t>TCS-1.1⁽ᴹ⁾ Porcentaje de personas en TARV entre todas las personas viviendo con VIH al final del período de reporte</t>
  </si>
  <si>
    <t>Age,Gender,Gender | Age,Duration of treatment,Target / Risk population group</t>
  </si>
  <si>
    <t>Age,Sexe,Durée du traitement,Groupe à risque cible</t>
  </si>
  <si>
    <t>Edad,Género,Duración del tratamiento,Grupo de riesgo objetivo</t>
  </si>
  <si>
    <t>MCI-01074</t>
  </si>
  <si>
    <t>a1O1R000006c5o0UAA</t>
  </si>
  <si>
    <t>TCS-1b⁽ᴹ⁾ Percentage of adults (15 and above) on ART among all adults living with HIV at the end of the reporting period</t>
  </si>
  <si>
    <t>TCS-1b⁽ᴹ⁾ Pourcentage d'adultes (15 ans et plus) sous TARV parmi tous les adultes vivant avec le VIH à la fin de la période de rapportage</t>
  </si>
  <si>
    <t>TCS-1b⁽ᴹ⁾ Porcentaje de adultos (15 años o más) en TARV entre el total de adultos viviendo con VIH al final del período de reporte</t>
  </si>
  <si>
    <t>Gender,Gender | Age,Duration of treatment,Target / Risk population group</t>
  </si>
  <si>
    <t>Sexe,Durée du traitement,Groupe à risque cible</t>
  </si>
  <si>
    <t>Género,Duración del tratamiento,Grupo de riesgo objetivo</t>
  </si>
  <si>
    <t>MCI-01075</t>
  </si>
  <si>
    <t>a1O1R000006c5o1UAA</t>
  </si>
  <si>
    <t>TCS-1c⁽ᴹ⁾ Percentage of children (under 15) on ART among all children living with HIV at the end of the reporting period</t>
  </si>
  <si>
    <t>TCS-1c⁽ᴹ⁾ Pourcentage d'enfants (de moins de 15 ans) sous TARV parmi tous les enfants vivant avec le VIH à la fin de la période de rapportage</t>
  </si>
  <si>
    <t>TCS-1c⁽ᴹ⁾ Porcentaje de niños (menores de 15 años) en TARV entre el total de niños viviendo con VIH al final del período de reporte</t>
  </si>
  <si>
    <t>Gender,Duration of treatment</t>
  </si>
  <si>
    <t>Sexe,Durée du traitement</t>
  </si>
  <si>
    <t>Género,Duración del tratamiento</t>
  </si>
  <si>
    <t>MCI-00653</t>
  </si>
  <si>
    <t>MCI-01076</t>
  </si>
  <si>
    <t>a1O1R000006c5o2UAA</t>
  </si>
  <si>
    <t>TCP-1⁽ᴹ⁾ Number of notified cases of all forms of TB (i.e. bacteriologically confirmed + clinically diagnosed), new and relapse cases</t>
  </si>
  <si>
    <t>TCP-1⁽ᴹ⁾ Nombre de cas déclarés de tuberculose toutes formes confondues (c.-à-d. cas confirmés bactériologiquement plus cas diagnostiqués cliniquement), nouveaux cas et récidives</t>
  </si>
  <si>
    <t>TCP-1⁽ᴹ⁾ Número de casos notificados de todas las formas de tuberculosis (esto es, confirmados bacteriológicamente y con diagnóstico clínico), casos nuevos y recaídas.</t>
  </si>
  <si>
    <t>Age,Gender,HIV test status,TB case definition</t>
  </si>
  <si>
    <t>Age,Sexe,Résultat du test VIH,Définition des cas</t>
  </si>
  <si>
    <t>Edad,Género,Resultado de prueba del VIH,Definición de caso</t>
  </si>
  <si>
    <t>MCI-01077</t>
  </si>
  <si>
    <t>a1O1R000006c5o3UAA</t>
  </si>
  <si>
    <t>TCP-2⁽ᴹ⁾ Treatment success rate- all forms: Percentage of TB cases, all forms, bacteriologically confirmed plus clinically diagnosed, successfully treated (cured plus treatment completed) among all TB cases registered for treatment during a specified period, new and relapse cases</t>
  </si>
  <si>
    <t>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t>
  </si>
  <si>
    <t>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t>
  </si>
  <si>
    <t>MCI-01078</t>
  </si>
  <si>
    <t>a1O1R000006c5o4UAA</t>
  </si>
  <si>
    <t>Non cumulative – other;Non cumulative - special</t>
  </si>
  <si>
    <t>TCP-3 Percentage of laboratories showing adequate performance in external quality assurance for smear microscopy among the total number of laboratories that undertake smear microscopy during the reporting period</t>
  </si>
  <si>
    <t>TCP-3 Pourcentage de laboratoires présentant des performances satisfaisantes d’assurance qualité externe pour la microscopie de frottis parmi le nombre total de laboratoires effectuant des analyses par microscopie de frottis pendant la période couverte par le rapport</t>
  </si>
  <si>
    <t>TCP-3 Porcentaje de laboratorios que demuestran un desempeño adecuado en el aseguramiento externo de la calidad en lo que se refiere a la microscopía de frotis entre el número total de laboratorios que realizan microscopía de frotis durante el periodo de presentación de informes.</t>
  </si>
  <si>
    <t>MCI-01079</t>
  </si>
  <si>
    <t>a1O1R000006c5o5UAA</t>
  </si>
  <si>
    <t>TCP-5.1 Number of people in contact with TB patients who began preventive therapy</t>
  </si>
  <si>
    <t>TCP-5.1 Nombre de personnes en contact avec des patients tuberculeux qui ont commencé un traitement préventif</t>
  </si>
  <si>
    <t>TCP-5.1 Número de personas en contacto con pacientes de tuberculosis que empezaron a recibir terapia preventiva.</t>
  </si>
  <si>
    <t>MCI-01080</t>
  </si>
  <si>
    <t>a1O1R000006c5o6UAA</t>
  </si>
  <si>
    <t>TCP-6a Number of TB cases (all forms) notified among prisoners</t>
  </si>
  <si>
    <t>TCP-6a Nombre de cas de tuberculose (toutes formes confondues) déclarés dans la population carcérale</t>
  </si>
  <si>
    <t>TCP-6a Número de casos de tuberculosis (en todas sus formas) notificados entre reclusos.</t>
  </si>
  <si>
    <t>MCI-01081</t>
  </si>
  <si>
    <t>a1O1R000006c5o7UAA</t>
  </si>
  <si>
    <t>TCP-6b Number of TB cases (all forms) notified among key affected populations/ high risk groups (other than prisoners)</t>
  </si>
  <si>
    <t>TCP-6b Nombre de cas de tuberculose (toutes formes confondues) déclarés dans les populations clés/groupes à haut risque (hors population carcérale)</t>
  </si>
  <si>
    <t>TCP-6b Número de casos de tuberculosis (en todas sus formas) notificados entre las poblaciones clave afectadas o los grupos de alto riesgo (distintos de los reclusos).</t>
  </si>
  <si>
    <t>Target / Risk population group</t>
  </si>
  <si>
    <t>Groupe à risque cible</t>
  </si>
  <si>
    <t>Grupo de riesgo objetivo</t>
  </si>
  <si>
    <t>MCI-01082</t>
  </si>
  <si>
    <t>a1O1R000006c5o8UAA</t>
  </si>
  <si>
    <t>TCP-7a Number of notified TB cases (all forms) contributed by non-national TB program providers – private/non-governmental facilities</t>
  </si>
  <si>
    <t>TCP-7a Nombre de cas de tuberculose (toutes formes confondues) déclarés par des prestataires de soins hors programme national de lutte contre la maladie – structures privées/non gouvernementales</t>
  </si>
  <si>
    <t>TCP-7a Número de casos de tuberculosis notificados (en todas sus formas) aportados por proveedores que no pertenecen al programa nacional para el control de la tuberculosis: centros privados o no gubernamentales.</t>
  </si>
  <si>
    <t>MCI-01083</t>
  </si>
  <si>
    <t>a1O1R000006c5o9UAA</t>
  </si>
  <si>
    <t>TCP-7b Number of notified TB cases (all forms) contributed by non-national TB program providers – public sector</t>
  </si>
  <si>
    <t>TCP-7b Nombre de cas de tuberculose (toutes formes confondues) déclarés par des prestataires de soins hors programme national de lutte contre la maladie – secteur public</t>
  </si>
  <si>
    <t>TCP-7b Número de casos de tuberculosis notificados (en todas sus formas) aportados por proveedores que no pertenecen al programa nacional para el control de la tuberculosis: sector público.</t>
  </si>
  <si>
    <t>MCI-01084</t>
  </si>
  <si>
    <t>a1O1R000006c5oAUAQ</t>
  </si>
  <si>
    <t>TCP-7c Number of notified TB cases (all forms) contributed by non-national TB program providers – community referrals</t>
  </si>
  <si>
    <t>TCP-7c Nombre de cas de tuberculose (toutes formes confondues) déclarés par des prestataires de soins hors programme national de lutte contre la maladie – référés par la communauté</t>
  </si>
  <si>
    <t>TCP-7c Número de casos de tuberculosis notificados (en todas sus formas) aportados por proveedores que no pertenecen al programa nacional para el control de la tuberculosis: derivados desde las comunidades.</t>
  </si>
  <si>
    <t>MCI-01085</t>
  </si>
  <si>
    <t>a1O1R000006c5oBUAQ</t>
  </si>
  <si>
    <t>TCP-8 Percentage of new and relapse TB patients tested using WHO recommended rapid tests at the time of diagnosis</t>
  </si>
  <si>
    <t>TCP-8 Pourcentage de patients atteints de tuberculose (nouveaux cas et récidives) testés au moyen des tests rapides recommandés par l’OMS lors du diagnostic</t>
  </si>
  <si>
    <t>TCP-8 Porcentaje de pacientes de tuberculosis notificados como casos nuevos y recaídas analizados con las pruebas rápidas recomendadas por la OMS en el momento del diagnóstico.</t>
  </si>
  <si>
    <t>MCI-00654</t>
  </si>
  <si>
    <t>MCI-01086</t>
  </si>
  <si>
    <t>a1O1R000006c5oCUAQ</t>
  </si>
  <si>
    <t>MDR TB-2⁽ᴹ⁾ Number of TB cases with RR-TB and/or MDR-TB notified</t>
  </si>
  <si>
    <t>MDR TB-2⁽ᴹ⁾ Nombre de cas déclarés de tuberculose résistante à la rifampicine et/ou multirésistante</t>
  </si>
  <si>
    <t>MDR TB-2⁽ᴹ⁾ Número de casos de tuberculosis resistente a la rifampicina y/o multirresistente notificados.</t>
  </si>
  <si>
    <t>MCI-01087</t>
  </si>
  <si>
    <t>a1O1R000006c5oDUAQ</t>
  </si>
  <si>
    <t>MDR TB-3⁽ᴹ⁾ Number of cases with RR-TB and/or MDR-TB that began second-line treatment</t>
  </si>
  <si>
    <t>MDR TB-3⁽ᴹ⁾ Nombre de cas de tuberculose résistante à la rifampicine et/ou de tuberculose multirésistante ayant commencé un traitement de seconde intention</t>
  </si>
  <si>
    <t>MDR TB-3⁽ᴹ⁾ Número de casos de tuberculosis resistente a la rifampicina y/o multirresistente que empezaron a recibir tratamiento de segunda línea.</t>
  </si>
  <si>
    <t>Age,Gender,TB regimen</t>
  </si>
  <si>
    <t>Age,Sexe,Schéma thérapeutique</t>
  </si>
  <si>
    <t>Edad,Género,Tipo de tratamiento</t>
  </si>
  <si>
    <t>MCI-01088</t>
  </si>
  <si>
    <t>a1O1R000006c5oEUAQ</t>
  </si>
  <si>
    <t>MDR TB-4 Percentage of cases with RR-TB and/or MDR-TB started on treatment for MDR-TB who were lost to follow up during the first six months of treatment</t>
  </si>
  <si>
    <t>MDR TB-4 Pourcentage de cas de tuberculose résistante à la rifampicine et/ou de tuberculose multirésistante qui, ayant commencé un traitement contre la TB-MR, ont été perdus de vue pendant les six premiers mois du traitement</t>
  </si>
  <si>
    <t>MDR TB-4 Porcentaje de casos de tuberculosis resistente a la rifampicina y/o multirresistente que comenzaron a recibir tratamiento para la tuberculosis multirresistente y cuyo seguimiento se interrumpió a los seis meses.</t>
  </si>
  <si>
    <t>MCI-01089</t>
  </si>
  <si>
    <t>a1O1R000006c5oFUAQ</t>
  </si>
  <si>
    <t>MDR TB-5 Percentage of DST laboratories showing adequate performance on External Quality Assurance</t>
  </si>
  <si>
    <t>MDR TB-5 Pourcentage de laboratoires présentant des performances satisfaisantes d’assurance qualité externe</t>
  </si>
  <si>
    <t>MDR TB-5 Porcentaje de laboratorios de pruebas de sensibilidad a los medicamentos que muestran un desempeño adecuado en lo que se refiere al aseguramiento externo de la calidad.</t>
  </si>
  <si>
    <t>MCI-01090</t>
  </si>
  <si>
    <t>a1O1R000006c5oGUAQ</t>
  </si>
  <si>
    <t>MDR TB-6 Percentage of TB patients with DST result for at least Rifampicin among the total number of notified (new and retreatment) cases in the same year</t>
  </si>
  <si>
    <t>MDR TB-6 Pourcentage de patients tuberculeux ayant un résultat d’un test de sensibilité aux médicaments (au moins à la rifampicine) parmi le total des cas déclarés (nouveaux cas et retraitements) pour la même année</t>
  </si>
  <si>
    <t>MDR TB-6 Porcentaje de pacientes con tuberculosis y resultados de sensibilidad a los fármacos al menos con respecto a la rifampicina entre el número total de casos notificados (nuevos y vueltos a tratar) en el mismo año.</t>
  </si>
  <si>
    <t>MCI-01091</t>
  </si>
  <si>
    <t>a1O1R000006c5oHUAQ</t>
  </si>
  <si>
    <t>MDR TB-7.1 Percentage of confirmed RR/MDR-TB cases tested for resistance to second-line drugs</t>
  </si>
  <si>
    <t>MDR TB-7.1 Pourcentage de cas confirmés de tuberculose résistante à la rifampicine/multirésistante ayant reçu un test de résistance aux médicaments de deuxième intention</t>
  </si>
  <si>
    <t>MDR TB-7.1 Porcentaje de casos confirmados de tuberculosis resistente a la rifampicina y/o multirresistente que se han sometido a pruebas para detectar la resistencia a medicamentos de segunda línea.</t>
  </si>
  <si>
    <t>MCI-01092</t>
  </si>
  <si>
    <t>a1O1R000006c5oIUAQ</t>
  </si>
  <si>
    <t>MDR TB-8 Number of cases of XDR TB enrolled on treatment</t>
  </si>
  <si>
    <t>MDR TB-8 Nombre de cas de tuberculose ultrarésistante mis sous traitement</t>
  </si>
  <si>
    <t>MDR TB-8 Número de casos de tuberculosis ultrarresistente (TB-XR) que reciben tratamiento.</t>
  </si>
  <si>
    <t>MCI-01093</t>
  </si>
  <si>
    <t>a1O1R000006c5oJUAQ</t>
  </si>
  <si>
    <t>MDR TB-9 Treatment success rate of RR TB and/or MDR-TB: Percentage of cases with RR and/or MDR-TB successfully treated</t>
  </si>
  <si>
    <t>MDR TB-9 Taux de succès therapeutique de TB-RR et/ou TB-MR : pourcentage de cas de tuberculose résistante à la rifampicine et/ou tuberculose multirésistante traités avec succès</t>
  </si>
  <si>
    <t>MDR TB-9 Índice de éxito del tratamiento de los casos de tuberculosis resistente a la rifampicina y/o tuberculosis multirresistente: Porcentaje de casos de tuberculosis resistente a la rifampicina y/o tuberculosis multirresistente tratados con éxito.</t>
  </si>
  <si>
    <t>MCI-00656</t>
  </si>
  <si>
    <t>MCI-01230</t>
  </si>
  <si>
    <t>a1O1R000006c8GzUAI</t>
  </si>
  <si>
    <t>TB/HIV-3.1a Percentage of people living with HIV newly initiated on ART who were screened for TB</t>
  </si>
  <si>
    <t>TB/HIV-3.1a Pourcentage de personnes vivant avec le VIH ayant nouvellement initié la TARV chez qui les signes de la tuberculose ont été recherchés</t>
  </si>
  <si>
    <t>TB/HIV-3.1a Porcentaje de personas que viven con VIH que iniciaron TARV que se han sometido a un tamizaje de TB</t>
  </si>
  <si>
    <t>MCI-01094</t>
  </si>
  <si>
    <t>a1O1R000006c5oKUAQ</t>
  </si>
  <si>
    <t>TB/HIV-5 Percentage of registered new and relapse TB patients with documented HIV status</t>
  </si>
  <si>
    <t>TB/HIV-5 Pourcentage de patients tuberculeux enregistrés (nouveaux cas et récidives) dont le statut sérologique VIH est documenté</t>
  </si>
  <si>
    <t>TB/HIV-5 Porcentaje de casos nuevos y recaídas de TB registrados, con estado serológico de VIH documentado</t>
  </si>
  <si>
    <t>MCI-01095</t>
  </si>
  <si>
    <t>a1O1R000006c5oLUAQ</t>
  </si>
  <si>
    <t>TB/HIV-6⁽ᴹ⁾ Percentage of HIV-positive new and relapse TB patients on ART during TB treatment</t>
  </si>
  <si>
    <t>TB/HIV-6⁽ᴹ⁾ Pourcentage de patients tuberculeux (nouveaux cas et récidives) séropositifs au VIH sous traitement antirétroviral pendant leur traitement antituberculeux</t>
  </si>
  <si>
    <t>TB/HIV-6⁽ᴹ⁾ Porcentaje de casos nuevos y recaídas de TB coinfectados con VIH que recibieron TARV durante el tratamiento de la TB</t>
  </si>
  <si>
    <t>MCI-01097</t>
  </si>
  <si>
    <t>a1O1R000006c5oNUAQ</t>
  </si>
  <si>
    <t>TB/HIV-7 Percentage of PLHIV on ART who initiated TB preventive therapy among those eligible during the reporting period</t>
  </si>
  <si>
    <t>TB/HIV-7 Pourcentage de personnes vivant avec le VIH recevant un traitement antirétroviral qui ont commencé la thérapie préventive de la tuberculose parmi celles éligibles durant la période de rapportage</t>
  </si>
  <si>
    <t>TB/HIV-7 Porcentaje de personas que viven con el VIH recibiendo terapia antirretroviral que han iniciado la terapia preventiva de TB entre las personas que viven con el VIH elegibles durante el período de reporte</t>
  </si>
  <si>
    <t>Age,Gender,TPT regimen</t>
  </si>
  <si>
    <t>Age,Sexe,Régime TPT</t>
  </si>
  <si>
    <t>Edad,Género,Régimen de TPT</t>
  </si>
  <si>
    <t>MCI-00661</t>
  </si>
  <si>
    <t>MCI-01115</t>
  </si>
  <si>
    <t>a1O1R000006c5ofUAA</t>
  </si>
  <si>
    <t>PSM-3 Percentage of health facilities providing diagnostic services with tracer items available on the day of the visit or day of reporting</t>
  </si>
  <si>
    <t>PSM-3 Pourcentage des établissements de santé fournissant des services de diagnostic avec des éléments traceurs le jour de la visite ou du rapportage.</t>
  </si>
  <si>
    <t>PSM-3 Porcentaje de establecimientos  de salud que prestan servicios de diagnóstico con productos marcadores disponibles el día de la visita o el día de la notificación</t>
  </si>
  <si>
    <t>MCI-01116</t>
  </si>
  <si>
    <t>a1O1R000006c5ogUAA</t>
  </si>
  <si>
    <t>PSM-4 Percentage of health facilities with tracer medicines for the three diseases available on the day of the visit or day of reporting</t>
  </si>
  <si>
    <t>PSM-4 Pourcentage des établissements de santé disposant de médicaments traceurs pour les trois maladies le jour de la visite ou du rapportage</t>
  </si>
  <si>
    <t>PSM-4 Porcentaje de establecimientos de salud con medicamentos marcadores para las tres enfermedades disponibles el día de la visita o el día de la notificación</t>
  </si>
  <si>
    <t>MCI-01117</t>
  </si>
  <si>
    <t>a1O1R000006c5ohUAA</t>
  </si>
  <si>
    <t>PSM-5 Percentage of consignments delivered on-time and in-full among the total number of consignments expected to be delivered for the three diseases during the reporting period</t>
  </si>
  <si>
    <t>PSM-5 Pourcentage de lots expédiés livrés en intégralité et dans les délais par rapport au nombre total de lots expédiés devant être fournis pour les trois maladies pendant la période de rapportage</t>
  </si>
  <si>
    <t>PSM-5 Porcentaje de envíos entregados a tiempo y completos en el número total de envíos que se espera que sean entregados para las tres enfermedades durante el período del informe</t>
  </si>
  <si>
    <t>MCI-01118</t>
  </si>
  <si>
    <t>a1O1R000006c5oiUAA</t>
  </si>
  <si>
    <t>PSM-6 Percentage of health products for Purchase Orders confirmed with suppliers among the projected quantities, for the three diseases during the reporting period</t>
  </si>
  <si>
    <t>PSM-6 Pourcentage de produits de santé pour les bons de commande confirmés avec les fournisseurs par rapport aux quantités prévues, pour les trois maladies pendant la période de rapportage.</t>
  </si>
  <si>
    <t>PSM-6 Porcentaje de productos sanitarios para órdenes de compra confirmadas con los proveedores en las cantidades previstas para las tres enfermedades durante el período del informe</t>
  </si>
  <si>
    <t>MCI-01119</t>
  </si>
  <si>
    <t>a1O1R000006c5ojUAA</t>
  </si>
  <si>
    <t>PSM-7 Percentage of health product batches for the three diseases tested for quality in line with Global Fund Quality Assurance policy</t>
  </si>
  <si>
    <t>PSM-7 Pourcentage de lots de produits de santé pour les trois maladies ayant fait l’objet d’un test de la qualité, conformément à la politique d’assurance qualité du Fonds mondial</t>
  </si>
  <si>
    <t>PSM-7 Porcentaje de lotes de productos sanitarios para las tres enfermedades sometidos a pruebas de calidad de acuerdo con la política de aseguramiento de la calidad del Fondo Mundial</t>
  </si>
  <si>
    <t>MCI-00662</t>
  </si>
  <si>
    <t>MCI-01120</t>
  </si>
  <si>
    <t>a1O1R000006c5okUAA</t>
  </si>
  <si>
    <t>M&amp;E-2a Completeness of facility reporting: Percentage of expected facility monthly reports (for the reporting period) that are actually received</t>
  </si>
  <si>
    <t>M&amp;E-2a Complétude des rapports des établissements de santé : Pourcentage de rapports mensuels attendus des établissements (pour la période de rapportage) qui ont été réellement reçus</t>
  </si>
  <si>
    <t>M&amp;E-2a Exhaustividad de los informes de los establecimientos de salud  : porcentaje de informes mensuales previstos  de los establecimientos de salud  (para el período de reporte) que se reciben realmente</t>
  </si>
  <si>
    <t>Type of report</t>
  </si>
  <si>
    <t>Type de rapport</t>
  </si>
  <si>
    <t>Tipo de informe</t>
  </si>
  <si>
    <t>MCI-01121</t>
  </si>
  <si>
    <t>a1O1R000006c5olUAA</t>
  </si>
  <si>
    <t>M&amp;E-2b Timeliness of facility reporting: Percentage of submitted facility monthly reports (for the reporting period) that are received on time per the national guidelines</t>
  </si>
  <si>
    <t>M&amp;E-2b Promptitude des rapports des établissements de santé: Pourcentage de rapports mensuels remis par les établissements (pour la période d’établissement de rapport) reçus dans les délais, conformément aux directives nationales</t>
  </si>
  <si>
    <t>M&amp;E-2b Puntualidad de los informes de los  establecimientos de salud : porcentaje de informes de los establecimientos de salud  enviados mensualmente ( para el período de reporte) que se reciben puntualmente de acuerdo con las directrices nacionales</t>
  </si>
  <si>
    <t>MCI-01122</t>
  </si>
  <si>
    <t>a1O1R000006c5omUAA</t>
  </si>
  <si>
    <t>M&amp;E-4 Percentage of service delivery reports from community health workers integrated into HMIS</t>
  </si>
  <si>
    <t>M&amp;E-4 Pourcentage de rapports de prestation de services d’agents de santé communautaires intégrés dans le SGIS</t>
  </si>
  <si>
    <t>M&amp;E-4 Porcentaje de  informes sobre la prestación de servicios de los trabajadores de la salud comunitarios integrados en el Sistema de información de gestión de salud  nacional</t>
  </si>
  <si>
    <t>MCI-01123</t>
  </si>
  <si>
    <t>a1O1R000006c5onUAA</t>
  </si>
  <si>
    <t>M&amp;E-5 Percentage of facilities which record and submit data using the electronic information system</t>
  </si>
  <si>
    <t>M&amp;E-5 Pourcentage d'établissements de santé ayant enregistré et transmis des données à l'aide du système d'information électronique</t>
  </si>
  <si>
    <t>M&amp;E-5 Porcentaje de establecimientos de salud que registran y envían los datos mediante el sistema de comunicación electrónico</t>
  </si>
  <si>
    <t>MCI-01124</t>
  </si>
  <si>
    <t>a1O1R000006c5ooUAA</t>
  </si>
  <si>
    <t>M&amp;E-6 Percentage of districts that produce periodic analytical report(s) as per nationally agreed plan and reporting format during the reporting period</t>
  </si>
  <si>
    <t>M&amp;E-6 Pourcentage de districts ayant rédigé un ou des rapports analytiques périodiques selon le plan national et le format convenus, au cours de la période de rapportage</t>
  </si>
  <si>
    <t>M&amp;E-6 Porcentaje de distritos que producen informe(s) analíticos periódicos de acuerdo con el plan y el formato de los informes acordados a nivel nacional durante el período de reporte</t>
  </si>
  <si>
    <t>MCI-00663</t>
  </si>
  <si>
    <t>MCI-01125</t>
  </si>
  <si>
    <t>a1O1R000006c5opUAA</t>
  </si>
  <si>
    <t>HRH-1 Vacancy rate: Number of full time posts unfilled for at least 6 months as a percentage of total number of funded posts</t>
  </si>
  <si>
    <t>HRH-1 Taux de vacance : Nombre de postes à temps complet restés vacants pendant au moins 6 mois, en pourcentage du nombre total de postes financés</t>
  </si>
  <si>
    <t>HRH-1 Tasa de puestos vacantes: número de puestos de salud a tiempo completo vacantes durante al menos 6 meses como porcentaje total del número de puestos financiados</t>
  </si>
  <si>
    <t>MCI-01126</t>
  </si>
  <si>
    <t>a1O1R000006c5oqUAA</t>
  </si>
  <si>
    <t>HRH-2 Proportion of students graduating from a health workforce education and training program to the number of students enrolled in first year</t>
  </si>
  <si>
    <t>HRH-2 Proportion d’étudiants diplômés d’un programme d’éducation et de formation des agents de santé par rapport au nombre d’étudiants inscrits en première année</t>
  </si>
  <si>
    <t>HRH-2 Proporción de estudiantes graduados de un programa de educación y formación de personal sanitario respecto del número de estudiantes inscritos en primer año</t>
  </si>
  <si>
    <t>MCI-01127</t>
  </si>
  <si>
    <t>a1O1R000006c5orUAA</t>
  </si>
  <si>
    <t>HRH-3 Proportion of community health workers who received at least one supportive supervision during the reporting period</t>
  </si>
  <si>
    <t>HRH-3 Proportion d'agents de santé communautaires qui ont bénéficié d’au moins une supervision formative au cours de la période de rapportage</t>
  </si>
  <si>
    <t>HRH-3 Proporción de trabajadores de  salud comunitarios que recibieron al menos una supervisión de apoyo  durante el período de reporte</t>
  </si>
  <si>
    <t>MCI-00664</t>
  </si>
  <si>
    <t>MCI-01128</t>
  </si>
  <si>
    <t>a1O1R000006c5osUAA</t>
  </si>
  <si>
    <t>SD-3 Number of outpatient department visits per person per year</t>
  </si>
  <si>
    <t>SD-3 Nombre de consultations ambulatoires externes du département par personne par an</t>
  </si>
  <si>
    <t>SD-3 Número de visitas al departamento de pacientes ambulatorios por persona y año</t>
  </si>
  <si>
    <t>MCI-01129</t>
  </si>
  <si>
    <t>a1O1R000006c5otUAA</t>
  </si>
  <si>
    <t>SD-4 Percentage of facilities with functioning health committee (or similar) that includes community members and meets at least quarterly</t>
  </si>
  <si>
    <t>SD-4 Pourcentage d’établissements de santé  dotés d’un comité de la santé en fonction (ou similaire) qui comprend des membres communautaires et se réunit au moins tous les trimestres</t>
  </si>
  <si>
    <t>SD-4 Porcentaje de establecimientos de salud con comité de salud en funcionamiento (o similar) que incluya a los miembros comunitarios y se reúna al menos una vez por trimestre</t>
  </si>
  <si>
    <t>MCI-01130</t>
  </si>
  <si>
    <t>a1O1R000006c5ouUAA</t>
  </si>
  <si>
    <t>SD-5 Percentage of facilities that receive supportive supervision – at least once per quarter</t>
  </si>
  <si>
    <t>SD-5 Pourcentage d’établissements de santé  ayant bénéficié d’une supervision formative (au moins une fois par trimestre)</t>
  </si>
  <si>
    <t>SD-5 Porcentaje de establecimientos de salud que reciben supervisión de apoyo al menos una vez por trimestre</t>
  </si>
  <si>
    <t>MCI-01131</t>
  </si>
  <si>
    <t>a1O1R000006c5ovUAA</t>
  </si>
  <si>
    <t>SD-6 Number of iCCM conditions treated among children under five in target areas during the reporting period</t>
  </si>
  <si>
    <t>SD-6 Nombre de conditions PEC-C traitées parmi les enfants de moins de cinq ans dans zones cibles au cours de la période de rapportage</t>
  </si>
  <si>
    <t>SD-6 Número de  condiciones de la atención integrada en la comunidad de enfermedades infantiles tratadas en niños menores de 5 años en áreas objetivo durante el período de informes</t>
  </si>
  <si>
    <t>iCCM condition</t>
  </si>
  <si>
    <t>Condition PEC-C</t>
  </si>
  <si>
    <t>Condición GICC</t>
  </si>
  <si>
    <t>MCI-00665</t>
  </si>
  <si>
    <t>MCI-01132</t>
  </si>
  <si>
    <t>a1O1R000006c5owUAA</t>
  </si>
  <si>
    <t>FMS-1 Percentage of public financial management system components used for grant financial management</t>
  </si>
  <si>
    <t>FMS-1 Pourcentage de composants du système de gestion financière publique utilisés pour la gestion financière de la subvention</t>
  </si>
  <si>
    <t>FMS-1 Porcentaje de componentes del sistema de gestión de financiamiento público utilizado para la gestión de financiamiento de las subvenciones</t>
  </si>
  <si>
    <t>MCI-00666</t>
  </si>
  <si>
    <t>MCI-01133</t>
  </si>
  <si>
    <t>a1O1R000006c5oxUAA</t>
  </si>
  <si>
    <t>HSG-1 Percent of district health management teams or other administrative units that have developed a monitoring plan, including annual work objectives and performance measures</t>
  </si>
  <si>
    <t>HSG-1 Pourcentage d’équipes de gestion de la santé dans les districts ou d'autres unités administratives qui ont élaboré un plan de suivi comprenant des objectifs de travail annuels et des mesures de résultats</t>
  </si>
  <si>
    <t>HSG-1 Porcentaje de equipos de gestión sanitaria en los distritos u otras unidades administrativas que han elaborado un plan de monitoreo, incluidos objetivos de trabajo anuales y medidas de desempeño</t>
  </si>
  <si>
    <t>MCI-00667</t>
  </si>
  <si>
    <t>MCI-01134</t>
  </si>
  <si>
    <t>a1O1R000006c5oyUAA</t>
  </si>
  <si>
    <t>CSS-1 Percentage of community based monitoring reports presented to relevant oversight mechanisms</t>
  </si>
  <si>
    <t>CSS-1 Pourcentage de rapports de suivi d’organisations basées dans la communauté présentés aux mécanismes de suivi pertinents</t>
  </si>
  <si>
    <t>CSS-1 Porcentaje de informes de monitoreo  comunitarios presentados a los mecanismos de supervisión pertinentes</t>
  </si>
  <si>
    <t>MCI-01135</t>
  </si>
  <si>
    <t>a1O1R000006c5ozUAA</t>
  </si>
  <si>
    <t>CSS-2 Number of community based organizations that received a pre-defined package of training</t>
  </si>
  <si>
    <t>CSS-2 Nombre d’organisations basées dans la communauté ayant reçu un paquet prédéfini de formation</t>
  </si>
  <si>
    <t>CSS-2 Número de organizaciones comunitarias que recibieron un paquete de formación predefinido</t>
  </si>
  <si>
    <t>MCI-00668</t>
  </si>
  <si>
    <t>MCI-01136</t>
  </si>
  <si>
    <t>a1O1R000006c5p0UAA</t>
  </si>
  <si>
    <t>LAB-1 Percentage of National Reference Laboratories accredited according to ISO15189 standard or achieving at least 4 stars towards accreditation</t>
  </si>
  <si>
    <t>LAB-1 Pourcentage de laboratoires nationaux de référence accrédités selon la norme ISO15189 ou ayant obtenu au moins quatre étoiles en vue de l’homologation</t>
  </si>
  <si>
    <t>LAB-1 Porcentaje de laboratorios nacionales de referencia acreditados de acuerdo con el estándar ISO15189 o que hayan conseguido al menos cuatro estrellas con vistas a obtener la acreditación</t>
  </si>
  <si>
    <t>Module Data - Component - Indicator Reference</t>
  </si>
  <si>
    <t>Name-Not in use</t>
  </si>
  <si>
    <t>Module-Coverage-Intervention Reference (Name)</t>
  </si>
  <si>
    <t>Name used on Overview Page for display</t>
  </si>
  <si>
    <t>Reference Record Id</t>
  </si>
  <si>
    <t>unique id</t>
  </si>
  <si>
    <t>Module (Name)</t>
  </si>
  <si>
    <t>[Module-Coverage-Intervention Reference (Name)]</t>
  </si>
  <si>
    <t>Record ID2</t>
  </si>
  <si>
    <t>[Name - FR]</t>
  </si>
  <si>
    <t>[Name - ES]</t>
  </si>
  <si>
    <t>COVID-19</t>
  </si>
  <si>
    <t>MCI-01236</t>
  </si>
  <si>
    <t>a3z3p000002zSUkAAM</t>
  </si>
  <si>
    <t>a1O3p000003OASdEAO</t>
  </si>
  <si>
    <t>a3z3p000002zSUk</t>
  </si>
  <si>
    <t>a3z3p000002zSUfAAM</t>
  </si>
  <si>
    <t>a3z3p000002zSUf</t>
  </si>
  <si>
    <t>a3z3p000002zSUVAA2</t>
  </si>
  <si>
    <t>a3z3p000002zSUV</t>
  </si>
  <si>
    <t>Differentiated HIV Testing Services</t>
  </si>
  <si>
    <t>a3z1R0000007SFOQA2</t>
  </si>
  <si>
    <t>a1O1R000006c5MbUAI</t>
  </si>
  <si>
    <t>a3z1R0000007SFO</t>
  </si>
  <si>
    <t>Services de dépistage différencié du VIH</t>
  </si>
  <si>
    <t>MDR-TB</t>
  </si>
  <si>
    <t>a3z1R0000007SFSQA2</t>
  </si>
  <si>
    <t>a1O1R000006c5MfUAI</t>
  </si>
  <si>
    <t>a3z1R0000007SFS</t>
  </si>
  <si>
    <t>Tuberculose multirésistante</t>
  </si>
  <si>
    <t>Payment for results</t>
  </si>
  <si>
    <t>MCI-00669</t>
  </si>
  <si>
    <t>a3z1R0000007SFiQAM</t>
  </si>
  <si>
    <t>a1O1R000006c5MuUAI</t>
  </si>
  <si>
    <t>a3z1R0000007SFi</t>
  </si>
  <si>
    <t>Financement basé sur les résultats</t>
  </si>
  <si>
    <t>Financiación basada en los resultados</t>
  </si>
  <si>
    <t>a3z1R0000007SG2QAM</t>
  </si>
  <si>
    <t>a3z1R0000007SG2</t>
  </si>
  <si>
    <t>a3z1R0000007SGCQA2</t>
  </si>
  <si>
    <t>a3z1R0000007SGC</t>
  </si>
  <si>
    <t>PMTCT</t>
  </si>
  <si>
    <t>a3z1R0000007SFNQA2</t>
  </si>
  <si>
    <t>a1O1R000006c5MaUAI</t>
  </si>
  <si>
    <t>a3z1R0000007SFN</t>
  </si>
  <si>
    <t>PTME</t>
  </si>
  <si>
    <t>PTMI</t>
  </si>
  <si>
    <t>Prevention</t>
  </si>
  <si>
    <t>a3z1R0000007SFMQA2</t>
  </si>
  <si>
    <t>a1O1R000006c5MZUAY</t>
  </si>
  <si>
    <t>a3z1R0000007SFM</t>
  </si>
  <si>
    <t>Prévention</t>
  </si>
  <si>
    <t>Program management</t>
  </si>
  <si>
    <t>MCI-00660</t>
  </si>
  <si>
    <t>a3z1R0000007SFZQA2</t>
  </si>
  <si>
    <t>a1O1R000006c5MlUAI</t>
  </si>
  <si>
    <t>a3z1R0000007SFZ</t>
  </si>
  <si>
    <t>Gestion de programme</t>
  </si>
  <si>
    <t>a3z1R0000007SFtQAM</t>
  </si>
  <si>
    <t>a3z1R0000007SFt</t>
  </si>
  <si>
    <t>a3z1R0000007SG3QAM</t>
  </si>
  <si>
    <t>a3z1R0000007SG3</t>
  </si>
  <si>
    <t>Reducing human rights-related barriers to HIV/TB services</t>
  </si>
  <si>
    <t>MCI-00652</t>
  </si>
  <si>
    <t>a3z1R0000007SFQQA2</t>
  </si>
  <si>
    <t>a1O1R000006c5MdUAI</t>
  </si>
  <si>
    <t>a3z1R0000007SFQ</t>
  </si>
  <si>
    <t>Réduction des obstacles liés aux droits humains qui entravent l’accès aux services de lutte contre le VIH/la tuberculose</t>
  </si>
  <si>
    <t>Reducción de las barreras relacionadas con los derechos humanos para acceder a los servicios del VIH y la tuberculosis</t>
  </si>
  <si>
    <t>Removing human rights and gender related barriers to TB services</t>
  </si>
  <si>
    <t>MCI-00655</t>
  </si>
  <si>
    <t>a3z1R0000007SFTQA2</t>
  </si>
  <si>
    <t>a1O1R000006c5MgUAI</t>
  </si>
  <si>
    <t>a3z1R0000007SFT</t>
  </si>
  <si>
    <t>Élimination des obstacles liés aux droits humains et au genre qui entravent l’accès aux services antituberculeux</t>
  </si>
  <si>
    <t>Eliminar las barreras relacionadas con los derechos humanos y el género que dificultan el acceso a los servicios de tuberculosis</t>
  </si>
  <si>
    <t>RSSH: Community systems strengthening</t>
  </si>
  <si>
    <t>a3z1R0000007SFgQAM</t>
  </si>
  <si>
    <t>a1O1R000006c5MsUAI</t>
  </si>
  <si>
    <t>a3z1R0000007SFg</t>
  </si>
  <si>
    <t>SRPS : Renforcement des systèmes communautaires</t>
  </si>
  <si>
    <t>SSRS: fortalecimiento de los sistemas comunitarios</t>
  </si>
  <si>
    <t>a3z1R0000007SG0QAM</t>
  </si>
  <si>
    <t>a3z1R0000007SG0</t>
  </si>
  <si>
    <t>a3z1R0000007SGAQA2</t>
  </si>
  <si>
    <t>a3z1R0000007SGA</t>
  </si>
  <si>
    <t>RSSH: Financial management systems</t>
  </si>
  <si>
    <t>a3z1R0000007SFeQAM</t>
  </si>
  <si>
    <t>a1O1R000006c5MqUAI</t>
  </si>
  <si>
    <t>a3z1R0000007SFe</t>
  </si>
  <si>
    <t>SRPS : Systèmes de gestion financière</t>
  </si>
  <si>
    <t>SSRS: Sistemas de gestión financiera</t>
  </si>
  <si>
    <t>a3z1R0000007SFyQAM</t>
  </si>
  <si>
    <t>a3z1R0000007SFy</t>
  </si>
  <si>
    <t>a3z1R0000007SG8QAM</t>
  </si>
  <si>
    <t>a3z1R0000007SG8</t>
  </si>
  <si>
    <t>RSSH: Health management information systems and M&amp;E</t>
  </si>
  <si>
    <t>a3z1R0000007SFbQAM</t>
  </si>
  <si>
    <t>a1O1R000006c5MnUAI</t>
  </si>
  <si>
    <t>a3z1R0000007SFb</t>
  </si>
  <si>
    <t>SRPS : Système de gestion de l’information sanitaire et suivi et évaluation</t>
  </si>
  <si>
    <t>a3z1R0000007SFvQAM</t>
  </si>
  <si>
    <t>a3z1R0000007SFv</t>
  </si>
  <si>
    <t>a3z1R0000007SG5QAM</t>
  </si>
  <si>
    <t>a3z1R0000007SG5</t>
  </si>
  <si>
    <t>RSSH: Health products management systems</t>
  </si>
  <si>
    <t>a3z1R0000007SFaQAM</t>
  </si>
  <si>
    <t>a1O1R000006c5MmUAI</t>
  </si>
  <si>
    <t>a3z1R0000007SFa</t>
  </si>
  <si>
    <t>SRPS: Systèmes de gestion des produits de santé</t>
  </si>
  <si>
    <t>SSRS: sistemas de gestión de productos para la salud</t>
  </si>
  <si>
    <t>a3z1R0000007SFuQAM</t>
  </si>
  <si>
    <t>a3z1R0000007SFu</t>
  </si>
  <si>
    <t>a3z1R0000007SG4QAM</t>
  </si>
  <si>
    <t>a3z1R0000007SG4</t>
  </si>
  <si>
    <t>RSSH: Health sector governance and planning</t>
  </si>
  <si>
    <t>a3z1R0000007SFfQAM</t>
  </si>
  <si>
    <t>a1O1R000006c5MrUAI</t>
  </si>
  <si>
    <t>a3z1R0000007SFf</t>
  </si>
  <si>
    <t>SRPS : Gouvernance et planification du secteur de la santé</t>
  </si>
  <si>
    <t>SSRS: gobernanza y planificación del sector de la salud</t>
  </si>
  <si>
    <t>a3z1R0000007SFzQAM</t>
  </si>
  <si>
    <t>a3z1R0000007SFz</t>
  </si>
  <si>
    <t>a3z1R0000007SG9QAM</t>
  </si>
  <si>
    <t>a3z1R0000007SG9</t>
  </si>
  <si>
    <t>RSSH: Human resources for health, including community health workers</t>
  </si>
  <si>
    <t>a3z1R0000007SFcQAM</t>
  </si>
  <si>
    <t>a1O1R000006c5MoUAI</t>
  </si>
  <si>
    <t>a3z1R0000007SFc</t>
  </si>
  <si>
    <t>SRPS : Ressources humaines pour la santé, y compris agents de santé communautaires</t>
  </si>
  <si>
    <t>SSRS: recursos humanos para la salud  incluidos los trabajadores de la salud comunitarios</t>
  </si>
  <si>
    <t>a3z1R0000007SFwQAM</t>
  </si>
  <si>
    <t>a3z1R0000007SFw</t>
  </si>
  <si>
    <t>a3z1R0000007SG6QAM</t>
  </si>
  <si>
    <t>a3z1R0000007SG6</t>
  </si>
  <si>
    <t>RSSH: Integrated service delivery and quality improvement</t>
  </si>
  <si>
    <t>a3z1R0000007SFdQAM</t>
  </si>
  <si>
    <t>a1O1R000006c5MpUAI</t>
  </si>
  <si>
    <t>a3z1R0000007SFd</t>
  </si>
  <si>
    <t>SRPS : Fourniture de service intégré et amélioration de la qualité</t>
  </si>
  <si>
    <t>SSRS: mejora de la calidad y la prestación de servicios integrados</t>
  </si>
  <si>
    <t>a3z1R0000007SFxQAM</t>
  </si>
  <si>
    <t>a3z1R0000007SFx</t>
  </si>
  <si>
    <t>a3z1R0000007SG7QAM</t>
  </si>
  <si>
    <t>a3z1R0000007SG7</t>
  </si>
  <si>
    <t>RSSH: Laboratory systems</t>
  </si>
  <si>
    <t>a3z1R0000007SFhQAM</t>
  </si>
  <si>
    <t>a1O1R000006c5MtUAI</t>
  </si>
  <si>
    <t>a3z1R0000007SFh</t>
  </si>
  <si>
    <t>SRPS : Systèmes de laboratoire</t>
  </si>
  <si>
    <t>SSRS: sistemas de laboratorio</t>
  </si>
  <si>
    <t>a3z1R0000007SG1QAM</t>
  </si>
  <si>
    <t>a3z1R0000007SG1</t>
  </si>
  <si>
    <t>a3z1R0000007SGBQA2</t>
  </si>
  <si>
    <t>a3z1R0000007SGB</t>
  </si>
  <si>
    <t>TB care and prevention</t>
  </si>
  <si>
    <t>a3z1R0000007SFRQA2</t>
  </si>
  <si>
    <t>a1O1R000006c5MeUAI</t>
  </si>
  <si>
    <t>a3z1R0000007SFR</t>
  </si>
  <si>
    <t>Prise en charge et prévention de la tuberculose</t>
  </si>
  <si>
    <t>TB/HIV</t>
  </si>
  <si>
    <t>a3z1R0000007SFUQA2</t>
  </si>
  <si>
    <t>a1O1R000006c5MhUAI</t>
  </si>
  <si>
    <t>a3z1R0000007SFU</t>
  </si>
  <si>
    <t>Tuberculose/VIH</t>
  </si>
  <si>
    <t>TB/VIH</t>
  </si>
  <si>
    <t>a3z1R0000007SFVQA2</t>
  </si>
  <si>
    <t>a3z1R0000007SFV</t>
  </si>
  <si>
    <t>Treatment, care and support</t>
  </si>
  <si>
    <t>a3z1R0000007SFPQA2</t>
  </si>
  <si>
    <t>a1O1R000006c5McUAI</t>
  </si>
  <si>
    <t>a3z1R0000007SFP</t>
  </si>
  <si>
    <t>Traitement, prise en charge et soutien</t>
  </si>
  <si>
    <t>Module-Coverage-Intervention Reference - Intervention</t>
  </si>
  <si>
    <t>translated intervetnion name</t>
  </si>
  <si>
    <t>Column5</t>
  </si>
  <si>
    <t>Column4</t>
  </si>
  <si>
    <t>Intervention</t>
  </si>
  <si>
    <t>MCI-00676</t>
  </si>
  <si>
    <t>a1O1R000006c5haUAA</t>
  </si>
  <si>
    <t>Addressing stigma, discrimination and violence</t>
  </si>
  <si>
    <t>Lutte contre la stigmatisation, la discrimination et la violence</t>
  </si>
  <si>
    <t>Abordaje del estigma, la discriminación y la violencia</t>
  </si>
  <si>
    <t>MCI-00672</t>
  </si>
  <si>
    <t>a1O1R000006c5hWUAQ</t>
  </si>
  <si>
    <t>Behavior change interventions</t>
  </si>
  <si>
    <t>Interventions pour le changement de comportement</t>
  </si>
  <si>
    <t>Intervenciones para cambio de comportamiento</t>
  </si>
  <si>
    <t>MCI-00673</t>
  </si>
  <si>
    <t>a1O1R000006c5hXUAQ</t>
  </si>
  <si>
    <t>Community empowerment</t>
  </si>
  <si>
    <t>Autonomisation des communautés</t>
  </si>
  <si>
    <t>Empoderamiento comunitario</t>
  </si>
  <si>
    <t>MCI-00682</t>
  </si>
  <si>
    <t>a1O1R000006c5hgUAA</t>
  </si>
  <si>
    <t>Comprehensive sexuality education</t>
  </si>
  <si>
    <t>Éducation complète  à la sexualité</t>
  </si>
  <si>
    <t>Educación sexual integral</t>
  </si>
  <si>
    <t>MCI-00670</t>
  </si>
  <si>
    <t>a1O1R000006c5hUUAQ</t>
  </si>
  <si>
    <t>Condom and lubricant programing</t>
  </si>
  <si>
    <t>Programmation relative aux préservatifs et aux lubrifiants</t>
  </si>
  <si>
    <t>Programas de preservativos y lubricantes</t>
  </si>
  <si>
    <t>MCI-00683</t>
  </si>
  <si>
    <t>a1O1R000006c5hhUAA</t>
  </si>
  <si>
    <t>Gender-based violence prevention and post violence care</t>
  </si>
  <si>
    <t>Prévention de la violence fondée sur le genre et soins apportés aux rescapées des violences</t>
  </si>
  <si>
    <t>Prevención de la violencia de género y atención posterior a un episodio de violencia</t>
  </si>
  <si>
    <t>MCI-00675</t>
  </si>
  <si>
    <t>a1O1R000006c5hZUAQ</t>
  </si>
  <si>
    <t>Harm reduction interventions for drug use</t>
  </si>
  <si>
    <t>Interventions de réduction des risques liées à la consommation de drogues</t>
  </si>
  <si>
    <t>Intervenciones de reducción de daño por consumo de drogas</t>
  </si>
  <si>
    <t>MCI-00685</t>
  </si>
  <si>
    <t>a1O1R000006c5hjUAA</t>
  </si>
  <si>
    <t>Integration into national multi-sectoral responses of AGYW programs</t>
  </si>
  <si>
    <t>Intégration des programmes à destination des adolescentes et des jeunes femmes dans les interventions multisectorielles nationales</t>
  </si>
  <si>
    <t>Integración de los programas para niñas adolescentes y mujeres jóvenes en las respuestas nacionales multisectoriales</t>
  </si>
  <si>
    <t>MCI-00677</t>
  </si>
  <si>
    <t>a1O1R000006c5hbUAA</t>
  </si>
  <si>
    <t>Interventions for young key populations</t>
  </si>
  <si>
    <t>Interventions en faveur des jeunes populations clés</t>
  </si>
  <si>
    <t>Intervenciones para poblaciones jóvenes clave</t>
  </si>
  <si>
    <t>MCI-00688</t>
  </si>
  <si>
    <t>a1O1R000006c5hmUAA</t>
  </si>
  <si>
    <t>Linkages between HIV programs and RMNCAH</t>
  </si>
  <si>
    <t>Liens entre les programmes de lutte contre le VIH, et la santé reproductive maternelle, du nouveau-né, de l'enfant et de l'adolescent</t>
  </si>
  <si>
    <t>Integración de los programas de VIH y la salud reproductiva, materna, adolescente, infantil y neonatal</t>
  </si>
  <si>
    <t>MCI-00687</t>
  </si>
  <si>
    <t>a1O1R000006c5hlUAA</t>
  </si>
  <si>
    <t>National condom program management and stewardship</t>
  </si>
  <si>
    <t>Programmation et gestion du préservatif au niveau national</t>
  </si>
  <si>
    <t>Gestión de programas nacionales para preservativos</t>
  </si>
  <si>
    <t>MCI-00679</t>
  </si>
  <si>
    <t>a1O1R000006c5hdUAA</t>
  </si>
  <si>
    <t>Needle and syringe programs</t>
  </si>
  <si>
    <t>Programmes d’échange d’aiguilles et de seringues</t>
  </si>
  <si>
    <t>Programas de agujas y jeringuillas</t>
  </si>
  <si>
    <t>MCI-00680</t>
  </si>
  <si>
    <t>a1O1R000006c5heUAA</t>
  </si>
  <si>
    <t>Opioid substitution therapy and other medically assisted drug dependence treatment</t>
  </si>
  <si>
    <t>Traitement de substitution aux opiacés et autres traitements médicalement assistés contre la toxicomanie</t>
  </si>
  <si>
    <t>Tratamiento de sustitución de opiáceos y otros tratamientos de la drogodependencia que requieren atención médica</t>
  </si>
  <si>
    <t>MCI-00681</t>
  </si>
  <si>
    <t>a1O1R000006c5hfUAA</t>
  </si>
  <si>
    <t>Overdose prevention and management</t>
  </si>
  <si>
    <t>Prévention et prise en charge des overdoses</t>
  </si>
  <si>
    <t>Prevención y tratamiento de la sobredosis</t>
  </si>
  <si>
    <t>MCI-00671</t>
  </si>
  <si>
    <t>a1O1R000006c5hVUAQ</t>
  </si>
  <si>
    <t>Pre-exposure prophylaxis</t>
  </si>
  <si>
    <t>Prophylaxie préexposition</t>
  </si>
  <si>
    <t>MCI-00678</t>
  </si>
  <si>
    <t>a1O1R000006c5hcUAA</t>
  </si>
  <si>
    <t>Prevention and management of co-infections and co-morbidities (Prevention)</t>
  </si>
  <si>
    <t>Prévention et prise en charge des co-infections et des co-morbidités (Prévention)</t>
  </si>
  <si>
    <t>Prevención y manejo de coinfecciones y comorbilidades (Prevención)</t>
  </si>
  <si>
    <t>MCI-00674</t>
  </si>
  <si>
    <t>a1O1R000006c5hYUAQ</t>
  </si>
  <si>
    <t>Sexual and reproductive health services, including STIs</t>
  </si>
  <si>
    <t>Services de santé sexuelle et reproductive, y compris les IST</t>
  </si>
  <si>
    <t>Servicios de salud sexual y reproductiva, incluyendo las ITS</t>
  </si>
  <si>
    <t>MCI-00684</t>
  </si>
  <si>
    <t>a1O1R000006c5hiUAA</t>
  </si>
  <si>
    <t>Social protection interventions</t>
  </si>
  <si>
    <t>Mesures de protection sociale</t>
  </si>
  <si>
    <t>Intervenciones de protección social</t>
  </si>
  <si>
    <t>MCI-00686</t>
  </si>
  <si>
    <t>a1O1R000006c5hkUAA</t>
  </si>
  <si>
    <t>Voluntary Medical Male Circumcision</t>
  </si>
  <si>
    <t>Circoncision masculine médicale volontaire</t>
  </si>
  <si>
    <t>Circuncisión médica masculina voluntaria</t>
  </si>
  <si>
    <t>MCI-00689</t>
  </si>
  <si>
    <t>a1O1R000006c5hnUAA</t>
  </si>
  <si>
    <t>Prong 1: Primary prevention of HIV infection among women of childbearing age</t>
  </si>
  <si>
    <t>Volet 1 : Prévention primaire de l’infection au VIH chez les femmes en âge de procréer</t>
  </si>
  <si>
    <t>Vertiente 1: Prevención primaria de la infección por el VIH en mujeres en edad fecunda</t>
  </si>
  <si>
    <t>MCI-00690</t>
  </si>
  <si>
    <t>a1O1R000006c5hoUAA</t>
  </si>
  <si>
    <t>Prong 2: Preventing unintended pregnancies among women living with HIV</t>
  </si>
  <si>
    <t>Volet 2 : Prévention des grossesses non désirées chez les femmes vivant avec le VIH</t>
  </si>
  <si>
    <t>Vertiente 2: Prevención de embarazos no deseados en mujeres que viven con el VIH</t>
  </si>
  <si>
    <t>MCI-00691</t>
  </si>
  <si>
    <t>a1O1R000006c5hpUAA</t>
  </si>
  <si>
    <t>Prong 3: Preventing vertical HIV transmission</t>
  </si>
  <si>
    <t>Volet 3 : Prévention de la transmission verticale du VIH</t>
  </si>
  <si>
    <t>Vertiente 3: Prevención de la transmisión vertical del VIH</t>
  </si>
  <si>
    <t>MCI-00692</t>
  </si>
  <si>
    <t>a1O1R000006c5hqUAA</t>
  </si>
  <si>
    <t>Prong 4: Treatment, care and support to mothers living with HIV, their children and families</t>
  </si>
  <si>
    <t>Volet 4 : Traitement, prise en charge et soutien des mères vivant avec le VIH, de leurs enfants et de leur famille</t>
  </si>
  <si>
    <t>Vertiente 4: Tratamiento, atención y apoyo para madres que viven con el VIH, así como para sus hijos y familias</t>
  </si>
  <si>
    <t>MCI-00694</t>
  </si>
  <si>
    <t>a1O1R000006c5hsUAA</t>
  </si>
  <si>
    <t>Community-based testing</t>
  </si>
  <si>
    <t>Dépistage communautaire</t>
  </si>
  <si>
    <t>MCI-00693</t>
  </si>
  <si>
    <t>a1O1R000006c5hrUAA</t>
  </si>
  <si>
    <t>Facility-based testing</t>
  </si>
  <si>
    <t>Dépistage en centre de santé</t>
  </si>
  <si>
    <t>Pruebas a nivel de establecimientos de salud</t>
  </si>
  <si>
    <t>MCI-00695</t>
  </si>
  <si>
    <t>a1O1R000006c5htUAA</t>
  </si>
  <si>
    <t>Self-testing</t>
  </si>
  <si>
    <t>Autodépistage</t>
  </si>
  <si>
    <t>Autoprueba (self testing)</t>
  </si>
  <si>
    <t>MCI-00701</t>
  </si>
  <si>
    <t>a1O1R000006c5hzUAA</t>
  </si>
  <si>
    <t>Counseling and psycho-social support</t>
  </si>
  <si>
    <t>Conseil et soutien psychosocial</t>
  </si>
  <si>
    <t>Consejería y apoyo psicosocial</t>
  </si>
  <si>
    <t>MCI-00696</t>
  </si>
  <si>
    <t>a1O1R000006c5huUAA</t>
  </si>
  <si>
    <t>Differentiated ART service delivery and HIV care</t>
  </si>
  <si>
    <t>Services différenciés de traitements antirétroviraux et prise en charge du VIH</t>
  </si>
  <si>
    <t>Prestación de servicios diferenciados de tratamiento antirretroviral y atención para el VIH</t>
  </si>
  <si>
    <t>MCI-00702</t>
  </si>
  <si>
    <t>a1O1R000006c5i0UAA</t>
  </si>
  <si>
    <t>Orphan and vulnerable children package</t>
  </si>
  <si>
    <t>Paquet de services à destination des orphelins et des enfants vulnérables</t>
  </si>
  <si>
    <t>Paquete para huérfanos y niños vulnerables</t>
  </si>
  <si>
    <t>MCI-00700</t>
  </si>
  <si>
    <t>a1O1R000006c5hyUAA</t>
  </si>
  <si>
    <t>Prevention and management of co-infections and co-morbidities (Treatment, care and support)</t>
  </si>
  <si>
    <t>Prévention et prise en charge des co-infections et des co-morbidités (Traitement, prise en charge et soutien)</t>
  </si>
  <si>
    <t>Prevención y manejo de coinfecciones y comorbilidades (Tratamiento, atención y apoyo)</t>
  </si>
  <si>
    <t>MCI-00698</t>
  </si>
  <si>
    <t>a1O1R000006c5hwUAA</t>
  </si>
  <si>
    <t>Treatment monitoring - ARV toxicity</t>
  </si>
  <si>
    <t>Suivi du traitement – Toxicité des antirétroviraux</t>
  </si>
  <si>
    <t>Seguimiento del tratamiento: toxicidad de la terapia antirretroviral</t>
  </si>
  <si>
    <t>MCI-00697</t>
  </si>
  <si>
    <t>a1O1R000006c5hvUAA</t>
  </si>
  <si>
    <t>Treatment monitoring - Drug resistance</t>
  </si>
  <si>
    <t>Suivi du traitement – Pharmacorésistance</t>
  </si>
  <si>
    <t>Seguimiento del tratamiento: farmacorresistencia</t>
  </si>
  <si>
    <t>MCI-00699</t>
  </si>
  <si>
    <t>a1O1R000006c5hxUAA</t>
  </si>
  <si>
    <t>Treatment monitoring - Viral load</t>
  </si>
  <si>
    <t>Suivi du traitement – Charge virale</t>
  </si>
  <si>
    <t>Seguimiento del tratamiento: carga viral</t>
  </si>
  <si>
    <t>MCI-00710</t>
  </si>
  <si>
    <t>a1O1R000006c5i8UAA</t>
  </si>
  <si>
    <t>Community mobilization and advocacy (HIV/TB)</t>
  </si>
  <si>
    <t>Mobilisation et sensibilisation des communautés (VIH/Tuberculose)</t>
  </si>
  <si>
    <t>Movilización y promoción comunitarias (VIH/TB)</t>
  </si>
  <si>
    <t>MCI-00706</t>
  </si>
  <si>
    <t>a1O1R000006c5i4UAA</t>
  </si>
  <si>
    <t>HIV and HIV/TB-related legal services</t>
  </si>
  <si>
    <t>Services juridiques liés au VIH et à la co-infection VIH/tuberculose</t>
  </si>
  <si>
    <t>Servicios jurídicos relacionados con el VIH y la TB/VIH</t>
  </si>
  <si>
    <t>MCI-00705</t>
  </si>
  <si>
    <t>a1O1R000006c5i3UAA</t>
  </si>
  <si>
    <t>Human rights and medical ethics related to HIV and HIV/TB for health care providers</t>
  </si>
  <si>
    <t>Droits humains et éthique médicale liée au VIH et à la co-infection VIH/tuberculose pour les prestataires de soins de santé</t>
  </si>
  <si>
    <t>Derechos humanos y ética médica en relación con el VIH y la tuberculosis y el VIH para personal sanitario</t>
  </si>
  <si>
    <t>MCI-00708</t>
  </si>
  <si>
    <t>a1O1R000006c5i6UAA</t>
  </si>
  <si>
    <t>Improving laws, regulations and polices relating to HIV and HIV/TB</t>
  </si>
  <si>
    <t>Amélioration des lois, des règlements et des politiques liés au VIH et à la co-infection VIH/tuberculose</t>
  </si>
  <si>
    <t>Mejora de leyes, reglamentos y políticas relacionadas con el VIH y la TB/VIH</t>
  </si>
  <si>
    <t>MCI-00704</t>
  </si>
  <si>
    <t>a1O1R000006c5i2UAA</t>
  </si>
  <si>
    <t>Legal Literacy (“Know Your Rights")</t>
  </si>
  <si>
    <t>Éducation juridique (« Connaissez vos droits »)</t>
  </si>
  <si>
    <t>Conocimientos jurídicos («Conoce tus derechos»)</t>
  </si>
  <si>
    <t>MCI-00709</t>
  </si>
  <si>
    <t>a1O1R000006c5i7UAA</t>
  </si>
  <si>
    <t>Reducing HIV-related gender discrimination, harmful gender norms and violence against women and girls in all their diversity</t>
  </si>
  <si>
    <t>Réduction de la discrimination fondée sur le genre, des normes de genre nocives et de la violence contre les femmes et les filles dans toute leur diversité, en lien avec le VIH</t>
  </si>
  <si>
    <t>Reducción de la discriminación de género relacionada con el VIH, las normas de género perjudiciales y la violencia contra las mujeres y las niñas en toda su diversidad</t>
  </si>
  <si>
    <t>MCI-00707</t>
  </si>
  <si>
    <t>a1O1R000006c5i5UAA</t>
  </si>
  <si>
    <t>Sensitization of law-makers and law-enforcement agents</t>
  </si>
  <si>
    <t>Sensibilisation des législateurs et des agents des forces de l’ordre</t>
  </si>
  <si>
    <t>Sensibilización de los cuerpos de seguridad y cuerpos de seguridad</t>
  </si>
  <si>
    <t>MCI-00703</t>
  </si>
  <si>
    <t>a1O1R000006c5i1UAA</t>
  </si>
  <si>
    <t>Stigma and discrimination reduction (HIV/TB)</t>
  </si>
  <si>
    <t>Réduction du rejet social et de la discrimination (VIH/Tuberculose)</t>
  </si>
  <si>
    <t>Reducción del estigma y la discriminación (VIH/TB)</t>
  </si>
  <si>
    <t>MCI-00711</t>
  </si>
  <si>
    <t>a1O1R000006c5i9UAA</t>
  </si>
  <si>
    <t>Case detection and diagnosis (TB care and prevention)</t>
  </si>
  <si>
    <t>Détection des cas et diagnostic (Prise en charge et prévention de la tuberculose)</t>
  </si>
  <si>
    <t>MCI-00721</t>
  </si>
  <si>
    <t>a1O1R000006c5iJUAQ</t>
  </si>
  <si>
    <t>Collaborative activities with other programs and sectors (TB care and prevention)</t>
  </si>
  <si>
    <t>Activités conjointes avec d’autres programmes et secteurs (Prise en charge et prévention de la tuberculose)</t>
  </si>
  <si>
    <t>Actividades de colaboración con otros programas y sectores (Atención y prevención de la tuberculosis)</t>
  </si>
  <si>
    <t>MCI-00715</t>
  </si>
  <si>
    <t>a1O1R000006c5iDUAQ</t>
  </si>
  <si>
    <t>Community TB care delivery</t>
  </si>
  <si>
    <t>Prise en charge communautaire de la tuberculose</t>
  </si>
  <si>
    <t>Prestación de servicios de atención de la tuberculosis en la comunidad</t>
  </si>
  <si>
    <t>MCI-00714</t>
  </si>
  <si>
    <t>a1O1R000006c5iCUAQ</t>
  </si>
  <si>
    <t>Engaging all care providers (TB care and prevention)</t>
  </si>
  <si>
    <t>Implication de tous les prestataires de soins (Prise en charge et prévention de la tuberculose)</t>
  </si>
  <si>
    <t>Implicar a todos los proveedores de atención (Atención y prevención de la tuberculosis)</t>
  </si>
  <si>
    <t>MCI-00716</t>
  </si>
  <si>
    <t>a1O1R000006c5iEUAQ</t>
  </si>
  <si>
    <t>Key Populations (TB care and prevention) - Children</t>
  </si>
  <si>
    <t>Populations clés (Prise en charge et prévention de la tuberculose) - Enfants</t>
  </si>
  <si>
    <t>Poblaciones clave (Atención y prevención de la tuberculosis): niños</t>
  </si>
  <si>
    <t>MCI-00719</t>
  </si>
  <si>
    <t>a1O1R000006c5iHUAQ</t>
  </si>
  <si>
    <t>Key populations (TB care and prevention) - Miners and mining communities</t>
  </si>
  <si>
    <t>Populations clés (Prise en charge et prévention de la tuberculose) - Mineurs et communautés minières</t>
  </si>
  <si>
    <t>Poblaciones clave (Atención y prevención de la tuberculosis): mineros y comunidades mineras</t>
  </si>
  <si>
    <t>MCI-00718</t>
  </si>
  <si>
    <t>a1O1R000006c5iGUAQ</t>
  </si>
  <si>
    <t>Key populations (TB care and prevention) - Mobile populations: refugees, migrants and internally displaced people</t>
  </si>
  <si>
    <t>Populations clés (Prise en charge et prévention de la tuberculose) - Populations mobiles : réfugiés, migrants et personnes déplacées à l’intérieur de leur pays</t>
  </si>
  <si>
    <t>Poblaciones clave (Atención y prevención de la tuberculosis): poblaciones móviles (refugiados, migrantes y personas desplazadas internamente)</t>
  </si>
  <si>
    <t>MCI-00720</t>
  </si>
  <si>
    <t>a1O1R000006c5iIUAQ</t>
  </si>
  <si>
    <t>Key populations (TB care and prevention) - Others</t>
  </si>
  <si>
    <t>Populations clés (Prise en charge et prévention de la tuberculose) - Autres</t>
  </si>
  <si>
    <t>Poblaciones clave (Atención y prevención de la tuberculosis): otros</t>
  </si>
  <si>
    <t>MCI-00717</t>
  </si>
  <si>
    <t>a1O1R000006c5iFUAQ</t>
  </si>
  <si>
    <t>Key populations (TB care and prevention) - Prisoners</t>
  </si>
  <si>
    <t>Populations clés (Prise en charge et prévention de la tuberculose) - Détenus</t>
  </si>
  <si>
    <t>Poblaciones clave (Atención y prevención de la tuberculosis): reclusos</t>
  </si>
  <si>
    <t>MCI-00713</t>
  </si>
  <si>
    <t>a1O1R000006c5iBUAQ</t>
  </si>
  <si>
    <t>Prevention (TB care and prevention)</t>
  </si>
  <si>
    <t>Prévention (Prise en charge et prévention de la tuberculose)</t>
  </si>
  <si>
    <t>Prevención (Atención y prevención de la tuberculosis)</t>
  </si>
  <si>
    <t>MCI-00712</t>
  </si>
  <si>
    <t>a1O1R000006c5iAUAQ</t>
  </si>
  <si>
    <t>Treatment (TB care and prevention)</t>
  </si>
  <si>
    <t>Traitement (Prise en charge et prévention de la tuberculose)</t>
  </si>
  <si>
    <t>Tratamiento (Atención y prevención de la tuberculosis)</t>
  </si>
  <si>
    <t>MCI-00722</t>
  </si>
  <si>
    <t>a1O1R000006c5iKUAQ</t>
  </si>
  <si>
    <t>Case detection and diagnosis (MDR-TB)</t>
  </si>
  <si>
    <t>Détection des cas et diagnostic (Tuberculose multirésistante)</t>
  </si>
  <si>
    <t>Detección y diagnóstico de casos (Tuberculosis multirresistente)</t>
  </si>
  <si>
    <t>MCI-00732</t>
  </si>
  <si>
    <t>a1O1R000006c5iUUAQ</t>
  </si>
  <si>
    <t>Collaborative activities with other programs and sectors (MDR-TB)</t>
  </si>
  <si>
    <t>Activités conjointes avec d’autres programmes et secteurs (Tuberculose multirésistante)</t>
  </si>
  <si>
    <t>Actividades de colaboración con otros programas y sectores (Tuberculosis multirresistente)</t>
  </si>
  <si>
    <t>MCI-00726</t>
  </si>
  <si>
    <t>a1O1R000006c5iOUAQ</t>
  </si>
  <si>
    <t>Community MDR-TB care delivery</t>
  </si>
  <si>
    <t>Prise en charge communautaire de la tuberculose multirésistante</t>
  </si>
  <si>
    <t>Prestación de servicios de atención de la tuberculosis multirresistente en la comunidad</t>
  </si>
  <si>
    <t>MCI-00725</t>
  </si>
  <si>
    <t>a1O1R000006c5iNUAQ</t>
  </si>
  <si>
    <t>Engaging all care providers (MDR-TB)</t>
  </si>
  <si>
    <t>Implication de tous les prestataires de soins (Tuberculose multirésistante)</t>
  </si>
  <si>
    <t>Implicar a todos los proveedores de atención (Tuberculosis multirresistente)</t>
  </si>
  <si>
    <t>MCI-00727</t>
  </si>
  <si>
    <t>a1O1R000006c5iPUAQ</t>
  </si>
  <si>
    <t>Key Populations (MDR-TB) - Children</t>
  </si>
  <si>
    <t>Populations clés (Tuberculose multirésistante) - Enfants</t>
  </si>
  <si>
    <t>Poblaciones clave (Tuberculosis multirresistente): niños</t>
  </si>
  <si>
    <t>MCI-00730</t>
  </si>
  <si>
    <t>a1O1R000006c5iSUAQ</t>
  </si>
  <si>
    <t>Key populations (MDR-TB) - Miners and mining communities</t>
  </si>
  <si>
    <t>Populations clés (Tuberculose multirésistante) - Mineurs et communautés minières</t>
  </si>
  <si>
    <t>Poblaciones clave (Tuberculosis multirresistente): mineros y comunidades mineras</t>
  </si>
  <si>
    <t>MCI-00729</t>
  </si>
  <si>
    <t>a1O1R000006c5iRUAQ</t>
  </si>
  <si>
    <t>Key populations (MDR-TB) - Mobile populations: refugees, migrants and internally displaced people</t>
  </si>
  <si>
    <t>Populations clés (Tuberculose multirésistante) - Populations mobiles : réfugiés, migrants et personnes déplacées à l’intérieur de leur pays</t>
  </si>
  <si>
    <t>Poblaciones clave (Tuberculosis multirresistente): poblaciones móviles (refugiados, migrantes y personas desplazadas internamente)</t>
  </si>
  <si>
    <t>MCI-00731</t>
  </si>
  <si>
    <t>a1O1R000006c5iTUAQ</t>
  </si>
  <si>
    <t>Key populations (MDR-TB) - Others</t>
  </si>
  <si>
    <t>Populations clés (Tuberculose multirésistante) - Autres</t>
  </si>
  <si>
    <t>Poblaciones clave (Tuberculosis multirresistente): otros</t>
  </si>
  <si>
    <t>MCI-00728</t>
  </si>
  <si>
    <t>a1O1R000006c5iQUAQ</t>
  </si>
  <si>
    <t>Key populations (MDR-TB) - Prisoners</t>
  </si>
  <si>
    <t>Populations clés (Tuberculose multirésistante) - Détenus</t>
  </si>
  <si>
    <t>Poblaciones clave (Tuberculosis multirresistente): reclusos</t>
  </si>
  <si>
    <t>MCI-00724</t>
  </si>
  <si>
    <t>a1O1R000006c5iMUAQ</t>
  </si>
  <si>
    <t>Prevention (MDR-TB)</t>
  </si>
  <si>
    <t>Prévention (Tuberculose multirésistante)</t>
  </si>
  <si>
    <t>Prevención (Tuberculosis multirresistente)</t>
  </si>
  <si>
    <t>MCI-00723</t>
  </si>
  <si>
    <t>a1O1R000006c5iLUAQ</t>
  </si>
  <si>
    <t>Treatment (MDR-TB)</t>
  </si>
  <si>
    <t>Traitement (Tuberculose multirésistante)</t>
  </si>
  <si>
    <t>MCI-00737</t>
  </si>
  <si>
    <t>a1O1R000006c5iZUAQ</t>
  </si>
  <si>
    <t>Community mobilization and advocacy (TB)</t>
  </si>
  <si>
    <t>Mobilisation et sensibilisation des communautés (Tuberculose)</t>
  </si>
  <si>
    <t>Movilización y promoción comunitarias (TB)</t>
  </si>
  <si>
    <t>MCI-00734</t>
  </si>
  <si>
    <t>a1O1R000006c5iWUAQ</t>
  </si>
  <si>
    <t>Human rights, medical ethics and legal literacy</t>
  </si>
  <si>
    <t>Éducation aux droits légaux et humains et formation à l’éthique médicale</t>
  </si>
  <si>
    <t>Derechos humanos, ética médica y educación sobre cuestiones jurídicas</t>
  </si>
  <si>
    <t>MCI-00735</t>
  </si>
  <si>
    <t>a1O1R000006c5iXUAQ</t>
  </si>
  <si>
    <t>Legal aid and services</t>
  </si>
  <si>
    <t>Aide et services juridiques</t>
  </si>
  <si>
    <t>Asistencia y servicios jurídicos</t>
  </si>
  <si>
    <t>MCI-00736</t>
  </si>
  <si>
    <t>a1O1R000006c5iYUAQ</t>
  </si>
  <si>
    <t>Reform of laws and policies</t>
  </si>
  <si>
    <t>Réforme des lois et politiques</t>
  </si>
  <si>
    <t>Reforma de leyes y políticas</t>
  </si>
  <si>
    <t>MCI-00733</t>
  </si>
  <si>
    <t>a1O1R000006c5iVUAQ</t>
  </si>
  <si>
    <t>Stigma and discrimination reduction (TB)</t>
  </si>
  <si>
    <t>Réduction du rejet social et de la discrimination (Tuberculose)</t>
  </si>
  <si>
    <t>Reducción del estigma y la discriminación (TB)</t>
  </si>
  <si>
    <t>MCI-00749</t>
  </si>
  <si>
    <t>a1O1R000006c5ilUAA</t>
  </si>
  <si>
    <t>Collaborative activities with other programs and sectors (TB/HIV)</t>
  </si>
  <si>
    <t>Activités conjointes avec d’autres programmes et secteurs (Tuberculose/VIH)</t>
  </si>
  <si>
    <t>Actividades de colaboración con otros programas y sectores (TB/VIH)</t>
  </si>
  <si>
    <t>MCI-00743</t>
  </si>
  <si>
    <t>a1O1R000006c5ifUAA</t>
  </si>
  <si>
    <t>Community TB/HIV care delivery</t>
  </si>
  <si>
    <t>Prise en charge communautaire de la coïnfection TB/VIH</t>
  </si>
  <si>
    <t>Prestación de servicios comunitarios de TB/VIH</t>
  </si>
  <si>
    <t>MCI-00742</t>
  </si>
  <si>
    <t>a1O1R000006c5ieUAA</t>
  </si>
  <si>
    <t>Engaging all care providers (TB/HIV)</t>
  </si>
  <si>
    <t>Implication de tous les prestataires de soins (Tuberculose/VIH)</t>
  </si>
  <si>
    <t>Involucramiento de todos los proveedores de salud (TB/VIH)</t>
  </si>
  <si>
    <t>MCI-00744</t>
  </si>
  <si>
    <t>a1O1R000006c5igUAA</t>
  </si>
  <si>
    <t>Key Populations (TB/HIV) - Children</t>
  </si>
  <si>
    <t>Populations clés (Tuberculose/VIH) - Enfants</t>
  </si>
  <si>
    <t>Poblaciones clave (TB/VIH): niños</t>
  </si>
  <si>
    <t>MCI-00747</t>
  </si>
  <si>
    <t>a1O1R000006c5ijUAA</t>
  </si>
  <si>
    <t>Key populations (TB/HIV) - Miners and mining communities</t>
  </si>
  <si>
    <t>Populations clés (Tuberculose/VIH) - Mineurs et communautés minières</t>
  </si>
  <si>
    <t>Poblaciones clave (TB/VIH): mineros y comunidades mineras</t>
  </si>
  <si>
    <t>MCI-00746</t>
  </si>
  <si>
    <t>a1O1R000006c5iiUAA</t>
  </si>
  <si>
    <t>Key populations (TB/HIV) - Mobile populations: refugees, migrants and internally displaced people</t>
  </si>
  <si>
    <t>Populations clés (Tuberculose/VIH) - Populations mobiles : réfugiés, migrants et personnes déplacées à l’intérieur de leur pays</t>
  </si>
  <si>
    <t>Poblaciones clave (TB/VIH): poblaciones móviles (refugiados, migrantes y personas desplazadas internamente)</t>
  </si>
  <si>
    <t>MCI-00748</t>
  </si>
  <si>
    <t>a1O1R000006c5ikUAA</t>
  </si>
  <si>
    <t>Key populations (TB/HIV) - Others</t>
  </si>
  <si>
    <t>Populations clés (Tuberculose/VIH) - Autres</t>
  </si>
  <si>
    <t>Poblaciones clave (TB/VIH): otros</t>
  </si>
  <si>
    <t>MCI-00745</t>
  </si>
  <si>
    <t>a1O1R000006c5ihUAA</t>
  </si>
  <si>
    <t>Key populations (TB/HIV) - Prisoners</t>
  </si>
  <si>
    <t>Populations clés (Tuberculose/VIH) - Détenus</t>
  </si>
  <si>
    <t>Poblaciones clave (TB/VIH): personas privadas de libertad</t>
  </si>
  <si>
    <t>MCI-00741</t>
  </si>
  <si>
    <t>a1O1R000006c5idUAA</t>
  </si>
  <si>
    <t>Prevention (TB/HIV)</t>
  </si>
  <si>
    <t>Prévention (Tuberculose/VIH)</t>
  </si>
  <si>
    <t>Prevención (TB/VIH)</t>
  </si>
  <si>
    <t>MCI-00739</t>
  </si>
  <si>
    <t>a1O1R000006c5ibUAA</t>
  </si>
  <si>
    <t>Screening, testing and diagnosis</t>
  </si>
  <si>
    <t>Dépistage, test et diagnostic</t>
  </si>
  <si>
    <t>Tamizaje, prueba y diagnóstico</t>
  </si>
  <si>
    <t>MCI-00738</t>
  </si>
  <si>
    <t>a1O1R000006c5iaUAA</t>
  </si>
  <si>
    <t>TB/HIV collaborative interventions</t>
  </si>
  <si>
    <t>Activités conjointes de lutte contre la tuberculose et le VIH</t>
  </si>
  <si>
    <t>Actividades de colaboración en materia de TB/VIH</t>
  </si>
  <si>
    <t>MCI-00740</t>
  </si>
  <si>
    <t>a1O1R000006c5icUAA</t>
  </si>
  <si>
    <t>Treatment (TB/HIV)</t>
  </si>
  <si>
    <t>Traitement (Tuberculose/VIH)</t>
  </si>
  <si>
    <t>Tratamiento (TB/VIH)</t>
  </si>
  <si>
    <t>MCI-00778</t>
  </si>
  <si>
    <t>a1O1R000006c5jEUAQ</t>
  </si>
  <si>
    <t>Coordination and management of national disease control programs</t>
  </si>
  <si>
    <t>Coordination et gestion des programmes nationaux de lutte contre les maladies</t>
  </si>
  <si>
    <t>Coordinación y gestión de los programas nacionales de control de enfermedades</t>
  </si>
  <si>
    <t>MCI-00779</t>
  </si>
  <si>
    <t>a1O1R000006c5jFUAQ</t>
  </si>
  <si>
    <t>Grant management</t>
  </si>
  <si>
    <t>Gestion des subventions</t>
  </si>
  <si>
    <t>Gestión de subvenciones</t>
  </si>
  <si>
    <t>MCI-00784</t>
  </si>
  <si>
    <t>a1O1R000006c5jKUAQ</t>
  </si>
  <si>
    <t>Avoidance, reduction and management of health care waste</t>
  </si>
  <si>
    <t>Prévention, réduction et gestion des déchets médicaux</t>
  </si>
  <si>
    <t>Gestión de los residuos de la atención sanitaria</t>
  </si>
  <si>
    <t>MCI-00780</t>
  </si>
  <si>
    <t>a1O1R000006c5jGUAQ</t>
  </si>
  <si>
    <t>Policy, strategy, governance</t>
  </si>
  <si>
    <t>Politique, stratégie, gouvernance</t>
  </si>
  <si>
    <t>Política, estrategia, gobernanza</t>
  </si>
  <si>
    <t>MCI-00782</t>
  </si>
  <si>
    <t>a1O1R000006c5jIUAQ</t>
  </si>
  <si>
    <t>Procurement capacity</t>
  </si>
  <si>
    <t>Capacité en matière d’approvisionnement</t>
  </si>
  <si>
    <t>Capacidad de adquisición</t>
  </si>
  <si>
    <t>MCI-00783</t>
  </si>
  <si>
    <t>a1O1R000006c5jJUAQ</t>
  </si>
  <si>
    <t>Regulatory/quality assurance support</t>
  </si>
  <si>
    <t>Soutien en matière d’assurance qualité/réglementation</t>
  </si>
  <si>
    <t>Apoyo regulador/aseguramiento de la calidad</t>
  </si>
  <si>
    <t>MCI-00781</t>
  </si>
  <si>
    <t>a1O1R000006c5jHUAQ</t>
  </si>
  <si>
    <t>Storage and distribution capacity</t>
  </si>
  <si>
    <t>Capacité de stockage et de distribution</t>
  </si>
  <si>
    <t>Capacidad de almacenamiento y distribución</t>
  </si>
  <si>
    <t>MCI-00789</t>
  </si>
  <si>
    <t>a1O1R000006c5jPUAQ</t>
  </si>
  <si>
    <t>Administrative and finance data sources</t>
  </si>
  <si>
    <t>Sources de données administratives et financières</t>
  </si>
  <si>
    <t>Fuentes de los datos financieros y administrativos</t>
  </si>
  <si>
    <t>MCI-00787</t>
  </si>
  <si>
    <t>a1O1R000006c5jNUAQ</t>
  </si>
  <si>
    <t>Analysis, evaluations, reviews and transparency</t>
  </si>
  <si>
    <t>Analyse, évaluations, revue et transparence</t>
  </si>
  <si>
    <t>Análisis, evaluaciones, revisión y transparencia</t>
  </si>
  <si>
    <t>MCI-00790</t>
  </si>
  <si>
    <t>a1O1R000006c5jQUAQ</t>
  </si>
  <si>
    <t>Civil registration and vital statistics</t>
  </si>
  <si>
    <t>Registre et statistiques de l'état civil</t>
  </si>
  <si>
    <t>Registro civil y estadísticas vitales</t>
  </si>
  <si>
    <t>MCI-00786</t>
  </si>
  <si>
    <t>a1O1R000006c5jMUAQ</t>
  </si>
  <si>
    <t>Program and data quality</t>
  </si>
  <si>
    <t>Qualité des données et programmes</t>
  </si>
  <si>
    <t>Calidad del programa y los datos</t>
  </si>
  <si>
    <t>MCI-00785</t>
  </si>
  <si>
    <t>a1O1R000006c5jLUAQ</t>
  </si>
  <si>
    <t>Routine reporting</t>
  </si>
  <si>
    <t>Rapportage des données de routine</t>
  </si>
  <si>
    <t>Informes rutinarios</t>
  </si>
  <si>
    <t>MCI-00788</t>
  </si>
  <si>
    <t>a1O1R000006c5jOUAQ</t>
  </si>
  <si>
    <t>Surveys</t>
  </si>
  <si>
    <t>Enquêtes</t>
  </si>
  <si>
    <t>Encuestas</t>
  </si>
  <si>
    <t>MCI-00795</t>
  </si>
  <si>
    <t>a1O1R000006c5jVUAQ</t>
  </si>
  <si>
    <t>Community health workers: Education and production</t>
  </si>
  <si>
    <t>Agents de santé communautaires : Éducation et production</t>
  </si>
  <si>
    <t>Trabajadores de salud comunitarios: educación y producción</t>
  </si>
  <si>
    <t>MCI-00797</t>
  </si>
  <si>
    <t>a1O1R000006c5jXUAQ</t>
  </si>
  <si>
    <t>Community health workers: In-service training</t>
  </si>
  <si>
    <t>Agents de santé communautaires : Formation continue</t>
  </si>
  <si>
    <t>Trabajadores de salud comunitarios: formación durante la prestación de los servicios</t>
  </si>
  <si>
    <t>MCI-00796</t>
  </si>
  <si>
    <t>a1O1R000006c5jWUAQ</t>
  </si>
  <si>
    <t>Community health workers: Remuneration and deployment</t>
  </si>
  <si>
    <t>Agents de santé communautaires : Rémunération et déploiement</t>
  </si>
  <si>
    <t>Trabajadores de salud comunitarios: remuneración y despliegue</t>
  </si>
  <si>
    <t>MCI-00791</t>
  </si>
  <si>
    <t>a1O1R000006c5jRUAQ</t>
  </si>
  <si>
    <t>Education and production of new health workers (excluding community health workers)</t>
  </si>
  <si>
    <t>Éducation et production de nouveaux travailleurs de santé (à l’exception des agents de santé communautaires)</t>
  </si>
  <si>
    <t>Educación y producción de nuevos trabajadores de  salud (excepto los trabajadores de la salud comunitarios)</t>
  </si>
  <si>
    <t>MCI-00794</t>
  </si>
  <si>
    <t>a1O1R000006c5jUUAQ</t>
  </si>
  <si>
    <t>HRH policy and governance</t>
  </si>
  <si>
    <t>Politiques et gouvernance relatives aux ressources humaines pour la santé (RHS)</t>
  </si>
  <si>
    <t>Política y gobernanza de Recursos Humanos de Salud</t>
  </si>
  <si>
    <t>MCI-00793</t>
  </si>
  <si>
    <t>a1O1R000006c5jTUAQ</t>
  </si>
  <si>
    <t>In-service training (excluding community health workers)</t>
  </si>
  <si>
    <t>Formation continue (à l’exception des agents de santé communautaires)</t>
  </si>
  <si>
    <t>Formación durante la prestación de servicios (excepto los trabajadores de  salud comunitarios)</t>
  </si>
  <si>
    <t>MCI-00792</t>
  </si>
  <si>
    <t>a1O1R000006c5jSUAQ</t>
  </si>
  <si>
    <t>Remuneration &amp; deployment of existing/new staff (excluding community health workers)</t>
  </si>
  <si>
    <t>Rémunération et déploiement de personnel existant/nouveau personnel (à l’exception des agents de santé communautaires)</t>
  </si>
  <si>
    <t>Remuneración y despliegue de personal nuevo/existente (excepto los trabajadores de la salud comunitarios)</t>
  </si>
  <si>
    <t>MCI-00798</t>
  </si>
  <si>
    <t>a1O1R000006c5jYUAQ</t>
  </si>
  <si>
    <t>Quality of care</t>
  </si>
  <si>
    <t>Qualité des soins</t>
  </si>
  <si>
    <t>Calidad de la atención</t>
  </si>
  <si>
    <t>MCI-00800</t>
  </si>
  <si>
    <t>a1O1R000006c5jaUAA</t>
  </si>
  <si>
    <t>Service delivery infrastructure</t>
  </si>
  <si>
    <t>Infrastructures de prestation de services</t>
  </si>
  <si>
    <t>Infraestructura de la prestación de servicios</t>
  </si>
  <si>
    <t>MCI-00799</t>
  </si>
  <si>
    <t>a1O1R000006c5jZUAQ</t>
  </si>
  <si>
    <t>Service organization and facility management</t>
  </si>
  <si>
    <t>Organisation des services et gestion des établissements de santré</t>
  </si>
  <si>
    <t>Organización de los servicios y gestión de establecimientos de salud</t>
  </si>
  <si>
    <t>MCI-00801</t>
  </si>
  <si>
    <t>a1O1R000006c5jbUAA</t>
  </si>
  <si>
    <t>Public financial management (country or donor harmonized) systems</t>
  </si>
  <si>
    <t>Systèmes de gestion financière publique (nationaux ou harmonisés par les donateurs)</t>
  </si>
  <si>
    <t>Sistemas de gestión financiera pública (nacionales o armonizados de donantes)</t>
  </si>
  <si>
    <t>MCI-00802</t>
  </si>
  <si>
    <t>a1O1R000006c5jcUAA</t>
  </si>
  <si>
    <t>Routine grant financial management</t>
  </si>
  <si>
    <t>Gestion financière courante des subventions</t>
  </si>
  <si>
    <t>Gestión financiera ordinaria de las subvenciones</t>
  </si>
  <si>
    <t>MCI-00803</t>
  </si>
  <si>
    <t>a1O1R000006c5jdUAA</t>
  </si>
  <si>
    <t>National health sector strategies and financing</t>
  </si>
  <si>
    <t>Financement et stratégies du secteur national de la santé</t>
  </si>
  <si>
    <t>Estrategias y financiamiento del sector nacional de la salud</t>
  </si>
  <si>
    <t>MCI-00804</t>
  </si>
  <si>
    <t>a1O1R000006c5jeUAA</t>
  </si>
  <si>
    <t>Policy and planning for national disease control programs</t>
  </si>
  <si>
    <t>Politique et planification des programmes nationaux de lutte contre la maladie</t>
  </si>
  <si>
    <t>Política y planificación para los programas nacionales de control de enfermedades</t>
  </si>
  <si>
    <t>MCI-00805</t>
  </si>
  <si>
    <t>a1O1R000006c5jfUAA</t>
  </si>
  <si>
    <t>Community-based monitoring</t>
  </si>
  <si>
    <t>Suivi réalisé par la communauté</t>
  </si>
  <si>
    <t>Monitoreo a nivel comunitario</t>
  </si>
  <si>
    <t>MCI-00806</t>
  </si>
  <si>
    <t>a1O1R000006c5jgUAA</t>
  </si>
  <si>
    <t>Community-led advocacy and research</t>
  </si>
  <si>
    <t>Plaidoyer mené par la communauté et recherche</t>
  </si>
  <si>
    <t>Sensibilización e investigación dirigidas por la comunidad</t>
  </si>
  <si>
    <t>MCI-00808</t>
  </si>
  <si>
    <t>a1O1R000006c5jiUAA</t>
  </si>
  <si>
    <t>Institutional capacity building, planning and leadership development</t>
  </si>
  <si>
    <t>Renforcement de la capacité institutionnelle, planification de développement du leadership</t>
  </si>
  <si>
    <t>Creación de capacidad institucional, planificación y desarrollo del liderazgo</t>
  </si>
  <si>
    <t>MCI-00807</t>
  </si>
  <si>
    <t>a1O1R000006c5jhUAA</t>
  </si>
  <si>
    <t>Social mobilization, building community linkages and coordination</t>
  </si>
  <si>
    <t>Mobilisation sociale, établissement de liens avec la communauté et coordination</t>
  </si>
  <si>
    <t>Movilización social, creación de vínculos comunitarios y coordinación</t>
  </si>
  <si>
    <t>MCI-00812</t>
  </si>
  <si>
    <t>a1O1R000006c5jmUAA</t>
  </si>
  <si>
    <t>Information systems and integrated specimen transport networks</t>
  </si>
  <si>
    <t>Systèmes d’information et réseaux intégrés de transports d’échantillons</t>
  </si>
  <si>
    <t>Sistemas de información y redes de transporte de muestras integradas</t>
  </si>
  <si>
    <t>MCI-00810</t>
  </si>
  <si>
    <t>a1O1R000006c5jkUAA</t>
  </si>
  <si>
    <t>Infrastructure and equipment management systems</t>
  </si>
  <si>
    <t>Infrastructure et systèmes de gestion de l’équipement</t>
  </si>
  <si>
    <t>Sistemas de gestión de infraestructuras y equipos</t>
  </si>
  <si>
    <t>MCI-00813</t>
  </si>
  <si>
    <t>a1O1R000006c5jnUAA</t>
  </si>
  <si>
    <t>Laboratory supply chain systems</t>
  </si>
  <si>
    <t>Systèmes de chaînes d’approvisionnement des laboratoires</t>
  </si>
  <si>
    <t>Sistemas de cadena de suministros para los laboratorios</t>
  </si>
  <si>
    <t>MCI-00809</t>
  </si>
  <si>
    <t>a1O1R000006c5jjUAA</t>
  </si>
  <si>
    <t>National laboratory governance and management structures</t>
  </si>
  <si>
    <t>Structures de gestion et de gouvernance du laboratoire national</t>
  </si>
  <si>
    <t>Estructuras de gestión y gobernanza de los laboratorios nacionales</t>
  </si>
  <si>
    <t>MCI-00811</t>
  </si>
  <si>
    <t>a1O1R000006c5jlUAA</t>
  </si>
  <si>
    <t>Quality management systems and accreditation</t>
  </si>
  <si>
    <t>Systèmes de gestion de la qualité et homologation</t>
  </si>
  <si>
    <t>Sistemas de gestión de la calidad y acreditación</t>
  </si>
  <si>
    <t>MCI-00814</t>
  </si>
  <si>
    <t>a1O1R000006c5joUAA</t>
  </si>
  <si>
    <t>MCI-01268</t>
  </si>
  <si>
    <t>a1O3p000003UpWlEAK</t>
  </si>
  <si>
    <t>Case management, clinical operations and therapeutics</t>
  </si>
  <si>
    <t>Gestion des cas, opérations cliniques et traitements</t>
  </si>
  <si>
    <t>Gestión de casos, operaciones clínicas y tratamientos</t>
  </si>
  <si>
    <t>MCI-01260</t>
  </si>
  <si>
    <t>a1O3p000003UpW7EAK</t>
  </si>
  <si>
    <t>Country-level coordination and planning</t>
  </si>
  <si>
    <t>Coordination et planification au niveau du pays</t>
  </si>
  <si>
    <t>Coordinación y planificación nacionales</t>
  </si>
  <si>
    <t>MCI-01264</t>
  </si>
  <si>
    <t>a1O3p000003UpWREA0</t>
  </si>
  <si>
    <t>COVID Diagnostics and testing</t>
  </si>
  <si>
    <t>Diagnostic et dépistage du COVID-19</t>
  </si>
  <si>
    <t>Diagnósticos y pruebas de COVID</t>
  </si>
  <si>
    <t>MCI-01237</t>
  </si>
  <si>
    <t>a1O3p000003OASiEAO</t>
  </si>
  <si>
    <t>COVID-19 control and containment including health systems strengthening</t>
  </si>
  <si>
    <t>Contrôle et confinement relatif au COVID-19, y compris le renforcement des systèmes de santé</t>
  </si>
  <si>
    <t>Control y contención relacionada a COVID-19, incluyendo el fortalecimiento de los sistemas de salud</t>
  </si>
  <si>
    <t>MCI-01277</t>
  </si>
  <si>
    <t>a1O3p000003UpV5EAK</t>
  </si>
  <si>
    <t>COVID-19 CSS: Community-based organizations institutional capacity building</t>
  </si>
  <si>
    <t>COVID-19 RSC : renforcement des capacités institutionnelles des organisations a base communautaire</t>
  </si>
  <si>
    <t>FSC para la COVID-19: Creación de la capacidad institucional de las organizaciones comunitarias</t>
  </si>
  <si>
    <t>MCI-01275</t>
  </si>
  <si>
    <t>a1O3p000003UpW8EAK</t>
  </si>
  <si>
    <t>COVID-19 CSS: Community-led advocacy and research</t>
  </si>
  <si>
    <t>COVID-19 RSC : plaidoyer et recherche communautaires</t>
  </si>
  <si>
    <t>FSC para la COVID-19: Promoción e investigación dirigidas por la comunidad</t>
  </si>
  <si>
    <t>MCI-01274</t>
  </si>
  <si>
    <t>a1O3p000003UpW4EAK</t>
  </si>
  <si>
    <t>COVID-19 CSS: Community-led monitoring</t>
  </si>
  <si>
    <t>COVID-19 RSC (renforcement des systemes communautaires) : suivi communautaire</t>
  </si>
  <si>
    <t>FSC para la COVID-19: Seguimiento dirigido por la comunidad</t>
  </si>
  <si>
    <t>MCI-01276</t>
  </si>
  <si>
    <t>a1O3p000003UpXAEA0</t>
  </si>
  <si>
    <t>COVID-19 CSS: Social mobilization</t>
  </si>
  <si>
    <t>COVID-19 RSC : mobilisation sociale</t>
  </si>
  <si>
    <t>FSC para la COVID-19: Movilización social</t>
  </si>
  <si>
    <t>MCI-01272</t>
  </si>
  <si>
    <t>a1O3p000003UpW3EAK</t>
  </si>
  <si>
    <t>Gender-based violence prevention and post violence care (COVID-19)</t>
  </si>
  <si>
    <t>Prévention de la violence fondée sur le genre et prise en charge des victimes de violence</t>
  </si>
  <si>
    <t>Prevención de la violencia de género y atención tras episodios de violencia</t>
  </si>
  <si>
    <t>MCI-01267</t>
  </si>
  <si>
    <t>a1O3p000003UpWgEAK</t>
  </si>
  <si>
    <t>Health products and waste management systems</t>
  </si>
  <si>
    <t>Systèmes de gestion des produits de santé et des déchets</t>
  </si>
  <si>
    <t>Productos sanitarios y sistemas de gestión de residuos</t>
  </si>
  <si>
    <t>MCI-01266</t>
  </si>
  <si>
    <t>a1O3p000003UpWbEAK</t>
  </si>
  <si>
    <t>Infection prevention and control and protection of the health workforce</t>
  </si>
  <si>
    <t>Prévention et contrôle des infections, et protection du personnel de santé</t>
  </si>
  <si>
    <t>Prevención y control de la infección y protección de los profesionales de salud</t>
  </si>
  <si>
    <t>MCI-01265</t>
  </si>
  <si>
    <t>a1O3p000003UpWWEA0</t>
  </si>
  <si>
    <t>Laboratory systems</t>
  </si>
  <si>
    <t>Systèmes de laboratoire</t>
  </si>
  <si>
    <t>Sistemas de laboratorio</t>
  </si>
  <si>
    <t>MCI-01269</t>
  </si>
  <si>
    <t>a1O3p000003UpWqEAK</t>
  </si>
  <si>
    <t>Mitigation for HIV programs</t>
  </si>
  <si>
    <t>Mitigations pour les programmes de lutte contre le VIH</t>
  </si>
  <si>
    <t>Medidas de mitigación para programas de VIH</t>
  </si>
  <si>
    <t>MCI-01271</t>
  </si>
  <si>
    <t>a1O3p000003UpX0EAK</t>
  </si>
  <si>
    <t>Mitigation for Malaria programs</t>
  </si>
  <si>
    <t>Mitigations pour les programmes de lutte contre le paludisme</t>
  </si>
  <si>
    <t>Medidas de mitigación para programas de malaria</t>
  </si>
  <si>
    <t>MCI-01270</t>
  </si>
  <si>
    <t>a1O3p000003UpWvEAK</t>
  </si>
  <si>
    <t>Mitigation for TB programs</t>
  </si>
  <si>
    <t>Mitigations pour les programmes de lutte contre la Tuberculose</t>
  </si>
  <si>
    <t>Medidas de mitigación para programas de tuberculosis</t>
  </si>
  <si>
    <t>MCI-01273</t>
  </si>
  <si>
    <t>a1O3p000003UpX5EAK</t>
  </si>
  <si>
    <t>Respond to human rights and gender related barriers to services</t>
  </si>
  <si>
    <t>Reponses aux obstacles liés aux droits humains et au genre entravant l'accès aux services</t>
  </si>
  <si>
    <t>Respuesta a los obstáculos relacionados con los derechos humanos y el género en los servicios</t>
  </si>
  <si>
    <t>MCI-01261</t>
  </si>
  <si>
    <t>a1O3p000003UpWCEA0</t>
  </si>
  <si>
    <t>Risk communication</t>
  </si>
  <si>
    <t>Communication des risques</t>
  </si>
  <si>
    <t>Comunicación de riesgos</t>
  </si>
  <si>
    <t>MCI-01238</t>
  </si>
  <si>
    <t>a1O3p000003OASnEAO</t>
  </si>
  <si>
    <t>Risk mitigation for disease programs</t>
  </si>
  <si>
    <t>Atténuation des risques pour les programmes de lutte contre les maladies</t>
  </si>
  <si>
    <t>Mitigación de riesgos para los programas de las enfermedades</t>
  </si>
  <si>
    <t>MCI-01263</t>
  </si>
  <si>
    <t>a1O3p000003UpWMEA0</t>
  </si>
  <si>
    <t>Surveillance systems</t>
  </si>
  <si>
    <t>Systèmes de surveillance</t>
  </si>
  <si>
    <t>Sistemas de vigilancia</t>
  </si>
  <si>
    <t>MCI-01262</t>
  </si>
  <si>
    <t>a1O3p000003UpWHEA0</t>
  </si>
  <si>
    <t>Surveillance: Epidemiological investigation and contact tracing</t>
  </si>
  <si>
    <t>Surveillance - enquête épidémiologique et traçage des contacts</t>
  </si>
  <si>
    <t>Vigilancia: investigación epidemiológica y rastreo de contactos</t>
  </si>
  <si>
    <t>Funding Request Name</t>
  </si>
  <si>
    <t>FR1213-BOL-C</t>
  </si>
  <si>
    <t>Country (Name)</t>
  </si>
  <si>
    <t>Bolivia (Plurinational State)</t>
  </si>
  <si>
    <t>a1A360000013M3iEAE</t>
  </si>
  <si>
    <t>Group of Countries (Name)</t>
  </si>
  <si>
    <t>Grant</t>
  </si>
  <si>
    <t>Grant Name</t>
  </si>
  <si>
    <t>Geography (Name)</t>
  </si>
  <si>
    <t>Grant Countries</t>
  </si>
  <si>
    <t>Project (Name)</t>
  </si>
  <si>
    <t>Geography ID</t>
  </si>
  <si>
    <t>[Geography (Name)]</t>
  </si>
  <si>
    <t>[Project (Name)]</t>
  </si>
  <si>
    <t>Azerbaijan</t>
  </si>
  <si>
    <t>a1A360000013M0aEAE</t>
  </si>
  <si>
    <t>Belarus</t>
  </si>
  <si>
    <t>a1A360000013M0rEAE</t>
  </si>
  <si>
    <t>Georgia</t>
  </si>
  <si>
    <t>a1A360000013M0dEAE</t>
  </si>
  <si>
    <t>Kazakhstan</t>
  </si>
  <si>
    <t>a1A360000013M03EAE</t>
  </si>
  <si>
    <t>Kyrgyzstan</t>
  </si>
  <si>
    <t>a1A360000013M04EAE</t>
  </si>
  <si>
    <t>Moldova</t>
  </si>
  <si>
    <t>a1A360000013M0wEAE</t>
  </si>
  <si>
    <t>Turkmenistan</t>
  </si>
  <si>
    <t>a1A360000013M06EAE</t>
  </si>
  <si>
    <t>Ukraine</t>
  </si>
  <si>
    <t>a1A360000013M10EAE</t>
  </si>
  <si>
    <t>Uzbekistan</t>
  </si>
  <si>
    <t>a1A360000013M07EAE</t>
  </si>
  <si>
    <t>Tajikistan</t>
  </si>
  <si>
    <t>a1A360000013M05EAE</t>
  </si>
  <si>
    <t>Armenia</t>
  </si>
  <si>
    <t>a1A360000013M0ZEAU</t>
  </si>
  <si>
    <t>Djibouti</t>
  </si>
  <si>
    <t>a1A360000013M21EAE</t>
  </si>
  <si>
    <t>Ethiopia</t>
  </si>
  <si>
    <t>a1A360000013M2MEAU</t>
  </si>
  <si>
    <t>Kenya</t>
  </si>
  <si>
    <t>a1A360000013M2XEAU</t>
  </si>
  <si>
    <t>South Sudan</t>
  </si>
  <si>
    <t>a1A360000013M1zEAE</t>
  </si>
  <si>
    <t>Sudan</t>
  </si>
  <si>
    <t>a1A360000013M33EAE</t>
  </si>
  <si>
    <t>Uganda</t>
  </si>
  <si>
    <t>a1A360000013M2kEAE</t>
  </si>
  <si>
    <t>Somalia</t>
  </si>
  <si>
    <t>a1A360000013M2jEAE</t>
  </si>
  <si>
    <t>Benin</t>
  </si>
  <si>
    <t>a1A360000013M3CEAU</t>
  </si>
  <si>
    <t>Mongolia</t>
  </si>
  <si>
    <t>a1A360000013M0CEAU</t>
  </si>
  <si>
    <t>Bhutan</t>
  </si>
  <si>
    <t>a1A360000013M0SEAU</t>
  </si>
  <si>
    <t>Papua New Guinea</t>
  </si>
  <si>
    <t>a1A360000013M1dEAE</t>
  </si>
  <si>
    <t>Malaysia</t>
  </si>
  <si>
    <t>a1A360000013M0IEAU</t>
  </si>
  <si>
    <t>Timor-Leste</t>
  </si>
  <si>
    <t>a1A360000013M0NEAU</t>
  </si>
  <si>
    <t>Lao (Peoples Democratic Republic)</t>
  </si>
  <si>
    <t>a1A360000013M0HEAU</t>
  </si>
  <si>
    <t>multicountry</t>
  </si>
  <si>
    <t>IP Countries</t>
  </si>
  <si>
    <t>IP (Name)</t>
  </si>
  <si>
    <t>[Country (Name)]</t>
  </si>
  <si>
    <t>[IP (Name)]</t>
  </si>
  <si>
    <t>Grant Revision</t>
  </si>
  <si>
    <t>Being uploaded from PF(IP)</t>
  </si>
  <si>
    <t>Being uploaded from PF</t>
  </si>
  <si>
    <t>Population By Interventions</t>
  </si>
  <si>
    <t>Allocation Cycle</t>
  </si>
  <si>
    <t>[Allocation Cycle]</t>
  </si>
  <si>
    <t>No  Applicate</t>
  </si>
  <si>
    <t>a3p1R0000018qtDQAQ</t>
  </si>
  <si>
    <t>a1O1R000006c5kmUAA</t>
  </si>
  <si>
    <t>MCI-00874</t>
  </si>
  <si>
    <t>Men in high prevalence settings</t>
  </si>
  <si>
    <t>Hommes dans des contextes à forte prévalence</t>
  </si>
  <si>
    <t>Hombres en entornos de alta prevalencia</t>
  </si>
  <si>
    <t>a1O1R000006c5jpUAA</t>
  </si>
  <si>
    <t>MCI-00815</t>
  </si>
  <si>
    <t>Men who have sex with men</t>
  </si>
  <si>
    <t>Hommes ayant des rapports sexuels avec des hommes</t>
  </si>
  <si>
    <t>a1O1R000006c5jyUAA</t>
  </si>
  <si>
    <t>MCI-00824</t>
  </si>
  <si>
    <t>Sex workers and their clients</t>
  </si>
  <si>
    <t>Professionnels du sexe et leurs clients</t>
  </si>
  <si>
    <t>Trabajadores sexuales y sus clientes</t>
  </si>
  <si>
    <t>a1O1R000006c5k7UAA</t>
  </si>
  <si>
    <t>MCI-00833</t>
  </si>
  <si>
    <t>Transgender people</t>
  </si>
  <si>
    <t>Personnes transgenres</t>
  </si>
  <si>
    <t>Personas transgénero</t>
  </si>
  <si>
    <t>a1O1R000006c5kJUAQ</t>
  </si>
  <si>
    <t>MCI-00845</t>
  </si>
  <si>
    <t>People who inject drugs and their partners</t>
  </si>
  <si>
    <t>Personnes qui s’injectent des drogues et leurs partenaires</t>
  </si>
  <si>
    <t>Consumidores de drogas inyectables y sus parejas</t>
  </si>
  <si>
    <t>a1O1R000006c5kRUAQ</t>
  </si>
  <si>
    <t>MCI-00853</t>
  </si>
  <si>
    <t>People in prisons and other closed settings</t>
  </si>
  <si>
    <t>Personnes en détention ou se trouvant dans d’autres lieux fermés</t>
  </si>
  <si>
    <t>Personas privadas de libertad en centros penitenciarios y otros lugares de reclusión</t>
  </si>
  <si>
    <t>a1O1R000006c5kZUAQ</t>
  </si>
  <si>
    <t>MCI-00861</t>
  </si>
  <si>
    <t>Other vulnerable populations</t>
  </si>
  <si>
    <t>Autres populations vulnérables</t>
  </si>
  <si>
    <t>Otras poblaciones vulnerables</t>
  </si>
  <si>
    <t>a1O1R000006c5kcUAA</t>
  </si>
  <si>
    <t>MCI-00864</t>
  </si>
  <si>
    <t>Adolescent girls and young women in high prevalence settings</t>
  </si>
  <si>
    <t>Adolescentes et jeunes femmes dans des contextes à forte prévalence</t>
  </si>
  <si>
    <t>Niñas adolescentes y mujeres jóvenes en entornos de alta prevalencia</t>
  </si>
  <si>
    <t>a1O1R000006c5knUAA</t>
  </si>
  <si>
    <t>MCI-00875</t>
  </si>
  <si>
    <t>a1O1R000006c5jqUAA</t>
  </si>
  <si>
    <t>MCI-00816</t>
  </si>
  <si>
    <t>a1O1R000006c5jzUAA</t>
  </si>
  <si>
    <t>MCI-00825</t>
  </si>
  <si>
    <t>a1O1R000006c5k8UAA</t>
  </si>
  <si>
    <t>MCI-00834</t>
  </si>
  <si>
    <t>a1O1R000006c5kKUAQ</t>
  </si>
  <si>
    <t>MCI-00846</t>
  </si>
  <si>
    <t>a1O1R000006c5kSUAQ</t>
  </si>
  <si>
    <t>MCI-00854</t>
  </si>
  <si>
    <t>a1O1R000006c5kdUAA</t>
  </si>
  <si>
    <t>MCI-00865</t>
  </si>
  <si>
    <t>a1O1R000006c5koUAA</t>
  </si>
  <si>
    <t>MCI-00876</t>
  </si>
  <si>
    <t>a1O1R000006c5jrUAA</t>
  </si>
  <si>
    <t>MCI-00817</t>
  </si>
  <si>
    <t>a1O1R000006c5k0UAA</t>
  </si>
  <si>
    <t>MCI-00826</t>
  </si>
  <si>
    <t>a1O1R000006c5k9UAA</t>
  </si>
  <si>
    <t>MCI-00835</t>
  </si>
  <si>
    <t>a1O1R000006c5kLUAQ</t>
  </si>
  <si>
    <t>MCI-00847</t>
  </si>
  <si>
    <t>a1O1R000006c5kTUAQ</t>
  </si>
  <si>
    <t>MCI-00855</t>
  </si>
  <si>
    <t>a1O1R000006c5kaUAA</t>
  </si>
  <si>
    <t>MCI-00862</t>
  </si>
  <si>
    <t>a1O1R000006c5keUAA</t>
  </si>
  <si>
    <t>MCI-00866</t>
  </si>
  <si>
    <t>a1O1R000006c5jsUAA</t>
  </si>
  <si>
    <t>MCI-00818</t>
  </si>
  <si>
    <t>a1O1R000006c5k1UAA</t>
  </si>
  <si>
    <t>MCI-00827</t>
  </si>
  <si>
    <t>a1O1R000006c5kAUAQ</t>
  </si>
  <si>
    <t>MCI-00836</t>
  </si>
  <si>
    <t>a1O1R000006c5kMUAQ</t>
  </si>
  <si>
    <t>MCI-00848</t>
  </si>
  <si>
    <t>a1O1R000006c5kUUAQ</t>
  </si>
  <si>
    <t>MCI-00856</t>
  </si>
  <si>
    <t>a1O1R000006c5kpUAA</t>
  </si>
  <si>
    <t>MCI-00877</t>
  </si>
  <si>
    <t>a1O1R000006c5jtUAA</t>
  </si>
  <si>
    <t>MCI-00819</t>
  </si>
  <si>
    <t>a1O1R000006c5k2UAA</t>
  </si>
  <si>
    <t>MCI-00828</t>
  </si>
  <si>
    <t>a1O1R000006c5kBUAQ</t>
  </si>
  <si>
    <t>MCI-00837</t>
  </si>
  <si>
    <t>a1O1R000006c5kNUAQ</t>
  </si>
  <si>
    <t>MCI-00849</t>
  </si>
  <si>
    <t>a1O1R000006c5kbUAA</t>
  </si>
  <si>
    <t>MCI-00863</t>
  </si>
  <si>
    <t>a1O1R000006c5kgUAA</t>
  </si>
  <si>
    <t>MCI-00868</t>
  </si>
  <si>
    <t>a1O1R000006c5kVUAQ</t>
  </si>
  <si>
    <t>MCI-00857</t>
  </si>
  <si>
    <t>a1O1R000006c5juUAA</t>
  </si>
  <si>
    <t>MCI-00820</t>
  </si>
  <si>
    <t>a1O1R000006c5k3UAA</t>
  </si>
  <si>
    <t>MCI-00829</t>
  </si>
  <si>
    <t>a1O1R000006c5kCUAQ</t>
  </si>
  <si>
    <t>MCI-00838</t>
  </si>
  <si>
    <t>a1O1R000006c5kWUAQ</t>
  </si>
  <si>
    <t>MCI-00858</t>
  </si>
  <si>
    <t>a1O1R000006c5jvUAA</t>
  </si>
  <si>
    <t>MCI-00821</t>
  </si>
  <si>
    <t>a1O1R000006c5k4UAA</t>
  </si>
  <si>
    <t>MCI-00830</t>
  </si>
  <si>
    <t>a1O1R000006c5kDUAQ</t>
  </si>
  <si>
    <t>MCI-00839</t>
  </si>
  <si>
    <t>a1O1R000006c5kOUAQ</t>
  </si>
  <si>
    <t>MCI-00850</t>
  </si>
  <si>
    <t>a1O1R000006c5kXUAQ</t>
  </si>
  <si>
    <t>MCI-00859</t>
  </si>
  <si>
    <t>a1O1R000006c5kiUAA</t>
  </si>
  <si>
    <t>MCI-00870</t>
  </si>
  <si>
    <t>a1O1R000006c5jwUAA</t>
  </si>
  <si>
    <t>MCI-00822</t>
  </si>
  <si>
    <t>a1O1R000006c5k5UAA</t>
  </si>
  <si>
    <t>MCI-00831</t>
  </si>
  <si>
    <t>a1O1R000006c5kEUAQ</t>
  </si>
  <si>
    <t>MCI-00840</t>
  </si>
  <si>
    <t>a1O1R000006c5kPUAQ</t>
  </si>
  <si>
    <t>MCI-00851</t>
  </si>
  <si>
    <t>a1O1R000006c5jxUAA</t>
  </si>
  <si>
    <t>MCI-00823</t>
  </si>
  <si>
    <t>a1O1R000006c5k6UAA</t>
  </si>
  <si>
    <t>MCI-00832</t>
  </si>
  <si>
    <t>a1O1R000006c5kFUAQ</t>
  </si>
  <si>
    <t>MCI-00841</t>
  </si>
  <si>
    <t>a1O1R000006c5kQUAQ</t>
  </si>
  <si>
    <t>MCI-00852</t>
  </si>
  <si>
    <t>a1O1R000006c5kYUAQ</t>
  </si>
  <si>
    <t>MCI-00860</t>
  </si>
  <si>
    <t>a1O1R000006c5kGUAQ</t>
  </si>
  <si>
    <t>MCI-00842</t>
  </si>
  <si>
    <t>a1O1R000006c5kHUAQ</t>
  </si>
  <si>
    <t>MCI-00843</t>
  </si>
  <si>
    <t>a1O1R000006c5kIUAQ</t>
  </si>
  <si>
    <t>MCI-00844</t>
  </si>
  <si>
    <t>a1O1R000006c5kfUAA</t>
  </si>
  <si>
    <t>MCI-00867</t>
  </si>
  <si>
    <t>a1O1R000006c5khUAA</t>
  </si>
  <si>
    <t>MCI-00869</t>
  </si>
  <si>
    <t>a1O1R000006c5kjUAA</t>
  </si>
  <si>
    <t>MCI-00871</t>
  </si>
  <si>
    <t>a1O1R000006c5kkUAA</t>
  </si>
  <si>
    <t>MCI-00872</t>
  </si>
  <si>
    <t>a1O1R000006c5klUAA</t>
  </si>
  <si>
    <t>MCI-00873</t>
  </si>
  <si>
    <t>a1O1R000006c5kqUAA</t>
  </si>
  <si>
    <t>MCI-00878</t>
  </si>
  <si>
    <t>Non-specified population groups</t>
  </si>
  <si>
    <t>Groupes de population non spécifiés</t>
  </si>
  <si>
    <t>Grupos de población no específicos</t>
  </si>
  <si>
    <t>a1O1R000006c5krUAA</t>
  </si>
  <si>
    <t>MCI-00879</t>
  </si>
  <si>
    <t>a1O1R000006c5ksUAA</t>
  </si>
  <si>
    <t>MCI-00880</t>
  </si>
  <si>
    <t>Not applicable</t>
  </si>
  <si>
    <t>Non applicable</t>
  </si>
  <si>
    <t>a1O1R000006c5ktUAA</t>
  </si>
  <si>
    <t>MCI-00881</t>
  </si>
  <si>
    <t>a1O1R000006c5kuUAA</t>
  </si>
  <si>
    <t>MCI-00882</t>
  </si>
  <si>
    <t>a1O1R000006c5kvUAA</t>
  </si>
  <si>
    <t>MCI-00883</t>
  </si>
  <si>
    <t>a1O1R000006c5kzUAA</t>
  </si>
  <si>
    <t>MCI-00887</t>
  </si>
  <si>
    <t>a1O1R000006c5kwUAA</t>
  </si>
  <si>
    <t>MCI-00884</t>
  </si>
  <si>
    <t>a1O1R000006c5l2UAA</t>
  </si>
  <si>
    <t>MCI-00890</t>
  </si>
  <si>
    <t>a1O1R000006c5l5UAA</t>
  </si>
  <si>
    <t>MCI-00893</t>
  </si>
  <si>
    <t>a1O1R000006c5lAUAQ</t>
  </si>
  <si>
    <t>MCI-00898</t>
  </si>
  <si>
    <t>a1O1R000006c5lDUAQ</t>
  </si>
  <si>
    <t>MCI-00901</t>
  </si>
  <si>
    <t>a1O1R000006c5lGUAQ</t>
  </si>
  <si>
    <t>MCI-00904</t>
  </si>
  <si>
    <t>a1O1R000006c5lJUAQ</t>
  </si>
  <si>
    <t>MCI-00907</t>
  </si>
  <si>
    <t>a1O1R000006c5lMUAQ</t>
  </si>
  <si>
    <t>MCI-00910</t>
  </si>
  <si>
    <t>Partners of people living with HIV</t>
  </si>
  <si>
    <t>Partenaires de personnes vivant avec le VIH</t>
  </si>
  <si>
    <t>Parejas de personas que viven con el VIH</t>
  </si>
  <si>
    <t>a1O1R000006c5kxUAA</t>
  </si>
  <si>
    <t>MCI-00885</t>
  </si>
  <si>
    <t>a1O1R000006c5l0UAA</t>
  </si>
  <si>
    <t>MCI-00888</t>
  </si>
  <si>
    <t>a1O1R000006c5l3UAA</t>
  </si>
  <si>
    <t>MCI-00891</t>
  </si>
  <si>
    <t>a1O1R000006c5l6UAA</t>
  </si>
  <si>
    <t>MCI-00894</t>
  </si>
  <si>
    <t>a1O1R000006c5l8UAA</t>
  </si>
  <si>
    <t>MCI-00896</t>
  </si>
  <si>
    <t>a1O1R000006c5lBUAQ</t>
  </si>
  <si>
    <t>MCI-00899</t>
  </si>
  <si>
    <t>a1O1R000006c5lEUAQ</t>
  </si>
  <si>
    <t>MCI-00902</t>
  </si>
  <si>
    <t>a1O1R000006c5lHUAQ</t>
  </si>
  <si>
    <t>MCI-00905</t>
  </si>
  <si>
    <t>a1O1R000006c5lKUAQ</t>
  </si>
  <si>
    <t>MCI-00908</t>
  </si>
  <si>
    <t>a1O1R000006c5lNUAQ</t>
  </si>
  <si>
    <t>MCI-00911</t>
  </si>
  <si>
    <t>a1O1R000006c5kyUAA</t>
  </si>
  <si>
    <t>MCI-00886</t>
  </si>
  <si>
    <t>a1O1R000006c5l1UAA</t>
  </si>
  <si>
    <t>MCI-00889</t>
  </si>
  <si>
    <t>a1O1R000006c5l4UAA</t>
  </si>
  <si>
    <t>MCI-00892</t>
  </si>
  <si>
    <t>a1O1R000006c5l7UAA</t>
  </si>
  <si>
    <t>MCI-00895</t>
  </si>
  <si>
    <t>a1O1R000006c5l9UAA</t>
  </si>
  <si>
    <t>MCI-00897</t>
  </si>
  <si>
    <t>a1O1R000006c5lCUAQ</t>
  </si>
  <si>
    <t>MCI-00900</t>
  </si>
  <si>
    <t>a1O1R000006c5lFUAQ</t>
  </si>
  <si>
    <t>MCI-00903</t>
  </si>
  <si>
    <t>a1O1R000006c5lIUAQ</t>
  </si>
  <si>
    <t>MCI-00906</t>
  </si>
  <si>
    <t>a1O1R000006c5lLUAQ</t>
  </si>
  <si>
    <t>MCI-00909</t>
  </si>
  <si>
    <t>a1O1R000006c5lOUAQ</t>
  </si>
  <si>
    <t>MCI-00912</t>
  </si>
  <si>
    <t>a1O1R000006c5lPUAQ</t>
  </si>
  <si>
    <t>MCI-00913</t>
  </si>
  <si>
    <t>All people living with HIV</t>
  </si>
  <si>
    <t>Toutes les personnes vivant avec le VIH</t>
  </si>
  <si>
    <t>Todas las personas que viven con el VIH</t>
  </si>
  <si>
    <t>a1O1R000006c5lWUAQ</t>
  </si>
  <si>
    <t>MCI-00920</t>
  </si>
  <si>
    <t>Adults living with HIV (15 and above)</t>
  </si>
  <si>
    <t>Adultes vivant avec le VIH (15 ans et plus)</t>
  </si>
  <si>
    <t>Personas adultas que viven con el VIH (15 años o más)</t>
  </si>
  <si>
    <t>a1O1R000006c5lcUAA</t>
  </si>
  <si>
    <t>MCI-00926</t>
  </si>
  <si>
    <t>Children living with HIV (under 15)</t>
  </si>
  <si>
    <t>Enfants vivant avec le VIH (moins de 15 ans)</t>
  </si>
  <si>
    <t>Niños y niñas que viven con el VIH (menores de 15 años)</t>
  </si>
  <si>
    <t>a1O1R000006c5lQUAQ</t>
  </si>
  <si>
    <t>MCI-00914</t>
  </si>
  <si>
    <t>a1O1R000006c5lXUAQ</t>
  </si>
  <si>
    <t>MCI-00921</t>
  </si>
  <si>
    <t>a1O1R000006c5ldUAA</t>
  </si>
  <si>
    <t>MCI-00927</t>
  </si>
  <si>
    <t>a1O1R000006c5lRUAQ</t>
  </si>
  <si>
    <t>MCI-00915</t>
  </si>
  <si>
    <t>a1O1R000006c5lYUAQ</t>
  </si>
  <si>
    <t>MCI-00922</t>
  </si>
  <si>
    <t>a1O1R000006c5leUAA</t>
  </si>
  <si>
    <t>MCI-00928</t>
  </si>
  <si>
    <t>a1O1R000006c5lSUAQ</t>
  </si>
  <si>
    <t>MCI-00916</t>
  </si>
  <si>
    <t>a1O1R000006c5lZUAQ</t>
  </si>
  <si>
    <t>MCI-00923</t>
  </si>
  <si>
    <t>a1O1R000006c5lfUAA</t>
  </si>
  <si>
    <t>MCI-00929</t>
  </si>
  <si>
    <t>a1O1R000006c5lTUAQ</t>
  </si>
  <si>
    <t>MCI-00917</t>
  </si>
  <si>
    <t>a1O1R000006c5laUAA</t>
  </si>
  <si>
    <t>MCI-00924</t>
  </si>
  <si>
    <t>a1O1R000006c5lgUAA</t>
  </si>
  <si>
    <t>MCI-00930</t>
  </si>
  <si>
    <t>a1O1R000006c5lbUAA</t>
  </si>
  <si>
    <t>MCI-00925</t>
  </si>
  <si>
    <t>a1O1R000006c5lUUAQ</t>
  </si>
  <si>
    <t>MCI-00918</t>
  </si>
  <si>
    <t>a1O1R000006c5lhUAA</t>
  </si>
  <si>
    <t>MCI-00931</t>
  </si>
  <si>
    <t>a1O1R000006c5lVUAQ</t>
  </si>
  <si>
    <t>MCI-00919</t>
  </si>
  <si>
    <t>a1O1R000006c5liUAA</t>
  </si>
  <si>
    <t>MCI-00932</t>
  </si>
  <si>
    <t>a1O1R000006c5ljUAA</t>
  </si>
  <si>
    <t>MCI-00933</t>
  </si>
  <si>
    <t>a1O1R000006c5lkUAA</t>
  </si>
  <si>
    <t>MCI-00934</t>
  </si>
  <si>
    <t>a1O1R000006c5llUAA</t>
  </si>
  <si>
    <t>MCI-00935</t>
  </si>
  <si>
    <t>a1O1R000006c5lmUAA</t>
  </si>
  <si>
    <t>MCI-00936</t>
  </si>
  <si>
    <t>a1O1R000006c5lnUAA</t>
  </si>
  <si>
    <t>MCI-00937</t>
  </si>
  <si>
    <t>a1O1R000006c5loUAA</t>
  </si>
  <si>
    <t>MCI-00938</t>
  </si>
  <si>
    <t>a1O1R000006c5lpUAA</t>
  </si>
  <si>
    <t>MCI-00939</t>
  </si>
  <si>
    <t>a1O1R000006c5lqUAA</t>
  </si>
  <si>
    <t>MCI-00940</t>
  </si>
  <si>
    <t>a1O1R000006c5lrUAA</t>
  </si>
  <si>
    <t>MCI-00941</t>
  </si>
  <si>
    <t>a1O1R000006c5lsUAA</t>
  </si>
  <si>
    <t>MCI-00942</t>
  </si>
  <si>
    <t>a1O1R000006c5ltUAA</t>
  </si>
  <si>
    <t>MCI-00943</t>
  </si>
  <si>
    <t>a1O1R000006c5luUAA</t>
  </si>
  <si>
    <t>MCI-00944</t>
  </si>
  <si>
    <t>a1O1R000006c5lvUAA</t>
  </si>
  <si>
    <t>MCI-00945</t>
  </si>
  <si>
    <t>a1O1R000006c5lwUAA</t>
  </si>
  <si>
    <t>MCI-00946</t>
  </si>
  <si>
    <t>a1O1R000006c5lxUAA</t>
  </si>
  <si>
    <t>MCI-00947</t>
  </si>
  <si>
    <t>a1O1R000006c5lyUAA</t>
  </si>
  <si>
    <t>MCI-00948</t>
  </si>
  <si>
    <t>a1O1R000006c5lzUAA</t>
  </si>
  <si>
    <t>MCI-00949</t>
  </si>
  <si>
    <t>a1O1R000006c5m0UAA</t>
  </si>
  <si>
    <t>MCI-00950</t>
  </si>
  <si>
    <t>a1O1R000006c5m1UAA</t>
  </si>
  <si>
    <t>MCI-00951</t>
  </si>
  <si>
    <t>a1O1R000006c5m2UAA</t>
  </si>
  <si>
    <t>MCI-00952</t>
  </si>
  <si>
    <t>a1O1R000006c5m3UAA</t>
  </si>
  <si>
    <t>MCI-00953</t>
  </si>
  <si>
    <t>a1O1R000006c5m4UAA</t>
  </si>
  <si>
    <t>MCI-00954</t>
  </si>
  <si>
    <t>a1O1R000006c5m5UAA</t>
  </si>
  <si>
    <t>MCI-00955</t>
  </si>
  <si>
    <t>a1O1R000006c5m6UAA</t>
  </si>
  <si>
    <t>MCI-00956</t>
  </si>
  <si>
    <t>a1O1R000006c5m7UAA</t>
  </si>
  <si>
    <t>MCI-00957</t>
  </si>
  <si>
    <t>a1O1R000006c5m8UAA</t>
  </si>
  <si>
    <t>MCI-00958</t>
  </si>
  <si>
    <t>a1O1R000006c5m9UAA</t>
  </si>
  <si>
    <t>MCI-00959</t>
  </si>
  <si>
    <t>a1O1R000006c5mAUAQ</t>
  </si>
  <si>
    <t>MCI-00960</t>
  </si>
  <si>
    <t>a1O1R000006c5mBUAQ</t>
  </si>
  <si>
    <t>MCI-00961</t>
  </si>
  <si>
    <t>a1O1R000006c5mCUAQ</t>
  </si>
  <si>
    <t>MCI-00962</t>
  </si>
  <si>
    <t>a1O1R000006c5mDUAQ</t>
  </si>
  <si>
    <t>MCI-00963</t>
  </si>
  <si>
    <t>a1O1R000006c5mEUAQ</t>
  </si>
  <si>
    <t>MCI-00964</t>
  </si>
  <si>
    <t>a1O1R000006c5mFUAQ</t>
  </si>
  <si>
    <t>MCI-00965</t>
  </si>
  <si>
    <t>a1O1R000006c5mGUAQ</t>
  </si>
  <si>
    <t>MCI-00966</t>
  </si>
  <si>
    <t>a1O1R000006c5mHUAQ</t>
  </si>
  <si>
    <t>MCI-00967</t>
  </si>
  <si>
    <t>a1O1R000006c5mIUAQ</t>
  </si>
  <si>
    <t>MCI-00968</t>
  </si>
  <si>
    <t>a1O1R000006c5mJUAQ</t>
  </si>
  <si>
    <t>MCI-00969</t>
  </si>
  <si>
    <t>a1O1R000006c5mKUAQ</t>
  </si>
  <si>
    <t>MCI-00970</t>
  </si>
  <si>
    <t>a1O1R000006c5mLUAQ</t>
  </si>
  <si>
    <t>MCI-00971</t>
  </si>
  <si>
    <t>a1O1R000006c5mMUAQ</t>
  </si>
  <si>
    <t>MCI-00972</t>
  </si>
  <si>
    <t>a1O1R000006c5mNUAQ</t>
  </si>
  <si>
    <t>MCI-00973</t>
  </si>
  <si>
    <t>a1O1R000006c5mOUAQ</t>
  </si>
  <si>
    <t>MCI-00974</t>
  </si>
  <si>
    <t>a1O1R000006c5mPUAQ</t>
  </si>
  <si>
    <t>MCI-00975</t>
  </si>
  <si>
    <t>a1O1R000006c5mQUAQ</t>
  </si>
  <si>
    <t>MCI-00976</t>
  </si>
  <si>
    <t>a1O1R000006c5mRUAQ</t>
  </si>
  <si>
    <t>MCI-00977</t>
  </si>
  <si>
    <t>a1O1R000006c5mSUAQ</t>
  </si>
  <si>
    <t>MCI-00978</t>
  </si>
  <si>
    <t>a1O1R000006c5mvUAA</t>
  </si>
  <si>
    <t>MCI-01007</t>
  </si>
  <si>
    <t>a1O1R000006c5mwUAA</t>
  </si>
  <si>
    <t>MCI-01008</t>
  </si>
  <si>
    <t>a1O1R000006c5mxUAA</t>
  </si>
  <si>
    <t>MCI-01009</t>
  </si>
  <si>
    <t>a1O1R000006c5myUAA</t>
  </si>
  <si>
    <t>MCI-01010</t>
  </si>
  <si>
    <t>a1O1R000006c5mzUAA</t>
  </si>
  <si>
    <t>MCI-01011</t>
  </si>
  <si>
    <t>a1O1R000006c5n0UAA</t>
  </si>
  <si>
    <t>MCI-01012</t>
  </si>
  <si>
    <t>a1O1R000006c5n1UAA</t>
  </si>
  <si>
    <t>MCI-01013</t>
  </si>
  <si>
    <t>a1O1R000006c5n2UAA</t>
  </si>
  <si>
    <t>MCI-01014</t>
  </si>
  <si>
    <t>a1O1R000006c5n3UAA</t>
  </si>
  <si>
    <t>MCI-01015</t>
  </si>
  <si>
    <t>a1O1R000006c5n4UAA</t>
  </si>
  <si>
    <t>MCI-01016</t>
  </si>
  <si>
    <t>a1O1R000006c5n5UAA</t>
  </si>
  <si>
    <t>MCI-01017</t>
  </si>
  <si>
    <t>a1O1R000006c5n6UAA</t>
  </si>
  <si>
    <t>MCI-01018</t>
  </si>
  <si>
    <t>a1O1R000006c5n7UAA</t>
  </si>
  <si>
    <t>MCI-01019</t>
  </si>
  <si>
    <t>a1O1R000006c5n8UAA</t>
  </si>
  <si>
    <t>MCI-01020</t>
  </si>
  <si>
    <t>a1O1R000006c5n9UAA</t>
  </si>
  <si>
    <t>MCI-01021</t>
  </si>
  <si>
    <t>a1O1R000006c5nAUAQ</t>
  </si>
  <si>
    <t>MCI-01022</t>
  </si>
  <si>
    <t>a1O1R000006c5nBUAQ</t>
  </si>
  <si>
    <t>MCI-01023</t>
  </si>
  <si>
    <t>a1O1R000006c5nCUAQ</t>
  </si>
  <si>
    <t>MCI-01024</t>
  </si>
  <si>
    <t>a1O1R000006c5nDUAQ</t>
  </si>
  <si>
    <t>MCI-01025</t>
  </si>
  <si>
    <t>a1O1R000006c5nEUAQ</t>
  </si>
  <si>
    <t>MCI-01026</t>
  </si>
  <si>
    <t>a1O1R000006c5nFUAQ</t>
  </si>
  <si>
    <t>MCI-01027</t>
  </si>
  <si>
    <t>a1O1R000006c5nGUAQ</t>
  </si>
  <si>
    <t>MCI-01028</t>
  </si>
  <si>
    <t>a1O1R000006c5nHUAQ</t>
  </si>
  <si>
    <t>MCI-01029</t>
  </si>
  <si>
    <t>a1O1R000006c5nIUAQ</t>
  </si>
  <si>
    <t>MCI-01030</t>
  </si>
  <si>
    <t>a1O1R000006c5nJUAQ</t>
  </si>
  <si>
    <t>MCI-01031</t>
  </si>
  <si>
    <t>a1O1R000006c5nKUAQ</t>
  </si>
  <si>
    <t>MCI-01032</t>
  </si>
  <si>
    <t>a1O1R000006c5nLUAQ</t>
  </si>
  <si>
    <t>MCI-01033</t>
  </si>
  <si>
    <t>a1O1R000006c5nMUAQ</t>
  </si>
  <si>
    <t>MCI-01034</t>
  </si>
  <si>
    <t>a1O1R000006c5nNUAQ</t>
  </si>
  <si>
    <t>MCI-01035</t>
  </si>
  <si>
    <t>a1O1R000006c5nOUAQ</t>
  </si>
  <si>
    <t>MCI-01036</t>
  </si>
  <si>
    <t>a1O1R000006c5nPUAQ</t>
  </si>
  <si>
    <t>MCI-01037</t>
  </si>
  <si>
    <t>a1O1R000006c5nQUAQ</t>
  </si>
  <si>
    <t>MCI-01038</t>
  </si>
  <si>
    <t>a1O1R000006c5nRUAQ</t>
  </si>
  <si>
    <t>MCI-01039</t>
  </si>
  <si>
    <t>a1O1R000006c5nSUAQ</t>
  </si>
  <si>
    <t>MCI-01040</t>
  </si>
  <si>
    <t>a1O1R000006c5nTUAQ</t>
  </si>
  <si>
    <t>MCI-01041</t>
  </si>
  <si>
    <t>a1O1R000006c5nUUAQ</t>
  </si>
  <si>
    <t>MCI-01042</t>
  </si>
  <si>
    <t>a1O1R000006c5nVUAQ</t>
  </si>
  <si>
    <t>MCI-01043</t>
  </si>
  <si>
    <t>a1O3p000003OASxEAO</t>
  </si>
  <si>
    <t>MCI-01240</t>
  </si>
  <si>
    <t>a1O3p000003OASsEAO</t>
  </si>
  <si>
    <t>MCI-01239</t>
  </si>
  <si>
    <t>a1O3p000003UpXFEA0</t>
  </si>
  <si>
    <t>MCI-01278</t>
  </si>
  <si>
    <t>a1O3p000003UpVPEA0</t>
  </si>
  <si>
    <t>MCI-01279</t>
  </si>
  <si>
    <t>a1O3p000003UpXKEA0</t>
  </si>
  <si>
    <t>MCI-01280</t>
  </si>
  <si>
    <t>a1O3p000003UpXPEA0</t>
  </si>
  <si>
    <t>MCI-01281</t>
  </si>
  <si>
    <t>a1O3p000003UpXUEA0</t>
  </si>
  <si>
    <t>MCI-01282</t>
  </si>
  <si>
    <t>a1O3p000003UpV6EAK</t>
  </si>
  <si>
    <t>MCI-01283</t>
  </si>
  <si>
    <t>a1O3p000003UpXZEA0</t>
  </si>
  <si>
    <t>MCI-01284</t>
  </si>
  <si>
    <t>a1O3p000003UpXeEAK</t>
  </si>
  <si>
    <t>MCI-01285</t>
  </si>
  <si>
    <t>a1O3p000003UpXjEAK</t>
  </si>
  <si>
    <t>MCI-01286</t>
  </si>
  <si>
    <t>a1O3p000003UpXoEAK</t>
  </si>
  <si>
    <t>MCI-01287</t>
  </si>
  <si>
    <t>a1O3p000003UpXtEAK</t>
  </si>
  <si>
    <t>MCI-01288</t>
  </si>
  <si>
    <t>a1O3p000003UpXyEAK</t>
  </si>
  <si>
    <t>MCI-01289</t>
  </si>
  <si>
    <t>a1O3p000003UpY3EAK</t>
  </si>
  <si>
    <t>MCI-01290</t>
  </si>
  <si>
    <t>a1O3p000003UpVyEAK</t>
  </si>
  <si>
    <t>MCI-01291</t>
  </si>
  <si>
    <t>a1O3p000003UpY8EAK</t>
  </si>
  <si>
    <t>MCI-01292</t>
  </si>
  <si>
    <t>a1O3p000003UpYDEA0</t>
  </si>
  <si>
    <t>MCI-01293</t>
  </si>
  <si>
    <t>a1O3p000003UpVeEAK</t>
  </si>
  <si>
    <t>MCI-01294</t>
  </si>
  <si>
    <t>a1O3p000003UpYIEA0</t>
  </si>
  <si>
    <t>MCI-01295</t>
  </si>
  <si>
    <t>Population By Coverage</t>
  </si>
  <si>
    <t>[Name]</t>
  </si>
  <si>
    <t>a1O1R000006c5p1UAA</t>
  </si>
  <si>
    <t>MCI-01137</t>
  </si>
  <si>
    <t>a1O1R000006c5p2UAA</t>
  </si>
  <si>
    <t>MCI-01138</t>
  </si>
  <si>
    <t>a1O1R000006c5p3UAA</t>
  </si>
  <si>
    <t>MCI-01139</t>
  </si>
  <si>
    <t>a1O1R000006c5p4UAA</t>
  </si>
  <si>
    <t>MCI-01140</t>
  </si>
  <si>
    <t>a1O1R000006c5p5UAA</t>
  </si>
  <si>
    <t>MCI-01141</t>
  </si>
  <si>
    <t>a1O1R000006c5p6UAA</t>
  </si>
  <si>
    <t>MCI-01142</t>
  </si>
  <si>
    <t>a1O1R000006c5p7UAA</t>
  </si>
  <si>
    <t>MCI-01143</t>
  </si>
  <si>
    <t>a1O1R000006c5p8UAA</t>
  </si>
  <si>
    <t>MCI-01144</t>
  </si>
  <si>
    <t>a1O1R000006c5p9UAA</t>
  </si>
  <si>
    <t>MCI-01145</t>
  </si>
  <si>
    <t>a1O1R000006c5pAUAQ</t>
  </si>
  <si>
    <t>MCI-01146</t>
  </si>
  <si>
    <t>a1O1R000006c5pBUAQ</t>
  </si>
  <si>
    <t>MCI-01147</t>
  </si>
  <si>
    <t>a1O1R000006c5pCUAQ</t>
  </si>
  <si>
    <t>MCI-01148</t>
  </si>
  <si>
    <t>a1O1R000006c5pDUAQ</t>
  </si>
  <si>
    <t>MCI-01149</t>
  </si>
  <si>
    <t>a1O1R000006c5pEUAQ</t>
  </si>
  <si>
    <t>MCI-01150</t>
  </si>
  <si>
    <t>a1O1R000006c5pFUAQ</t>
  </si>
  <si>
    <t>MCI-01151</t>
  </si>
  <si>
    <t>a1O1R000006c5pGUAQ</t>
  </si>
  <si>
    <t>MCI-01152</t>
  </si>
  <si>
    <t>a1O1R000006c5pHUAQ</t>
  </si>
  <si>
    <t>MCI-01153</t>
  </si>
  <si>
    <t>a1O1R000006c5pIUAQ</t>
  </si>
  <si>
    <t>MCI-01154</t>
  </si>
  <si>
    <t>a1O1R000006c5pJUAQ</t>
  </si>
  <si>
    <t>MCI-01155</t>
  </si>
  <si>
    <t>a1O1R000006c5pKUAQ</t>
  </si>
  <si>
    <t>MCI-01156</t>
  </si>
  <si>
    <t>a1O1R000006c5pLUAQ</t>
  </si>
  <si>
    <t>MCI-01157</t>
  </si>
  <si>
    <t>a1O1R000006c5pMUAQ</t>
  </si>
  <si>
    <t>MCI-01158</t>
  </si>
  <si>
    <t>a1O1R000006c5pNUAQ</t>
  </si>
  <si>
    <t>MCI-01159</t>
  </si>
  <si>
    <t>a1O1R000006c5pOUAQ</t>
  </si>
  <si>
    <t>MCI-01160</t>
  </si>
  <si>
    <t>a1O1R000006c5pPUAQ</t>
  </si>
  <si>
    <t>MCI-01161</t>
  </si>
  <si>
    <t>a1O1R000006c5pQUAQ</t>
  </si>
  <si>
    <t>MCI-01162</t>
  </si>
  <si>
    <t>a1O1R000006c5pRUAQ</t>
  </si>
  <si>
    <t>MCI-01163</t>
  </si>
  <si>
    <t>a1O1R000006c5pSUAQ</t>
  </si>
  <si>
    <t>MCI-01164</t>
  </si>
  <si>
    <t>a1O1R000006c5pTUAQ</t>
  </si>
  <si>
    <t>MCI-01165</t>
  </si>
  <si>
    <t>a1O1R000006c5pUUAQ</t>
  </si>
  <si>
    <t>MCI-01166</t>
  </si>
  <si>
    <t>a1O1R000006c5pVUAQ</t>
  </si>
  <si>
    <t>MCI-01167</t>
  </si>
  <si>
    <t>a1O1R000006c5pWUAQ</t>
  </si>
  <si>
    <t>MCI-01168</t>
  </si>
  <si>
    <t>a1O1R000006c5pXUAQ</t>
  </si>
  <si>
    <t>MCI-01169</t>
  </si>
  <si>
    <t>a1O1R000006c5qVUAQ</t>
  </si>
  <si>
    <t>MCI-01229</t>
  </si>
  <si>
    <t>a1O1R000006c5pYUAQ</t>
  </si>
  <si>
    <t>MCI-01170</t>
  </si>
  <si>
    <t>a1O1R000006c5pZUAQ</t>
  </si>
  <si>
    <t>MCI-01171</t>
  </si>
  <si>
    <t>a1O1R000006c5paUAA</t>
  </si>
  <si>
    <t>MCI-01172</t>
  </si>
  <si>
    <t>a1O1R000006c5pbUAA</t>
  </si>
  <si>
    <t>MCI-01173</t>
  </si>
  <si>
    <t>a1O1R000006c5pcUAA</t>
  </si>
  <si>
    <t>MCI-01174</t>
  </si>
  <si>
    <t>a1O1R000006c5pdUAA</t>
  </si>
  <si>
    <t>MCI-01175</t>
  </si>
  <si>
    <t>a1O1R000006c5peUAA</t>
  </si>
  <si>
    <t>MCI-01176</t>
  </si>
  <si>
    <t>a1O1R000006c5pfUAA</t>
  </si>
  <si>
    <t>MCI-01177</t>
  </si>
  <si>
    <t>a1O1R000006c5pgUAA</t>
  </si>
  <si>
    <t>MCI-01178</t>
  </si>
  <si>
    <t>a1O1R000006c5phUAA</t>
  </si>
  <si>
    <t>MCI-01179</t>
  </si>
  <si>
    <t>a1O1R000006c5piUAA</t>
  </si>
  <si>
    <t>MCI-01180</t>
  </si>
  <si>
    <t>a1O1R000006c5pjUAA</t>
  </si>
  <si>
    <t>MCI-01181</t>
  </si>
  <si>
    <t>a1O1R000006c5pkUAA</t>
  </si>
  <si>
    <t>MCI-01182</t>
  </si>
  <si>
    <t>a1O1R000006c5plUAA</t>
  </si>
  <si>
    <t>MCI-01183</t>
  </si>
  <si>
    <t>a1O1R000006c5pmUAA</t>
  </si>
  <si>
    <t>MCI-01184</t>
  </si>
  <si>
    <t>a1O1R000006c5pnUAA</t>
  </si>
  <si>
    <t>MCI-01185</t>
  </si>
  <si>
    <t>a1O1R000006c5poUAA</t>
  </si>
  <si>
    <t>MCI-01186</t>
  </si>
  <si>
    <t>a1O1R000006c5ppUAA</t>
  </si>
  <si>
    <t>MCI-01187</t>
  </si>
  <si>
    <t>a1O1R000006c5prUAA</t>
  </si>
  <si>
    <t>MCI-01189</t>
  </si>
  <si>
    <t>a1O1R000006c5q9UAA</t>
  </si>
  <si>
    <t>MCI-01207</t>
  </si>
  <si>
    <t>a1O1R000006c5qAUAQ</t>
  </si>
  <si>
    <t>MCI-01208</t>
  </si>
  <si>
    <t>a1O1R000006c5qBUAQ</t>
  </si>
  <si>
    <t>MCI-01209</t>
  </si>
  <si>
    <t>a1O1R000006c5qCUAQ</t>
  </si>
  <si>
    <t>MCI-01210</t>
  </si>
  <si>
    <t>a1O1R000006c5qDUAQ</t>
  </si>
  <si>
    <t>MCI-01211</t>
  </si>
  <si>
    <t>a1O1R000006c5qEUAQ</t>
  </si>
  <si>
    <t>MCI-01212</t>
  </si>
  <si>
    <t>a1O1R000006c5qFUAQ</t>
  </si>
  <si>
    <t>MCI-01213</t>
  </si>
  <si>
    <t>a1O1R000006c5qGUAQ</t>
  </si>
  <si>
    <t>MCI-01214</t>
  </si>
  <si>
    <t>a1O1R000006c5qHUAQ</t>
  </si>
  <si>
    <t>MCI-01215</t>
  </si>
  <si>
    <t>a1O1R000006c5qIUAQ</t>
  </si>
  <si>
    <t>MCI-01216</t>
  </si>
  <si>
    <t>a1O1R000006c5qJUAQ</t>
  </si>
  <si>
    <t>MCI-01217</t>
  </si>
  <si>
    <t>a1O1R000006c5qKUAQ</t>
  </si>
  <si>
    <t>MCI-01218</t>
  </si>
  <si>
    <t>a1O1R000006c5qLUAQ</t>
  </si>
  <si>
    <t>MCI-01219</t>
  </si>
  <si>
    <t>a1O1R000006c5qMUAQ</t>
  </si>
  <si>
    <t>MCI-01220</t>
  </si>
  <si>
    <t>a1O1R000006c5qNUAQ</t>
  </si>
  <si>
    <t>MCI-01221</t>
  </si>
  <si>
    <t>a1O1R000006c5qOUAQ</t>
  </si>
  <si>
    <t>MCI-01222</t>
  </si>
  <si>
    <t>a1O1R000006c5qPUAQ</t>
  </si>
  <si>
    <t>MCI-01223</t>
  </si>
  <si>
    <t>a1O1R000006c5qQUAQ</t>
  </si>
  <si>
    <t>MCI-01224</t>
  </si>
  <si>
    <t>a1O1R000006c5qRUAQ</t>
  </si>
  <si>
    <t>MCI-01225</t>
  </si>
  <si>
    <t>a1O1R000006c5qSUAQ</t>
  </si>
  <si>
    <t>MCI-01226</t>
  </si>
  <si>
    <t>a1O1R000006c5qTUAQ</t>
  </si>
  <si>
    <t>MCI-01227</t>
  </si>
  <si>
    <t>a1O1R000006c5qUUAQ</t>
  </si>
  <si>
    <t>MCI-01228</t>
  </si>
  <si>
    <t>a1O1R000006c5pqUAA</t>
  </si>
  <si>
    <t>MCI-01188</t>
  </si>
  <si>
    <t>TBD</t>
  </si>
  <si>
    <t>Línea de base año</t>
  </si>
  <si>
    <t>Línea de base año fuente</t>
  </si>
  <si>
    <t>Meta N#
Meta D#</t>
  </si>
  <si>
    <t>Fecha de envío del reporte</t>
  </si>
  <si>
    <t>Marque si la meta es "TBD"</t>
  </si>
  <si>
    <t>impact reference</t>
  </si>
  <si>
    <t>impact targets dispalmap ron no</t>
  </si>
  <si>
    <t>impact dispalmap ron no</t>
  </si>
  <si>
    <t>Resultados del Estudio bioconductual en población HSH en 2021</t>
  </si>
  <si>
    <r>
      <rPr>
        <b/>
        <sz val="12"/>
        <rFont val="Calibri"/>
        <family val="2"/>
        <scheme val="minor"/>
      </rPr>
      <t>Línea de Base.</t>
    </r>
    <r>
      <rPr>
        <sz val="12"/>
        <rFont val="Calibri"/>
        <family val="2"/>
        <scheme val="minor"/>
      </rPr>
      <t xml:space="preserve"> Resultados del estudio bio conductual en población HSH en 2021 en Bolivia. (25,7%)
</t>
    </r>
    <r>
      <rPr>
        <b/>
        <sz val="12"/>
        <rFont val="Calibri"/>
        <family val="2"/>
        <scheme val="minor"/>
      </rPr>
      <t>Fuente de información</t>
    </r>
    <r>
      <rPr>
        <sz val="12"/>
        <rFont val="Calibri"/>
        <family val="2"/>
        <scheme val="minor"/>
      </rPr>
      <t xml:space="preserve">: Informe resultados del estudio bio conductual en población HSH que se realizara la gestión 2025.
</t>
    </r>
    <r>
      <rPr>
        <b/>
        <sz val="12"/>
        <rFont val="Calibri"/>
        <family val="2"/>
        <scheme val="minor"/>
      </rPr>
      <t>Numerador</t>
    </r>
    <r>
      <rPr>
        <sz val="12"/>
        <rFont val="Calibri"/>
        <family val="2"/>
        <scheme val="minor"/>
      </rPr>
      <t xml:space="preserve">: Número de HSH que dieron positivo en la prueba del VIH.
</t>
    </r>
    <r>
      <rPr>
        <b/>
        <sz val="12"/>
        <rFont val="Calibri"/>
        <family val="2"/>
        <scheme val="minor"/>
      </rPr>
      <t>Denominador</t>
    </r>
    <r>
      <rPr>
        <sz val="12"/>
        <rFont val="Calibri"/>
        <family val="2"/>
        <scheme val="minor"/>
      </rPr>
      <t xml:space="preserve">: Número de HSH examinados para el VIH.
</t>
    </r>
    <r>
      <rPr>
        <b/>
        <sz val="12"/>
        <rFont val="Calibri"/>
        <family val="2"/>
        <scheme val="minor"/>
      </rPr>
      <t>Método de medición</t>
    </r>
    <r>
      <rPr>
        <sz val="12"/>
        <rFont val="Calibri"/>
        <family val="2"/>
        <scheme val="minor"/>
      </rPr>
      <t xml:space="preserve">: Estudio bio conductual en población HSH a realizarse la gestión 2025.  
</t>
    </r>
    <r>
      <rPr>
        <b/>
        <sz val="12"/>
        <rFont val="Calibri"/>
        <family val="2"/>
        <scheme val="minor"/>
      </rPr>
      <t>Comentario</t>
    </r>
    <r>
      <rPr>
        <sz val="12"/>
        <rFont val="Calibri"/>
        <family val="2"/>
        <scheme val="minor"/>
      </rPr>
      <t>. La estimación de prevalencia se ha realizado extrapolando la tendencia observada entre los años 2008, 2014, 2017 y 2021. Meta prepuesta 29,82%, se consideró que el estudio alcanzar a 1,650 HSH en el estudio bio conductual. Se reportará este indicador una vez se concluya el mencionado estudio la gestión 2025.</t>
    </r>
  </si>
  <si>
    <t>Biobehavioral study in MSM in 2021</t>
  </si>
  <si>
    <r>
      <rPr>
        <b/>
        <sz val="12"/>
        <rFont val="Calibri"/>
        <family val="2"/>
        <scheme val="minor"/>
      </rPr>
      <t>Baseline.</t>
    </r>
    <r>
      <rPr>
        <sz val="12"/>
        <rFont val="Calibri"/>
        <family val="2"/>
        <scheme val="minor"/>
      </rPr>
      <t xml:space="preserve"> Results of the bio-behavioral study in MSM population in 2021 in Bolivia (25.7%).
Source of information: Report on the results of the bio-behavioral study on MSM population to be conducted in 2025.
</t>
    </r>
    <r>
      <rPr>
        <b/>
        <sz val="12"/>
        <rFont val="Calibri"/>
        <family val="2"/>
        <scheme val="minor"/>
      </rPr>
      <t>Numerator:</t>
    </r>
    <r>
      <rPr>
        <sz val="12"/>
        <rFont val="Calibri"/>
        <family val="2"/>
        <scheme val="minor"/>
      </rPr>
      <t xml:space="preserve"> Number of MSM who tested positive for HIV.
</t>
    </r>
    <r>
      <rPr>
        <b/>
        <sz val="12"/>
        <rFont val="Calibri"/>
        <family val="2"/>
        <scheme val="minor"/>
      </rPr>
      <t>Denominator</t>
    </r>
    <r>
      <rPr>
        <sz val="12"/>
        <rFont val="Calibri"/>
        <family val="2"/>
        <scheme val="minor"/>
      </rPr>
      <t xml:space="preserve">: number of MSM tested for HIV.
</t>
    </r>
    <r>
      <rPr>
        <b/>
        <sz val="12"/>
        <rFont val="Calibri"/>
        <family val="2"/>
        <scheme val="minor"/>
      </rPr>
      <t xml:space="preserve">Method of measurement: </t>
    </r>
    <r>
      <rPr>
        <sz val="12"/>
        <rFont val="Calibri"/>
        <family val="2"/>
        <scheme val="minor"/>
      </rPr>
      <t xml:space="preserve">Biobehavioral study in MSM population to be conducted management 2025.  
</t>
    </r>
    <r>
      <rPr>
        <b/>
        <sz val="12"/>
        <rFont val="Calibri"/>
        <family val="2"/>
        <scheme val="minor"/>
      </rPr>
      <t>Comment.</t>
    </r>
    <r>
      <rPr>
        <sz val="12"/>
        <rFont val="Calibri"/>
        <family val="2"/>
        <scheme val="minor"/>
      </rPr>
      <t xml:space="preserve"> The prevalence estimate has been made by extrapolating the trend observed between the years 2008, 2014, 2017 and 2021. Preplanned target 29.82%, the study was considered to reach 1,650 MSM in the bio-behavioral study. This indicator will be reported once the study is completed in 2025</t>
    </r>
  </si>
  <si>
    <t>Resultados del Estudio bioconductual en población TRANS en 2021</t>
  </si>
  <si>
    <r>
      <rPr>
        <b/>
        <sz val="12"/>
        <rFont val="Calibri"/>
        <family val="2"/>
        <scheme val="minor"/>
      </rPr>
      <t xml:space="preserve">Línea de Base. </t>
    </r>
    <r>
      <rPr>
        <sz val="12"/>
        <rFont val="Calibri"/>
        <family val="2"/>
        <scheme val="minor"/>
      </rPr>
      <t xml:space="preserve">Resultados del estudio bio conductual en población Trans en 2021 en Bolivia. (30,8%)
</t>
    </r>
    <r>
      <rPr>
        <b/>
        <sz val="12"/>
        <rFont val="Calibri"/>
        <family val="2"/>
        <scheme val="minor"/>
      </rPr>
      <t>Fuente de información</t>
    </r>
    <r>
      <rPr>
        <sz val="12"/>
        <rFont val="Calibri"/>
        <family val="2"/>
        <scheme val="minor"/>
      </rPr>
      <t xml:space="preserve">: Informe resultados del estudio bio conductual en población Trans que se realizará la gestión 2025.
</t>
    </r>
    <r>
      <rPr>
        <b/>
        <sz val="12"/>
        <rFont val="Calibri"/>
        <family val="2"/>
        <scheme val="minor"/>
      </rPr>
      <t>Método de medición:</t>
    </r>
    <r>
      <rPr>
        <sz val="12"/>
        <rFont val="Calibri"/>
        <family val="2"/>
        <scheme val="minor"/>
      </rPr>
      <t xml:space="preserve"> Estudio bio conductual en población trans realizarse la gestión 2025.  
</t>
    </r>
    <r>
      <rPr>
        <b/>
        <sz val="12"/>
        <rFont val="Calibri"/>
        <family val="2"/>
        <scheme val="minor"/>
      </rPr>
      <t>Numerador</t>
    </r>
    <r>
      <rPr>
        <sz val="12"/>
        <rFont val="Calibri"/>
        <family val="2"/>
        <scheme val="minor"/>
      </rPr>
      <t xml:space="preserve">: Número de Trans que dieron positivo en la prueba del VIH.
</t>
    </r>
    <r>
      <rPr>
        <b/>
        <sz val="12"/>
        <rFont val="Calibri"/>
        <family val="2"/>
        <scheme val="minor"/>
      </rPr>
      <t>Denominador:</t>
    </r>
    <r>
      <rPr>
        <sz val="12"/>
        <rFont val="Calibri"/>
        <family val="2"/>
        <scheme val="minor"/>
      </rPr>
      <t xml:space="preserve"> Número de Trans examinados para el VIH.
</t>
    </r>
    <r>
      <rPr>
        <b/>
        <sz val="12"/>
        <rFont val="Calibri"/>
        <family val="2"/>
        <scheme val="minor"/>
      </rPr>
      <t>Comentario</t>
    </r>
    <r>
      <rPr>
        <sz val="12"/>
        <rFont val="Calibri"/>
        <family val="2"/>
        <scheme val="minor"/>
      </rPr>
      <t>. La estimación de prevalencia se ha realizado extrapolando la tendencia observada entre los años 2012, 2017 y 2021. Meta propuesta 34.62 %. Se consideró que el estudio alcanzará a 520 Trans en el estudio bio conductual. Se espera reportar el dato una vez se concluya el mencionado estudio.</t>
    </r>
  </si>
  <si>
    <t>Biobehavioral study in transgender women in 2021</t>
  </si>
  <si>
    <r>
      <rPr>
        <b/>
        <sz val="12"/>
        <rFont val="Calibri"/>
        <family val="2"/>
        <scheme val="minor"/>
      </rPr>
      <t>Baseline.</t>
    </r>
    <r>
      <rPr>
        <sz val="12"/>
        <rFont val="Calibri"/>
        <family val="2"/>
        <scheme val="minor"/>
      </rPr>
      <t xml:space="preserve"> Results of the bio-behavioral study on the Trans population in Bolivia in 2021 (30.8%).
Source of information: Report on the results of the bio-behavioral study on the Trans population to be carried out in 2025.
</t>
    </r>
    <r>
      <rPr>
        <b/>
        <sz val="12"/>
        <rFont val="Calibri"/>
        <family val="2"/>
        <scheme val="minor"/>
      </rPr>
      <t>Measurement method:</t>
    </r>
    <r>
      <rPr>
        <sz val="12"/>
        <rFont val="Calibri"/>
        <family val="2"/>
        <scheme val="minor"/>
      </rPr>
      <t xml:space="preserve"> Bio-behavioral study on trans population to be conducted in 2025.  
</t>
    </r>
    <r>
      <rPr>
        <b/>
        <sz val="12"/>
        <rFont val="Calibri"/>
        <family val="2"/>
        <scheme val="minor"/>
      </rPr>
      <t>Numerator:</t>
    </r>
    <r>
      <rPr>
        <sz val="12"/>
        <rFont val="Calibri"/>
        <family val="2"/>
        <scheme val="minor"/>
      </rPr>
      <t xml:space="preserve"> Number of transgender people who tested positive for HIV.
</t>
    </r>
    <r>
      <rPr>
        <b/>
        <sz val="12"/>
        <rFont val="Calibri"/>
        <family val="2"/>
        <scheme val="minor"/>
      </rPr>
      <t>Denominator</t>
    </r>
    <r>
      <rPr>
        <sz val="12"/>
        <rFont val="Calibri"/>
        <family val="2"/>
        <scheme val="minor"/>
      </rPr>
      <t xml:space="preserve">: Number of transgender people tested for HIV.
</t>
    </r>
    <r>
      <rPr>
        <b/>
        <sz val="12"/>
        <rFont val="Calibri"/>
        <family val="2"/>
        <scheme val="minor"/>
      </rPr>
      <t xml:space="preserve">Comment. </t>
    </r>
    <r>
      <rPr>
        <sz val="12"/>
        <rFont val="Calibri"/>
        <family val="2"/>
        <scheme val="minor"/>
      </rPr>
      <t>The prevalence estimate has been made by extrapolating the trend observed between the years 2012, 2017 and 2021. Proposed target 34.62 %. It was considered that the study will reach 520 Trans in the biobehavioral study. It is expected to report the data once the aforementioned study is concluded.</t>
    </r>
  </si>
  <si>
    <t>Reporte de la Unidad de Vigilancia Epidemiológica - Componente de Tuberculosis - Sistema de R&amp;R TB - Ministerio de Salud y Deportes.</t>
  </si>
  <si>
    <r>
      <rPr>
        <b/>
        <sz val="12"/>
        <rFont val="Calibri"/>
        <family val="2"/>
        <scheme val="minor"/>
      </rPr>
      <t>Línea de Base</t>
    </r>
    <r>
      <rPr>
        <sz val="12"/>
        <rFont val="Calibri"/>
        <family val="2"/>
        <scheme val="minor"/>
      </rPr>
      <t xml:space="preserve">. Gestión 2021 Tasa de Incidencia 60 x 100,000 habitantes (7,071/11,841.955x 100,000) 
</t>
    </r>
    <r>
      <rPr>
        <b/>
        <sz val="12"/>
        <rFont val="Calibri"/>
        <family val="2"/>
        <scheme val="minor"/>
      </rPr>
      <t>Fuente de información</t>
    </r>
    <r>
      <rPr>
        <sz val="12"/>
        <rFont val="Calibri"/>
        <family val="2"/>
        <scheme val="minor"/>
      </rPr>
      <t xml:space="preserve">: Reporte de la Unidad de Vigilancia Epidemiológica - Componente de Tuberculosis - Sistema de R&amp;R TB - Ministerio de Salud y Deportes.
</t>
    </r>
    <r>
      <rPr>
        <b/>
        <sz val="12"/>
        <rFont val="Calibri"/>
        <family val="2"/>
        <scheme val="minor"/>
      </rPr>
      <t>Método de medición</t>
    </r>
    <r>
      <rPr>
        <sz val="12"/>
        <rFont val="Calibri"/>
        <family val="2"/>
        <scheme val="minor"/>
      </rPr>
      <t xml:space="preserve">: La construcción de este indicador esta con relación a los casos nuevos y recaídas de cada gestión:
</t>
    </r>
    <r>
      <rPr>
        <b/>
        <sz val="12"/>
        <rFont val="Calibri"/>
        <family val="2"/>
        <scheme val="minor"/>
      </rPr>
      <t>Numerador</t>
    </r>
    <r>
      <rPr>
        <sz val="12"/>
        <rFont val="Calibri"/>
        <family val="2"/>
        <scheme val="minor"/>
      </rPr>
      <t xml:space="preserve">: Número de casos de TB nuevos y recaídas ocurridos durante el año
</t>
    </r>
    <r>
      <rPr>
        <b/>
        <sz val="12"/>
        <rFont val="Calibri"/>
        <family val="2"/>
        <scheme val="minor"/>
      </rPr>
      <t>Denominador</t>
    </r>
    <r>
      <rPr>
        <sz val="12"/>
        <rFont val="Calibri"/>
        <family val="2"/>
        <scheme val="minor"/>
      </rPr>
      <t xml:space="preserve">: Número de personas en la población x 100.000 
Dato de Población INE (Instituto Nacional de Estadistica)
</t>
    </r>
    <r>
      <rPr>
        <b/>
        <sz val="12"/>
        <rFont val="Calibri"/>
        <family val="2"/>
        <scheme val="minor"/>
      </rPr>
      <t>Metas</t>
    </r>
    <r>
      <rPr>
        <sz val="12"/>
        <rFont val="Calibri"/>
        <family val="2"/>
        <scheme val="minor"/>
      </rPr>
      <t xml:space="preserve">: Tasa de Incidencia esperada de acuerdo a la Estrategia Nacional 
Año 2023:  64 x 100,000: 7,800 / 12.169.501 hab x 100,000 
Año 2024: 68 x 100,000:  8,400 / 12.332.252 hab. X 100,000  
Año 2025: 72 x 100,000: 9,000/ 12.494.181 hab x 100,000                                                                                                                                                 
</t>
    </r>
    <r>
      <rPr>
        <b/>
        <sz val="12"/>
        <rFont val="Calibri"/>
        <family val="2"/>
        <scheme val="minor"/>
      </rPr>
      <t>Comentario:</t>
    </r>
    <r>
      <rPr>
        <sz val="12"/>
        <rFont val="Calibri"/>
        <family val="2"/>
        <scheme val="minor"/>
      </rPr>
      <t xml:space="preserve"> Las metas estan basadas en las acciones que se llevaran adelante como la universalizacion gradual del diagnostico por GeneXpert MTB/RIF a todo caso SR o  con TB presuntiva, la utilizacion de cartuchos de GeneXpert MTB/RIF Ultra a nivel nacional, asi como la incorporación de nuevos equipos de GeneXpert MTB/RIF en ciudades intermedias priorizadas. Se adjunta un archivo auxiliar de la estimacion de incidencia para el 2023 - 2025. El país considera mantener la proyección de casos estimada por el País ya que las estimaciones de la OMS no son reales al histórico de captación del país. Este indicador fue excluido del Marco de Desempeño por el FM en consenso con PNUD y MSyD ya que la fuente de verificación es el reporte de la OMS emitido en septiembre del siguiente año y en subvenciones anteriores nunca se pudo reportar en las fechas del PUDR. Por esta razón consideramos mantener este indicador de incidencia TB I-2 y no incluir el de mortalidad (TB I-3(M)), aun siendo éste en principio obligatorio.</t>
    </r>
  </si>
  <si>
    <t>Report of the Epidemiological Surveillance Unit - Tuberculosis Component - TB R&amp;R System - Ministry of Health and Sports.</t>
  </si>
  <si>
    <r>
      <rPr>
        <b/>
        <sz val="12"/>
        <rFont val="Calibri"/>
        <family val="2"/>
        <scheme val="minor"/>
      </rPr>
      <t>Baseline.</t>
    </r>
    <r>
      <rPr>
        <sz val="12"/>
        <rFont val="Calibri"/>
        <family val="2"/>
        <scheme val="minor"/>
      </rPr>
      <t xml:space="preserve"> Management 2021 Incidence Rate 60 x 100,000 inhabitants (7,071/11,841.955x 100,000) 
</t>
    </r>
    <r>
      <rPr>
        <b/>
        <sz val="12"/>
        <rFont val="Calibri"/>
        <family val="2"/>
        <scheme val="minor"/>
      </rPr>
      <t>Source of information:</t>
    </r>
    <r>
      <rPr>
        <sz val="12"/>
        <rFont val="Calibri"/>
        <family val="2"/>
        <scheme val="minor"/>
      </rPr>
      <t xml:space="preserve"> Epidemiological Surveillance Unit Report - Tuberculosis Component - TB R&amp;R System - Ministry of Health and Sports.
</t>
    </r>
    <r>
      <rPr>
        <b/>
        <sz val="12"/>
        <rFont val="Calibri"/>
        <family val="2"/>
        <scheme val="minor"/>
      </rPr>
      <t>Method of measurement:</t>
    </r>
    <r>
      <rPr>
        <sz val="12"/>
        <rFont val="Calibri"/>
        <family val="2"/>
        <scheme val="minor"/>
      </rPr>
      <t xml:space="preserve"> The construction of this indicator is in relation to new cases and relapses for each management:
</t>
    </r>
    <r>
      <rPr>
        <b/>
        <sz val="12"/>
        <rFont val="Calibri"/>
        <family val="2"/>
        <scheme val="minor"/>
      </rPr>
      <t>Numerator:</t>
    </r>
    <r>
      <rPr>
        <sz val="12"/>
        <rFont val="Calibri"/>
        <family val="2"/>
        <scheme val="minor"/>
      </rPr>
      <t xml:space="preserve"> Number of new TB cases and relapses that occurred during the year.
</t>
    </r>
    <r>
      <rPr>
        <b/>
        <sz val="12"/>
        <rFont val="Calibri"/>
        <family val="2"/>
        <scheme val="minor"/>
      </rPr>
      <t>Denominator:</t>
    </r>
    <r>
      <rPr>
        <sz val="12"/>
        <rFont val="Calibri"/>
        <family val="2"/>
        <scheme val="minor"/>
      </rPr>
      <t xml:space="preserve"> Number of people in the population x 100.000 
Population Data INE (National Institute of Statistics)
Target</t>
    </r>
    <r>
      <rPr>
        <b/>
        <sz val="12"/>
        <rFont val="Calibri"/>
        <family val="2"/>
        <scheme val="minor"/>
      </rPr>
      <t>s</t>
    </r>
    <r>
      <rPr>
        <sz val="12"/>
        <rFont val="Calibri"/>
        <family val="2"/>
        <scheme val="minor"/>
      </rPr>
      <t xml:space="preserve">: Expected incidence rate according to the National Strategy. 
Year 2023: 64 x 100,000: 7,800 / 12,169,501 inhab x 100,000 
Year 2024: 68 x 100,000: 8,400 / 12,332,252 inhab. x 100,000  
Year 2025: 72 x 100,000: 9,000/ 12,494,181 inh. x 100,000                                                                                                                                                 
</t>
    </r>
    <r>
      <rPr>
        <b/>
        <sz val="12"/>
        <rFont val="Calibri"/>
        <family val="2"/>
        <scheme val="minor"/>
      </rPr>
      <t>Comment:</t>
    </r>
    <r>
      <rPr>
        <sz val="12"/>
        <rFont val="Calibri"/>
        <family val="2"/>
        <scheme val="minor"/>
      </rPr>
      <t xml:space="preserve"> The targets are based on the actions that will be carried out, such as the gradual universalization of GeneXpert MTB/RIF diagnosis to all SR cases or cases with presumptive TB, the use of GeneXpert MTB/RIF Ultra cartridges nationwide, as well as the incorporation of new GeneXpert MTB/RIF equipment in prioritized intermediate cities. Attached is an auxiliary file of the incidence estimate for 2023 - 2025. The country considers maintaining the projection of cases estimated by the country since the WHO estimates are not realistic to the country's historical uptake. This indicator was excluded from the Performance Framework by the GF in consensus with UNDP and MSyD since the source of verification is the WHO report issued in September of the following year and in previous grants it could never be reported in the PUDR dates. For this reason, we consider keeping this TB I-2 incidence indicator and not including the mortality indicator (TB I-3(M)), even though it is mandatory in principle.</t>
    </r>
  </si>
  <si>
    <t xml:space="preserve">Resultados del último estudio realizado en mujeres trabajadorase sexuales. Bolivia 2010 </t>
  </si>
  <si>
    <r>
      <rPr>
        <b/>
        <sz val="12"/>
        <rFont val="Calibri"/>
        <family val="2"/>
        <scheme val="minor"/>
      </rPr>
      <t>Línea de Base.</t>
    </r>
    <r>
      <rPr>
        <sz val="12"/>
        <rFont val="Calibri"/>
        <family val="2"/>
        <scheme val="minor"/>
      </rPr>
      <t xml:space="preserve"> Resultados del último estudio realizado en mujeres trabajadora se sexuales en Bolivia 2010 (0,56%).
</t>
    </r>
    <r>
      <rPr>
        <b/>
        <sz val="12"/>
        <rFont val="Calibri"/>
        <family val="2"/>
        <scheme val="minor"/>
      </rPr>
      <t>Fuente de información:</t>
    </r>
    <r>
      <rPr>
        <sz val="12"/>
        <rFont val="Calibri"/>
        <family val="2"/>
        <scheme val="minor"/>
      </rPr>
      <t xml:space="preserve"> Informe resultados del estudio bio conductual en población de Trabajadoras Sexuales Comerciales que se realizara la gestión 2023.
</t>
    </r>
    <r>
      <rPr>
        <b/>
        <sz val="12"/>
        <rFont val="Calibri"/>
        <family val="2"/>
        <scheme val="minor"/>
      </rPr>
      <t>Numerador</t>
    </r>
    <r>
      <rPr>
        <sz val="12"/>
        <rFont val="Calibri"/>
        <family val="2"/>
        <scheme val="minor"/>
      </rPr>
      <t xml:space="preserve">: Número de TSC que dieron positivo en la prueba del VIH.
</t>
    </r>
    <r>
      <rPr>
        <b/>
        <sz val="12"/>
        <rFont val="Calibri"/>
        <family val="2"/>
        <scheme val="minor"/>
      </rPr>
      <t>Denominador</t>
    </r>
    <r>
      <rPr>
        <sz val="12"/>
        <rFont val="Calibri"/>
        <family val="2"/>
        <scheme val="minor"/>
      </rPr>
      <t xml:space="preserve">: Número de TSC examinadas para el VIH.
</t>
    </r>
    <r>
      <rPr>
        <b/>
        <sz val="12"/>
        <rFont val="Calibri"/>
        <family val="2"/>
        <scheme val="minor"/>
      </rPr>
      <t>Método de medición</t>
    </r>
    <r>
      <rPr>
        <sz val="12"/>
        <rFont val="Calibri"/>
        <family val="2"/>
        <scheme val="minor"/>
      </rPr>
      <t xml:space="preserve">: Estudio bio conductual en población de trabajadoras sexuales comerciales a realizarse la gestión 2023. incluyen tanto trabajadoras sexuales registradas (con carnet sanitario) como las no registradas (sin carnet sanitario).   
</t>
    </r>
    <r>
      <rPr>
        <b/>
        <sz val="12"/>
        <rFont val="Calibri"/>
        <family val="2"/>
        <scheme val="minor"/>
      </rPr>
      <t>Comentario</t>
    </r>
    <r>
      <rPr>
        <sz val="12"/>
        <rFont val="Calibri"/>
        <family val="2"/>
        <scheme val="minor"/>
      </rPr>
      <t>. Según las estimaciones la prevalencia estimada es inferior al 1% por lo que la meta es mantenerse en ese nivel. Se consideró que el estudio alcanzará a 2,000 TSC en el estudio bio conductual. Se espera reportar el dato una vez se concluya el mencionado estudio.</t>
    </r>
  </si>
  <si>
    <t xml:space="preserve">Results of the last study of female sex workers. Bolivia 2010 </t>
  </si>
  <si>
    <r>
      <rPr>
        <b/>
        <sz val="12"/>
        <rFont val="Calibri"/>
        <family val="2"/>
        <scheme val="minor"/>
      </rPr>
      <t xml:space="preserve">Baseline. </t>
    </r>
    <r>
      <rPr>
        <sz val="12"/>
        <rFont val="Calibri"/>
        <family val="2"/>
        <scheme val="minor"/>
      </rPr>
      <t xml:space="preserve">Results of the last study conducted on female sex workers in Bolivia 2010 (0.56%).
</t>
    </r>
    <r>
      <rPr>
        <b/>
        <sz val="12"/>
        <rFont val="Calibri"/>
        <family val="2"/>
        <scheme val="minor"/>
      </rPr>
      <t>Source of information:</t>
    </r>
    <r>
      <rPr>
        <sz val="12"/>
        <rFont val="Calibri"/>
        <family val="2"/>
        <scheme val="minor"/>
      </rPr>
      <t xml:space="preserve"> Report on the results of the bio-behavioral study of commercial sex workers to be conducted in 2023.
</t>
    </r>
    <r>
      <rPr>
        <b/>
        <sz val="12"/>
        <rFont val="Calibri"/>
        <family val="2"/>
        <scheme val="minor"/>
      </rPr>
      <t xml:space="preserve">Numerator: </t>
    </r>
    <r>
      <rPr>
        <sz val="12"/>
        <rFont val="Calibri"/>
        <family val="2"/>
        <scheme val="minor"/>
      </rPr>
      <t xml:space="preserve">Number of CSWs who tested positive for HIV.
</t>
    </r>
    <r>
      <rPr>
        <b/>
        <sz val="12"/>
        <rFont val="Calibri"/>
        <family val="2"/>
        <scheme val="minor"/>
      </rPr>
      <t>Denominator</t>
    </r>
    <r>
      <rPr>
        <sz val="12"/>
        <rFont val="Calibri"/>
        <family val="2"/>
        <scheme val="minor"/>
      </rPr>
      <t xml:space="preserve">: Number of CSWs tested for HIV.
</t>
    </r>
    <r>
      <rPr>
        <b/>
        <sz val="12"/>
        <rFont val="Calibri"/>
        <family val="2"/>
        <scheme val="minor"/>
      </rPr>
      <t xml:space="preserve">Method of measurement: </t>
    </r>
    <r>
      <rPr>
        <sz val="12"/>
        <rFont val="Calibri"/>
        <family val="2"/>
        <scheme val="minor"/>
      </rPr>
      <t xml:space="preserve">Biobehavioral study in population of commercial sex workers to be carried out management 2023. include both registered (with health card) and unregistered (without health card) sex workers.   
</t>
    </r>
    <r>
      <rPr>
        <b/>
        <sz val="12"/>
        <rFont val="Calibri"/>
        <family val="2"/>
        <scheme val="minor"/>
      </rPr>
      <t xml:space="preserve">Commentary. </t>
    </r>
    <r>
      <rPr>
        <sz val="12"/>
        <rFont val="Calibri"/>
        <family val="2"/>
        <scheme val="minor"/>
      </rPr>
      <t>According to estimates, the estimated prevalence is less than 1%, so the goal is to remain at that level. It was considered that the study will reach 2,000 CCTs in the biobehavioral study. It is expected to report the data once the study is concluded.</t>
    </r>
  </si>
  <si>
    <t>Impact indicator  (section B)</t>
  </si>
  <si>
    <t>impact indicator no row for impact</t>
  </si>
  <si>
    <t>outcome indicator no row for outcome</t>
  </si>
  <si>
    <t>disaggregation no row for disaggregation</t>
  </si>
  <si>
    <t>wptm results no row for wptm</t>
  </si>
  <si>
    <t>outcome targets</t>
  </si>
  <si>
    <t>coverage indicator targets no rows</t>
  </si>
  <si>
    <t>coverage indicator no rows</t>
  </si>
  <si>
    <t>Baseline %</t>
  </si>
  <si>
    <t>Baseline D#</t>
  </si>
  <si>
    <t>Baseline N#</t>
  </si>
  <si>
    <t>Baseline Source</t>
  </si>
  <si>
    <t>Baseline Year</t>
  </si>
  <si>
    <t>Comment</t>
  </si>
  <si>
    <t>Country</t>
  </si>
  <si>
    <t>Custom Indicator</t>
  </si>
  <si>
    <t>Impact Reference (Name)</t>
  </si>
  <si>
    <t>Responsible PR (Name)</t>
  </si>
  <si>
    <t>Responsible PR</t>
  </si>
  <si>
    <t>Custom Impact Indicator Local</t>
  </si>
  <si>
    <t>Baseline Source - Local</t>
  </si>
  <si>
    <t>Comment - Local</t>
  </si>
  <si>
    <t>Impact Indicator Name FR</t>
  </si>
  <si>
    <t>Impact Indicator Name ES</t>
  </si>
  <si>
    <t>[Responsible PR (Name)]</t>
  </si>
  <si>
    <t>[Impact Indicator Name FR]</t>
  </si>
  <si>
    <t>[Impact Indicator Name ES]</t>
  </si>
  <si>
    <t>a1I3p00000KJpeLEAT</t>
  </si>
  <si>
    <t>a1I3p00000KJpeMEAT</t>
  </si>
  <si>
    <t>a1I3p00000KJpeNEAT</t>
  </si>
  <si>
    <t>a1I3p00000KJpeOEAT</t>
  </si>
  <si>
    <t>a1I3p00000KJpePEAT</t>
  </si>
  <si>
    <t>a1I3p00000KJpeQEAT</t>
  </si>
  <si>
    <t>a1I3p00000KJpeREAT</t>
  </si>
  <si>
    <t>a1I3p00000KJpeSEAT</t>
  </si>
  <si>
    <t>a1I3p00000KJpeTEAT</t>
  </si>
  <si>
    <t>a1I3p00000KJpeUEAT</t>
  </si>
  <si>
    <t>a1I3p00000KJpeVEAT</t>
  </si>
  <si>
    <t>a1I3p00000KJpeWEAT</t>
  </si>
  <si>
    <t>a1I3p00000KJpeXEAT</t>
  </si>
  <si>
    <t>a1I3p00000KJpeYEAT</t>
  </si>
  <si>
    <t>a1I3p00000KJpeZEAT</t>
  </si>
  <si>
    <t>Impact indicator targets  (section B)</t>
  </si>
  <si>
    <t>Impact Indicator (Name)</t>
  </si>
  <si>
    <t>countif</t>
  </si>
  <si>
    <t>Impact Indicator Number</t>
  </si>
  <si>
    <t>row number</t>
  </si>
  <si>
    <t>Target D#</t>
  </si>
  <si>
    <t>Target N#</t>
  </si>
  <si>
    <t>Target %</t>
  </si>
  <si>
    <t>Year of Target</t>
  </si>
  <si>
    <t>Report Due Date</t>
  </si>
  <si>
    <t>Mark if target is TBD?</t>
  </si>
  <si>
    <t>calculated record id</t>
  </si>
  <si>
    <t>a1H3p000009alaPEAQ</t>
  </si>
  <si>
    <t>II-50994</t>
  </si>
  <si>
    <t>a1H3p000009alaeEAA</t>
  </si>
  <si>
    <t>a1H3p000009alatEAA</t>
  </si>
  <si>
    <t>a1H3p000009alb8EAA</t>
  </si>
  <si>
    <t>a1H3p000009albNEAQ</t>
  </si>
  <si>
    <t>a1H3p000009albcEAA</t>
  </si>
  <si>
    <t>a1H3p000009alaQEAQ</t>
  </si>
  <si>
    <t>II-50995</t>
  </si>
  <si>
    <t>a1H3p000009alafEAA</t>
  </si>
  <si>
    <t>a1H3p000009alauEAA</t>
  </si>
  <si>
    <t>a1H3p000009alb9EAA</t>
  </si>
  <si>
    <t>a1H3p000009albOEAQ</t>
  </si>
  <si>
    <t>a1H3p000009albdEAA</t>
  </si>
  <si>
    <t>a1H3p000009alaREAQ</t>
  </si>
  <si>
    <t>II-50996</t>
  </si>
  <si>
    <t>a1H3p000009alagEAA</t>
  </si>
  <si>
    <t>a1H3p000009alavEAA</t>
  </si>
  <si>
    <t>a1H3p000009albAEAQ</t>
  </si>
  <si>
    <t>a1H3p000009albPEAQ</t>
  </si>
  <si>
    <t>a1H3p000009albeEAA</t>
  </si>
  <si>
    <t>a1H3p000009alaSEAQ</t>
  </si>
  <si>
    <t>II-50997</t>
  </si>
  <si>
    <t>a1H3p000009alahEAA</t>
  </si>
  <si>
    <t>a1H3p000009alawEAA</t>
  </si>
  <si>
    <t>a1H3p000009albBEAQ</t>
  </si>
  <si>
    <t>a1H3p000009albQEAQ</t>
  </si>
  <si>
    <t>a1H3p000009albfEAA</t>
  </si>
  <si>
    <t>a1H3p000009alaTEAQ</t>
  </si>
  <si>
    <t>II-50998</t>
  </si>
  <si>
    <t>a1H3p000009alaiEAA</t>
  </si>
  <si>
    <t>a1H3p000009alaxEAA</t>
  </si>
  <si>
    <t>a1H3p000009albCEAQ</t>
  </si>
  <si>
    <t>a1H3p000009albREAQ</t>
  </si>
  <si>
    <t>a1H3p000009albgEAA</t>
  </si>
  <si>
    <t>a1H3p000009alaUEAQ</t>
  </si>
  <si>
    <t>II-50999</t>
  </si>
  <si>
    <t>a1H3p000009alajEAA</t>
  </si>
  <si>
    <t>a1H3p000009alayEAA</t>
  </si>
  <si>
    <t>a1H3p000009albDEAQ</t>
  </si>
  <si>
    <t>a1H3p000009albSEAQ</t>
  </si>
  <si>
    <t>a1H3p000009albhEAA</t>
  </si>
  <si>
    <t>a1H3p000009alaVEAQ</t>
  </si>
  <si>
    <t>II-51000</t>
  </si>
  <si>
    <t>a1H3p000009alakEAA</t>
  </si>
  <si>
    <t>a1H3p000009alazEAA</t>
  </si>
  <si>
    <t>a1H3p000009albEEAQ</t>
  </si>
  <si>
    <t>a1H3p000009albTEAQ</t>
  </si>
  <si>
    <t>a1H3p000009albiEAA</t>
  </si>
  <si>
    <t>a1H3p000009alaWEAQ</t>
  </si>
  <si>
    <t>II-51001</t>
  </si>
  <si>
    <t>a1H3p000009alalEAA</t>
  </si>
  <si>
    <t>a1H3p000009alb0EAA</t>
  </si>
  <si>
    <t>a1H3p000009albFEAQ</t>
  </si>
  <si>
    <t>a1H3p000009albUEAQ</t>
  </si>
  <si>
    <t>a1H3p000009albjEAA</t>
  </si>
  <si>
    <t>a1H3p000009alaXEAQ</t>
  </si>
  <si>
    <t>II-51002</t>
  </si>
  <si>
    <t>a1H3p000009alamEAA</t>
  </si>
  <si>
    <t>a1H3p000009alb1EAA</t>
  </si>
  <si>
    <t>a1H3p000009albGEAQ</t>
  </si>
  <si>
    <t>a1H3p000009albVEAQ</t>
  </si>
  <si>
    <t>a1H3p000009albkEAA</t>
  </si>
  <si>
    <t>a1H3p000009alaYEAQ</t>
  </si>
  <si>
    <t>II-51003</t>
  </si>
  <si>
    <t>a1H3p000009alanEAA</t>
  </si>
  <si>
    <t>a1H3p000009alb2EAA</t>
  </si>
  <si>
    <t>a1H3p000009albHEAQ</t>
  </si>
  <si>
    <t>a1H3p000009albWEAQ</t>
  </si>
  <si>
    <t>a1H3p000009alblEAA</t>
  </si>
  <si>
    <t>a1H3p000009alaZEAQ</t>
  </si>
  <si>
    <t>II-51004</t>
  </si>
  <si>
    <t>a1H3p000009alaoEAA</t>
  </si>
  <si>
    <t>a1H3p000009alb3EAA</t>
  </si>
  <si>
    <t>a1H3p000009albIEAQ</t>
  </si>
  <si>
    <t>a1H3p000009albXEAQ</t>
  </si>
  <si>
    <t>a1H3p000009albmEAA</t>
  </si>
  <si>
    <t>a1H3p000009alaaEAA</t>
  </si>
  <si>
    <t>II-51005</t>
  </si>
  <si>
    <t>a1H3p000009alapEAA</t>
  </si>
  <si>
    <t>a1H3p000009alb4EAA</t>
  </si>
  <si>
    <t>a1H3p000009albJEAQ</t>
  </si>
  <si>
    <t>a1H3p000009albYEAQ</t>
  </si>
  <si>
    <t>a1H3p000009albnEAA</t>
  </si>
  <si>
    <t>a1H3p000009alabEAA</t>
  </si>
  <si>
    <t>II-51006</t>
  </si>
  <si>
    <t>a1H3p000009alaqEAA</t>
  </si>
  <si>
    <t>a1H3p000009alb5EAA</t>
  </si>
  <si>
    <t>a1H3p000009albKEAQ</t>
  </si>
  <si>
    <t>a1H3p000009albZEAQ</t>
  </si>
  <si>
    <t>a1H3p000009alboEAA</t>
  </si>
  <si>
    <t>a1H3p000009alacEAA</t>
  </si>
  <si>
    <t>II-51007</t>
  </si>
  <si>
    <t>a1H3p000009alarEAA</t>
  </si>
  <si>
    <t>a1H3p000009alb6EAA</t>
  </si>
  <si>
    <t>a1H3p000009albLEAQ</t>
  </si>
  <si>
    <t>a1H3p000009albaEAA</t>
  </si>
  <si>
    <t>a1H3p000009albpEAA</t>
  </si>
  <si>
    <t>a1H3p000009aladEAA</t>
  </si>
  <si>
    <t>II-51008</t>
  </si>
  <si>
    <t>a1H3p000009alasEAA</t>
  </si>
  <si>
    <t>a1H3p000009alb7EAA</t>
  </si>
  <si>
    <t>a1H3p000009albMEAQ</t>
  </si>
  <si>
    <t>a1H3p000009albbEAA</t>
  </si>
  <si>
    <t>a1H3p000009albqEAA</t>
  </si>
  <si>
    <t>Outcome indicators (section C)</t>
  </si>
  <si>
    <t>Custom Outcome Indicator</t>
  </si>
  <si>
    <t>Outcome Reference (Name)</t>
  </si>
  <si>
    <t>Custom Outcome Indicator Local</t>
  </si>
  <si>
    <t>Outcome Indicator Name FR</t>
  </si>
  <si>
    <t>Outcome Indicator Name ES</t>
  </si>
  <si>
    <t>[Outcome Indicator Name FR]</t>
  </si>
  <si>
    <t>[Outcome Indicator Name ES]</t>
  </si>
  <si>
    <t>a1X3p00000Cye1zEAB</t>
  </si>
  <si>
    <t>a1X3p00000Cye20EAB</t>
  </si>
  <si>
    <t>a1X3p00000Cye21EAB</t>
  </si>
  <si>
    <t>a1X3p00000Cye22EAB</t>
  </si>
  <si>
    <t>a1X3p00000Cye23EAB</t>
  </si>
  <si>
    <t>a1X3p00000Cye24EAB</t>
  </si>
  <si>
    <t>a1X3p00000Cye25EAB</t>
  </si>
  <si>
    <t>a1X3p00000Cye26EAB</t>
  </si>
  <si>
    <t>a1X3p00000Cye27EAB</t>
  </si>
  <si>
    <t>a1X3p00000Cye28EAB</t>
  </si>
  <si>
    <t>a1X3p00000Cye29EAB</t>
  </si>
  <si>
    <t>a1X3p00000Cye2AEAR</t>
  </si>
  <si>
    <t>a1X3p00000Cye2BEAR</t>
  </si>
  <si>
    <t>a1X3p00000Cye2CEAR</t>
  </si>
  <si>
    <t>a1X3p00000Cye2DEAR</t>
  </si>
  <si>
    <t>Outcome indicators Targets (section C)</t>
  </si>
  <si>
    <t>Outcome Indicator Baseline ID (Name)</t>
  </si>
  <si>
    <t>Outcome Indicator Number</t>
  </si>
  <si>
    <t>Due for Reporting</t>
  </si>
  <si>
    <t>[Due for Reporting]</t>
  </si>
  <si>
    <t>a1W3p000005aVOKEA2</t>
  </si>
  <si>
    <t>OI-50328</t>
  </si>
  <si>
    <t>a1W3p000005aVOZEA2</t>
  </si>
  <si>
    <t>a1W3p000005aVOoEAM</t>
  </si>
  <si>
    <t>a1W3p000005aVP3EAM</t>
  </si>
  <si>
    <t>a1W3p000005aVPIEA2</t>
  </si>
  <si>
    <t>a1W3p000005aVPXEA2</t>
  </si>
  <si>
    <t>a1W3p000005aVOLEA2</t>
  </si>
  <si>
    <t>OI-50329</t>
  </si>
  <si>
    <t>a1W3p000005aVOaEAM</t>
  </si>
  <si>
    <t>a1W3p000005aVOpEAM</t>
  </si>
  <si>
    <t>a1W3p000005aVP4EAM</t>
  </si>
  <si>
    <t>a1W3p000005aVPJEA2</t>
  </si>
  <si>
    <t>a1W3p000005aVPYEA2</t>
  </si>
  <si>
    <t>a1W3p000005aVOMEA2</t>
  </si>
  <si>
    <t>OI-50330</t>
  </si>
  <si>
    <t>a1W3p000005aVObEAM</t>
  </si>
  <si>
    <t>a1W3p000005aVOqEAM</t>
  </si>
  <si>
    <t>a1W3p000005aVP5EAM</t>
  </si>
  <si>
    <t>a1W3p000005aVPKEA2</t>
  </si>
  <si>
    <t>a1W3p000005aVPZEA2</t>
  </si>
  <si>
    <t>a1W3p000005aVONEA2</t>
  </si>
  <si>
    <t>OI-50331</t>
  </si>
  <si>
    <t>a1W3p000005aVOcEAM</t>
  </si>
  <si>
    <t>a1W3p000005aVOrEAM</t>
  </si>
  <si>
    <t>a1W3p000005aVP6EAM</t>
  </si>
  <si>
    <t>a1W3p000005aVPLEA2</t>
  </si>
  <si>
    <t>a1W3p000005aVPaEAM</t>
  </si>
  <si>
    <t>a1W3p000005aVOOEA2</t>
  </si>
  <si>
    <t>OI-50332</t>
  </si>
  <si>
    <t>a1W3p000005aVOdEAM</t>
  </si>
  <si>
    <t>a1W3p000005aVOsEAM</t>
  </si>
  <si>
    <t>a1W3p000005aVP7EAM</t>
  </si>
  <si>
    <t>a1W3p000005aVPMEA2</t>
  </si>
  <si>
    <t>a1W3p000005aVPbEAM</t>
  </si>
  <si>
    <t>a1W3p000005aVOPEA2</t>
  </si>
  <si>
    <t>OI-50333</t>
  </si>
  <si>
    <t>a1W3p000005aVOeEAM</t>
  </si>
  <si>
    <t>a1W3p000005aVOtEAM</t>
  </si>
  <si>
    <t>a1W3p000005aVP8EAM</t>
  </si>
  <si>
    <t>a1W3p000005aVPNEA2</t>
  </si>
  <si>
    <t>a1W3p000005aVPcEAM</t>
  </si>
  <si>
    <t>a1W3p000005aVOQEA2</t>
  </si>
  <si>
    <t>OI-50334</t>
  </si>
  <si>
    <t>a1W3p000005aVOfEAM</t>
  </si>
  <si>
    <t>a1W3p000005aVOuEAM</t>
  </si>
  <si>
    <t>a1W3p000005aVP9EAM</t>
  </si>
  <si>
    <t>a1W3p000005aVPOEA2</t>
  </si>
  <si>
    <t>a1W3p000005aVPdEAM</t>
  </si>
  <si>
    <t>a1W3p000005aVOREA2</t>
  </si>
  <si>
    <t>OI-50335</t>
  </si>
  <si>
    <t>a1W3p000005aVOgEAM</t>
  </si>
  <si>
    <t>a1W3p000005aVOvEAM</t>
  </si>
  <si>
    <t>a1W3p000005aVPAEA2</t>
  </si>
  <si>
    <t>a1W3p000005aVPPEA2</t>
  </si>
  <si>
    <t>a1W3p000005aVPeEAM</t>
  </si>
  <si>
    <t>a1W3p000005aVOSEA2</t>
  </si>
  <si>
    <t>OI-50336</t>
  </si>
  <si>
    <t>a1W3p000005aVOhEAM</t>
  </si>
  <si>
    <t>a1W3p000005aVOwEAM</t>
  </si>
  <si>
    <t>a1W3p000005aVPBEA2</t>
  </si>
  <si>
    <t>a1W3p000005aVPQEA2</t>
  </si>
  <si>
    <t>a1W3p000005aVPfEAM</t>
  </si>
  <si>
    <t>a1W3p000005aVOTEA2</t>
  </si>
  <si>
    <t>OI-50337</t>
  </si>
  <si>
    <t>a1W3p000005aVOiEAM</t>
  </si>
  <si>
    <t>a1W3p000005aVOxEAM</t>
  </si>
  <si>
    <t>a1W3p000005aVPCEA2</t>
  </si>
  <si>
    <t>a1W3p000005aVPREA2</t>
  </si>
  <si>
    <t>a1W3p000005aVPgEAM</t>
  </si>
  <si>
    <t>a1W3p000005aVOUEA2</t>
  </si>
  <si>
    <t>OI-50338</t>
  </si>
  <si>
    <t>a1W3p000005aVOjEAM</t>
  </si>
  <si>
    <t>a1W3p000005aVOyEAM</t>
  </si>
  <si>
    <t>a1W3p000005aVPDEA2</t>
  </si>
  <si>
    <t>a1W3p000005aVPSEA2</t>
  </si>
  <si>
    <t>a1W3p000005aVPhEAM</t>
  </si>
  <si>
    <t>a1W3p000005aVOVEA2</t>
  </si>
  <si>
    <t>OI-50339</t>
  </si>
  <si>
    <t>a1W3p000005aVOkEAM</t>
  </si>
  <si>
    <t>a1W3p000005aVOzEAM</t>
  </si>
  <si>
    <t>a1W3p000005aVPEEA2</t>
  </si>
  <si>
    <t>a1W3p000005aVPTEA2</t>
  </si>
  <si>
    <t>a1W3p000005aVPiEAM</t>
  </si>
  <si>
    <t>a1W3p000005aVOWEA2</t>
  </si>
  <si>
    <t>OI-50340</t>
  </si>
  <si>
    <t>a1W3p000005aVOlEAM</t>
  </si>
  <si>
    <t>a1W3p000005aVP0EAM</t>
  </si>
  <si>
    <t>a1W3p000005aVPFEA2</t>
  </si>
  <si>
    <t>a1W3p000005aVPUEA2</t>
  </si>
  <si>
    <t>a1W3p000005aVPjEAM</t>
  </si>
  <si>
    <t>a1W3p000005aVOXEA2</t>
  </si>
  <si>
    <t>OI-50341</t>
  </si>
  <si>
    <t>a1W3p000005aVOmEAM</t>
  </si>
  <si>
    <t>a1W3p000005aVP1EAM</t>
  </si>
  <si>
    <t>a1W3p000005aVPGEA2</t>
  </si>
  <si>
    <t>a1W3p000005aVPVEA2</t>
  </si>
  <si>
    <t>a1W3p000005aVPkEAM</t>
  </si>
  <si>
    <t>a1W3p000005aVOYEA2</t>
  </si>
  <si>
    <t>OI-50342</t>
  </si>
  <si>
    <t>a1W3p000005aVOnEAM</t>
  </si>
  <si>
    <t>a1W3p000005aVP2EAM</t>
  </si>
  <si>
    <t>a1W3p000005aVPHEA2</t>
  </si>
  <si>
    <t>a1W3p000005aVPWEA2</t>
  </si>
  <si>
    <t>a1W3p000005aVPlEAM</t>
  </si>
  <si>
    <t>Coverage indicators (secton D)</t>
  </si>
  <si>
    <t>rownumber</t>
  </si>
  <si>
    <t>number calculated row</t>
  </si>
  <si>
    <t>Coverage Indicator Reference ID (Name)</t>
  </si>
  <si>
    <t>Module ID (Name)</t>
  </si>
  <si>
    <t>Year</t>
  </si>
  <si>
    <t>Population (Name)</t>
  </si>
  <si>
    <t>Custom Coverage Indicator Name - EN</t>
  </si>
  <si>
    <t>Geographic Coverage</t>
  </si>
  <si>
    <t>Rating Cumulation Type</t>
  </si>
  <si>
    <t>Subset</t>
  </si>
  <si>
    <t>Custom Coverage Indicator Name - Local</t>
  </si>
  <si>
    <t>Coverage Indicator Name  - FR</t>
  </si>
  <si>
    <t>Coverage Indicator Name - ES</t>
  </si>
  <si>
    <t>Module Name FR</t>
  </si>
  <si>
    <t>Module Name ES</t>
  </si>
  <si>
    <t>Coverage Indicator Number</t>
  </si>
  <si>
    <t>[Coverage Indicator Name  - FR]</t>
  </si>
  <si>
    <t>[Coverage Indicator Name - ES]</t>
  </si>
  <si>
    <t>[Module Name FR]</t>
  </si>
  <si>
    <t>[Module Name ES]</t>
  </si>
  <si>
    <t>[Coverage Indicator Number]</t>
  </si>
  <si>
    <t>[Module Name]</t>
  </si>
  <si>
    <t>a183p000006T3jpAAC</t>
  </si>
  <si>
    <t>a183p000006T3jqAAC</t>
  </si>
  <si>
    <t>a183p000006T3jrAAC</t>
  </si>
  <si>
    <t>a183p000006T3jsAAC</t>
  </si>
  <si>
    <t>a183p000006T3jtAAC</t>
  </si>
  <si>
    <t>a183p000006T3juAAC</t>
  </si>
  <si>
    <t>a183p000006T3jvAAC</t>
  </si>
  <si>
    <t>a183p000006T3jwAAC</t>
  </si>
  <si>
    <t>a183p000006T3jxAAC</t>
  </si>
  <si>
    <t>a183p000006T3jyAAC</t>
  </si>
  <si>
    <t>a183p000006T3jzAAC</t>
  </si>
  <si>
    <t>a183p000006T3k0AAC</t>
  </si>
  <si>
    <t>a183p000006T3k1AAC</t>
  </si>
  <si>
    <t>a183p000006T3k2AAC</t>
  </si>
  <si>
    <t>a183p000006T3k3AAC</t>
  </si>
  <si>
    <t>a183p000006T3k4AAC</t>
  </si>
  <si>
    <t>a183p000006T3k5AAC</t>
  </si>
  <si>
    <t>a183p000006T3k6AAC</t>
  </si>
  <si>
    <t>a183p000006T3k7AAC</t>
  </si>
  <si>
    <t>a183p000006T3k8AAC</t>
  </si>
  <si>
    <t>a183p000006T3k9AAC</t>
  </si>
  <si>
    <t>a183p000006T3kAAAS</t>
  </si>
  <si>
    <t>a183p000006T3kBAAS</t>
  </si>
  <si>
    <t>a183p000006T3kCAAS</t>
  </si>
  <si>
    <t>a183p000006T3kDAAS</t>
  </si>
  <si>
    <t>a183p000006T3kEAAS</t>
  </si>
  <si>
    <t>a183p000006T3kFAAS</t>
  </si>
  <si>
    <t>a183p000006T3kGAAS</t>
  </si>
  <si>
    <t>a183p000006T3kHAAS</t>
  </si>
  <si>
    <t>a183p000006T3kIAAS</t>
  </si>
  <si>
    <t>Coverage Indicator Targets (section D)</t>
  </si>
  <si>
    <t>Coverage Indicator ID (Name)</t>
  </si>
  <si>
    <t>calculated Coverage Indicator Number</t>
  </si>
  <si>
    <t>a173p00000BI4yzAAD</t>
  </si>
  <si>
    <t>CI-104106</t>
  </si>
  <si>
    <t>a173p00000BI4zTAAT</t>
  </si>
  <si>
    <t>a173p00000BI4zxAAD</t>
  </si>
  <si>
    <t>a173p00000BI50RAAT</t>
  </si>
  <si>
    <t>a173p00000BI50vAAD</t>
  </si>
  <si>
    <t>a173p00000BI51PAAT</t>
  </si>
  <si>
    <t>a173p00000BI4z0AAD</t>
  </si>
  <si>
    <t>CI-104107</t>
  </si>
  <si>
    <t>a173p00000BI4zUAAT</t>
  </si>
  <si>
    <t>a173p00000BI4zyAAD</t>
  </si>
  <si>
    <t>a173p00000BI50SAAT</t>
  </si>
  <si>
    <t>a173p00000BI50wAAD</t>
  </si>
  <si>
    <t>a173p00000BI51QAAT</t>
  </si>
  <si>
    <t>a173p00000BI4z1AAD</t>
  </si>
  <si>
    <t>CI-104108</t>
  </si>
  <si>
    <t>a173p00000BI4zVAAT</t>
  </si>
  <si>
    <t>a173p00000BI4zzAAD</t>
  </si>
  <si>
    <t>a173p00000BI50TAAT</t>
  </si>
  <si>
    <t>a173p00000BI50xAAD</t>
  </si>
  <si>
    <t>a173p00000BI51RAAT</t>
  </si>
  <si>
    <t>a173p00000BI4z2AAD</t>
  </si>
  <si>
    <t>CI-104109</t>
  </si>
  <si>
    <t>a173p00000BI4zWAAT</t>
  </si>
  <si>
    <t>a173p00000BI500AAD</t>
  </si>
  <si>
    <t>a173p00000BI50UAAT</t>
  </si>
  <si>
    <t>a173p00000BI50yAAD</t>
  </si>
  <si>
    <t>a173p00000BI51SAAT</t>
  </si>
  <si>
    <t>a173p00000BI4z3AAD</t>
  </si>
  <si>
    <t>CI-104110</t>
  </si>
  <si>
    <t>a173p00000BI4zXAAT</t>
  </si>
  <si>
    <t>a173p00000BI501AAD</t>
  </si>
  <si>
    <t>a173p00000BI50VAAT</t>
  </si>
  <si>
    <t>a173p00000BI50zAAD</t>
  </si>
  <si>
    <t>a173p00000BI51TAAT</t>
  </si>
  <si>
    <t>a173p00000BI4z4AAD</t>
  </si>
  <si>
    <t>CI-104111</t>
  </si>
  <si>
    <t>a173p00000BI4zYAAT</t>
  </si>
  <si>
    <t>a173p00000BI502AAD</t>
  </si>
  <si>
    <t>a173p00000BI50WAAT</t>
  </si>
  <si>
    <t>a173p00000BI510AAD</t>
  </si>
  <si>
    <t>a173p00000BI51UAAT</t>
  </si>
  <si>
    <t>a173p00000BI4z5AAD</t>
  </si>
  <si>
    <t>CI-104112</t>
  </si>
  <si>
    <t>a173p00000BI4zZAAT</t>
  </si>
  <si>
    <t>a173p00000BI503AAD</t>
  </si>
  <si>
    <t>a173p00000BI50XAAT</t>
  </si>
  <si>
    <t>a173p00000BI511AAD</t>
  </si>
  <si>
    <t>a173p00000BI51VAAT</t>
  </si>
  <si>
    <t>a173p00000BI4z6AAD</t>
  </si>
  <si>
    <t>CI-104113</t>
  </si>
  <si>
    <t>a173p00000BI4zaAAD</t>
  </si>
  <si>
    <t>a173p00000BI504AAD</t>
  </si>
  <si>
    <t>a173p00000BI50YAAT</t>
  </si>
  <si>
    <t>a173p00000BI512AAD</t>
  </si>
  <si>
    <t>a173p00000BI51WAAT</t>
  </si>
  <si>
    <t>a173p00000BI4z7AAD</t>
  </si>
  <si>
    <t>CI-104114</t>
  </si>
  <si>
    <t>a173p00000BI4zbAAD</t>
  </si>
  <si>
    <t>a173p00000BI505AAD</t>
  </si>
  <si>
    <t>a173p00000BI50ZAAT</t>
  </si>
  <si>
    <t>a173p00000BI513AAD</t>
  </si>
  <si>
    <t>a173p00000BI51XAAT</t>
  </si>
  <si>
    <t>a173p00000BI4z8AAD</t>
  </si>
  <si>
    <t>CI-104115</t>
  </si>
  <si>
    <t>a173p00000BI4zcAAD</t>
  </si>
  <si>
    <t>a173p00000BI506AAD</t>
  </si>
  <si>
    <t>a173p00000BI50aAAD</t>
  </si>
  <si>
    <t>a173p00000BI514AAD</t>
  </si>
  <si>
    <t>a173p00000BI51YAAT</t>
  </si>
  <si>
    <t>a173p00000BI4z9AAD</t>
  </si>
  <si>
    <t>CI-104116</t>
  </si>
  <si>
    <t>a173p00000BI4zdAAD</t>
  </si>
  <si>
    <t>a173p00000BI507AAD</t>
  </si>
  <si>
    <t>a173p00000BI50bAAD</t>
  </si>
  <si>
    <t>a173p00000BI515AAD</t>
  </si>
  <si>
    <t>a173p00000BI51ZAAT</t>
  </si>
  <si>
    <t>a173p00000BI4zAAAT</t>
  </si>
  <si>
    <t>CI-104117</t>
  </si>
  <si>
    <t>a173p00000BI4zeAAD</t>
  </si>
  <si>
    <t>a173p00000BI508AAD</t>
  </si>
  <si>
    <t>a173p00000BI50cAAD</t>
  </si>
  <si>
    <t>a173p00000BI516AAD</t>
  </si>
  <si>
    <t>a173p00000BI51aAAD</t>
  </si>
  <si>
    <t>a173p00000BI4zBAAT</t>
  </si>
  <si>
    <t>CI-104118</t>
  </si>
  <si>
    <t>a173p00000BI4zfAAD</t>
  </si>
  <si>
    <t>a173p00000BI509AAD</t>
  </si>
  <si>
    <t>a173p00000BI50dAAD</t>
  </si>
  <si>
    <t>a173p00000BI517AAD</t>
  </si>
  <si>
    <t>a173p00000BI51bAAD</t>
  </si>
  <si>
    <t>a173p00000BI4zCAAT</t>
  </si>
  <si>
    <t>CI-104119</t>
  </si>
  <si>
    <t>a173p00000BI4zgAAD</t>
  </si>
  <si>
    <t>a173p00000BI50AAAT</t>
  </si>
  <si>
    <t>a173p00000BI50eAAD</t>
  </si>
  <si>
    <t>a173p00000BI518AAD</t>
  </si>
  <si>
    <t>a173p00000BI51cAAD</t>
  </si>
  <si>
    <t>a173p00000BI4zDAAT</t>
  </si>
  <si>
    <t>CI-104120</t>
  </si>
  <si>
    <t>a173p00000BI4zhAAD</t>
  </si>
  <si>
    <t>a173p00000BI50BAAT</t>
  </si>
  <si>
    <t>a173p00000BI50fAAD</t>
  </si>
  <si>
    <t>a173p00000BI519AAD</t>
  </si>
  <si>
    <t>a173p00000BI51dAAD</t>
  </si>
  <si>
    <t>a173p00000BI4zEAAT</t>
  </si>
  <si>
    <t>CI-104121</t>
  </si>
  <si>
    <t>a173p00000BI4ziAAD</t>
  </si>
  <si>
    <t>a173p00000BI50CAAT</t>
  </si>
  <si>
    <t>a173p00000BI50gAAD</t>
  </si>
  <si>
    <t>a173p00000BI51AAAT</t>
  </si>
  <si>
    <t>a173p00000BI51eAAD</t>
  </si>
  <si>
    <t>a173p00000BI4zFAAT</t>
  </si>
  <si>
    <t>CI-104122</t>
  </si>
  <si>
    <t>a173p00000BI4zjAAD</t>
  </si>
  <si>
    <t>a173p00000BI50DAAT</t>
  </si>
  <si>
    <t>a173p00000BI50hAAD</t>
  </si>
  <si>
    <t>a173p00000BI51BAAT</t>
  </si>
  <si>
    <t>a173p00000BI51fAAD</t>
  </si>
  <si>
    <t>a173p00000BI4zGAAT</t>
  </si>
  <si>
    <t>CI-104123</t>
  </si>
  <si>
    <t>a173p00000BI4zkAAD</t>
  </si>
  <si>
    <t>a173p00000BI50EAAT</t>
  </si>
  <si>
    <t>a173p00000BI50iAAD</t>
  </si>
  <si>
    <t>a173p00000BI51CAAT</t>
  </si>
  <si>
    <t>a173p00000BI51gAAD</t>
  </si>
  <si>
    <t>a173p00000BI4zHAAT</t>
  </si>
  <si>
    <t>CI-104124</t>
  </si>
  <si>
    <t>a173p00000BI4zlAAD</t>
  </si>
  <si>
    <t>a173p00000BI50FAAT</t>
  </si>
  <si>
    <t>a173p00000BI50jAAD</t>
  </si>
  <si>
    <t>a173p00000BI51DAAT</t>
  </si>
  <si>
    <t>a173p00000BI51hAAD</t>
  </si>
  <si>
    <t>a173p00000BI4zIAAT</t>
  </si>
  <si>
    <t>CI-104125</t>
  </si>
  <si>
    <t>a173p00000BI4zmAAD</t>
  </si>
  <si>
    <t>a173p00000BI50GAAT</t>
  </si>
  <si>
    <t>a173p00000BI50kAAD</t>
  </si>
  <si>
    <t>a173p00000BI51EAAT</t>
  </si>
  <si>
    <t>a173p00000BI51iAAD</t>
  </si>
  <si>
    <t>a173p00000BI4zJAAT</t>
  </si>
  <si>
    <t>CI-104126</t>
  </si>
  <si>
    <t>a173p00000BI4znAAD</t>
  </si>
  <si>
    <t>a173p00000BI50HAAT</t>
  </si>
  <si>
    <t>a173p00000BI50lAAD</t>
  </si>
  <si>
    <t>a173p00000BI51FAAT</t>
  </si>
  <si>
    <t>a173p00000BI51jAAD</t>
  </si>
  <si>
    <t>a173p00000BI4zKAAT</t>
  </si>
  <si>
    <t>CI-104127</t>
  </si>
  <si>
    <t>a173p00000BI4zoAAD</t>
  </si>
  <si>
    <t>a173p00000BI50IAAT</t>
  </si>
  <si>
    <t>a173p00000BI50mAAD</t>
  </si>
  <si>
    <t>a173p00000BI51GAAT</t>
  </si>
  <si>
    <t>a173p00000BI51kAAD</t>
  </si>
  <si>
    <t>a173p00000BI4zLAAT</t>
  </si>
  <si>
    <t>CI-104128</t>
  </si>
  <si>
    <t>a173p00000BI4zpAAD</t>
  </si>
  <si>
    <t>a173p00000BI50JAAT</t>
  </si>
  <si>
    <t>a173p00000BI50nAAD</t>
  </si>
  <si>
    <t>a173p00000BI51HAAT</t>
  </si>
  <si>
    <t>a173p00000BI51lAAD</t>
  </si>
  <si>
    <t>a173p00000BI4zMAAT</t>
  </si>
  <si>
    <t>CI-104129</t>
  </si>
  <si>
    <t>a173p00000BI4zqAAD</t>
  </si>
  <si>
    <t>a173p00000BI50KAAT</t>
  </si>
  <si>
    <t>a173p00000BI50oAAD</t>
  </si>
  <si>
    <t>a173p00000BI51IAAT</t>
  </si>
  <si>
    <t>a173p00000BI51mAAD</t>
  </si>
  <si>
    <t>a173p00000BI4zNAAT</t>
  </si>
  <si>
    <t>CI-104130</t>
  </si>
  <si>
    <t>a173p00000BI4zrAAD</t>
  </si>
  <si>
    <t>a173p00000BI50LAAT</t>
  </si>
  <si>
    <t>a173p00000BI50pAAD</t>
  </si>
  <si>
    <t>a173p00000BI51JAAT</t>
  </si>
  <si>
    <t>a173p00000BI51nAAD</t>
  </si>
  <si>
    <t>a173p00000BI4zOAAT</t>
  </si>
  <si>
    <t>CI-104131</t>
  </si>
  <si>
    <t>a173p00000BI4zsAAD</t>
  </si>
  <si>
    <t>a173p00000BI50MAAT</t>
  </si>
  <si>
    <t>a173p00000BI50qAAD</t>
  </si>
  <si>
    <t>a173p00000BI51KAAT</t>
  </si>
  <si>
    <t>a173p00000BI51oAAD</t>
  </si>
  <si>
    <t>a173p00000BI4zPAAT</t>
  </si>
  <si>
    <t>CI-104132</t>
  </si>
  <si>
    <t>a173p00000BI4ztAAD</t>
  </si>
  <si>
    <t>a173p00000BI50NAAT</t>
  </si>
  <si>
    <t>a173p00000BI50rAAD</t>
  </si>
  <si>
    <t>a173p00000BI51LAAT</t>
  </si>
  <si>
    <t>a173p00000BI51pAAD</t>
  </si>
  <si>
    <t>a173p00000BI4zQAAT</t>
  </si>
  <si>
    <t>CI-104133</t>
  </si>
  <si>
    <t>a173p00000BI4zuAAD</t>
  </si>
  <si>
    <t>a173p00000BI50OAAT</t>
  </si>
  <si>
    <t>a173p00000BI50sAAD</t>
  </si>
  <si>
    <t>a173p00000BI51MAAT</t>
  </si>
  <si>
    <t>a173p00000BI51qAAD</t>
  </si>
  <si>
    <t>a173p00000BI4zRAAT</t>
  </si>
  <si>
    <t>CI-104134</t>
  </si>
  <si>
    <t>a173p00000BI4zvAAD</t>
  </si>
  <si>
    <t>a173p00000BI50PAAT</t>
  </si>
  <si>
    <t>a173p00000BI50tAAD</t>
  </si>
  <si>
    <t>a173p00000BI51NAAT</t>
  </si>
  <si>
    <t>a173p00000BI51rAAD</t>
  </si>
  <si>
    <t>a173p00000BI4zSAAT</t>
  </si>
  <si>
    <t>CI-104135</t>
  </si>
  <si>
    <t>a173p00000BI4zwAAD</t>
  </si>
  <si>
    <t>a173p00000BI50QAAT</t>
  </si>
  <si>
    <t>a173p00000BI50uAAD</t>
  </si>
  <si>
    <t>a173p00000BI51OAAT</t>
  </si>
  <si>
    <t>a173p00000BI51sAAD</t>
  </si>
  <si>
    <t xml:space="preserve"> Disaggregation - Section E </t>
  </si>
  <si>
    <t>Outcome Indicator Disaggregation</t>
  </si>
  <si>
    <t>intervention</t>
  </si>
  <si>
    <t>Comments</t>
  </si>
  <si>
    <t>Indicator-Disaggregation Reference (Name)</t>
  </si>
  <si>
    <t>Baseline Source Local</t>
  </si>
  <si>
    <t>Comments Local</t>
  </si>
  <si>
    <t>a1V3p000006h2vkEAA</t>
  </si>
  <si>
    <t>a1V3p000006h2vlEAA</t>
  </si>
  <si>
    <t>a1V3p000006h2vmEAA</t>
  </si>
  <si>
    <t>a1V3p000006h2vnEAA</t>
  </si>
  <si>
    <t>a1V3p000006h2voEAA</t>
  </si>
  <si>
    <t>a1V3p000006h2vpEAA</t>
  </si>
  <si>
    <t>a1V3p000006h2vqEAA</t>
  </si>
  <si>
    <t>a1V3p000006h2vrEAA</t>
  </si>
  <si>
    <t>a1V3p000006h2vsEAA</t>
  </si>
  <si>
    <t>a1V3p000006h2vtEAA</t>
  </si>
  <si>
    <t>a1V3p000006h2vuEAA</t>
  </si>
  <si>
    <t>a1V3p000006h2vvEAA</t>
  </si>
  <si>
    <t>a1V3p000006h2vwEAA</t>
  </si>
  <si>
    <t>a1V3p000006h2vxEAA</t>
  </si>
  <si>
    <t>a1V3p000006h2vyEAA</t>
  </si>
  <si>
    <t>a1V3p000006h2vzEAA</t>
  </si>
  <si>
    <t>a1V3p000006h2w0EAA</t>
  </si>
  <si>
    <t>a1V3p000006h2w1EAA</t>
  </si>
  <si>
    <t>a1V3p000006h2w2EAA</t>
  </si>
  <si>
    <t>a1V3p000006h2w3EAA</t>
  </si>
  <si>
    <t>a1V3p000006h2w4EAA</t>
  </si>
  <si>
    <t>a1V3p000006h2w5EAA</t>
  </si>
  <si>
    <t>a1V3p000006h2w6EAA</t>
  </si>
  <si>
    <t>a1V3p000006h2w7EAA</t>
  </si>
  <si>
    <t>a1V3p000006h2w8EAA</t>
  </si>
  <si>
    <t>a1V3p000006h2w9EAA</t>
  </si>
  <si>
    <t>a1V3p000006h2wAEAQ</t>
  </si>
  <si>
    <t>a1V3p000006h2wBEAQ</t>
  </si>
  <si>
    <t>a1V3p000006h2wCEAQ</t>
  </si>
  <si>
    <t>a1V3p000006h2wDEAQ</t>
  </si>
  <si>
    <t>a1V3p000006h2wEEAQ</t>
  </si>
  <si>
    <t>a1V3p000006h2wFEAQ</t>
  </si>
  <si>
    <t>a1V3p000006h2wGEAQ</t>
  </si>
  <si>
    <t>a1V3p000006h2wHEAQ</t>
  </si>
  <si>
    <t>a1V3p000006h2wIEAQ</t>
  </si>
  <si>
    <t>a1V3p000006h2wJEAQ</t>
  </si>
  <si>
    <t>a1V3p000006h2wKEAQ</t>
  </si>
  <si>
    <t>a1V3p000006h2wLEAQ</t>
  </si>
  <si>
    <t>a1V3p000006h2wMEAQ</t>
  </si>
  <si>
    <t>a1V3p000006h2wNEAQ</t>
  </si>
  <si>
    <t>a1V3p000006h2wOEAQ</t>
  </si>
  <si>
    <t>a1V3p000006h2wPEAQ</t>
  </si>
  <si>
    <t>a1V3p000006h2wQEAQ</t>
  </si>
  <si>
    <t>a1V3p000006h2wREAQ</t>
  </si>
  <si>
    <t>a1V3p000006h2wSEAQ</t>
  </si>
  <si>
    <t>a1V3p000006h2wTEAQ</t>
  </si>
  <si>
    <t>a1V3p000006h2wUEAQ</t>
  </si>
  <si>
    <t>a1V3p000006h2wVEAQ</t>
  </si>
  <si>
    <t>a1V3p000006h2wWEAQ</t>
  </si>
  <si>
    <t>a1V3p000006h2wXEAQ</t>
  </si>
  <si>
    <t>a1V3p000006h2wYEAQ</t>
  </si>
  <si>
    <t>a1V3p000006h2wZEAQ</t>
  </si>
  <si>
    <t>a1V3p000006h2waEAA</t>
  </si>
  <si>
    <t>a1V3p000006h2wbEAA</t>
  </si>
  <si>
    <t>a1V3p000006h2wcEAA</t>
  </si>
  <si>
    <t>a1V3p000006h2wdEAA</t>
  </si>
  <si>
    <t>a1V3p000006h2weEAA</t>
  </si>
  <si>
    <t>a1V3p000006h2wfEAA</t>
  </si>
  <si>
    <t>a1V3p000006h2wgEAA</t>
  </si>
  <si>
    <t>a1V3p000006h2whEAA</t>
  </si>
  <si>
    <t>a1V3p000006h2wiEAA</t>
  </si>
  <si>
    <t>a1V3p000006h2wjEAA</t>
  </si>
  <si>
    <t>a1V3p000006h2wkEAA</t>
  </si>
  <si>
    <t>a1V3p000006h2wlEAA</t>
  </si>
  <si>
    <t>a1V3p000006h2wmEAA</t>
  </si>
  <si>
    <t>a1V3p000006h2wnEAA</t>
  </si>
  <si>
    <t>a1V3p000006h2woEAA</t>
  </si>
  <si>
    <t>a1V3p000006h2wpEAA</t>
  </si>
  <si>
    <t>a1V3p000006h2wqEAA</t>
  </si>
  <si>
    <t>a1V3p000006h2wrEAA</t>
  </si>
  <si>
    <t>a1V3p000006h2wsEAA</t>
  </si>
  <si>
    <t>a1V3p000006h2wtEAA</t>
  </si>
  <si>
    <t>a1V3p000006h2wuEAA</t>
  </si>
  <si>
    <t>a1V3p000006h2wvEAA</t>
  </si>
  <si>
    <t>a1V3p000006h2wwEAA</t>
  </si>
  <si>
    <t>a1V3p000006h2wxEAA</t>
  </si>
  <si>
    <t>a1V3p000006h2wyEAA</t>
  </si>
  <si>
    <t>a1V3p000006h2wzEAA</t>
  </si>
  <si>
    <t>a1V3p000006h2x0EAA</t>
  </si>
  <si>
    <t>a1V3p000006h2x1EAA</t>
  </si>
  <si>
    <t>a1V3p000006h2x2EAA</t>
  </si>
  <si>
    <t>a1V3p000006h2x3EAA</t>
  </si>
  <si>
    <t>a1V3p000006h2x4EAA</t>
  </si>
  <si>
    <t>a1V3p000006h2x5EAA</t>
  </si>
  <si>
    <t>a1V3p000006h2x6EAA</t>
  </si>
  <si>
    <t>a1V3p000006h2x7EAA</t>
  </si>
  <si>
    <t>a1V3p000006h2x8EAA</t>
  </si>
  <si>
    <t>a1V3p000006h2x9EAA</t>
  </si>
  <si>
    <t>a1V3p000006h2xAEAQ</t>
  </si>
  <si>
    <t>a1V3p000006h2xBEAQ</t>
  </si>
  <si>
    <t>a1V3p000006h2xCEAQ</t>
  </si>
  <si>
    <t>a1V3p000006h2xDEAQ</t>
  </si>
  <si>
    <t>a1V3p000006h2xEEAQ</t>
  </si>
  <si>
    <t>a1V3p000006h2xFEAQ</t>
  </si>
  <si>
    <t>a1V3p000006h2xGEAQ</t>
  </si>
  <si>
    <t>a1V3p000006h2xHEAQ</t>
  </si>
  <si>
    <t>a1V3p000006h2xIEAQ</t>
  </si>
  <si>
    <t>a1V3p000006h2xJEAQ</t>
  </si>
  <si>
    <t>a1V3p000006h2xKEAQ</t>
  </si>
  <si>
    <t>a1V3p000006h2xLEAQ</t>
  </si>
  <si>
    <t>a1V3p000006h2xMEAQ</t>
  </si>
  <si>
    <t>a1V3p000006h2xNEAQ</t>
  </si>
  <si>
    <t>a1V3p000006h2xOEAQ</t>
  </si>
  <si>
    <t>a1V3p000006h2xPEAQ</t>
  </si>
  <si>
    <t>a1V3p000006h2xQEAQ</t>
  </si>
  <si>
    <t>a1V3p000006h2xREAQ</t>
  </si>
  <si>
    <t>a1V3p000006h2xSEAQ</t>
  </si>
  <si>
    <t>a1V3p000006h2xTEAQ</t>
  </si>
  <si>
    <t>a1V3p000006h2xUEAQ</t>
  </si>
  <si>
    <t>a1V3p000006h2xVEAQ</t>
  </si>
  <si>
    <t>a1V3p000006h2xWEAQ</t>
  </si>
  <si>
    <t>a1V3p000006h2xXEAQ</t>
  </si>
  <si>
    <t>a1V3p000006h2xYEAQ</t>
  </si>
  <si>
    <t>a1V3p000006h2xZEAQ</t>
  </si>
  <si>
    <t>a1V3p000006h2xaEAA</t>
  </si>
  <si>
    <t>a1V3p000006h2xbEAA</t>
  </si>
  <si>
    <t>a1V3p000006h2xcEAA</t>
  </si>
  <si>
    <t>a1V3p000006h2xdEAA</t>
  </si>
  <si>
    <t>a1V3p000006h2xeEAA</t>
  </si>
  <si>
    <t>a1V3p000006h2xfEAA</t>
  </si>
  <si>
    <t>a1V3p000006h2xgEAA</t>
  </si>
  <si>
    <t>a1V3p000006h2xhEAA</t>
  </si>
  <si>
    <t>a1V3p000006h2xiEAA</t>
  </si>
  <si>
    <t>a1V3p000006h2xjEAA</t>
  </si>
  <si>
    <t>a1V3p000006h2xkEAA</t>
  </si>
  <si>
    <t>a1V3p000006h2xlEAA</t>
  </si>
  <si>
    <t>a1V3p000006h2xmEAA</t>
  </si>
  <si>
    <t>a1V3p000006h2xnEAA</t>
  </si>
  <si>
    <t>a1V3p000006h2xoEAA</t>
  </si>
  <si>
    <t>a1V3p000006h2xpEAA</t>
  </si>
  <si>
    <t>a1V3p000006h2xqEAA</t>
  </si>
  <si>
    <t>a1V3p000006h2xrEAA</t>
  </si>
  <si>
    <t>a1V3p000006h2xsEAA</t>
  </si>
  <si>
    <t>a1V3p000006h2xtEAA</t>
  </si>
  <si>
    <t>a1V3p000006h2xuEAA</t>
  </si>
  <si>
    <t>a1V3p000006h2xvEAA</t>
  </si>
  <si>
    <t>a1V3p000006h2xwEAA</t>
  </si>
  <si>
    <t>a1V3p000006h2xxEAA</t>
  </si>
  <si>
    <t>a1V3p000006h2xyEAA</t>
  </si>
  <si>
    <t>a1V3p000006h2xzEAA</t>
  </si>
  <si>
    <t>a1V3p000006h2y0EAA</t>
  </si>
  <si>
    <t>a1V3p000006h2y1EAA</t>
  </si>
  <si>
    <t>a1V3p000006h2y2EAA</t>
  </si>
  <si>
    <t>a1V3p000006h2y3EAA</t>
  </si>
  <si>
    <t>a1V3p000006h2y4EAA</t>
  </si>
  <si>
    <t>a1V3p000006h2y5EAA</t>
  </si>
  <si>
    <t>a1V3p000006h2y6EAA</t>
  </si>
  <si>
    <t>a1V3p000006h2y7EAA</t>
  </si>
  <si>
    <t>a1V3p000006h2y8EAA</t>
  </si>
  <si>
    <t>a1V3p000006h2y9EAA</t>
  </si>
  <si>
    <t>Impact Indicator Disaggregation</t>
  </si>
  <si>
    <t>Disaggregation</t>
  </si>
  <si>
    <t>a1G3p000005dHa5EAE</t>
  </si>
  <si>
    <t>a1G3p000005dHa6EAE</t>
  </si>
  <si>
    <t>a1G3p000005dHa7EAE</t>
  </si>
  <si>
    <t>a1G3p000005dHa8EAE</t>
  </si>
  <si>
    <t>a1G3p000005dHa9EAE</t>
  </si>
  <si>
    <t>a1G3p000005dHaAEAU</t>
  </si>
  <si>
    <t>a1G3p000005dHaBEAU</t>
  </si>
  <si>
    <t>a1G3p000005dHaCEAU</t>
  </si>
  <si>
    <t>a1G3p000005dHaDEAU</t>
  </si>
  <si>
    <t>a1G3p000005dHaEEAU</t>
  </si>
  <si>
    <t>a1G3p000005dHaFEAU</t>
  </si>
  <si>
    <t>a1G3p000005dHaGEAU</t>
  </si>
  <si>
    <t>a1G3p000005dHaHEAU</t>
  </si>
  <si>
    <t>a1G3p000005dHaIEAU</t>
  </si>
  <si>
    <t>a1G3p000005dHaJEAU</t>
  </si>
  <si>
    <t>a1G3p000005dHaKEAU</t>
  </si>
  <si>
    <t>a1G3p000005dHaLEAU</t>
  </si>
  <si>
    <t>a1G3p000005dHaMEAU</t>
  </si>
  <si>
    <t>a1G3p000005dHaNEAU</t>
  </si>
  <si>
    <t>a1G3p000005dHaOEAU</t>
  </si>
  <si>
    <t>a1G3p000005dHaPEAU</t>
  </si>
  <si>
    <t>a1G3p000005dHaQEAU</t>
  </si>
  <si>
    <t>a1G3p000005dHaREAU</t>
  </si>
  <si>
    <t>a1G3p000005dHaSEAU</t>
  </si>
  <si>
    <t>a1G3p000005dHaTEAU</t>
  </si>
  <si>
    <t>a1G3p000005dHaUEAU</t>
  </si>
  <si>
    <t>a1G3p000005dHaVEAU</t>
  </si>
  <si>
    <t>a1G3p000005dHaWEAU</t>
  </si>
  <si>
    <t>a1G3p000005dHaXEAU</t>
  </si>
  <si>
    <t>a1G3p000005dHaYEAU</t>
  </si>
  <si>
    <t>a1G3p000005dHaZEAU</t>
  </si>
  <si>
    <t>a1G3p000005dHaaEAE</t>
  </si>
  <si>
    <t>a1G3p000005dHabEAE</t>
  </si>
  <si>
    <t>a1G3p000005dHacEAE</t>
  </si>
  <si>
    <t>a1G3p000005dHadEAE</t>
  </si>
  <si>
    <t>a1G3p000005dHaeEAE</t>
  </si>
  <si>
    <t>a1G3p000005dHafEAE</t>
  </si>
  <si>
    <t>a1G3p000005dHagEAE</t>
  </si>
  <si>
    <t>a1G3p000005dHahEAE</t>
  </si>
  <si>
    <t>a1G3p000005dHaiEAE</t>
  </si>
  <si>
    <t>a1G3p000005dHajEAE</t>
  </si>
  <si>
    <t>a1G3p000005dHakEAE</t>
  </si>
  <si>
    <t>a1G3p000005dHalEAE</t>
  </si>
  <si>
    <t>a1G3p000005dHamEAE</t>
  </si>
  <si>
    <t>a1G3p000005dHanEAE</t>
  </si>
  <si>
    <t>a1G3p000005dHaoEAE</t>
  </si>
  <si>
    <t>a1G3p000005dHapEAE</t>
  </si>
  <si>
    <t>a1G3p000005dHaqEAE</t>
  </si>
  <si>
    <t>a1G3p000005dHarEAE</t>
  </si>
  <si>
    <t>a1G3p000005dHasEAE</t>
  </si>
  <si>
    <t>a1G3p000005dHatEAE</t>
  </si>
  <si>
    <t>a1G3p000005dHauEAE</t>
  </si>
  <si>
    <t>a1G3p000005dHavEAE</t>
  </si>
  <si>
    <t>a1G3p000005dHawEAE</t>
  </si>
  <si>
    <t>a1G3p000005dHaxEAE</t>
  </si>
  <si>
    <t>a1G3p000005dHayEAE</t>
  </si>
  <si>
    <t>a1G3p000005dHazEAE</t>
  </si>
  <si>
    <t>a1G3p000005dHb0EAE</t>
  </si>
  <si>
    <t>a1G3p000005dHb1EAE</t>
  </si>
  <si>
    <t>a1G3p000005dHb2EAE</t>
  </si>
  <si>
    <t>a1G3p000005dHb3EAE</t>
  </si>
  <si>
    <t>a1G3p000005dHb4EAE</t>
  </si>
  <si>
    <t>a1G3p000005dHb5EAE</t>
  </si>
  <si>
    <t>a1G3p000005dHb6EAE</t>
  </si>
  <si>
    <t>a1G3p000005dHb7EAE</t>
  </si>
  <si>
    <t>a1G3p000005dHb8EAE</t>
  </si>
  <si>
    <t>a1G3p000005dHb9EAE</t>
  </si>
  <si>
    <t>a1G3p000005dHbAEAU</t>
  </si>
  <si>
    <t>a1G3p000005dHbBEAU</t>
  </si>
  <si>
    <t>a1G3p000005dHbCEAU</t>
  </si>
  <si>
    <t>a1G3p000005dHbDEAU</t>
  </si>
  <si>
    <t>a1G3p000005dHbEEAU</t>
  </si>
  <si>
    <t>a1G3p000005dHbFEAU</t>
  </si>
  <si>
    <t>a1G3p000005dHbGEAU</t>
  </si>
  <si>
    <t>a1G3p000005dHbHEAU</t>
  </si>
  <si>
    <t>a1G3p000005dHbIEAU</t>
  </si>
  <si>
    <t>a1G3p000005dHbJEAU</t>
  </si>
  <si>
    <t>a1G3p000005dHbKEAU</t>
  </si>
  <si>
    <t>a1G3p000005dHbLEAU</t>
  </si>
  <si>
    <t>a1G3p000005dHbMEAU</t>
  </si>
  <si>
    <t>a1G3p000005dHbNEAU</t>
  </si>
  <si>
    <t>a1G3p000005dHbOEAU</t>
  </si>
  <si>
    <t>a1G3p000005dHbPEAU</t>
  </si>
  <si>
    <t>a1G3p000005dHbQEAU</t>
  </si>
  <si>
    <t>a1G3p000005dHbREAU</t>
  </si>
  <si>
    <t>a1G3p000005dHbSEAU</t>
  </si>
  <si>
    <t>a1G3p000005dHbTEAU</t>
  </si>
  <si>
    <t>a1G3p000005dHbUEAU</t>
  </si>
  <si>
    <t>a1G3p000005dHbVEAU</t>
  </si>
  <si>
    <t>a1G3p000005dHbWEAU</t>
  </si>
  <si>
    <t>a1G3p000005dHbXEAU</t>
  </si>
  <si>
    <t>a1G3p000005dHbYEAU</t>
  </si>
  <si>
    <t>a1G3p000005dHbZEAU</t>
  </si>
  <si>
    <t>a1G3p000005dHbaEAE</t>
  </si>
  <si>
    <t>a1G3p000005dHbbEAE</t>
  </si>
  <si>
    <t>a1G3p000005dHbcEAE</t>
  </si>
  <si>
    <t>a1G3p000005dHbdEAE</t>
  </si>
  <si>
    <t>a1G3p000005dHbeEAE</t>
  </si>
  <si>
    <t>a1G3p000005dHbfEAE</t>
  </si>
  <si>
    <t>a1G3p000005dHbgEAE</t>
  </si>
  <si>
    <t>a1G3p000005dHbhEAE</t>
  </si>
  <si>
    <t>a1G3p000005dHbiEAE</t>
  </si>
  <si>
    <t>a1G3p000005dHbjEAE</t>
  </si>
  <si>
    <t>a1G3p000005dHbkEAE</t>
  </si>
  <si>
    <t>a1G3p000005dHblEAE</t>
  </si>
  <si>
    <t>a1G3p000005dHbmEAE</t>
  </si>
  <si>
    <t>a1G3p000005dHbnEAE</t>
  </si>
  <si>
    <t>a1G3p000005dHboEAE</t>
  </si>
  <si>
    <t>a1G3p000005dHbpEAE</t>
  </si>
  <si>
    <t>a1G3p000005dHbqEAE</t>
  </si>
  <si>
    <t>a1G3p000005dHbrEAE</t>
  </si>
  <si>
    <t>a1G3p000005dHbsEAE</t>
  </si>
  <si>
    <t>a1G3p000005dHbtEAE</t>
  </si>
  <si>
    <t>a1G3p000005dHbuEAE</t>
  </si>
  <si>
    <t>a1G3p000005dHbvEAE</t>
  </si>
  <si>
    <t>a1G3p000005dHbwEAE</t>
  </si>
  <si>
    <t>a1G3p000005dHbxEAE</t>
  </si>
  <si>
    <t>a1G3p000005dHbyEAE</t>
  </si>
  <si>
    <t>a1G3p000005dHbzEAE</t>
  </si>
  <si>
    <t>a1G3p000005dHc0EAE</t>
  </si>
  <si>
    <t>a1G3p000005dHc1EAE</t>
  </si>
  <si>
    <t>a1G3p000005dHc2EAE</t>
  </si>
  <si>
    <t>a1G3p000005dHc3EAE</t>
  </si>
  <si>
    <t>a1G3p000005dHc4EAE</t>
  </si>
  <si>
    <t>a1G3p000005dHc5EAE</t>
  </si>
  <si>
    <t>a1G3p000005dHc6EAE</t>
  </si>
  <si>
    <t>a1G3p000005dHc7EAE</t>
  </si>
  <si>
    <t>a1G3p000005dHc8EAE</t>
  </si>
  <si>
    <t>a1G3p000005dHc9EAE</t>
  </si>
  <si>
    <t>a1G3p000005dHcAEAU</t>
  </si>
  <si>
    <t>a1G3p000005dHcBEAU</t>
  </si>
  <si>
    <t>a1G3p000005dHcCEAU</t>
  </si>
  <si>
    <t>a1G3p000005dHcDEAU</t>
  </si>
  <si>
    <t>a1G3p000005dHcEEAU</t>
  </si>
  <si>
    <t>a1G3p000005dHcFEAU</t>
  </si>
  <si>
    <t>a1G3p000005dHcGEAU</t>
  </si>
  <si>
    <t>a1G3p000005dHcHEAU</t>
  </si>
  <si>
    <t>a1G3p000005dHcIEAU</t>
  </si>
  <si>
    <t>a1G3p000005dHcJEAU</t>
  </si>
  <si>
    <t>a1G3p000005dHcKEAU</t>
  </si>
  <si>
    <t>a1G3p000005dHcLEAU</t>
  </si>
  <si>
    <t>a1G3p000005dHcMEAU</t>
  </si>
  <si>
    <t>a1G3p000005dHcNEAU</t>
  </si>
  <si>
    <t>a1G3p000005dHcOEAU</t>
  </si>
  <si>
    <t>a1G3p000005dHcPEAU</t>
  </si>
  <si>
    <t>a1G3p000005dHcQEAU</t>
  </si>
  <si>
    <t>a1G3p000005dHcREAU</t>
  </si>
  <si>
    <t>a1G3p000005dHcSEAU</t>
  </si>
  <si>
    <t>a1G3p000005dHcTEAU</t>
  </si>
  <si>
    <t>a1G3p000005dHcUEAU</t>
  </si>
  <si>
    <t>Coverage Indicator Disaggregation</t>
  </si>
  <si>
    <t>a163p000004VjkhAAC</t>
  </si>
  <si>
    <t>a163p000004VjkiAAC</t>
  </si>
  <si>
    <t>a163p000004VjkjAAC</t>
  </si>
  <si>
    <t>a163p000004VjkkAAC</t>
  </si>
  <si>
    <t>a163p000004VjklAAC</t>
  </si>
  <si>
    <t>a163p000004VjkmAAC</t>
  </si>
  <si>
    <t>a163p000004VjknAAC</t>
  </si>
  <si>
    <t>a163p000004VjkoAAC</t>
  </si>
  <si>
    <t>a163p000004VjkpAAC</t>
  </si>
  <si>
    <t>a163p000004VjkqAAC</t>
  </si>
  <si>
    <t>a163p000004VjkrAAC</t>
  </si>
  <si>
    <t>a163p000004VjksAAC</t>
  </si>
  <si>
    <t>a163p000004VjktAAC</t>
  </si>
  <si>
    <t>a163p000004VjkuAAC</t>
  </si>
  <si>
    <t>a163p000004VjkvAAC</t>
  </si>
  <si>
    <t>a163p000004VjkwAAC</t>
  </si>
  <si>
    <t>a163p000004VjkxAAC</t>
  </si>
  <si>
    <t>a163p000004VjkyAAC</t>
  </si>
  <si>
    <t>a163p000004VjkzAAC</t>
  </si>
  <si>
    <t>a163p000004Vjl0AAC</t>
  </si>
  <si>
    <t>a163p000004Vjl1AAC</t>
  </si>
  <si>
    <t>a163p000004Vjl2AAC</t>
  </si>
  <si>
    <t>a163p000004Vjl3AAC</t>
  </si>
  <si>
    <t>a163p000004Vjl4AAC</t>
  </si>
  <si>
    <t>a163p000004Vjl5AAC</t>
  </si>
  <si>
    <t>a163p000004Vjl6AAC</t>
  </si>
  <si>
    <t>a163p000004Vjl7AAC</t>
  </si>
  <si>
    <t>a163p000004Vjl8AAC</t>
  </si>
  <si>
    <t>a163p000004Vjl9AAC</t>
  </si>
  <si>
    <t>a163p000004VjlAAAS</t>
  </si>
  <si>
    <t>a163p000004VjlBAAS</t>
  </si>
  <si>
    <t>a163p000004VjlCAAS</t>
  </si>
  <si>
    <t>a163p000004VjlDAAS</t>
  </si>
  <si>
    <t>a163p000004VjlEAAS</t>
  </si>
  <si>
    <t>a163p000004VjlFAAS</t>
  </si>
  <si>
    <t>a163p000004VjlGAAS</t>
  </si>
  <si>
    <t>a163p000004VjlHAAS</t>
  </si>
  <si>
    <t>a163p000004VjlIAAS</t>
  </si>
  <si>
    <t>a163p000004VjlJAAS</t>
  </si>
  <si>
    <t>a163p000004VjlKAAS</t>
  </si>
  <si>
    <t>a163p000004VjlLAAS</t>
  </si>
  <si>
    <t>a163p000004VjlMAAS</t>
  </si>
  <si>
    <t>a163p000004VjlNAAS</t>
  </si>
  <si>
    <t>a163p000004VjlOAAS</t>
  </si>
  <si>
    <t>a163p000004VjlPAAS</t>
  </si>
  <si>
    <t>a163p000004VjlQAAS</t>
  </si>
  <si>
    <t>a163p000004VjlRAAS</t>
  </si>
  <si>
    <t>a163p000004VjlSAAS</t>
  </si>
  <si>
    <t>a163p000004VjlTAAS</t>
  </si>
  <si>
    <t>a163p000004VjlUAAS</t>
  </si>
  <si>
    <t>a163p000004VjlVAAS</t>
  </si>
  <si>
    <t>a163p000004VjlWAAS</t>
  </si>
  <si>
    <t>a163p000004VjlXAAS</t>
  </si>
  <si>
    <t>a163p000004VjlYAAS</t>
  </si>
  <si>
    <t>a163p000004VjlZAAS</t>
  </si>
  <si>
    <t>a163p000004VjlaAAC</t>
  </si>
  <si>
    <t>a163p000004VjlbAAC</t>
  </si>
  <si>
    <t>a163p000004VjlcAAC</t>
  </si>
  <si>
    <t>a163p000004VjldAAC</t>
  </si>
  <si>
    <t>a163p000004VjleAAC</t>
  </si>
  <si>
    <t>a163p000004VjlfAAC</t>
  </si>
  <si>
    <t>a163p000004VjlgAAC</t>
  </si>
  <si>
    <t>a163p000004VjlhAAC</t>
  </si>
  <si>
    <t>a163p000004VjliAAC</t>
  </si>
  <si>
    <t>a163p000004VjljAAC</t>
  </si>
  <si>
    <t>a163p000004VjlkAAC</t>
  </si>
  <si>
    <t>a163p000004VjllAAC</t>
  </si>
  <si>
    <t>a163p000004VjlmAAC</t>
  </si>
  <si>
    <t>a163p000004VjlnAAC</t>
  </si>
  <si>
    <t>a163p000004VjloAAC</t>
  </si>
  <si>
    <t>a163p000004VjlpAAC</t>
  </si>
  <si>
    <t>a163p000004VjlqAAC</t>
  </si>
  <si>
    <t>a163p000004VjlrAAC</t>
  </si>
  <si>
    <t>a163p000004VjlsAAC</t>
  </si>
  <si>
    <t>a163p000004VjltAAC</t>
  </si>
  <si>
    <t>a163p000004VjluAAC</t>
  </si>
  <si>
    <t>a163p000004VjlvAAC</t>
  </si>
  <si>
    <t>a163p000004VjlwAAC</t>
  </si>
  <si>
    <t>a163p000004VjlxAAC</t>
  </si>
  <si>
    <t>a163p000004VjlyAAC</t>
  </si>
  <si>
    <t>a163p000004VjlzAAC</t>
  </si>
  <si>
    <t>a163p000004Vjm0AAC</t>
  </si>
  <si>
    <t>a163p000004Vjm1AAC</t>
  </si>
  <si>
    <t>a163p000004Vjm2AAC</t>
  </si>
  <si>
    <t>a163p000004Vjm3AAC</t>
  </si>
  <si>
    <t>a163p000004Vjm4AAC</t>
  </si>
  <si>
    <t>a163p000004Vjm5AAC</t>
  </si>
  <si>
    <t>a163p000004Vjm6AAC</t>
  </si>
  <si>
    <t>a163p000004Vjm7AAC</t>
  </si>
  <si>
    <t>a163p000004Vjm8AAC</t>
  </si>
  <si>
    <t>a163p000004Vjm9AAC</t>
  </si>
  <si>
    <t>a163p000004VjmAAAS</t>
  </si>
  <si>
    <t>a163p000004VjmBAAS</t>
  </si>
  <si>
    <t>a163p000004VjmCAAS</t>
  </si>
  <si>
    <t>a163p000004VjmDAAS</t>
  </si>
  <si>
    <t>a163p000004VjmEAAS</t>
  </si>
  <si>
    <t>a163p000004VjmFAAS</t>
  </si>
  <si>
    <t>a163p000004VjmGAAS</t>
  </si>
  <si>
    <t>a163p000004VjmHAAS</t>
  </si>
  <si>
    <t>a163p000004VjmIAAS</t>
  </si>
  <si>
    <t>a163p000004VjmJAAS</t>
  </si>
  <si>
    <t>a163p000004VjmKAAS</t>
  </si>
  <si>
    <t>a163p000004VjmLAAS</t>
  </si>
  <si>
    <t>a163p000004VjmMAAS</t>
  </si>
  <si>
    <t>a163p000004VjmNAAS</t>
  </si>
  <si>
    <t>a163p000004VjmOAAS</t>
  </si>
  <si>
    <t>a163p000004VjmPAAS</t>
  </si>
  <si>
    <t>a163p000004VjmQAAS</t>
  </si>
  <si>
    <t>a163p000004VjmRAAS</t>
  </si>
  <si>
    <t>a163p000004VjmSAAS</t>
  </si>
  <si>
    <t>a163p000004VjmTAAS</t>
  </si>
  <si>
    <t>a163p000004VjmUAAS</t>
  </si>
  <si>
    <t>a163p000004VjmVAAS</t>
  </si>
  <si>
    <t>a163p000004VjmWAAS</t>
  </si>
  <si>
    <t>a163p000004VjmXAAS</t>
  </si>
  <si>
    <t>a163p000004VjmYAAS</t>
  </si>
  <si>
    <t>a163p000004VjmZAAS</t>
  </si>
  <si>
    <t>a163p000004VjmaAAC</t>
  </si>
  <si>
    <t>a163p000004VjmbAAC</t>
  </si>
  <si>
    <t>a163p000004VjmcAAC</t>
  </si>
  <si>
    <t>a163p000004VjmdAAC</t>
  </si>
  <si>
    <t>a163p000004VjmeAAC</t>
  </si>
  <si>
    <t>a163p000004VjmfAAC</t>
  </si>
  <si>
    <t>a163p000004VjmgAAC</t>
  </si>
  <si>
    <t>a163p000004VjmhAAC</t>
  </si>
  <si>
    <t>a163p000004VjmiAAC</t>
  </si>
  <si>
    <t>a163p000004VjmjAAC</t>
  </si>
  <si>
    <t>a163p000004VjmkAAC</t>
  </si>
  <si>
    <t>a163p000004VjmlAAC</t>
  </si>
  <si>
    <t>a163p000004VjmmAAC</t>
  </si>
  <si>
    <t>a163p000004VjmnAAC</t>
  </si>
  <si>
    <t>a163p000004VjmoAAC</t>
  </si>
  <si>
    <t>a163p000004VjmpAAC</t>
  </si>
  <si>
    <t>a163p000004VjmqAAC</t>
  </si>
  <si>
    <t>a163p000004VjmrAAC</t>
  </si>
  <si>
    <t>a163p000004VjmsAAC</t>
  </si>
  <si>
    <t>a163p000004VjmtAAC</t>
  </si>
  <si>
    <t>a163p000004VjmuAAC</t>
  </si>
  <si>
    <t>a163p000004VjmvAAC</t>
  </si>
  <si>
    <t>a163p000004VjmwAAC</t>
  </si>
  <si>
    <t>a163p000004VjmxAAC</t>
  </si>
  <si>
    <t>a163p000004VjmyAAC</t>
  </si>
  <si>
    <t>a163p000004VjmzAAC</t>
  </si>
  <si>
    <t>a163p000004Vjn0AAC</t>
  </si>
  <si>
    <t>a163p000004Vjn1AAC</t>
  </si>
  <si>
    <t>a163p000004Vjn2AAC</t>
  </si>
  <si>
    <t>a163p000004Vjn3AAC</t>
  </si>
  <si>
    <t>a163p000004Vjn4AAC</t>
  </si>
  <si>
    <t>a163p000004Vjn5AAC</t>
  </si>
  <si>
    <t>a163p000004Vjn6AAC</t>
  </si>
  <si>
    <t>a163p000004Vjn7AAC</t>
  </si>
  <si>
    <t>a163p000004Vjn8AAC</t>
  </si>
  <si>
    <t>a163p000004Vjn9AAC</t>
  </si>
  <si>
    <t>a163p000004VjnAAAS</t>
  </si>
  <si>
    <t>a163p000004VjnBAAS</t>
  </si>
  <si>
    <t>a163p000004VjnCAAS</t>
  </si>
  <si>
    <t>a163p000004VjnDAAS</t>
  </si>
  <si>
    <t>a163p000004VjnEAAS</t>
  </si>
  <si>
    <t>a163p000004VjnFAAS</t>
  </si>
  <si>
    <t>a163p000004VjnGAAS</t>
  </si>
  <si>
    <t>a163p000004VjnHAAS</t>
  </si>
  <si>
    <t>a163p000004VjnIAAS</t>
  </si>
  <si>
    <t>a163p000004VjnJAAS</t>
  </si>
  <si>
    <t>a163p000004VjnKAAS</t>
  </si>
  <si>
    <t>a163p000004VjnLAAS</t>
  </si>
  <si>
    <t>a163p000004VjnMAAS</t>
  </si>
  <si>
    <t>a163p000004VjnNAAS</t>
  </si>
  <si>
    <t>a163p000004VjnOAAS</t>
  </si>
  <si>
    <t>a163p000004VjnPAAS</t>
  </si>
  <si>
    <t>a163p000004VjnQAAS</t>
  </si>
  <si>
    <t>a163p000004VjnRAAS</t>
  </si>
  <si>
    <t>a163p000004VjnSAAS</t>
  </si>
  <si>
    <t>a163p000004VjnTAAS</t>
  </si>
  <si>
    <t>a163p000004VjnUAAS</t>
  </si>
  <si>
    <t>a163p000004VjnVAAS</t>
  </si>
  <si>
    <t>a163p000004VjnWAAS</t>
  </si>
  <si>
    <t>a163p000004VjnXAAS</t>
  </si>
  <si>
    <t>a163p000004VjnYAAS</t>
  </si>
  <si>
    <t>a163p000004VjnZAAS</t>
  </si>
  <si>
    <t>a163p000004VjnaAAC</t>
  </si>
  <si>
    <t>a163p000004VjnbAAC</t>
  </si>
  <si>
    <t>a163p000004VjncAAC</t>
  </si>
  <si>
    <t>a163p000004VjndAAC</t>
  </si>
  <si>
    <t>a163p000004VjneAAC</t>
  </si>
  <si>
    <t>a163p000004VjnfAAC</t>
  </si>
  <si>
    <t>a163p000004VjngAAC</t>
  </si>
  <si>
    <t>a163p000004VjnhAAC</t>
  </si>
  <si>
    <t>a163p000004VjniAAC</t>
  </si>
  <si>
    <t>a163p000004VjnjAAC</t>
  </si>
  <si>
    <t>a163p000004VjnkAAC</t>
  </si>
  <si>
    <t>a163p000004VjnlAAC</t>
  </si>
  <si>
    <t>a163p000004VjnmAAC</t>
  </si>
  <si>
    <t>a163p000004VjnnAAC</t>
  </si>
  <si>
    <t>a163p000004VjnoAAC</t>
  </si>
  <si>
    <t>a163p000004VjnpAAC</t>
  </si>
  <si>
    <t>a163p000004VjnqAAC</t>
  </si>
  <si>
    <t>a163p000004VjnrAAC</t>
  </si>
  <si>
    <t>a163p000004VjnsAAC</t>
  </si>
  <si>
    <t>a163p000004VjntAAC</t>
  </si>
  <si>
    <t>a163p000004VjnuAAC</t>
  </si>
  <si>
    <t>a163p000004VjnvAAC</t>
  </si>
  <si>
    <t>a163p000004VjnwAAC</t>
  </si>
  <si>
    <t>a163p000004VjnxAAC</t>
  </si>
  <si>
    <t>a163p000004VjnyAAC</t>
  </si>
  <si>
    <t>a163p000004VjnzAAC</t>
  </si>
  <si>
    <t>a163p000004Vjo0AAC</t>
  </si>
  <si>
    <t>a163p000004Vjo1AAC</t>
  </si>
  <si>
    <t>a163p000004Vjo2AAC</t>
  </si>
  <si>
    <t>a163p000004Vjo3AAC</t>
  </si>
  <si>
    <t>a163p000004Vjo4AAC</t>
  </si>
  <si>
    <t>a163p000004Vjo5AAC</t>
  </si>
  <si>
    <t>a163p000004Vjo6AAC</t>
  </si>
  <si>
    <t>a163p000004Vjo7AAC</t>
  </si>
  <si>
    <t>a163p000004Vjo8AAC</t>
  </si>
  <si>
    <t>a163p000004Vjo9AAC</t>
  </si>
  <si>
    <t>a163p000004VjoAAAS</t>
  </si>
  <si>
    <t>a163p000004VjoBAAS</t>
  </si>
  <si>
    <t>a163p000004VjoCAAS</t>
  </si>
  <si>
    <t>a163p000004VjoDAAS</t>
  </si>
  <si>
    <t>a163p000004VjoEAAS</t>
  </si>
  <si>
    <t>a163p000004VjoFAAS</t>
  </si>
  <si>
    <t>a163p000004VjoGAAS</t>
  </si>
  <si>
    <t>a163p000004VjoHAAS</t>
  </si>
  <si>
    <t>a163p000004VjoIAAS</t>
  </si>
  <si>
    <t>a163p000004VjoJAAS</t>
  </si>
  <si>
    <t>a163p000004VjoKAAS</t>
  </si>
  <si>
    <t>a163p000004VjoLAAS</t>
  </si>
  <si>
    <t>a163p000004VjoMAAS</t>
  </si>
  <si>
    <t>a163p000004VjoNAAS</t>
  </si>
  <si>
    <t>a163p000004VjoOAAS</t>
  </si>
  <si>
    <t>a163p000004VjoPAAS</t>
  </si>
  <si>
    <t>a163p000004VjoQAAS</t>
  </si>
  <si>
    <t>a163p000004VjoRAAS</t>
  </si>
  <si>
    <t>a163p000004VjoSAAS</t>
  </si>
  <si>
    <t>a163p000004VjoTAAS</t>
  </si>
  <si>
    <t>a163p000004VjoUAAS</t>
  </si>
  <si>
    <t>a163p000004VjoVAAS</t>
  </si>
  <si>
    <t>a163p000004VjoWAAS</t>
  </si>
  <si>
    <t>a163p000004VjoXAAS</t>
  </si>
  <si>
    <t>a163p000004VjoYAAS</t>
  </si>
  <si>
    <t>a163p000004VjoZAAS</t>
  </si>
  <si>
    <t>a163p000004VjoaAAC</t>
  </si>
  <si>
    <t>a163p000004VjobAAC</t>
  </si>
  <si>
    <t>a163p000004VjocAAC</t>
  </si>
  <si>
    <t>a163p000004VjodAAC</t>
  </si>
  <si>
    <t>a163p000004VjoeAAC</t>
  </si>
  <si>
    <t>a163p000004VjofAAC</t>
  </si>
  <si>
    <t>a163p000004VjogAAC</t>
  </si>
  <si>
    <t>a163p000004VjohAAC</t>
  </si>
  <si>
    <t>a163p000004VjoiAAC</t>
  </si>
  <si>
    <t>a163p000004VjojAAC</t>
  </si>
  <si>
    <t>a163p000004VjokAAC</t>
  </si>
  <si>
    <t>a163p000004VjolAAC</t>
  </si>
  <si>
    <t>a163p000004VjomAAC</t>
  </si>
  <si>
    <t>a163p000004VjonAAC</t>
  </si>
  <si>
    <t>a163p000004VjooAAC</t>
  </si>
  <si>
    <t>a163p000004VjopAAC</t>
  </si>
  <si>
    <t>a163p000004VjoqAAC</t>
  </si>
  <si>
    <t>a163p000004VjorAAC</t>
  </si>
  <si>
    <t>a163p000004VjosAAC</t>
  </si>
  <si>
    <t>a163p000004VjotAAC</t>
  </si>
  <si>
    <t>a163p000004VjouAAC</t>
  </si>
  <si>
    <t>a163p000004VjovAAC</t>
  </si>
  <si>
    <t>a163p000004VjowAAC</t>
  </si>
  <si>
    <t>a163p000004VjoxAAC</t>
  </si>
  <si>
    <t>a163p000004VjoyAAC</t>
  </si>
  <si>
    <t>a163p000004VjozAAC</t>
  </si>
  <si>
    <t>a163p000004Vjp0AAC</t>
  </si>
  <si>
    <t>a163p000004Vjp1AAC</t>
  </si>
  <si>
    <t>a163p000004Vjp2AAC</t>
  </si>
  <si>
    <t>a163p000004Vjp3AAC</t>
  </si>
  <si>
    <t>a163p000004Vjp4AAC</t>
  </si>
  <si>
    <t>a163p000004Vjp5AAC</t>
  </si>
  <si>
    <t>a163p000004Vjp6AAC</t>
  </si>
  <si>
    <t>a163p000004Vjp7AAC</t>
  </si>
  <si>
    <t>a163p000004Vjp8AAC</t>
  </si>
  <si>
    <t>a163p000004Vjp9AAC</t>
  </si>
  <si>
    <t>a163p000004VjpAAAS</t>
  </si>
  <si>
    <t>a163p000004VjpBAAS</t>
  </si>
  <si>
    <t>a163p000004VjpCAAS</t>
  </si>
  <si>
    <t>a163p000004VjpDAAS</t>
  </si>
  <si>
    <t>a163p000004VjpEAAS</t>
  </si>
  <si>
    <t>a163p000004VjpFAAS</t>
  </si>
  <si>
    <t>a163p000004VjpGAAS</t>
  </si>
  <si>
    <t>a163p000004VjpHAAS</t>
  </si>
  <si>
    <t>a163p000004VjpIAAS</t>
  </si>
  <si>
    <t>a163p000004VjpJAAS</t>
  </si>
  <si>
    <t>a163p000004VjpKAAS</t>
  </si>
  <si>
    <t>a163p000004VjpLAAS</t>
  </si>
  <si>
    <t>a163p000004VjpMAAS</t>
  </si>
  <si>
    <t>a163p000004VjpNAAS</t>
  </si>
  <si>
    <t>a163p000004VjpOAAS</t>
  </si>
  <si>
    <t>a163p000004VjpPAAS</t>
  </si>
  <si>
    <t>a163p000004VjpQAAS</t>
  </si>
  <si>
    <t>a163p000004VjpRAAS</t>
  </si>
  <si>
    <t>a163p000004VjpSAAS</t>
  </si>
  <si>
    <t>a163p000004VjpTAAS</t>
  </si>
  <si>
    <t>a163p000004VjpUAAS</t>
  </si>
  <si>
    <t>a163p000004VjpVAAS</t>
  </si>
  <si>
    <t>a163p000004VjpWAAS</t>
  </si>
  <si>
    <t>a163p000004VjpXAAS</t>
  </si>
  <si>
    <t>a163p000004VjpYAAS</t>
  </si>
  <si>
    <t>a163p000004VjpZAAS</t>
  </si>
  <si>
    <t>a163p000004VjpaAAC</t>
  </si>
  <si>
    <t>a163p000004VjpbAAC</t>
  </si>
  <si>
    <t>a163p000004VjpcAAC</t>
  </si>
  <si>
    <t>a163p000004VjpdAAC</t>
  </si>
  <si>
    <t>a163p000004VjpeAAC</t>
  </si>
  <si>
    <t>a163p000004VjpfAAC</t>
  </si>
  <si>
    <t>a163p000004VjpgAAC</t>
  </si>
  <si>
    <t>a163p000004VjphAAC</t>
  </si>
  <si>
    <t>a163p000004VjpiAAC</t>
  </si>
  <si>
    <t>a163p000004VjpjAAC</t>
  </si>
  <si>
    <t>a163p000004VjpkAAC</t>
  </si>
  <si>
    <t>a163p000004VjplAAC</t>
  </si>
  <si>
    <t>a163p000004VjpmAAC</t>
  </si>
  <si>
    <t>a163p000004VjpnAAC</t>
  </si>
  <si>
    <t>a163p000004VjpoAAC</t>
  </si>
  <si>
    <t>a163p000004VjppAAC</t>
  </si>
  <si>
    <t>a163p000004VjpqAAC</t>
  </si>
  <si>
    <t>a163p000004VjprAAC</t>
  </si>
  <si>
    <t>a163p000004VjpsAAC</t>
  </si>
  <si>
    <t>a163p000004VjptAAC</t>
  </si>
  <si>
    <t>a163p000004VjpuAAC</t>
  </si>
  <si>
    <t>a163p000004VjpvAAC</t>
  </si>
  <si>
    <t>a163p000004VjpwAAC</t>
  </si>
  <si>
    <t>a163p000004VjpxAAC</t>
  </si>
  <si>
    <t>a163p000004VjpyAAC</t>
  </si>
  <si>
    <t>a163p000004VjpzAAC</t>
  </si>
  <si>
    <t>a163p000004Vjq0AAC</t>
  </si>
  <si>
    <t>a163p000004Vjq1AAC</t>
  </si>
  <si>
    <t>a163p000004Vjq2AAC</t>
  </si>
  <si>
    <t>a163p000004Vjq3AAC</t>
  </si>
  <si>
    <t>a163p000004Vjq4AAC</t>
  </si>
  <si>
    <t>a163p000004Vjq5AAC</t>
  </si>
  <si>
    <t>a163p000004Vjq6AAC</t>
  </si>
  <si>
    <t>a163p000004Vjq7AAC</t>
  </si>
  <si>
    <t>a163p000004Vjq8AAC</t>
  </si>
  <si>
    <t>a163p000004Vjq9AAC</t>
  </si>
  <si>
    <t>a163p000004VjqAAAS</t>
  </si>
  <si>
    <t>a163p000004VjqBAAS</t>
  </si>
  <si>
    <t>a163p000004VjqCAAS</t>
  </si>
  <si>
    <t>a163p000004VjqDAAS</t>
  </si>
  <si>
    <t>a163p000004VjqEAAS</t>
  </si>
  <si>
    <t>a163p000004VjqFAAS</t>
  </si>
  <si>
    <t>a163p000004VjqGAAS</t>
  </si>
  <si>
    <t>a163p000004VjqHAAS</t>
  </si>
  <si>
    <t>a163p000004VjqIAAS</t>
  </si>
  <si>
    <t>a163p000004VjqJAAS</t>
  </si>
  <si>
    <t>a163p000004VjqKAAS</t>
  </si>
  <si>
    <t>a163p000004VjqLAAS</t>
  </si>
  <si>
    <t>a163p000004VjqMAAS</t>
  </si>
  <si>
    <t>a163p000004VjqNAAS</t>
  </si>
  <si>
    <t>a163p000004VjqOAAS</t>
  </si>
  <si>
    <t>a163p000004VjqPAAS</t>
  </si>
  <si>
    <t>a163p000004VjqQAAS</t>
  </si>
  <si>
    <t>a163p000004VjqRAAS</t>
  </si>
  <si>
    <t>a163p000004VjqSAAS</t>
  </si>
  <si>
    <t>a163p000004VjqTAAS</t>
  </si>
  <si>
    <t>a163p000004VjqUAAS</t>
  </si>
  <si>
    <t>a163p000004VjqVAAS</t>
  </si>
  <si>
    <t>a163p000004VjqWAAS</t>
  </si>
  <si>
    <t>a163p000004VjqXAAS</t>
  </si>
  <si>
    <t>a163p000004VjqYAAS</t>
  </si>
  <si>
    <t>a163p000004VjqZAAS</t>
  </si>
  <si>
    <t>a163p000004VjqaAAC</t>
  </si>
  <si>
    <t>a163p000004VjqbAAC</t>
  </si>
  <si>
    <t>a163p000004VjqcAAC</t>
  </si>
  <si>
    <t>a163p000004VjqdAAC</t>
  </si>
  <si>
    <t>a163p000004VjqeAAC</t>
  </si>
  <si>
    <t>a163p000004VjqfAAC</t>
  </si>
  <si>
    <t>a163p000004VjqgAAC</t>
  </si>
  <si>
    <t>a163p000004VjqhAAC</t>
  </si>
  <si>
    <t>a163p000004VjqiAAC</t>
  </si>
  <si>
    <t>a163p000004VjqjAAC</t>
  </si>
  <si>
    <t>a163p000004VjqkAAC</t>
  </si>
  <si>
    <t>a163p000004VjqlAAC</t>
  </si>
  <si>
    <t>a163p000004VjqmAAC</t>
  </si>
  <si>
    <t>a163p000004VjqnAAC</t>
  </si>
  <si>
    <t>a163p000004VjqoAAC</t>
  </si>
  <si>
    <t>a163p000004VjqpAAC</t>
  </si>
  <si>
    <t>a163p000004VjqqAAC</t>
  </si>
  <si>
    <t>a163p000004VjqrAAC</t>
  </si>
  <si>
    <t>a163p000004VjqsAAC</t>
  </si>
  <si>
    <t>a163p000004VjqtAAC</t>
  </si>
  <si>
    <t>a163p000004VjquAAC</t>
  </si>
  <si>
    <t>a163p000004VjqvAAC</t>
  </si>
  <si>
    <t>a163p000004VjqwAAC</t>
  </si>
  <si>
    <t>a163p000004VjqxAAC</t>
  </si>
  <si>
    <t>a163p000004VjqyAAC</t>
  </si>
  <si>
    <t>a163p000004VjqzAAC</t>
  </si>
  <si>
    <t>a163p000004Vjr0AAC</t>
  </si>
  <si>
    <t>a163p000004Vjr1AAC</t>
  </si>
  <si>
    <t>a163p000004Vjr2AAC</t>
  </si>
  <si>
    <t>a163p000004Vjr3AAC</t>
  </si>
  <si>
    <t>a163p000004Vjr4AAC</t>
  </si>
  <si>
    <t>a163p000004Vjr5AAC</t>
  </si>
  <si>
    <t>a163p000004Vjr6AAC</t>
  </si>
  <si>
    <t>a163p000004Vjr7AAC</t>
  </si>
  <si>
    <t>a163p000004Vjr8AAC</t>
  </si>
  <si>
    <t>a163p000004Vjr9AAC</t>
  </si>
  <si>
    <t>a163p000004VjrAAAS</t>
  </si>
  <si>
    <t>a163p000004VjrBAAS</t>
  </si>
  <si>
    <t>a163p000004VjrCAAS</t>
  </si>
  <si>
    <t>a163p000004VjrDAAS</t>
  </si>
  <si>
    <t>a163p000004VjrEAAS</t>
  </si>
  <si>
    <t>a163p000004VjrFAAS</t>
  </si>
  <si>
    <t>a163p000004VjrGAAS</t>
  </si>
  <si>
    <t>a163p000004VjrHAAS</t>
  </si>
  <si>
    <t>a163p000004VjrIAAS</t>
  </si>
  <si>
    <t>a163p000004VjrJAAS</t>
  </si>
  <si>
    <t>a163p000004VjrKAAS</t>
  </si>
  <si>
    <t>a163p000004VjrLAAS</t>
  </si>
  <si>
    <t>a163p000004VjrMAAS</t>
  </si>
  <si>
    <t>a163p000004VjrNAAS</t>
  </si>
  <si>
    <t>a163p000004VjrOAAS</t>
  </si>
  <si>
    <t>a163p000004VjrPAAS</t>
  </si>
  <si>
    <t>a163p000004VjrQAAS</t>
  </si>
  <si>
    <t>a163p000004VjrRAAS</t>
  </si>
  <si>
    <t>a163p000004VjrSAAS</t>
  </si>
  <si>
    <t>a163p000004VjrTAAS</t>
  </si>
  <si>
    <t>a163p000004VjrUAAS</t>
  </si>
  <si>
    <t>a163p000004VjrVAAS</t>
  </si>
  <si>
    <t>a163p000004VjrWAAS</t>
  </si>
  <si>
    <t>a163p000004VjrXAAS</t>
  </si>
  <si>
    <t>a163p000004VjrYAAS</t>
  </si>
  <si>
    <t>a163p000004VjrZAAS</t>
  </si>
  <si>
    <t>a163p000004VjraAAC</t>
  </si>
  <si>
    <t>a163p000004VjrbAAC</t>
  </si>
  <si>
    <t>a163p000004VjrcAAC</t>
  </si>
  <si>
    <t>a163p000004VjrdAAC</t>
  </si>
  <si>
    <t>a163p000004VjreAAC</t>
  </si>
  <si>
    <t>a163p000004VjrfAAC</t>
  </si>
  <si>
    <t>a163p000004VjrgAAC</t>
  </si>
  <si>
    <t>a163p000004VjrhAAC</t>
  </si>
  <si>
    <t>a163p000004VjriAAC</t>
  </si>
  <si>
    <t>a163p000004VjrjAAC</t>
  </si>
  <si>
    <t>a163p000004VjrkAAC</t>
  </si>
  <si>
    <t>a163p000004VjrlAAC</t>
  </si>
  <si>
    <t>a163p000004VjrmAAC</t>
  </si>
  <si>
    <t>a163p000004VjrnAAC</t>
  </si>
  <si>
    <t>a163p000004VjroAAC</t>
  </si>
  <si>
    <t>a163p000004VjrpAAC</t>
  </si>
  <si>
    <t>a163p000004VjrqAAC</t>
  </si>
  <si>
    <t>a163p000004VjrrAAC</t>
  </si>
  <si>
    <t>a163p000004VjrsAAC</t>
  </si>
  <si>
    <t>a163p000004VjrtAAC</t>
  </si>
  <si>
    <t>a163p000004VjruAAC</t>
  </si>
  <si>
    <t>a163p000004VjrvAAC</t>
  </si>
  <si>
    <t>a163p000004VjrwAAC</t>
  </si>
  <si>
    <t>a163p000004VjrxAAC</t>
  </si>
  <si>
    <t>a163p000004VjryAAC</t>
  </si>
  <si>
    <t>a163p000004VjrzAAC</t>
  </si>
  <si>
    <t>a163p000004Vjs0AAC</t>
  </si>
  <si>
    <t>a163p000004Vjs1AAC</t>
  </si>
  <si>
    <t>a163p000004Vjs2AAC</t>
  </si>
  <si>
    <t>a163p000004Vjs3AAC</t>
  </si>
  <si>
    <t>a163p000004Vjs4AAC</t>
  </si>
  <si>
    <t>a163p000004Vjs5AAC</t>
  </si>
  <si>
    <t>a163p000004Vjs6AAC</t>
  </si>
  <si>
    <t>a163p000004Vjs7AAC</t>
  </si>
  <si>
    <t>a163p000004Vjs8AAC</t>
  </si>
  <si>
    <t>a163p000004Vjs9AAC</t>
  </si>
  <si>
    <t>a163p000004VjsAAAS</t>
  </si>
  <si>
    <t>a163p000004VjsBAAS</t>
  </si>
  <si>
    <t>a163p000004VjsCAAS</t>
  </si>
  <si>
    <t>a163p000004VjsDAAS</t>
  </si>
  <si>
    <t>a163p000004VjsEAAS</t>
  </si>
  <si>
    <t>a163p000004VjsFAAS</t>
  </si>
  <si>
    <t>a163p000004VjsGAAS</t>
  </si>
  <si>
    <t>a163p000004VjsHAAS</t>
  </si>
  <si>
    <t>a163p000004VjsIAAS</t>
  </si>
  <si>
    <t>a163p000004VjsJAAS</t>
  </si>
  <si>
    <t>a163p000004VjsKAAS</t>
  </si>
  <si>
    <t>a163p000004VjsLAAS</t>
  </si>
  <si>
    <t>a163p000004VjsMAAS</t>
  </si>
  <si>
    <t>a163p000004VjsNAAS</t>
  </si>
  <si>
    <t>a163p000004VjsOAAS</t>
  </si>
  <si>
    <t>a163p000004VjsPAAS</t>
  </si>
  <si>
    <t>a163p000004VjsQAAS</t>
  </si>
  <si>
    <t>a163p000004VjsRAAS</t>
  </si>
  <si>
    <t>a163p000004VjsSAAS</t>
  </si>
  <si>
    <t>a163p000004VjsTAAS</t>
  </si>
  <si>
    <t>a163p000004VjsUAAS</t>
  </si>
  <si>
    <t>a163p000004VjsVAAS</t>
  </si>
  <si>
    <t>a163p000004VjsWAAS</t>
  </si>
  <si>
    <t>a163p000004VjsXAAS</t>
  </si>
  <si>
    <t>a163p000004VjsYAAS</t>
  </si>
  <si>
    <t>a163p000004VjsZAAS</t>
  </si>
  <si>
    <t>a163p000004VjsaAAC</t>
  </si>
  <si>
    <t>a163p000004VjsbAAC</t>
  </si>
  <si>
    <t>a163p000004VjscAAC</t>
  </si>
  <si>
    <t>a163p000004VjsdAAC</t>
  </si>
  <si>
    <t>a163p000004VjseAAC</t>
  </si>
  <si>
    <t>a163p000004VjsfAAC</t>
  </si>
  <si>
    <t>a163p000004VjsgAAC</t>
  </si>
  <si>
    <t>a163p000004VjshAAC</t>
  </si>
  <si>
    <t>a163p000004VjsiAAC</t>
  </si>
  <si>
    <t>a163p000004VjsjAAC</t>
  </si>
  <si>
    <t>a163p000004VjskAAC</t>
  </si>
  <si>
    <t>a163p000004VjslAAC</t>
  </si>
  <si>
    <t>a163p000004VjsmAAC</t>
  </si>
  <si>
    <t>a163p000004VjsnAAC</t>
  </si>
  <si>
    <t>a163p000004VjsoAAC</t>
  </si>
  <si>
    <t>a163p000004VjspAAC</t>
  </si>
  <si>
    <t>a163p000004VjsqAAC</t>
  </si>
  <si>
    <t>a163p000004VjsrAAC</t>
  </si>
  <si>
    <t>a163p000004VjssAAC</t>
  </si>
  <si>
    <t>a163p000004VjstAAC</t>
  </si>
  <si>
    <t>a163p000004VjsuAAC</t>
  </si>
  <si>
    <t>a163p000004VjsvAAC</t>
  </si>
  <si>
    <t>a163p000004VjswAAC</t>
  </si>
  <si>
    <t>a163p000004VjsxAAC</t>
  </si>
  <si>
    <t>a163p000004VjsyAAC</t>
  </si>
  <si>
    <t>a163p000004VjszAAC</t>
  </si>
  <si>
    <t>a163p000004Vjt0AAC</t>
  </si>
  <si>
    <t>a163p000004Vjt1AAC</t>
  </si>
  <si>
    <t>a163p000004Vjt2AAC</t>
  </si>
  <si>
    <t>a163p000004Vjt3AAC</t>
  </si>
  <si>
    <t>a163p000004Vjt4AAC</t>
  </si>
  <si>
    <t>a163p000004Vjt5AAC</t>
  </si>
  <si>
    <t>a163p000004Vjt6AAC</t>
  </si>
  <si>
    <t>a163p000004Vjt7AAC</t>
  </si>
  <si>
    <t>a163p000004Vjt8AAC</t>
  </si>
  <si>
    <t>a163p000004Vjt9AAC</t>
  </si>
  <si>
    <t>a163p000004VjtAAAS</t>
  </si>
  <si>
    <t>a163p000004VjtBAAS</t>
  </si>
  <si>
    <t>a163p000004VjtCAAS</t>
  </si>
  <si>
    <t>a163p000004VjtDAAS</t>
  </si>
  <si>
    <t>a163p000004VjtEAAS</t>
  </si>
  <si>
    <t>a163p000004VjtFAAS</t>
  </si>
  <si>
    <t>a163p000004VjtGAAS</t>
  </si>
  <si>
    <t>a163p000004VjtHAAS</t>
  </si>
  <si>
    <t>a163p000004VjtIAAS</t>
  </si>
  <si>
    <t>a163p000004VjtJAAS</t>
  </si>
  <si>
    <t>a163p000004VjtKAAS</t>
  </si>
  <si>
    <t>a163p000004VjtLAAS</t>
  </si>
  <si>
    <t>a163p000004VjtMAAS</t>
  </si>
  <si>
    <t>a163p000004VjtNAAS</t>
  </si>
  <si>
    <t>a163p000004VjtOAAS</t>
  </si>
  <si>
    <t>a163p000004VjtPAAS</t>
  </si>
  <si>
    <t>a163p000004VjtQAAS</t>
  </si>
  <si>
    <t>a163p000004VjtRAAS</t>
  </si>
  <si>
    <t>a163p000004VjtSAAS</t>
  </si>
  <si>
    <t>a163p000004VjtTAAS</t>
  </si>
  <si>
    <t>a163p000004VjtUAAS</t>
  </si>
  <si>
    <t>a163p000004VjtVAAS</t>
  </si>
  <si>
    <t>a163p000004VjtWAAS</t>
  </si>
  <si>
    <t>a163p000004VjtXAAS</t>
  </si>
  <si>
    <t>a163p000004VjtYAAS</t>
  </si>
  <si>
    <t>a163p000004VjtZAAS</t>
  </si>
  <si>
    <t>a163p000004VjtaAAC</t>
  </si>
  <si>
    <t>a163p000004VjtbAAC</t>
  </si>
  <si>
    <t>a163p000004VjtcAAC</t>
  </si>
  <si>
    <t>a163p000004VjtdAAC</t>
  </si>
  <si>
    <t>a163p000004VjteAAC</t>
  </si>
  <si>
    <t>a163p000004VjtfAAC</t>
  </si>
  <si>
    <t>a163p000004VjtgAAC</t>
  </si>
  <si>
    <t>a163p000004VjthAAC</t>
  </si>
  <si>
    <t>a163p000004VjtiAAC</t>
  </si>
  <si>
    <t>a163p000004VjtjAAC</t>
  </si>
  <si>
    <t>a163p000004VjtkAAC</t>
  </si>
  <si>
    <t>a163p000004VjtlAAC</t>
  </si>
  <si>
    <t>a163p000004VjtmAAC</t>
  </si>
  <si>
    <t>a163p000004VjtnAAC</t>
  </si>
  <si>
    <t>a163p000004VjtoAAC</t>
  </si>
  <si>
    <t>a163p000004VjtpAAC</t>
  </si>
  <si>
    <t>a163p000004VjtqAAC</t>
  </si>
  <si>
    <t>a163p000004VjtrAAC</t>
  </si>
  <si>
    <t>a163p000004VjtsAAC</t>
  </si>
  <si>
    <t>a163p000004VjttAAC</t>
  </si>
  <si>
    <t>a163p000004VjtuAAC</t>
  </si>
  <si>
    <t>a163p000004VjtvAAC</t>
  </si>
  <si>
    <t>a163p000004VjtwAAC</t>
  </si>
  <si>
    <t>a163p000004VjtxAAC</t>
  </si>
  <si>
    <t>a163p000004VjtyAAC</t>
  </si>
  <si>
    <t>a163p000004VjtzAAC</t>
  </si>
  <si>
    <t>a163p000004Vju0AAC</t>
  </si>
  <si>
    <t>a163p000004Vju1AAC</t>
  </si>
  <si>
    <t>a163p000004Vju2AAC</t>
  </si>
  <si>
    <t>a163p000004Vju3AAC</t>
  </si>
  <si>
    <t>a163p000004Vju4AAC</t>
  </si>
  <si>
    <t>a163p000004Vju5AAC</t>
  </si>
  <si>
    <t>a163p000004Vju6AAC</t>
  </si>
  <si>
    <t>a163p000004Vju7AAC</t>
  </si>
  <si>
    <t>a163p000004Vju8AAC</t>
  </si>
  <si>
    <t>a163p000004Vju9AAC</t>
  </si>
  <si>
    <t>a163p000004VjuAAAS</t>
  </si>
  <si>
    <t>a163p000004VjuBAAS</t>
  </si>
  <si>
    <t>a163p000004VjuCAAS</t>
  </si>
  <si>
    <t>a163p000004VjuDAAS</t>
  </si>
  <si>
    <t>a163p000004VjuEAAS</t>
  </si>
  <si>
    <t>a163p000004VjuFAAS</t>
  </si>
  <si>
    <t>a163p000004VjuGAAS</t>
  </si>
  <si>
    <t>a163p000004VjuHAAS</t>
  </si>
  <si>
    <t>a163p000004VjuIAAS</t>
  </si>
  <si>
    <t>a163p000004VjuJAAS</t>
  </si>
  <si>
    <t>a163p000004VjuKAAS</t>
  </si>
  <si>
    <t>a163p000004VjuLAAS</t>
  </si>
  <si>
    <t>a163p000004VjuMAAS</t>
  </si>
  <si>
    <t>WPTM  - Section F</t>
  </si>
  <si>
    <t>Intervention ID (Name)</t>
  </si>
  <si>
    <t>Criterion for Completion</t>
  </si>
  <si>
    <t>Key Activity</t>
  </si>
  <si>
    <t>Key Activity Milestone ID</t>
  </si>
  <si>
    <t>Key Activity Local</t>
  </si>
  <si>
    <t>Key Activity Milestone Number</t>
  </si>
  <si>
    <t>[Module]</t>
  </si>
  <si>
    <t>[Key Activity Milestone Number]</t>
  </si>
  <si>
    <t>a1N3p00000FhqnlEAB</t>
  </si>
  <si>
    <t>KAM-248617</t>
  </si>
  <si>
    <t>a1N3p00000FhqnmEAB</t>
  </si>
  <si>
    <t>KAM-248618</t>
  </si>
  <si>
    <t>a1N3p00000FhqnnEAB</t>
  </si>
  <si>
    <t>KAM-248619</t>
  </si>
  <si>
    <t>a1N3p00000FhqnoEAB</t>
  </si>
  <si>
    <t>KAM-248620</t>
  </si>
  <si>
    <t>a1N3p00000FhqnpEAB</t>
  </si>
  <si>
    <t>KAM-248621</t>
  </si>
  <si>
    <t>a1N3p00000FhqnqEAB</t>
  </si>
  <si>
    <t>KAM-248622</t>
  </si>
  <si>
    <t>a1N3p00000FhqnrEAB</t>
  </si>
  <si>
    <t>KAM-248623</t>
  </si>
  <si>
    <t>a1N3p00000FhqnsEAB</t>
  </si>
  <si>
    <t>KAM-248624</t>
  </si>
  <si>
    <t>a1N3p00000FhqntEAB</t>
  </si>
  <si>
    <t>KAM-248625</t>
  </si>
  <si>
    <t>a1N3p00000FhqnuEAB</t>
  </si>
  <si>
    <t>KAM-248626</t>
  </si>
  <si>
    <t>a1N3p00000FhqnvEAB</t>
  </si>
  <si>
    <t>KAM-248627</t>
  </si>
  <si>
    <t>a1N3p00000FhqnwEAB</t>
  </si>
  <si>
    <t>KAM-248628</t>
  </si>
  <si>
    <t>a1N3p00000FhqnxEAB</t>
  </si>
  <si>
    <t>KAM-248629</t>
  </si>
  <si>
    <t>a1N3p00000FhqnyEAB</t>
  </si>
  <si>
    <t>KAM-248630</t>
  </si>
  <si>
    <t>a1N3p00000FhqnzEAB</t>
  </si>
  <si>
    <t>KAM-248631</t>
  </si>
  <si>
    <t>a1N3p00000Fhqo0EAB</t>
  </si>
  <si>
    <t>KAM-248632</t>
  </si>
  <si>
    <t>a1N3p00000Fhqo1EAB</t>
  </si>
  <si>
    <t>KAM-248633</t>
  </si>
  <si>
    <t>a1N3p00000Fhqo2EAB</t>
  </si>
  <si>
    <t>KAM-248634</t>
  </si>
  <si>
    <t>a1N3p00000Fhqo3EAB</t>
  </si>
  <si>
    <t>KAM-248635</t>
  </si>
  <si>
    <t>a1N3p00000Fhqo4EAB</t>
  </si>
  <si>
    <t>KAM-248636</t>
  </si>
  <si>
    <t>a1N3p00000Fhqo5EAB</t>
  </si>
  <si>
    <t>KAM-248637</t>
  </si>
  <si>
    <t>a1N3p00000Fhqo6EAB</t>
  </si>
  <si>
    <t>KAM-248638</t>
  </si>
  <si>
    <t>a1N3p00000Fhqo7EAB</t>
  </si>
  <si>
    <t>KAM-248639</t>
  </si>
  <si>
    <t>a1N3p00000Fhqo8EAB</t>
  </si>
  <si>
    <t>KAM-248640</t>
  </si>
  <si>
    <t>a1N3p00000Fhqo9EAB</t>
  </si>
  <si>
    <t>KAM-248641</t>
  </si>
  <si>
    <t>a1N3p00000FhqoAEAR</t>
  </si>
  <si>
    <t>KAM-248642</t>
  </si>
  <si>
    <t>a1N3p00000FhqoBEAR</t>
  </si>
  <si>
    <t>KAM-248643</t>
  </si>
  <si>
    <t>a1N3p00000FhqoCEAR</t>
  </si>
  <si>
    <t>KAM-248644</t>
  </si>
  <si>
    <t>a1N3p00000FhqoDEAR</t>
  </si>
  <si>
    <t>KAM-248645</t>
  </si>
  <si>
    <t>a1N3p00000FhqoEEAR</t>
  </si>
  <si>
    <t>KAM-248646</t>
  </si>
  <si>
    <t>a1N3p00000FhqoFEAR</t>
  </si>
  <si>
    <t>KAM-248647</t>
  </si>
  <si>
    <t>a1N3p00000FhqoGEAR</t>
  </si>
  <si>
    <t>KAM-248648</t>
  </si>
  <si>
    <t>a1N3p00000FhqoHEAR</t>
  </si>
  <si>
    <t>KAM-248649</t>
  </si>
  <si>
    <t>a1N3p00000FhqoIEAR</t>
  </si>
  <si>
    <t>KAM-248650</t>
  </si>
  <si>
    <t>a1N3p00000FhqoJEAR</t>
  </si>
  <si>
    <t>KAM-248651</t>
  </si>
  <si>
    <t>a1N3p00000FhqoKEAR</t>
  </si>
  <si>
    <t>KAM-248652</t>
  </si>
  <si>
    <t>a1N3p00000FhqoLEAR</t>
  </si>
  <si>
    <t>KAM-248653</t>
  </si>
  <si>
    <t>a1N3p00000FhqoMEAR</t>
  </si>
  <si>
    <t>KAM-248654</t>
  </si>
  <si>
    <t>a1N3p00000FhqoNEAR</t>
  </si>
  <si>
    <t>KAM-248655</t>
  </si>
  <si>
    <t>a1N3p00000FhqoOEAR</t>
  </si>
  <si>
    <t>KAM-248656</t>
  </si>
  <si>
    <t>a1N3p00000FhqoPEAR</t>
  </si>
  <si>
    <t>KAM-248657</t>
  </si>
  <si>
    <t>a1N3p00000FhqoQEAR</t>
  </si>
  <si>
    <t>KAM-248658</t>
  </si>
  <si>
    <t>a1N3p00000FhqoREAR</t>
  </si>
  <si>
    <t>KAM-248659</t>
  </si>
  <si>
    <t>a1N3p00000FhqoSEAR</t>
  </si>
  <si>
    <t>KAM-248660</t>
  </si>
  <si>
    <t>a1N3p00000FhqoTEAR</t>
  </si>
  <si>
    <t>KAM-248661</t>
  </si>
  <si>
    <t>a1N3p00000FhqoUEAR</t>
  </si>
  <si>
    <t>KAM-248662</t>
  </si>
  <si>
    <t>a1N3p00000FhqoVEAR</t>
  </si>
  <si>
    <t>KAM-248663</t>
  </si>
  <si>
    <t>a1N3p00000FhqoWEAR</t>
  </si>
  <si>
    <t>KAM-248664</t>
  </si>
  <si>
    <t>a1N3p00000FhqoXEAR</t>
  </si>
  <si>
    <t>KAM-248665</t>
  </si>
  <si>
    <t>a1N3p00000FhqoYEAR</t>
  </si>
  <si>
    <t>KAM-248666</t>
  </si>
  <si>
    <t>a1N3p00000FhqoZEAR</t>
  </si>
  <si>
    <t>KAM-248667</t>
  </si>
  <si>
    <t>a1N3p00000FhqoaEAB</t>
  </si>
  <si>
    <t>KAM-248668</t>
  </si>
  <si>
    <t>a1N3p00000FhqobEAB</t>
  </si>
  <si>
    <t>KAM-248669</t>
  </si>
  <si>
    <t>a1N3p00000FhqocEAB</t>
  </si>
  <si>
    <t>KAM-248670</t>
  </si>
  <si>
    <t>a1N3p00000FhqodEAB</t>
  </si>
  <si>
    <t>KAM-248671</t>
  </si>
  <si>
    <t>a1N3p00000FhqoeEAB</t>
  </si>
  <si>
    <t>KAM-248672</t>
  </si>
  <si>
    <t>a1N3p00000FhqofEAB</t>
  </si>
  <si>
    <t>KAM-248673</t>
  </si>
  <si>
    <t>a1N3p00000FhqogEAB</t>
  </si>
  <si>
    <t>KAM-248674</t>
  </si>
  <si>
    <t>a1N3p00000FhqohEAB</t>
  </si>
  <si>
    <t>KAM-248675</t>
  </si>
  <si>
    <t>a1N3p00000FhqoiEAB</t>
  </si>
  <si>
    <t>KAM-248676</t>
  </si>
  <si>
    <t>a1N3p00000FhqojEAB</t>
  </si>
  <si>
    <t>KAM-248677</t>
  </si>
  <si>
    <t>a1N3p00000FhqokEAB</t>
  </si>
  <si>
    <t>KAM-248678</t>
  </si>
  <si>
    <t>a1N3p00000FhqolEAB</t>
  </si>
  <si>
    <t>KAM-248679</t>
  </si>
  <si>
    <t>a1N3p00000FhqomEAB</t>
  </si>
  <si>
    <t>KAM-248680</t>
  </si>
  <si>
    <t>a1N3p00000FhqonEAB</t>
  </si>
  <si>
    <t>KAM-248681</t>
  </si>
  <si>
    <t>a1N3p00000FhqooEAB</t>
  </si>
  <si>
    <t>KAM-248682</t>
  </si>
  <si>
    <t>a1N3p00000FhqopEAB</t>
  </si>
  <si>
    <t>KAM-248683</t>
  </si>
  <si>
    <t>a1N3p00000FhqoqEAB</t>
  </si>
  <si>
    <t>KAM-248684</t>
  </si>
  <si>
    <t>a1N3p00000FhqorEAB</t>
  </si>
  <si>
    <t>KAM-248685</t>
  </si>
  <si>
    <t>a1N3p00000FhqosEAB</t>
  </si>
  <si>
    <t>KAM-248686</t>
  </si>
  <si>
    <t>a1N3p00000FhqotEAB</t>
  </si>
  <si>
    <t>KAM-248687</t>
  </si>
  <si>
    <t>a1N3p00000FhqouEAB</t>
  </si>
  <si>
    <t>KAM-248688</t>
  </si>
  <si>
    <t>a1N3p00000FhqovEAB</t>
  </si>
  <si>
    <t>KAM-248689</t>
  </si>
  <si>
    <t>a1N3p00000FhqowEAB</t>
  </si>
  <si>
    <t>KAM-248690</t>
  </si>
  <si>
    <t>a1N3p00000FhqoxEAB</t>
  </si>
  <si>
    <t>KAM-248691</t>
  </si>
  <si>
    <t>a1N3p00000FhqoyEAB</t>
  </si>
  <si>
    <t>KAM-248692</t>
  </si>
  <si>
    <t>a1N3p00000FhqozEAB</t>
  </si>
  <si>
    <t>KAM-248693</t>
  </si>
  <si>
    <t>a1N3p00000Fhqp0EAB</t>
  </si>
  <si>
    <t>KAM-248694</t>
  </si>
  <si>
    <t>a1N3p00000Fhqp1EAB</t>
  </si>
  <si>
    <t>KAM-248695</t>
  </si>
  <si>
    <t>a1N3p00000Fhqp2EAB</t>
  </si>
  <si>
    <t>KAM-248696</t>
  </si>
  <si>
    <t>WPTM Results</t>
  </si>
  <si>
    <t>Key Activity-Milestone ID (Name)</t>
  </si>
  <si>
    <t>Milestone / Target Description</t>
  </si>
  <si>
    <t>Milestone / Target Description Local</t>
  </si>
  <si>
    <t>Criterion for Completion Local</t>
  </si>
  <si>
    <t>[Allow Field Update]</t>
  </si>
  <si>
    <t>a1b3p000006eF2IAAU</t>
  </si>
  <si>
    <t>a1b3p000006eF3aAAE</t>
  </si>
  <si>
    <t>a1b3p000006eF4sAAE</t>
  </si>
  <si>
    <t>a1b3p000006eF6AAAU</t>
  </si>
  <si>
    <t>a1b3p000006eF7SAAU</t>
  </si>
  <si>
    <t>a1b3p000006eF8kAAE</t>
  </si>
  <si>
    <t>a1b3p000006eF2JAAU</t>
  </si>
  <si>
    <t>a1b3p000006eF3bAAE</t>
  </si>
  <si>
    <t>a1b3p000006eF4tAAE</t>
  </si>
  <si>
    <t>a1b3p000006eF6BAAU</t>
  </si>
  <si>
    <t>a1b3p000006eF7TAAU</t>
  </si>
  <si>
    <t>a1b3p000006eF8lAAE</t>
  </si>
  <si>
    <t>a1b3p000006eF2KAAU</t>
  </si>
  <si>
    <t>a1b3p000006eF3cAAE</t>
  </si>
  <si>
    <t>a1b3p000006eF4uAAE</t>
  </si>
  <si>
    <t>a1b3p000006eF6CAAU</t>
  </si>
  <si>
    <t>a1b3p000006eF7UAAU</t>
  </si>
  <si>
    <t>a1b3p000006eF8mAAE</t>
  </si>
  <si>
    <t>a1b3p000006eF2LAAU</t>
  </si>
  <si>
    <t>a1b3p000006eF3dAAE</t>
  </si>
  <si>
    <t>a1b3p000006eF4vAAE</t>
  </si>
  <si>
    <t>a1b3p000006eF6DAAU</t>
  </si>
  <si>
    <t>a1b3p000006eF7VAAU</t>
  </si>
  <si>
    <t>a1b3p000006eF8nAAE</t>
  </si>
  <si>
    <t>a1b3p000006eF2MAAU</t>
  </si>
  <si>
    <t>a1b3p000006eF3eAAE</t>
  </si>
  <si>
    <t>a1b3p000006eF4wAAE</t>
  </si>
  <si>
    <t>a1b3p000006eF6EAAU</t>
  </si>
  <si>
    <t>a1b3p000006eF7WAAU</t>
  </si>
  <si>
    <t>a1b3p000006eF8oAAE</t>
  </si>
  <si>
    <t>a1b3p000006eF2NAAU</t>
  </si>
  <si>
    <t>a1b3p000006eF3fAAE</t>
  </si>
  <si>
    <t>a1b3p000006eF4xAAE</t>
  </si>
  <si>
    <t>a1b3p000006eF6FAAU</t>
  </si>
  <si>
    <t>a1b3p000006eF7XAAU</t>
  </si>
  <si>
    <t>a1b3p000006eF8pAAE</t>
  </si>
  <si>
    <t>a1b3p000006eF2OAAU</t>
  </si>
  <si>
    <t>a1b3p000006eF3gAAE</t>
  </si>
  <si>
    <t>a1b3p000006eF4yAAE</t>
  </si>
  <si>
    <t>a1b3p000006eF6GAAU</t>
  </si>
  <si>
    <t>a1b3p000006eF7YAAU</t>
  </si>
  <si>
    <t>a1b3p000006eF8qAAE</t>
  </si>
  <si>
    <t>a1b3p000006eF2PAAU</t>
  </si>
  <si>
    <t>a1b3p000006eF3hAAE</t>
  </si>
  <si>
    <t>a1b3p000006eF4zAAE</t>
  </si>
  <si>
    <t>a1b3p000006eF6HAAU</t>
  </si>
  <si>
    <t>a1b3p000006eF7ZAAU</t>
  </si>
  <si>
    <t>a1b3p000006eF8rAAE</t>
  </si>
  <si>
    <t>a1b3p000006eF2QAAU</t>
  </si>
  <si>
    <t>a1b3p000006eF3iAAE</t>
  </si>
  <si>
    <t>a1b3p000006eF50AAE</t>
  </si>
  <si>
    <t>a1b3p000006eF6IAAU</t>
  </si>
  <si>
    <t>a1b3p000006eF7aAAE</t>
  </si>
  <si>
    <t>a1b3p000006eF8sAAE</t>
  </si>
  <si>
    <t>a1b3p000006eF2RAAU</t>
  </si>
  <si>
    <t>a1b3p000006eF3jAAE</t>
  </si>
  <si>
    <t>a1b3p000006eF51AAE</t>
  </si>
  <si>
    <t>a1b3p000006eF6JAAU</t>
  </si>
  <si>
    <t>a1b3p000006eF7bAAE</t>
  </si>
  <si>
    <t>a1b3p000006eF8tAAE</t>
  </si>
  <si>
    <t>a1b3p000006eF2SAAU</t>
  </si>
  <si>
    <t>a1b3p000006eF3kAAE</t>
  </si>
  <si>
    <t>a1b3p000006eF52AAE</t>
  </si>
  <si>
    <t>a1b3p000006eF6KAAU</t>
  </si>
  <si>
    <t>a1b3p000006eF7cAAE</t>
  </si>
  <si>
    <t>a1b3p000006eF8uAAE</t>
  </si>
  <si>
    <t>a1b3p000006eF2TAAU</t>
  </si>
  <si>
    <t>a1b3p000006eF3lAAE</t>
  </si>
  <si>
    <t>a1b3p000006eF53AAE</t>
  </si>
  <si>
    <t>a1b3p000006eF6LAAU</t>
  </si>
  <si>
    <t>a1b3p000006eF7dAAE</t>
  </si>
  <si>
    <t>a1b3p000006eF8vAAE</t>
  </si>
  <si>
    <t>a1b3p000006eF2UAAU</t>
  </si>
  <si>
    <t>a1b3p000006eF3mAAE</t>
  </si>
  <si>
    <t>a1b3p000006eF54AAE</t>
  </si>
  <si>
    <t>a1b3p000006eF6MAAU</t>
  </si>
  <si>
    <t>a1b3p000006eF7eAAE</t>
  </si>
  <si>
    <t>a1b3p000006eF8wAAE</t>
  </si>
  <si>
    <t>a1b3p000006eF2VAAU</t>
  </si>
  <si>
    <t>a1b3p000006eF3nAAE</t>
  </si>
  <si>
    <t>a1b3p000006eF55AAE</t>
  </si>
  <si>
    <t>a1b3p000006eF6NAAU</t>
  </si>
  <si>
    <t>a1b3p000006eF7fAAE</t>
  </si>
  <si>
    <t>a1b3p000006eF8xAAE</t>
  </si>
  <si>
    <t>a1b3p000006eF2WAAU</t>
  </si>
  <si>
    <t>a1b3p000006eF3oAAE</t>
  </si>
  <si>
    <t>a1b3p000006eF56AAE</t>
  </si>
  <si>
    <t>a1b3p000006eF6OAAU</t>
  </si>
  <si>
    <t>a1b3p000006eF7gAAE</t>
  </si>
  <si>
    <t>a1b3p000006eF8yAAE</t>
  </si>
  <si>
    <t>a1b3p000006eF2XAAU</t>
  </si>
  <si>
    <t>a1b3p000006eF3pAAE</t>
  </si>
  <si>
    <t>a1b3p000006eF57AAE</t>
  </si>
  <si>
    <t>a1b3p000006eF6PAAU</t>
  </si>
  <si>
    <t>a1b3p000006eF7hAAE</t>
  </si>
  <si>
    <t>a1b3p000006eF8zAAE</t>
  </si>
  <si>
    <t>a1b3p000006eF2YAAU</t>
  </si>
  <si>
    <t>a1b3p000006eF3qAAE</t>
  </si>
  <si>
    <t>a1b3p000006eF58AAE</t>
  </si>
  <si>
    <t>a1b3p000006eF6QAAU</t>
  </si>
  <si>
    <t>a1b3p000006eF7iAAE</t>
  </si>
  <si>
    <t>a1b3p000006eF90AAE</t>
  </si>
  <si>
    <t>a1b3p000006eF2ZAAU</t>
  </si>
  <si>
    <t>a1b3p000006eF3rAAE</t>
  </si>
  <si>
    <t>a1b3p000006eF59AAE</t>
  </si>
  <si>
    <t>a1b3p000006eF6RAAU</t>
  </si>
  <si>
    <t>a1b3p000006eF7jAAE</t>
  </si>
  <si>
    <t>a1b3p000006eF91AAE</t>
  </si>
  <si>
    <t>a1b3p000006eF2aAAE</t>
  </si>
  <si>
    <t>a1b3p000006eF3sAAE</t>
  </si>
  <si>
    <t>a1b3p000006eF5AAAU</t>
  </si>
  <si>
    <t>a1b3p000006eF6SAAU</t>
  </si>
  <si>
    <t>a1b3p000006eF7kAAE</t>
  </si>
  <si>
    <t>a1b3p000006eF92AAE</t>
  </si>
  <si>
    <t>a1b3p000006eF2bAAE</t>
  </si>
  <si>
    <t>a1b3p000006eF3tAAE</t>
  </si>
  <si>
    <t>a1b3p000006eF5BAAU</t>
  </si>
  <si>
    <t>a1b3p000006eF6TAAU</t>
  </si>
  <si>
    <t>a1b3p000006eF7lAAE</t>
  </si>
  <si>
    <t>a1b3p000006eF93AAE</t>
  </si>
  <si>
    <t>a1b3p000006eF2cAAE</t>
  </si>
  <si>
    <t>a1b3p000006eF3uAAE</t>
  </si>
  <si>
    <t>a1b3p000006eF5CAAU</t>
  </si>
  <si>
    <t>a1b3p000006eF6UAAU</t>
  </si>
  <si>
    <t>a1b3p000006eF7mAAE</t>
  </si>
  <si>
    <t>a1b3p000006eF94AAE</t>
  </si>
  <si>
    <t>a1b3p000006eF2dAAE</t>
  </si>
  <si>
    <t>a1b3p000006eF3vAAE</t>
  </si>
  <si>
    <t>a1b3p000006eF5DAAU</t>
  </si>
  <si>
    <t>a1b3p000006eF6VAAU</t>
  </si>
  <si>
    <t>a1b3p000006eF7nAAE</t>
  </si>
  <si>
    <t>a1b3p000006eF95AAE</t>
  </si>
  <si>
    <t>a1b3p000006eF2eAAE</t>
  </si>
  <si>
    <t>a1b3p000006eF3wAAE</t>
  </si>
  <si>
    <t>a1b3p000006eF5EAAU</t>
  </si>
  <si>
    <t>a1b3p000006eF6WAAU</t>
  </si>
  <si>
    <t>a1b3p000006eF7oAAE</t>
  </si>
  <si>
    <t>a1b3p000006eF96AAE</t>
  </si>
  <si>
    <t>a1b3p000006eF2fAAE</t>
  </si>
  <si>
    <t>a1b3p000006eF3xAAE</t>
  </si>
  <si>
    <t>a1b3p000006eF5FAAU</t>
  </si>
  <si>
    <t>a1b3p000006eF6XAAU</t>
  </si>
  <si>
    <t>a1b3p000006eF7pAAE</t>
  </si>
  <si>
    <t>a1b3p000006eF97AAE</t>
  </si>
  <si>
    <t>a1b3p000006eF2gAAE</t>
  </si>
  <si>
    <t>a1b3p000006eF3yAAE</t>
  </si>
  <si>
    <t>a1b3p000006eF5GAAU</t>
  </si>
  <si>
    <t>a1b3p000006eF6YAAU</t>
  </si>
  <si>
    <t>a1b3p000006eF7qAAE</t>
  </si>
  <si>
    <t>a1b3p000006eF98AAE</t>
  </si>
  <si>
    <t>a1b3p000006eF2hAAE</t>
  </si>
  <si>
    <t>a1b3p000006eF3zAAE</t>
  </si>
  <si>
    <t>a1b3p000006eF5HAAU</t>
  </si>
  <si>
    <t>a1b3p000006eF6ZAAU</t>
  </si>
  <si>
    <t>a1b3p000006eF7rAAE</t>
  </si>
  <si>
    <t>a1b3p000006eF99AAE</t>
  </si>
  <si>
    <t>a1b3p000006eF2iAAE</t>
  </si>
  <si>
    <t>a1b3p000006eF40AAE</t>
  </si>
  <si>
    <t>a1b3p000006eF5IAAU</t>
  </si>
  <si>
    <t>a1b3p000006eF6aAAE</t>
  </si>
  <si>
    <t>a1b3p000006eF7sAAE</t>
  </si>
  <si>
    <t>a1b3p000006eF9AAAU</t>
  </si>
  <si>
    <t>a1b3p000006eF2jAAE</t>
  </si>
  <si>
    <t>a1b3p000006eF41AAE</t>
  </si>
  <si>
    <t>a1b3p000006eF5JAAU</t>
  </si>
  <si>
    <t>a1b3p000006eF6bAAE</t>
  </si>
  <si>
    <t>a1b3p000006eF7tAAE</t>
  </si>
  <si>
    <t>a1b3p000006eF9BAAU</t>
  </si>
  <si>
    <t>a1b3p000006eF2kAAE</t>
  </si>
  <si>
    <t>a1b3p000006eF42AAE</t>
  </si>
  <si>
    <t>a1b3p000006eF5KAAU</t>
  </si>
  <si>
    <t>a1b3p000006eF6cAAE</t>
  </si>
  <si>
    <t>a1b3p000006eF7uAAE</t>
  </si>
  <si>
    <t>a1b3p000006eF9CAAU</t>
  </si>
  <si>
    <t>a1b3p000006eF2lAAE</t>
  </si>
  <si>
    <t>a1b3p000006eF43AAE</t>
  </si>
  <si>
    <t>a1b3p000006eF5LAAU</t>
  </si>
  <si>
    <t>a1b3p000006eF6dAAE</t>
  </si>
  <si>
    <t>a1b3p000006eF7vAAE</t>
  </si>
  <si>
    <t>a1b3p000006eF9DAAU</t>
  </si>
  <si>
    <t>a1b3p000006eF2mAAE</t>
  </si>
  <si>
    <t>a1b3p000006eF44AAE</t>
  </si>
  <si>
    <t>a1b3p000006eF5MAAU</t>
  </si>
  <si>
    <t>a1b3p000006eF6eAAE</t>
  </si>
  <si>
    <t>a1b3p000006eF7wAAE</t>
  </si>
  <si>
    <t>a1b3p000006eF9EAAU</t>
  </si>
  <si>
    <t>a1b3p000006eF2nAAE</t>
  </si>
  <si>
    <t>a1b3p000006eF45AAE</t>
  </si>
  <si>
    <t>a1b3p000006eF5NAAU</t>
  </si>
  <si>
    <t>a1b3p000006eF6fAAE</t>
  </si>
  <si>
    <t>a1b3p000006eF7xAAE</t>
  </si>
  <si>
    <t>a1b3p000006eF9FAAU</t>
  </si>
  <si>
    <t>a1b3p000006eF2oAAE</t>
  </si>
  <si>
    <t>a1b3p000006eF46AAE</t>
  </si>
  <si>
    <t>a1b3p000006eF5OAAU</t>
  </si>
  <si>
    <t>a1b3p000006eF6gAAE</t>
  </si>
  <si>
    <t>a1b3p000006eF7yAAE</t>
  </si>
  <si>
    <t>a1b3p000006eF9GAAU</t>
  </si>
  <si>
    <t>a1b3p000006eF2pAAE</t>
  </si>
  <si>
    <t>a1b3p000006eF47AAE</t>
  </si>
  <si>
    <t>a1b3p000006eF5PAAU</t>
  </si>
  <si>
    <t>a1b3p000006eF6hAAE</t>
  </si>
  <si>
    <t>a1b3p000006eF7zAAE</t>
  </si>
  <si>
    <t>a1b3p000006eF9HAAU</t>
  </si>
  <si>
    <t>a1b3p000006eF2qAAE</t>
  </si>
  <si>
    <t>a1b3p000006eF48AAE</t>
  </si>
  <si>
    <t>a1b3p000006eF5QAAU</t>
  </si>
  <si>
    <t>a1b3p000006eF6iAAE</t>
  </si>
  <si>
    <t>a1b3p000006eF80AAE</t>
  </si>
  <si>
    <t>a1b3p000006eF9IAAU</t>
  </si>
  <si>
    <t>a1b3p000006eF2rAAE</t>
  </si>
  <si>
    <t>a1b3p000006eF49AAE</t>
  </si>
  <si>
    <t>a1b3p000006eF5RAAU</t>
  </si>
  <si>
    <t>a1b3p000006eF6jAAE</t>
  </si>
  <si>
    <t>a1b3p000006eF81AAE</t>
  </si>
  <si>
    <t>a1b3p000006eF9JAAU</t>
  </si>
  <si>
    <t>a1b3p000006eF2sAAE</t>
  </si>
  <si>
    <t>a1b3p000006eF4AAAU</t>
  </si>
  <si>
    <t>a1b3p000006eF5SAAU</t>
  </si>
  <si>
    <t>a1b3p000006eF6kAAE</t>
  </si>
  <si>
    <t>a1b3p000006eF82AAE</t>
  </si>
  <si>
    <t>a1b3p000006eF9KAAU</t>
  </si>
  <si>
    <t>a1b3p000006eF2tAAE</t>
  </si>
  <si>
    <t>a1b3p000006eF4BAAU</t>
  </si>
  <si>
    <t>a1b3p000006eF5TAAU</t>
  </si>
  <si>
    <t>a1b3p000006eF6lAAE</t>
  </si>
  <si>
    <t>a1b3p000006eF83AAE</t>
  </si>
  <si>
    <t>a1b3p000006eF9LAAU</t>
  </si>
  <si>
    <t>a1b3p000006eF2uAAE</t>
  </si>
  <si>
    <t>a1b3p000006eF4CAAU</t>
  </si>
  <si>
    <t>a1b3p000006eF5UAAU</t>
  </si>
  <si>
    <t>a1b3p000006eF6mAAE</t>
  </si>
  <si>
    <t>a1b3p000006eF84AAE</t>
  </si>
  <si>
    <t>a1b3p000006eF9MAAU</t>
  </si>
  <si>
    <t>a1b3p000006eF2vAAE</t>
  </si>
  <si>
    <t>a1b3p000006eF4DAAU</t>
  </si>
  <si>
    <t>a1b3p000006eF5VAAU</t>
  </si>
  <si>
    <t>a1b3p000006eF6nAAE</t>
  </si>
  <si>
    <t>a1b3p000006eF85AAE</t>
  </si>
  <si>
    <t>a1b3p000006eF9NAAU</t>
  </si>
  <si>
    <t>a1b3p000006eF2wAAE</t>
  </si>
  <si>
    <t>a1b3p000006eF4EAAU</t>
  </si>
  <si>
    <t>a1b3p000006eF5WAAU</t>
  </si>
  <si>
    <t>a1b3p000006eF6oAAE</t>
  </si>
  <si>
    <t>a1b3p000006eF86AAE</t>
  </si>
  <si>
    <t>a1b3p000006eF9OAAU</t>
  </si>
  <si>
    <t>a1b3p000006eF2xAAE</t>
  </si>
  <si>
    <t>a1b3p000006eF4FAAU</t>
  </si>
  <si>
    <t>a1b3p000006eF5XAAU</t>
  </si>
  <si>
    <t>a1b3p000006eF6pAAE</t>
  </si>
  <si>
    <t>a1b3p000006eF87AAE</t>
  </si>
  <si>
    <t>a1b3p000006eF9PAAU</t>
  </si>
  <si>
    <t>a1b3p000006eF2yAAE</t>
  </si>
  <si>
    <t>a1b3p000006eF4GAAU</t>
  </si>
  <si>
    <t>a1b3p000006eF5YAAU</t>
  </si>
  <si>
    <t>a1b3p000006eF6qAAE</t>
  </si>
  <si>
    <t>a1b3p000006eF88AAE</t>
  </si>
  <si>
    <t>a1b3p000006eF9QAAU</t>
  </si>
  <si>
    <t>a1b3p000006eF2zAAE</t>
  </si>
  <si>
    <t>a1b3p000006eF4HAAU</t>
  </si>
  <si>
    <t>a1b3p000006eF5ZAAU</t>
  </si>
  <si>
    <t>a1b3p000006eF6rAAE</t>
  </si>
  <si>
    <t>a1b3p000006eF89AAE</t>
  </si>
  <si>
    <t>a1b3p000006eF9RAAU</t>
  </si>
  <si>
    <t>a1b3p000006eF30AAE</t>
  </si>
  <si>
    <t>a1b3p000006eF4IAAU</t>
  </si>
  <si>
    <t>a1b3p000006eF5aAAE</t>
  </si>
  <si>
    <t>a1b3p000006eF6sAAE</t>
  </si>
  <si>
    <t>a1b3p000006eF8AAAU</t>
  </si>
  <si>
    <t>a1b3p000006eF9SAAU</t>
  </si>
  <si>
    <t>a1b3p000006eF31AAE</t>
  </si>
  <si>
    <t>a1b3p000006eF4JAAU</t>
  </si>
  <si>
    <t>a1b3p000006eF5bAAE</t>
  </si>
  <si>
    <t>a1b3p000006eF6tAAE</t>
  </si>
  <si>
    <t>a1b3p000006eF8BAAU</t>
  </si>
  <si>
    <t>a1b3p000006eF9TAAU</t>
  </si>
  <si>
    <t>a1b3p000006eF32AAE</t>
  </si>
  <si>
    <t>a1b3p000006eF4KAAU</t>
  </si>
  <si>
    <t>a1b3p000006eF5cAAE</t>
  </si>
  <si>
    <t>a1b3p000006eF6uAAE</t>
  </si>
  <si>
    <t>a1b3p000006eF8CAAU</t>
  </si>
  <si>
    <t>a1b3p000006eF9UAAU</t>
  </si>
  <si>
    <t>a1b3p000006eF33AAE</t>
  </si>
  <si>
    <t>a1b3p000006eF4LAAU</t>
  </si>
  <si>
    <t>a1b3p000006eF5dAAE</t>
  </si>
  <si>
    <t>a1b3p000006eF6vAAE</t>
  </si>
  <si>
    <t>a1b3p000006eF8DAAU</t>
  </si>
  <si>
    <t>a1b3p000006eF9VAAU</t>
  </si>
  <si>
    <t>a1b3p000006eF34AAE</t>
  </si>
  <si>
    <t>a1b3p000006eF4MAAU</t>
  </si>
  <si>
    <t>a1b3p000006eF5eAAE</t>
  </si>
  <si>
    <t>a1b3p000006eF6wAAE</t>
  </si>
  <si>
    <t>a1b3p000006eF8EAAU</t>
  </si>
  <si>
    <t>a1b3p000006eF9WAAU</t>
  </si>
  <si>
    <t>a1b3p000006eF35AAE</t>
  </si>
  <si>
    <t>a1b3p000006eF4NAAU</t>
  </si>
  <si>
    <t>a1b3p000006eF5fAAE</t>
  </si>
  <si>
    <t>a1b3p000006eF6xAAE</t>
  </si>
  <si>
    <t>a1b3p000006eF8FAAU</t>
  </si>
  <si>
    <t>a1b3p000006eF9XAAU</t>
  </si>
  <si>
    <t>a1b3p000006eF36AAE</t>
  </si>
  <si>
    <t>a1b3p000006eF4OAAU</t>
  </si>
  <si>
    <t>a1b3p000006eF5gAAE</t>
  </si>
  <si>
    <t>a1b3p000006eF6yAAE</t>
  </si>
  <si>
    <t>a1b3p000006eF8GAAU</t>
  </si>
  <si>
    <t>a1b3p000006eF9YAAU</t>
  </si>
  <si>
    <t>a1b3p000006eF37AAE</t>
  </si>
  <si>
    <t>a1b3p000006eF4PAAU</t>
  </si>
  <si>
    <t>a1b3p000006eF5hAAE</t>
  </si>
  <si>
    <t>a1b3p000006eF6zAAE</t>
  </si>
  <si>
    <t>a1b3p000006eF8HAAU</t>
  </si>
  <si>
    <t>a1b3p000006eF9ZAAU</t>
  </si>
  <si>
    <t>a1b3p000006eF38AAE</t>
  </si>
  <si>
    <t>a1b3p000006eF4QAAU</t>
  </si>
  <si>
    <t>a1b3p000006eF5iAAE</t>
  </si>
  <si>
    <t>a1b3p000006eF70AAE</t>
  </si>
  <si>
    <t>a1b3p000006eF8IAAU</t>
  </si>
  <si>
    <t>a1b3p000006eF9aAAE</t>
  </si>
  <si>
    <t>a1b3p000006eF39AAE</t>
  </si>
  <si>
    <t>a1b3p000006eF4RAAU</t>
  </si>
  <si>
    <t>a1b3p000006eF5jAAE</t>
  </si>
  <si>
    <t>a1b3p000006eF71AAE</t>
  </si>
  <si>
    <t>a1b3p000006eF8JAAU</t>
  </si>
  <si>
    <t>a1b3p000006eF9bAAE</t>
  </si>
  <si>
    <t>a1b3p000006eF3AAAU</t>
  </si>
  <si>
    <t>a1b3p000006eF4SAAU</t>
  </si>
  <si>
    <t>a1b3p000006eF5kAAE</t>
  </si>
  <si>
    <t>a1b3p000006eF72AAE</t>
  </si>
  <si>
    <t>a1b3p000006eF8KAAU</t>
  </si>
  <si>
    <t>a1b3p000006eF9cAAE</t>
  </si>
  <si>
    <t>a1b3p000006eF3BAAU</t>
  </si>
  <si>
    <t>a1b3p000006eF4TAAU</t>
  </si>
  <si>
    <t>a1b3p000006eF5lAAE</t>
  </si>
  <si>
    <t>a1b3p000006eF73AAE</t>
  </si>
  <si>
    <t>a1b3p000006eF8LAAU</t>
  </si>
  <si>
    <t>a1b3p000006eF9dAAE</t>
  </si>
  <si>
    <t>a1b3p000006eF3CAAU</t>
  </si>
  <si>
    <t>a1b3p000006eF4UAAU</t>
  </si>
  <si>
    <t>a1b3p000006eF5mAAE</t>
  </si>
  <si>
    <t>a1b3p000006eF74AAE</t>
  </si>
  <si>
    <t>a1b3p000006eF8MAAU</t>
  </si>
  <si>
    <t>a1b3p000006eF9eAAE</t>
  </si>
  <si>
    <t>a1b3p000006eF3DAAU</t>
  </si>
  <si>
    <t>a1b3p000006eF4VAAU</t>
  </si>
  <si>
    <t>a1b3p000006eF5nAAE</t>
  </si>
  <si>
    <t>a1b3p000006eF75AAE</t>
  </si>
  <si>
    <t>a1b3p000006eF8NAAU</t>
  </si>
  <si>
    <t>a1b3p000006eF9fAAE</t>
  </si>
  <si>
    <t>a1b3p000006eF3EAAU</t>
  </si>
  <si>
    <t>a1b3p000006eF4WAAU</t>
  </si>
  <si>
    <t>a1b3p000006eF5oAAE</t>
  </si>
  <si>
    <t>a1b3p000006eF76AAE</t>
  </si>
  <si>
    <t>a1b3p000006eF8OAAU</t>
  </si>
  <si>
    <t>a1b3p000006eF9gAAE</t>
  </si>
  <si>
    <t>a1b3p000006eF3FAAU</t>
  </si>
  <si>
    <t>a1b3p000006eF4XAAU</t>
  </si>
  <si>
    <t>a1b3p000006eF5pAAE</t>
  </si>
  <si>
    <t>a1b3p000006eF77AAE</t>
  </si>
  <si>
    <t>a1b3p000006eF8PAAU</t>
  </si>
  <si>
    <t>a1b3p000006eF9hAAE</t>
  </si>
  <si>
    <t>a1b3p000006eF3GAAU</t>
  </si>
  <si>
    <t>a1b3p000006eF4YAAU</t>
  </si>
  <si>
    <t>a1b3p000006eF5qAAE</t>
  </si>
  <si>
    <t>a1b3p000006eF78AAE</t>
  </si>
  <si>
    <t>a1b3p000006eF8QAAU</t>
  </si>
  <si>
    <t>a1b3p000006eF9iAAE</t>
  </si>
  <si>
    <t>a1b3p000006eF3HAAU</t>
  </si>
  <si>
    <t>a1b3p000006eF4ZAAU</t>
  </si>
  <si>
    <t>a1b3p000006eF5rAAE</t>
  </si>
  <si>
    <t>a1b3p000006eF79AAE</t>
  </si>
  <si>
    <t>a1b3p000006eF8RAAU</t>
  </si>
  <si>
    <t>a1b3p000006eF9jAAE</t>
  </si>
  <si>
    <t>a1b3p000006eF3IAAU</t>
  </si>
  <si>
    <t>a1b3p000006eF4aAAE</t>
  </si>
  <si>
    <t>a1b3p000006eF5sAAE</t>
  </si>
  <si>
    <t>a1b3p000006eF7AAAU</t>
  </si>
  <si>
    <t>a1b3p000006eF8SAAU</t>
  </si>
  <si>
    <t>a1b3p000006eF9kAAE</t>
  </si>
  <si>
    <t>a1b3p000006eF3JAAU</t>
  </si>
  <si>
    <t>a1b3p000006eF4bAAE</t>
  </si>
  <si>
    <t>a1b3p000006eF5tAAE</t>
  </si>
  <si>
    <t>a1b3p000006eF7BAAU</t>
  </si>
  <si>
    <t>a1b3p000006eF8TAAU</t>
  </si>
  <si>
    <t>a1b3p000006eF9lAAE</t>
  </si>
  <si>
    <t>a1b3p000006eF3KAAU</t>
  </si>
  <si>
    <t>a1b3p000006eF4cAAE</t>
  </si>
  <si>
    <t>a1b3p000006eF5uAAE</t>
  </si>
  <si>
    <t>a1b3p000006eF7CAAU</t>
  </si>
  <si>
    <t>a1b3p000006eF8UAAU</t>
  </si>
  <si>
    <t>a1b3p000006eF9mAAE</t>
  </si>
  <si>
    <t>a1b3p000006eF3LAAU</t>
  </si>
  <si>
    <t>a1b3p000006eF4dAAE</t>
  </si>
  <si>
    <t>a1b3p000006eF5vAAE</t>
  </si>
  <si>
    <t>a1b3p000006eF7DAAU</t>
  </si>
  <si>
    <t>a1b3p000006eF8VAAU</t>
  </si>
  <si>
    <t>a1b3p000006eF9nAAE</t>
  </si>
  <si>
    <t>a1b3p000006eF3MAAU</t>
  </si>
  <si>
    <t>a1b3p000006eF4eAAE</t>
  </si>
  <si>
    <t>a1b3p000006eF5wAAE</t>
  </si>
  <si>
    <t>a1b3p000006eF7EAAU</t>
  </si>
  <si>
    <t>a1b3p000006eF8WAAU</t>
  </si>
  <si>
    <t>a1b3p000006eF9oAAE</t>
  </si>
  <si>
    <t>a1b3p000006eF3NAAU</t>
  </si>
  <si>
    <t>a1b3p000006eF4fAAE</t>
  </si>
  <si>
    <t>a1b3p000006eF5xAAE</t>
  </si>
  <si>
    <t>a1b3p000006eF7FAAU</t>
  </si>
  <si>
    <t>a1b3p000006eF8XAAU</t>
  </si>
  <si>
    <t>a1b3p000006eF9pAAE</t>
  </si>
  <si>
    <t>a1b3p000006eF3OAAU</t>
  </si>
  <si>
    <t>a1b3p000006eF4gAAE</t>
  </si>
  <si>
    <t>a1b3p000006eF5yAAE</t>
  </si>
  <si>
    <t>a1b3p000006eF7GAAU</t>
  </si>
  <si>
    <t>a1b3p000006eF8YAAU</t>
  </si>
  <si>
    <t>a1b3p000006eF9qAAE</t>
  </si>
  <si>
    <t>a1b3p000006eF3PAAU</t>
  </si>
  <si>
    <t>a1b3p000006eF4hAAE</t>
  </si>
  <si>
    <t>a1b3p000006eF5zAAE</t>
  </si>
  <si>
    <t>a1b3p000006eF7HAAU</t>
  </si>
  <si>
    <t>a1b3p000006eF8ZAAU</t>
  </si>
  <si>
    <t>a1b3p000006eF9rAAE</t>
  </si>
  <si>
    <t>a1b3p000006eF3QAAU</t>
  </si>
  <si>
    <t>a1b3p000006eF4iAAE</t>
  </si>
  <si>
    <t>a1b3p000006eF60AAE</t>
  </si>
  <si>
    <t>a1b3p000006eF7IAAU</t>
  </si>
  <si>
    <t>a1b3p000006eF8aAAE</t>
  </si>
  <si>
    <t>a1b3p000006eF9sAAE</t>
  </si>
  <si>
    <t>a1b3p000006eF3RAAU</t>
  </si>
  <si>
    <t>a1b3p000006eF4jAAE</t>
  </si>
  <si>
    <t>a1b3p000006eF61AAE</t>
  </si>
  <si>
    <t>a1b3p000006eF7JAAU</t>
  </si>
  <si>
    <t>a1b3p000006eF8bAAE</t>
  </si>
  <si>
    <t>a1b3p000006eF9tAAE</t>
  </si>
  <si>
    <t>a1b3p000006eF3SAAU</t>
  </si>
  <si>
    <t>a1b3p000006eF4kAAE</t>
  </si>
  <si>
    <t>a1b3p000006eF62AAE</t>
  </si>
  <si>
    <t>a1b3p000006eF7KAAU</t>
  </si>
  <si>
    <t>a1b3p000006eF8cAAE</t>
  </si>
  <si>
    <t>a1b3p000006eF9uAAE</t>
  </si>
  <si>
    <t>a1b3p000006eF3TAAU</t>
  </si>
  <si>
    <t>a1b3p000006eF4lAAE</t>
  </si>
  <si>
    <t>a1b3p000006eF63AAE</t>
  </si>
  <si>
    <t>a1b3p000006eF7LAAU</t>
  </si>
  <si>
    <t>a1b3p000006eF8dAAE</t>
  </si>
  <si>
    <t>a1b3p000006eF9vAAE</t>
  </si>
  <si>
    <t>a1b3p000006eF3UAAU</t>
  </si>
  <si>
    <t>a1b3p000006eF4mAAE</t>
  </si>
  <si>
    <t>a1b3p000006eF64AAE</t>
  </si>
  <si>
    <t>a1b3p000006eF7MAAU</t>
  </si>
  <si>
    <t>a1b3p000006eF8eAAE</t>
  </si>
  <si>
    <t>a1b3p000006eF9wAAE</t>
  </si>
  <si>
    <t>a1b3p000006eF3VAAU</t>
  </si>
  <si>
    <t>a1b3p000006eF4nAAE</t>
  </si>
  <si>
    <t>a1b3p000006eF65AAE</t>
  </si>
  <si>
    <t>a1b3p000006eF7NAAU</t>
  </si>
  <si>
    <t>a1b3p000006eF8fAAE</t>
  </si>
  <si>
    <t>a1b3p000006eF9xAAE</t>
  </si>
  <si>
    <t>a1b3p000006eF3WAAU</t>
  </si>
  <si>
    <t>a1b3p000006eF4oAAE</t>
  </si>
  <si>
    <t>a1b3p000006eF66AAE</t>
  </si>
  <si>
    <t>a1b3p000006eF7OAAU</t>
  </si>
  <si>
    <t>a1b3p000006eF8gAAE</t>
  </si>
  <si>
    <t>a1b3p000006eF9yAAE</t>
  </si>
  <si>
    <t>a1b3p000006eF3XAAU</t>
  </si>
  <si>
    <t>a1b3p000006eF4pAAE</t>
  </si>
  <si>
    <t>a1b3p000006eF67AAE</t>
  </si>
  <si>
    <t>a1b3p000006eF7PAAU</t>
  </si>
  <si>
    <t>a1b3p000006eF8hAAE</t>
  </si>
  <si>
    <t>a1b3p000006eF9zAAE</t>
  </si>
  <si>
    <t>a1b3p000006eF3YAAU</t>
  </si>
  <si>
    <t>a1b3p000006eF4qAAE</t>
  </si>
  <si>
    <t>a1b3p000006eF68AAE</t>
  </si>
  <si>
    <t>a1b3p000006eF7QAAU</t>
  </si>
  <si>
    <t>a1b3p000006eF8iAAE</t>
  </si>
  <si>
    <t>a1b3p000006eFA0AAM</t>
  </si>
  <si>
    <t>a1b3p000006eF3ZAAU</t>
  </si>
  <si>
    <t>a1b3p000006eF4rAAE</t>
  </si>
  <si>
    <t>a1b3p000006eF69AAE</t>
  </si>
  <si>
    <t>a1b3p000006eF7RAAU</t>
  </si>
  <si>
    <t>a1b3p000006eF8jAAE</t>
  </si>
  <si>
    <t>a1b3p000006eFA1AAM</t>
  </si>
  <si>
    <t>Row Count</t>
  </si>
  <si>
    <t>Section B</t>
  </si>
  <si>
    <t>Section C</t>
  </si>
  <si>
    <t>Sectiond D - Top</t>
  </si>
  <si>
    <t>Section E -top</t>
  </si>
  <si>
    <t>Section E - middle</t>
  </si>
  <si>
    <t>Section E - bottom</t>
  </si>
  <si>
    <t>Section f</t>
  </si>
  <si>
    <t>population section a distinct</t>
  </si>
  <si>
    <t>Merged Row</t>
  </si>
  <si>
    <t>section b start</t>
  </si>
  <si>
    <t>section c start</t>
  </si>
  <si>
    <t>section d start</t>
  </si>
  <si>
    <t>section e top start</t>
  </si>
  <si>
    <t>section e middle start</t>
  </si>
  <si>
    <t>section e bottom start</t>
  </si>
  <si>
    <t>section f start</t>
  </si>
  <si>
    <t>Scope of targets</t>
  </si>
  <si>
    <t>cumulative type</t>
  </si>
  <si>
    <t>pr list merged with blank</t>
  </si>
  <si>
    <t>pr distinct without duplicate</t>
  </si>
  <si>
    <t>Geographic National, 100% of national program target</t>
  </si>
  <si>
    <t>Geographic Subnational, 100% of national program target</t>
  </si>
  <si>
    <t>Geographic Subnational, less than 100% national program target</t>
  </si>
  <si>
    <t>count impact indicator</t>
  </si>
  <si>
    <t>count impact indicator targets</t>
  </si>
  <si>
    <t>count Outcome Indicators</t>
  </si>
  <si>
    <t>count Outcome Indicators targets</t>
  </si>
  <si>
    <t>count coverage indicators</t>
  </si>
  <si>
    <t xml:space="preserve">coverage disaggregation </t>
  </si>
  <si>
    <t>coverage indic. Targets</t>
  </si>
  <si>
    <t>date format</t>
  </si>
  <si>
    <t>no. records to process</t>
  </si>
  <si>
    <t>cyclic number</t>
  </si>
  <si>
    <t>unique key</t>
  </si>
  <si>
    <t>impactIndicator number</t>
  </si>
  <si>
    <t>impIndResID</t>
  </si>
  <si>
    <t>impIndID</t>
  </si>
  <si>
    <t>impIndRowNo</t>
  </si>
  <si>
    <t>Language</t>
  </si>
  <si>
    <t>Label</t>
  </si>
  <si>
    <t>English</t>
  </si>
  <si>
    <t>French</t>
  </si>
  <si>
    <t>Language:</t>
  </si>
  <si>
    <t>Langue :</t>
  </si>
  <si>
    <t>Performance Framework  - Overview - Section A</t>
  </si>
  <si>
    <r>
      <rPr>
        <sz val="11"/>
        <color indexed="8"/>
        <rFont val="Calibri"/>
        <family val="2"/>
      </rPr>
      <t xml:space="preserve">Cadre de performance  - </t>
    </r>
    <r>
      <rPr>
        <sz val="11"/>
        <color indexed="10"/>
        <rFont val="Calibri"/>
        <family val="2"/>
      </rPr>
      <t xml:space="preserve">Orientation générale </t>
    </r>
    <r>
      <rPr>
        <sz val="11"/>
        <color indexed="8"/>
        <rFont val="Calibri"/>
        <family val="2"/>
      </rPr>
      <t xml:space="preserve"> - Section A</t>
    </r>
  </si>
  <si>
    <t>Marco de desempeño  - Descripción General - Sección A</t>
  </si>
  <si>
    <t>Country/Geography</t>
  </si>
  <si>
    <t>Pays / Candidat</t>
  </si>
  <si>
    <t>País / Solicitante:</t>
  </si>
  <si>
    <t>Grant Name/Funding Request Name</t>
  </si>
  <si>
    <t>Nom de la subvention / Nom de la demande de financement</t>
  </si>
  <si>
    <t>Nombre de la Subvención/Nombre de la solicitud de financiamiento</t>
  </si>
  <si>
    <t>Implementation Period Start Date</t>
  </si>
  <si>
    <t>Date de début du programme</t>
  </si>
  <si>
    <t>Fecha de inicio del programa</t>
  </si>
  <si>
    <t>Implementation Period End Date</t>
  </si>
  <si>
    <t>Date de fin du programme</t>
  </si>
  <si>
    <t>Fecha final del programa</t>
  </si>
  <si>
    <t>Reporting Frequency</t>
  </si>
  <si>
    <t>Fréquence du rapportage programmatique</t>
  </si>
  <si>
    <t>Frecuencia del período de reporte programático</t>
  </si>
  <si>
    <t>Allocation Utilization Period Start Date</t>
  </si>
  <si>
    <t>Date de début de la période d'utilisation des allocations</t>
  </si>
  <si>
    <t>Fecha de inicio del período de uso de la asignación</t>
  </si>
  <si>
    <t>Allocation Utilization Period End Date</t>
  </si>
  <si>
    <t>Date de fin de la période d'utilisation des allocations</t>
  </si>
  <si>
    <t xml:space="preserve">Fecha de término del período de uso de la asignación </t>
  </si>
  <si>
    <t>Page Navigation</t>
  </si>
  <si>
    <t>Navigation de page</t>
  </si>
  <si>
    <t>Component Name</t>
  </si>
  <si>
    <t>Composante</t>
  </si>
  <si>
    <t>Componente</t>
  </si>
  <si>
    <t>Principal Recipient Number</t>
  </si>
  <si>
    <t>Numéro du Récipiendaire Principal</t>
  </si>
  <si>
    <t xml:space="preserve">Número del Receptor Principal </t>
  </si>
  <si>
    <t>Principal Recipient Name</t>
  </si>
  <si>
    <r>
      <rPr>
        <sz val="11"/>
        <color indexed="8"/>
        <rFont val="Calibri"/>
        <family val="2"/>
      </rPr>
      <t>Récipiendair</t>
    </r>
    <r>
      <rPr>
        <sz val="11"/>
        <color indexed="10"/>
        <rFont val="Calibri"/>
        <family val="2"/>
      </rPr>
      <t xml:space="preserve">e </t>
    </r>
    <r>
      <rPr>
        <sz val="11"/>
        <color indexed="8"/>
        <rFont val="Calibri"/>
        <family val="2"/>
      </rPr>
      <t>Principal</t>
    </r>
  </si>
  <si>
    <t>Nombre del Receptor Principal</t>
  </si>
  <si>
    <r>
      <rPr>
        <b/>
        <sz val="12"/>
        <color indexed="8"/>
        <rFont val="Calibri"/>
        <family val="2"/>
      </rPr>
      <t>Principal Recipient Name</t>
    </r>
    <r>
      <rPr>
        <sz val="11"/>
        <color indexed="8"/>
        <rFont val="Calibri"/>
        <family val="2"/>
      </rPr>
      <t xml:space="preserve"> (Select PRs that have previously had Grants with the Global Fund)</t>
    </r>
  </si>
  <si>
    <t>Nom du Récipiendaire Principal (Sélectionnez les PR ayant déjà bénéficié de subventions avec le Fonds mondial)</t>
  </si>
  <si>
    <t>Nombre del Receptor Principal (Seleccione los RP que han tenido subvenciones con el Fondo Mundial previamente)</t>
  </si>
  <si>
    <t xml:space="preserve">Reporting Period </t>
  </si>
  <si>
    <t>Périodes de rapportage</t>
  </si>
  <si>
    <t>Período de reporte</t>
  </si>
  <si>
    <t>Period Start Date</t>
  </si>
  <si>
    <t>Date de début de la période</t>
  </si>
  <si>
    <t>Period End Date</t>
  </si>
  <si>
    <t xml:space="preserve">Date de fin de la période </t>
  </si>
  <si>
    <t>Fecha de término del período</t>
  </si>
  <si>
    <t>PUDR Due</t>
  </si>
  <si>
    <t xml:space="preserve">Date d'échéance du PUDR </t>
  </si>
  <si>
    <t>Fecha de envío del PUDR</t>
  </si>
  <si>
    <t>Submission date</t>
  </si>
  <si>
    <t>Date de Remise du Rapport</t>
  </si>
  <si>
    <t>Fecha de envío</t>
  </si>
  <si>
    <t>Goals</t>
  </si>
  <si>
    <t>Buts</t>
  </si>
  <si>
    <t xml:space="preserve">Metas </t>
  </si>
  <si>
    <t>Goal Number</t>
  </si>
  <si>
    <t>Numéro du but</t>
  </si>
  <si>
    <t>Número de meta</t>
  </si>
  <si>
    <t>Goal Description</t>
  </si>
  <si>
    <t>Description du but</t>
  </si>
  <si>
    <t>Descripción de meta</t>
  </si>
  <si>
    <t>Objectives</t>
  </si>
  <si>
    <t>Objectifs</t>
  </si>
  <si>
    <t>Objetivos</t>
  </si>
  <si>
    <t>Objective Number</t>
  </si>
  <si>
    <t xml:space="preserve">Numéro de l'objectif </t>
  </si>
  <si>
    <t>Número de objetivo</t>
  </si>
  <si>
    <t>Objective Description</t>
  </si>
  <si>
    <t>Description de l'objectif</t>
  </si>
  <si>
    <t>Descripción de objetivos</t>
  </si>
  <si>
    <t>Modules</t>
  </si>
  <si>
    <t>Módulos</t>
  </si>
  <si>
    <t>Module Number</t>
  </si>
  <si>
    <t>Numéro du module</t>
  </si>
  <si>
    <t>Número de módulo</t>
  </si>
  <si>
    <t>Nom du module</t>
  </si>
  <si>
    <t>Nombre del módulo</t>
  </si>
  <si>
    <t>Only required if you have Work plan Tracking Measures</t>
  </si>
  <si>
    <t>Requis uniquement si vous avez des mesures de suivi du plan de travail</t>
  </si>
  <si>
    <t>Solo se requiere si tiene Medidas de Seguimiento al Plan de Trabajo</t>
  </si>
  <si>
    <t>Intervention Number</t>
  </si>
  <si>
    <t>Numéro de l'intervention</t>
  </si>
  <si>
    <t>Número de intervención</t>
  </si>
  <si>
    <t>Standard Intervention</t>
  </si>
  <si>
    <t>Intervention standard</t>
  </si>
  <si>
    <t xml:space="preserve">Intervención estándar </t>
  </si>
  <si>
    <t>Custom Intervention (only if "Other" intervention is chosen)</t>
  </si>
  <si>
    <t>Intervention personnalisée (uniquement si "Autre" intervention est choisie)</t>
  </si>
  <si>
    <t>Intervención personalizada (solo si selecciona "otras" intervenciones)</t>
  </si>
  <si>
    <t>Performance Framework - Impact Indicators - Section B</t>
  </si>
  <si>
    <r>
      <rPr>
        <sz val="11"/>
        <color indexed="8"/>
        <rFont val="Calibri"/>
        <family val="2"/>
      </rPr>
      <t xml:space="preserve">Cadre de performance - </t>
    </r>
    <r>
      <rPr>
        <sz val="11"/>
        <color indexed="10"/>
        <rFont val="Calibri"/>
        <family val="2"/>
      </rPr>
      <t>Indicateurs d'impact</t>
    </r>
    <r>
      <rPr>
        <sz val="11"/>
        <color indexed="8"/>
        <rFont val="Calibri"/>
        <family val="2"/>
      </rPr>
      <t xml:space="preserve"> - Section B</t>
    </r>
  </si>
  <si>
    <t>Marco de desempeño - Indicadores de Impacto- Sección B</t>
  </si>
  <si>
    <t xml:space="preserve">Numéro de l'indicateurs d’impact </t>
  </si>
  <si>
    <t xml:space="preserve">Indicador de impacto número </t>
  </si>
  <si>
    <t>Standard Indicator</t>
  </si>
  <si>
    <r>
      <rPr>
        <sz val="11"/>
        <color indexed="8"/>
        <rFont val="Calibri"/>
        <family val="2"/>
      </rPr>
      <t>Indicateu</t>
    </r>
    <r>
      <rPr>
        <sz val="11"/>
        <color indexed="10"/>
        <rFont val="Calibri"/>
        <family val="2"/>
      </rPr>
      <t>r</t>
    </r>
    <r>
      <rPr>
        <sz val="11"/>
        <color indexed="8"/>
        <rFont val="Calibri"/>
        <family val="2"/>
      </rPr>
      <t xml:space="preserve"> standard</t>
    </r>
  </si>
  <si>
    <r>
      <rPr>
        <sz val="11"/>
        <color indexed="8"/>
        <rFont val="Calibri"/>
        <family val="2"/>
      </rPr>
      <t>Indicateu</t>
    </r>
    <r>
      <rPr>
        <sz val="11"/>
        <color indexed="10"/>
        <rFont val="Calibri"/>
        <family val="2"/>
      </rPr>
      <t xml:space="preserve">r </t>
    </r>
    <r>
      <rPr>
        <sz val="11"/>
        <color indexed="8"/>
        <rFont val="Calibri"/>
        <family val="2"/>
      </rPr>
      <t>personnalisé</t>
    </r>
  </si>
  <si>
    <t>Baseline #N
Baseline #D</t>
  </si>
  <si>
    <t>Référence #N
Référence #D</t>
  </si>
  <si>
    <t>Línea de base #N
Línea de base #D</t>
  </si>
  <si>
    <t>Référence %</t>
  </si>
  <si>
    <t>Référence Année</t>
  </si>
  <si>
    <t>Référence Source</t>
  </si>
  <si>
    <t>Cadre de performance  - Orientation générale - Section A</t>
  </si>
  <si>
    <t>Principal Recipients</t>
  </si>
  <si>
    <t xml:space="preserve">Récipiendaires principaux </t>
  </si>
  <si>
    <t>Receptores principales</t>
  </si>
  <si>
    <t>Reporting Periods</t>
  </si>
  <si>
    <t>Instructions</t>
  </si>
  <si>
    <t>Instrucciones</t>
  </si>
  <si>
    <t>New Principal Recipient Name (use if the entity has never been a Global Fund PR or does not appear in dropdown list in previous column)</t>
  </si>
  <si>
    <t>Nouveau Récipiendaire principal  (à utiliser si l'entité n'a jamais été un RP du Fonds mondial ou n'apparaît pas dans la liste déroulante de la colonne précédente)</t>
  </si>
  <si>
    <t xml:space="preserve">Nuevo Receptor principal (utilice si la entidad nunca ha sido RP del Fondo Mundial o no aparece en la lista desplegable de las columnas anteriores) </t>
  </si>
  <si>
    <t>Required Disaggregation</t>
  </si>
  <si>
    <t>Désaggrégation obligatoire</t>
  </si>
  <si>
    <t>Desagregación requerida</t>
  </si>
  <si>
    <t xml:space="preserve">Récipiendaire principal responsable </t>
  </si>
  <si>
    <t>Pays</t>
  </si>
  <si>
    <t>Target #N</t>
  </si>
  <si>
    <t>Cible N#</t>
  </si>
  <si>
    <t>Meta N#</t>
  </si>
  <si>
    <t>Target #D</t>
  </si>
  <si>
    <t>Cible D#</t>
  </si>
  <si>
    <t>Meta D#</t>
  </si>
  <si>
    <t>Date de remise du rapport</t>
  </si>
  <si>
    <t>Mark if target is TBD</t>
  </si>
  <si>
    <t>Marquer si la cible est à déterminer “TBD”</t>
  </si>
  <si>
    <t>Commentaires</t>
  </si>
  <si>
    <t>Performance Framework -Outcome Indicators - Section C</t>
  </si>
  <si>
    <t>Cadre de performance - Indicateurs de résultats - Section C</t>
  </si>
  <si>
    <t>Marco de desempeño - Indicadores de Resultado - Sección C</t>
  </si>
  <si>
    <t xml:space="preserve">Résultats </t>
  </si>
  <si>
    <t>Resultado</t>
  </si>
  <si>
    <t>Indicator</t>
  </si>
  <si>
    <t xml:space="preserve">Indicateur </t>
  </si>
  <si>
    <t>Indicador</t>
  </si>
  <si>
    <t>Number</t>
  </si>
  <si>
    <t>Numéro</t>
  </si>
  <si>
    <t>Número</t>
  </si>
  <si>
    <t>Cible %</t>
  </si>
  <si>
    <t>Meta %</t>
  </si>
  <si>
    <t>Performance Framework - Coverage Indicators - Section D</t>
  </si>
  <si>
    <t>Cadre de performance -Indicateurs de couverture - Section D</t>
  </si>
  <si>
    <t>Marco de desempeño - Indicadores de cobertura - Sección D</t>
  </si>
  <si>
    <t xml:space="preserve">Numéro de l'indicateur de couverture </t>
  </si>
  <si>
    <t xml:space="preserve">Número del Indicador de cobertura </t>
  </si>
  <si>
    <t>Include in GF results</t>
  </si>
  <si>
    <t xml:space="preserve">Inclure dans les résultats du Fonds mondial </t>
  </si>
  <si>
    <t>Incluir en resultados del FM</t>
  </si>
  <si>
    <t>Country / Scope of targets</t>
  </si>
  <si>
    <t>Pays/ Portée des cibles</t>
  </si>
  <si>
    <t>País / Alcance de las metas</t>
  </si>
  <si>
    <t>Cumulation type</t>
  </si>
  <si>
    <t>Type de cumulation</t>
  </si>
  <si>
    <t>Performance Framework - Disaggregation - Section E</t>
  </si>
  <si>
    <t>Cadre de performance - Désagrégation - Section E</t>
  </si>
  <si>
    <t>Marco de desempeño - Desagregación - Sección E</t>
  </si>
  <si>
    <t>Impacto</t>
  </si>
  <si>
    <t>Coverage</t>
  </si>
  <si>
    <t>Couverture</t>
  </si>
  <si>
    <t>Cobertura</t>
  </si>
  <si>
    <t xml:space="preserve">Désagrégation de l'indicateur d'impact </t>
  </si>
  <si>
    <t>Desagregación del Indicador de impacto</t>
  </si>
  <si>
    <t xml:space="preserve">Impact Indicator Name </t>
  </si>
  <si>
    <t xml:space="preserve">Nom de l'indicateur d’impact </t>
  </si>
  <si>
    <t>Nombre del indicador de impacto</t>
  </si>
  <si>
    <t>Category</t>
  </si>
  <si>
    <t>Catégorie</t>
  </si>
  <si>
    <t>Categoría</t>
  </si>
  <si>
    <t>Désagrégation</t>
  </si>
  <si>
    <t>Desagregación</t>
  </si>
  <si>
    <t xml:space="preserve">Désagrégation de l'indicateur de résultat </t>
  </si>
  <si>
    <t xml:space="preserve">Desagregación del indicador de resultados </t>
  </si>
  <si>
    <t>Numéro de l'indicateur de résultat</t>
  </si>
  <si>
    <t>Número del indicador de resultado</t>
  </si>
  <si>
    <t xml:space="preserve">Resultados </t>
  </si>
  <si>
    <t xml:space="preserve">Outcome Indicator Name </t>
  </si>
  <si>
    <t xml:space="preserve">Nom de l'indicateur de résultats </t>
  </si>
  <si>
    <t>Nombre del indicador de resultado</t>
  </si>
  <si>
    <t xml:space="preserve">Désagrégation de l'indicateur de couverture </t>
  </si>
  <si>
    <t>Desagregación del indicador de cobertura</t>
  </si>
  <si>
    <r>
      <rPr>
        <sz val="11"/>
        <color indexed="10"/>
        <rFont val="Calibri"/>
        <family val="2"/>
      </rPr>
      <t>Numéro de l'i</t>
    </r>
    <r>
      <rPr>
        <sz val="11"/>
        <color indexed="8"/>
        <rFont val="Calibri"/>
        <family val="2"/>
      </rPr>
      <t xml:space="preserve">ndicateur de couverture </t>
    </r>
  </si>
  <si>
    <t>Número del indicador de cobertura</t>
  </si>
  <si>
    <t xml:space="preserve">Coverage Indicator Name </t>
  </si>
  <si>
    <r>
      <rPr>
        <sz val="11"/>
        <color indexed="10"/>
        <rFont val="Calibri"/>
        <family val="2"/>
      </rPr>
      <t>Nom de l'in</t>
    </r>
    <r>
      <rPr>
        <sz val="11"/>
        <color indexed="8"/>
        <rFont val="Calibri"/>
        <family val="2"/>
      </rPr>
      <t>dicateur de couverture</t>
    </r>
  </si>
  <si>
    <t>Nombre del indicador de cobertura</t>
  </si>
  <si>
    <t>Performance Framework - WPTM - Section F</t>
  </si>
  <si>
    <r>
      <rPr>
        <sz val="11"/>
        <color indexed="8"/>
        <rFont val="Calibri"/>
        <family val="2"/>
      </rPr>
      <t xml:space="preserve">Cadre de performance - </t>
    </r>
    <r>
      <rPr>
        <sz val="11"/>
        <color indexed="10"/>
        <rFont val="Calibri"/>
        <family val="2"/>
      </rPr>
      <t>MSPT</t>
    </r>
    <r>
      <rPr>
        <sz val="11"/>
        <color indexed="8"/>
        <rFont val="Calibri"/>
        <family val="2"/>
      </rPr>
      <t xml:space="preserve"> - Section E</t>
    </r>
  </si>
  <si>
    <t>Marco de desempeño - MSPT - Sección E</t>
  </si>
  <si>
    <t xml:space="preserve">Número </t>
  </si>
  <si>
    <t>Activité principale</t>
  </si>
  <si>
    <t>Actividad clave</t>
  </si>
  <si>
    <t xml:space="preserve">Repères/ Description de la cible </t>
  </si>
  <si>
    <t>Hitos/ Descripción de la meta</t>
  </si>
  <si>
    <t>Criteria for Completion</t>
  </si>
  <si>
    <t>Critère de réalisation</t>
  </si>
  <si>
    <t>Criterios para la finalización</t>
  </si>
  <si>
    <t>Performance Framework</t>
  </si>
  <si>
    <t>Cadre de résultats</t>
  </si>
  <si>
    <t>Marco de desempeño</t>
  </si>
  <si>
    <t>Fréquence de la période de rapportage programmatique</t>
  </si>
  <si>
    <t>Impact Indicators</t>
  </si>
  <si>
    <t>Indicateurs d’impact</t>
  </si>
  <si>
    <t>Indicadores de impacto</t>
  </si>
  <si>
    <t>No.</t>
  </si>
  <si>
    <t>Custom Impact Indicator</t>
  </si>
  <si>
    <r>
      <rPr>
        <sz val="11"/>
        <color indexed="8"/>
        <rFont val="Calibri"/>
        <family val="2"/>
      </rPr>
      <t>Indicateu</t>
    </r>
    <r>
      <rPr>
        <sz val="11"/>
        <color indexed="10"/>
        <rFont val="Calibri"/>
        <family val="2"/>
      </rPr>
      <t>r</t>
    </r>
    <r>
      <rPr>
        <sz val="11"/>
        <color indexed="8"/>
        <rFont val="Calibri"/>
        <family val="2"/>
      </rPr>
      <t xml:space="preserve"> d’impact personnalisé</t>
    </r>
  </si>
  <si>
    <t>Indicador de impacto personalizado</t>
  </si>
  <si>
    <t>Baseline Value</t>
  </si>
  <si>
    <t>Valeur de référence</t>
  </si>
  <si>
    <t>Valor de línea de base</t>
  </si>
  <si>
    <t>Baseline Year &amp; Source</t>
  </si>
  <si>
    <t>Année de la référence &amp; Source</t>
  </si>
  <si>
    <t>Año y fuente de la línea de base</t>
  </si>
  <si>
    <t>Target Value</t>
  </si>
  <si>
    <t>Valeur de la cible</t>
  </si>
  <si>
    <t>Valor de la meta</t>
  </si>
  <si>
    <t>Outcome Indicators</t>
  </si>
  <si>
    <r>
      <rPr>
        <sz val="11"/>
        <color indexed="8"/>
        <rFont val="Calibri"/>
        <family val="2"/>
      </rPr>
      <t xml:space="preserve">Indicateurs de </t>
    </r>
    <r>
      <rPr>
        <sz val="11"/>
        <color indexed="10"/>
        <rFont val="Calibri"/>
        <family val="2"/>
      </rPr>
      <t>résultats</t>
    </r>
  </si>
  <si>
    <t xml:space="preserve">Indicadores de resultados </t>
  </si>
  <si>
    <t>Coverage Indicators</t>
  </si>
  <si>
    <t>Indicateurs de couverture</t>
  </si>
  <si>
    <t>Indicadores de cobertura</t>
  </si>
  <si>
    <t>Workplan Tracking Measures</t>
  </si>
  <si>
    <t xml:space="preserve">Mesures de Suivi du Plan de Travail </t>
  </si>
  <si>
    <t>Milestones</t>
  </si>
  <si>
    <t>Repères</t>
  </si>
  <si>
    <t>Hitos</t>
  </si>
  <si>
    <t>Dates</t>
  </si>
  <si>
    <t>Fechas</t>
  </si>
  <si>
    <t>Yes</t>
  </si>
  <si>
    <t>Oui</t>
  </si>
  <si>
    <t>Non</t>
  </si>
  <si>
    <t>Coverage Indicator</t>
  </si>
  <si>
    <t>Indicateur de couverture</t>
  </si>
  <si>
    <t>Indicador de cobertura</t>
  </si>
  <si>
    <t xml:space="preserve">Estudio de Vigilancia Bioconductual 2021
</t>
  </si>
  <si>
    <r>
      <rPr>
        <b/>
        <sz val="12"/>
        <color theme="1"/>
        <rFont val="Calibri"/>
        <family val="2"/>
        <scheme val="minor"/>
      </rPr>
      <t>Línea de base</t>
    </r>
    <r>
      <rPr>
        <sz val="12"/>
        <color theme="1"/>
        <rFont val="Calibri"/>
        <family val="2"/>
        <scheme val="minor"/>
      </rPr>
      <t xml:space="preserve">: Resultados del estudio Bioconductual en población Gay, Bisexuales y otros hombres que tienen sexo con hombres (GB-HSH) realizado en 2021, desarrollado en las ciudades de La Paz, El Alto, Cochabamba y Santa Cruz. Incluye solo personas que tuvieron relaciones con parejas ocasionales.
</t>
    </r>
    <r>
      <rPr>
        <b/>
        <sz val="12"/>
        <color theme="1"/>
        <rFont val="Calibri"/>
        <family val="2"/>
        <scheme val="minor"/>
      </rPr>
      <t>Método de Medición</t>
    </r>
    <r>
      <rPr>
        <sz val="12"/>
        <color theme="1"/>
        <rFont val="Calibri"/>
        <family val="2"/>
        <scheme val="minor"/>
      </rPr>
      <t xml:space="preserve">: La fuente de información es un “Estudio de Prevalencia de ITS/VIH y Hepatitis B en población GB-HSH” a realizarse al finalizar la subvención. </t>
    </r>
  </si>
  <si>
    <t>Biobehavioral Surveillance Study 2021.</t>
  </si>
  <si>
    <r>
      <rPr>
        <b/>
        <sz val="12"/>
        <color theme="1"/>
        <rFont val="Calibri"/>
        <family val="2"/>
        <scheme val="minor"/>
      </rPr>
      <t>Baseline:</t>
    </r>
    <r>
      <rPr>
        <sz val="12"/>
        <color theme="1"/>
        <rFont val="Calibri"/>
        <family val="2"/>
        <scheme val="minor"/>
      </rPr>
      <t xml:space="preserve"> Results of the Biobehavioral study in the Gay, Bisexual and other men who have sex with men (GB-HSH) population conducted in 2021, developed in the cities of La Paz, El Alto, Cochabamba and Santa Cruz. Includes only people who had relationships with casual partners.
</t>
    </r>
    <r>
      <rPr>
        <b/>
        <sz val="12"/>
        <color theme="1"/>
        <rFont val="Calibri"/>
        <family val="2"/>
        <scheme val="minor"/>
      </rPr>
      <t xml:space="preserve">Measurement Method: </t>
    </r>
    <r>
      <rPr>
        <sz val="12"/>
        <color theme="1"/>
        <rFont val="Calibri"/>
        <family val="2"/>
        <scheme val="minor"/>
      </rPr>
      <t xml:space="preserve">The source of information is a "Prevalence Study of STI/HIV and Hepatitis B in GB-HSH population" to be conducted at the end of the grant. </t>
    </r>
  </si>
  <si>
    <r>
      <rPr>
        <b/>
        <sz val="12"/>
        <color theme="1"/>
        <rFont val="Calibri"/>
        <family val="2"/>
        <scheme val="minor"/>
      </rPr>
      <t>Línea de base:</t>
    </r>
    <r>
      <rPr>
        <sz val="12"/>
        <color theme="1"/>
        <rFont val="Calibri"/>
        <family val="2"/>
        <scheme val="minor"/>
      </rPr>
      <t xml:space="preserve"> Resultados del estudio Bioconductual en población de mujeres transgénero, realizado en 2021, desarrollado en las ciudades de La Paz, El Alto, Cochabamba, Santa Cruz y Trinidad.  Incluye solo personas que tuvieron relaciones con parejas comerciales
</t>
    </r>
    <r>
      <rPr>
        <b/>
        <sz val="12"/>
        <color theme="1"/>
        <rFont val="Calibri"/>
        <family val="2"/>
        <scheme val="minor"/>
      </rPr>
      <t>Método de Medición:</t>
    </r>
    <r>
      <rPr>
        <sz val="12"/>
        <color theme="1"/>
        <rFont val="Calibri"/>
        <family val="2"/>
        <scheme val="minor"/>
      </rPr>
      <t xml:space="preserve"> La fuente de información es un “Estudio de Prevalencia de ITS/VIH y Hepatitis B en población Transgénero” a realizarse al finalizar la subvención.</t>
    </r>
  </si>
  <si>
    <t>Biobehavioral Surveillance Study 2021</t>
  </si>
  <si>
    <r>
      <rPr>
        <b/>
        <sz val="12"/>
        <color theme="1"/>
        <rFont val="Calibri"/>
        <family val="2"/>
        <scheme val="minor"/>
      </rPr>
      <t xml:space="preserve">Baseline: </t>
    </r>
    <r>
      <rPr>
        <sz val="12"/>
        <color theme="1"/>
        <rFont val="Calibri"/>
        <family val="2"/>
        <scheme val="minor"/>
      </rPr>
      <t xml:space="preserve">Results of the Biobehavioral study in the population of transgender women, conducted in 2021, developed in the cities of La Paz, El Alto, Cochabamba, Santa Cruz and Trinidad.  Includes only people who had relationships with commercial partners.
</t>
    </r>
    <r>
      <rPr>
        <b/>
        <sz val="12"/>
        <color theme="1"/>
        <rFont val="Calibri"/>
        <family val="2"/>
        <scheme val="minor"/>
      </rPr>
      <t>Measurement Method</t>
    </r>
    <r>
      <rPr>
        <sz val="12"/>
        <color theme="1"/>
        <rFont val="Calibri"/>
        <family val="2"/>
        <scheme val="minor"/>
      </rPr>
      <t>: The source of information is a "Prevalence Study of STI/HIV and Hepatitis B in Transgender population" to be conducted at the end of the grant.</t>
    </r>
  </si>
  <si>
    <t>Estudio de Vigilancia de Segunda Generación realizado en 2010</t>
  </si>
  <si>
    <r>
      <rPr>
        <b/>
        <sz val="12"/>
        <color theme="1"/>
        <rFont val="Calibri"/>
        <family val="2"/>
        <scheme val="minor"/>
      </rPr>
      <t>Línea de base:</t>
    </r>
    <r>
      <rPr>
        <sz val="12"/>
        <color theme="1"/>
        <rFont val="Calibri"/>
        <family val="2"/>
        <scheme val="minor"/>
      </rPr>
      <t xml:space="preserve"> La cifra está basada en el Estudio de Vigilancia de Segunda Generación realizado en 2010 desarrollado en las ciudades de La Paz, El Alto, Cochabamba y Santa Cruz
</t>
    </r>
    <r>
      <rPr>
        <b/>
        <sz val="12"/>
        <color theme="1"/>
        <rFont val="Calibri"/>
        <family val="2"/>
        <scheme val="minor"/>
      </rPr>
      <t>Método de Medición</t>
    </r>
    <r>
      <rPr>
        <sz val="12"/>
        <color theme="1"/>
        <rFont val="Calibri"/>
        <family val="2"/>
        <scheme val="minor"/>
      </rPr>
      <t xml:space="preserve">: La fuente de información es un “Estudio de Prevalencia de ITS/VIH y Hepatitis B en población de Trabajadoras Sexuales” a realizarse al finalizar la subvención, con recursos por encima de lo asignado y/o con eficiencias de la subvención. </t>
    </r>
  </si>
  <si>
    <t>Second Generation Surveillance Study conducted in 2010</t>
  </si>
  <si>
    <r>
      <rPr>
        <b/>
        <sz val="12"/>
        <color theme="1"/>
        <rFont val="Calibri"/>
        <family val="2"/>
        <scheme val="minor"/>
      </rPr>
      <t xml:space="preserve">Baseline: </t>
    </r>
    <r>
      <rPr>
        <sz val="12"/>
        <color theme="1"/>
        <rFont val="Calibri"/>
        <family val="2"/>
        <scheme val="minor"/>
      </rPr>
      <t xml:space="preserve">The figure is based on the Second Generation Surveillance Study conducted in 2010 in the cities of La Paz, El Alto, Cochabamba and Santa Cruz.
</t>
    </r>
    <r>
      <rPr>
        <b/>
        <sz val="12"/>
        <color theme="1"/>
        <rFont val="Calibri"/>
        <family val="2"/>
        <scheme val="minor"/>
      </rPr>
      <t>Measurement Method</t>
    </r>
    <r>
      <rPr>
        <sz val="12"/>
        <color theme="1"/>
        <rFont val="Calibri"/>
        <family val="2"/>
        <scheme val="minor"/>
      </rPr>
      <t>: The source of information is a "Prevalence Study of STI/HIV and Hepatitis B in Sex Worker population" to be conducted at the end of the grant, with resources over allocation and/or grant efficiencies.</t>
    </r>
  </si>
  <si>
    <t>Reporte de la Unidad de Vigilancia Epidemiologica - Componente VIH - SIMONE</t>
  </si>
  <si>
    <r>
      <rPr>
        <b/>
        <sz val="12"/>
        <color theme="1"/>
        <rFont val="Calibri"/>
        <family val="2"/>
        <scheme val="minor"/>
      </rPr>
      <t xml:space="preserve">Línea de Base: </t>
    </r>
    <r>
      <rPr>
        <sz val="12"/>
        <color theme="1"/>
        <rFont val="Calibri"/>
        <family val="2"/>
        <scheme val="minor"/>
      </rPr>
      <t xml:space="preserve">La línea de base corresponde al análisis de la cascada de atención de VIH del año 2021 (pilar de Carga Viral y pilar CV Suprimida) a las que se excluyó las PVV con inicio de TARGA reciente (&lt; de 6 meses).                                                                                                                                                                     </t>
    </r>
    <r>
      <rPr>
        <b/>
        <sz val="12"/>
        <color theme="1"/>
        <rFont val="Calibri"/>
        <family val="2"/>
        <scheme val="minor"/>
      </rPr>
      <t>Método de Medición</t>
    </r>
    <r>
      <rPr>
        <sz val="12"/>
        <color theme="1"/>
        <rFont val="Calibri"/>
        <family val="2"/>
        <scheme val="minor"/>
      </rPr>
      <t xml:space="preserve">: La fuente de información serán los reportes nominales de TARGA y Laboratorio de seguimiento del sistema de información de VIH (SIMONE).  </t>
    </r>
  </si>
  <si>
    <t>Epidemiological Surveillance Unit Report - HIV Component - SIMONE</t>
  </si>
  <si>
    <r>
      <rPr>
        <b/>
        <sz val="12"/>
        <color theme="1"/>
        <rFont val="Calibri"/>
        <family val="2"/>
        <scheme val="minor"/>
      </rPr>
      <t>Baseline:</t>
    </r>
    <r>
      <rPr>
        <sz val="12"/>
        <color theme="1"/>
        <rFont val="Calibri"/>
        <family val="2"/>
        <scheme val="minor"/>
      </rPr>
      <t xml:space="preserve"> The baseline corresponds to the analysis of the 2021 HIV care cascade (Viral Load pillar and Suppressed CV pillar) excluding PLWHA with recent HAART initiation (&lt; 6 months).                                                                                                                                                                                                                                              </t>
    </r>
    <r>
      <rPr>
        <b/>
        <sz val="12"/>
        <color theme="1"/>
        <rFont val="Calibri"/>
        <family val="2"/>
        <scheme val="minor"/>
      </rPr>
      <t>Method of Measurement:</t>
    </r>
    <r>
      <rPr>
        <sz val="12"/>
        <color theme="1"/>
        <rFont val="Calibri"/>
        <family val="2"/>
        <scheme val="minor"/>
      </rPr>
      <t xml:space="preserve"> The source of information will be nominal HAART and Laboratory monitoring reports from the HIV information system (SIMONE). </t>
    </r>
  </si>
  <si>
    <r>
      <rPr>
        <b/>
        <sz val="12"/>
        <color theme="1"/>
        <rFont val="Calibri"/>
        <family val="2"/>
        <scheme val="minor"/>
      </rPr>
      <t>Línea de Base</t>
    </r>
    <r>
      <rPr>
        <sz val="12"/>
        <color theme="1"/>
        <rFont val="Calibri"/>
        <family val="2"/>
        <scheme val="minor"/>
      </rPr>
      <t xml:space="preserve">. Tasa de Éxito Tratamiento: 70.11% (61/87) Gestión 2018. 
</t>
    </r>
    <r>
      <rPr>
        <b/>
        <sz val="12"/>
        <color theme="1"/>
        <rFont val="Calibri"/>
        <family val="2"/>
        <scheme val="minor"/>
      </rPr>
      <t>Fuente de información:</t>
    </r>
    <r>
      <rPr>
        <sz val="12"/>
        <color theme="1"/>
        <rFont val="Calibri"/>
        <family val="2"/>
        <scheme val="minor"/>
      </rPr>
      <t xml:space="preserve"> Reporte de la Unidad de Vigilancia Epidemiológica - Componente de Tuberculosis - Sistema de R&amp;R TB - Ministerio de Salud y Deportes.
</t>
    </r>
    <r>
      <rPr>
        <b/>
        <sz val="12"/>
        <color theme="1"/>
        <rFont val="Calibri"/>
        <family val="2"/>
        <scheme val="minor"/>
      </rPr>
      <t xml:space="preserve">Método de medición: </t>
    </r>
    <r>
      <rPr>
        <sz val="12"/>
        <color theme="1"/>
        <rFont val="Calibri"/>
        <family val="2"/>
        <scheme val="minor"/>
      </rPr>
      <t xml:space="preserve">
</t>
    </r>
    <r>
      <rPr>
        <b/>
        <sz val="12"/>
        <color theme="1"/>
        <rFont val="Calibri"/>
        <family val="2"/>
        <scheme val="minor"/>
      </rPr>
      <t xml:space="preserve">Numerador: </t>
    </r>
    <r>
      <rPr>
        <sz val="12"/>
        <color theme="1"/>
        <rFont val="Calibri"/>
        <family val="2"/>
        <scheme val="minor"/>
      </rPr>
      <t xml:space="preserve">Casos de TB RR-MDR que finalizar su tratamiento con resultado de diagnostico negativo.
</t>
    </r>
    <r>
      <rPr>
        <b/>
        <sz val="12"/>
        <color theme="1"/>
        <rFont val="Calibri"/>
        <family val="2"/>
        <scheme val="minor"/>
      </rPr>
      <t xml:space="preserve">Denominador: </t>
    </r>
    <r>
      <rPr>
        <sz val="12"/>
        <color theme="1"/>
        <rFont val="Calibri"/>
        <family val="2"/>
        <scheme val="minor"/>
      </rPr>
      <t xml:space="preserve">Numero de Casos RR-MDR que iniciaron tratamiento.
</t>
    </r>
    <r>
      <rPr>
        <b/>
        <sz val="12"/>
        <color theme="1"/>
        <rFont val="Calibri"/>
        <family val="2"/>
        <scheme val="minor"/>
      </rPr>
      <t>Comentario: Los posibles limitantes en el éxito de tratamiento en pacientes TB RR-MDR son las siguientes:</t>
    </r>
    <r>
      <rPr>
        <sz val="12"/>
        <color theme="1"/>
        <rFont val="Calibri"/>
        <family val="2"/>
        <scheme val="minor"/>
      </rPr>
      <t xml:space="preserve">
- Las personas identificadas como TB-RR/TB-MDR son pacientes con dificultades en el inicio de tratamiento y la adherencia al tratamiento, dadas las condiciones de base de estas personas (extrema pobreza, situación de calle, PPL drogodependientes, TB-VIH, etc)
- Antes del inicio de tratamiento se deben realizar exámenes complementarios para inicio de tratamiento TB-RR.
La implementación del esquema oral en los pacientes TB-DR a partir de la gestion 2022, ayudara a la adherencia del tratamiento y el éxito del mismo en los pacientes al ser un tratamiento menos agresivo para el paciente.
Se espera incrementar el éxito de tratamiento al 85% y mantener en cada gestión. 
</t>
    </r>
  </si>
  <si>
    <r>
      <rPr>
        <b/>
        <sz val="12"/>
        <color theme="1"/>
        <rFont val="Calibri"/>
        <family val="2"/>
        <scheme val="minor"/>
      </rPr>
      <t>Baseline.</t>
    </r>
    <r>
      <rPr>
        <sz val="12"/>
        <color theme="1"/>
        <rFont val="Calibri"/>
        <family val="2"/>
        <scheme val="minor"/>
      </rPr>
      <t xml:space="preserve"> Treatment Success Rate: 70.11% (61/87) Management 2018. 
</t>
    </r>
    <r>
      <rPr>
        <b/>
        <sz val="12"/>
        <color theme="1"/>
        <rFont val="Calibri"/>
        <family val="2"/>
        <scheme val="minor"/>
      </rPr>
      <t>Source of information</t>
    </r>
    <r>
      <rPr>
        <sz val="12"/>
        <color theme="1"/>
        <rFont val="Calibri"/>
        <family val="2"/>
        <scheme val="minor"/>
      </rPr>
      <t xml:space="preserve">: report from the Epidemiological Surveillance Unit - Tuberculosis Component - TB R&amp;R System - Ministry of Health and Sports.
</t>
    </r>
    <r>
      <rPr>
        <b/>
        <sz val="12"/>
        <color theme="1"/>
        <rFont val="Calibri"/>
        <family val="2"/>
        <scheme val="minor"/>
      </rPr>
      <t>Measurement method:</t>
    </r>
    <r>
      <rPr>
        <sz val="12"/>
        <color theme="1"/>
        <rFont val="Calibri"/>
        <family val="2"/>
        <scheme val="minor"/>
      </rPr>
      <t xml:space="preserve"> 
</t>
    </r>
    <r>
      <rPr>
        <b/>
        <sz val="12"/>
        <color theme="1"/>
        <rFont val="Calibri"/>
        <family val="2"/>
        <scheme val="minor"/>
      </rPr>
      <t>Numerator</t>
    </r>
    <r>
      <rPr>
        <sz val="12"/>
        <color theme="1"/>
        <rFont val="Calibri"/>
        <family val="2"/>
        <scheme val="minor"/>
      </rPr>
      <t xml:space="preserve">: RR-MDR TB cases that finish their treatment with negative diagnostic result.
</t>
    </r>
    <r>
      <rPr>
        <b/>
        <sz val="12"/>
        <color theme="1"/>
        <rFont val="Calibri"/>
        <family val="2"/>
        <scheme val="minor"/>
      </rPr>
      <t xml:space="preserve">Denominator: </t>
    </r>
    <r>
      <rPr>
        <sz val="12"/>
        <color theme="1"/>
        <rFont val="Calibri"/>
        <family val="2"/>
        <scheme val="minor"/>
      </rPr>
      <t xml:space="preserve">Number of RR-MDR cases that started treatment.
</t>
    </r>
    <r>
      <rPr>
        <b/>
        <sz val="12"/>
        <color theme="1"/>
        <rFont val="Calibri"/>
        <family val="2"/>
        <scheme val="minor"/>
      </rPr>
      <t>Comment:</t>
    </r>
    <r>
      <rPr>
        <sz val="12"/>
        <color theme="1"/>
        <rFont val="Calibri"/>
        <family val="2"/>
        <scheme val="minor"/>
      </rPr>
      <t xml:space="preserve"> Potential limiting factors in the success of treatment in RR-MDR-TB patients are the following:
- People identified as RR-RR-TB/MDR-TB are patients with difficulties in initiating treatment and adherence to treatment, given the underlying conditions of these people (extreme poverty, street situation, drug-dependent PLW, TB-HIV, etc).
- Complementary tests for initiation of RR-TB treatment should be performed prior to treatment initiation.
The implementation of the oral regimen in DR-TB patients starting in 2022 will help treatment adherence and success of the treatment for patients, as it is a less aggressive treatment for the patient.
It is expected to increase treatment success to 85%</t>
    </r>
  </si>
  <si>
    <r>
      <rPr>
        <b/>
        <sz val="12"/>
        <color theme="1"/>
        <rFont val="Calibri"/>
        <family val="2"/>
        <scheme val="minor"/>
      </rPr>
      <t>Línea de Base.</t>
    </r>
    <r>
      <rPr>
        <sz val="12"/>
        <color theme="1"/>
        <rFont val="Calibri"/>
        <family val="2"/>
        <scheme val="minor"/>
      </rPr>
      <t xml:space="preserve"> Inicio de tratamiento esta con relación a la estimación de casos de la OMS 50.13% (6016/12000)  
</t>
    </r>
    <r>
      <rPr>
        <b/>
        <sz val="12"/>
        <color theme="1"/>
        <rFont val="Calibri"/>
        <family val="2"/>
        <scheme val="minor"/>
      </rPr>
      <t>Fuente de información:</t>
    </r>
    <r>
      <rPr>
        <sz val="12"/>
        <color theme="1"/>
        <rFont val="Calibri"/>
        <family val="2"/>
        <scheme val="minor"/>
      </rPr>
      <t xml:space="preserve"> Reporte de la Unidad de Vigilancia Epidemiológica - Componente de Tuberculosis - Sistema de R&amp;R TB - Ministerio de Salud y Deportes.
</t>
    </r>
    <r>
      <rPr>
        <b/>
        <sz val="12"/>
        <color theme="1"/>
        <rFont val="Calibri"/>
        <family val="2"/>
        <scheme val="minor"/>
      </rPr>
      <t>Método de medición:</t>
    </r>
    <r>
      <rPr>
        <sz val="12"/>
        <color theme="1"/>
        <rFont val="Calibri"/>
        <family val="2"/>
        <scheme val="minor"/>
      </rPr>
      <t xml:space="preserve"> 
</t>
    </r>
    <r>
      <rPr>
        <b/>
        <sz val="12"/>
        <color theme="1"/>
        <rFont val="Calibri"/>
        <family val="2"/>
        <scheme val="minor"/>
      </rPr>
      <t>Numerador:</t>
    </r>
    <r>
      <rPr>
        <sz val="12"/>
        <color theme="1"/>
        <rFont val="Calibri"/>
        <family val="2"/>
        <scheme val="minor"/>
      </rPr>
      <t xml:space="preserve"> Número de casos nuevos y recaídas que iniciaron tratamiento de TB
</t>
    </r>
    <r>
      <rPr>
        <b/>
        <sz val="12"/>
        <color theme="1"/>
        <rFont val="Calibri"/>
        <family val="2"/>
        <scheme val="minor"/>
      </rPr>
      <t>Denominador:</t>
    </r>
    <r>
      <rPr>
        <sz val="12"/>
        <color theme="1"/>
        <rFont val="Calibri"/>
        <family val="2"/>
        <scheme val="minor"/>
      </rPr>
      <t xml:space="preserve">  Número de Casos estimados nuevos y recaídas por la OMS. 
</t>
    </r>
    <r>
      <rPr>
        <b/>
        <sz val="12"/>
        <color theme="1"/>
        <rFont val="Calibri"/>
        <family val="2"/>
        <scheme val="minor"/>
      </rPr>
      <t xml:space="preserve">Comentario: </t>
    </r>
    <r>
      <rPr>
        <sz val="12"/>
        <color theme="1"/>
        <rFont val="Calibri"/>
        <family val="2"/>
        <scheme val="minor"/>
      </rPr>
      <t>Las metas están alineadas al PEN y son acordes a la proyección de captación histórica del país
Se utiliza como denominador los casos nuevos y recaídas captados por el país y no así las estimaciones de la OMS ya que no son reales bajo el comportamiento histórico del país</t>
    </r>
    <r>
      <rPr>
        <b/>
        <sz val="12"/>
        <color theme="1"/>
        <rFont val="Calibri"/>
        <family val="2"/>
        <scheme val="minor"/>
      </rPr>
      <t>.</t>
    </r>
  </si>
  <si>
    <t>Report of the Epidemiological Surveillance Unit - Tuberculosis Component - TB R&amp;R System - Ministry of Health and Sports</t>
  </si>
  <si>
    <r>
      <rPr>
        <b/>
        <sz val="12"/>
        <color theme="1"/>
        <rFont val="Calibri"/>
        <family val="2"/>
        <scheme val="minor"/>
      </rPr>
      <t xml:space="preserve">Baseline. </t>
    </r>
    <r>
      <rPr>
        <sz val="12"/>
        <color theme="1"/>
        <rFont val="Calibri"/>
        <family val="2"/>
        <scheme val="minor"/>
      </rPr>
      <t xml:space="preserve">Treatment initiation is in relation to WHO case estimate 50.13% (6016/12000).  
</t>
    </r>
    <r>
      <rPr>
        <b/>
        <sz val="12"/>
        <color theme="1"/>
        <rFont val="Calibri"/>
        <family val="2"/>
        <scheme val="minor"/>
      </rPr>
      <t>Data source:</t>
    </r>
    <r>
      <rPr>
        <sz val="12"/>
        <color theme="1"/>
        <rFont val="Calibri"/>
        <family val="2"/>
        <scheme val="minor"/>
      </rPr>
      <t xml:space="preserve"> Epidemiological Surveillance Unit Report - Tuberculosis Component - TB R&amp;R System - Ministry of Health and Sports.
</t>
    </r>
    <r>
      <rPr>
        <b/>
        <sz val="12"/>
        <color theme="1"/>
        <rFont val="Calibri"/>
        <family val="2"/>
        <scheme val="minor"/>
      </rPr>
      <t xml:space="preserve">Measurement method: </t>
    </r>
    <r>
      <rPr>
        <sz val="12"/>
        <color theme="1"/>
        <rFont val="Calibri"/>
        <family val="2"/>
        <scheme val="minor"/>
      </rPr>
      <t xml:space="preserve">
</t>
    </r>
    <r>
      <rPr>
        <b/>
        <sz val="12"/>
        <color theme="1"/>
        <rFont val="Calibri"/>
        <family val="2"/>
        <scheme val="minor"/>
      </rPr>
      <t>Numerator</t>
    </r>
    <r>
      <rPr>
        <sz val="12"/>
        <color theme="1"/>
        <rFont val="Calibri"/>
        <family val="2"/>
        <scheme val="minor"/>
      </rPr>
      <t xml:space="preserve">: Number of new and relapsed cases that initiated TB treatment.
</t>
    </r>
    <r>
      <rPr>
        <b/>
        <sz val="12"/>
        <color theme="1"/>
        <rFont val="Calibri"/>
        <family val="2"/>
        <scheme val="minor"/>
      </rPr>
      <t>Denominator:</t>
    </r>
    <r>
      <rPr>
        <sz val="12"/>
        <color theme="1"/>
        <rFont val="Calibri"/>
        <family val="2"/>
        <scheme val="minor"/>
      </rPr>
      <t xml:space="preserve"> Number of estimated new cases and relapses by WHO. 
</t>
    </r>
    <r>
      <rPr>
        <b/>
        <sz val="12"/>
        <color theme="1"/>
        <rFont val="Calibri"/>
        <family val="2"/>
        <scheme val="minor"/>
      </rPr>
      <t xml:space="preserve">Comment: </t>
    </r>
    <r>
      <rPr>
        <sz val="12"/>
        <color theme="1"/>
        <rFont val="Calibri"/>
        <family val="2"/>
        <scheme val="minor"/>
      </rPr>
      <t>The targets are aligned with the PEN and are in line with the country's historical uptake projection.
The denominator used is the number of new cases and relapses captured by the country and not the WHO estimates, since they are not real under the historical behavior of the country.</t>
    </r>
  </si>
  <si>
    <t>Indicador personalizado (EN)</t>
  </si>
  <si>
    <t>Línea de base año fuente (EN)</t>
  </si>
  <si>
    <t>Comentarios (EN)</t>
  </si>
  <si>
    <t>coverage displayMap row no.</t>
  </si>
  <si>
    <t>coverage target  dispalymap Row NO</t>
  </si>
  <si>
    <r>
      <rPr>
        <b/>
        <sz val="12"/>
        <color rgb="FF000000"/>
        <rFont val="Calibri"/>
        <family val="2"/>
      </rPr>
      <t xml:space="preserve">Línea de Base: </t>
    </r>
    <r>
      <rPr>
        <sz val="12"/>
        <color indexed="8"/>
        <rFont val="Calibri"/>
        <family val="2"/>
      </rPr>
      <t xml:space="preserve">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t>
    </r>
    <r>
      <rPr>
        <b/>
        <sz val="12"/>
        <color rgb="FF000000"/>
        <rFont val="Calibri"/>
        <family val="2"/>
      </rPr>
      <t>Cobertura Geográfica</t>
    </r>
    <r>
      <rPr>
        <sz val="12"/>
        <color indexed="8"/>
        <rFont val="Calibri"/>
        <family val="2"/>
      </rPr>
      <t xml:space="preserve">: La cobertura es nacional. Con recursos de FM se cubrirán 7 ciudades (Sucre, La Paz, El Alto, Cochabamba, Oruro, Santa Cruz y Trinidad) el resto de la población será cubierta con recursos del estado.
</t>
    </r>
    <r>
      <rPr>
        <b/>
        <sz val="12"/>
        <color rgb="FF000000"/>
        <rFont val="Calibri"/>
        <family val="2"/>
      </rPr>
      <t xml:space="preserve">Paquete de Prevención: </t>
    </r>
    <r>
      <rPr>
        <sz val="12"/>
        <color indexed="8"/>
        <rFont val="Calibri"/>
        <family val="2"/>
      </rPr>
      <t xml:space="preserve">El indicador mide el abordaje de la población GB-HSH con acciones de prevención a través de los establecimientos de salud (CDVIR/CRVIR y Centros desconcentrados) y estrategias comunitarias (promotores educadores pares (PEP), Unidades Móviles, Centros comunitarios y Brigadas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t>
    </r>
    <r>
      <rPr>
        <b/>
        <sz val="12"/>
        <color rgb="FF000000"/>
        <rFont val="Calibri"/>
        <family val="2"/>
      </rPr>
      <t>Método de medición</t>
    </r>
    <r>
      <rPr>
        <sz val="12"/>
        <color indexed="8"/>
        <rFont val="Calibri"/>
        <family val="2"/>
      </rPr>
      <t>: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41% a 48% de GB-HSH que reciben paquetes de prevención.
Contribución del FM: El FM contribuirá con el 95%, 94% y 93% respectivamente en los 3 años del proyecto, cubriendo hasta 2 paquetes al año en las 7 ciudades priorizadas.</t>
    </r>
  </si>
  <si>
    <r>
      <rPr>
        <b/>
        <sz val="12"/>
        <color theme="1"/>
        <rFont val="Calibri"/>
        <family val="2"/>
        <scheme val="minor"/>
      </rPr>
      <t>Baseline:</t>
    </r>
    <r>
      <rPr>
        <sz val="12"/>
        <color theme="1"/>
        <rFont val="Calibri"/>
        <family val="2"/>
        <scheme val="minor"/>
      </rPr>
      <t xml:space="preserve"> The source corresponds to programmatic data from the HIV information system (SIMONE) for the year 2021. 
Estimated population size (denominators): The estimated population is national and has been updated based on the Spectrum 2020 population projection. 
</t>
    </r>
    <r>
      <rPr>
        <b/>
        <sz val="12"/>
        <color theme="1"/>
        <rFont val="Calibri"/>
        <family val="2"/>
        <scheme val="minor"/>
      </rPr>
      <t>Geographic Coverage:</t>
    </r>
    <r>
      <rPr>
        <sz val="12"/>
        <color theme="1"/>
        <rFont val="Calibri"/>
        <family val="2"/>
        <scheme val="minor"/>
      </rPr>
      <t xml:space="preserve"> Coverage is national. With FM resources 7 cities will be covered (Sucre, La Paz, El Alto, Cochabamba, Oruro, Santa Cruz and Trinidad) the rest of the population will be covered with state resources.
</t>
    </r>
    <r>
      <rPr>
        <b/>
        <sz val="12"/>
        <color theme="1"/>
        <rFont val="Calibri"/>
        <family val="2"/>
        <scheme val="minor"/>
      </rPr>
      <t>Prevention Package:</t>
    </r>
    <r>
      <rPr>
        <sz val="12"/>
        <color theme="1"/>
        <rFont val="Calibri"/>
        <family val="2"/>
        <scheme val="minor"/>
      </rPr>
      <t xml:space="preserve"> The indicator measures the approach to the GB-HSH population with prevention actions through health facilities (CDVIR/CRVIR and deconcentrated Centers) and community strategies (peer educator promoters (PEP), Mobile Units, Community Centers and Mobile Brigades). The package of services includes: 
- Information for the prevention of HIV, STIs, correct condom use and rights.
- Provision of condoms
- HIV testing counseling including information on correct and continued condom use for dual protection.
- Referral for HIV testing.
- STI medical care, diagnosis and treatment of STIs. 
To consider a person reached with prevention service, at least 2 of these activities must have been delivered. 
</t>
    </r>
    <r>
      <rPr>
        <b/>
        <sz val="12"/>
        <color theme="1"/>
        <rFont val="Calibri"/>
        <family val="2"/>
        <scheme val="minor"/>
      </rPr>
      <t>Method of measurement:</t>
    </r>
    <r>
      <rPr>
        <sz val="12"/>
        <color theme="1"/>
        <rFont val="Calibri"/>
        <family val="2"/>
        <scheme val="minor"/>
      </rPr>
      <t xml:space="preserve"> The source of data will be nominal reports from the HIV information system (SIMONE) from the quarterly reports of health facilities and civil society sub-recipients. Each person considered with a Unique Identification Code (CUI) will be counted as reached with prevention service with at least 2 of the prevention package activities. The UIC will be systematically de-duplicated and new and recurrent contacts will be counted only once in the reporting period. For reporting coverage achieved, the PR will use denominator as stated in the performance framework.
An increase from 41% to 48% of GB-HSH receiving prevention packages is expected.
FM contribution: The FM will contribute 95%, 94% and 93% respectively over the 3 years of the project, covering up to 2 packages per year in the 7 prioritized cities.</t>
    </r>
  </si>
  <si>
    <r>
      <rPr>
        <b/>
        <sz val="12"/>
        <color rgb="FF000000"/>
        <rFont val="Calibri"/>
        <family val="2"/>
      </rPr>
      <t>Línea de Base</t>
    </r>
    <r>
      <rPr>
        <sz val="12"/>
        <color indexed="8"/>
        <rFont val="Calibri"/>
        <family val="2"/>
      </rPr>
      <t xml:space="preserv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t>
    </r>
    <r>
      <rPr>
        <b/>
        <sz val="12"/>
        <color rgb="FF000000"/>
        <rFont val="Calibri"/>
        <family val="2"/>
      </rPr>
      <t>Cobertura Geográfica:</t>
    </r>
    <r>
      <rPr>
        <sz val="12"/>
        <color indexed="8"/>
        <rFont val="Calibri"/>
        <family val="2"/>
      </rPr>
      <t xml:space="preserve"> La cobertura es nacional. Con recursos de FM se cubrirán 7 ciudades (Sucre, La Paz, El Alto, Cochabamba, Oruro, Santa Cruz y Trinidad) el resto de la población será cubierta con recursos del estado.
</t>
    </r>
    <r>
      <rPr>
        <b/>
        <sz val="12"/>
        <color rgb="FF000000"/>
        <rFont val="Calibri"/>
        <family val="2"/>
      </rPr>
      <t>Servicios de diagnóstico:</t>
    </r>
    <r>
      <rPr>
        <sz val="12"/>
        <color indexed="8"/>
        <rFont val="Calibri"/>
        <family val="2"/>
      </rPr>
      <t xml:space="preserve"> Incluirá consejería, realización de la prueba de VIH y vinculación de casos VIH positivo a la atención integral de VIH. Las pruebas de VIH estarán disponibles en los centros departamentales y regionales de salud (CDVIR/CRVIR), centros desconcentrados, centros comunitarios, unidades móviles y brigadas móviles. Las guías nacionales recomiendan realizar un test cada 6 meses en la población de riesgo.
Método de medición: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38% a 45% de GB-HSH que se realizan prueba de VIH.
Contribución del FM: El FM contribuirá con 95%, 94% y 93% respectivamente en los 3 años del proyecto, cubriendo una prueba de VIH al año en las 7 ciudades priorizadas.</t>
    </r>
  </si>
  <si>
    <r>
      <rPr>
        <b/>
        <sz val="12"/>
        <color theme="1"/>
        <rFont val="Calibri"/>
        <family val="2"/>
        <scheme val="minor"/>
      </rPr>
      <t>Baseline:</t>
    </r>
    <r>
      <rPr>
        <sz val="12"/>
        <color theme="1"/>
        <rFont val="Calibri"/>
        <family val="2"/>
        <scheme val="minor"/>
      </rPr>
      <t xml:space="preserve"> The source corresponds to programmatic data from the HIV information system (SIMONE) for the year 2021. 
Estimated population size (denominators): The estimated population is national and has been updated based on the Spectrum 2020 population projection. 
</t>
    </r>
    <r>
      <rPr>
        <b/>
        <sz val="12"/>
        <color theme="1"/>
        <rFont val="Calibri"/>
        <family val="2"/>
        <scheme val="minor"/>
      </rPr>
      <t>Geographic Coverage:</t>
    </r>
    <r>
      <rPr>
        <sz val="12"/>
        <color theme="1"/>
        <rFont val="Calibri"/>
        <family val="2"/>
        <scheme val="minor"/>
      </rPr>
      <t xml:space="preserve"> Coverage is national. Seven cities will be covered with FM resources (Sucre, La Paz, El Alto, Cochabamba, Oruro, Santa Cruz and Trinidad) and the rest of the population will be covered with state resources.
</t>
    </r>
    <r>
      <rPr>
        <b/>
        <sz val="12"/>
        <color theme="1"/>
        <rFont val="Calibri"/>
        <family val="2"/>
        <scheme val="minor"/>
      </rPr>
      <t>Diagnostic services:</t>
    </r>
    <r>
      <rPr>
        <sz val="12"/>
        <color theme="1"/>
        <rFont val="Calibri"/>
        <family val="2"/>
        <scheme val="minor"/>
      </rPr>
      <t xml:space="preserve"> Will include counseling, HIV testing and linkage of HIV-positive cases to comprehensive HIV care. HIV testing will be available at departmental and regional health centers (CDVIR/CRVIR), deconcentrated centers, community centers, mobile units and mobile brigades. National guidelines recommend testing every 6 months in the at-risk population.
</t>
    </r>
    <r>
      <rPr>
        <b/>
        <sz val="12"/>
        <color theme="1"/>
        <rFont val="Calibri"/>
        <family val="2"/>
        <scheme val="minor"/>
      </rPr>
      <t>Method of measurement:</t>
    </r>
    <r>
      <rPr>
        <sz val="12"/>
        <color theme="1"/>
        <rFont val="Calibri"/>
        <family val="2"/>
        <scheme val="minor"/>
      </rPr>
      <t xml:space="preserve"> The source of data will be nominal reports from the HIV information system (SIMONE) of quarterly reports from health facilities and civil society subrecipients. To consider a person with an HIV test, those persons who receive at least one test during the year and are identified with a CUI will be reported. The CUI will be systematically de-duplicated and new and recurrent persons will be counted, counting the person only once in the period. To report the coverage achieved, the PR will use denominator as set out in the performance framework.
An increase from 38% to 45% of GB-HSH who are tested for HIV is expected.
FM contribution: The FM will contribute 95%, 94% and 93% respectively over the 3 years of the project, covering one HIV test per year in the 7 prioritized cities.</t>
    </r>
  </si>
  <si>
    <r>
      <rPr>
        <b/>
        <sz val="12"/>
        <color rgb="FF000000"/>
        <rFont val="Calibri"/>
        <family val="2"/>
      </rPr>
      <t>Línea de Base:</t>
    </r>
    <r>
      <rPr>
        <sz val="12"/>
        <color indexed="8"/>
        <rFont val="Calibri"/>
        <family val="2"/>
      </rPr>
      <t xml:space="preserv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t>
    </r>
    <r>
      <rPr>
        <b/>
        <sz val="12"/>
        <color rgb="FF000000"/>
        <rFont val="Calibri"/>
        <family val="2"/>
      </rPr>
      <t>Cobertura Geográfica</t>
    </r>
    <r>
      <rPr>
        <sz val="12"/>
        <color indexed="8"/>
        <rFont val="Calibri"/>
        <family val="2"/>
      </rPr>
      <t xml:space="preserve">: La cobertura es nacional. Con recursos de FM se cubrirán 4 ciudades (La Paz, El Alto, Cochabamba y Santa Cruz) el resto de la población será cubierta con recursos del estado.
</t>
    </r>
    <r>
      <rPr>
        <b/>
        <sz val="12"/>
        <color rgb="FF000000"/>
        <rFont val="Calibri"/>
        <family val="2"/>
      </rPr>
      <t>Paquete de Prevención:</t>
    </r>
    <r>
      <rPr>
        <sz val="12"/>
        <color indexed="8"/>
        <rFont val="Calibri"/>
        <family val="2"/>
      </rPr>
      <t xml:space="preserve"> El indicador mide el abordaje de la población Trans con acciones de prevención a través de los establecimientos de salud (CDVIR/CRVIR y Centros desconcentrados) y estrategias comunitarias (promotores educadores pares (PEP), Unidades Móviles, Centros Comunitarios y Brigadas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t>
    </r>
    <r>
      <rPr>
        <b/>
        <sz val="12"/>
        <color rgb="FF000000"/>
        <rFont val="Calibri"/>
        <family val="2"/>
      </rPr>
      <t>Método de medición:</t>
    </r>
    <r>
      <rPr>
        <sz val="12"/>
        <color indexed="8"/>
        <rFont val="Calibri"/>
        <family val="2"/>
      </rPr>
      <t xml:space="preserve">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77% a 80% de Trans que reciben paquetes de prevención.
Contribución del FM: El FM contribuirá con el 91%, 91% y 90% respectivamente en los 3 años del proyecto, cubriendo hasta 2 paquetes al año en las 4 ciudades priorizadas.</t>
    </r>
  </si>
  <si>
    <r>
      <rPr>
        <b/>
        <sz val="12"/>
        <color theme="1"/>
        <rFont val="Calibri"/>
        <family val="2"/>
        <scheme val="minor"/>
      </rPr>
      <t>Baseline</t>
    </r>
    <r>
      <rPr>
        <sz val="12"/>
        <color theme="1"/>
        <rFont val="Calibri"/>
        <family val="2"/>
        <scheme val="minor"/>
      </rPr>
      <t xml:space="preserve">: The source corresponds to programmatic data from the HIV information system (SIMONE) for the year 2021. 
Estimated population size (denominators): The estimated population is national and has been updated based on the Spectrum 2020 population projection. 
</t>
    </r>
    <r>
      <rPr>
        <b/>
        <sz val="12"/>
        <color theme="1"/>
        <rFont val="Calibri"/>
        <family val="2"/>
        <scheme val="minor"/>
      </rPr>
      <t>Geographic Coverage</t>
    </r>
    <r>
      <rPr>
        <sz val="12"/>
        <color theme="1"/>
        <rFont val="Calibri"/>
        <family val="2"/>
        <scheme val="minor"/>
      </rPr>
      <t xml:space="preserve">: Coverage is national. With FM resources 4 cities will be covered (La Paz, El Alto, Cochabamba and Santa Cruz) the rest of the population will be covered with state resources.
</t>
    </r>
    <r>
      <rPr>
        <b/>
        <sz val="12"/>
        <color theme="1"/>
        <rFont val="Calibri"/>
        <family val="2"/>
        <scheme val="minor"/>
      </rPr>
      <t>Prevention Package</t>
    </r>
    <r>
      <rPr>
        <sz val="12"/>
        <color theme="1"/>
        <rFont val="Calibri"/>
        <family val="2"/>
        <scheme val="minor"/>
      </rPr>
      <t xml:space="preserve">: The indicator measures the approach to the Trans population with prevention actions through health facilities (CDVIR/CRVIR and deconcentrated Centers) and community strategies (peer educator promoters (PEP), Mobile Units, Community Centers and Mobile Brigades). The package of services includes: 
- Information for the prevention of HIV, STIs, correct condom use and rights.
- Provision of condoms
- HIV testing counseling including information on correct and continued condom use for dual protection.
- Referral for HIV testing.
- STI medical care, diagnosis and treatment of STIs. 
To consider a person reached with prevention service, at least 2 of these activities must have been delivered. 
</t>
    </r>
    <r>
      <rPr>
        <b/>
        <sz val="12"/>
        <color theme="1"/>
        <rFont val="Calibri"/>
        <family val="2"/>
        <scheme val="minor"/>
      </rPr>
      <t>Method of measurement:</t>
    </r>
    <r>
      <rPr>
        <sz val="12"/>
        <color theme="1"/>
        <rFont val="Calibri"/>
        <family val="2"/>
        <scheme val="minor"/>
      </rPr>
      <t xml:space="preserve"> The source of data will be nominal reports from the HIV information system (SIMONE) from the quarterly reports of health facilities and civil society sub-recipients. Each person considered with a Unique Identification Code (UIC) will be counted as reached with prevention service with at least 2 of the prevention package activities. The UIC will be systematically de-duplicated and new and recurrent contacts will be counted only once in the reporting period. For reporting coverage achieved, the PR will use denominator as stated in the performance framework.
An increase from 77% to 80% of Trans receiving prevention packages is expected.
FM contribution: The FM will contribute 91%, 91% and 90% respectively over the 3 years of the project, covering up to 2 packages per year in the 4 prioritized cities.</t>
    </r>
  </si>
  <si>
    <r>
      <rPr>
        <b/>
        <sz val="12"/>
        <color rgb="FF000000"/>
        <rFont val="Calibri"/>
        <family val="2"/>
      </rPr>
      <t>Línea de Base</t>
    </r>
    <r>
      <rPr>
        <sz val="12"/>
        <color indexed="8"/>
        <rFont val="Calibri"/>
        <family val="2"/>
      </rPr>
      <t xml:space="preserv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t>
    </r>
    <r>
      <rPr>
        <b/>
        <sz val="12"/>
        <color rgb="FF000000"/>
        <rFont val="Calibri"/>
        <family val="2"/>
      </rPr>
      <t>Cobertura Geográfica</t>
    </r>
    <r>
      <rPr>
        <sz val="12"/>
        <color indexed="8"/>
        <rFont val="Calibri"/>
        <family val="2"/>
      </rPr>
      <t xml:space="preserve">: La cobertura es nacional. Con recursos de FM se cubrirán 4 ciudades (La Paz, El Alto, Cochabamba y Santa Cruz) el resto de la población será cubierta con recursos del estado.
</t>
    </r>
    <r>
      <rPr>
        <b/>
        <sz val="12"/>
        <color rgb="FF000000"/>
        <rFont val="Calibri"/>
        <family val="2"/>
      </rPr>
      <t>Servicios de diagnóstico</t>
    </r>
    <r>
      <rPr>
        <sz val="12"/>
        <color indexed="8"/>
        <rFont val="Calibri"/>
        <family val="2"/>
      </rPr>
      <t xml:space="preserve">: Incluirá consejería, realización de la prueba de VIH y vinculación de casos VIH positivo a la atención integral de VIH. Las pruebas de VIH estarán disponibles en los centros departamentales y regionales de salud (CDVIR/CRVIR), centros desconcentrados, unidades móviles, centros comunitarios y brigadas móviles. Las guías nacionales recomiendan realizar un test cada 6 meses en la población de riesgo.
</t>
    </r>
    <r>
      <rPr>
        <b/>
        <sz val="12"/>
        <color rgb="FF000000"/>
        <rFont val="Calibri"/>
        <family val="2"/>
      </rPr>
      <t>Método de medición</t>
    </r>
    <r>
      <rPr>
        <sz val="12"/>
        <color indexed="8"/>
        <rFont val="Calibri"/>
        <family val="2"/>
      </rPr>
      <t>: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25% a 44% de Trans que se realizan prueba de VIH.
Contribución del FM: El FM contribuirá con 95%, 94% y 93% respectivamente en los 3 años del proyecto, cubriendo una prueba de VIH al año en las 4 ciudades priorizadas.</t>
    </r>
  </si>
  <si>
    <r>
      <rPr>
        <b/>
        <sz val="12"/>
        <color theme="1"/>
        <rFont val="Calibri"/>
        <family val="2"/>
        <scheme val="minor"/>
      </rPr>
      <t xml:space="preserve">Baseline: </t>
    </r>
    <r>
      <rPr>
        <sz val="12"/>
        <color theme="1"/>
        <rFont val="Calibri"/>
        <family val="2"/>
        <scheme val="minor"/>
      </rPr>
      <t xml:space="preserve">The source corresponds to programmatic data from the HIV information system (SIMONE) for the year 2021. 
Estimated population size (denominators): The estimated population is national and has been updated based on the Spectrum 2020 population projection. 
</t>
    </r>
    <r>
      <rPr>
        <b/>
        <sz val="12"/>
        <color theme="1"/>
        <rFont val="Calibri"/>
        <family val="2"/>
        <scheme val="minor"/>
      </rPr>
      <t>Geographic Coverage</t>
    </r>
    <r>
      <rPr>
        <sz val="12"/>
        <color theme="1"/>
        <rFont val="Calibri"/>
        <family val="2"/>
        <scheme val="minor"/>
      </rPr>
      <t xml:space="preserve">: Coverage is national. Four cities will be covered with FM resources (La Paz, El Alto, Cochabamba and Santa Cruz) and the rest of the population will be covered with state resources.
</t>
    </r>
    <r>
      <rPr>
        <b/>
        <sz val="12"/>
        <color theme="1"/>
        <rFont val="Calibri"/>
        <family val="2"/>
        <scheme val="minor"/>
      </rPr>
      <t>Diagnostic services:</t>
    </r>
    <r>
      <rPr>
        <sz val="12"/>
        <color theme="1"/>
        <rFont val="Calibri"/>
        <family val="2"/>
        <scheme val="minor"/>
      </rPr>
      <t xml:space="preserve"> It will include counseling, HIV testing and linkage of HIV positive cases to comprehensive HIV care. HIV testing will be available at departmental and regional health centers (CDVIR/CRVIR), deconcentrated centers, mobile units, community centers and mobile brigades. National guidelines recommend testing every 6 months in the at-risk population.
</t>
    </r>
    <r>
      <rPr>
        <b/>
        <sz val="12"/>
        <color theme="1"/>
        <rFont val="Calibri"/>
        <family val="2"/>
        <scheme val="minor"/>
      </rPr>
      <t xml:space="preserve">Method of measurement: </t>
    </r>
    <r>
      <rPr>
        <sz val="12"/>
        <color theme="1"/>
        <rFont val="Calibri"/>
        <family val="2"/>
        <scheme val="minor"/>
      </rPr>
      <t>The source of data will be nominal reports from the HIV information system (SIMONE) of quarterly reports from health facilities and civil society subrecipients. In order to consider a person with an HIV test, those who receive at least one test during the year and are identified with a CUI will be reported. The CUI will be systematically de-duplicated and new and recurrent persons will be counted, counting the person only once in the period. To report the coverage achieved, the PR will use denominator as set out in the performance framework.
An increase from 25% to 44% of Trans people being tested for HIV is expected.
FM contribution: The FM will contribute 95%, 94% and 93% respectively over the 3 years of the project, covering one HIV test per year in the 4 prioritized cities.</t>
    </r>
  </si>
  <si>
    <r>
      <rPr>
        <b/>
        <sz val="12"/>
        <color rgb="FF000000"/>
        <rFont val="Calibri"/>
        <family val="2"/>
      </rPr>
      <t xml:space="preserve">Línea de Base: </t>
    </r>
    <r>
      <rPr>
        <sz val="12"/>
        <color indexed="8"/>
        <rFont val="Calibri"/>
        <family val="2"/>
      </rPr>
      <t xml:space="preserve">La fuente del numerador es la base de datos de TARGA del SIMONE y el denominador corresponde al número de PVV estimada por Spectrum 2020 para la gestión 2021. 
</t>
    </r>
    <r>
      <rPr>
        <b/>
        <sz val="12"/>
        <color rgb="FF000000"/>
        <rFont val="Calibri"/>
        <family val="2"/>
      </rPr>
      <t>Denominadores:</t>
    </r>
    <r>
      <rPr>
        <sz val="12"/>
        <color indexed="8"/>
        <rFont val="Calibri"/>
        <family val="2"/>
      </rPr>
      <t xml:space="preserve"> El denominador corresponde a las estimaciones de Spectrum 2020 para cada año, las mismas que serán actualizadas según las proyecciones para las gestiones futuras.  
</t>
    </r>
    <r>
      <rPr>
        <b/>
        <sz val="12"/>
        <color rgb="FF000000"/>
        <rFont val="Calibri"/>
        <family val="2"/>
      </rPr>
      <t>Método de Medición:</t>
    </r>
    <r>
      <rPr>
        <sz val="12"/>
        <color indexed="8"/>
        <rFont val="Calibri"/>
        <family val="2"/>
      </rPr>
      <t xml:space="preserve"> La fuente de información será la base de datos de TARGA del SIMONE. A partir de 2017 se aplica la normativa de inicio de tratamiento a todas las PVV (test and treat).  El RP tendrá que reportar el número de PVV que recibió y/o estuvo cubierto con TARGA el último trimestre del periodo de reporte, desglosado por sexo y edad. El RP también tendrá que reportar la estimación de personas viviendo con VIH (el denominador) actualizada anualmente a través de Spectrum. 
Se espera un incremento en la cobertura de TARV de 54% a 63%. De igual manera el análisis histórico ha permito ajustar la meta de este indicador para el año 2022 a 57%.
Contribución del FM: El FM contribuirá con el 3% de las metas en todos los períodos.</t>
    </r>
  </si>
  <si>
    <r>
      <rPr>
        <b/>
        <sz val="12"/>
        <color theme="1"/>
        <rFont val="Calibri"/>
        <family val="2"/>
        <scheme val="minor"/>
      </rPr>
      <t>Baseline:</t>
    </r>
    <r>
      <rPr>
        <sz val="12"/>
        <color theme="1"/>
        <rFont val="Calibri"/>
        <family val="2"/>
        <scheme val="minor"/>
      </rPr>
      <t xml:space="preserve"> The source of the numerator is the SIMONE TARGA database and the denominator corresponds to the number of PVV estimated by Spectrum 2020 for 2021. 
</t>
    </r>
    <r>
      <rPr>
        <b/>
        <sz val="12"/>
        <color theme="1"/>
        <rFont val="Calibri"/>
        <family val="2"/>
        <scheme val="minor"/>
      </rPr>
      <t>Denominators</t>
    </r>
    <r>
      <rPr>
        <sz val="12"/>
        <color theme="1"/>
        <rFont val="Calibri"/>
        <family val="2"/>
        <scheme val="minor"/>
      </rPr>
      <t xml:space="preserve">: The denominator corresponds to Spectrum 2020 estimates for each year, which will be updated according to projections for future years.  
</t>
    </r>
    <r>
      <rPr>
        <b/>
        <sz val="12"/>
        <color theme="1"/>
        <rFont val="Calibri"/>
        <family val="2"/>
        <scheme val="minor"/>
      </rPr>
      <t xml:space="preserve">Measurement Method: </t>
    </r>
    <r>
      <rPr>
        <sz val="12"/>
        <color theme="1"/>
        <rFont val="Calibri"/>
        <family val="2"/>
        <scheme val="minor"/>
      </rPr>
      <t>The source of information will be the SIMONE TARGA database. Starting in 2017, the treatment initiation regulation will be applied to all PLHIV (test and treat).  The PR will have to report the number of PLHIV who received and/or were covered with HAART the last quarter of the reporting period, broken down by sex and age. The PR will also have to report the estimated number of PLHIV (the denominator) updated annually through Spectrum. 
ART coverage is expected to increase from 54% to 63%. Historical analysis has also allowed adjusting the target for this indicator for the year 2022 to 57%.
FM contribution: The FM will contribute 3% of the targets in all periods.</t>
    </r>
  </si>
  <si>
    <t>MTS</t>
  </si>
  <si>
    <r>
      <rPr>
        <b/>
        <sz val="12"/>
        <color rgb="FF000000"/>
        <rFont val="Calibri"/>
        <family val="2"/>
      </rPr>
      <t>Línea de Base:</t>
    </r>
    <r>
      <rPr>
        <sz val="12"/>
        <color indexed="8"/>
        <rFont val="Calibri"/>
        <family val="2"/>
      </rPr>
      <t xml:space="preserv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t>
    </r>
    <r>
      <rPr>
        <b/>
        <sz val="12"/>
        <color rgb="FF000000"/>
        <rFont val="Calibri"/>
        <family val="2"/>
      </rPr>
      <t>Cobertura Geográfica</t>
    </r>
    <r>
      <rPr>
        <sz val="12"/>
        <color indexed="8"/>
        <rFont val="Calibri"/>
        <family val="2"/>
      </rPr>
      <t xml:space="preserve">: La cobertura es nacional. Con recursos de FM se cubrirán 4 ciudades (La Paz, El Alto, Cochabamba y Santa Cruz) el resto de la población será cubierta con recursos del estado.
</t>
    </r>
    <r>
      <rPr>
        <b/>
        <sz val="12"/>
        <color rgb="FF000000"/>
        <rFont val="Calibri"/>
        <family val="2"/>
      </rPr>
      <t>Paquete de Prevención</t>
    </r>
    <r>
      <rPr>
        <sz val="12"/>
        <color indexed="8"/>
        <rFont val="Calibri"/>
        <family val="2"/>
      </rPr>
      <t xml:space="preserve">: El indicador mide el abordaje de la población de Trabajadoras Sexuales con acciones de prevención a través de los establecimientos de salud (CDVIR/CRVIR y Centros desconcentrados) y estrategias comunitarias (Unidades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t>
    </r>
    <r>
      <rPr>
        <b/>
        <sz val="12"/>
        <color rgb="FF000000"/>
        <rFont val="Calibri"/>
        <family val="2"/>
      </rPr>
      <t>Método de medición</t>
    </r>
    <r>
      <rPr>
        <sz val="12"/>
        <color indexed="8"/>
        <rFont val="Calibri"/>
        <family val="2"/>
      </rPr>
      <t xml:space="preserve">: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10% a 32% de Trabajadoras Sexuales que reciben paquetes de prevención.
Contribución del FM: El FM contribuirá con el 100%, 50% y 41% respectivamente en los 3 años del proyecto, cubriendo hasta 2 paquetes al año en las 4 ciudades priorizadas.
incluyen tanto trabajadoras sexuales registradas (con carnet sanitario) como las no registradas (sin carnet sanitario). </t>
    </r>
  </si>
  <si>
    <r>
      <rPr>
        <b/>
        <sz val="12"/>
        <color theme="1"/>
        <rFont val="Calibri"/>
        <family val="2"/>
        <scheme val="minor"/>
      </rPr>
      <t xml:space="preserve">Baseline: </t>
    </r>
    <r>
      <rPr>
        <sz val="12"/>
        <color theme="1"/>
        <rFont val="Calibri"/>
        <family val="2"/>
        <scheme val="minor"/>
      </rPr>
      <t xml:space="preserve">The source corresponds to programmatic data from the HIV information system (SIMONE) for the year 2021. 
Estimated population size (denominators): The estimated population is national and has been updated based on the Spectrum 2020 population projection. 
</t>
    </r>
    <r>
      <rPr>
        <b/>
        <sz val="12"/>
        <color theme="1"/>
        <rFont val="Calibri"/>
        <family val="2"/>
        <scheme val="minor"/>
      </rPr>
      <t>Geographic Coverage</t>
    </r>
    <r>
      <rPr>
        <sz val="12"/>
        <color theme="1"/>
        <rFont val="Calibri"/>
        <family val="2"/>
        <scheme val="minor"/>
      </rPr>
      <t xml:space="preserve">: Coverage is national. With FM resources 4 cities will be covered (La Paz, El Alto, Cochabamba and Santa Cruz) the rest of the population will be covered with state resources.
</t>
    </r>
    <r>
      <rPr>
        <b/>
        <sz val="12"/>
        <color theme="1"/>
        <rFont val="Calibri"/>
        <family val="2"/>
        <scheme val="minor"/>
      </rPr>
      <t xml:space="preserve">Prevention Package: </t>
    </r>
    <r>
      <rPr>
        <sz val="12"/>
        <color theme="1"/>
        <rFont val="Calibri"/>
        <family val="2"/>
        <scheme val="minor"/>
      </rPr>
      <t xml:space="preserve">The indicator measures the approach to the population of Sex Workers with prevention actions through health facilities (CDVIR/CRVIR and deconcentrated Centers) and community strategies (Mobile Units). The package of services includes: 
- Information for the prevention of HIV, STIs, correct condom use and rights.
- Provision of condoms
- HIV testing counseling including information on correct and continued condom use for dual protection.
- Referral for HIV testing.
- STI medical care, diagnosis and treatment of STIs. 
To consider a person reached with prevention service, at least 2 of these activities must have been delivered. 
</t>
    </r>
    <r>
      <rPr>
        <b/>
        <sz val="12"/>
        <color theme="1"/>
        <rFont val="Calibri"/>
        <family val="2"/>
        <scheme val="minor"/>
      </rPr>
      <t>Method of measurement:</t>
    </r>
    <r>
      <rPr>
        <sz val="12"/>
        <color theme="1"/>
        <rFont val="Calibri"/>
        <family val="2"/>
        <scheme val="minor"/>
      </rPr>
      <t xml:space="preserve"> The source of data will be nominal reports from the HIV information system (SIMONE) from the quarterly reports of health facilities and civil society sub-recipients. Each person considered with a Unique Identification Code (CUI) will be counted as reached with prevention service with at least 2 of the prevention package activities. The UIC will be systematically de-duplicated and new and recurrent contacts will be counted only once in the reporting period. For reporting coverage achieved, the PR will use denominator as set out in the performance framework.
An increase from 10% to 32% of Sex Workers receiving prevention packages is expected.
FM contribution: The FM will contribute 100%, 50% and 41% respectively over the 3 years of the project, covering up to 2 packages per year in the 4 prioritized cities.
The FM contribution includes both registered sex workers (with health cards) and unregistered sex workers (without health cards)</t>
    </r>
  </si>
  <si>
    <r>
      <rPr>
        <b/>
        <sz val="12"/>
        <color rgb="FF000000"/>
        <rFont val="Calibri"/>
        <family val="2"/>
      </rPr>
      <t>Línea de Base:</t>
    </r>
    <r>
      <rPr>
        <sz val="12"/>
        <color indexed="8"/>
        <rFont val="Calibri"/>
        <family val="2"/>
      </rPr>
      <t xml:space="preserv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t>
    </r>
    <r>
      <rPr>
        <b/>
        <sz val="12"/>
        <color rgb="FF000000"/>
        <rFont val="Calibri"/>
        <family val="2"/>
      </rPr>
      <t>Cobertura Geográfica</t>
    </r>
    <r>
      <rPr>
        <sz val="12"/>
        <color indexed="8"/>
        <rFont val="Calibri"/>
        <family val="2"/>
      </rPr>
      <t xml:space="preserve">: La cobertura es nacional. Con recursos de FM se cubrirán 4 ciudades (La Paz, El Alto, Cochabamba y Santa Cruz) el resto de la población será cubierta con recursos del estado.
</t>
    </r>
    <r>
      <rPr>
        <b/>
        <sz val="12"/>
        <color rgb="FF000000"/>
        <rFont val="Calibri"/>
        <family val="2"/>
      </rPr>
      <t>Servicios de diagnóstico:</t>
    </r>
    <r>
      <rPr>
        <sz val="12"/>
        <color indexed="8"/>
        <rFont val="Calibri"/>
        <family val="2"/>
      </rPr>
      <t xml:space="preserve"> Incluirá consejería, realización de la prueba de VIH y vinculación de casos VIH positivo a la atención integral de VIH. Las pruebas de VIH estarán disponibles en los centros departamentales y regionales de salud (CDVIR/CRVIR), centros desconcentrados y unidades móviles. Las guías nacionales recomiendan realizar un test cada 6 meses en la población de riesgo.
</t>
    </r>
    <r>
      <rPr>
        <b/>
        <sz val="12"/>
        <color rgb="FF000000"/>
        <rFont val="Calibri"/>
        <family val="2"/>
      </rPr>
      <t>Método de medición:</t>
    </r>
    <r>
      <rPr>
        <sz val="12"/>
        <color indexed="8"/>
        <rFont val="Calibri"/>
        <family val="2"/>
      </rPr>
      <t xml:space="preserve">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9% a 28% de Trabajadoras Sexuales que se realizan prueba de VIH.
Contribución del FM: El FM contribuirá con 100%, 52% y 43% respectivamente en los 3 años del proyecto, cubriendo una prueba de VIH al año en las 4 ciudades priorizadas.</t>
    </r>
  </si>
  <si>
    <r>
      <rPr>
        <b/>
        <sz val="12"/>
        <color theme="1"/>
        <rFont val="Calibri"/>
        <family val="2"/>
        <scheme val="minor"/>
      </rPr>
      <t>Baseline:</t>
    </r>
    <r>
      <rPr>
        <sz val="12"/>
        <color theme="1"/>
        <rFont val="Calibri"/>
        <family val="2"/>
        <scheme val="minor"/>
      </rPr>
      <t xml:space="preserve"> The source corresponds to programmatic data from the HIV information system (SIMONE) for the year 2021. 
Estimated population size (denominators): The estimated population is national and has been updated based on the Spectrum 2020 population projection. 
</t>
    </r>
    <r>
      <rPr>
        <b/>
        <sz val="12"/>
        <color theme="1"/>
        <rFont val="Calibri"/>
        <family val="2"/>
        <scheme val="minor"/>
      </rPr>
      <t>Geographic Coverage:</t>
    </r>
    <r>
      <rPr>
        <sz val="12"/>
        <color theme="1"/>
        <rFont val="Calibri"/>
        <family val="2"/>
        <scheme val="minor"/>
      </rPr>
      <t xml:space="preserve"> Coverage is national. Four cities will be covered with FM resources (La Paz, El Alto, Cochabamba and Santa Cruz) and the rest of the population will be covered with state resources.
</t>
    </r>
    <r>
      <rPr>
        <b/>
        <sz val="12"/>
        <color theme="1"/>
        <rFont val="Calibri"/>
        <family val="2"/>
        <scheme val="minor"/>
      </rPr>
      <t>Diagnostic services:</t>
    </r>
    <r>
      <rPr>
        <sz val="12"/>
        <color theme="1"/>
        <rFont val="Calibri"/>
        <family val="2"/>
        <scheme val="minor"/>
      </rPr>
      <t xml:space="preserve"> It will include counseling, HIV testing and linkage of HIV positive cases to comprehensive HIV care. HIV testing will be available at departmental and regional health centers (CDVIR/CRVIR), deconcentrated centers and mobile units. National guidelines recommend testing every 6 months in the at-risk population.
</t>
    </r>
    <r>
      <rPr>
        <b/>
        <sz val="12"/>
        <color theme="1"/>
        <rFont val="Calibri"/>
        <family val="2"/>
        <scheme val="minor"/>
      </rPr>
      <t xml:space="preserve">Method of measurement: </t>
    </r>
    <r>
      <rPr>
        <sz val="12"/>
        <color theme="1"/>
        <rFont val="Calibri"/>
        <family val="2"/>
        <scheme val="minor"/>
      </rPr>
      <t>The source of data will be nominal reports from the HIV information system (SIMONE) of quarterly reports from health facilities and civil society sub-recipients. To consider a person with an HIV test, those persons who receive at least one test during the year and are identified with a CUI will be reported. The CUI will be systematically de-duplicated and new and recurrent persons will be counted, counting the person only once in the period. To report the coverage achieved, the PR will use denominator as set out in the performance framework.
An increase from 9% to 28% of Sex Workers who are tested for HIV is expected.
FM contribution: The FM will contribute 100%, 52% and 43% respectively over the 3 years of the project, covering one HIV test per year in the 4 prioritized cities.</t>
    </r>
  </si>
  <si>
    <r>
      <rPr>
        <b/>
        <sz val="12"/>
        <rFont val="Calibri"/>
        <family val="2"/>
        <scheme val="minor"/>
      </rPr>
      <t>Línea de base:</t>
    </r>
    <r>
      <rPr>
        <sz val="12"/>
        <rFont val="Calibri"/>
        <family val="2"/>
        <scheme val="minor"/>
      </rPr>
      <t xml:space="preserve"> Numero de casos de TB nuevos mas recaidas notificados en el año 2020 (7,140)</t>
    </r>
    <r>
      <rPr>
        <b/>
        <sz val="12"/>
        <rFont val="Calibri"/>
        <family val="2"/>
        <scheme val="minor"/>
      </rPr>
      <t xml:space="preserve">
Metodología de medición:  </t>
    </r>
    <r>
      <rPr>
        <sz val="12"/>
        <rFont val="Calibri"/>
        <family val="2"/>
        <scheme val="minor"/>
      </rPr>
      <t>Informe de notificación de casos de Tuberculosis (nuevos y recaidas) Reporte de la Unidad de Vigilancia Epidemiológica - Componente de Tuberculosis - Sistema de R&amp;R TB - Ministerio de Salud y Deportes.</t>
    </r>
    <r>
      <rPr>
        <b/>
        <sz val="12"/>
        <rFont val="Calibri"/>
        <family val="2"/>
        <scheme val="minor"/>
      </rPr>
      <t xml:space="preserve">
Supuestos</t>
    </r>
    <r>
      <rPr>
        <sz val="12"/>
        <rFont val="Calibri"/>
        <family val="2"/>
        <scheme val="minor"/>
      </rPr>
      <t>: El 2020 se ha detectado al 50,1% de los casos estimados por OMS, se espera incrementar la captacion a traves de la universalizacion gradual del diagnostico con GeneXpert y lograr captar al 65% de los casos para el 2023, 70% para el 2024 y 75% para el 2025.
Las metas están acordes a la proyección de captación histórica del país: En el ciclo de 2020 se realizaron 2.552 pruebas de GeneXpert a SR, logrando incrementarse a 8.126 pruebas para el 2021.
Se propone utilizar como denominador los casos nuevos y recaídas captados por el país y no así las estimaciones de la OMS ya que no son reales bajo el comportamiento histórico del país.</t>
    </r>
  </si>
  <si>
    <r>
      <rPr>
        <b/>
        <sz val="12"/>
        <color theme="1"/>
        <rFont val="Calibri"/>
        <family val="2"/>
        <scheme val="minor"/>
      </rPr>
      <t>Baseline:</t>
    </r>
    <r>
      <rPr>
        <sz val="12"/>
        <color theme="1"/>
        <rFont val="Calibri"/>
        <family val="2"/>
        <scheme val="minor"/>
      </rPr>
      <t xml:space="preserve"> Number of new TB cases plus relapses reported in 2020 (7,140).
</t>
    </r>
    <r>
      <rPr>
        <i/>
        <sz val="12"/>
        <color theme="1"/>
        <rFont val="Calibri"/>
        <family val="2"/>
        <scheme val="minor"/>
      </rPr>
      <t>Measurement Methodology:</t>
    </r>
    <r>
      <rPr>
        <sz val="12"/>
        <color theme="1"/>
        <rFont val="Calibri"/>
        <family val="2"/>
        <scheme val="minor"/>
      </rPr>
      <t xml:space="preserve"> Tuberculosis case notification report (new and relapses) Report from the Epidemiological Surveillance Unit - Tuberculosis Component - TB R&amp;R System - Ministry of Health and Sports.
</t>
    </r>
    <r>
      <rPr>
        <b/>
        <sz val="12"/>
        <color theme="1"/>
        <rFont val="Calibri"/>
        <family val="2"/>
        <scheme val="minor"/>
      </rPr>
      <t>Assumptions:</t>
    </r>
    <r>
      <rPr>
        <sz val="12"/>
        <color theme="1"/>
        <rFont val="Calibri"/>
        <family val="2"/>
        <scheme val="minor"/>
      </rPr>
      <t xml:space="preserve"> By 2020, 50.1% of the cases estimated by WHO have been detected, it is expected to increase the uptake through the gradual universalization of diagnosis with GeneXpert and achieve 65% of cases by 2023, 70% by 2024 and 75% by 2025.
The targets are in line with the country's historical uptake projection: In the 2020 cycle, 2,552 GeneXpert tests were performed on SR, increasing to 8,126 tests by 2021.
It is proposed to use as denominator the new cases and relapses captured by the country and not the WHO estimates since they are not real under the historical behavior of the country.</t>
    </r>
  </si>
  <si>
    <r>
      <rPr>
        <b/>
        <sz val="12"/>
        <rFont val="Calibri"/>
        <family val="2"/>
        <scheme val="minor"/>
      </rPr>
      <t xml:space="preserve">Línea de base: </t>
    </r>
    <r>
      <rPr>
        <sz val="12"/>
        <rFont val="Calibri"/>
        <family val="2"/>
        <scheme val="minor"/>
      </rPr>
      <t>Numero de casos de TB tratados exitosamente en el año 2019 (6228/7463 = 83,5%)</t>
    </r>
    <r>
      <rPr>
        <b/>
        <sz val="12"/>
        <rFont val="Calibri"/>
        <family val="2"/>
        <scheme val="minor"/>
      </rPr>
      <t xml:space="preserve">
Metodología de medición:  </t>
    </r>
    <r>
      <rPr>
        <sz val="12"/>
        <rFont val="Calibri"/>
        <family val="2"/>
        <scheme val="minor"/>
      </rPr>
      <t>Informe de resultados de tratamiento de casos de Tuberculosis (nuevos y recaidas) del Programa Nacional de Enfermedades Infectocontagiosas.</t>
    </r>
    <r>
      <rPr>
        <b/>
        <sz val="12"/>
        <rFont val="Calibri"/>
        <family val="2"/>
        <scheme val="minor"/>
      </rPr>
      <t xml:space="preserve">
Numerador: </t>
    </r>
    <r>
      <rPr>
        <sz val="12"/>
        <rFont val="Calibri"/>
        <family val="2"/>
        <scheme val="minor"/>
      </rPr>
      <t xml:space="preserve">Casos de Tuberculosis (nuevos y recaidas) tratados exitosamente (curados + tratamiento completado).
</t>
    </r>
    <r>
      <rPr>
        <b/>
        <sz val="12"/>
        <rFont val="Calibri"/>
        <family val="2"/>
        <scheme val="minor"/>
      </rPr>
      <t>Denominador:</t>
    </r>
    <r>
      <rPr>
        <sz val="12"/>
        <rFont val="Calibri"/>
        <family val="2"/>
        <scheme val="minor"/>
      </rPr>
      <t xml:space="preserve"> Casos de Tuberculosis (nuevos y recaidas) notificados 12 meses antes (una gestion anterior).</t>
    </r>
    <r>
      <rPr>
        <b/>
        <sz val="12"/>
        <rFont val="Calibri"/>
        <family val="2"/>
        <scheme val="minor"/>
      </rPr>
      <t xml:space="preserve">
Multiplicador: </t>
    </r>
    <r>
      <rPr>
        <sz val="12"/>
        <rFont val="Calibri"/>
        <family val="2"/>
        <scheme val="minor"/>
      </rPr>
      <t xml:space="preserve">100%
</t>
    </r>
    <r>
      <rPr>
        <b/>
        <sz val="12"/>
        <rFont val="Calibri"/>
        <family val="2"/>
        <scheme val="minor"/>
      </rPr>
      <t>Supuestos</t>
    </r>
    <r>
      <rPr>
        <sz val="12"/>
        <rFont val="Calibri"/>
        <family val="2"/>
        <scheme val="minor"/>
      </rPr>
      <t>: El PEN alineado a la Estrategia Fin de la Tuberculosis y al cumplimiento de las metas del mismo. Se espera mejorar el éxito de tratamiento a través del diagnostico oportuno con GeneXpert y reducir el numero de casos fallecidos antes de iniciar tratamiento.</t>
    </r>
  </si>
  <si>
    <r>
      <rPr>
        <b/>
        <sz val="12"/>
        <color theme="1"/>
        <rFont val="Calibri"/>
        <family val="2"/>
        <scheme val="minor"/>
      </rPr>
      <t>Baseline:</t>
    </r>
    <r>
      <rPr>
        <sz val="12"/>
        <color theme="1"/>
        <rFont val="Calibri"/>
        <family val="2"/>
        <scheme val="minor"/>
      </rPr>
      <t xml:space="preserve"> Number of TB cases successfully treated in 2019 (6228/7463 = 83.5%).
</t>
    </r>
    <r>
      <rPr>
        <b/>
        <sz val="12"/>
        <color theme="1"/>
        <rFont val="Calibri"/>
        <family val="2"/>
        <scheme val="minor"/>
      </rPr>
      <t>Measurement methodology:</t>
    </r>
    <r>
      <rPr>
        <sz val="12"/>
        <color theme="1"/>
        <rFont val="Calibri"/>
        <family val="2"/>
        <scheme val="minor"/>
      </rPr>
      <t xml:space="preserve"> treatment outcome report of TB cases (new and relapsed) from the National Infectious Diseases Program.
Numerator: Tuberculosis cases (new and relapsed) successfully treated (cured + treatment completed).
Denominator: Tuberculosis cases (new and relapsed) notified 12 months earlier (previous management).
Multiplier: 100%.
</t>
    </r>
    <r>
      <rPr>
        <b/>
        <sz val="12"/>
        <color theme="1"/>
        <rFont val="Calibri"/>
        <family val="2"/>
        <scheme val="minor"/>
      </rPr>
      <t>Assumptions:</t>
    </r>
    <r>
      <rPr>
        <sz val="12"/>
        <color theme="1"/>
        <rFont val="Calibri"/>
        <family val="2"/>
        <scheme val="minor"/>
      </rPr>
      <t xml:space="preserve"> PEN aligned to the End TB Strategy and meeting end TB targets. It is expected to improve treatment success through timely diagnosis with GeneXpert and reduce the number of cases that die before initiating treatment.</t>
    </r>
  </si>
  <si>
    <r>
      <rPr>
        <b/>
        <sz val="12"/>
        <rFont val="Calibri"/>
        <family val="2"/>
        <scheme val="minor"/>
      </rPr>
      <t xml:space="preserve">Numerador: </t>
    </r>
    <r>
      <rPr>
        <sz val="12"/>
        <rFont val="Calibri"/>
        <family val="2"/>
        <scheme val="minor"/>
      </rPr>
      <t xml:space="preserve">número de casos de TB (nuevos y recaidas) diagnosticados por GeneXpert MTB/RIF. </t>
    </r>
    <r>
      <rPr>
        <b/>
        <sz val="12"/>
        <rFont val="Calibri"/>
        <family val="2"/>
        <scheme val="minor"/>
      </rPr>
      <t xml:space="preserve">
Denominador: </t>
    </r>
    <r>
      <rPr>
        <sz val="12"/>
        <rFont val="Calibri"/>
        <family val="2"/>
        <scheme val="minor"/>
      </rPr>
      <t>número de casos de TB (nuevos y recaidas) notificados.</t>
    </r>
    <r>
      <rPr>
        <b/>
        <sz val="12"/>
        <rFont val="Calibri"/>
        <family val="2"/>
        <scheme val="minor"/>
      </rPr>
      <t xml:space="preserve">
Multiplicador: </t>
    </r>
    <r>
      <rPr>
        <sz val="12"/>
        <rFont val="Calibri"/>
        <family val="2"/>
        <scheme val="minor"/>
      </rPr>
      <t xml:space="preserve">100%            </t>
    </r>
    <r>
      <rPr>
        <b/>
        <sz val="12"/>
        <rFont val="Calibri"/>
        <family val="2"/>
        <scheme val="minor"/>
      </rPr>
      <t xml:space="preserve">                                                                                                                                                                                                                                   Metodología de medición. </t>
    </r>
    <r>
      <rPr>
        <sz val="12"/>
        <rFont val="Calibri"/>
        <family val="2"/>
        <scheme val="minor"/>
      </rPr>
      <t xml:space="preserve">Sistema de registro del PNEI-Tuberculosis y de registros de laboratorio </t>
    </r>
    <r>
      <rPr>
        <b/>
        <sz val="12"/>
        <rFont val="Calibri"/>
        <family val="2"/>
        <scheme val="minor"/>
      </rPr>
      <t xml:space="preserve">
Periodo de medición: </t>
    </r>
    <r>
      <rPr>
        <sz val="12"/>
        <rFont val="Calibri"/>
        <family val="2"/>
        <scheme val="minor"/>
      </rPr>
      <t xml:space="preserve">Trimestral (hasta 40 dias acabado el trimestre).         </t>
    </r>
    <r>
      <rPr>
        <b/>
        <sz val="12"/>
        <rFont val="Calibri"/>
        <family val="2"/>
        <scheme val="minor"/>
      </rPr>
      <t xml:space="preserve">                                                                                                                                                  Supuestos:</t>
    </r>
    <r>
      <rPr>
        <sz val="12"/>
        <rFont val="Calibri"/>
        <family val="2"/>
        <scheme val="minor"/>
      </rPr>
      <t xml:space="preserve"> PEN alineado a la Estrategia Fin de la Tuberculosis y al cumplimiento de las metas del mismo. Universalización gradual del diagnostico universal por GeneXpert MTB/RIF y el uso de cartuchos GeneXpert Ultra,actualizacion de la normativa de Tuberculosis, capacitacion al personal de salud y proveedores de salud no publicos. 
</t>
    </r>
  </si>
  <si>
    <r>
      <rPr>
        <b/>
        <sz val="12"/>
        <color theme="1"/>
        <rFont val="Calibri"/>
        <family val="2"/>
        <scheme val="minor"/>
      </rPr>
      <t xml:space="preserve">Numerator: </t>
    </r>
    <r>
      <rPr>
        <sz val="12"/>
        <color theme="1"/>
        <rFont val="Calibri"/>
        <family val="2"/>
        <scheme val="minor"/>
      </rPr>
      <t xml:space="preserve">number of TB cases (new and relapsed) diagnosed by GeneXpert MTB/RIF. 
</t>
    </r>
    <r>
      <rPr>
        <b/>
        <sz val="12"/>
        <color theme="1"/>
        <rFont val="Calibri"/>
        <family val="2"/>
        <scheme val="minor"/>
      </rPr>
      <t>Denominator:</t>
    </r>
    <r>
      <rPr>
        <sz val="12"/>
        <color theme="1"/>
        <rFont val="Calibri"/>
        <family val="2"/>
        <scheme val="minor"/>
      </rPr>
      <t xml:space="preserve"> number of TB cases (new and relapsed) reported.
</t>
    </r>
    <r>
      <rPr>
        <b/>
        <sz val="12"/>
        <color theme="1"/>
        <rFont val="Calibri"/>
        <family val="2"/>
        <scheme val="minor"/>
      </rPr>
      <t>Multiplier:</t>
    </r>
    <r>
      <rPr>
        <sz val="12"/>
        <color theme="1"/>
        <rFont val="Calibri"/>
        <family val="2"/>
        <scheme val="minor"/>
      </rPr>
      <t xml:space="preserve"> 100% Measurement methodology. PNEI-TB registry and laboratory records system. 
</t>
    </r>
    <r>
      <rPr>
        <b/>
        <sz val="12"/>
        <color theme="1"/>
        <rFont val="Calibri"/>
        <family val="2"/>
        <scheme val="minor"/>
      </rPr>
      <t xml:space="preserve">Measurement period: </t>
    </r>
    <r>
      <rPr>
        <sz val="12"/>
        <color theme="1"/>
        <rFont val="Calibri"/>
        <family val="2"/>
        <scheme val="minor"/>
      </rPr>
      <t xml:space="preserve">quarterly (up to 40 days ending quarter).                                                                                                                                                           </t>
    </r>
    <r>
      <rPr>
        <b/>
        <sz val="12"/>
        <color theme="1"/>
        <rFont val="Calibri"/>
        <family val="2"/>
        <scheme val="minor"/>
      </rPr>
      <t>Assumptions:</t>
    </r>
    <r>
      <rPr>
        <sz val="12"/>
        <color theme="1"/>
        <rFont val="Calibri"/>
        <family val="2"/>
        <scheme val="minor"/>
      </rPr>
      <t xml:space="preserve"> PEN aligned with the End TB Strategy and compliance with its goals. Gradual universalization of universal diagnosis by GeneXpert MTB/RIF and the use of GeneXpert Ultra cartridges, updating of Tuberculosis regulations, training of health personnel and non-public health providers. </t>
    </r>
  </si>
  <si>
    <r>
      <rPr>
        <b/>
        <sz val="12"/>
        <rFont val="Calibri"/>
        <family val="2"/>
        <scheme val="minor"/>
      </rPr>
      <t>Línea de Base.</t>
    </r>
    <r>
      <rPr>
        <sz val="12"/>
        <rFont val="Calibri"/>
        <family val="2"/>
        <scheme val="minor"/>
      </rPr>
      <t xml:space="preserve"> Paciente TB RR/MDR Captados 121 la gestión 2021.
</t>
    </r>
    <r>
      <rPr>
        <b/>
        <sz val="12"/>
        <rFont val="Calibri"/>
        <family val="2"/>
        <scheme val="minor"/>
      </rPr>
      <t>Fuente de información:</t>
    </r>
    <r>
      <rPr>
        <sz val="12"/>
        <rFont val="Calibri"/>
        <family val="2"/>
        <scheme val="minor"/>
      </rPr>
      <t xml:space="preserve"> Reporte de la Unidad de Vigilancia Epidemiológica - Componente de Tuberculosis - Sistema de R&amp;R TB - Ministerio de Salud y Deportes.
</t>
    </r>
    <r>
      <rPr>
        <b/>
        <sz val="12"/>
        <rFont val="Calibri"/>
        <family val="2"/>
        <scheme val="minor"/>
      </rPr>
      <t xml:space="preserve">Comentario. </t>
    </r>
    <r>
      <rPr>
        <sz val="12"/>
        <rFont val="Calibri"/>
        <family val="2"/>
        <scheme val="minor"/>
      </rPr>
      <t>Se realizo la estimacion de captacion de casos de TB RR-MDR de acuerdo al comportamiento historico, sin tomar en cuenta la gestion 2020 por la pandemia de la COVID-19. PEN alineado a la Estrategia Fin de la Tuberculosis y al cumplimiento de las metas del mismo.
La universalizacion del GeneXpert como metodo de diagnostico inicial permitira la captacion de casos y la busqueda de casos TB-RR. Se adjunta archivo con la estimacion de casos TB-RR para el 2023-2025</t>
    </r>
  </si>
  <si>
    <r>
      <rPr>
        <b/>
        <sz val="12"/>
        <color theme="1"/>
        <rFont val="Calibri"/>
        <family val="2"/>
        <scheme val="minor"/>
      </rPr>
      <t>Baseline.</t>
    </r>
    <r>
      <rPr>
        <sz val="12"/>
        <color theme="1"/>
        <rFont val="Calibri"/>
        <family val="2"/>
        <scheme val="minor"/>
      </rPr>
      <t xml:space="preserve"> TB RR/MDR patients captured 121 in 2021.
</t>
    </r>
    <r>
      <rPr>
        <b/>
        <sz val="12"/>
        <color theme="1"/>
        <rFont val="Calibri"/>
        <family val="2"/>
        <scheme val="minor"/>
      </rPr>
      <t>Source of information:</t>
    </r>
    <r>
      <rPr>
        <sz val="12"/>
        <color theme="1"/>
        <rFont val="Calibri"/>
        <family val="2"/>
        <scheme val="minor"/>
      </rPr>
      <t xml:space="preserve"> Report of the Epidemiological Surveillance Unit - Tuberculosis Component - TB R&amp;R System - Ministry of Health and Sports.
</t>
    </r>
    <r>
      <rPr>
        <b/>
        <sz val="12"/>
        <color theme="1"/>
        <rFont val="Calibri"/>
        <family val="2"/>
        <scheme val="minor"/>
      </rPr>
      <t>Comment.</t>
    </r>
    <r>
      <rPr>
        <sz val="12"/>
        <color theme="1"/>
        <rFont val="Calibri"/>
        <family val="2"/>
        <scheme val="minor"/>
      </rPr>
      <t xml:space="preserve"> The estimate of RR-MDR TB cases was made according to the historical behavior, without taking into account the 2020 management due to the COVID-19 pandemic. PEN aligned with the End TB Strategy and the fulfillment of its goals.
The universalization of GeneXpert as a method of initial diagnosis will allow the capture of cases and the search for RR-TB cases. Attached is a file with the estimated number of RR-TB cases for 2023-2025.</t>
    </r>
  </si>
  <si>
    <r>
      <rPr>
        <b/>
        <sz val="12"/>
        <rFont val="Calibri"/>
        <family val="2"/>
        <scheme val="minor"/>
      </rPr>
      <t xml:space="preserve">Línea de Base. </t>
    </r>
    <r>
      <rPr>
        <sz val="12"/>
        <rFont val="Calibri"/>
        <family val="2"/>
        <scheme val="minor"/>
      </rPr>
      <t xml:space="preserve">Paciente TB RR/MDR que iniciaron tratamiento 95 Gestión 2021.
</t>
    </r>
    <r>
      <rPr>
        <b/>
        <sz val="12"/>
        <rFont val="Calibri"/>
        <family val="2"/>
        <scheme val="minor"/>
      </rPr>
      <t xml:space="preserve">Fuente de información: </t>
    </r>
    <r>
      <rPr>
        <sz val="12"/>
        <rFont val="Calibri"/>
        <family val="2"/>
        <scheme val="minor"/>
      </rPr>
      <t xml:space="preserve">Reporte de la Unidad de Vigilancia Epidemiológica - Componente de Tuberculosis - Sistema de R&amp;R TB - Ministerio de Salud y Deportes.
</t>
    </r>
    <r>
      <rPr>
        <b/>
        <sz val="12"/>
        <rFont val="Calibri"/>
        <family val="2"/>
        <scheme val="minor"/>
      </rPr>
      <t>Comentario</t>
    </r>
    <r>
      <rPr>
        <sz val="12"/>
        <rFont val="Calibri"/>
        <family val="2"/>
        <scheme val="minor"/>
      </rPr>
      <t xml:space="preserve">. Con este indicador estamos midiendo la capacidad del programa nacional para garantizar que todos los pacientes en los que se detecta RR-TB o MDR-TB reciban el tratamiento adecuado en el menor tiempo posible.  Por esta razón el desempeño de este indicador será evaluado en base al resultado del indicador MDR TB-2. La implementación del esquema oral en los pacientes TB-DR a partir de la gestion 2022, ayudara a la adherencia del tratamiento y el éxito del mismo en los pacientes al ser un tratamiento menos agresivo para el paciente.
</t>
    </r>
  </si>
  <si>
    <r>
      <rPr>
        <b/>
        <sz val="12"/>
        <color theme="1"/>
        <rFont val="Calibri"/>
        <family val="2"/>
        <scheme val="minor"/>
      </rPr>
      <t xml:space="preserve">Baseline. </t>
    </r>
    <r>
      <rPr>
        <sz val="12"/>
        <color theme="1"/>
        <rFont val="Calibri"/>
        <family val="2"/>
        <scheme val="minor"/>
      </rPr>
      <t xml:space="preserve">RR/MDR TB patients who initiated treatment 95 Management 2021.
</t>
    </r>
    <r>
      <rPr>
        <b/>
        <sz val="12"/>
        <color theme="1"/>
        <rFont val="Calibri"/>
        <family val="2"/>
        <scheme val="minor"/>
      </rPr>
      <t>Source of information:</t>
    </r>
    <r>
      <rPr>
        <sz val="12"/>
        <color theme="1"/>
        <rFont val="Calibri"/>
        <family val="2"/>
        <scheme val="minor"/>
      </rPr>
      <t xml:space="preserve"> Epidemiological Surveillance Unit Report - Tuberculosis Component - TB R&amp;R System - Ministry of Health and Sports.
</t>
    </r>
    <r>
      <rPr>
        <b/>
        <sz val="12"/>
        <color theme="1"/>
        <rFont val="Calibri"/>
        <family val="2"/>
        <scheme val="minor"/>
      </rPr>
      <t>Comment.</t>
    </r>
    <r>
      <rPr>
        <sz val="12"/>
        <color theme="1"/>
        <rFont val="Calibri"/>
        <family val="2"/>
        <scheme val="minor"/>
      </rPr>
      <t xml:space="preserve"> With this indicator we are measuring the capacity of the national program to ensure that all patients in whom RR-TB or MDR-TB is detected receive appropriate treatment in the shortest possible time.  For this reason the performance of this indicator will be evaluated based on the result of the MDR TB-2 indicator. The implementation of the oral scheme in DR-TB patients from the 2022 management will help treatment adherence and treatment success in patients as it is a less aggressive treatment for the patient.</t>
    </r>
  </si>
  <si>
    <t>record_id</t>
  </si>
  <si>
    <t>Estudio Bioconductual en HSH</t>
  </si>
  <si>
    <t>El dato corresponde al Estudio Bioconductual realizado el año 2021</t>
  </si>
  <si>
    <t>Estudio Bioconductual en  mujeres transgénero</t>
  </si>
  <si>
    <t>El dato corresponde al Estudio Bioconductual realizado el año 2021, se debe tomar como proporción referencial proxy de prevalencia.</t>
  </si>
  <si>
    <t>SIMONE</t>
  </si>
  <si>
    <t>Estudio Bioconductual en  Hombres que tienen sexo con hombres</t>
  </si>
  <si>
    <t>Estudio Bioconductual  en Mujeres Trangénero 2021</t>
  </si>
  <si>
    <t>El dato corresponde a la submuestra alcanzada en el Estudio Bioconductual en mujeres transgénero 2021</t>
  </si>
  <si>
    <t>No se disponde de información actualizada en trabajadores/as sexuales</t>
  </si>
  <si>
    <t>La desagregación por grupo de edad del denominador se realizó considerando la estructura demográfica del país sobre el tamaño poblacional de HSH para 2021.</t>
  </si>
  <si>
    <t>Para el denominador se considera todas las personas que se hicieron una prueba de VIH.</t>
  </si>
  <si>
    <t>La desagregación por grupo de edad del denominador se realizó considerando la estructura demográfica del país sobre el tamaño poblacional de HSH para 2021. El denominador corresponde a toda la población en el grupo de edad</t>
  </si>
  <si>
    <t>La desagregación por grupo de edad del denominador se realizó considerando la estructura demográfica del país sobre el tamaño poblacional de mujeres transgénero para 2021.</t>
  </si>
  <si>
    <t>El denominador corresponde a las mujeres transgénero que se hicieron prueba de VIH en el periodo de reporte.</t>
  </si>
  <si>
    <t>concat module&amp;int</t>
  </si>
  <si>
    <t>WPTM row no display map</t>
  </si>
  <si>
    <t>wptm resutls row no display map</t>
  </si>
  <si>
    <t>english interventions</t>
  </si>
  <si>
    <t>population english</t>
  </si>
  <si>
    <t>Trabajadoras sexuales y sus clientes, GB-HSH, Trans</t>
  </si>
  <si>
    <t>Realizar la encuesta biológica y comportamental integrada para obtener una estimación del tamaño de las poblaciones de trabajadoras sexuales en las ciudades de La Paz, El Alto, Cochabamba y Santa Cruz</t>
  </si>
  <si>
    <t>El país ha completado la encuesta biológica y comportamental y se ha obtenido una estimación del tamaño de las poblaciones de trabajadoras sexuales, incluidas aquellas que carecen de tarjeta sanitaria, por área geográfica permitiendo el desarrollo de paquetes diferenciados de servicios</t>
  </si>
  <si>
    <r>
      <rPr>
        <b/>
        <sz val="12"/>
        <color theme="1"/>
        <rFont val="Calibri"/>
        <family val="2"/>
        <scheme val="minor"/>
      </rPr>
      <t>No iniciada (0):</t>
    </r>
    <r>
      <rPr>
        <sz val="12"/>
        <color theme="1"/>
        <rFont val="Calibri"/>
        <family val="2"/>
        <scheme val="minor"/>
      </rPr>
      <t xml:space="preserve"> El RP presenta ningún avance contra los el hito para el período.
</t>
    </r>
    <r>
      <rPr>
        <b/>
        <sz val="12"/>
        <color theme="1"/>
        <rFont val="Calibri"/>
        <family val="2"/>
        <scheme val="minor"/>
      </rPr>
      <t xml:space="preserve">Iniciada (1): </t>
    </r>
    <r>
      <rPr>
        <sz val="12"/>
        <color theme="1"/>
        <rFont val="Calibri"/>
        <family val="2"/>
        <scheme val="minor"/>
      </rPr>
      <t xml:space="preserve">El RP presenta un borrador del reporte de la encuesta
</t>
    </r>
    <r>
      <rPr>
        <b/>
        <sz val="12"/>
        <color theme="1"/>
        <rFont val="Calibri"/>
        <family val="2"/>
        <scheme val="minor"/>
      </rPr>
      <t>Avanzada (2):</t>
    </r>
    <r>
      <rPr>
        <sz val="12"/>
        <color theme="1"/>
        <rFont val="Calibri"/>
        <family val="2"/>
        <scheme val="minor"/>
      </rPr>
      <t xml:space="preserve"> El RP presenta un reporte final de la encuesta validado por el Ministerio de Salud y las partes interesadas
</t>
    </r>
    <r>
      <rPr>
        <b/>
        <sz val="12"/>
        <color theme="1"/>
        <rFont val="Calibri"/>
        <family val="2"/>
        <scheme val="minor"/>
      </rPr>
      <t>Completada (3):</t>
    </r>
    <r>
      <rPr>
        <sz val="12"/>
        <color theme="1"/>
        <rFont val="Calibri"/>
        <family val="2"/>
        <scheme val="minor"/>
      </rPr>
      <t xml:space="preserve"> El RP presenta un reporte final de la encuesta validado por el Ministerio de Salud y las partes interesadas, y evidencias de que se ha utilizado por el Ministerio de Salud como base para el desarrollo de paquetes diferenciados de servicios para las MTS</t>
    </r>
  </si>
  <si>
    <t>The country has completed the biological and behavioral survey and an estimate of the size of the sex worker populations, including those without a health card, has been obtained by geographic area allowing for the development of differentiated packages of services.</t>
  </si>
  <si>
    <r>
      <rPr>
        <b/>
        <sz val="12"/>
        <color theme="1"/>
        <rFont val="Calibri"/>
        <family val="2"/>
        <scheme val="minor"/>
      </rPr>
      <t xml:space="preserve">Not started (0): </t>
    </r>
    <r>
      <rPr>
        <sz val="12"/>
        <color theme="1"/>
        <rFont val="Calibri"/>
        <family val="2"/>
        <scheme val="minor"/>
      </rPr>
      <t xml:space="preserve">The PR submits no progress against the milestones for the period.
</t>
    </r>
    <r>
      <rPr>
        <b/>
        <sz val="12"/>
        <color theme="1"/>
        <rFont val="Calibri"/>
        <family val="2"/>
        <scheme val="minor"/>
      </rPr>
      <t>Initiated (1):</t>
    </r>
    <r>
      <rPr>
        <sz val="12"/>
        <color theme="1"/>
        <rFont val="Calibri"/>
        <family val="2"/>
        <scheme val="minor"/>
      </rPr>
      <t xml:space="preserve"> Principal Recipient submits a draft survey report.
</t>
    </r>
    <r>
      <rPr>
        <b/>
        <sz val="12"/>
        <color theme="1"/>
        <rFont val="Calibri"/>
        <family val="2"/>
        <scheme val="minor"/>
      </rPr>
      <t>Advanced (2):</t>
    </r>
    <r>
      <rPr>
        <sz val="12"/>
        <color theme="1"/>
        <rFont val="Calibri"/>
        <family val="2"/>
        <scheme val="minor"/>
      </rPr>
      <t xml:space="preserve"> The Principal Recipient submits a final survey report validated by the Ministry of Health and stakeholders.
</t>
    </r>
    <r>
      <rPr>
        <b/>
        <sz val="12"/>
        <color theme="1"/>
        <rFont val="Calibri"/>
        <family val="2"/>
        <scheme val="minor"/>
      </rPr>
      <t>Completed (3):</t>
    </r>
    <r>
      <rPr>
        <sz val="12"/>
        <color theme="1"/>
        <rFont val="Calibri"/>
        <family val="2"/>
        <scheme val="minor"/>
      </rPr>
      <t xml:space="preserve"> The PR submits a final survey report validated by the MoH and stakeholders, and evidence that it has been used by the MoH as a basis for the development of differentiated packages of services for FSW</t>
    </r>
  </si>
  <si>
    <t>El país ha completado las encuestas biológicas y comportamentales para población GB-HSH y TRANS siguiendo la metodología RDS en el caso de HSH y TLS para las mujeres transgénero, y se ha obtenido una estimación del tamaño de las poblaciones, incluidas aquellas que carecen de tarjeta sanitaria, por área geográfica permitiendo el desarrollo de paquetes diferenciados de servicios</t>
  </si>
  <si>
    <r>
      <t xml:space="preserve">Calificación de la MSPT:
</t>
    </r>
    <r>
      <rPr>
        <b/>
        <sz val="12"/>
        <color theme="1"/>
        <rFont val="Calibri"/>
        <family val="2"/>
        <scheme val="minor"/>
      </rPr>
      <t>No iniciada (0):</t>
    </r>
    <r>
      <rPr>
        <sz val="12"/>
        <color theme="1"/>
        <rFont val="Calibri"/>
        <family val="2"/>
        <scheme val="minor"/>
      </rPr>
      <t xml:space="preserve"> El RP presenta ningún avance contra los el hito para el período.
</t>
    </r>
    <r>
      <rPr>
        <b/>
        <sz val="12"/>
        <color theme="1"/>
        <rFont val="Calibri"/>
        <family val="2"/>
        <scheme val="minor"/>
      </rPr>
      <t>Iniciada (1)</t>
    </r>
    <r>
      <rPr>
        <sz val="12"/>
        <color theme="1"/>
        <rFont val="Calibri"/>
        <family val="2"/>
        <scheme val="minor"/>
      </rPr>
      <t xml:space="preserve">: El RP presenta borradores de los reportes de ambas encuestas
</t>
    </r>
    <r>
      <rPr>
        <b/>
        <sz val="12"/>
        <color theme="1"/>
        <rFont val="Calibri"/>
        <family val="2"/>
        <scheme val="minor"/>
      </rPr>
      <t>Avanzada (2)</t>
    </r>
    <r>
      <rPr>
        <sz val="12"/>
        <color theme="1"/>
        <rFont val="Calibri"/>
        <family val="2"/>
        <scheme val="minor"/>
      </rPr>
      <t xml:space="preserve">: El RP presenta reportes finales de ambas encuestas validados por el Ministerio de Salud y las partes interesadas
</t>
    </r>
    <r>
      <rPr>
        <b/>
        <sz val="12"/>
        <color theme="1"/>
        <rFont val="Calibri"/>
        <family val="2"/>
        <scheme val="minor"/>
      </rPr>
      <t>Completada (3)</t>
    </r>
    <r>
      <rPr>
        <sz val="12"/>
        <color theme="1"/>
        <rFont val="Calibri"/>
        <family val="2"/>
        <scheme val="minor"/>
      </rPr>
      <t>: El RP presenta reportes finales de ambas encuestas validados por el Ministerio de Salud y las partes interesadas, y evidencias de que se han utilizado por el Ministerio de Salud como base para el desarrollo de paquetes diferenciados de servicios para las PC</t>
    </r>
  </si>
  <si>
    <t>GB-HSH, Trans</t>
  </si>
  <si>
    <t xml:space="preserve">Elaboracion de plan expansion de PrEP a escala nacional basado en las lecciones aprendidas de los pilotos </t>
  </si>
  <si>
    <t>Finalización del estudio piloto para evaluar la factibilidad y aceptabilidad de la PrEP según el protocolo elaborado conjuntamente con la OPS, como parte del paquete de prevención combinada que es ofrecido a la población HSH GB Trans en las ciudades de Santa Cruz de la Sierra y Cochabamba.</t>
  </si>
  <si>
    <r>
      <rPr>
        <b/>
        <sz val="12"/>
        <color theme="1"/>
        <rFont val="Calibri"/>
        <family val="2"/>
        <scheme val="minor"/>
      </rPr>
      <t>No iniciada (0):</t>
    </r>
    <r>
      <rPr>
        <sz val="12"/>
        <color theme="1"/>
        <rFont val="Calibri"/>
        <family val="2"/>
        <scheme val="minor"/>
      </rPr>
      <t xml:space="preserve"> El RP presenta ningún avance contra los el hito para el período.
</t>
    </r>
    <r>
      <rPr>
        <b/>
        <sz val="12"/>
        <color theme="1"/>
        <rFont val="Calibri"/>
        <family val="2"/>
        <scheme val="minor"/>
      </rPr>
      <t>Iniciada (1):</t>
    </r>
    <r>
      <rPr>
        <sz val="12"/>
        <color theme="1"/>
        <rFont val="Calibri"/>
        <family val="2"/>
        <scheme val="minor"/>
      </rPr>
      <t xml:space="preserve"> El RP presenta un borrador del reporte del piloto
</t>
    </r>
    <r>
      <rPr>
        <b/>
        <sz val="12"/>
        <color theme="1"/>
        <rFont val="Calibri"/>
        <family val="2"/>
        <scheme val="minor"/>
      </rPr>
      <t>Avanzada (2):</t>
    </r>
    <r>
      <rPr>
        <sz val="12"/>
        <color theme="1"/>
        <rFont val="Calibri"/>
        <family val="2"/>
        <scheme val="minor"/>
      </rPr>
      <t xml:space="preserve"> El RP presenta un reporte final de la encuesta validado por el Ministerio de Salud y las partes interesadas
</t>
    </r>
    <r>
      <rPr>
        <b/>
        <sz val="12"/>
        <color theme="1"/>
        <rFont val="Calibri"/>
        <family val="2"/>
        <scheme val="minor"/>
      </rPr>
      <t>Completada (3)</t>
    </r>
    <r>
      <rPr>
        <sz val="12"/>
        <color theme="1"/>
        <rFont val="Calibri"/>
        <family val="2"/>
        <scheme val="minor"/>
      </rPr>
      <t>: El RP presenta un reporte final de la encuesta validado por el Ministerio de Salud y las partes interesadas, y evidencias de que se ha utilizado por el Ministerio de Salud como base para el desarrollo de paquetes diferenciados de servicios para las MTS</t>
    </r>
  </si>
  <si>
    <t>Completion of the pilot study to evaluate the feasibility and acceptability of PrEP according to the protocol developed jointly with PAHO, as part of the combined prevention package offered to the MSM GB Trans population in the cities of Santa Cruz de la Sierra and Cochabamba.</t>
  </si>
  <si>
    <r>
      <rPr>
        <b/>
        <sz val="12"/>
        <color theme="1"/>
        <rFont val="Calibri"/>
        <family val="2"/>
        <scheme val="minor"/>
      </rPr>
      <t>Not started (0):</t>
    </r>
    <r>
      <rPr>
        <sz val="12"/>
        <color theme="1"/>
        <rFont val="Calibri"/>
        <family val="2"/>
        <scheme val="minor"/>
      </rPr>
      <t xml:space="preserve"> The PR submits no progress against the milestones for the period.
</t>
    </r>
    <r>
      <rPr>
        <b/>
        <sz val="12"/>
        <color theme="1"/>
        <rFont val="Calibri"/>
        <family val="2"/>
        <scheme val="minor"/>
      </rPr>
      <t>Initiated (1):</t>
    </r>
    <r>
      <rPr>
        <sz val="12"/>
        <color theme="1"/>
        <rFont val="Calibri"/>
        <family val="2"/>
        <scheme val="minor"/>
      </rPr>
      <t xml:space="preserve"> Principal Recipient submits a draft pilot report.
</t>
    </r>
    <r>
      <rPr>
        <b/>
        <sz val="12"/>
        <color theme="1"/>
        <rFont val="Calibri"/>
        <family val="2"/>
        <scheme val="minor"/>
      </rPr>
      <t xml:space="preserve">Advanced (2): </t>
    </r>
    <r>
      <rPr>
        <sz val="12"/>
        <color theme="1"/>
        <rFont val="Calibri"/>
        <family val="2"/>
        <scheme val="minor"/>
      </rPr>
      <t xml:space="preserve">Principal Recipient submits final survey report validated by MOH and stakeholders.
</t>
    </r>
    <r>
      <rPr>
        <b/>
        <sz val="12"/>
        <color theme="1"/>
        <rFont val="Calibri"/>
        <family val="2"/>
        <scheme val="minor"/>
      </rPr>
      <t xml:space="preserve">Completed (3): </t>
    </r>
    <r>
      <rPr>
        <sz val="12"/>
        <color theme="1"/>
        <rFont val="Calibri"/>
        <family val="2"/>
        <scheme val="minor"/>
      </rPr>
      <t>Principal Recipient submits a final survey report validated by the MoH and stakeholders, and evidence that it has been used by the MoH as a basis for the development of differentiated packages of services for FSW.</t>
    </r>
  </si>
  <si>
    <t>Finalización del plan de expansión costeado de PrEP a escala nacional con base al resultado del estudio piloto</t>
  </si>
  <si>
    <r>
      <rPr>
        <b/>
        <sz val="12"/>
        <color theme="1"/>
        <rFont val="Calibri"/>
        <family val="2"/>
        <scheme val="minor"/>
      </rPr>
      <t xml:space="preserve">No iniciada (0): </t>
    </r>
    <r>
      <rPr>
        <sz val="12"/>
        <color theme="1"/>
        <rFont val="Calibri"/>
        <family val="2"/>
        <scheme val="minor"/>
      </rPr>
      <t xml:space="preserve">El RP presenta ningún avance contra los el hito para el período.
</t>
    </r>
    <r>
      <rPr>
        <b/>
        <sz val="12"/>
        <color theme="1"/>
        <rFont val="Calibri"/>
        <family val="2"/>
        <scheme val="minor"/>
      </rPr>
      <t>Iniciada (1):</t>
    </r>
    <r>
      <rPr>
        <sz val="12"/>
        <color theme="1"/>
        <rFont val="Calibri"/>
        <family val="2"/>
        <scheme val="minor"/>
      </rPr>
      <t xml:space="preserve"> El RP presenta un borrador del plan de expansión
</t>
    </r>
    <r>
      <rPr>
        <b/>
        <sz val="12"/>
        <color theme="1"/>
        <rFont val="Calibri"/>
        <family val="2"/>
        <scheme val="minor"/>
      </rPr>
      <t>Avanzada (2):</t>
    </r>
    <r>
      <rPr>
        <sz val="12"/>
        <color theme="1"/>
        <rFont val="Calibri"/>
        <family val="2"/>
        <scheme val="minor"/>
      </rPr>
      <t xml:space="preserve"> El RP presenta un plan de expansión costeado final validado por el Ministerio de Salud y las partes interesadas
</t>
    </r>
    <r>
      <rPr>
        <b/>
        <sz val="12"/>
        <color theme="1"/>
        <rFont val="Calibri"/>
        <family val="2"/>
        <scheme val="minor"/>
      </rPr>
      <t>Completada (3)</t>
    </r>
    <r>
      <rPr>
        <sz val="12"/>
        <color theme="1"/>
        <rFont val="Calibri"/>
        <family val="2"/>
        <scheme val="minor"/>
      </rPr>
      <t>: El RP presenta un plan de expansión costeado final validado por el Ministerio de Salud y las partes interesadas, y evidencias de ejecución del plano (reporte sobre indicador de desempeno PrEP)</t>
    </r>
  </si>
  <si>
    <t>Finalization of the costed nationwide PrEP expansion plan based on the outcome of the pilot study.</t>
  </si>
  <si>
    <r>
      <rPr>
        <b/>
        <sz val="12"/>
        <color theme="1"/>
        <rFont val="Calibri"/>
        <family val="2"/>
        <scheme val="minor"/>
      </rPr>
      <t>Not started (0):</t>
    </r>
    <r>
      <rPr>
        <sz val="12"/>
        <color theme="1"/>
        <rFont val="Calibri"/>
        <family val="2"/>
        <scheme val="minor"/>
      </rPr>
      <t xml:space="preserve"> The PR submits no progress against the milestones for the period.
</t>
    </r>
    <r>
      <rPr>
        <b/>
        <sz val="12"/>
        <color theme="1"/>
        <rFont val="Calibri"/>
        <family val="2"/>
        <scheme val="minor"/>
      </rPr>
      <t>Initiated (1):</t>
    </r>
    <r>
      <rPr>
        <sz val="12"/>
        <color theme="1"/>
        <rFont val="Calibri"/>
        <family val="2"/>
        <scheme val="minor"/>
      </rPr>
      <t xml:space="preserve"> Principal Recipient submits a draft expansion plan.
</t>
    </r>
    <r>
      <rPr>
        <b/>
        <sz val="12"/>
        <color theme="1"/>
        <rFont val="Calibri"/>
        <family val="2"/>
        <scheme val="minor"/>
      </rPr>
      <t>Advanced (2):</t>
    </r>
    <r>
      <rPr>
        <sz val="12"/>
        <color theme="1"/>
        <rFont val="Calibri"/>
        <family val="2"/>
        <scheme val="minor"/>
      </rPr>
      <t xml:space="preserve"> Principal Recipient submits a final costed expansion plan validated by the MOH and stakeholders.
</t>
    </r>
    <r>
      <rPr>
        <b/>
        <sz val="12"/>
        <color theme="1"/>
        <rFont val="Calibri"/>
        <family val="2"/>
        <scheme val="minor"/>
      </rPr>
      <t>Completed (3):</t>
    </r>
    <r>
      <rPr>
        <sz val="12"/>
        <color theme="1"/>
        <rFont val="Calibri"/>
        <family val="2"/>
        <scheme val="minor"/>
      </rPr>
      <t xml:space="preserve"> The PR submits a final costed expansion plan validated by the MoH and stakeholders, and evidence of plan execution (PrEP performance indicator report).</t>
    </r>
  </si>
  <si>
    <t>Población General</t>
  </si>
  <si>
    <t>Expansión gradual del acceso al GeneXpert MTB/RIF como primer método diagnostico a todo caso SR o con TB presuntiva</t>
  </si>
  <si>
    <t xml:space="preserve">Informes sobre la la expansión del GeneXpert MTB/RIF como metodo de diagnostico a todo SR en las 9 ciudades capitales de Bolivia (Urbana) que concentra el 80% de los casos de Tuberculosis a nivel nacional. </t>
  </si>
  <si>
    <r>
      <rPr>
        <b/>
        <sz val="12"/>
        <color theme="1"/>
        <rFont val="Calibri"/>
        <family val="2"/>
        <scheme val="minor"/>
      </rPr>
      <t>No iniciada (0):</t>
    </r>
    <r>
      <rPr>
        <sz val="12"/>
        <color theme="1"/>
        <rFont val="Calibri"/>
        <family val="2"/>
        <scheme val="minor"/>
      </rPr>
      <t xml:space="preserve"> El RP presenta ningún avance contra los el hito para el período.
</t>
    </r>
    <r>
      <rPr>
        <b/>
        <sz val="12"/>
        <color theme="1"/>
        <rFont val="Calibri"/>
        <family val="2"/>
        <scheme val="minor"/>
      </rPr>
      <t>Iniciada (1):</t>
    </r>
    <r>
      <rPr>
        <sz val="12"/>
        <color theme="1"/>
        <rFont val="Calibri"/>
        <family val="2"/>
        <scheme val="minor"/>
      </rPr>
      <t xml:space="preserve"> El RP presenta un borrador del reporte
</t>
    </r>
    <r>
      <rPr>
        <b/>
        <sz val="12"/>
        <color theme="1"/>
        <rFont val="Calibri"/>
        <family val="2"/>
        <scheme val="minor"/>
      </rPr>
      <t>Avanzada (2):</t>
    </r>
    <r>
      <rPr>
        <sz val="12"/>
        <color theme="1"/>
        <rFont val="Calibri"/>
        <family val="2"/>
        <scheme val="minor"/>
      </rPr>
      <t xml:space="preserve"> El RP presenta un reporte final de la encuesta      </t>
    </r>
    <r>
      <rPr>
        <b/>
        <sz val="12"/>
        <color theme="1"/>
        <rFont val="Calibri"/>
        <family val="2"/>
        <scheme val="minor"/>
      </rPr>
      <t xml:space="preserve">                                                                                                                                                           Completada (3):</t>
    </r>
    <r>
      <rPr>
        <sz val="12"/>
        <color theme="1"/>
        <rFont val="Calibri"/>
        <family val="2"/>
        <scheme val="minor"/>
      </rPr>
      <t xml:space="preserve"> El RP presenta un reporte final de la encuesta validado por el Ministerio de Salud y las partes interesadas.</t>
    </r>
  </si>
  <si>
    <t xml:space="preserve">Reports on the expansion of GeneXpert MTB/RIF as a method of diagnosis to all SR in the 9 capital cities of Bolivia (Urbana) that concentrates 80% of the cases of Tuberculosis at the national level. </t>
  </si>
  <si>
    <r>
      <rPr>
        <b/>
        <sz val="12"/>
        <color theme="1"/>
        <rFont val="Calibri"/>
        <family val="2"/>
        <scheme val="minor"/>
      </rPr>
      <t xml:space="preserve">Not started (0): </t>
    </r>
    <r>
      <rPr>
        <sz val="12"/>
        <color theme="1"/>
        <rFont val="Calibri"/>
        <family val="2"/>
        <scheme val="minor"/>
      </rPr>
      <t>The PR submits no progress against the milestones for the period.</t>
    </r>
    <r>
      <rPr>
        <b/>
        <sz val="12"/>
        <color theme="1"/>
        <rFont val="Calibri"/>
        <family val="2"/>
        <scheme val="minor"/>
      </rPr>
      <t xml:space="preserve">
Initiated (1):</t>
    </r>
    <r>
      <rPr>
        <sz val="12"/>
        <color theme="1"/>
        <rFont val="Calibri"/>
        <family val="2"/>
        <scheme val="minor"/>
      </rPr>
      <t xml:space="preserve"> The Principal Recipient submits a draft report.</t>
    </r>
    <r>
      <rPr>
        <b/>
        <sz val="12"/>
        <color theme="1"/>
        <rFont val="Calibri"/>
        <family val="2"/>
        <scheme val="minor"/>
      </rPr>
      <t xml:space="preserve">
Advanced (2): </t>
    </r>
    <r>
      <rPr>
        <sz val="12"/>
        <color theme="1"/>
        <rFont val="Calibri"/>
        <family val="2"/>
        <scheme val="minor"/>
      </rPr>
      <t>The Principal Recipient submits a final survey report</t>
    </r>
    <r>
      <rPr>
        <b/>
        <sz val="12"/>
        <color theme="1"/>
        <rFont val="Calibri"/>
        <family val="2"/>
        <scheme val="minor"/>
      </rPr>
      <t xml:space="preserve">                                                                                                                                                 Completed (3): </t>
    </r>
    <r>
      <rPr>
        <sz val="12"/>
        <color theme="1"/>
        <rFont val="Calibri"/>
        <family val="2"/>
        <scheme val="minor"/>
      </rPr>
      <t>The Principal Recipient submits a final survey report validated by the Ministry of Health and stakeholders.</t>
    </r>
  </si>
  <si>
    <t>Informes sobre la la expansión del GeneXpert MTB/RIF como metodo de diagnostico a todo SR en ciudades intermedias del area rural con alta incidencia de Tuberculosis</t>
  </si>
  <si>
    <r>
      <rPr>
        <b/>
        <sz val="12"/>
        <color theme="1"/>
        <rFont val="Calibri"/>
        <family val="2"/>
        <scheme val="minor"/>
      </rPr>
      <t>No iniciada (0):</t>
    </r>
    <r>
      <rPr>
        <sz val="12"/>
        <color theme="1"/>
        <rFont val="Calibri"/>
        <family val="2"/>
        <scheme val="minor"/>
      </rPr>
      <t xml:space="preserve"> El RP presenta ningún avance contra los el hito para el período.
</t>
    </r>
    <r>
      <rPr>
        <b/>
        <sz val="12"/>
        <color theme="1"/>
        <rFont val="Calibri"/>
        <family val="2"/>
        <scheme val="minor"/>
      </rPr>
      <t>Iniciada (1):</t>
    </r>
    <r>
      <rPr>
        <sz val="12"/>
        <color theme="1"/>
        <rFont val="Calibri"/>
        <family val="2"/>
        <scheme val="minor"/>
      </rPr>
      <t xml:space="preserve"> El RP presenta un borrador del reporte
</t>
    </r>
    <r>
      <rPr>
        <b/>
        <sz val="12"/>
        <color theme="1"/>
        <rFont val="Calibri"/>
        <family val="2"/>
        <scheme val="minor"/>
      </rPr>
      <t>Avanzada (2):</t>
    </r>
    <r>
      <rPr>
        <sz val="12"/>
        <color theme="1"/>
        <rFont val="Calibri"/>
        <family val="2"/>
        <scheme val="minor"/>
      </rPr>
      <t xml:space="preserve"> El RP presenta un reporte final de la encuesta</t>
    </r>
    <r>
      <rPr>
        <b/>
        <sz val="12"/>
        <color theme="1"/>
        <rFont val="Calibri"/>
        <family val="2"/>
        <scheme val="minor"/>
      </rPr>
      <t xml:space="preserve">                                                                                                                                                                    Completada (3):</t>
    </r>
    <r>
      <rPr>
        <sz val="12"/>
        <color theme="1"/>
        <rFont val="Calibri"/>
        <family val="2"/>
        <scheme val="minor"/>
      </rPr>
      <t xml:space="preserve"> El RP presenta un reporte final de la encuesta validado por el Ministerio de Salud y las partes interesadas.</t>
    </r>
  </si>
  <si>
    <t>Reports on the expansion of GeneXpert MTB/RIF as a diagnostic method to all SR in intermediate cities in rural areas with high incidence of Tuberculosis.</t>
  </si>
  <si>
    <r>
      <rPr>
        <b/>
        <sz val="12"/>
        <color theme="1"/>
        <rFont val="Calibri"/>
        <family val="2"/>
        <scheme val="minor"/>
      </rPr>
      <t xml:space="preserve">Not started (0): </t>
    </r>
    <r>
      <rPr>
        <sz val="12"/>
        <color theme="1"/>
        <rFont val="Calibri"/>
        <family val="2"/>
        <scheme val="minor"/>
      </rPr>
      <t xml:space="preserve">The PR submits no progress against the milestones for the period.
</t>
    </r>
    <r>
      <rPr>
        <b/>
        <sz val="12"/>
        <color theme="1"/>
        <rFont val="Calibri"/>
        <family val="2"/>
        <scheme val="minor"/>
      </rPr>
      <t xml:space="preserve">Initiated (1): </t>
    </r>
    <r>
      <rPr>
        <sz val="12"/>
        <color theme="1"/>
        <rFont val="Calibri"/>
        <family val="2"/>
        <scheme val="minor"/>
      </rPr>
      <t xml:space="preserve">The Principal Recipient submits a draft report.
</t>
    </r>
    <r>
      <rPr>
        <b/>
        <sz val="12"/>
        <color theme="1"/>
        <rFont val="Calibri"/>
        <family val="2"/>
        <scheme val="minor"/>
      </rPr>
      <t xml:space="preserve">Advanced (2): </t>
    </r>
    <r>
      <rPr>
        <sz val="12"/>
        <color theme="1"/>
        <rFont val="Calibri"/>
        <family val="2"/>
        <scheme val="minor"/>
      </rPr>
      <t xml:space="preserve">The Principal Recipient submits a final survey report                                                                                                                                                           </t>
    </r>
    <r>
      <rPr>
        <b/>
        <sz val="12"/>
        <color theme="1"/>
        <rFont val="Calibri"/>
        <family val="2"/>
        <scheme val="minor"/>
      </rPr>
      <t>Completed (3)</t>
    </r>
    <r>
      <rPr>
        <sz val="12"/>
        <color theme="1"/>
        <rFont val="Calibri"/>
        <family val="2"/>
        <scheme val="minor"/>
      </rPr>
      <t>: The Principal Recipient submits a final survey report validated by the Ministry of Health and stakeholders.</t>
    </r>
  </si>
  <si>
    <t>Implementación a esquemas acortado totalmente orales para la tuberculosis resistente a la rifampicina</t>
  </si>
  <si>
    <t>Finalización del estudio “Esquemas de tratamiento cortos y totalmente orales para la tuberculosis resistente a la rifampicina”.</t>
  </si>
  <si>
    <r>
      <rPr>
        <b/>
        <sz val="12"/>
        <color theme="1"/>
        <rFont val="Calibri"/>
        <family val="2"/>
        <scheme val="minor"/>
      </rPr>
      <t>No iniciada (0):</t>
    </r>
    <r>
      <rPr>
        <sz val="12"/>
        <color theme="1"/>
        <rFont val="Calibri"/>
        <family val="2"/>
        <scheme val="minor"/>
      </rPr>
      <t xml:space="preserve"> El RP presenta ningún avance contra los el hito para el período.
</t>
    </r>
    <r>
      <rPr>
        <b/>
        <sz val="12"/>
        <color theme="1"/>
        <rFont val="Calibri"/>
        <family val="2"/>
        <scheme val="minor"/>
      </rPr>
      <t>Iniciada (1):</t>
    </r>
    <r>
      <rPr>
        <sz val="12"/>
        <color theme="1"/>
        <rFont val="Calibri"/>
        <family val="2"/>
        <scheme val="minor"/>
      </rPr>
      <t xml:space="preserve"> El RP presenta un borrador del reporte
</t>
    </r>
    <r>
      <rPr>
        <b/>
        <sz val="12"/>
        <color theme="1"/>
        <rFont val="Calibri"/>
        <family val="2"/>
        <scheme val="minor"/>
      </rPr>
      <t xml:space="preserve">Avanzada (2): </t>
    </r>
    <r>
      <rPr>
        <sz val="12"/>
        <color theme="1"/>
        <rFont val="Calibri"/>
        <family val="2"/>
        <scheme val="minor"/>
      </rPr>
      <t xml:space="preserve">El RP presenta un reporte final de la encuesta   </t>
    </r>
    <r>
      <rPr>
        <b/>
        <sz val="12"/>
        <color theme="1"/>
        <rFont val="Calibri"/>
        <family val="2"/>
        <scheme val="minor"/>
      </rPr>
      <t xml:space="preserve">                                                                                                                                                           Completada (3):</t>
    </r>
    <r>
      <rPr>
        <sz val="12"/>
        <color theme="1"/>
        <rFont val="Calibri"/>
        <family val="2"/>
        <scheme val="minor"/>
      </rPr>
      <t xml:space="preserve"> El RP presenta un reporte final de la encuesta validado por el Ministerio de Salud y las partes interesadas.</t>
    </r>
  </si>
  <si>
    <t>Completion of the study "Short, all-oral treatment regimens for rifampicin-resistant tuberculosis".</t>
  </si>
  <si>
    <r>
      <rPr>
        <b/>
        <sz val="12"/>
        <color theme="1"/>
        <rFont val="Calibri"/>
        <family val="2"/>
        <scheme val="minor"/>
      </rPr>
      <t>Not started (0)</t>
    </r>
    <r>
      <rPr>
        <sz val="12"/>
        <color theme="1"/>
        <rFont val="Calibri"/>
        <family val="2"/>
        <scheme val="minor"/>
      </rPr>
      <t xml:space="preserve">: The PR submits no progress against the milestones for the period.
</t>
    </r>
    <r>
      <rPr>
        <b/>
        <sz val="12"/>
        <color theme="1"/>
        <rFont val="Calibri"/>
        <family val="2"/>
        <scheme val="minor"/>
      </rPr>
      <t>Initiated (1):</t>
    </r>
    <r>
      <rPr>
        <sz val="12"/>
        <color theme="1"/>
        <rFont val="Calibri"/>
        <family val="2"/>
        <scheme val="minor"/>
      </rPr>
      <t xml:space="preserve"> The Principal Recipient submits a draft report.
</t>
    </r>
    <r>
      <rPr>
        <b/>
        <sz val="12"/>
        <color theme="1"/>
        <rFont val="Calibri"/>
        <family val="2"/>
        <scheme val="minor"/>
      </rPr>
      <t xml:space="preserve">Advanced (2): </t>
    </r>
    <r>
      <rPr>
        <sz val="12"/>
        <color theme="1"/>
        <rFont val="Calibri"/>
        <family val="2"/>
        <scheme val="minor"/>
      </rPr>
      <t xml:space="preserve">The Principal Recipient submits a final survey report                                                                                                                                                    </t>
    </r>
    <r>
      <rPr>
        <b/>
        <sz val="12"/>
        <color theme="1"/>
        <rFont val="Calibri"/>
        <family val="2"/>
        <scheme val="minor"/>
      </rPr>
      <t>Completed (3):</t>
    </r>
    <r>
      <rPr>
        <sz val="12"/>
        <color theme="1"/>
        <rFont val="Calibri"/>
        <family val="2"/>
        <scheme val="minor"/>
      </rPr>
      <t xml:space="preserve"> The Principal Recipient submits a final survey report validated by the Ministry of Health and stakeholders.</t>
    </r>
  </si>
  <si>
    <t>Informe de avance de la implementación a esquemas acortado totalmente orales para la tuberculosis resistente a la rifampicina.</t>
  </si>
  <si>
    <r>
      <rPr>
        <b/>
        <sz val="12"/>
        <color theme="1"/>
        <rFont val="Calibri"/>
        <family val="2"/>
        <scheme val="minor"/>
      </rPr>
      <t>No iniciada (0):</t>
    </r>
    <r>
      <rPr>
        <sz val="12"/>
        <color theme="1"/>
        <rFont val="Calibri"/>
        <family val="2"/>
        <scheme val="minor"/>
      </rPr>
      <t xml:space="preserve"> El RP presenta ningún avance contra los el hito para el período.
</t>
    </r>
    <r>
      <rPr>
        <b/>
        <sz val="12"/>
        <color theme="1"/>
        <rFont val="Calibri"/>
        <family val="2"/>
        <scheme val="minor"/>
      </rPr>
      <t>Iniciada (1):</t>
    </r>
    <r>
      <rPr>
        <sz val="12"/>
        <color theme="1"/>
        <rFont val="Calibri"/>
        <family val="2"/>
        <scheme val="minor"/>
      </rPr>
      <t xml:space="preserve"> El RP presenta un borrador del reporte
</t>
    </r>
    <r>
      <rPr>
        <b/>
        <sz val="12"/>
        <color theme="1"/>
        <rFont val="Calibri"/>
        <family val="2"/>
        <scheme val="minor"/>
      </rPr>
      <t xml:space="preserve">Avanzada (2): </t>
    </r>
    <r>
      <rPr>
        <sz val="12"/>
        <color theme="1"/>
        <rFont val="Calibri"/>
        <family val="2"/>
        <scheme val="minor"/>
      </rPr>
      <t xml:space="preserve">El RP presenta un reporte final de la encuesta  </t>
    </r>
    <r>
      <rPr>
        <b/>
        <sz val="12"/>
        <color theme="1"/>
        <rFont val="Calibri"/>
        <family val="2"/>
        <scheme val="minor"/>
      </rPr>
      <t xml:space="preserve">                                                                                                                                                            Completada (3):</t>
    </r>
    <r>
      <rPr>
        <sz val="12"/>
        <color theme="1"/>
        <rFont val="Calibri"/>
        <family val="2"/>
        <scheme val="minor"/>
      </rPr>
      <t xml:space="preserve"> El RP presenta un reporte final de la encuesta validado por el Ministerio de Salud y las partes interesadas</t>
    </r>
  </si>
  <si>
    <t>Progress report on the implementation of shortened all-oral regimens for rifampicin-resistant tuberculosis.</t>
  </si>
  <si>
    <r>
      <rPr>
        <b/>
        <sz val="12"/>
        <color theme="1"/>
        <rFont val="Calibri"/>
        <family val="2"/>
        <scheme val="minor"/>
      </rPr>
      <t>Not started (0):</t>
    </r>
    <r>
      <rPr>
        <sz val="12"/>
        <color theme="1"/>
        <rFont val="Calibri"/>
        <family val="2"/>
        <scheme val="minor"/>
      </rPr>
      <t xml:space="preserve"> The PR submits no progress against the milestones for the period.
</t>
    </r>
    <r>
      <rPr>
        <b/>
        <sz val="12"/>
        <color theme="1"/>
        <rFont val="Calibri"/>
        <family val="2"/>
        <scheme val="minor"/>
      </rPr>
      <t xml:space="preserve">Initiated (1): </t>
    </r>
    <r>
      <rPr>
        <sz val="12"/>
        <color theme="1"/>
        <rFont val="Calibri"/>
        <family val="2"/>
        <scheme val="minor"/>
      </rPr>
      <t xml:space="preserve">The Principal Recipient submits a draft report.
</t>
    </r>
    <r>
      <rPr>
        <b/>
        <sz val="12"/>
        <color theme="1"/>
        <rFont val="Calibri"/>
        <family val="2"/>
        <scheme val="minor"/>
      </rPr>
      <t>Advanced (2):</t>
    </r>
    <r>
      <rPr>
        <sz val="12"/>
        <color theme="1"/>
        <rFont val="Calibri"/>
        <family val="2"/>
        <scheme val="minor"/>
      </rPr>
      <t xml:space="preserve"> Principal Recipient submits a final survey report                                                                                                                                                                    </t>
    </r>
    <r>
      <rPr>
        <b/>
        <sz val="12"/>
        <color theme="1"/>
        <rFont val="Calibri"/>
        <family val="2"/>
        <scheme val="minor"/>
      </rPr>
      <t>Completed (3):</t>
    </r>
    <r>
      <rPr>
        <sz val="12"/>
        <color theme="1"/>
        <rFont val="Calibri"/>
        <family val="2"/>
        <scheme val="minor"/>
      </rPr>
      <t xml:space="preserve"> Principal Recipient submits a final survey report validated by the MOH and stakeholders.</t>
    </r>
  </si>
  <si>
    <t>From:</t>
  </si>
  <si>
    <t>To:</t>
  </si>
  <si>
    <t>Not linked to other tabs</t>
  </si>
  <si>
    <t>This sheet queries Component - Indicator Reference object to bring all the reference data without filter of Soft Delete</t>
  </si>
  <si>
    <t>Data Type Target</t>
  </si>
  <si>
    <t>[Data Type Target]</t>
  </si>
  <si>
    <t>a3z1R0000007SGDQA2</t>
  </si>
  <si>
    <t>a3z1R0000007SGEQA2</t>
  </si>
  <si>
    <t>a3z1R0000007SGFQA2</t>
  </si>
  <si>
    <t>a3z1R0000007SGGQA2</t>
  </si>
  <si>
    <t>a3z1R0000007SGHQA2</t>
  </si>
  <si>
    <t>a3z1R0000007SGIQA2</t>
  </si>
  <si>
    <t>a3z1R0000007SGJQA2</t>
  </si>
  <si>
    <t>a3z1R0000007SGKQA2</t>
  </si>
  <si>
    <t>a3z1R0000007SGLQA2</t>
  </si>
  <si>
    <t>a3z1R0000007SGMQA2</t>
  </si>
  <si>
    <t>a3z1R0000007SGNQA2</t>
  </si>
  <si>
    <t>a3z1R0000007SGOQA2</t>
  </si>
  <si>
    <t>a3z1R0000007SGPQA2</t>
  </si>
  <si>
    <t>a3z1R0000007SGQQA2</t>
  </si>
  <si>
    <t>a3z1R0000007SGZQA2</t>
  </si>
  <si>
    <t>a3z1R0000007SGaQAM</t>
  </si>
  <si>
    <t>a3z1R0000007SGbQAM</t>
  </si>
  <si>
    <t>a3z1R0000007SGcQAM</t>
  </si>
  <si>
    <t>a3z1R0000007SGdQAM</t>
  </si>
  <si>
    <t>a3z1R0000007SGeQAM</t>
  </si>
  <si>
    <t>a3z1R0000007SGfQAM</t>
  </si>
  <si>
    <t>a3z1R0000007SGgQAM</t>
  </si>
  <si>
    <t>a3z1R0000007SGhQAM</t>
  </si>
  <si>
    <t>a3z1R0000007SGiQAM</t>
  </si>
  <si>
    <t>a3z1R0000007SGjQAM</t>
  </si>
  <si>
    <t>a3z1R0000007SGkQAM</t>
  </si>
  <si>
    <t>a3z1R0000007SGlQAM</t>
  </si>
  <si>
    <t>a3z1R0000007SGmQAM</t>
  </si>
  <si>
    <t>a3z1R0000007SGnQAM</t>
  </si>
  <si>
    <t>a3z1R0000007SGoQAM</t>
  </si>
  <si>
    <t>a3z1R0000007SGpQAM</t>
  </si>
  <si>
    <t>a3z1R0000007SGqQAM</t>
  </si>
  <si>
    <t>a3z1R0000007SGrQAM</t>
  </si>
  <si>
    <t>a3z1R0000007SGsQAM</t>
  </si>
  <si>
    <t>a3z1R0000007SGtQAM</t>
  </si>
  <si>
    <t>a3z1R0000007SGuQAM</t>
  </si>
  <si>
    <t>a3z1R0000007SGvQAM</t>
  </si>
  <si>
    <t>a3z1R0000007SGwQAM</t>
  </si>
  <si>
    <t>a3z1R0000007SGxQAM</t>
  </si>
  <si>
    <t>a3z1R0000007SGyQAM</t>
  </si>
  <si>
    <t>a3z1R0000007SGzQAM</t>
  </si>
  <si>
    <t>a3z1R0000007SH0QAM</t>
  </si>
  <si>
    <t>a3z1R0000007SH1QAM</t>
  </si>
  <si>
    <t>a3z1R0000007SHAQA2</t>
  </si>
  <si>
    <t>a3z1R0000007SHBQA2</t>
  </si>
  <si>
    <t>a3z1R0000007SHCQA2</t>
  </si>
  <si>
    <t>a3z1R0000007SHDQA2</t>
  </si>
  <si>
    <t>a3z1R0000007SHEQA2</t>
  </si>
  <si>
    <t>a3z1R0000007SHFQA2</t>
  </si>
  <si>
    <t>a3z1R0000007SHMQA2</t>
  </si>
  <si>
    <t>a3z1R0000007SHNQA2</t>
  </si>
  <si>
    <t>a3z1R0000007SHOQA2</t>
  </si>
  <si>
    <t>a3z1R0000007SHPQA2</t>
  </si>
  <si>
    <t>a3z1R0000007SHQQA2</t>
  </si>
  <si>
    <t>a3z1R0000007SHRQA2</t>
  </si>
  <si>
    <t>a3z1R0000007SHSQA2</t>
  </si>
  <si>
    <t>a3z1R0000007SHTQA2</t>
  </si>
  <si>
    <t>a3z1R0000007SHUQA2</t>
  </si>
  <si>
    <t>a3z1R0000007SHVQA2</t>
  </si>
  <si>
    <t>a3z1R0000007SHWQA2</t>
  </si>
  <si>
    <t>a3z1R0000007SHXQA2</t>
  </si>
  <si>
    <t>IOR-00002</t>
  </si>
  <si>
    <t>a3z360000009C3FAAU</t>
  </si>
  <si>
    <t>Percent</t>
  </si>
  <si>
    <t>HIV O-1(M): Percentage of adults and children with HIV, known to be on treatment 12 months after initiation of antiretroviral therapy</t>
  </si>
  <si>
    <t>HIV O-1(M): Pourcentage d'adultes et d'enfants vivant avec le VIH et sous traitement 12 mois après le début du traitement antirétroviral</t>
  </si>
  <si>
    <t>HIV O-1(M): Porcentaje de adultos y niños con VIH que se sabe que continúan con el tratamiento 12 meses después de iniciar la terapia antirretroviral</t>
  </si>
  <si>
    <t>IOR-00003</t>
  </si>
  <si>
    <t>a3z360000009C3GAAU</t>
  </si>
  <si>
    <t>HIV O-2: Percentage of women and men aged 15-49 who have had sexual intercourse with more than one partner in the past 12 months</t>
  </si>
  <si>
    <t>HIV O-2: Pourcentage de femmes et d'hommes âgés de 15 à 49 ans ayant eu plus d'un partenaire sexuel au cours des 12 derniers mois</t>
  </si>
  <si>
    <t>HIV O-2: Porcentaje de mujeres y hombres de entre 15 y 49 años que han tenido más de una pareja sexual en los últimos 12 meses</t>
  </si>
  <si>
    <t>IOR-00004</t>
  </si>
  <si>
    <t>a3z360000009C3HAAU</t>
  </si>
  <si>
    <t>HIV O-3: Percentage of women and men aged 15-49 who had more than one partner in the past 12 months who used a condom during their last sexual intercourse</t>
  </si>
  <si>
    <t>HIV O-3: Pourcentage de femmes et d'hommes âgés de 15 à 49 ans ayant eu plus d'un partenaire sexuel au cours des 12 derniers mois et ayant déclaré avoir utilisé un préservatif lors de leur dernier rapport sexuel</t>
  </si>
  <si>
    <t>HIV O-3: Porcentaje de mujeres y hombres de entre 15 y 49 años que han tenido más de una pareja sexual en los últimos 12 meses y dicen haber utilizado preservativo en su última relación sexual</t>
  </si>
  <si>
    <t>IOR-00005</t>
  </si>
  <si>
    <t>a3z360000009C3IAAU</t>
  </si>
  <si>
    <t>HIV O-4a(M): Percentage of men reporting the use of a condom the last time they had anal sex with a male partner</t>
  </si>
  <si>
    <t>HIV O-4a(M): Pourcentage d'hommes ayant déclaré avoir utilisé un préservatif lors de leur dernier rapport anal avec un partenaire de sexe masculin</t>
  </si>
  <si>
    <t>HIV O-4a(M): Porcentaje de hombres que afirman haber utilizado preservativo en su última relación de sexo anal con otro hombre</t>
  </si>
  <si>
    <t>IOR-00006</t>
  </si>
  <si>
    <t>a3z360000009C3JAAU</t>
  </si>
  <si>
    <t>HIV O-4b: Percentage of transgender people who sell sex reporting the use of a condom with their most recent client</t>
  </si>
  <si>
    <t>HIV O-4b: Pourcentage de transgenres qui pratiquent des rapports sexuels rémunérés ayant déclaré avoir utilisé un préservatif avec leur dernier client</t>
  </si>
  <si>
    <t>HIV O-4b: porcentaje de personas transgénero que comercian con sexo que dicen haber utilizado preservativo con su último cliente</t>
  </si>
  <si>
    <t>IOR-00007</t>
  </si>
  <si>
    <t>a3z360000009C3KAAU</t>
  </si>
  <si>
    <t>HIV O-5(M): Percentage of sex workers reporting the use of a condom with their most recent client</t>
  </si>
  <si>
    <t>HIV O-5(M): Pourcentage de professionnels du sexe ayant déclaré avoir utilisé un préservatif avec leur dernier client</t>
  </si>
  <si>
    <t>HIV O-5(M): Porcentaje de trabajadores del sexo que reportan haber utilizado preservativo con su último cliente</t>
  </si>
  <si>
    <t>IOR-00008</t>
  </si>
  <si>
    <t>a3z360000009C3LAAU</t>
  </si>
  <si>
    <t>HIV O-6(M): Percentage of people who inject drugs reporting the use of sterile injecting equipment the last time they injected</t>
  </si>
  <si>
    <t>HIV O-6(M): Pourcentage de consommateurs de drogues injectables ayant déclaré avoir utilisé du matériel d'injection stérile lors de leur dernière prise de drogue</t>
  </si>
  <si>
    <t>HIV O-6(M): Porcentaje de personas que consumen drogas inyectables que reportan haber utilizado materiales de inyección estériles la última vez que se inyectaron</t>
  </si>
  <si>
    <t>IOR-00009</t>
  </si>
  <si>
    <t>a3z360000009C3MAAU</t>
  </si>
  <si>
    <t>HIV O-7: Percentage of other vulnerable populations who report the use of a condom at last sexual intercourse</t>
  </si>
  <si>
    <t>HIV O-7: Pourcentage d'autres populations vulnérables ayant déclaré avoir utilisé un préservatif lors du dernier rapport sexuel</t>
  </si>
  <si>
    <t>HIV O-7: Porcentaje de otras poblaciones vulnerables que dicen haber utilizado preservativo en su última relación sexual</t>
  </si>
  <si>
    <t>IOR-00000</t>
  </si>
  <si>
    <t>a3z360000009C3NAAU</t>
  </si>
  <si>
    <t>HIV O-8: Current school attendance rate among orphans compared to non-orphans</t>
  </si>
  <si>
    <t>HIV O-8: Taux actuel de fréquentation scolaire chez les enfants orphelins et non orphelins</t>
  </si>
  <si>
    <t>HIV O-8: Tasa de asistencia escolar actual entre huérfanos y no huérfanos</t>
  </si>
  <si>
    <t>IOR-00022</t>
  </si>
  <si>
    <t>a3z360000009C3OAAU</t>
  </si>
  <si>
    <t>Numerator and Denominator</t>
  </si>
  <si>
    <t>HSS O-1: Percentage of women attending antenatal care</t>
  </si>
  <si>
    <t>HSS O-1: Pourcentage de femmes bénéficiant de soins prénatals</t>
  </si>
  <si>
    <t>HSS O-1: Porcentaje de mujeres que asisten a los servicios de atención prenatal</t>
  </si>
  <si>
    <t>IOR-00023</t>
  </si>
  <si>
    <t>a3z360000009C3PAAU</t>
  </si>
  <si>
    <t>HSS O-2: Percentage of births attended by skilled health professional</t>
  </si>
  <si>
    <t>HSS O-2: Pourcentage de naissances bénéficiant de l’assistance d’un professionnel de la santé</t>
  </si>
  <si>
    <t>HSS O-2: Porcentaje de nacimientos asistidos por un profesional de la salud capacitado</t>
  </si>
  <si>
    <t>IOR-00001</t>
  </si>
  <si>
    <t>a3z360000009C3QAAU</t>
  </si>
  <si>
    <t>HSS O-3: Ratio of household out-of-pocket payments for health to total expenditure on health</t>
  </si>
  <si>
    <t>HSS O-3: Part des dépenses des ménages consacrée à la santé par rapport aux dépenses totales de santé</t>
  </si>
  <si>
    <t>HSS O-3: Razón del gasto de bolsillo por hogar en salud y el gasto total en salud</t>
  </si>
  <si>
    <t>IOR-00026</t>
  </si>
  <si>
    <t>a3z360000009C3RAAU</t>
  </si>
  <si>
    <t>HSS O-5: Specific services readiness score for health facilities</t>
  </si>
  <si>
    <t>HSS O-5: Note de préparation des services spécifiques pour les établissements de santé</t>
  </si>
  <si>
    <t>HSS O-5: Puntuación de la prontitud de servicios específicos en los centros de salud</t>
  </si>
  <si>
    <t>IOR-00027</t>
  </si>
  <si>
    <t>a3z360000009C3SAAU</t>
  </si>
  <si>
    <t>HSS O-4: General service readiness score for health facilities</t>
  </si>
  <si>
    <t>HSS O-4: Note de préparation du service général pour les établissements de santé</t>
  </si>
  <si>
    <t>HSS O-4: Puntuación de la prontitud de servicios generales en los centros de salud</t>
  </si>
  <si>
    <t>IOR-00065</t>
  </si>
  <si>
    <t>a3z360000009C3TAAU</t>
  </si>
  <si>
    <t>HIV O-10: Percentage of women and men with non-regular partner in the past 12 months who report the use of a condom during their last intercourse</t>
  </si>
  <si>
    <t>HIV O-10: Pourcentage de femmes et d'hommes ayant eu un partenaire non-régulier au cours des 12 derniers mois  qui rapportent l'usage d'un préservatif durant leur dernier rapport sexuel</t>
  </si>
  <si>
    <t>HIV O-10: Porcentaje de mujeres y hombres con parejas casuales en los últimos 12 meses, que reportan el uso de preservativo durante su última relación sexual</t>
  </si>
  <si>
    <t>IOR-00066</t>
  </si>
  <si>
    <t>a3z360000009C3UAAU</t>
  </si>
  <si>
    <t>HIV O-4.1b(M): Percentage of transgender people reporting the use of a condom the last time they had sex with a partner</t>
  </si>
  <si>
    <t>HIV O-4.1b(M): Pourcentage de personnes transgenres qui rapportent l'utilisation de préservatif  lors de leur dernier rapport sexuel</t>
  </si>
  <si>
    <t>HIV O-4.1b(M): Porcentaje de personas transgénero que reportan uso de condón la última vez que sostuvieron relaciones sexuales con una pareja</t>
  </si>
  <si>
    <t>IOR-00067</t>
  </si>
  <si>
    <t>a3z360000009C3VAAU</t>
  </si>
  <si>
    <t>HIV O-9: Percentage of people who inject drugs reporting condom use at the last sexual intercourse</t>
  </si>
  <si>
    <t>HIV O-9: Pourcentage de consommateurs de drogues injectables qui rapportent l'utilisation de préservatif lors de leur dernier rapport sexuel</t>
  </si>
  <si>
    <t>HIV O-9: Porcentaje de personas que consumen drogas inyectables que reportan uso del preservativo en su ultima relación sexual</t>
  </si>
  <si>
    <t>IOR-00068</t>
  </si>
  <si>
    <t>a3z360000009C3WAAU</t>
  </si>
  <si>
    <t>HIV O-11: Percentage of (estimated) people living with HIV who have been tested HIV-positive</t>
  </si>
  <si>
    <t>HIV O-11: Pourcentage de personnes (estimées)  vivant avec le VIH  qui ont été dépistées positives au VIH</t>
  </si>
  <si>
    <t>HIV O-11: Porcentaje de personas que viven con el VIH (estimadas) con prueba de VIH positiva</t>
  </si>
  <si>
    <t>IOR-00069</t>
  </si>
  <si>
    <t>a3z360000009C3XAAU</t>
  </si>
  <si>
    <t>HIV O-12: Percentage of people living with HIV and on ART who are virologically suppressed (among all those currently on treatment who received a VL measurement regardless of when they started ART)</t>
  </si>
  <si>
    <t>HIV O-12: Pourcentage de personnes vivant avec le VIH sous ARV qui ont une charge virale indétectable (parmi tous ceux actuellement sous traitement qui font l'objet de mesure de la charge virale independamment de quand ils ont commencé le traitement ARV)</t>
  </si>
  <si>
    <t>HIV O-12: Porcentaje de personas que viven con VIH que están en TARV y tienen carga viral suprimida (entre todas las PVVIH en TARV que tienen una medición de carga viral independientemente de cuándo iniciaron TARV)</t>
  </si>
  <si>
    <t>IOR-00070</t>
  </si>
  <si>
    <t>a3z360000009C3YAAU</t>
  </si>
  <si>
    <t>HIV O-13: Proportion of ever-married or partnered women aged 15-49 who experienced physical or sexual violence from a male intimate partner in the past 12 months</t>
  </si>
  <si>
    <t>HIV O-13: Proportion de femmes qui  ont été/sont mariées ou en concubinage agées de 15-49 ans ayant subit des violences physiques ou sexuelles de la part d'un partenaire masculin intime lors des 12 derniers mois</t>
  </si>
  <si>
    <t>HIV O-13: Porcentaje de mujeres de 15-49 años, casadas o que viven en pareja, que han sufrido violencia física o sexual por una pareja masculina en los últimos 12 meses</t>
  </si>
  <si>
    <t>IOR-00071</t>
  </si>
  <si>
    <t>a3z360000009C3ZAAU</t>
  </si>
  <si>
    <t>HIV O-14: Percentage of women and men aged 15–49 who report discriminatory attitudes towards people living with HIV</t>
  </si>
  <si>
    <t>HIV O-14: Pourcentage de femmes et d'hommes agés de 15-49 ans rapportant des attitudes discriminatoires envers les personnes vivant avec le VIH</t>
  </si>
  <si>
    <t>HIV O-14: Porcentaje de mujeres y hombres de 15-49 años que reportan actitudes discriminatorias hacia las personas que viven con el VIH</t>
  </si>
  <si>
    <t>IOR-00072</t>
  </si>
  <si>
    <t>a3z360000009C3aAAE</t>
  </si>
  <si>
    <t>HIV O-15: Percent of people living with HIV who experienced recent discrimination at health care facilities</t>
  </si>
  <si>
    <t>HIV O-15: Pourcentage de personnes vivant avec le VIH rapportant avoir récemment subi une discrimination dans les services de santé</t>
  </si>
  <si>
    <t>HIV O-15: Porcentaje de personas que viven con el VIH que reportan haber experimentado discriminación en los servicios de salud</t>
  </si>
  <si>
    <t>IOR-00024</t>
  </si>
  <si>
    <t>a3z360000009C3bAAE</t>
  </si>
  <si>
    <t>TB O-1a: Case notification rate of all forms of TB per 100,000 population - bacteriologically confirmed plus clinically diagnosed, new and relapse cases</t>
  </si>
  <si>
    <t>TB O-1a: Taux de déclaration des cas de tuberculose, toutes formes confondues, bactériologiquement confirmés et cliniquement diagnostiqués, pour 100 000 habitants, cas nouveaux et récidives</t>
  </si>
  <si>
    <t>TB O-1a: Tasa de notificación de casos de TB todas las formas por 100,000 habitantes - confirmados bacteriológicamente y con diagnóstico clínico, casos nuevos y recaídas</t>
  </si>
  <si>
    <t>IOR-00025</t>
  </si>
  <si>
    <t>a3z360000009C3cAAE</t>
  </si>
  <si>
    <t>TB O-1b: Case notification rate per 100,000 population- bacteriologically-confirmed TB, new and relapse</t>
  </si>
  <si>
    <t>TB O-1b: Taux de déclaration des cas bactériologiquement de Tuberculose confirmés pour 100 000 habitants, cas nouveaux et récidives</t>
  </si>
  <si>
    <t>TB O-1b: Tasa de notificación de casos de tuberculosis por cada 100.000 habitantes, confirmados bacteriológicamente, (casos nuevos y recaídas)</t>
  </si>
  <si>
    <t>IOR-00010</t>
  </si>
  <si>
    <t>a3z360000009C3dAAE</t>
  </si>
  <si>
    <t>TB O-2a: Treatment success rate of all forms of TB- bacteriologically confirmed plus clinically diagnosed, new and relapse cases</t>
  </si>
  <si>
    <t>TB O-2a: Taux de succès thérapeutique, toutes formes confondues- bactériologiquement confirmés et cliniquement diagnostiqués, nouveaux cas et récidives</t>
  </si>
  <si>
    <t>TB O-2a: Tasa de éxito del tratamiento de casos de TB todas las formas - confirmados bacteriológicamente y con diagnóstico clínico, casos nuevos y recaídas</t>
  </si>
  <si>
    <t>IOR-00011</t>
  </si>
  <si>
    <t>a3z360000009C3eAAE</t>
  </si>
  <si>
    <t>TB O-2b: Treatment success rate - bacteriologically confirmed TB cases</t>
  </si>
  <si>
    <t>TB O-2b: Taux de guérison, cas de tuberculose bactériologiquement confirmés</t>
  </si>
  <si>
    <t>TB O-2b: Tasa de éxito del tratamiento en los casos de tuberculosis confirmados bacteriológicamente</t>
  </si>
  <si>
    <t>IOR-00012</t>
  </si>
  <si>
    <t>a3z360000009C3fAAE</t>
  </si>
  <si>
    <t>TB O-3: Notification of RR-TB and/or MDR-TB cases - Percentage of notified cases of bacteriologically confirmed, drug resistant RR-TB and/or MDR-TB⃰ as a proportion of the estimated number of RR-TB and/or MDR-TB cases among notified TB cases</t>
  </si>
  <si>
    <t>TB O-3: Notification des cas de tuberculose multirésistante : cas déclarés de tuberculose pharmacorésistante bactériologiquement confirmés (tuberculose résistante à la rifampicine et/ou tuberculose multirésistante) exprimés en proportion du nombre estimé de cas de tuberculose pharmacorésistante parmi les cas de tuberculose déclarés</t>
  </si>
  <si>
    <t>TB O-3: Notificación de casos de TB-RR (tuberculosis resistente a la rifampicina) y/o TB-MR (tuberculosis multirresistente) – Porcentaje de casos notificados de TB-RR y/o TB-MR confirmados bacteriológicamente como proporción de los casos estimados de TB-RR y/o TB-MR entre los casos de tuberculosis notificados</t>
  </si>
  <si>
    <t>IOR-00013</t>
  </si>
  <si>
    <t>a3z360000009C3gAAE</t>
  </si>
  <si>
    <t>TB O-4(M): Treatment success rate of RR TB and/or MDR-TB: Percentage of cases with RR and/or MDR-TB successfully treated</t>
  </si>
  <si>
    <t>TB O-4(M): Taux de succès thérapeutique de TB-RR et/ou TB-MR : pourcentage de cas de tuberculose résistante à la rifampicine et/ou tuberculose multirésistante traités avec succès</t>
  </si>
  <si>
    <t>TB O-4(M): Tasa de éxito del tratamiento de TB-RR y/o TB-MDR: Porcentaje de casos TB-RR y/o TB-MR que fueron tratados exitosamente</t>
  </si>
  <si>
    <t>a3z360000009C3hAAE</t>
  </si>
  <si>
    <t>a3z360000009C3iAAE</t>
  </si>
  <si>
    <t>a3z360000009C3jAAE</t>
  </si>
  <si>
    <t>a3z360000009C3kAAE</t>
  </si>
  <si>
    <t>a3z360000009C3lAAE</t>
  </si>
  <si>
    <t>IOR-00077</t>
  </si>
  <si>
    <t>a3z360000009C3mAAE</t>
  </si>
  <si>
    <t>TB O-6: Notification of RR-TB and/or MDR-TB cases – Percentage of notified cases of bacteriologically confirmed, drug resistant RR-TB and/or MDR-TB as a proportion of all estimated RR-TB and/or MDR-TB cases</t>
  </si>
  <si>
    <t>TB O-6: Notification des cas de TB-RR et/ou TB-MR  - Pourcentage de cas notifiés bactériologiquement confirmés, résistants aux médicaments TB-RR et/ou TB-MR** en tant que proportion de tous les cas estimés TB-RR et/ou TB-MR</t>
  </si>
  <si>
    <t>TB O-6: Notificación de casos TB-RR y/o TB-MDR - Porcentaje de casos notificados de RR-TB y/o MDR-TB bacteriologicamente confirmados, como una proporción de todos los casos estimados de TB-RR y/o TB-MDR</t>
  </si>
  <si>
    <t>IOR-00078</t>
  </si>
  <si>
    <t>a3z360000009C3nAAE</t>
  </si>
  <si>
    <t>TB O-5(M): TB treatment coverage: Percentage of new and relapse cases that were notified and treated among the estimated number of incident TB cases in the same year (all form of TB - bacteriologically confirmed plus clinically diagnosed)</t>
  </si>
  <si>
    <t>TB O-5(M): Couverture de traitement de la TB: Pourcentage de nouveaux cas et rechutes qui ont été notifiés et traités parmi le nombre estimé de cas de TB dans la même année (toutes formes de TB - bactériologiquement confirmées et cliniquement diagnostiquées)</t>
  </si>
  <si>
    <t>TB O-5(M): Cobertura del tratamiento de TB: Porcentaje de casos nuevos y recaídas que fueron notificados y tratados entre el número de casos incidentes estimados para el mismo año (todas las formas de TB: confirmados bacteriológicamente y diagnosticados clínicamente)</t>
  </si>
  <si>
    <t>a3z360000009C44AAE</t>
  </si>
  <si>
    <t>a3z360000009C45AAE</t>
  </si>
  <si>
    <t>a3z360000009C46AAE</t>
  </si>
  <si>
    <t>a3z360000009C47AAE</t>
  </si>
  <si>
    <t>a3z360000009C48AAE</t>
  </si>
  <si>
    <t>Module Data - Module-Coverage-Intervention Reference</t>
  </si>
  <si>
    <t>Record ID Reference</t>
  </si>
  <si>
    <t>Data Type</t>
  </si>
  <si>
    <t>[Data Type]</t>
  </si>
  <si>
    <t>Intervention Data - Module-Coverage-Intervention Reference</t>
  </si>
  <si>
    <t>Impact Data - Indicator-Disaggregation Reference</t>
  </si>
  <si>
    <t>Impact-Outcome Indicator  Reference (Name)</t>
  </si>
  <si>
    <t>Concatenated Name</t>
  </si>
  <si>
    <t>translated category</t>
  </si>
  <si>
    <t>translated disaggregation</t>
  </si>
  <si>
    <t>Disaggregation Reference ID</t>
  </si>
  <si>
    <t>Category - FR</t>
  </si>
  <si>
    <t>Category - ES</t>
  </si>
  <si>
    <t>Disaggregation - FR</t>
  </si>
  <si>
    <t>Disaggregation - ES</t>
  </si>
  <si>
    <t>[Impact-Outcome Indicator  Reference (Name)]</t>
  </si>
  <si>
    <t>[Disaggregation Reference ID]</t>
  </si>
  <si>
    <t>[Category]</t>
  </si>
  <si>
    <t>[Category - FR]</t>
  </si>
  <si>
    <t>[Category - ES]</t>
  </si>
  <si>
    <t>[Disaggregation]</t>
  </si>
  <si>
    <t>[Disaggregation - FR]</t>
  </si>
  <si>
    <t>[Disaggregation - ES]</t>
  </si>
  <si>
    <t>a1L1R00000J6DNdUAN</t>
  </si>
  <si>
    <t>IDR-00875</t>
  </si>
  <si>
    <t>Gender | Age</t>
  </si>
  <si>
    <t>Sexe | Age</t>
  </si>
  <si>
    <t>Género | Edad</t>
  </si>
  <si>
    <t>Female 20-24</t>
  </si>
  <si>
    <t>Femme 20-24</t>
  </si>
  <si>
    <t>Mujeres 20-24</t>
  </si>
  <si>
    <t>a1L1R00000J6DNcUAN</t>
  </si>
  <si>
    <t>IDR-00874</t>
  </si>
  <si>
    <t>Male 20-24</t>
  </si>
  <si>
    <t>Homme 20-24</t>
  </si>
  <si>
    <t>Hombres 20-24</t>
  </si>
  <si>
    <t>a1L1R00000J6DNbUAN</t>
  </si>
  <si>
    <t>IDR-00873</t>
  </si>
  <si>
    <t>Female 15-19</t>
  </si>
  <si>
    <t>Femme 15-19</t>
  </si>
  <si>
    <t>Mujeres 15-19</t>
  </si>
  <si>
    <t>a1L1R00000J6DNaUAN</t>
  </si>
  <si>
    <t>IDR-00872</t>
  </si>
  <si>
    <t>Male 15-19</t>
  </si>
  <si>
    <t>Homme 15-19</t>
  </si>
  <si>
    <t>Hombres 15-19</t>
  </si>
  <si>
    <t>a1L1R00000J6DLvUAN</t>
  </si>
  <si>
    <t>IDR-00769</t>
  </si>
  <si>
    <t>Female</t>
  </si>
  <si>
    <t>Femme</t>
  </si>
  <si>
    <t>Mujeres</t>
  </si>
  <si>
    <t>a1L1R00000J6DLuUAN</t>
  </si>
  <si>
    <t>IDR-00768</t>
  </si>
  <si>
    <t>Male</t>
  </si>
  <si>
    <t>Homme</t>
  </si>
  <si>
    <t>Hombres</t>
  </si>
  <si>
    <t>a1L1R00000J6DK0UAN</t>
  </si>
  <si>
    <t>IDR-00650</t>
  </si>
  <si>
    <t>15+</t>
  </si>
  <si>
    <t>a1L1R00000J6DJzUAN</t>
  </si>
  <si>
    <t>IDR-00649</t>
  </si>
  <si>
    <t>&lt;15</t>
  </si>
  <si>
    <t>a1L1R00000J6DNhUAN</t>
  </si>
  <si>
    <t>IDR-00879</t>
  </si>
  <si>
    <t>a1L1R00000J6DNgUAN</t>
  </si>
  <si>
    <t>IDR-00878</t>
  </si>
  <si>
    <t>a1L1R00000J6DNfUAN</t>
  </si>
  <si>
    <t>IDR-00877</t>
  </si>
  <si>
    <t>a1L1R00000J6DNeUAN</t>
  </si>
  <si>
    <t>IDR-00876</t>
  </si>
  <si>
    <t>a1L1R00000J6DLxUAN</t>
  </si>
  <si>
    <t>IDR-00771</t>
  </si>
  <si>
    <t>a1L1R00000J6DLwUAN</t>
  </si>
  <si>
    <t>IDR-00770</t>
  </si>
  <si>
    <t>a1L1R00000J6DK2UAN</t>
  </si>
  <si>
    <t>IDR-00652</t>
  </si>
  <si>
    <t>a1L1R00000J6DK1UAN</t>
  </si>
  <si>
    <t>IDR-00651</t>
  </si>
  <si>
    <t>a1L1R00000J6DNlUAN</t>
  </si>
  <si>
    <t>IDR-00883</t>
  </si>
  <si>
    <t>a1L1R00000J6DNkUAN</t>
  </si>
  <si>
    <t>IDR-00882</t>
  </si>
  <si>
    <t>a1L1R00000J6DNjUAN</t>
  </si>
  <si>
    <t>IDR-00881</t>
  </si>
  <si>
    <t>a1L1R00000J6DNiUAN</t>
  </si>
  <si>
    <t>IDR-00880</t>
  </si>
  <si>
    <t>a1L1R00000J6DLzUAN</t>
  </si>
  <si>
    <t>IDR-00773</t>
  </si>
  <si>
    <t>a1L1R00000J6DLyUAN</t>
  </si>
  <si>
    <t>IDR-00772</t>
  </si>
  <si>
    <t>a1L1R00000J6DK5UAN</t>
  </si>
  <si>
    <t>IDR-00655</t>
  </si>
  <si>
    <t>a1L1R00000J6DK4UAN</t>
  </si>
  <si>
    <t>IDR-00654</t>
  </si>
  <si>
    <t>5-14</t>
  </si>
  <si>
    <t>a1L1R00000J6DK3UAN</t>
  </si>
  <si>
    <t>IDR-00653</t>
  </si>
  <si>
    <t>&lt;5</t>
  </si>
  <si>
    <t>a1L1R00000J6DK7UAN</t>
  </si>
  <si>
    <t>IDR-00657</t>
  </si>
  <si>
    <t>25+</t>
  </si>
  <si>
    <t>a1L1R00000J6DK6UAN</t>
  </si>
  <si>
    <t>IDR-00656</t>
  </si>
  <si>
    <t>&lt;25</t>
  </si>
  <si>
    <t>a1L1R00000J6DK9UAN</t>
  </si>
  <si>
    <t>IDR-00659</t>
  </si>
  <si>
    <t>a1L1R00000J6DK8UAN</t>
  </si>
  <si>
    <t>IDR-00658</t>
  </si>
  <si>
    <t>a1L1R00000J6DM2UAN</t>
  </si>
  <si>
    <t>IDR-00776</t>
  </si>
  <si>
    <t>Transgender</t>
  </si>
  <si>
    <t>Transgenre</t>
  </si>
  <si>
    <t>Transgénero</t>
  </si>
  <si>
    <t>a1L1R00000J6DM1UAN</t>
  </si>
  <si>
    <t>IDR-00775</t>
  </si>
  <si>
    <t>a1L1R00000J6DM0UAN</t>
  </si>
  <si>
    <t>IDR-00774</t>
  </si>
  <si>
    <t>a1L1R00000J6DKBUA3</t>
  </si>
  <si>
    <t>IDR-00661</t>
  </si>
  <si>
    <t>a1L1R00000J6DKAUA3</t>
  </si>
  <si>
    <t>IDR-00660</t>
  </si>
  <si>
    <t>a1L1R00000J6DM5UAN</t>
  </si>
  <si>
    <t>IDR-00779</t>
  </si>
  <si>
    <t>a1L1R00000J6DM4UAN</t>
  </si>
  <si>
    <t>IDR-00778</t>
  </si>
  <si>
    <t>a1L1R00000J6DM3UAN</t>
  </si>
  <si>
    <t>IDR-00777</t>
  </si>
  <si>
    <t>a1L1R00000J6DKDUA3</t>
  </si>
  <si>
    <t>IDR-00663</t>
  </si>
  <si>
    <t>a1L1R00000J6DKCUA3</t>
  </si>
  <si>
    <t>IDR-00662</t>
  </si>
  <si>
    <t>IOR-00092</t>
  </si>
  <si>
    <t>a1L1R00000J6DOkUAN</t>
  </si>
  <si>
    <t>IDR-00944</t>
  </si>
  <si>
    <t>Malaria case definition</t>
  </si>
  <si>
    <t>Définition des cas</t>
  </si>
  <si>
    <t>Definición de caso</t>
  </si>
  <si>
    <t>Presumptive</t>
  </si>
  <si>
    <t>Présumé</t>
  </si>
  <si>
    <t>Posible</t>
  </si>
  <si>
    <t>Malaria I-1⁽ᴹ⁾ Reported malaria cases (presumed and confirmed)</t>
  </si>
  <si>
    <t>Malaria I-1⁽ᴹ⁾ Cas de paludisme enregistrés (présumés et confirmés)</t>
  </si>
  <si>
    <t>Malaria I-1⁽ᴹ⁾ Casos de malaria notificados (supuestos y confirmados)</t>
  </si>
  <si>
    <t>a1L1R00000J6DOjUAN</t>
  </si>
  <si>
    <t>IDR-00943</t>
  </si>
  <si>
    <t>Confirmed</t>
  </si>
  <si>
    <t>Confirmé</t>
  </si>
  <si>
    <t>Confirmado</t>
  </si>
  <si>
    <t>a1L1R00000J6DKFUA3</t>
  </si>
  <si>
    <t>IDR-00665</t>
  </si>
  <si>
    <t>5+</t>
  </si>
  <si>
    <t>a1L1R00000J6DKEUA3</t>
  </si>
  <si>
    <t>IDR-00664</t>
  </si>
  <si>
    <t>IOR-00093</t>
  </si>
  <si>
    <t>a1L1R00000J6DP7UAN</t>
  </si>
  <si>
    <t>IDR-00967</t>
  </si>
  <si>
    <t>Species</t>
  </si>
  <si>
    <t>Espèce</t>
  </si>
  <si>
    <t>Especies</t>
  </si>
  <si>
    <t>Other species</t>
  </si>
  <si>
    <t>Autre espèce</t>
  </si>
  <si>
    <t>Otras especies</t>
  </si>
  <si>
    <t>Malaria I-2.1 Confirmed malaria cases (microscopy or RDT): rate per 1000 persons per year</t>
  </si>
  <si>
    <t>Malaria I-2.1 Nombre de cas confirmés de paludisme (par microscopie ou TDR) pour 1000 habitants par an</t>
  </si>
  <si>
    <t>Malaria I-2.1 Casos de malaria confirmados (con microscopio o prueba de diagnóstico rápido) al año por cada 1.000 personas</t>
  </si>
  <si>
    <t>a1L1R00000J6DP6UAN</t>
  </si>
  <si>
    <t>IDR-00966</t>
  </si>
  <si>
    <t>Mixed</t>
  </si>
  <si>
    <t>Les deux</t>
  </si>
  <si>
    <t>Mixtas</t>
  </si>
  <si>
    <t>a1L1R00000J6DP5UAN</t>
  </si>
  <si>
    <t>IDR-00965</t>
  </si>
  <si>
    <t>P. Falciparum</t>
  </si>
  <si>
    <t>P. falciparum</t>
  </si>
  <si>
    <t>Falciparum</t>
  </si>
  <si>
    <t>a1L1R00000J6DP4UAN</t>
  </si>
  <si>
    <t>IDR-00964</t>
  </si>
  <si>
    <t>P. Vivax</t>
  </si>
  <si>
    <t>P. vivax</t>
  </si>
  <si>
    <t>Vivax</t>
  </si>
  <si>
    <t>a1L1R00000J6DKHUA3</t>
  </si>
  <si>
    <t>IDR-00667</t>
  </si>
  <si>
    <t>a1L1R00000J6DKGUA3</t>
  </si>
  <si>
    <t>IDR-00666</t>
  </si>
  <si>
    <t>IOR-00094</t>
  </si>
  <si>
    <t>a1L1R00000J6DKJUA3</t>
  </si>
  <si>
    <t>IDR-00669</t>
  </si>
  <si>
    <t>Malaria I-3.1⁽ᴹ⁾ Inpatient malaria deaths per year: rate per 100,000 persons per year</t>
  </si>
  <si>
    <t>Malaria I-3.1⁽ᴹ⁾ Nombre de décès dus au paludisme parmi les malades hospitalisés pour 100, 000 habitants par an</t>
  </si>
  <si>
    <t>Malaria I-3.1⁽ᴹ⁾ Muertes de pacientes hospitalizados al año por cada 100.000 personas</t>
  </si>
  <si>
    <t>a1L1R00000J6DKIUA3</t>
  </si>
  <si>
    <t>IDR-00668</t>
  </si>
  <si>
    <t>IOR-00095</t>
  </si>
  <si>
    <t>a1L1R00000J6DPtUAN</t>
  </si>
  <si>
    <t>IDR-01015</t>
  </si>
  <si>
    <t>Type of testing</t>
  </si>
  <si>
    <t>Type de tests</t>
  </si>
  <si>
    <t>Tipo de pruebas</t>
  </si>
  <si>
    <t>Rapid diagnostic test</t>
  </si>
  <si>
    <t>Test de dépistage rapide</t>
  </si>
  <si>
    <t>Prueba de diagnóstico rápido</t>
  </si>
  <si>
    <t>Malaria I-4 Malaria test positivity rate</t>
  </si>
  <si>
    <t>Malaria I-4 Taux de positivité des tests du paludisme</t>
  </si>
  <si>
    <t>Malaria I-4 Tasa de pruebas positivas de malaria</t>
  </si>
  <si>
    <t>a1L1R00000J6DPsUAN</t>
  </si>
  <si>
    <t>IDR-01014</t>
  </si>
  <si>
    <t>Microscopy</t>
  </si>
  <si>
    <t>Microscopie</t>
  </si>
  <si>
    <t>Microscopio</t>
  </si>
  <si>
    <t>a1L1R00000J6DP8UAN</t>
  </si>
  <si>
    <t>IDR-00968</t>
  </si>
  <si>
    <t>IOR-00096</t>
  </si>
  <si>
    <t>a1L1R00000J6DM7UAN</t>
  </si>
  <si>
    <t>IDR-00781</t>
  </si>
  <si>
    <t>Malaria I-5 Malaria parasite prevalence: Proportion of children aged 6-59 months with malaria infection</t>
  </si>
  <si>
    <t>Malaria I-5 Prévalence parasitaire : proportion d’enfants âgés de 6 à 59 mois présentant une infection palustre</t>
  </si>
  <si>
    <t>Malaria I-5 Prevalencia de parásitos de la malaria: proporción de niños de entre 6 y 59 meses con infección por malaria</t>
  </si>
  <si>
    <t>a1L1R00000J6DM6UAN</t>
  </si>
  <si>
    <t>IDR-00780</t>
  </si>
  <si>
    <t>IOR-00097</t>
  </si>
  <si>
    <t>a1L1R00000J6DM9UAN</t>
  </si>
  <si>
    <t>IDR-00783</t>
  </si>
  <si>
    <t>Malaria I-6 All-cause under-5 mortality rate per 1000 live births</t>
  </si>
  <si>
    <t>Malaria I-6 Taux de mortalité des enfants de moins de 5 ans, toutes causes confondues, pour 1000 naissances vivantes</t>
  </si>
  <si>
    <t>Malaria I-6 Tasa de mortalidad por cualquier causa en menores de 5 años por cada 1.000 niños nacidos vivos</t>
  </si>
  <si>
    <t>a1L1R00000J6DM8UAN</t>
  </si>
  <si>
    <t>IDR-00782</t>
  </si>
  <si>
    <t>IOR-00099</t>
  </si>
  <si>
    <t>a1L1R00000J6DP3UAN</t>
  </si>
  <si>
    <t>IDR-00963</t>
  </si>
  <si>
    <t>Source of infection</t>
  </si>
  <si>
    <t>Source de l'infection</t>
  </si>
  <si>
    <t>Fuente de infección</t>
  </si>
  <si>
    <t>Local-introduced</t>
  </si>
  <si>
    <t>Local-introduite</t>
  </si>
  <si>
    <t>Locales-introducidas</t>
  </si>
  <si>
    <t>Malaria I-10⁽ᴹ⁾ Annual parasite incidence: Confirmed malaria cases (microscopy or RDT): rate per 1000 persons per year (Elimination settings)</t>
  </si>
  <si>
    <t>Malaria I-10⁽ᴹ⁾ Incidence parasitaires annuelle : nombre de cas confirmés de paludisme (par microscopie ou TDR) pour 1000 habitants par an (contextes d’élimination)</t>
  </si>
  <si>
    <t>Malaria I-10⁽ᴹ⁾ Incidencia parasitaria anual: casos de malaria confirmados (con microscopio o prueba de diagnóstico rápido) al año por cada 1.000 personas (en entornos en fase de eliminación)</t>
  </si>
  <si>
    <t>a1L1R00000J6DP2UAN</t>
  </si>
  <si>
    <t>IDR-00962</t>
  </si>
  <si>
    <t>Local-indigenous</t>
  </si>
  <si>
    <t>Local-autochtone</t>
  </si>
  <si>
    <t>Locales-autoctónas</t>
  </si>
  <si>
    <t>a1L1R00000J6DP1UAN</t>
  </si>
  <si>
    <t>IDR-00961</t>
  </si>
  <si>
    <t>Induced</t>
  </si>
  <si>
    <t>Induite</t>
  </si>
  <si>
    <t>Inducidas</t>
  </si>
  <si>
    <t>a1L1R00000J6DP0UAN</t>
  </si>
  <si>
    <t>IDR-00960</t>
  </si>
  <si>
    <t>Imported</t>
  </si>
  <si>
    <t>Importée</t>
  </si>
  <si>
    <t>Importadas</t>
  </si>
  <si>
    <t>Outcome Data - Indicator-Disaggregation Reference</t>
  </si>
  <si>
    <t>translated disagregattion</t>
  </si>
  <si>
    <t>a1L1R00000J6DMKUA3</t>
  </si>
  <si>
    <t>IDR-00794</t>
  </si>
  <si>
    <t>a1L1R00000J6DMJUA3</t>
  </si>
  <si>
    <t>IDR-00793</t>
  </si>
  <si>
    <t>a1L1R00000J6DKWUA3</t>
  </si>
  <si>
    <t>IDR-00682</t>
  </si>
  <si>
    <t>a1L1R00000J6DKVUA3</t>
  </si>
  <si>
    <t>IDR-00681</t>
  </si>
  <si>
    <t>20-24</t>
  </si>
  <si>
    <t>a1L1R00000J6DKUUA3</t>
  </si>
  <si>
    <t>IDR-00680</t>
  </si>
  <si>
    <t>15-19</t>
  </si>
  <si>
    <t>a1L1R00000J6DKLUA3</t>
  </si>
  <si>
    <t>IDR-00671</t>
  </si>
  <si>
    <t>a1L1R00000J6DKKUA3</t>
  </si>
  <si>
    <t>IDR-00670</t>
  </si>
  <si>
    <t>a1L1R00000J6DKNUA3</t>
  </si>
  <si>
    <t>IDR-00673</t>
  </si>
  <si>
    <t>a1L1R00000J6DKMUA3</t>
  </si>
  <si>
    <t>IDR-00672</t>
  </si>
  <si>
    <t>a1L1R00000J6DMCUA3</t>
  </si>
  <si>
    <t>IDR-00786</t>
  </si>
  <si>
    <t>a1L1R00000J6DMBUA3</t>
  </si>
  <si>
    <t>IDR-00785</t>
  </si>
  <si>
    <t>a1L1R00000J6DMAUA3</t>
  </si>
  <si>
    <t>IDR-00784</t>
  </si>
  <si>
    <t>a1L1R00000J6DKPUA3</t>
  </si>
  <si>
    <t>IDR-00675</t>
  </si>
  <si>
    <t>a1L1R00000J6DKOUA3</t>
  </si>
  <si>
    <t>IDR-00674</t>
  </si>
  <si>
    <t>a1L1R00000J6DMFUA3</t>
  </si>
  <si>
    <t>IDR-00789</t>
  </si>
  <si>
    <t>a1L1R00000J6DMEUA3</t>
  </si>
  <si>
    <t>IDR-00788</t>
  </si>
  <si>
    <t>a1L1R00000J6DMDUA3</t>
  </si>
  <si>
    <t>IDR-00787</t>
  </si>
  <si>
    <t>a1L1R00000J6DKRUA3</t>
  </si>
  <si>
    <t>IDR-00677</t>
  </si>
  <si>
    <t>a1L1R00000J6DKQUA3</t>
  </si>
  <si>
    <t>IDR-00676</t>
  </si>
  <si>
    <t>a1L1R00000J6DMIUA3</t>
  </si>
  <si>
    <t>IDR-00792</t>
  </si>
  <si>
    <t>a1L1R00000J6DMHUA3</t>
  </si>
  <si>
    <t>IDR-00791</t>
  </si>
  <si>
    <t>a1L1R00000J6DMGUA3</t>
  </si>
  <si>
    <t>IDR-00790</t>
  </si>
  <si>
    <t>a1L1R00000J6DKTUA3</t>
  </si>
  <si>
    <t>IDR-00679</t>
  </si>
  <si>
    <t>a1L1R00000J6DKSUA3</t>
  </si>
  <si>
    <t>IDR-00678</t>
  </si>
  <si>
    <t>a1L1R00000J6DMPUA3</t>
  </si>
  <si>
    <t>IDR-00799</t>
  </si>
  <si>
    <t>a1L1R00000J6DMOUA3</t>
  </si>
  <si>
    <t>IDR-00798</t>
  </si>
  <si>
    <t>a1L1R00000J6DMLUA3</t>
  </si>
  <si>
    <t>IDR-00795</t>
  </si>
  <si>
    <t>a1L1R00000J6DMQUA3</t>
  </si>
  <si>
    <t>IDR-00800</t>
  </si>
  <si>
    <t>a1L1R00000J6DMNUA3</t>
  </si>
  <si>
    <t>IDR-00797</t>
  </si>
  <si>
    <t>a1L1R00000J6DMMUA3</t>
  </si>
  <si>
    <t>IDR-00796</t>
  </si>
  <si>
    <t>a1L1R00000J6DKYUA3</t>
  </si>
  <si>
    <t>IDR-00684</t>
  </si>
  <si>
    <t>a1L1R00000J6DKXUA3</t>
  </si>
  <si>
    <t>IDR-00683</t>
  </si>
  <si>
    <t>a1L1R00000J6DKaUAN</t>
  </si>
  <si>
    <t>IDR-00686</t>
  </si>
  <si>
    <t>a1L1R00000J6DKZUA3</t>
  </si>
  <si>
    <t>IDR-00685</t>
  </si>
  <si>
    <t>a1L1R00000J6DKcUAN</t>
  </si>
  <si>
    <t>IDR-00688</t>
  </si>
  <si>
    <t>a1L1R00000J6DKbUAN</t>
  </si>
  <si>
    <t>IDR-00687</t>
  </si>
  <si>
    <t>a1L1R00000J6DMTUA3</t>
  </si>
  <si>
    <t>IDR-00803</t>
  </si>
  <si>
    <t>a1L1R00000J6DMSUA3</t>
  </si>
  <si>
    <t>IDR-00802</t>
  </si>
  <si>
    <t>a1L1R00000J6DMRUA3</t>
  </si>
  <si>
    <t>IDR-00801</t>
  </si>
  <si>
    <t>a1L1R00000J6DKeUAN</t>
  </si>
  <si>
    <t>IDR-00690</t>
  </si>
  <si>
    <t>a1L1R00000J6DKdUAN</t>
  </si>
  <si>
    <t>IDR-00689</t>
  </si>
  <si>
    <t>a1L1R00000J6DMWUA3</t>
  </si>
  <si>
    <t>IDR-00806</t>
  </si>
  <si>
    <t>a1L1R00000J6DMVUA3</t>
  </si>
  <si>
    <t>IDR-00805</t>
  </si>
  <si>
    <t>a1L1R00000J6DMUUA3</t>
  </si>
  <si>
    <t>IDR-00804</t>
  </si>
  <si>
    <t>a1L1R00000J6DKgUAN</t>
  </si>
  <si>
    <t>IDR-00692</t>
  </si>
  <si>
    <t>a1L1R00000J6DKfUAN</t>
  </si>
  <si>
    <t>IDR-00691</t>
  </si>
  <si>
    <t>a1L1R00000J6DPCUA3</t>
  </si>
  <si>
    <t>IDR-00972</t>
  </si>
  <si>
    <t>Prisoners</t>
  </si>
  <si>
    <t>Prisonniers</t>
  </si>
  <si>
    <t>Reclusos</t>
  </si>
  <si>
    <t>a1L1R00000J6DPBUA3</t>
  </si>
  <si>
    <t>IDR-00971</t>
  </si>
  <si>
    <t>PWIDs</t>
  </si>
  <si>
    <t>Usagers de drogues injectables</t>
  </si>
  <si>
    <t>PWID</t>
  </si>
  <si>
    <t>a1L1R00000J6DPAUA3</t>
  </si>
  <si>
    <t>IDR-00970</t>
  </si>
  <si>
    <t>Sex workers</t>
  </si>
  <si>
    <t>Professionnels du sexe</t>
  </si>
  <si>
    <t>Trabajadores sexuales</t>
  </si>
  <si>
    <t>a1L1R00000J6DP9UAN</t>
  </si>
  <si>
    <t>IDR-00969</t>
  </si>
  <si>
    <t>MSM</t>
  </si>
  <si>
    <t>a1L1R00000J6DMZUA3</t>
  </si>
  <si>
    <t>IDR-00809</t>
  </si>
  <si>
    <t>a1L1R00000J6DMYUA3</t>
  </si>
  <si>
    <t>IDR-00808</t>
  </si>
  <si>
    <t>a1L1R00000J6DMXUA3</t>
  </si>
  <si>
    <t>IDR-00807</t>
  </si>
  <si>
    <t>a1L1R00000J6DKiUAN</t>
  </si>
  <si>
    <t>IDR-00694</t>
  </si>
  <si>
    <t>a1L1R00000J6DKhUAN</t>
  </si>
  <si>
    <t>IDR-00693</t>
  </si>
  <si>
    <t>a1L1R00000J6DPjUAN</t>
  </si>
  <si>
    <t>IDR-01005</t>
  </si>
  <si>
    <t>Treatment outcome</t>
  </si>
  <si>
    <t>Résultat du traitement</t>
  </si>
  <si>
    <t>Resultados de tratamiento</t>
  </si>
  <si>
    <t>Lost to follow up</t>
  </si>
  <si>
    <t>Perdus de vue</t>
  </si>
  <si>
    <t>Perdidos en seguimiento</t>
  </si>
  <si>
    <t>a1L1R00000J6DPiUAN</t>
  </si>
  <si>
    <t>IDR-01004</t>
  </si>
  <si>
    <t>Stopped treatment</t>
  </si>
  <si>
    <t>Arrêt de traitement</t>
  </si>
  <si>
    <t>Tratamiento interrumpido</t>
  </si>
  <si>
    <t>a1L1R00000J6DPhUAN</t>
  </si>
  <si>
    <t>IDR-01003</t>
  </si>
  <si>
    <t>Died</t>
  </si>
  <si>
    <t>Décès</t>
  </si>
  <si>
    <t>Fallecido</t>
  </si>
  <si>
    <t>a1L1R00000J6DMcUAN</t>
  </si>
  <si>
    <t>IDR-00812</t>
  </si>
  <si>
    <t>a1L1R00000J6DMbUAN</t>
  </si>
  <si>
    <t>IDR-00811</t>
  </si>
  <si>
    <t>a1L1R00000J6DMaUAN</t>
  </si>
  <si>
    <t>IDR-00810</t>
  </si>
  <si>
    <t>a1L1R00000J6DKkUAN</t>
  </si>
  <si>
    <t>IDR-00696</t>
  </si>
  <si>
    <t>a1L1R00000J6DKjUAN</t>
  </si>
  <si>
    <t>IDR-00695</t>
  </si>
  <si>
    <t>a1L1R00000J6DMeUAN</t>
  </si>
  <si>
    <t>IDR-00814</t>
  </si>
  <si>
    <t>a1L1R00000J6DMdUAN</t>
  </si>
  <si>
    <t>IDR-00813</t>
  </si>
  <si>
    <t>a1L1R00000J6DMgUAN</t>
  </si>
  <si>
    <t>IDR-00816</t>
  </si>
  <si>
    <t>a1L1R00000J6DMfUAN</t>
  </si>
  <si>
    <t>IDR-00815</t>
  </si>
  <si>
    <t>a1L1R00000J6DMiUAN</t>
  </si>
  <si>
    <t>IDR-00818</t>
  </si>
  <si>
    <t>a1L1R00000J6DMhUAN</t>
  </si>
  <si>
    <t>IDR-00817</t>
  </si>
  <si>
    <t>IOR-00129</t>
  </si>
  <si>
    <t>a1L1R00000J6DMkUAN</t>
  </si>
  <si>
    <t>IDR-00820</t>
  </si>
  <si>
    <t>Malaria O-1a Proportion of population that slept under an insecticide-treated net the previous night</t>
  </si>
  <si>
    <t>Malaria O-1a Proportion de la population ayant dormi sous une moustiquaire imprégnée d’insecticide la nuit précédente</t>
  </si>
  <si>
    <t>Malaria O-1a Proporción de la población que durmió bajo un mosquitero tratado con insecticida la noche anterior</t>
  </si>
  <si>
    <t>a1L1R00000J6DMjUAN</t>
  </si>
  <si>
    <t>IDR-00819</t>
  </si>
  <si>
    <t>IOR-00133</t>
  </si>
  <si>
    <t>a1L1R00000J6DMmUAN</t>
  </si>
  <si>
    <t>IDR-00822</t>
  </si>
  <si>
    <t>Malaria O-3 Proportion of population using an insecticide-treated net among those with access to an insecticide-treated net</t>
  </si>
  <si>
    <t>Malaria O-3 Proportion de personnes utilisant une moustiquaire imprégnée d’insecticide parmi les personnes disposant d’une moustiquaire imprégnée d’insecticide</t>
  </si>
  <si>
    <t>Malaria O-3 Proporción de la población que utiliza mosquiteros tratados con insecticida entre la población que tiene acceso a ellos</t>
  </si>
  <si>
    <t>a1L1R00000J6DMlUAN</t>
  </si>
  <si>
    <t>IDR-00821</t>
  </si>
  <si>
    <t>IOR-00136</t>
  </si>
  <si>
    <t>a1L1R00000J6DO3UAN</t>
  </si>
  <si>
    <t>IDR-00901</t>
  </si>
  <si>
    <t>Case detection</t>
  </si>
  <si>
    <t>Détection des cas</t>
  </si>
  <si>
    <t>Detección de casos</t>
  </si>
  <si>
    <t>Passive</t>
  </si>
  <si>
    <t>Pasiva</t>
  </si>
  <si>
    <t>Malaria O-9⁽ᴹ⁾ Annual blood examination rate: per 100 population per year (Elimination settings)</t>
  </si>
  <si>
    <t>Malaria O-9⁽ᴹ⁾ Taux annuel d’examens hématologiques: pour 100 habitants par an (contextes d’élimination)</t>
  </si>
  <si>
    <t>Malaria O-9⁽ᴹ⁾ Tasa anual de análisis de sangre por cada 100 habitantes (en entornos de eliminación de la malaria)</t>
  </si>
  <si>
    <t>a1L1R00000J6DO2UAN</t>
  </si>
  <si>
    <t>IDR-00900</t>
  </si>
  <si>
    <t>Active</t>
  </si>
  <si>
    <t>Activa</t>
  </si>
  <si>
    <t>a1L1R00000J6DOpUAN</t>
  </si>
  <si>
    <t>IDR-00949</t>
  </si>
  <si>
    <t>Community health workers</t>
  </si>
  <si>
    <t>Agents de santé communautaires</t>
  </si>
  <si>
    <t>Trabajadores de la salud comunitarios</t>
  </si>
  <si>
    <t>a1L1R00000J6DOoUAN</t>
  </si>
  <si>
    <t>IDR-00948</t>
  </si>
  <si>
    <t>Pharmacists</t>
  </si>
  <si>
    <t>Pharmaciens</t>
  </si>
  <si>
    <t>Farmacéuticos</t>
  </si>
  <si>
    <t>a1L1R00000J6DOnUAN</t>
  </si>
  <si>
    <t>IDR-00947</t>
  </si>
  <si>
    <t>Laboratory technicians</t>
  </si>
  <si>
    <t>Techniciens de laboratoire</t>
  </si>
  <si>
    <t>Técnicos de laboratorio</t>
  </si>
  <si>
    <t>a1L1R00000J6DOmUAN</t>
  </si>
  <si>
    <t>IDR-00946</t>
  </si>
  <si>
    <t>Nurses and midwives</t>
  </si>
  <si>
    <t>Infirmiers et sages-femmes</t>
  </si>
  <si>
    <t>Enfermeras y parteras</t>
  </si>
  <si>
    <t>a1L1R00000J6DOlUAN</t>
  </si>
  <si>
    <t>IDR-00945</t>
  </si>
  <si>
    <t>Physicians</t>
  </si>
  <si>
    <t>Médecins</t>
  </si>
  <si>
    <t>Médicos</t>
  </si>
  <si>
    <t>a1L1R00000J6DKmUAN</t>
  </si>
  <si>
    <t>IDR-00698</t>
  </si>
  <si>
    <t>a1L1R00000J6DKlUAN</t>
  </si>
  <si>
    <t>IDR-00697</t>
  </si>
  <si>
    <t>10-14</t>
  </si>
  <si>
    <t>Coverage Data - Indicator-Disaggregation Reference</t>
  </si>
  <si>
    <t>Coverage Indicator  Reference (Name)</t>
  </si>
  <si>
    <t>[Coverage Indicator  Reference (Name)]</t>
  </si>
  <si>
    <t>a1L1R00000J6DKoUAN</t>
  </si>
  <si>
    <t>IDR-00700</t>
  </si>
  <si>
    <t>a1L1R00000J6DKnUAN</t>
  </si>
  <si>
    <t>IDR-00699</t>
  </si>
  <si>
    <t>a1L1R00000J6DKqUAN</t>
  </si>
  <si>
    <t>IDR-00702</t>
  </si>
  <si>
    <t>a1L1R00000J6DKpUAN</t>
  </si>
  <si>
    <t>IDR-00701</t>
  </si>
  <si>
    <t>a1L1R00000J6DMpUAN</t>
  </si>
  <si>
    <t>IDR-00825</t>
  </si>
  <si>
    <t>a1L1R00000J6DMoUAN</t>
  </si>
  <si>
    <t>IDR-00824</t>
  </si>
  <si>
    <t>a1L1R00000J6DMnUAN</t>
  </si>
  <si>
    <t>IDR-00823</t>
  </si>
  <si>
    <t>a1L1R00000J6DKsUAN</t>
  </si>
  <si>
    <t>IDR-00704</t>
  </si>
  <si>
    <t>a1L1R00000J6DKrUAN</t>
  </si>
  <si>
    <t>IDR-00703</t>
  </si>
  <si>
    <t>a1L1R00000J6DMsUAN</t>
  </si>
  <si>
    <t>IDR-00828</t>
  </si>
  <si>
    <t>a1L1R00000J6DMrUAN</t>
  </si>
  <si>
    <t>IDR-00827</t>
  </si>
  <si>
    <t>a1L1R00000J6DMqUAN</t>
  </si>
  <si>
    <t>IDR-00826</t>
  </si>
  <si>
    <t>a1L1R00000J6DKuUAN</t>
  </si>
  <si>
    <t>IDR-00706</t>
  </si>
  <si>
    <t>a1L1R00000J6DKtUAN</t>
  </si>
  <si>
    <t>IDR-00705</t>
  </si>
  <si>
    <t>a1L1R00000J6DMuUAN</t>
  </si>
  <si>
    <t>IDR-00830</t>
  </si>
  <si>
    <t>a1L1R00000J6DMtUAN</t>
  </si>
  <si>
    <t>IDR-00829</t>
  </si>
  <si>
    <t>a1L1R00000J6DMwUAN</t>
  </si>
  <si>
    <t>IDR-00832</t>
  </si>
  <si>
    <t>a1L1R00000J6DMvUAN</t>
  </si>
  <si>
    <t>IDR-00831</t>
  </si>
  <si>
    <t>a1L1R00000J6DKxUAN</t>
  </si>
  <si>
    <t>IDR-00709</t>
  </si>
  <si>
    <t>a1L1R00000J6DKwUAN</t>
  </si>
  <si>
    <t>IDR-00708</t>
  </si>
  <si>
    <t>a1L1R00000J6DKvUAN</t>
  </si>
  <si>
    <t>IDR-00707</t>
  </si>
  <si>
    <t>a1L1R00000J6DOFUA3</t>
  </si>
  <si>
    <t>IDR-00913</t>
  </si>
  <si>
    <t>Negative</t>
  </si>
  <si>
    <t>Négatif</t>
  </si>
  <si>
    <t>Negativo</t>
  </si>
  <si>
    <t>a1L1R00000J6DOEUA3</t>
  </si>
  <si>
    <t>IDR-00912</t>
  </si>
  <si>
    <t>Positive</t>
  </si>
  <si>
    <t>Positif</t>
  </si>
  <si>
    <t>Positivo</t>
  </si>
  <si>
    <t>a1L1R00000J6DOIUA3</t>
  </si>
  <si>
    <t>IDR-00916</t>
  </si>
  <si>
    <t>Indeterminate</t>
  </si>
  <si>
    <t>Indéterminé</t>
  </si>
  <si>
    <t>Indeterminado</t>
  </si>
  <si>
    <t>a1L1R00000J6DOHUA3</t>
  </si>
  <si>
    <t>IDR-00915</t>
  </si>
  <si>
    <t>a1L1R00000J6DOGUA3</t>
  </si>
  <si>
    <t>IDR-00914</t>
  </si>
  <si>
    <t>a1L1R00000J6DOKUA3</t>
  </si>
  <si>
    <t>IDR-00918</t>
  </si>
  <si>
    <t>a1L1R00000J6DOJUA3</t>
  </si>
  <si>
    <t>IDR-00917</t>
  </si>
  <si>
    <t>a1L1R00000J6DL0UAN</t>
  </si>
  <si>
    <t>IDR-00712</t>
  </si>
  <si>
    <t>15-24</t>
  </si>
  <si>
    <t>a1L1R00000J6DKzUAN</t>
  </si>
  <si>
    <t>IDR-00711</t>
  </si>
  <si>
    <t>a1L1R00000J6DKyUAN</t>
  </si>
  <si>
    <t>IDR-00710</t>
  </si>
  <si>
    <t>a1L1R00000J6DOMUA3</t>
  </si>
  <si>
    <t>IDR-00920</t>
  </si>
  <si>
    <t>a1L1R00000J6DOLUA3</t>
  </si>
  <si>
    <t>IDR-00919</t>
  </si>
  <si>
    <t>a1L1R00000J6DL2UAN</t>
  </si>
  <si>
    <t>IDR-00714</t>
  </si>
  <si>
    <t>a1L1R00000J6DL1UAN</t>
  </si>
  <si>
    <t>IDR-00713</t>
  </si>
  <si>
    <t>a1L1R00000J6DOOUA3</t>
  </si>
  <si>
    <t>IDR-00922</t>
  </si>
  <si>
    <t>a1L1R00000J6DONUA3</t>
  </si>
  <si>
    <t>IDR-00921</t>
  </si>
  <si>
    <t>a1L1R00000J6DL4UAN</t>
  </si>
  <si>
    <t>IDR-00716</t>
  </si>
  <si>
    <t>a1L1R00000J6DL3UAN</t>
  </si>
  <si>
    <t>IDR-00715</t>
  </si>
  <si>
    <t>a1L1R00000J6DOQUA3</t>
  </si>
  <si>
    <t>IDR-00924</t>
  </si>
  <si>
    <t>a1L1R00000J6DOPUA3</t>
  </si>
  <si>
    <t>IDR-00923</t>
  </si>
  <si>
    <t>a1L1R00000J6DMzUAN</t>
  </si>
  <si>
    <t>IDR-00835</t>
  </si>
  <si>
    <t>a1L1R00000J6DMyUAN</t>
  </si>
  <si>
    <t>IDR-00834</t>
  </si>
  <si>
    <t>a1L1R00000J6DMxUAN</t>
  </si>
  <si>
    <t>IDR-00833</t>
  </si>
  <si>
    <t>a1L1R00000J6DL6UAN</t>
  </si>
  <si>
    <t>IDR-00718</t>
  </si>
  <si>
    <t>a1L1R00000J6DL5UAN</t>
  </si>
  <si>
    <t>IDR-00717</t>
  </si>
  <si>
    <t>a1L1R00000J6DOSUA3</t>
  </si>
  <si>
    <t>IDR-00926</t>
  </si>
  <si>
    <t>a1L1R00000J6DORUA3</t>
  </si>
  <si>
    <t>IDR-00925</t>
  </si>
  <si>
    <t>a1L1R00000J6DN2UAN</t>
  </si>
  <si>
    <t>IDR-00838</t>
  </si>
  <si>
    <t>a1L1R00000J6DN1UAN</t>
  </si>
  <si>
    <t>IDR-00837</t>
  </si>
  <si>
    <t>a1L1R00000J6DN0UAN</t>
  </si>
  <si>
    <t>IDR-00836</t>
  </si>
  <si>
    <t>a1L1R00000J6DL8UAN</t>
  </si>
  <si>
    <t>IDR-00720</t>
  </si>
  <si>
    <t>a1L1R00000J6DL7UAN</t>
  </si>
  <si>
    <t>IDR-00719</t>
  </si>
  <si>
    <t>a1L1R00000J6DOUUA3</t>
  </si>
  <si>
    <t>IDR-00928</t>
  </si>
  <si>
    <t>a1L1R00000J6DOTUA3</t>
  </si>
  <si>
    <t>IDR-00927</t>
  </si>
  <si>
    <t>a1L1R00000J6DOWUA3</t>
  </si>
  <si>
    <t>IDR-00930</t>
  </si>
  <si>
    <t>a1L1R00000J6DOVUA3</t>
  </si>
  <si>
    <t>IDR-00929</t>
  </si>
  <si>
    <t>a1L1R00000J6DODUA3</t>
  </si>
  <si>
    <t>IDR-00911</t>
  </si>
  <si>
    <t>Facility testing</t>
  </si>
  <si>
    <t>Tests fait dans un centre de santé</t>
  </si>
  <si>
    <t>Diagnóstico en establecimientos de salud</t>
  </si>
  <si>
    <t>Other</t>
  </si>
  <si>
    <t>Autre</t>
  </si>
  <si>
    <t>Otros</t>
  </si>
  <si>
    <t>a1L1R00000J6DOCUA3</t>
  </si>
  <si>
    <t>IDR-00910</t>
  </si>
  <si>
    <t>VCT centers</t>
  </si>
  <si>
    <t>Centres de de dépistage volontaire</t>
  </si>
  <si>
    <t>Centros de consejería y pruebas</t>
  </si>
  <si>
    <t>a1L1R00000J6DOBUA3</t>
  </si>
  <si>
    <t>IDR-00909</t>
  </si>
  <si>
    <t>TB clinics</t>
  </si>
  <si>
    <t>Centres de traitement de la tuberculose</t>
  </si>
  <si>
    <t>Servicios de TB</t>
  </si>
  <si>
    <t>a1L1R00000J6DOAUA3</t>
  </si>
  <si>
    <t>IDR-00908</t>
  </si>
  <si>
    <t>Family Planning clinics</t>
  </si>
  <si>
    <t>Centres de planification familiale</t>
  </si>
  <si>
    <t>Planificación familiar</t>
  </si>
  <si>
    <t>a1L1R00000J6DO9UAN</t>
  </si>
  <si>
    <t>IDR-00907</t>
  </si>
  <si>
    <t>ANC clinics</t>
  </si>
  <si>
    <t>Centres de soins prénatals</t>
  </si>
  <si>
    <t>Clínicas de atención prenatal</t>
  </si>
  <si>
    <t>a1L1R00000J6DO5UAN</t>
  </si>
  <si>
    <t>IDR-00903</t>
  </si>
  <si>
    <t>Community testing</t>
  </si>
  <si>
    <t>Tests fait dans la communauté</t>
  </si>
  <si>
    <t>Diagnóstico en la comunidad</t>
  </si>
  <si>
    <t>Community VCT</t>
  </si>
  <si>
    <t>Centres communautaires de dépistage volontaire</t>
  </si>
  <si>
    <t>Consejería y prueba en la comunidad</t>
  </si>
  <si>
    <t>a1L1R00000J6DO4UAN</t>
  </si>
  <si>
    <t>IDR-00902</t>
  </si>
  <si>
    <t>Mobile testing</t>
  </si>
  <si>
    <t>Tests via clinics mobiles</t>
  </si>
  <si>
    <t>Pruebas en unidades móviles</t>
  </si>
  <si>
    <t>a1L1R00000J6DN4UAN</t>
  </si>
  <si>
    <t>IDR-00840</t>
  </si>
  <si>
    <t>a1L1R00000J6DN3UAN</t>
  </si>
  <si>
    <t>IDR-00839</t>
  </si>
  <si>
    <t>a1L1R00000J6DLAUA3</t>
  </si>
  <si>
    <t>IDR-00722</t>
  </si>
  <si>
    <t>a1L1R00000J6DL9UAN</t>
  </si>
  <si>
    <t>IDR-00721</t>
  </si>
  <si>
    <t>a1L1R00000J6DPGUA3</t>
  </si>
  <si>
    <t>IDR-00976</t>
  </si>
  <si>
    <t>a1L1R00000J6DPFUA3</t>
  </si>
  <si>
    <t>IDR-00975</t>
  </si>
  <si>
    <t>a1L1R00000J6DPEUA3</t>
  </si>
  <si>
    <t>IDR-00974</t>
  </si>
  <si>
    <t>a1L1R00000J6DPDUA3</t>
  </si>
  <si>
    <t>IDR-00973</t>
  </si>
  <si>
    <t>a1L1R00000J6DN7UAN</t>
  </si>
  <si>
    <t>IDR-00843</t>
  </si>
  <si>
    <t>a1L1R00000J6DN6UAN</t>
  </si>
  <si>
    <t>IDR-00842</t>
  </si>
  <si>
    <t>a1L1R00000J6DN5UAN</t>
  </si>
  <si>
    <t>IDR-00841</t>
  </si>
  <si>
    <t>a1L1R00000J6DPKUA3</t>
  </si>
  <si>
    <t>IDR-00980</t>
  </si>
  <si>
    <t>a1L1R00000J6DPJUA3</t>
  </si>
  <si>
    <t>IDR-00979</t>
  </si>
  <si>
    <t>a1L1R00000J6DPIUA3</t>
  </si>
  <si>
    <t>IDR-00978</t>
  </si>
  <si>
    <t>a1L1R00000J6DPHUA3</t>
  </si>
  <si>
    <t>IDR-00977</t>
  </si>
  <si>
    <t>a1L1R00000J6DO6UAN</t>
  </si>
  <si>
    <t>IDR-00904</t>
  </si>
  <si>
    <t>Duration of treatment</t>
  </si>
  <si>
    <t>Durée du traitement</t>
  </si>
  <si>
    <t>Duración del tratamiento</t>
  </si>
  <si>
    <t>Newly initiating ART</t>
  </si>
  <si>
    <t>Ayant récemment commencé un traitement antirétroviral</t>
  </si>
  <si>
    <t>Iniciaron TARV recientemente</t>
  </si>
  <si>
    <t>a1L1R00000J6DNtUAN</t>
  </si>
  <si>
    <t>IDR-00891</t>
  </si>
  <si>
    <t>Female 15-24</t>
  </si>
  <si>
    <t>Femme 15-24</t>
  </si>
  <si>
    <t>Mujeres 15-24</t>
  </si>
  <si>
    <t>a1L1R00000J6DNsUAN</t>
  </si>
  <si>
    <t>IDR-00890</t>
  </si>
  <si>
    <t>Male 15-24</t>
  </si>
  <si>
    <t>Homme 15-24</t>
  </si>
  <si>
    <t>Hombres 15-24</t>
  </si>
  <si>
    <t>a1L1R00000J6DNrUAN</t>
  </si>
  <si>
    <t>IDR-00889</t>
  </si>
  <si>
    <t>a1L1R00000J6DNqUAN</t>
  </si>
  <si>
    <t>IDR-00888</t>
  </si>
  <si>
    <t>a1L1R00000J6DNpUAN</t>
  </si>
  <si>
    <t>IDR-00887</t>
  </si>
  <si>
    <t>a1L1R00000J6DNoUAN</t>
  </si>
  <si>
    <t>IDR-00886</t>
  </si>
  <si>
    <t>a1L1R00000J6DNnUAN</t>
  </si>
  <si>
    <t>IDR-00885</t>
  </si>
  <si>
    <t>Female 15+</t>
  </si>
  <si>
    <t>Femme 15+</t>
  </si>
  <si>
    <t>Mujeres 15+</t>
  </si>
  <si>
    <t>a1L1R00000J6DNmUAN</t>
  </si>
  <si>
    <t>IDR-00884</t>
  </si>
  <si>
    <t>Male 15+</t>
  </si>
  <si>
    <t>Homme 15+</t>
  </si>
  <si>
    <t>Hombres 15+</t>
  </si>
  <si>
    <t>a1L1R00000J6DNAUA3</t>
  </si>
  <si>
    <t>IDR-00846</t>
  </si>
  <si>
    <t>a1L1R00000J6DN9UAN</t>
  </si>
  <si>
    <t>IDR-00845</t>
  </si>
  <si>
    <t>a1L1R00000J6DN8UAN</t>
  </si>
  <si>
    <t>IDR-00844</t>
  </si>
  <si>
    <t>a1L1R00000J6DLCUA3</t>
  </si>
  <si>
    <t>IDR-00724</t>
  </si>
  <si>
    <t>a1L1R00000J6DLBUA3</t>
  </si>
  <si>
    <t>IDR-00723</t>
  </si>
  <si>
    <t>a1L1R00000J6DPOUA3</t>
  </si>
  <si>
    <t>IDR-00984</t>
  </si>
  <si>
    <t>a1L1R00000J6DPNUA3</t>
  </si>
  <si>
    <t>IDR-00983</t>
  </si>
  <si>
    <t>a1L1R00000J6DPMUA3</t>
  </si>
  <si>
    <t>IDR-00982</t>
  </si>
  <si>
    <t>a1L1R00000J6DPLUA3</t>
  </si>
  <si>
    <t>IDR-00981</t>
  </si>
  <si>
    <t>a1L1R00000J6DO7UAN</t>
  </si>
  <si>
    <t>IDR-00905</t>
  </si>
  <si>
    <t>a1L1R00000J6DO1UAN</t>
  </si>
  <si>
    <t>IDR-00899</t>
  </si>
  <si>
    <t>a1L1R00000J6DO0UAN</t>
  </si>
  <si>
    <t>IDR-00898</t>
  </si>
  <si>
    <t>a1L1R00000J6DNzUAN</t>
  </si>
  <si>
    <t>IDR-00897</t>
  </si>
  <si>
    <t>a1L1R00000J6DNyUAN</t>
  </si>
  <si>
    <t>IDR-00896</t>
  </si>
  <si>
    <t>a1L1R00000J6DNxUAN</t>
  </si>
  <si>
    <t>IDR-00895</t>
  </si>
  <si>
    <t>a1L1R00000J6DNwUAN</t>
  </si>
  <si>
    <t>IDR-00894</t>
  </si>
  <si>
    <t>a1L1R00000J6DNvUAN</t>
  </si>
  <si>
    <t>IDR-00893</t>
  </si>
  <si>
    <t>a1L1R00000J6DNuUAN</t>
  </si>
  <si>
    <t>IDR-00892</t>
  </si>
  <si>
    <t>a1L1R00000J6DNDUA3</t>
  </si>
  <si>
    <t>IDR-00849</t>
  </si>
  <si>
    <t>a1L1R00000J6DNCUA3</t>
  </si>
  <si>
    <t>IDR-00848</t>
  </si>
  <si>
    <t>a1L1R00000J6DNBUA3</t>
  </si>
  <si>
    <t>IDR-00847</t>
  </si>
  <si>
    <t>a1L1R00000J6DO8UAN</t>
  </si>
  <si>
    <t>IDR-00906</t>
  </si>
  <si>
    <t>a1L1R00000J6DNFUA3</t>
  </si>
  <si>
    <t>IDR-00851</t>
  </si>
  <si>
    <t>a1L1R00000J6DNEUA3</t>
  </si>
  <si>
    <t>IDR-00850</t>
  </si>
  <si>
    <t>a1L1R00000J6DPYUA3</t>
  </si>
  <si>
    <t>IDR-00994</t>
  </si>
  <si>
    <t>TB case definition</t>
  </si>
  <si>
    <t>Bacteriologically confirmed</t>
  </si>
  <si>
    <t>Bactériologiquement confirmé</t>
  </si>
  <si>
    <t>Confirmado bacteriológicamente</t>
  </si>
  <si>
    <t>a1L1R00000J6DOZUA3</t>
  </si>
  <si>
    <t>IDR-00933</t>
  </si>
  <si>
    <t>Not documented</t>
  </si>
  <si>
    <t>non communiqué</t>
  </si>
  <si>
    <t>No documentado</t>
  </si>
  <si>
    <t>a1L1R00000J6DOYUA3</t>
  </si>
  <si>
    <t>IDR-00932</t>
  </si>
  <si>
    <t>a1L1R00000J6DOXUA3</t>
  </si>
  <si>
    <t>IDR-00931</t>
  </si>
  <si>
    <t>a1L1R00000J6DNHUA3</t>
  </si>
  <si>
    <t>IDR-00853</t>
  </si>
  <si>
    <t>a1L1R00000J6DNGUA3</t>
  </si>
  <si>
    <t>IDR-00852</t>
  </si>
  <si>
    <t>a1L1R00000J6DLEUA3</t>
  </si>
  <si>
    <t>IDR-00726</t>
  </si>
  <si>
    <t>a1L1R00000J6DLDUA3</t>
  </si>
  <si>
    <t>IDR-00725</t>
  </si>
  <si>
    <t>a1L1R00000J6DOcUAN</t>
  </si>
  <si>
    <t>IDR-00936</t>
  </si>
  <si>
    <t>a1L1R00000J6DObUAN</t>
  </si>
  <si>
    <t>IDR-00935</t>
  </si>
  <si>
    <t>a1L1R00000J6DOaUAN</t>
  </si>
  <si>
    <t>IDR-00934</t>
  </si>
  <si>
    <t>a1L1R00000J6DNJUA3</t>
  </si>
  <si>
    <t>IDR-00855</t>
  </si>
  <si>
    <t>a1L1R00000J6DNIUA3</t>
  </si>
  <si>
    <t>IDR-00854</t>
  </si>
  <si>
    <t>a1L1R00000J6DLGUA3</t>
  </si>
  <si>
    <t>IDR-00728</t>
  </si>
  <si>
    <t>a1L1R00000J6DLFUA3</t>
  </si>
  <si>
    <t>IDR-00727</t>
  </si>
  <si>
    <t>a1L1R00000J6DLJUA3</t>
  </si>
  <si>
    <t>IDR-00731</t>
  </si>
  <si>
    <t>a1L1R00000J6DLIUA3</t>
  </si>
  <si>
    <t>IDR-00730</t>
  </si>
  <si>
    <t>a1L1R00000J6DLHUA3</t>
  </si>
  <si>
    <t>IDR-00729</t>
  </si>
  <si>
    <t>a1L1R00000J6DPQUA3</t>
  </si>
  <si>
    <t>IDR-00986</t>
  </si>
  <si>
    <t>Other population group</t>
  </si>
  <si>
    <t>Autre groupe à risque cible - à préciser</t>
  </si>
  <si>
    <t>Otro grupo de riesgo objetivo [especificar]</t>
  </si>
  <si>
    <t>a1L1R00000J6DPPUA3</t>
  </si>
  <si>
    <t>IDR-00985</t>
  </si>
  <si>
    <t>Migrants/ refugees/ IDPs</t>
  </si>
  <si>
    <t>Migrants / réfugiés / personnes déplacées</t>
  </si>
  <si>
    <t>Migrantes/refugiados/personas internamente desplazadas</t>
  </si>
  <si>
    <t>a1L1R00000J6DNTUA3</t>
  </si>
  <si>
    <t>IDR-00865</t>
  </si>
  <si>
    <t>a1L1R00000J6DNSUA3</t>
  </si>
  <si>
    <t>IDR-00864</t>
  </si>
  <si>
    <t>a1L1R00000J6DLXUA3</t>
  </si>
  <si>
    <t>IDR-00745</t>
  </si>
  <si>
    <t>a1L1R00000J6DLWUA3</t>
  </si>
  <si>
    <t>IDR-00744</t>
  </si>
  <si>
    <t>a1L1R00000J6DPbUAN</t>
  </si>
  <si>
    <t>IDR-00997</t>
  </si>
  <si>
    <t>TB regimen</t>
  </si>
  <si>
    <t>Schéma thérapeutique</t>
  </si>
  <si>
    <t>Tipo de tratamiento</t>
  </si>
  <si>
    <t>Short regimens</t>
  </si>
  <si>
    <t>Régime court</t>
  </si>
  <si>
    <t>Regimenes acortados</t>
  </si>
  <si>
    <t>a1L1R00000J6DPaUAN</t>
  </si>
  <si>
    <t>IDR-00996</t>
  </si>
  <si>
    <t>New TB drugs</t>
  </si>
  <si>
    <t>Nouveau traitement TB</t>
  </si>
  <si>
    <t>Nuevas drogas anti tuberculosis</t>
  </si>
  <si>
    <t>a1L1R00000J6DNVUA3</t>
  </si>
  <si>
    <t>IDR-00867</t>
  </si>
  <si>
    <t>a1L1R00000J6DNUUA3</t>
  </si>
  <si>
    <t>IDR-00866</t>
  </si>
  <si>
    <t>a1L1R00000J6DLZUA3</t>
  </si>
  <si>
    <t>IDR-00747</t>
  </si>
  <si>
    <t>a1L1R00000J6DLYUA3</t>
  </si>
  <si>
    <t>IDR-00746</t>
  </si>
  <si>
    <t>a1L1R00000J6DPZUA3</t>
  </si>
  <si>
    <t>IDR-00995</t>
  </si>
  <si>
    <t>XDR TB</t>
  </si>
  <si>
    <t>TB-XDR</t>
  </si>
  <si>
    <t>a1L1R00000J6DOeUAN</t>
  </si>
  <si>
    <t>IDR-00938</t>
  </si>
  <si>
    <t>a1L1R00000J6DNXUA3</t>
  </si>
  <si>
    <t>IDR-00869</t>
  </si>
  <si>
    <t>a1L1R00000J6DNWUA3</t>
  </si>
  <si>
    <t>IDR-00868</t>
  </si>
  <si>
    <t>a1L1R00000J6DLbUAN</t>
  </si>
  <si>
    <t>IDR-00749</t>
  </si>
  <si>
    <t>a1L1R00000J6DLaUAN</t>
  </si>
  <si>
    <t>IDR-00748</t>
  </si>
  <si>
    <t>a1L1R00000J6DOdUAN</t>
  </si>
  <si>
    <t>IDR-00937</t>
  </si>
  <si>
    <t>a1L1R00000J6DNNUA3</t>
  </si>
  <si>
    <t>IDR-00859</t>
  </si>
  <si>
    <t>a1L1R00000J6DNMUA3</t>
  </si>
  <si>
    <t>IDR-00858</t>
  </si>
  <si>
    <t>a1L1R00000J6DLPUA3</t>
  </si>
  <si>
    <t>IDR-00737</t>
  </si>
  <si>
    <t>a1L1R00000J6DLOUA3</t>
  </si>
  <si>
    <t>IDR-00736</t>
  </si>
  <si>
    <t>a1L1R00000J6DLNUA3</t>
  </si>
  <si>
    <t>IDR-00735</t>
  </si>
  <si>
    <t>a1L1R00000J6DNPUA3</t>
  </si>
  <si>
    <t>IDR-00861</t>
  </si>
  <si>
    <t>a1L1R00000J6DNOUA3</t>
  </si>
  <si>
    <t>IDR-00860</t>
  </si>
  <si>
    <t>a1L1R00000J6DLSUA3</t>
  </si>
  <si>
    <t>IDR-00740</t>
  </si>
  <si>
    <t>a1L1R00000J6DLRUA3</t>
  </si>
  <si>
    <t>IDR-00739</t>
  </si>
  <si>
    <t>a1L1R00000J6DLQUA3</t>
  </si>
  <si>
    <t>IDR-00738</t>
  </si>
  <si>
    <t>a1L1R00000J6DPgUAN</t>
  </si>
  <si>
    <t>IDR-01002</t>
  </si>
  <si>
    <t>TPT regimen</t>
  </si>
  <si>
    <t>Régime TPT</t>
  </si>
  <si>
    <t>Régimen de TPT</t>
  </si>
  <si>
    <t>INH</t>
  </si>
  <si>
    <t>a1L1R00000J6DPfUAN</t>
  </si>
  <si>
    <t>IDR-01001</t>
  </si>
  <si>
    <t>3RH</t>
  </si>
  <si>
    <t>a1L1R00000J6DPeUAN</t>
  </si>
  <si>
    <t>IDR-01000</t>
  </si>
  <si>
    <t>RIF</t>
  </si>
  <si>
    <t>a1L1R00000J6DPdUAN</t>
  </si>
  <si>
    <t>IDR-00999</t>
  </si>
  <si>
    <t>1HP</t>
  </si>
  <si>
    <t>a1L1R00000J6DPcUAN</t>
  </si>
  <si>
    <t>IDR-00998</t>
  </si>
  <si>
    <t>3HP</t>
  </si>
  <si>
    <t>a1L1R00000J6DNRUA3</t>
  </si>
  <si>
    <t>IDR-00863</t>
  </si>
  <si>
    <t>a1L1R00000J6DNQUA3</t>
  </si>
  <si>
    <t>IDR-00862</t>
  </si>
  <si>
    <t>a1L1R00000J6DLVUA3</t>
  </si>
  <si>
    <t>IDR-00743</t>
  </si>
  <si>
    <t>a1L1R00000J6DLUUA3</t>
  </si>
  <si>
    <t>IDR-00742</t>
  </si>
  <si>
    <t>a1L1R00000J6DLTUA3</t>
  </si>
  <si>
    <t>IDR-00741</t>
  </si>
  <si>
    <t>MCI-01098</t>
  </si>
  <si>
    <t>a1L1R00000J6DPTUA3</t>
  </si>
  <si>
    <t>IDR-00989</t>
  </si>
  <si>
    <t>VC-1⁽ᴹ⁾ Number of long-lasting insecticidal nets distributed to at-risk populations through mass campaigns</t>
  </si>
  <si>
    <t>VC-1⁽ᴹ⁾ Nombre de moustiquaires imprégnées d’insecticide de longue durée distribuées aux populations à risque dans le cadre de campagnes de distribution de masse</t>
  </si>
  <si>
    <t>VC-1⁽ᴹ⁾ Número de mosquiteros tratados con insecticida de larga duración distribuidos a poblaciones vulnerables a través de campañas a gran escala</t>
  </si>
  <si>
    <t>a1L1R00000J6DPSUA3</t>
  </si>
  <si>
    <t>IDR-00988</t>
  </si>
  <si>
    <t>a1L1R00000J6DPRUA3</t>
  </si>
  <si>
    <t>IDR-00987</t>
  </si>
  <si>
    <t>MCI-01099</t>
  </si>
  <si>
    <t>a1L1R00000J6DPXUA3</t>
  </si>
  <si>
    <t>IDR-00993</t>
  </si>
  <si>
    <t>VC-3⁽ᴹ⁾ Number of long-lasting insecticidal nets distributed to targeted risk groups through continuous distribution</t>
  </si>
  <si>
    <t>VC-3⁽ᴹ⁾ Nombre de moustiquaires imprégnées d’insecticide de longue durée distribuées de manière continue aux groupes à risque cibles</t>
  </si>
  <si>
    <t>VC-3⁽ᴹ⁾ Número de mosquiteros tratados con insecticida de larga duración distribuidos entre los grupos de riesgo objetivo a través de distribución continua.</t>
  </si>
  <si>
    <t>a1L1R00000J6DPWUA3</t>
  </si>
  <si>
    <t>IDR-00992</t>
  </si>
  <si>
    <t>School children</t>
  </si>
  <si>
    <t>Enfants scolarisés</t>
  </si>
  <si>
    <t>Niños escolar</t>
  </si>
  <si>
    <t>a1L1R00000J6DPVUA3</t>
  </si>
  <si>
    <t>IDR-00991</t>
  </si>
  <si>
    <t>Children 0-5</t>
  </si>
  <si>
    <t>Enfants &lt;5 ans</t>
  </si>
  <si>
    <t>Niños menores de 5 años</t>
  </si>
  <si>
    <t>a1L1R00000J6DPUUA3</t>
  </si>
  <si>
    <t>IDR-00990</t>
  </si>
  <si>
    <t>Pregnant women</t>
  </si>
  <si>
    <t>Femmes enceintes</t>
  </si>
  <si>
    <t>Mujeres embarazadas</t>
  </si>
  <si>
    <t>MCI-01102</t>
  </si>
  <si>
    <t>a1L1R00000J6DPvUAN</t>
  </si>
  <si>
    <t>IDR-01017</t>
  </si>
  <si>
    <t>CM-1a⁽ᴹ⁾ Proportion of suspected malaria cases that receive a parasitological test at public sector health facilities</t>
  </si>
  <si>
    <t>CM-1a⁽ᴹ⁾ Proportion de cas suspect de paludisme soumis à un test parasitologique dans des établissements de santé du secteur public</t>
  </si>
  <si>
    <t>CM-1a⁽ᴹ⁾ Proporción de casos sospechosos de malaria que se someten a una prueba parasitológica en establecimientos de salud del sector público</t>
  </si>
  <si>
    <t>a1L1R00000J6DPuUAN</t>
  </si>
  <si>
    <t>IDR-01016</t>
  </si>
  <si>
    <t>a1L1R00000J6DLdUAN</t>
  </si>
  <si>
    <t>IDR-00751</t>
  </si>
  <si>
    <t>a1L1R00000J6DLcUAN</t>
  </si>
  <si>
    <t>IDR-00750</t>
  </si>
  <si>
    <t>MCI-01103</t>
  </si>
  <si>
    <t>a1L1R00000J6DPxUAN</t>
  </si>
  <si>
    <t>IDR-01019</t>
  </si>
  <si>
    <t>CM-1b⁽ᴹ⁾ Proportion of suspected malaria cases that receive a parasitological test in the community</t>
  </si>
  <si>
    <t>CM-1b⁽ᴹ⁾ Proportion de cas suspects de paludisme soumis à un test parasitologique dans la communauté</t>
  </si>
  <si>
    <t>CM-1b⁽ᴹ⁾ Proporción de casos sospechosos de malaria que se someten a una prueba parasitológica en la comunidad</t>
  </si>
  <si>
    <t>a1L1R00000J6DPwUAN</t>
  </si>
  <si>
    <t>IDR-01018</t>
  </si>
  <si>
    <t>a1L1R00000J6DLfUAN</t>
  </si>
  <si>
    <t>IDR-00753</t>
  </si>
  <si>
    <t>a1L1R00000J6DLeUAN</t>
  </si>
  <si>
    <t>IDR-00752</t>
  </si>
  <si>
    <t>MCI-01104</t>
  </si>
  <si>
    <t>a1L1R00000J6DPzUAN</t>
  </si>
  <si>
    <t>IDR-01021</t>
  </si>
  <si>
    <t>CM-1c⁽ᴹ⁾ Proportion of suspected malaria cases that receive a parasitological test at private sector sites</t>
  </si>
  <si>
    <t>CM-1c⁽ᴹ⁾ Proportion de cas suspects de paludisme soumis à un test parasitologique dans des structures privées</t>
  </si>
  <si>
    <t>CM-1c⁽ᴹ⁾ Proporción de casos sospechosos de malaria que se someten a una prueba parasitológica en establecimientos   del sector privado</t>
  </si>
  <si>
    <t>a1L1R00000J6DPyUAN</t>
  </si>
  <si>
    <t>IDR-01020</t>
  </si>
  <si>
    <t>a1L1R00000J6DLhUAN</t>
  </si>
  <si>
    <t>IDR-00755</t>
  </si>
  <si>
    <t>a1L1R00000J6DLgUAN</t>
  </si>
  <si>
    <t>IDR-00754</t>
  </si>
  <si>
    <t>MCI-01105</t>
  </si>
  <si>
    <t>a1L1R00000J6DLjUAN</t>
  </si>
  <si>
    <t>IDR-00757</t>
  </si>
  <si>
    <t>CM-2a⁽ᴹ⁾ Proportion of confirmed malaria cases that received first-line antimalarial treatment at public sector health facilities</t>
  </si>
  <si>
    <t>CM-2a⁽ᴹ⁾ Proportion de cas de paludisme confirmés ayant reçu un traitement antipaludique de première intention dans des établissements de santé du secteur public</t>
  </si>
  <si>
    <t>CM-2a⁽ᴹ⁾ Proporción de casos de malaria confirmados que han recibido tratamiento contra la malaria de primera línea en establecimientos de salud del sector público</t>
  </si>
  <si>
    <t>a1L1R00000J6DLiUAN</t>
  </si>
  <si>
    <t>IDR-00756</t>
  </si>
  <si>
    <t>MCI-01106</t>
  </si>
  <si>
    <t>a1L1R00000J6DLlUAN</t>
  </si>
  <si>
    <t>IDR-00759</t>
  </si>
  <si>
    <t>CM-2b⁽ᴹ⁾ Proportion of confirmed malaria cases that received first-line antimalarial treatment in the community</t>
  </si>
  <si>
    <t>CM-2b⁽ᴹ⁾ Proportion de cas de paludisme confirmés ayant reçu un traitement antipaludique de première intention dans la communauté</t>
  </si>
  <si>
    <t>CM-2b⁽ᴹ⁾ Proporción de casos de malaria confirmados que han recibido tratamiento contra la malaria de primera línea en la comunidad</t>
  </si>
  <si>
    <t>a1L1R00000J6DLkUAN</t>
  </si>
  <si>
    <t>IDR-00758</t>
  </si>
  <si>
    <t>MCI-01107</t>
  </si>
  <si>
    <t>a1L1R00000J6DLnUAN</t>
  </si>
  <si>
    <t>IDR-00761</t>
  </si>
  <si>
    <t>CM-2c⁽ᴹ⁾ Proportion of confirmed malaria cases that received first-line antimalarial treatment at private sector sites</t>
  </si>
  <si>
    <t>CM-2c⁽ᴹ⁾ Proportion de cas de paludisme confirmés ayant reçu un traitement antipaludique de première intention dans des structures privées</t>
  </si>
  <si>
    <t>CM-2c⁽ᴹ⁾ Proporción de casos de malaria confirmados que han recibido tratamiento contra la malaria de primera línea en establecimientos del sector privado</t>
  </si>
  <si>
    <t>a1L1R00000J6DLmUAN</t>
  </si>
  <si>
    <t>IDR-00760</t>
  </si>
  <si>
    <t>MCI-01108</t>
  </si>
  <si>
    <t>a1L1R00000J6DLpUAN</t>
  </si>
  <si>
    <t>IDR-00763</t>
  </si>
  <si>
    <t>CM-3a Proportion of malaria cases (presumed and confirmed) that received first line antimalarial treatment at public sector health facilities</t>
  </si>
  <si>
    <t>CM-3a Proportion de cas de paludisme (présumés et confirmés) ayant reçu un traitement antipaludique de première intention dans des établissements de santé du secteur public</t>
  </si>
  <si>
    <t>CM-3a Proporción de casos de malaria (sospechosos y confirmados) que han recibido tratamiento contra la malaria de primera línea en establecimientos de salud del sector público</t>
  </si>
  <si>
    <t>a1L1R00000J6DLoUAN</t>
  </si>
  <si>
    <t>IDR-00762</t>
  </si>
  <si>
    <t>MCI-01109</t>
  </si>
  <si>
    <t>a1L1R00000J6DLrUAN</t>
  </si>
  <si>
    <t>IDR-00765</t>
  </si>
  <si>
    <t>CM-3b Proportion of malaria cases (presumed and confirmed) that received first line antimalarial treatment in the community</t>
  </si>
  <si>
    <t>CM-3b Proportion de cas de paludisme (présumés et confirmés) ayant reçu un traitement antipaludique de première intention dans la communauté</t>
  </si>
  <si>
    <t>CM-3b Proporción de casos de malaria (sospechosos y confirmados) que han recibido tratamiento contra la malaria de primera línea en la comunidad</t>
  </si>
  <si>
    <t>a1L1R00000J6DLqUAN</t>
  </si>
  <si>
    <t>IDR-00764</t>
  </si>
  <si>
    <t>MCI-01110</t>
  </si>
  <si>
    <t>a1L1R00000J6DLtUAN</t>
  </si>
  <si>
    <t>IDR-00767</t>
  </si>
  <si>
    <t>CM-3c Proportion of malaria cases (presumed and confirmed) that received first line antimalarial treatment at private sector sites</t>
  </si>
  <si>
    <t>CM-3c Proportion de cas de paludisme (présumés et confirmés) ayant reçu un traitement antipaludique de première intention dans des structures privées</t>
  </si>
  <si>
    <t>CM-3c Proporción de casos de malaria (sospechosos y confirmados) que han recibido tratamiento contra la malaria de primera línea en centros del sector privado</t>
  </si>
  <si>
    <t>a1L1R00000J6DLsUAN</t>
  </si>
  <si>
    <t>IDR-00766</t>
  </si>
  <si>
    <t>MCI-01114</t>
  </si>
  <si>
    <t>a1L1R00000J6DNZUA3</t>
  </si>
  <si>
    <t>IDR-00871</t>
  </si>
  <si>
    <t>SPI-2 Percentage of children aged 3–59 months who received the full number of courses of SMC (3 or 4) per transmission season in the targeted areas</t>
  </si>
  <si>
    <t>SPI-2 Pourcentage d’enfants âgés de 3 à 59 mois ayant bénéficié d’une CPS complète (3 ou 4 traitements) par saison de transmission dans les zones ciblées</t>
  </si>
  <si>
    <t>SPI-2 Porcentaje de niños de entre 3 y 59 meses que recibieron cursos completos de quimioprevención de la malaria estacional (tres o cuatro) por estación de transmisión en las áreas seleccionadas</t>
  </si>
  <si>
    <t>a1L1R00000J6DNYUA3</t>
  </si>
  <si>
    <t>IDR-00870</t>
  </si>
  <si>
    <t>a1L1R00000J6DPnUAN</t>
  </si>
  <si>
    <t>IDR-01009</t>
  </si>
  <si>
    <t>Integrated reports</t>
  </si>
  <si>
    <t>Rapports intégrés</t>
  </si>
  <si>
    <t>Informes integrados</t>
  </si>
  <si>
    <t>a1L1R00000J6DPmUAN</t>
  </si>
  <si>
    <t>IDR-01008</t>
  </si>
  <si>
    <t>Malaria reports</t>
  </si>
  <si>
    <t>Rapports sur le paludisme</t>
  </si>
  <si>
    <t>Informes de malaria</t>
  </si>
  <si>
    <t>a1L1R00000J6DPlUAN</t>
  </si>
  <si>
    <t>IDR-01007</t>
  </si>
  <si>
    <t>TB reports</t>
  </si>
  <si>
    <t>Rapports sur la tuberculose</t>
  </si>
  <si>
    <t>Informes de tuberculosis</t>
  </si>
  <si>
    <t>a1L1R00000J6DPkUAN</t>
  </si>
  <si>
    <t>IDR-01006</t>
  </si>
  <si>
    <t>HIV reports</t>
  </si>
  <si>
    <t>Rapports sur le VIH</t>
  </si>
  <si>
    <t>Informes de VIH</t>
  </si>
  <si>
    <t>a1L1R00000J6DPrUAN</t>
  </si>
  <si>
    <t>IDR-01013</t>
  </si>
  <si>
    <t>a1L1R00000J6DPqUAN</t>
  </si>
  <si>
    <t>IDR-01012</t>
  </si>
  <si>
    <t>a1L1R00000J6DPpUAN</t>
  </si>
  <si>
    <t>IDR-01011</t>
  </si>
  <si>
    <t>a1L1R00000J6DPoUAN</t>
  </si>
  <si>
    <t>IDR-01010</t>
  </si>
  <si>
    <t>a1L1R00000J6DOuUAN</t>
  </si>
  <si>
    <t>IDR-00954</t>
  </si>
  <si>
    <t>a1L1R00000J6DOtUAN</t>
  </si>
  <si>
    <t>IDR-00953</t>
  </si>
  <si>
    <t>a1L1R00000J6DOsUAN</t>
  </si>
  <si>
    <t>IDR-00952</t>
  </si>
  <si>
    <t>a1L1R00000J6DOrUAN</t>
  </si>
  <si>
    <t>IDR-00951</t>
  </si>
  <si>
    <t>a1L1R00000J6DOqUAN</t>
  </si>
  <si>
    <t>IDR-00950</t>
  </si>
  <si>
    <t>a1L1R00000J6DOzUAN</t>
  </si>
  <si>
    <t>IDR-00959</t>
  </si>
  <si>
    <t>a1L1R00000J6DOyUAN</t>
  </si>
  <si>
    <t>IDR-00958</t>
  </si>
  <si>
    <t>a1L1R00000J6DOxUAN</t>
  </si>
  <si>
    <t>IDR-00957</t>
  </si>
  <si>
    <t>a1L1R00000J6DOwUAN</t>
  </si>
  <si>
    <t>IDR-00956</t>
  </si>
  <si>
    <t>a1L1R00000J6DOvUAN</t>
  </si>
  <si>
    <t>IDR-00955</t>
  </si>
  <si>
    <t>a1L1R00000J6DOiUAN</t>
  </si>
  <si>
    <t>IDR-00942</t>
  </si>
  <si>
    <t>Malnutrition</t>
  </si>
  <si>
    <t>Malnutrición</t>
  </si>
  <si>
    <t>a1L1R00000J6DOhUAN</t>
  </si>
  <si>
    <t>IDR-00941</t>
  </si>
  <si>
    <t>Diarrhoea</t>
  </si>
  <si>
    <t>Diarrhée</t>
  </si>
  <si>
    <t>Diarrea</t>
  </si>
  <si>
    <t>a1L1R00000J6DOgUAN</t>
  </si>
  <si>
    <t>IDR-00940</t>
  </si>
  <si>
    <t>Pneumonia</t>
  </si>
  <si>
    <t>Pneumonie</t>
  </si>
  <si>
    <t>Neumonía</t>
  </si>
  <si>
    <t>a1L1R00000J6DOfUAN</t>
  </si>
  <si>
    <t>IDR-00939</t>
  </si>
  <si>
    <t>Malaria</t>
  </si>
  <si>
    <t>Paludisme</t>
  </si>
  <si>
    <t>a1L1R00000J6DNLUA3</t>
  </si>
  <si>
    <t>IDR-00857</t>
  </si>
  <si>
    <t>a1L1R00000J6DNKUA3</t>
  </si>
  <si>
    <t>IDR-00856</t>
  </si>
  <si>
    <t>a1L1R00000J6DLMUA3</t>
  </si>
  <si>
    <t>IDR-00734</t>
  </si>
  <si>
    <t>a1L1R00000J6DLLUA3</t>
  </si>
  <si>
    <t>IDR-00733</t>
  </si>
  <si>
    <t>a1L1R00000J6DLKUA3</t>
  </si>
  <si>
    <t>IDR-00732</t>
  </si>
  <si>
    <t>Impact Disaggregation</t>
  </si>
  <si>
    <t>Impact Disaggregation ID</t>
  </si>
  <si>
    <t>Impact Indicator ID (Name)</t>
  </si>
  <si>
    <t>Impact Indicator Name</t>
  </si>
  <si>
    <t>Concatenation</t>
  </si>
  <si>
    <t>[Impact Disaggregation ID]</t>
  </si>
  <si>
    <t>[Impact Indicator ID (Name)]</t>
  </si>
  <si>
    <t>[Impact Indicator Name]</t>
  </si>
  <si>
    <t>[Baseline Value]</t>
  </si>
  <si>
    <t>[Baseline Year]</t>
  </si>
  <si>
    <t>[Baseline Source]</t>
  </si>
  <si>
    <t>[Comments]</t>
  </si>
  <si>
    <t>[Baseline D#]</t>
  </si>
  <si>
    <t>[Baseline N#]</t>
  </si>
  <si>
    <t>[Baseline %]</t>
  </si>
  <si>
    <t>ID-480690</t>
  </si>
  <si>
    <t>ID-480691</t>
  </si>
  <si>
    <t>ID-480692</t>
  </si>
  <si>
    <t>ID-480693</t>
  </si>
  <si>
    <t>ID-480694</t>
  </si>
  <si>
    <t>ID-480695</t>
  </si>
  <si>
    <t>ID-480696</t>
  </si>
  <si>
    <t>ID-480697</t>
  </si>
  <si>
    <t>ID-480698</t>
  </si>
  <si>
    <t>ID-480699</t>
  </si>
  <si>
    <t>ID-480700</t>
  </si>
  <si>
    <t>ID-480701</t>
  </si>
  <si>
    <t>ID-480702</t>
  </si>
  <si>
    <t>ID-480703</t>
  </si>
  <si>
    <t>ID-480704</t>
  </si>
  <si>
    <t>ID-480705</t>
  </si>
  <si>
    <t>ID-480706</t>
  </si>
  <si>
    <t>ID-480707</t>
  </si>
  <si>
    <t>ID-480708</t>
  </si>
  <si>
    <t>ID-480709</t>
  </si>
  <si>
    <t>ID-480710</t>
  </si>
  <si>
    <t>ID-480711</t>
  </si>
  <si>
    <t>ID-480712</t>
  </si>
  <si>
    <t>ID-480713</t>
  </si>
  <si>
    <t>ID-480714</t>
  </si>
  <si>
    <t>ID-480715</t>
  </si>
  <si>
    <t>ID-480716</t>
  </si>
  <si>
    <t>ID-480717</t>
  </si>
  <si>
    <t>ID-480718</t>
  </si>
  <si>
    <t>ID-480719</t>
  </si>
  <si>
    <t>ID-480720</t>
  </si>
  <si>
    <t>ID-480721</t>
  </si>
  <si>
    <t>ID-480722</t>
  </si>
  <si>
    <t>ID-480723</t>
  </si>
  <si>
    <t>ID-480724</t>
  </si>
  <si>
    <t>ID-480725</t>
  </si>
  <si>
    <t>ID-480726</t>
  </si>
  <si>
    <t>ID-480727</t>
  </si>
  <si>
    <t>ID-480728</t>
  </si>
  <si>
    <t>ID-480729</t>
  </si>
  <si>
    <t>ID-480730</t>
  </si>
  <si>
    <t>ID-480731</t>
  </si>
  <si>
    <t>ID-480732</t>
  </si>
  <si>
    <t>ID-480733</t>
  </si>
  <si>
    <t>ID-480734</t>
  </si>
  <si>
    <t>ID-480735</t>
  </si>
  <si>
    <t>ID-480736</t>
  </si>
  <si>
    <t>ID-480737</t>
  </si>
  <si>
    <t>ID-480738</t>
  </si>
  <si>
    <t>ID-480739</t>
  </si>
  <si>
    <t>ID-480740</t>
  </si>
  <si>
    <t>ID-480741</t>
  </si>
  <si>
    <t>ID-480742</t>
  </si>
  <si>
    <t>ID-480743</t>
  </si>
  <si>
    <t>ID-480744</t>
  </si>
  <si>
    <t>ID-480745</t>
  </si>
  <si>
    <t>ID-480746</t>
  </si>
  <si>
    <t>ID-480747</t>
  </si>
  <si>
    <t>ID-480748</t>
  </si>
  <si>
    <t>ID-480749</t>
  </si>
  <si>
    <t>ID-480750</t>
  </si>
  <si>
    <t>ID-480751</t>
  </si>
  <si>
    <t>ID-480752</t>
  </si>
  <si>
    <t>ID-480753</t>
  </si>
  <si>
    <t>ID-480754</t>
  </si>
  <si>
    <t>ID-480755</t>
  </si>
  <si>
    <t>ID-480756</t>
  </si>
  <si>
    <t>ID-480757</t>
  </si>
  <si>
    <t>ID-480758</t>
  </si>
  <si>
    <t>ID-480759</t>
  </si>
  <si>
    <t>ID-480760</t>
  </si>
  <si>
    <t>ID-480761</t>
  </si>
  <si>
    <t>ID-480762</t>
  </si>
  <si>
    <t>ID-480763</t>
  </si>
  <si>
    <t>ID-480764</t>
  </si>
  <si>
    <t>ID-480765</t>
  </si>
  <si>
    <t>ID-480766</t>
  </si>
  <si>
    <t>ID-480767</t>
  </si>
  <si>
    <t>ID-480768</t>
  </si>
  <si>
    <t>ID-480769</t>
  </si>
  <si>
    <t>ID-480770</t>
  </si>
  <si>
    <t>ID-480771</t>
  </si>
  <si>
    <t>ID-480772</t>
  </si>
  <si>
    <t>ID-480773</t>
  </si>
  <si>
    <t>ID-480774</t>
  </si>
  <si>
    <t>ID-480775</t>
  </si>
  <si>
    <t>ID-480776</t>
  </si>
  <si>
    <t>ID-480777</t>
  </si>
  <si>
    <t>ID-480778</t>
  </si>
  <si>
    <t>ID-480779</t>
  </si>
  <si>
    <t>ID-480780</t>
  </si>
  <si>
    <t>ID-480781</t>
  </si>
  <si>
    <t>ID-480782</t>
  </si>
  <si>
    <t>ID-480783</t>
  </si>
  <si>
    <t>ID-480784</t>
  </si>
  <si>
    <t>ID-480785</t>
  </si>
  <si>
    <t>ID-480786</t>
  </si>
  <si>
    <t>ID-480787</t>
  </si>
  <si>
    <t>ID-480788</t>
  </si>
  <si>
    <t>ID-480789</t>
  </si>
  <si>
    <t>ID-480790</t>
  </si>
  <si>
    <t>ID-480791</t>
  </si>
  <si>
    <t>ID-480792</t>
  </si>
  <si>
    <t>ID-480793</t>
  </si>
  <si>
    <t>ID-480794</t>
  </si>
  <si>
    <t>ID-480795</t>
  </si>
  <si>
    <t>ID-480796</t>
  </si>
  <si>
    <t>ID-480797</t>
  </si>
  <si>
    <t>ID-480798</t>
  </si>
  <si>
    <t>ID-480799</t>
  </si>
  <si>
    <t>ID-480800</t>
  </si>
  <si>
    <t>ID-480801</t>
  </si>
  <si>
    <t>ID-480802</t>
  </si>
  <si>
    <t>ID-480803</t>
  </si>
  <si>
    <t>ID-480804</t>
  </si>
  <si>
    <t>ID-480805</t>
  </si>
  <si>
    <t>ID-480806</t>
  </si>
  <si>
    <t>ID-480807</t>
  </si>
  <si>
    <t>ID-480808</t>
  </si>
  <si>
    <t>ID-480809</t>
  </si>
  <si>
    <t>ID-480810</t>
  </si>
  <si>
    <t>ID-480811</t>
  </si>
  <si>
    <t>ID-480812</t>
  </si>
  <si>
    <t>ID-480813</t>
  </si>
  <si>
    <t>ID-480814</t>
  </si>
  <si>
    <t>ID-480815</t>
  </si>
  <si>
    <t>ID-480816</t>
  </si>
  <si>
    <t>ID-480817</t>
  </si>
  <si>
    <t>ID-480818</t>
  </si>
  <si>
    <t>ID-480819</t>
  </si>
  <si>
    <t>ID-480820</t>
  </si>
  <si>
    <t>ID-480821</t>
  </si>
  <si>
    <t>ID-480822</t>
  </si>
  <si>
    <t>ID-480823</t>
  </si>
  <si>
    <t>ID-480824</t>
  </si>
  <si>
    <t>ID-480825</t>
  </si>
  <si>
    <t>ID-480826</t>
  </si>
  <si>
    <t>ID-480827</t>
  </si>
  <si>
    <t>ID-480828</t>
  </si>
  <si>
    <t>ID-480829</t>
  </si>
  <si>
    <t>ID-480830</t>
  </si>
  <si>
    <t>ID-480831</t>
  </si>
  <si>
    <t>ID-480832</t>
  </si>
  <si>
    <t>ID-480833</t>
  </si>
  <si>
    <t>ID-480834</t>
  </si>
  <si>
    <t>ID-480835</t>
  </si>
  <si>
    <t>ID-480836</t>
  </si>
  <si>
    <t>ID-480837</t>
  </si>
  <si>
    <t>ID-480838</t>
  </si>
  <si>
    <t>ID-480839</t>
  </si>
  <si>
    <t>Outcome Disaggregation</t>
  </si>
  <si>
    <t>Outcome Disaggregation ID</t>
  </si>
  <si>
    <t>Outcome Indicator ID (Name)</t>
  </si>
  <si>
    <t>Outcome Indicator Name</t>
  </si>
  <si>
    <t>[Outcome Disaggregation ID]</t>
  </si>
  <si>
    <t>[Outcome Indicator ID (Name)]</t>
  </si>
  <si>
    <t>[Outcome Indicator Name]</t>
  </si>
  <si>
    <t>ODN-473049</t>
  </si>
  <si>
    <t>ODN-473050</t>
  </si>
  <si>
    <t>ODN-473051</t>
  </si>
  <si>
    <t>ODN-473052</t>
  </si>
  <si>
    <t>ODN-473053</t>
  </si>
  <si>
    <t>ODN-473054</t>
  </si>
  <si>
    <t>ODN-473055</t>
  </si>
  <si>
    <t>ODN-473056</t>
  </si>
  <si>
    <t>ODN-473057</t>
  </si>
  <si>
    <t>ODN-473058</t>
  </si>
  <si>
    <t>ODN-473059</t>
  </si>
  <si>
    <t>ODN-473060</t>
  </si>
  <si>
    <t>ODN-473061</t>
  </si>
  <si>
    <t>ODN-473062</t>
  </si>
  <si>
    <t>ODN-473063</t>
  </si>
  <si>
    <t>ODN-473064</t>
  </si>
  <si>
    <t>ODN-473065</t>
  </si>
  <si>
    <t>ODN-473066</t>
  </si>
  <si>
    <t>ODN-473067</t>
  </si>
  <si>
    <t>ODN-473068</t>
  </si>
  <si>
    <t>ODN-473069</t>
  </si>
  <si>
    <t>ODN-473070</t>
  </si>
  <si>
    <t>ODN-473071</t>
  </si>
  <si>
    <t>ODN-473072</t>
  </si>
  <si>
    <t>ODN-473073</t>
  </si>
  <si>
    <t>ODN-473074</t>
  </si>
  <si>
    <t>ODN-473075</t>
  </si>
  <si>
    <t>ODN-473076</t>
  </si>
  <si>
    <t>ODN-473077</t>
  </si>
  <si>
    <t>ODN-473078</t>
  </si>
  <si>
    <t>ODN-473079</t>
  </si>
  <si>
    <t>ODN-473080</t>
  </si>
  <si>
    <t>ODN-473081</t>
  </si>
  <si>
    <t>ODN-473082</t>
  </si>
  <si>
    <t>ODN-473083</t>
  </si>
  <si>
    <t>ODN-473084</t>
  </si>
  <si>
    <t>ODN-473085</t>
  </si>
  <si>
    <t>ODN-473086</t>
  </si>
  <si>
    <t>ODN-473087</t>
  </si>
  <si>
    <t>ODN-473088</t>
  </si>
  <si>
    <t>ODN-473089</t>
  </si>
  <si>
    <t>ODN-473090</t>
  </si>
  <si>
    <t>ODN-473091</t>
  </si>
  <si>
    <t>ODN-473092</t>
  </si>
  <si>
    <t>ODN-473093</t>
  </si>
  <si>
    <t>ODN-473094</t>
  </si>
  <si>
    <t>ODN-473095</t>
  </si>
  <si>
    <t>ODN-473096</t>
  </si>
  <si>
    <t>ODN-473097</t>
  </si>
  <si>
    <t>ODN-473098</t>
  </si>
  <si>
    <t>ODN-473099</t>
  </si>
  <si>
    <t>ODN-473100</t>
  </si>
  <si>
    <t>ODN-473101</t>
  </si>
  <si>
    <t>ODN-473102</t>
  </si>
  <si>
    <t>ODN-473103</t>
  </si>
  <si>
    <t>ODN-473104</t>
  </si>
  <si>
    <t>ODN-473105</t>
  </si>
  <si>
    <t>ODN-473106</t>
  </si>
  <si>
    <t>ODN-473107</t>
  </si>
  <si>
    <t>ODN-473108</t>
  </si>
  <si>
    <t>ODN-473109</t>
  </si>
  <si>
    <t>ODN-473110</t>
  </si>
  <si>
    <t>ODN-473111</t>
  </si>
  <si>
    <t>ODN-473112</t>
  </si>
  <si>
    <t>ODN-473113</t>
  </si>
  <si>
    <t>ODN-473114</t>
  </si>
  <si>
    <t>ODN-473115</t>
  </si>
  <si>
    <t>ODN-473116</t>
  </si>
  <si>
    <t>ODN-473117</t>
  </si>
  <si>
    <t>ODN-473118</t>
  </si>
  <si>
    <t>ODN-473119</t>
  </si>
  <si>
    <t>ODN-473120</t>
  </si>
  <si>
    <t>ODN-473121</t>
  </si>
  <si>
    <t>ODN-473122</t>
  </si>
  <si>
    <t>ODN-473123</t>
  </si>
  <si>
    <t>ODN-473124</t>
  </si>
  <si>
    <t>ODN-473125</t>
  </si>
  <si>
    <t>ODN-473126</t>
  </si>
  <si>
    <t>ODN-473127</t>
  </si>
  <si>
    <t>ODN-473128</t>
  </si>
  <si>
    <t>ODN-473129</t>
  </si>
  <si>
    <t>ODN-473130</t>
  </si>
  <si>
    <t>ODN-473131</t>
  </si>
  <si>
    <t>ODN-473132</t>
  </si>
  <si>
    <t>ODN-473133</t>
  </si>
  <si>
    <t>ODN-473134</t>
  </si>
  <si>
    <t>ODN-473135</t>
  </si>
  <si>
    <t>ODN-473136</t>
  </si>
  <si>
    <t>ODN-473137</t>
  </si>
  <si>
    <t>ODN-473138</t>
  </si>
  <si>
    <t>ODN-473139</t>
  </si>
  <si>
    <t>ODN-473140</t>
  </si>
  <si>
    <t>ODN-473141</t>
  </si>
  <si>
    <t>ODN-473142</t>
  </si>
  <si>
    <t>ODN-473143</t>
  </si>
  <si>
    <t>ODN-473144</t>
  </si>
  <si>
    <t>ODN-473145</t>
  </si>
  <si>
    <t>ODN-473146</t>
  </si>
  <si>
    <t>ODN-473147</t>
  </si>
  <si>
    <t>ODN-473148</t>
  </si>
  <si>
    <t>ODN-473149</t>
  </si>
  <si>
    <t>ODN-473150</t>
  </si>
  <si>
    <t>ODN-473151</t>
  </si>
  <si>
    <t>ODN-473152</t>
  </si>
  <si>
    <t>ODN-473153</t>
  </si>
  <si>
    <t>ODN-473154</t>
  </si>
  <si>
    <t>ODN-473155</t>
  </si>
  <si>
    <t>ODN-473156</t>
  </si>
  <si>
    <t>ODN-473157</t>
  </si>
  <si>
    <t>ODN-473158</t>
  </si>
  <si>
    <t>ODN-473159</t>
  </si>
  <si>
    <t>ODN-473160</t>
  </si>
  <si>
    <t>ODN-473161</t>
  </si>
  <si>
    <t>ODN-473162</t>
  </si>
  <si>
    <t>ODN-473163</t>
  </si>
  <si>
    <t>ODN-473164</t>
  </si>
  <si>
    <t>ODN-473165</t>
  </si>
  <si>
    <t>ODN-473166</t>
  </si>
  <si>
    <t>ODN-473167</t>
  </si>
  <si>
    <t>ODN-473168</t>
  </si>
  <si>
    <t>ODN-473169</t>
  </si>
  <si>
    <t>ODN-473170</t>
  </si>
  <si>
    <t>ODN-473171</t>
  </si>
  <si>
    <t>ODN-473172</t>
  </si>
  <si>
    <t>ODN-473173</t>
  </si>
  <si>
    <t>ODN-473174</t>
  </si>
  <si>
    <t>ODN-473175</t>
  </si>
  <si>
    <t>ODN-473176</t>
  </si>
  <si>
    <t>ODN-473177</t>
  </si>
  <si>
    <t>ODN-473178</t>
  </si>
  <si>
    <t>ODN-473179</t>
  </si>
  <si>
    <t>ODN-473180</t>
  </si>
  <si>
    <t>ODN-473181</t>
  </si>
  <si>
    <t>ODN-473182</t>
  </si>
  <si>
    <t>ODN-473183</t>
  </si>
  <si>
    <t>ODN-473184</t>
  </si>
  <si>
    <t>ODN-473185</t>
  </si>
  <si>
    <t>ODN-473186</t>
  </si>
  <si>
    <t>ODN-473187</t>
  </si>
  <si>
    <t>ODN-473188</t>
  </si>
  <si>
    <t>ODN-473189</t>
  </si>
  <si>
    <t>ODN-473190</t>
  </si>
  <si>
    <t>ODN-473191</t>
  </si>
  <si>
    <t>ODN-473192</t>
  </si>
  <si>
    <t>ODN-473193</t>
  </si>
  <si>
    <t>ODN-473194</t>
  </si>
  <si>
    <t>ODN-473195</t>
  </si>
  <si>
    <t>ODN-473196</t>
  </si>
  <si>
    <t>ODN-473197</t>
  </si>
  <si>
    <t>ODN-473198</t>
  </si>
  <si>
    <t>Coverage Disaggregation</t>
  </si>
  <si>
    <t>Coverage Disaggregation ID</t>
  </si>
  <si>
    <t>Coverage Indicator (Name)</t>
  </si>
  <si>
    <t>Coverage Indicator Name</t>
  </si>
  <si>
    <t>[Coverage Disaggregation ID]</t>
  </si>
  <si>
    <t>[Coverage Indicator (Name)]</t>
  </si>
  <si>
    <t>[Coverage Indicator Name]</t>
  </si>
  <si>
    <t>[Year]</t>
  </si>
  <si>
    <t>CD-1370293</t>
  </si>
  <si>
    <t>CD-1370294</t>
  </si>
  <si>
    <t>CD-1370295</t>
  </si>
  <si>
    <t>CD-1370296</t>
  </si>
  <si>
    <t>CD-1370297</t>
  </si>
  <si>
    <t>CD-1370298</t>
  </si>
  <si>
    <t>CD-1370299</t>
  </si>
  <si>
    <t>CD-1370300</t>
  </si>
  <si>
    <t>CD-1370301</t>
  </si>
  <si>
    <t>CD-1370302</t>
  </si>
  <si>
    <t>CD-1370303</t>
  </si>
  <si>
    <t>CD-1370304</t>
  </si>
  <si>
    <t>CD-1370305</t>
  </si>
  <si>
    <t>CD-1370306</t>
  </si>
  <si>
    <t>CD-1370307</t>
  </si>
  <si>
    <t>CD-1370308</t>
  </si>
  <si>
    <t>CD-1370309</t>
  </si>
  <si>
    <t>CD-1370310</t>
  </si>
  <si>
    <t>CD-1370311</t>
  </si>
  <si>
    <t>CD-1370312</t>
  </si>
  <si>
    <t>CD-1370313</t>
  </si>
  <si>
    <t>CD-1370314</t>
  </si>
  <si>
    <t>CD-1370315</t>
  </si>
  <si>
    <t>CD-1370316</t>
  </si>
  <si>
    <t>CD-1370317</t>
  </si>
  <si>
    <t>CD-1370318</t>
  </si>
  <si>
    <t>CD-1370319</t>
  </si>
  <si>
    <t>CD-1370320</t>
  </si>
  <si>
    <t>CD-1370321</t>
  </si>
  <si>
    <t>CD-1370322</t>
  </si>
  <si>
    <t>CD-1370323</t>
  </si>
  <si>
    <t>CD-1370324</t>
  </si>
  <si>
    <t>CD-1370325</t>
  </si>
  <si>
    <t>CD-1370326</t>
  </si>
  <si>
    <t>CD-1370327</t>
  </si>
  <si>
    <t>CD-1370328</t>
  </si>
  <si>
    <t>CD-1370329</t>
  </si>
  <si>
    <t>CD-1370330</t>
  </si>
  <si>
    <t>CD-1370331</t>
  </si>
  <si>
    <t>CD-1370332</t>
  </si>
  <si>
    <t>CD-1370333</t>
  </si>
  <si>
    <t>CD-1370334</t>
  </si>
  <si>
    <t>CD-1370335</t>
  </si>
  <si>
    <t>CD-1370336</t>
  </si>
  <si>
    <t>CD-1370337</t>
  </si>
  <si>
    <t>CD-1370338</t>
  </si>
  <si>
    <t>CD-1370339</t>
  </si>
  <si>
    <t>CD-1370340</t>
  </si>
  <si>
    <t>CD-1370341</t>
  </si>
  <si>
    <t>CD-1370342</t>
  </si>
  <si>
    <t>CD-1370343</t>
  </si>
  <si>
    <t>CD-1370344</t>
  </si>
  <si>
    <t>CD-1370345</t>
  </si>
  <si>
    <t>CD-1370346</t>
  </si>
  <si>
    <t>CD-1370347</t>
  </si>
  <si>
    <t>CD-1370348</t>
  </si>
  <si>
    <t>CD-1370349</t>
  </si>
  <si>
    <t>CD-1370350</t>
  </si>
  <si>
    <t>CD-1370351</t>
  </si>
  <si>
    <t>CD-1370352</t>
  </si>
  <si>
    <t>CD-1370353</t>
  </si>
  <si>
    <t>CD-1370354</t>
  </si>
  <si>
    <t>CD-1370355</t>
  </si>
  <si>
    <t>CD-1370356</t>
  </si>
  <si>
    <t>CD-1370357</t>
  </si>
  <si>
    <t>CD-1370358</t>
  </si>
  <si>
    <t>CD-1370359</t>
  </si>
  <si>
    <t>CD-1370360</t>
  </si>
  <si>
    <t>CD-1370361</t>
  </si>
  <si>
    <t>CD-1370362</t>
  </si>
  <si>
    <t>CD-1370363</t>
  </si>
  <si>
    <t>CD-1370364</t>
  </si>
  <si>
    <t>CD-1370365</t>
  </si>
  <si>
    <t>CD-1370366</t>
  </si>
  <si>
    <t>CD-1370367</t>
  </si>
  <si>
    <t>CD-1370368</t>
  </si>
  <si>
    <t>CD-1370369</t>
  </si>
  <si>
    <t>CD-1370370</t>
  </si>
  <si>
    <t>CD-1370371</t>
  </si>
  <si>
    <t>CD-1370372</t>
  </si>
  <si>
    <t>CD-1370373</t>
  </si>
  <si>
    <t>CD-1370374</t>
  </si>
  <si>
    <t>CD-1370375</t>
  </si>
  <si>
    <t>CD-1370376</t>
  </si>
  <si>
    <t>CD-1370377</t>
  </si>
  <si>
    <t>CD-1370378</t>
  </si>
  <si>
    <t>CD-1370379</t>
  </si>
  <si>
    <t>CD-1370380</t>
  </si>
  <si>
    <t>CD-1370381</t>
  </si>
  <si>
    <t>CD-1370382</t>
  </si>
  <si>
    <t>CD-1370383</t>
  </si>
  <si>
    <t>CD-1370384</t>
  </si>
  <si>
    <t>CD-1370385</t>
  </si>
  <si>
    <t>CD-1370386</t>
  </si>
  <si>
    <t>CD-1370387</t>
  </si>
  <si>
    <t>CD-1370388</t>
  </si>
  <si>
    <t>CD-1370389</t>
  </si>
  <si>
    <t>CD-1370390</t>
  </si>
  <si>
    <t>CD-1370391</t>
  </si>
  <si>
    <t>CD-1370392</t>
  </si>
  <si>
    <t>CD-1370393</t>
  </si>
  <si>
    <t>CD-1370394</t>
  </si>
  <si>
    <t>CD-1370395</t>
  </si>
  <si>
    <t>CD-1370396</t>
  </si>
  <si>
    <t>CD-1370397</t>
  </si>
  <si>
    <t>CD-1370398</t>
  </si>
  <si>
    <t>CD-1370399</t>
  </si>
  <si>
    <t>CD-1370400</t>
  </si>
  <si>
    <t>CD-1370401</t>
  </si>
  <si>
    <t>CD-1370402</t>
  </si>
  <si>
    <t>CD-1370403</t>
  </si>
  <si>
    <t>CD-1370404</t>
  </si>
  <si>
    <t>CD-1370405</t>
  </si>
  <si>
    <t>CD-1370406</t>
  </si>
  <si>
    <t>CD-1370407</t>
  </si>
  <si>
    <t>CD-1370408</t>
  </si>
  <si>
    <t>CD-1370409</t>
  </si>
  <si>
    <t>CD-1370410</t>
  </si>
  <si>
    <t>CD-1370411</t>
  </si>
  <si>
    <t>CD-1370412</t>
  </si>
  <si>
    <t>CD-1370413</t>
  </si>
  <si>
    <t>CD-1370414</t>
  </si>
  <si>
    <t>CD-1370415</t>
  </si>
  <si>
    <t>CD-1370416</t>
  </si>
  <si>
    <t>CD-1370417</t>
  </si>
  <si>
    <t>CD-1370418</t>
  </si>
  <si>
    <t>CD-1370419</t>
  </si>
  <si>
    <t>CD-1370420</t>
  </si>
  <si>
    <t>CD-1370421</t>
  </si>
  <si>
    <t>CD-1370422</t>
  </si>
  <si>
    <t>CD-1370423</t>
  </si>
  <si>
    <t>CD-1370424</t>
  </si>
  <si>
    <t>CD-1370425</t>
  </si>
  <si>
    <t>CD-1370426</t>
  </si>
  <si>
    <t>CD-1370427</t>
  </si>
  <si>
    <t>CD-1370428</t>
  </si>
  <si>
    <t>CD-1370429</t>
  </si>
  <si>
    <t>CD-1370430</t>
  </si>
  <si>
    <t>CD-1370431</t>
  </si>
  <si>
    <t>CD-1370432</t>
  </si>
  <si>
    <t>CD-1370433</t>
  </si>
  <si>
    <t>CD-1370434</t>
  </si>
  <si>
    <t>CD-1370435</t>
  </si>
  <si>
    <t>CD-1370436</t>
  </si>
  <si>
    <t>CD-1370437</t>
  </si>
  <si>
    <t>CD-1370438</t>
  </si>
  <si>
    <t>CD-1370439</t>
  </si>
  <si>
    <t>CD-1370440</t>
  </si>
  <si>
    <t>CD-1370441</t>
  </si>
  <si>
    <t>CD-1370442</t>
  </si>
  <si>
    <t>CD-1370443</t>
  </si>
  <si>
    <t>CD-1370444</t>
  </si>
  <si>
    <t>CD-1370445</t>
  </si>
  <si>
    <t>CD-1370446</t>
  </si>
  <si>
    <t>CD-1370447</t>
  </si>
  <si>
    <t>CD-1370448</t>
  </si>
  <si>
    <t>CD-1370449</t>
  </si>
  <si>
    <t>CD-1370450</t>
  </si>
  <si>
    <t>CD-1370451</t>
  </si>
  <si>
    <t>CD-1370452</t>
  </si>
  <si>
    <t>CD-1370453</t>
  </si>
  <si>
    <t>CD-1370454</t>
  </si>
  <si>
    <t>CD-1370455</t>
  </si>
  <si>
    <t>CD-1370456</t>
  </si>
  <si>
    <t>CD-1370457</t>
  </si>
  <si>
    <t>CD-1370458</t>
  </si>
  <si>
    <t>CD-1370459</t>
  </si>
  <si>
    <t>CD-1370460</t>
  </si>
  <si>
    <t>CD-1370461</t>
  </si>
  <si>
    <t>CD-1370462</t>
  </si>
  <si>
    <t>CD-1370463</t>
  </si>
  <si>
    <t>CD-1370464</t>
  </si>
  <si>
    <t>CD-1370465</t>
  </si>
  <si>
    <t>CD-1370466</t>
  </si>
  <si>
    <t>CD-1370467</t>
  </si>
  <si>
    <t>CD-1370468</t>
  </si>
  <si>
    <t>CD-1370469</t>
  </si>
  <si>
    <t>CD-1370470</t>
  </si>
  <si>
    <t>CD-1370471</t>
  </si>
  <si>
    <t>CD-1370472</t>
  </si>
  <si>
    <t>CD-1370473</t>
  </si>
  <si>
    <t>CD-1370474</t>
  </si>
  <si>
    <t>CD-1370475</t>
  </si>
  <si>
    <t>CD-1370476</t>
  </si>
  <si>
    <t>CD-1370477</t>
  </si>
  <si>
    <t>CD-1370478</t>
  </si>
  <si>
    <t>CD-1370479</t>
  </si>
  <si>
    <t>CD-1370480</t>
  </si>
  <si>
    <t>CD-1370481</t>
  </si>
  <si>
    <t>CD-1370482</t>
  </si>
  <si>
    <t>CD-1370483</t>
  </si>
  <si>
    <t>CD-1370484</t>
  </si>
  <si>
    <t>CD-1370485</t>
  </si>
  <si>
    <t>CD-1370486</t>
  </si>
  <si>
    <t>CD-1370487</t>
  </si>
  <si>
    <t>CD-1370488</t>
  </si>
  <si>
    <t>CD-1370489</t>
  </si>
  <si>
    <t>CD-1370490</t>
  </si>
  <si>
    <t>CD-1370491</t>
  </si>
  <si>
    <t>CD-1370492</t>
  </si>
  <si>
    <t>CD-1370493</t>
  </si>
  <si>
    <t>CD-1370494</t>
  </si>
  <si>
    <t>CD-1370495</t>
  </si>
  <si>
    <t>CD-1370496</t>
  </si>
  <si>
    <t>CD-1370497</t>
  </si>
  <si>
    <t>CD-1370498</t>
  </si>
  <si>
    <t>CD-1370499</t>
  </si>
  <si>
    <t>CD-1370500</t>
  </si>
  <si>
    <t>CD-1370501</t>
  </si>
  <si>
    <t>CD-1370502</t>
  </si>
  <si>
    <t>CD-1370503</t>
  </si>
  <si>
    <t>CD-1370504</t>
  </si>
  <si>
    <t>CD-1370505</t>
  </si>
  <si>
    <t>CD-1370506</t>
  </si>
  <si>
    <t>CD-1370507</t>
  </si>
  <si>
    <t>CD-1370508</t>
  </si>
  <si>
    <t>CD-1370509</t>
  </si>
  <si>
    <t>CD-1370510</t>
  </si>
  <si>
    <t>CD-1370511</t>
  </si>
  <si>
    <t>CD-1370512</t>
  </si>
  <si>
    <t>CD-1370513</t>
  </si>
  <si>
    <t>CD-1370514</t>
  </si>
  <si>
    <t>CD-1370515</t>
  </si>
  <si>
    <t>CD-1370516</t>
  </si>
  <si>
    <t>CD-1370517</t>
  </si>
  <si>
    <t>CD-1370518</t>
  </si>
  <si>
    <t>CD-1370519</t>
  </si>
  <si>
    <t>CD-1370520</t>
  </si>
  <si>
    <t>CD-1370521</t>
  </si>
  <si>
    <t>CD-1370522</t>
  </si>
  <si>
    <t>CD-1370523</t>
  </si>
  <si>
    <t>CD-1370524</t>
  </si>
  <si>
    <t>CD-1370525</t>
  </si>
  <si>
    <t>CD-1370526</t>
  </si>
  <si>
    <t>CD-1370527</t>
  </si>
  <si>
    <t>CD-1370528</t>
  </si>
  <si>
    <t>CD-1370529</t>
  </si>
  <si>
    <t>CD-1370530</t>
  </si>
  <si>
    <t>CD-1370531</t>
  </si>
  <si>
    <t>CD-1370532</t>
  </si>
  <si>
    <t>CD-1370533</t>
  </si>
  <si>
    <t>CD-1370534</t>
  </si>
  <si>
    <t>CD-1370535</t>
  </si>
  <si>
    <t>CD-1370536</t>
  </si>
  <si>
    <t>CD-1370537</t>
  </si>
  <si>
    <t>CD-1370538</t>
  </si>
  <si>
    <t>CD-1370539</t>
  </si>
  <si>
    <t>CD-1370540</t>
  </si>
  <si>
    <t>CD-1370541</t>
  </si>
  <si>
    <t>CD-1370542</t>
  </si>
  <si>
    <t>CD-1370543</t>
  </si>
  <si>
    <t>CD-1370544</t>
  </si>
  <si>
    <t>CD-1370545</t>
  </si>
  <si>
    <t>CD-1370546</t>
  </si>
  <si>
    <t>CD-1370547</t>
  </si>
  <si>
    <t>CD-1370548</t>
  </si>
  <si>
    <t>CD-1370549</t>
  </si>
  <si>
    <t>CD-1370550</t>
  </si>
  <si>
    <t>CD-1370551</t>
  </si>
  <si>
    <t>CD-1370552</t>
  </si>
  <si>
    <t>CD-1370553</t>
  </si>
  <si>
    <t>CD-1370554</t>
  </si>
  <si>
    <t>CD-1370555</t>
  </si>
  <si>
    <t>CD-1370556</t>
  </si>
  <si>
    <t>CD-1370557</t>
  </si>
  <si>
    <t>CD-1370558</t>
  </si>
  <si>
    <t>CD-1370559</t>
  </si>
  <si>
    <t>CD-1370560</t>
  </si>
  <si>
    <t>CD-1370561</t>
  </si>
  <si>
    <t>CD-1370562</t>
  </si>
  <si>
    <t>CD-1370563</t>
  </si>
  <si>
    <t>CD-1370564</t>
  </si>
  <si>
    <t>CD-1370565</t>
  </si>
  <si>
    <t>CD-1370566</t>
  </si>
  <si>
    <t>CD-1370567</t>
  </si>
  <si>
    <t>CD-1370568</t>
  </si>
  <si>
    <t>CD-1370569</t>
  </si>
  <si>
    <t>CD-1370570</t>
  </si>
  <si>
    <t>CD-1370571</t>
  </si>
  <si>
    <t>CD-1370572</t>
  </si>
  <si>
    <t>CD-1370573</t>
  </si>
  <si>
    <t>CD-1370574</t>
  </si>
  <si>
    <t>CD-1370575</t>
  </si>
  <si>
    <t>CD-1370576</t>
  </si>
  <si>
    <t>CD-1370577</t>
  </si>
  <si>
    <t>CD-1370578</t>
  </si>
  <si>
    <t>CD-1370579</t>
  </si>
  <si>
    <t>CD-1370580</t>
  </si>
  <si>
    <t>CD-1370581</t>
  </si>
  <si>
    <t>CD-1370582</t>
  </si>
  <si>
    <t>CD-1370583</t>
  </si>
  <si>
    <t>CD-1370584</t>
  </si>
  <si>
    <t>CD-1370585</t>
  </si>
  <si>
    <t>CD-1370586</t>
  </si>
  <si>
    <t>CD-1370587</t>
  </si>
  <si>
    <t>CD-1370588</t>
  </si>
  <si>
    <t>CD-1370589</t>
  </si>
  <si>
    <t>CD-1370590</t>
  </si>
  <si>
    <t>CD-1370591</t>
  </si>
  <si>
    <t>CD-1370592</t>
  </si>
  <si>
    <t>CD-1370593</t>
  </si>
  <si>
    <t>CD-1370594</t>
  </si>
  <si>
    <t>CD-1370595</t>
  </si>
  <si>
    <t>CD-1370596</t>
  </si>
  <si>
    <t>CD-1370597</t>
  </si>
  <si>
    <t>CD-1370598</t>
  </si>
  <si>
    <t>CD-1370599</t>
  </si>
  <si>
    <t>CD-1370600</t>
  </si>
  <si>
    <t>CD-1370601</t>
  </si>
  <si>
    <t>CD-1370602</t>
  </si>
  <si>
    <t>CD-1370603</t>
  </si>
  <si>
    <t>CD-1370604</t>
  </si>
  <si>
    <t>CD-1370605</t>
  </si>
  <si>
    <t>CD-1370606</t>
  </si>
  <si>
    <t>CD-1370607</t>
  </si>
  <si>
    <t>CD-1370608</t>
  </si>
  <si>
    <t>CD-1370609</t>
  </si>
  <si>
    <t>CD-1370610</t>
  </si>
  <si>
    <t>CD-1370611</t>
  </si>
  <si>
    <t>CD-1370612</t>
  </si>
  <si>
    <t>CD-1370613</t>
  </si>
  <si>
    <t>CD-1370614</t>
  </si>
  <si>
    <t>CD-1370615</t>
  </si>
  <si>
    <t>CD-1370616</t>
  </si>
  <si>
    <t>CD-1370617</t>
  </si>
  <si>
    <t>CD-1370618</t>
  </si>
  <si>
    <t>CD-1370619</t>
  </si>
  <si>
    <t>CD-1370620</t>
  </si>
  <si>
    <t>CD-1370621</t>
  </si>
  <si>
    <t>CD-1370622</t>
  </si>
  <si>
    <t>CD-1370623</t>
  </si>
  <si>
    <t>CD-1370624</t>
  </si>
  <si>
    <t>CD-1370625</t>
  </si>
  <si>
    <t>CD-1370626</t>
  </si>
  <si>
    <t>CD-1370627</t>
  </si>
  <si>
    <t>CD-1370628</t>
  </si>
  <si>
    <t>CD-1370629</t>
  </si>
  <si>
    <t>CD-1370630</t>
  </si>
  <si>
    <t>CD-1370631</t>
  </si>
  <si>
    <t>CD-1370632</t>
  </si>
  <si>
    <t>CD-1370633</t>
  </si>
  <si>
    <t>CD-1370634</t>
  </si>
  <si>
    <t>CD-1370635</t>
  </si>
  <si>
    <t>CD-1370636</t>
  </si>
  <si>
    <t>CD-1370637</t>
  </si>
  <si>
    <t>CD-1370638</t>
  </si>
  <si>
    <t>CD-1370639</t>
  </si>
  <si>
    <t>CD-1370640</t>
  </si>
  <si>
    <t>CD-1370641</t>
  </si>
  <si>
    <t>CD-1370642</t>
  </si>
  <si>
    <t>CD-1370643</t>
  </si>
  <si>
    <t>CD-1370644</t>
  </si>
  <si>
    <t>CD-1370645</t>
  </si>
  <si>
    <t>CD-1370646</t>
  </si>
  <si>
    <t>CD-1370647</t>
  </si>
  <si>
    <t>CD-1370648</t>
  </si>
  <si>
    <t>CD-1370649</t>
  </si>
  <si>
    <t>CD-1370650</t>
  </si>
  <si>
    <t>CD-1370651</t>
  </si>
  <si>
    <t>CD-1370652</t>
  </si>
  <si>
    <t>CD-1370653</t>
  </si>
  <si>
    <t>CD-1370654</t>
  </si>
  <si>
    <t>CD-1370655</t>
  </si>
  <si>
    <t>CD-1370656</t>
  </si>
  <si>
    <t>CD-1370657</t>
  </si>
  <si>
    <t>CD-1370658</t>
  </si>
  <si>
    <t>CD-1370659</t>
  </si>
  <si>
    <t>CD-1370660</t>
  </si>
  <si>
    <t>CD-1370661</t>
  </si>
  <si>
    <t>CD-1370662</t>
  </si>
  <si>
    <t>CD-1370663</t>
  </si>
  <si>
    <t>CD-1370664</t>
  </si>
  <si>
    <t>CD-1370665</t>
  </si>
  <si>
    <t>CD-1370666</t>
  </si>
  <si>
    <t>CD-1370667</t>
  </si>
  <si>
    <t>CD-1370668</t>
  </si>
  <si>
    <t>CD-1370669</t>
  </si>
  <si>
    <t>CD-1370670</t>
  </si>
  <si>
    <t>CD-1370671</t>
  </si>
  <si>
    <t>CD-1370672</t>
  </si>
  <si>
    <t>CD-1370673</t>
  </si>
  <si>
    <t>CD-1370674</t>
  </si>
  <si>
    <t>CD-1370675</t>
  </si>
  <si>
    <t>CD-1370676</t>
  </si>
  <si>
    <t>CD-1370677</t>
  </si>
  <si>
    <t>CD-1370678</t>
  </si>
  <si>
    <t>CD-1370679</t>
  </si>
  <si>
    <t>CD-1370680</t>
  </si>
  <si>
    <t>CD-1370681</t>
  </si>
  <si>
    <t>CD-1370682</t>
  </si>
  <si>
    <t>CD-1370683</t>
  </si>
  <si>
    <t>CD-1370684</t>
  </si>
  <si>
    <t>CD-1370685</t>
  </si>
  <si>
    <t>CD-1370686</t>
  </si>
  <si>
    <t>CD-1370687</t>
  </si>
  <si>
    <t>CD-1370688</t>
  </si>
  <si>
    <t>CD-1370689</t>
  </si>
  <si>
    <t>CD-1370690</t>
  </si>
  <si>
    <t>CD-1370691</t>
  </si>
  <si>
    <t>CD-1370692</t>
  </si>
  <si>
    <t>CD-1370693</t>
  </si>
  <si>
    <t>CD-1370694</t>
  </si>
  <si>
    <t>CD-1370695</t>
  </si>
  <si>
    <t>CD-1370696</t>
  </si>
  <si>
    <t>CD-1370697</t>
  </si>
  <si>
    <t>CD-1370698</t>
  </si>
  <si>
    <t>CD-1370699</t>
  </si>
  <si>
    <t>CD-1370700</t>
  </si>
  <si>
    <t>CD-1370701</t>
  </si>
  <si>
    <t>CD-1370702</t>
  </si>
  <si>
    <t>CD-1370703</t>
  </si>
  <si>
    <t>CD-1370704</t>
  </si>
  <si>
    <t>CD-1370705</t>
  </si>
  <si>
    <t>CD-1370706</t>
  </si>
  <si>
    <t>CD-1370707</t>
  </si>
  <si>
    <t>CD-1370708</t>
  </si>
  <si>
    <t>CD-1370709</t>
  </si>
  <si>
    <t>CD-1370710</t>
  </si>
  <si>
    <t>CD-1370711</t>
  </si>
  <si>
    <t>CD-1370712</t>
  </si>
  <si>
    <t>CD-1370713</t>
  </si>
  <si>
    <t>CD-1370714</t>
  </si>
  <si>
    <t>CD-1370715</t>
  </si>
  <si>
    <t>CD-1370716</t>
  </si>
  <si>
    <t>CD-1370717</t>
  </si>
  <si>
    <t>CD-1370718</t>
  </si>
  <si>
    <t>CD-1370719</t>
  </si>
  <si>
    <t>CD-1370720</t>
  </si>
  <si>
    <t>CD-1370721</t>
  </si>
  <si>
    <t>CD-1370722</t>
  </si>
  <si>
    <t>CD-1370723</t>
  </si>
  <si>
    <t>CD-1370724</t>
  </si>
  <si>
    <t>CD-1370725</t>
  </si>
  <si>
    <t>CD-1370726</t>
  </si>
  <si>
    <t>CD-1370727</t>
  </si>
  <si>
    <t>CD-1370728</t>
  </si>
  <si>
    <t>CD-1370729</t>
  </si>
  <si>
    <t>CD-1370730</t>
  </si>
  <si>
    <t>CD-1370731</t>
  </si>
  <si>
    <t>CD-1370732</t>
  </si>
  <si>
    <t>CD-1370733</t>
  </si>
  <si>
    <t>CD-1370734</t>
  </si>
  <si>
    <t>CD-1370735</t>
  </si>
  <si>
    <t>CD-1370736</t>
  </si>
  <si>
    <t>CD-1370737</t>
  </si>
  <si>
    <t>CD-1370738</t>
  </si>
  <si>
    <t>CD-1370739</t>
  </si>
  <si>
    <t>CD-1370740</t>
  </si>
  <si>
    <t>CD-1370741</t>
  </si>
  <si>
    <t>CD-1370742</t>
  </si>
  <si>
    <t>CD-1370743</t>
  </si>
  <si>
    <t>CD-1370744</t>
  </si>
  <si>
    <t>CD-1370745</t>
  </si>
  <si>
    <t>CD-1370746</t>
  </si>
  <si>
    <t>CD-1370747</t>
  </si>
  <si>
    <t>CD-1370748</t>
  </si>
  <si>
    <t>CD-1370749</t>
  </si>
  <si>
    <t>CD-1370750</t>
  </si>
  <si>
    <t>CD-1370751</t>
  </si>
  <si>
    <t>CD-1370752</t>
  </si>
  <si>
    <t>CD-1370753</t>
  </si>
  <si>
    <t>CD-1370754</t>
  </si>
  <si>
    <t>CD-1370755</t>
  </si>
  <si>
    <t>CD-1370756</t>
  </si>
  <si>
    <t>CD-1370757</t>
  </si>
  <si>
    <t>CD-1370758</t>
  </si>
  <si>
    <t>CD-1370759</t>
  </si>
  <si>
    <t>CD-1370760</t>
  </si>
  <si>
    <t>CD-1370761</t>
  </si>
  <si>
    <t>CD-1370762</t>
  </si>
  <si>
    <t>CD-1370763</t>
  </si>
  <si>
    <t>CD-1370764</t>
  </si>
  <si>
    <t>CD-1370765</t>
  </si>
  <si>
    <t>CD-1370766</t>
  </si>
  <si>
    <t>CD-1370767</t>
  </si>
  <si>
    <t>CD-1370768</t>
  </si>
  <si>
    <t>CD-1370769</t>
  </si>
  <si>
    <t>CD-1370770</t>
  </si>
  <si>
    <t>CD-1370771</t>
  </si>
  <si>
    <t>CD-1370772</t>
  </si>
  <si>
    <t>CD-1370773</t>
  </si>
  <si>
    <t>CD-1370774</t>
  </si>
  <si>
    <t>CD-1370775</t>
  </si>
  <si>
    <t>CD-1370776</t>
  </si>
  <si>
    <t>CD-1370777</t>
  </si>
  <si>
    <t>CD-1370778</t>
  </si>
  <si>
    <t>CD-1370779</t>
  </si>
  <si>
    <t>CD-1370780</t>
  </si>
  <si>
    <t>CD-1370781</t>
  </si>
  <si>
    <t>CD-1370782</t>
  </si>
  <si>
    <t>CD-1370783</t>
  </si>
  <si>
    <t>CD-1370784</t>
  </si>
  <si>
    <t>CD-1370785</t>
  </si>
  <si>
    <t>CD-1370786</t>
  </si>
  <si>
    <t>CD-1370787</t>
  </si>
  <si>
    <t>CD-1370788</t>
  </si>
  <si>
    <t>CD-1370789</t>
  </si>
  <si>
    <t>CD-1370790</t>
  </si>
  <si>
    <t>CD-1370791</t>
  </si>
  <si>
    <t>CD-1370792</t>
  </si>
  <si>
    <t>CD-1370793</t>
  </si>
  <si>
    <t>CD-1370794</t>
  </si>
  <si>
    <t>CD-1370795</t>
  </si>
  <si>
    <t>CD-1370796</t>
  </si>
  <si>
    <t>CD-1370797</t>
  </si>
  <si>
    <t>CD-1370798</t>
  </si>
  <si>
    <t>CD-1370799</t>
  </si>
  <si>
    <t>CD-1370800</t>
  </si>
  <si>
    <t>CD-1370801</t>
  </si>
  <si>
    <t>CD-1370802</t>
  </si>
  <si>
    <t>CD-1370803</t>
  </si>
  <si>
    <t>CD-1370804</t>
  </si>
  <si>
    <t>CD-1370805</t>
  </si>
  <si>
    <t>CD-1370806</t>
  </si>
  <si>
    <t>CD-1370807</t>
  </si>
  <si>
    <t>CD-1370808</t>
  </si>
  <si>
    <t>CD-1370809</t>
  </si>
  <si>
    <t>CD-1370810</t>
  </si>
  <si>
    <t>CD-1370811</t>
  </si>
  <si>
    <t>CD-1370812</t>
  </si>
  <si>
    <t>CD-1370813</t>
  </si>
  <si>
    <t>CD-1370814</t>
  </si>
  <si>
    <t>CD-1370815</t>
  </si>
  <si>
    <t>CD-1370816</t>
  </si>
  <si>
    <t>CD-1370817</t>
  </si>
  <si>
    <t>CD-1370818</t>
  </si>
  <si>
    <t>CD-1370819</t>
  </si>
  <si>
    <t>CD-1370820</t>
  </si>
  <si>
    <t>CD-1370821</t>
  </si>
  <si>
    <t>CD-1370822</t>
  </si>
  <si>
    <t>CD-1370823</t>
  </si>
  <si>
    <t>CD-1370824</t>
  </si>
  <si>
    <t>CD-1370825</t>
  </si>
  <si>
    <t>CD-1370826</t>
  </si>
  <si>
    <t>CD-1370827</t>
  </si>
  <si>
    <t>CD-1370828</t>
  </si>
  <si>
    <t>CD-1370829</t>
  </si>
  <si>
    <t>CD-1370830</t>
  </si>
  <si>
    <t>CD-1370831</t>
  </si>
  <si>
    <t>CD-1370832</t>
  </si>
  <si>
    <t>CD-1370833</t>
  </si>
  <si>
    <t>CD-1370834</t>
  </si>
  <si>
    <t>CD-1370835</t>
  </si>
  <si>
    <t>CD-1370836</t>
  </si>
  <si>
    <t>CD-1370837</t>
  </si>
  <si>
    <t>CD-1370838</t>
  </si>
  <si>
    <t>CD-1370839</t>
  </si>
  <si>
    <t>CD-1370840</t>
  </si>
  <si>
    <t>CD-1370841</t>
  </si>
  <si>
    <t>CD-1370842</t>
  </si>
  <si>
    <t>CD-1370843</t>
  </si>
  <si>
    <t>CD-1370844</t>
  </si>
  <si>
    <t>CD-1370845</t>
  </si>
  <si>
    <t>CD-1370846</t>
  </si>
  <si>
    <t>CD-1370847</t>
  </si>
  <si>
    <t>CD-1370848</t>
  </si>
  <si>
    <t>CD-1370849</t>
  </si>
  <si>
    <t>CD-1370850</t>
  </si>
  <si>
    <t>CD-1370851</t>
  </si>
  <si>
    <t>CD-1370852</t>
  </si>
  <si>
    <t>CD-1370853</t>
  </si>
  <si>
    <t>CD-1370854</t>
  </si>
  <si>
    <t>CD-1370855</t>
  </si>
  <si>
    <t>CD-1370856</t>
  </si>
  <si>
    <t>CD-1370857</t>
  </si>
  <si>
    <t>CD-1370858</t>
  </si>
  <si>
    <t>CD-1370859</t>
  </si>
  <si>
    <t>CD-1370860</t>
  </si>
  <si>
    <t>CD-1370861</t>
  </si>
  <si>
    <t>CD-1370862</t>
  </si>
  <si>
    <t>CD-1370863</t>
  </si>
  <si>
    <t>CD-1370864</t>
  </si>
  <si>
    <t>CD-1370865</t>
  </si>
  <si>
    <t>CD-1370866</t>
  </si>
  <si>
    <t>CD-1370867</t>
  </si>
  <si>
    <t>CD-1370868</t>
  </si>
  <si>
    <t>CD-1370869</t>
  </si>
  <si>
    <t>CD-1370870</t>
  </si>
  <si>
    <t>CD-1370871</t>
  </si>
  <si>
    <t>CD-1370872</t>
  </si>
  <si>
    <t>CD-1370873</t>
  </si>
  <si>
    <t>CD-1370874</t>
  </si>
  <si>
    <t>CD-1370875</t>
  </si>
  <si>
    <t>CD-1370876</t>
  </si>
  <si>
    <t>CD-1370877</t>
  </si>
  <si>
    <t>CD-1370878</t>
  </si>
  <si>
    <t>CD-1370879</t>
  </si>
  <si>
    <t>CD-1370880</t>
  </si>
  <si>
    <t>CD-1370881</t>
  </si>
  <si>
    <t>CD-1370882</t>
  </si>
  <si>
    <t>CD-1370883</t>
  </si>
  <si>
    <t>CD-1370884</t>
  </si>
  <si>
    <t>CD-1370885</t>
  </si>
  <si>
    <t>CD-1370886</t>
  </si>
  <si>
    <t>CD-1370887</t>
  </si>
  <si>
    <t>CD-1370888</t>
  </si>
  <si>
    <t>CD-1370889</t>
  </si>
  <si>
    <t>CD-1370890</t>
  </si>
  <si>
    <t>CD-1370891</t>
  </si>
  <si>
    <t>CD-1370892</t>
  </si>
  <si>
    <t>Quering Account Role for Single Country</t>
  </si>
  <si>
    <t>Account</t>
  </si>
  <si>
    <t>AR-06744</t>
  </si>
  <si>
    <t>0013600000xoEImAAM</t>
  </si>
  <si>
    <t>a121R00000EswbQQAR</t>
  </si>
  <si>
    <t>AR-00963</t>
  </si>
  <si>
    <t>a1236000007WBbOAAW</t>
  </si>
  <si>
    <t>AR-00962</t>
  </si>
  <si>
    <t>a1236000007WBbNAAW</t>
  </si>
  <si>
    <t>AR-00964</t>
  </si>
  <si>
    <t>Humanist Institute for Co-operation with Developing Countries</t>
  </si>
  <si>
    <t>0013600000xoEGvAAM</t>
  </si>
  <si>
    <t>a1236000007WBbPAAW</t>
  </si>
  <si>
    <t>AR-01311</t>
  </si>
  <si>
    <t>Asociación Protección a la Salud</t>
  </si>
  <si>
    <t>0013600000xoEICAA2</t>
  </si>
  <si>
    <t>a1236000007WBh0AAG</t>
  </si>
  <si>
    <t>AR-01207</t>
  </si>
  <si>
    <t>a1236000007WBfKAAW</t>
  </si>
  <si>
    <t>AR-02558</t>
  </si>
  <si>
    <t>a1236000007WC17AAG</t>
  </si>
  <si>
    <t>AR-06084</t>
  </si>
  <si>
    <t>a123600000FTyiwAAD</t>
  </si>
  <si>
    <t>AR-06085</t>
  </si>
  <si>
    <t>a123600000FTytAAAT</t>
  </si>
  <si>
    <t>AR-10689</t>
  </si>
  <si>
    <t>a123p000007FewmAAC</t>
  </si>
  <si>
    <t>Querying Account Role for Group of countries</t>
  </si>
  <si>
    <t>AR-07339</t>
  </si>
  <si>
    <t>Kazakh scientific center of dermatology and infectious diseases of the Ministry of Health of the Republic of Kazakhstan</t>
  </si>
  <si>
    <t>0013600000xoEIZAA2</t>
  </si>
  <si>
    <t>AR-01446</t>
  </si>
  <si>
    <t>Project HOPE  - the People to People Health Foundation</t>
  </si>
  <si>
    <t>0013600000xoEKBAA2</t>
  </si>
  <si>
    <t>AR-01444</t>
  </si>
  <si>
    <t>RSE on REU “National Scientific Center of Phthisiopulmonology of the Republic of  Kazakhstan” of the Ministry of Health of the Republic of  Kazakhstan</t>
  </si>
  <si>
    <t>0013600000xoEFqAAM</t>
  </si>
  <si>
    <t>AR-01445</t>
  </si>
  <si>
    <t>AR-02572</t>
  </si>
  <si>
    <t>AR-06232</t>
  </si>
  <si>
    <t>AR-01028</t>
  </si>
  <si>
    <t>0013600000xoEIwAAM</t>
  </si>
  <si>
    <t>AR-01029</t>
  </si>
  <si>
    <t>AR-01030</t>
  </si>
  <si>
    <t>AR-01618</t>
  </si>
  <si>
    <t>0013600000xoEGGAA2</t>
  </si>
  <si>
    <t>AR-01027</t>
  </si>
  <si>
    <t>AR-04177</t>
  </si>
  <si>
    <t>AR-01617</t>
  </si>
  <si>
    <t>AR-01620</t>
  </si>
  <si>
    <t>Republican Center of Tuberculosis Control - Tajikistan</t>
  </si>
  <si>
    <t>0013600000xoEKeAAM</t>
  </si>
  <si>
    <t>AR-01164</t>
  </si>
  <si>
    <t>0013600000xoEJ2AAM</t>
  </si>
  <si>
    <t>AR-01212</t>
  </si>
  <si>
    <t>AR-01619</t>
  </si>
  <si>
    <t>AR-02643</t>
  </si>
  <si>
    <t>AR-02645</t>
  </si>
  <si>
    <t>AR-08713</t>
  </si>
  <si>
    <t>AR-01213</t>
  </si>
  <si>
    <t>0013600000xoEIxAAM</t>
  </si>
  <si>
    <t>AR-01166</t>
  </si>
  <si>
    <t>AR-06750</t>
  </si>
  <si>
    <t>Republican Specialized Scientific-Practical Medical Center of Phthisiology and Pulmonology</t>
  </si>
  <si>
    <t>0011R00002AIPnkQAH</t>
  </si>
  <si>
    <t>AR-03357</t>
  </si>
  <si>
    <t>AR-03420</t>
  </si>
  <si>
    <t>AR-03421</t>
  </si>
  <si>
    <t>AR-03510</t>
  </si>
  <si>
    <t>AR-07593</t>
  </si>
  <si>
    <t>AR-08389</t>
  </si>
  <si>
    <t>AR-08148</t>
  </si>
  <si>
    <t>AR-08084</t>
  </si>
  <si>
    <t>AR-03114</t>
  </si>
  <si>
    <t>AR-07859</t>
  </si>
  <si>
    <t>Republican Center to Fight AIDS</t>
  </si>
  <si>
    <t>0013600000xoEKzAAM</t>
  </si>
  <si>
    <t>AR-02650</t>
  </si>
  <si>
    <t>Republican Center of State Sanitary-Epidemiological Surveillance of the Republic of Uzbekistan</t>
  </si>
  <si>
    <t>0013600000xoEIaAAM</t>
  </si>
  <si>
    <t>AR-01640</t>
  </si>
  <si>
    <t>Republican DOTS Centre  Ministry of Health of the Republic of Uzbekistan</t>
  </si>
  <si>
    <t>0013600000xoEI1AAM</t>
  </si>
  <si>
    <t>AR-01638</t>
  </si>
  <si>
    <t>AR-01170</t>
  </si>
  <si>
    <t>0013600000xoEJ6AAM</t>
  </si>
  <si>
    <t>AR-01580</t>
  </si>
  <si>
    <t>AR-01639</t>
  </si>
  <si>
    <t>AR-09305</t>
  </si>
  <si>
    <t>AR-01493</t>
  </si>
  <si>
    <t>Ministry of Health of Mongolia</t>
  </si>
  <si>
    <t>0013600000xoEIFAA2</t>
  </si>
  <si>
    <t>AR-01494</t>
  </si>
  <si>
    <t>AR-03429</t>
  </si>
  <si>
    <t>AR-08547</t>
  </si>
  <si>
    <t>AR-01621</t>
  </si>
  <si>
    <t>Ministry of Health of the Democratic Republic of Timor-Leste</t>
  </si>
  <si>
    <t>0013600000xoEIeAAM</t>
  </si>
  <si>
    <t>AR-01623</t>
  </si>
  <si>
    <t>AR-01622</t>
  </si>
  <si>
    <t>AR-03033</t>
  </si>
  <si>
    <t>AR-03078</t>
  </si>
  <si>
    <t>AR-07922</t>
  </si>
  <si>
    <t>Ministry of Health of the Royal Government of Bhutan</t>
  </si>
  <si>
    <t>0013600000xoEHnAAM</t>
  </si>
  <si>
    <t>AR-08304</t>
  </si>
  <si>
    <t>AR-01315</t>
  </si>
  <si>
    <t>AR-01316</t>
  </si>
  <si>
    <t>AR-01317</t>
  </si>
  <si>
    <t>AR-04421</t>
  </si>
  <si>
    <t>AR-04430</t>
  </si>
  <si>
    <t>AR-04439</t>
  </si>
  <si>
    <t>AR-01277</t>
  </si>
  <si>
    <t>Ministry of Health of the Republic of Armenia</t>
  </si>
  <si>
    <t>0013600000xoEHJAA2</t>
  </si>
  <si>
    <t>AR-01275</t>
  </si>
  <si>
    <t>Mission East</t>
  </si>
  <si>
    <t>0013600000xoEKiAAM</t>
  </si>
  <si>
    <t>AR-01276</t>
  </si>
  <si>
    <t>AR-01278</t>
  </si>
  <si>
    <t>AR-05283</t>
  </si>
  <si>
    <t>AR-06064</t>
  </si>
  <si>
    <t>AR-06162</t>
  </si>
  <si>
    <t>AR-06165</t>
  </si>
  <si>
    <t>AR-07647</t>
  </si>
  <si>
    <t>Ministry of Health of the Republic of Azerbaijan</t>
  </si>
  <si>
    <t>0013600000xoEHXAA2</t>
  </si>
  <si>
    <t>AR-01279</t>
  </si>
  <si>
    <t>AR-01280</t>
  </si>
  <si>
    <t>AR-01282</t>
  </si>
  <si>
    <t>AR-01283</t>
  </si>
  <si>
    <t>Main Medical Department of the Ministry of Justice of the Republic of Azerbaijan</t>
  </si>
  <si>
    <t>0013600000xoEF5AAM</t>
  </si>
  <si>
    <t>AR-01281</t>
  </si>
  <si>
    <t>AR-04132</t>
  </si>
  <si>
    <t>AR-04141</t>
  </si>
  <si>
    <t>AR-08561</t>
  </si>
  <si>
    <t>AR-06752</t>
  </si>
  <si>
    <t>National Center For Disease Control and Public Health</t>
  </si>
  <si>
    <t>0013600000xoEJJAA2</t>
  </si>
  <si>
    <t>AR-06673</t>
  </si>
  <si>
    <t>AR-01391</t>
  </si>
  <si>
    <t>AR-01390</t>
  </si>
  <si>
    <t>AR-01309</t>
  </si>
  <si>
    <t>Republican Scientific and Practical Center for Medical Technologies, Informatization, Administration and Management of Health</t>
  </si>
  <si>
    <t>0013600000xoEKjAAM</t>
  </si>
  <si>
    <t>AR-01310</t>
  </si>
  <si>
    <t>AR-00961</t>
  </si>
  <si>
    <t>0013600000xoEIoAAM</t>
  </si>
  <si>
    <t>AR-00960</t>
  </si>
  <si>
    <t>AR-06035</t>
  </si>
  <si>
    <t>AR-06036</t>
  </si>
  <si>
    <t>AR-06166</t>
  </si>
  <si>
    <t>AR-06210</t>
  </si>
  <si>
    <t>AR-08538</t>
  </si>
  <si>
    <t>AR-07620</t>
  </si>
  <si>
    <t>Public Institution - Coordination, Implementation and Monitoring Unit of the Health  System Projects</t>
  </si>
  <si>
    <t>0013600000xoEHCAA2</t>
  </si>
  <si>
    <t>AR-01478</t>
  </si>
  <si>
    <t>AR-01477</t>
  </si>
  <si>
    <t>AR-01497</t>
  </si>
  <si>
    <t>Center for Health Policies and Studies</t>
  </si>
  <si>
    <t>0013600000xoEGDAA2</t>
  </si>
  <si>
    <t>AR-01496</t>
  </si>
  <si>
    <t>AR-01495</t>
  </si>
  <si>
    <t>AR-04018</t>
  </si>
  <si>
    <t>AR-04019</t>
  </si>
  <si>
    <t>AR-04028</t>
  </si>
  <si>
    <t>AR-04033</t>
  </si>
  <si>
    <t>AR-06749</t>
  </si>
  <si>
    <t>AR-04031</t>
  </si>
  <si>
    <t>AR-04069</t>
  </si>
  <si>
    <t>AR-03990</t>
  </si>
  <si>
    <t>AR-03991</t>
  </si>
  <si>
    <t>AR-09048</t>
  </si>
  <si>
    <t>AR-09071</t>
  </si>
  <si>
    <t>AR-07674</t>
  </si>
  <si>
    <t>AR-07675</t>
  </si>
  <si>
    <t>AR-07764</t>
  </si>
  <si>
    <t>AR-07773</t>
  </si>
  <si>
    <t>AR-07782</t>
  </si>
  <si>
    <t>AR-08932</t>
  </si>
  <si>
    <t>AR-04474</t>
  </si>
  <si>
    <t>AR-06921</t>
  </si>
  <si>
    <t>Ministry of Health of the Lao People's Democratic Republic</t>
  </si>
  <si>
    <t>0013600000xoEHUAA2</t>
  </si>
  <si>
    <t>AR-01455</t>
  </si>
  <si>
    <t>AR-01452</t>
  </si>
  <si>
    <t>AR-01454</t>
  </si>
  <si>
    <t>AR-01453</t>
  </si>
  <si>
    <t>AR-02574</t>
  </si>
  <si>
    <t>AR-04328</t>
  </si>
  <si>
    <t>AR-03267</t>
  </si>
  <si>
    <t>AR-08550</t>
  </si>
  <si>
    <t>AR-01520</t>
  </si>
  <si>
    <t>Malaysian AIDS Council</t>
  </si>
  <si>
    <t>0013600000xoEFcAAM</t>
  </si>
  <si>
    <t>AR-05118</t>
  </si>
  <si>
    <t>AR-05119</t>
  </si>
  <si>
    <t>AR-07746</t>
  </si>
  <si>
    <t>State Institution "Public Health Center of the Ministry of Health of Ukraine"</t>
  </si>
  <si>
    <t>0013600000xoEHhAAM</t>
  </si>
  <si>
    <t>AR-07747</t>
  </si>
  <si>
    <t>Charitable Organization "All-Ukrainian Network of People Living with HIV/AIDS"</t>
  </si>
  <si>
    <t>0013600000xoEFOAA2</t>
  </si>
  <si>
    <t>AR-07748</t>
  </si>
  <si>
    <t>International Charitable Foundation “Alliance for Public Health”</t>
  </si>
  <si>
    <t>0013600000xoEHGAA2</t>
  </si>
  <si>
    <t>AR-01216</t>
  </si>
  <si>
    <t>United Nations Children's Fund</t>
  </si>
  <si>
    <t>0013600000xoEHWAA2</t>
  </si>
  <si>
    <t>AR-01636</t>
  </si>
  <si>
    <t>AR-01637</t>
  </si>
  <si>
    <t>AR-01634</t>
  </si>
  <si>
    <t>AR-01633</t>
  </si>
  <si>
    <t>AR-01635</t>
  </si>
  <si>
    <t>AR-01631</t>
  </si>
  <si>
    <t>AR-01632</t>
  </si>
  <si>
    <t>AR-03177</t>
  </si>
  <si>
    <t>AR-03178</t>
  </si>
  <si>
    <t>AR-03179</t>
  </si>
  <si>
    <t>AR-07475</t>
  </si>
  <si>
    <t>0013600000xoEIuAAM</t>
  </si>
  <si>
    <t>AR-09355</t>
  </si>
  <si>
    <t>AR-09356</t>
  </si>
  <si>
    <t>UNICEF South Sudan</t>
  </si>
  <si>
    <t>0013p000026yQ7oAAE</t>
  </si>
  <si>
    <t>AR-01141</t>
  </si>
  <si>
    <t>AR-01144</t>
  </si>
  <si>
    <t>AR-00981</t>
  </si>
  <si>
    <t>Population Services International</t>
  </si>
  <si>
    <t>0013600000xoEIOAA2</t>
  </si>
  <si>
    <t>AR-01140</t>
  </si>
  <si>
    <t>AR-01145</t>
  </si>
  <si>
    <t>AR-01142</t>
  </si>
  <si>
    <t>AR-01143</t>
  </si>
  <si>
    <t>AR-04376</t>
  </si>
  <si>
    <t>AR-04401</t>
  </si>
  <si>
    <t>AR-04402</t>
  </si>
  <si>
    <t>AR-04410</t>
  </si>
  <si>
    <t>AR-08529</t>
  </si>
  <si>
    <t>AR-08775</t>
  </si>
  <si>
    <t>AR-09387</t>
  </si>
  <si>
    <t>AR-08030</t>
  </si>
  <si>
    <t>0013600000xoEJAAA2</t>
  </si>
  <si>
    <t>AR-00999</t>
  </si>
  <si>
    <t>AR-00998</t>
  </si>
  <si>
    <t>AR-01001</t>
  </si>
  <si>
    <t>AR-01000</t>
  </si>
  <si>
    <t>AR-03918</t>
  </si>
  <si>
    <t>AR-03919</t>
  </si>
  <si>
    <t>AR-03927</t>
  </si>
  <si>
    <t>AR-03928</t>
  </si>
  <si>
    <t>AR-08883</t>
  </si>
  <si>
    <t>AR-06767</t>
  </si>
  <si>
    <t>UNICEF Ethiopia</t>
  </si>
  <si>
    <t>0011R00002FW6goQAD</t>
  </si>
  <si>
    <t>AR-06768</t>
  </si>
  <si>
    <t>AR-08194</t>
  </si>
  <si>
    <t>Federal Ministry of Health of the Federal Democratic Republic of Ethiopia</t>
  </si>
  <si>
    <t>0013600000xoEHiAAM</t>
  </si>
  <si>
    <t>AR-08195</t>
  </si>
  <si>
    <t>HIV/AIDS Prevention and Control Office</t>
  </si>
  <si>
    <t>0013600000xoEHsAAM</t>
  </si>
  <si>
    <t>AR-01385</t>
  </si>
  <si>
    <t>AR-01383</t>
  </si>
  <si>
    <t>AR-01386</t>
  </si>
  <si>
    <t>AR-01382</t>
  </si>
  <si>
    <t>AR-01381</t>
  </si>
  <si>
    <t>AR-01384</t>
  </si>
  <si>
    <t>AR-01387</t>
  </si>
  <si>
    <t>AR-03168</t>
  </si>
  <si>
    <t>AR-03972</t>
  </si>
  <si>
    <t>AR-04119</t>
  </si>
  <si>
    <t>AR-04120</t>
  </si>
  <si>
    <t>AR-08490</t>
  </si>
  <si>
    <t>AR-08617</t>
  </si>
  <si>
    <t>AR-01449</t>
  </si>
  <si>
    <t>Amref Health Africa in Kenya</t>
  </si>
  <si>
    <t>0013600000xoEFLAA2</t>
  </si>
  <si>
    <t>AR-01242</t>
  </si>
  <si>
    <t>National Treasury of the Republic of Kenya</t>
  </si>
  <si>
    <t>0013600000xoEHxAAM</t>
  </si>
  <si>
    <t>AR-01447</t>
  </si>
  <si>
    <t>Kenya Red Cross Society</t>
  </si>
  <si>
    <t>0013600000xoEGgAAM</t>
  </si>
  <si>
    <t>AR-01240</t>
  </si>
  <si>
    <t>AR-01448</t>
  </si>
  <si>
    <t>AR-01244</t>
  </si>
  <si>
    <t>AR-04196</t>
  </si>
  <si>
    <t>AR-04197</t>
  </si>
  <si>
    <t>AR-04198</t>
  </si>
  <si>
    <t>AR-08454</t>
  </si>
  <si>
    <t>AR-08455</t>
  </si>
  <si>
    <t>AR-08456</t>
  </si>
  <si>
    <t>AR-08463</t>
  </si>
  <si>
    <t>AR-08464</t>
  </si>
  <si>
    <t>AR-07611</t>
  </si>
  <si>
    <t>AR-07701</t>
  </si>
  <si>
    <t>AR-01133</t>
  </si>
  <si>
    <t>AR-01135</t>
  </si>
  <si>
    <t>AR-01136</t>
  </si>
  <si>
    <t>World Vision International</t>
  </si>
  <si>
    <t>0013600000xoEIgAAM</t>
  </si>
  <si>
    <t>AR-01130</t>
  </si>
  <si>
    <t>AR-01131</t>
  </si>
  <si>
    <t>AR-03204</t>
  </si>
  <si>
    <t>AR-03222</t>
  </si>
  <si>
    <t>AR-04067</t>
  </si>
  <si>
    <t>AR-06903</t>
  </si>
  <si>
    <t>Ministry of Finance, Planning and Economic Development of the Republic of Uganda</t>
  </si>
  <si>
    <t>0013600000xoEI0AAM</t>
  </si>
  <si>
    <t>AR-06904</t>
  </si>
  <si>
    <t>The AIDS Support Organisation (Uganda) Limited</t>
  </si>
  <si>
    <t>0013600000xoEGeAAM</t>
  </si>
  <si>
    <t>AR-06905</t>
  </si>
  <si>
    <t>AR-06906</t>
  </si>
  <si>
    <t>AR-06912</t>
  </si>
  <si>
    <t>AR-06913</t>
  </si>
  <si>
    <t>AR-01255</t>
  </si>
  <si>
    <t>AR-01257</t>
  </si>
  <si>
    <t>AR-01263</t>
  </si>
  <si>
    <t>AR-01629</t>
  </si>
  <si>
    <t>AR-01267</t>
  </si>
  <si>
    <t>AR-01628</t>
  </si>
  <si>
    <t>AR-01265</t>
  </si>
  <si>
    <t>AR-01630</t>
  </si>
  <si>
    <t>AR-01261</t>
  </si>
  <si>
    <t>AR-01259</t>
  </si>
  <si>
    <t>AR-03294</t>
  </si>
  <si>
    <t>AR-03295</t>
  </si>
  <si>
    <t>AR-03465</t>
  </si>
  <si>
    <t>AR-03466</t>
  </si>
  <si>
    <t>AR-01119</t>
  </si>
  <si>
    <t>0013600000xoEIyAAM</t>
  </si>
  <si>
    <t>AR-01123</t>
  </si>
  <si>
    <t>AR-01122</t>
  </si>
  <si>
    <t>AR-01121</t>
  </si>
  <si>
    <t>AR-01585</t>
  </si>
  <si>
    <t>Federal Ministry of Health of the Republic of Sudan</t>
  </si>
  <si>
    <t>0013600000xoEKVAA2</t>
  </si>
  <si>
    <t>AR-01120</t>
  </si>
  <si>
    <t>AR-01124</t>
  </si>
  <si>
    <t>AR-02641</t>
  </si>
  <si>
    <t>AR-04398</t>
  </si>
  <si>
    <t>AR-04399</t>
  </si>
  <si>
    <t>AR-04522</t>
  </si>
  <si>
    <t>AR-08369</t>
  </si>
  <si>
    <t>AR-08370</t>
  </si>
  <si>
    <t>AR-06680</t>
  </si>
  <si>
    <t>Conseil National de Lutte contre le VIH/SIDA, la Tuberculose, le Paludisme, les Hépatites, les Infections sexuellement transmissibles et les Epidémies</t>
  </si>
  <si>
    <t>0013600001xf7DgAAI</t>
  </si>
  <si>
    <t>AR-07994</t>
  </si>
  <si>
    <t>Programme santé de lutte contre le Sida</t>
  </si>
  <si>
    <t>0013600000xoEGoAAM</t>
  </si>
  <si>
    <t>AR-07995</t>
  </si>
  <si>
    <t>Plan International, Inc.</t>
  </si>
  <si>
    <t>0013600000xoEHAAA2</t>
  </si>
  <si>
    <t>AR-08003</t>
  </si>
  <si>
    <t>Programme National de Lutte contre le Paludisme de la République du Bénin</t>
  </si>
  <si>
    <t>0013600000xoEKkAAM</t>
  </si>
  <si>
    <t>AR-08012</t>
  </si>
  <si>
    <t>Programme National contre la Tuberculose de la République du Bénin</t>
  </si>
  <si>
    <t>0013600000xoEF9AAM</t>
  </si>
  <si>
    <t>AR-08204</t>
  </si>
  <si>
    <t>AR-00953</t>
  </si>
  <si>
    <t>AR-03537</t>
  </si>
  <si>
    <t>AR-03538</t>
  </si>
  <si>
    <t>AR-07166</t>
  </si>
  <si>
    <t>AR-01295</t>
  </si>
  <si>
    <t>AR-01294</t>
  </si>
  <si>
    <t>Africare</t>
  </si>
  <si>
    <t>0013600000xoEFKAA2</t>
  </si>
  <si>
    <t>AR-00952</t>
  </si>
  <si>
    <t>Catholic Relief Services - United States Conference of Catholic Bishops</t>
  </si>
  <si>
    <t>0013600000xoEG6AAM</t>
  </si>
  <si>
    <t>AR-01298</t>
  </si>
  <si>
    <t>AR-01297</t>
  </si>
  <si>
    <t>Health System Performance Program</t>
  </si>
  <si>
    <t>0013600000xoEJNAA2</t>
  </si>
  <si>
    <t>AR-01296</t>
  </si>
  <si>
    <t>AR-04030</t>
  </si>
  <si>
    <t>AR-04244</t>
  </si>
  <si>
    <t>AR-04050</t>
  </si>
  <si>
    <t>AR-04243</t>
  </si>
  <si>
    <t>AR-06638</t>
  </si>
  <si>
    <t>AR-06639</t>
  </si>
  <si>
    <t>AR-07728</t>
  </si>
  <si>
    <t>World Vision (PNG) Trust</t>
  </si>
  <si>
    <t>0013600000xoEKJAA2</t>
  </si>
  <si>
    <t>AR-07737</t>
  </si>
  <si>
    <t>The Rotary Club of Port Moresby Inc.</t>
  </si>
  <si>
    <t>0013600000xoEIbAAM</t>
  </si>
  <si>
    <t>AR-01558</t>
  </si>
  <si>
    <t>Oil Search Foundation</t>
  </si>
  <si>
    <t>0013600000xoEHKAA2</t>
  </si>
  <si>
    <t>AR-00985</t>
  </si>
  <si>
    <t>AR-01559</t>
  </si>
  <si>
    <t>AR-01101</t>
  </si>
  <si>
    <t>AR-06746</t>
  </si>
  <si>
    <t>AR-03105</t>
  </si>
  <si>
    <t>AR-03106</t>
  </si>
  <si>
    <t>AR-04097</t>
  </si>
  <si>
    <t>AR-04469</t>
  </si>
  <si>
    <t>80177b87-31c5-4238-b3ab-8ab6cefb91c6</t>
  </si>
  <si>
    <t xml:space="preserve">     </t>
  </si>
  <si>
    <t>PickListValue</t>
  </si>
  <si>
    <t>PickListKey</t>
  </si>
  <si>
    <t>AIM_Reporting_Period__c.AIM_Report_Period_Category__c</t>
  </si>
  <si>
    <t>AIM_Coverage_Indicator__c.AIM_Geographic_Coverage__c</t>
  </si>
  <si>
    <t>AIM_Coverage_Indicator__c.AIM_Rating_Cumulation_Type__c</t>
  </si>
  <si>
    <t>AIM_Coverage_Indicator__c.AIM_Year__c</t>
  </si>
  <si>
    <t>AIM_Coverage_Indicator_Targets_Results__c.AIM_Due_for_Reporting__c</t>
  </si>
  <si>
    <t>AIM_Coverage_Indicator_Targets_Results__c.AIM_Mark_if_target_is_TBD__c</t>
  </si>
  <si>
    <t>AIM_Coverage_Disaggregation__c.AIM_Year__c</t>
  </si>
  <si>
    <t>AIM_Impact_Indicator__c.AIM_Baseline_Year__c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</si>
  <si>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</si>
  <si>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</si>
  <si>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</si>
  <si>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</si>
  <si>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AIM_Outcome_Disaggregation__c.AIM_Baseline_Year__c</t>
  </si>
  <si>
    <t>AIM_Outcome_Indicator_Targets_Result__c.AIM_Due_for_Reporting__c</t>
  </si>
  <si>
    <t>AIM_Outcome_Indicator_Targets_Result__c.AIM_Year_of_Target__c</t>
  </si>
  <si>
    <t>AIM_Outcome_Indicator_Targets_Result__c.AIM_Mark_if_target_is_TBD__c</t>
  </si>
  <si>
    <t>AIM_Grant_Revision__c.aim_revision_type__c</t>
  </si>
  <si>
    <t>AIM_Impact_Outcome_References__c.AIM_Data_Type_Target__c</t>
  </si>
  <si>
    <t>AIM_Module_Coverage_Interventio_Comp_Ref__c.AIM_Data_Type__c</t>
  </si>
  <si>
    <t>AIM_Module_Coverage_Interventio_Comp_Ref__c.Coverage_by_Population.AIM_Data_Type__c</t>
  </si>
  <si>
    <t>AIM_Module_Coverage_Interventio_Comp_Ref__c.Intervention_By_Population.AIM_Data_Type__c</t>
  </si>
  <si>
    <t>AIM_Module_Coverage_Interventio_Comp_Ref__c.Coverage.AIM_Data_Type__c</t>
  </si>
  <si>
    <t>AIM_Module_Coverage_Interventio_Comp_Ref__c.Intervention.AIM_Data_Type__c</t>
  </si>
  <si>
    <t>AIM_Module_Coverage_Interventio_Comp_Ref__c.Module.AIM_Data_Type__c</t>
  </si>
  <si>
    <t>AIM_Module_Coverage_Interventio_Comp_Ref__c.Master.AIM_Data_Type__c</t>
  </si>
  <si>
    <t>AIM_Module_Coverage_Interventio_Comp_Ref__c.L1FR_Cumulation_Type__c</t>
  </si>
  <si>
    <t>AIM_Module_Coverage_Interventio_Comp_Ref__c.Coverage_by_Population.L1FR_Cumulation_Type__c</t>
  </si>
  <si>
    <t>AIM_Module_Coverage_Interventio_Comp_Ref__c.Intervention_By_Population.L1FR_Cumulation_Type__c</t>
  </si>
  <si>
    <t>AIM_Module_Coverage_Interventio_Comp_Ref__c.Coverage.L1FR_Cumulation_Type__c</t>
  </si>
  <si>
    <t>AIM_Module_Coverage_Interventio_Comp_Ref__c.Intervention.L1FR_Cumulation_Type__c</t>
  </si>
  <si>
    <t>AIM_Module_Coverage_Interventio_Comp_Ref__c.Module.L1FR_Cumulation_Type__c</t>
  </si>
  <si>
    <t>AIM_Module_Coverage_Interventio_Comp_Ref__c.Master.L1FR_Cumulation_Type__c</t>
  </si>
  <si>
    <t>Coverage by Population</t>
  </si>
  <si>
    <t>Coverage_by_Population</t>
  </si>
  <si>
    <t>Implementation</t>
  </si>
  <si>
    <t>National</t>
  </si>
  <si>
    <t>N-Non-cumulative</t>
  </si>
  <si>
    <t>2002</t>
  </si>
  <si>
    <t>End-Date Revision</t>
  </si>
  <si>
    <t>Intervention By Population</t>
  </si>
  <si>
    <t>Intervention_By_Population</t>
  </si>
  <si>
    <t>Subnational</t>
  </si>
  <si>
    <t>N-Non -cumulative (other)</t>
  </si>
  <si>
    <t>2003</t>
  </si>
  <si>
    <t>Additional Funding</t>
  </si>
  <si>
    <t>N-Non -cumulative (special)</t>
  </si>
  <si>
    <t>2004</t>
  </si>
  <si>
    <t>Program revision / Budget revision</t>
  </si>
  <si>
    <t>Number and Percent</t>
  </si>
  <si>
    <t>2005</t>
  </si>
  <si>
    <t>Admin Revision</t>
  </si>
  <si>
    <t>2006</t>
  </si>
  <si>
    <t>Master</t>
  </si>
  <si>
    <t>2007</t>
  </si>
  <si>
    <t>Y- Cumulative annually</t>
  </si>
  <si>
    <t>2008</t>
  </si>
  <si>
    <t>2009</t>
  </si>
  <si>
    <t>2010</t>
  </si>
  <si>
    <t>2011</t>
  </si>
  <si>
    <t>Non Cumulative - Other</t>
  </si>
  <si>
    <t>2012</t>
  </si>
  <si>
    <t>2013</t>
  </si>
  <si>
    <t>2014</t>
  </si>
  <si>
    <t>2015</t>
  </si>
  <si>
    <t>2016</t>
  </si>
  <si>
    <t>2017</t>
  </si>
  <si>
    <t>2018</t>
  </si>
  <si>
    <t>2019</t>
  </si>
  <si>
    <t>2020</t>
  </si>
  <si>
    <t>2021</t>
  </si>
  <si>
    <t>2022</t>
  </si>
  <si>
    <t>2023</t>
  </si>
  <si>
    <t>2024</t>
  </si>
  <si>
    <t>2025</t>
  </si>
  <si>
    <t>2026</t>
  </si>
  <si>
    <t>2027</t>
  </si>
  <si>
    <t>2028</t>
  </si>
  <si>
    <t>2029</t>
  </si>
  <si>
    <t>2030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</si>
</sst>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 #,##0.00_-;_-* &quot;-&quot;??_-;_-@_-"/>
    <numFmt numFmtId="165" formatCode="_(* #,##0_);_(* \(#,##0\);_(@_)"/>
    <numFmt numFmtId="166" formatCode="_(* #,##0.0000_);_(* \(#,##0.0000\);_(@_)"/>
    <numFmt numFmtId="167" formatCode="_(* #,##0.00_);_(* \(#,##0.00\);_(@_)"/>
    <numFmt numFmtId="168" formatCode="_(* #,##0.0_);_(* \(#,##0.0\);_(@_)"/>
    <numFmt numFmtId="169" formatCode="#,##0.0000"/>
    <numFmt numFmtId="170" formatCode="#,##0%"/>
    <numFmt numFmtId="171" formatCode="#,##0.00%"/>
    <numFmt numFmtId="172" formatCode="#,##0.0%"/>
    <numFmt numFmtId="173" formatCode="[$-809]dd\ mmm\ yyyy;@"/>
    <numFmt numFmtId="174" formatCode="#\'##0.00"/>
    <numFmt numFmtId="175" formatCode="0.000000"/>
    <numFmt numFmtId="176" formatCode="dd\.mm\.yyyy"/>
    <numFmt numFmtId="177" formatCode="_-* #,##0_-;\-* #,##0_-;_-* &quot;-&quot;??_-;_-@_-"/>
  </numFmts>
  <fonts count="69">
    <font>
      <sz val="12"/>
      <color theme="1"/>
      <name val="Calibri"/>
      <family val="2"/>
      <scheme val="minor"/>
    </font>
    <font>
      <sz val="10"/>
      <name val="Arial"/>
      <family val="2"/>
    </font>
    <font>
      <b/>
      <sz val="10"/>
      <name val="Arial"/>
      <family val="2"/>
    </font>
    <font>
      <sz val="12"/>
      <color indexed="9"/>
      <name val="Calibri"/>
      <family val="2"/>
    </font>
    <font>
      <sz val="22"/>
      <name val="Georgia"/>
      <family val="1"/>
    </font>
    <font>
      <b/>
      <sz val="22"/>
      <name val="Georgia"/>
      <family val="1"/>
    </font>
    <font>
      <b/>
      <sz val="12"/>
      <color indexed="8"/>
      <name val="Calibri"/>
      <family val="2"/>
    </font>
    <font>
      <sz val="12"/>
      <color indexed="55"/>
      <name val="Calibri"/>
      <family val="2"/>
    </font>
    <font>
      <sz val="11"/>
      <color indexed="8"/>
      <name val="Calibri"/>
      <family val="2"/>
    </font>
    <font>
      <sz val="11"/>
      <color indexed="10"/>
      <name val="Calibri"/>
      <family val="2"/>
    </font>
    <font>
      <sz val="11"/>
      <name val="Calibri"/>
      <family val="2"/>
    </font>
    <font>
      <sz val="11"/>
      <color indexed="8"/>
      <name val="Symbol"/>
      <family val="1"/>
      <charset val="2"/>
    </font>
    <font>
      <b/>
      <sz val="11"/>
      <color indexed="8"/>
      <name val="Calibri"/>
      <family val="2"/>
    </font>
    <font>
      <sz val="12"/>
      <name val="Calibri"/>
      <family val="2"/>
    </font>
    <font>
      <b/>
      <sz val="11"/>
      <name val="Calibri"/>
      <family val="2"/>
    </font>
    <font>
      <sz val="11"/>
      <name val="Symbol"/>
      <family val="1"/>
      <charset val="2"/>
    </font>
    <font>
      <sz val="11"/>
      <color indexed="63"/>
      <name val="Calibri"/>
      <family val="2"/>
    </font>
    <font>
      <u/>
      <sz val="11"/>
      <color indexed="30"/>
      <name val="Calibri"/>
      <family val="2"/>
    </font>
    <font>
      <sz val="7"/>
      <color indexed="8"/>
      <name val="Times New Roman"/>
      <family val="1"/>
    </font>
    <font>
      <u/>
      <sz val="11"/>
      <color indexed="8"/>
      <name val="Calibri"/>
      <family val="2"/>
    </font>
    <font>
      <sz val="7"/>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1"/>
      <color rgb="FFFF0000"/>
      <name val="Calibri"/>
      <family val="2"/>
      <scheme val="minor"/>
    </font>
    <font>
      <b/>
      <sz val="11"/>
      <color theme="1"/>
      <name val="Calibri"/>
      <family val="2"/>
      <scheme val="minor"/>
    </font>
    <font>
      <sz val="12"/>
      <color rgb="FFFF0000"/>
      <name val="Calibri"/>
      <family val="2"/>
      <scheme val="minor"/>
    </font>
    <font>
      <sz val="16"/>
      <color rgb="FFFF0000"/>
      <name val="Calibri"/>
      <family val="2"/>
      <scheme val="minor"/>
    </font>
    <font>
      <sz val="12"/>
      <color theme="0"/>
      <name val="Calibri"/>
      <family val="2"/>
      <scheme val="minor"/>
    </font>
    <font>
      <sz val="12"/>
      <name val="Calibri"/>
      <family val="2"/>
      <scheme val="minor"/>
    </font>
    <font>
      <b/>
      <sz val="22"/>
      <color rgb="FFFFFFFF"/>
      <name val="Georgia"/>
      <family val="1"/>
    </font>
    <font>
      <sz val="18"/>
      <color rgb="FFFF0000"/>
      <name val="Calibri"/>
      <family val="2"/>
      <scheme val="minor"/>
    </font>
    <font>
      <b/>
      <sz val="22"/>
      <name val="Calibri"/>
      <family val="2"/>
      <scheme val="minor"/>
    </font>
    <font>
      <b/>
      <sz val="36"/>
      <color rgb="FFFFFFFF"/>
      <name val="Georgia"/>
      <family val="1"/>
    </font>
    <font>
      <b/>
      <sz val="22"/>
      <color theme="0"/>
      <name val="Georgia"/>
      <family val="1"/>
    </font>
    <font>
      <sz val="22"/>
      <name val="Calibri"/>
      <family val="2"/>
      <scheme val="minor"/>
    </font>
    <font>
      <b/>
      <sz val="28"/>
      <name val="Calibri"/>
      <family val="2"/>
      <scheme val="minor"/>
    </font>
    <font>
      <sz val="16"/>
      <name val="Calibri"/>
      <family val="2"/>
      <scheme val="minor"/>
    </font>
    <font>
      <sz val="26"/>
      <name val="Calibri"/>
      <family val="2"/>
      <scheme val="minor"/>
    </font>
    <font>
      <sz val="22"/>
      <color rgb="FFFF0000"/>
      <name val="Calibri"/>
      <family val="2"/>
      <scheme val="minor"/>
    </font>
    <font>
      <b/>
      <sz val="12"/>
      <color theme="1"/>
      <name val="Calibri"/>
      <family val="2"/>
      <scheme val="minor"/>
    </font>
    <font>
      <b/>
      <sz val="12"/>
      <name val="Calibri"/>
      <family val="2"/>
      <scheme val="minor"/>
    </font>
    <font>
      <sz val="12"/>
      <color theme="0" tint="-0.34998626667073579"/>
      <name val="Calibri"/>
      <family val="2"/>
      <scheme val="minor"/>
    </font>
    <font>
      <sz val="10"/>
      <color theme="1"/>
      <name val="Calibri"/>
      <family val="2"/>
      <scheme val="minor"/>
    </font>
    <font>
      <sz val="14"/>
      <color rgb="FF222222"/>
      <name val="Arial"/>
      <family val="2"/>
    </font>
    <font>
      <sz val="9"/>
      <color rgb="FF1D1C1D"/>
      <name val="Arial"/>
      <family val="2"/>
    </font>
    <font>
      <b/>
      <sz val="12"/>
      <color rgb="FF0A0101"/>
      <name val="Arial"/>
      <family val="2"/>
    </font>
    <font>
      <b/>
      <sz val="12"/>
      <color theme="0"/>
      <name val="Calibri"/>
      <family val="2"/>
      <scheme val="minor"/>
    </font>
    <font>
      <b/>
      <sz val="12"/>
      <color theme="8" tint="0.39994506668294322"/>
      <name val="Calibri"/>
      <family val="2"/>
      <scheme val="minor"/>
    </font>
    <font>
      <b/>
      <sz val="12"/>
      <color theme="0"/>
      <name val="Arial"/>
      <family val="2"/>
    </font>
    <font>
      <sz val="14"/>
      <color theme="0"/>
      <name val="Arial"/>
      <family val="2"/>
    </font>
    <font>
      <b/>
      <sz val="12"/>
      <color theme="0" tint="-0.34998626667073579"/>
      <name val="Calibri"/>
      <family val="2"/>
      <scheme val="minor"/>
    </font>
    <font>
      <b/>
      <sz val="12"/>
      <color theme="0" tint="-0.499984740745262"/>
      <name val="Calibri"/>
      <family val="2"/>
      <scheme val="minor"/>
    </font>
    <font>
      <b/>
      <sz val="12"/>
      <color rgb="FFFF0000"/>
      <name val="Calibri"/>
      <family val="2"/>
      <scheme val="minor"/>
    </font>
    <font>
      <sz val="11"/>
      <color rgb="FF000000"/>
      <name val="Symbol"/>
      <family val="1"/>
      <charset val="2"/>
    </font>
    <font>
      <b/>
      <sz val="11"/>
      <color rgb="FF000000"/>
      <name val="Calibri"/>
      <family val="2"/>
    </font>
    <font>
      <sz val="11"/>
      <color rgb="FF000000"/>
      <name val="Calibri"/>
      <family val="2"/>
      <scheme val="minor"/>
    </font>
    <font>
      <sz val="11"/>
      <color rgb="FF000000"/>
      <name val="Calibri"/>
      <family val="2"/>
    </font>
    <font>
      <sz val="11"/>
      <name val="Calibri"/>
      <family val="2"/>
      <scheme val="minor"/>
    </font>
    <font>
      <u/>
      <sz val="11"/>
      <color theme="10"/>
      <name val="Calibri"/>
      <family val="2"/>
      <scheme val="minor"/>
    </font>
    <font>
      <b/>
      <i/>
      <sz val="11"/>
      <color theme="1"/>
      <name val="Calibri"/>
      <family val="2"/>
      <scheme val="minor"/>
    </font>
    <font>
      <b/>
      <sz val="11"/>
      <color rgb="FF000000"/>
      <name val="Calibri"/>
      <family val="2"/>
      <scheme val="minor"/>
    </font>
    <font>
      <b/>
      <sz val="16"/>
      <color theme="1"/>
      <name val="Calibri"/>
      <family val="2"/>
      <scheme val="minor"/>
    </font>
    <font>
      <b/>
      <sz val="18"/>
      <color rgb="FFFFFFFF"/>
      <name val="Georgia"/>
      <family val="1"/>
    </font>
    <font>
      <sz val="22"/>
      <color theme="1"/>
      <name val="Calibri"/>
      <family val="2"/>
      <scheme val="minor"/>
    </font>
    <font>
      <sz val="16"/>
      <color theme="0"/>
      <name val="Calibri"/>
      <family val="2"/>
      <scheme val="minor"/>
    </font>
    <font>
      <sz val="12"/>
      <color indexed="8"/>
      <name val="Calibri"/>
      <family val="2"/>
    </font>
    <font>
      <b/>
      <sz val="12"/>
      <color rgb="FF000000"/>
      <name val="Calibri"/>
      <family val="2"/>
    </font>
    <font>
      <i/>
      <sz val="12"/>
      <color theme="1"/>
      <name val="Calibri"/>
      <family val="2"/>
      <scheme val="minor"/>
    </font>
  </fonts>
  <fills count="3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79995117038483843"/>
        <bgColor indexed="64"/>
      </patternFill>
    </fill>
    <fill>
      <patternFill patternType="solid">
        <fgColor theme="8" tint="0.79995117038483843"/>
        <bgColor indexed="64"/>
      </patternFill>
    </fill>
    <fill>
      <patternFill patternType="solid">
        <fgColor theme="4" tint="0.39994506668294322"/>
        <bgColor indexed="64"/>
      </patternFill>
    </fill>
    <fill>
      <patternFill patternType="solid">
        <fgColor theme="9" tint="0.79995117038483843"/>
        <bgColor indexed="64"/>
      </patternFill>
    </fill>
    <fill>
      <patternFill patternType="solid">
        <fgColor theme="0"/>
        <bgColor indexed="64"/>
      </patternFill>
    </fill>
    <fill>
      <patternFill patternType="solid">
        <fgColor theme="0"/>
        <bgColor theme="4"/>
      </patternFill>
    </fill>
    <fill>
      <patternFill patternType="solid">
        <fgColor rgb="FFDAEEF3"/>
        <bgColor indexed="64"/>
      </patternFill>
    </fill>
    <fill>
      <patternFill patternType="solid">
        <fgColor rgb="FF5B9BD5"/>
        <bgColor indexed="64"/>
      </patternFill>
    </fill>
    <fill>
      <patternFill patternType="solid">
        <fgColor rgb="FF9BC2E6"/>
        <bgColor indexed="64"/>
      </patternFill>
    </fill>
    <fill>
      <patternFill patternType="solid">
        <fgColor theme="4"/>
        <bgColor theme="4"/>
      </patternFill>
    </fill>
    <fill>
      <patternFill patternType="solid">
        <fgColor rgb="FF5B9BD5"/>
        <bgColor theme="4"/>
      </patternFill>
    </fill>
    <fill>
      <patternFill patternType="solid">
        <fgColor theme="0"/>
        <bgColor theme="4" tint="0.79995117038483843"/>
      </patternFill>
    </fill>
    <fill>
      <patternFill patternType="solid">
        <fgColor rgb="FFDDEBF7"/>
        <bgColor theme="4" tint="0.79995117038483843"/>
      </patternFill>
    </fill>
    <fill>
      <patternFill patternType="solid">
        <fgColor rgb="FF8EA9DB"/>
        <bgColor indexed="64"/>
      </patternFill>
    </fill>
    <fill>
      <patternFill patternType="solid">
        <fgColor theme="4" tint="0.79995117038483843"/>
        <bgColor theme="4" tint="0.79995117038483843"/>
      </patternFill>
    </fill>
    <fill>
      <patternFill patternType="solid">
        <fgColor rgb="FFDDEBF7"/>
        <bgColor indexed="64"/>
      </patternFill>
    </fill>
    <fill>
      <patternFill patternType="solid">
        <fgColor theme="4" tint="0.79995117038483843"/>
        <bgColor theme="0"/>
      </patternFill>
    </fill>
    <fill>
      <patternFill patternType="solid">
        <fgColor rgb="FF8DB4E2"/>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tint="-0.24994659260841701"/>
        <bgColor indexed="64"/>
      </patternFill>
    </fill>
    <fill>
      <patternFill patternType="solid">
        <fgColor theme="2"/>
        <bgColor indexed="64"/>
      </patternFill>
    </fill>
    <fill>
      <patternFill patternType="solid">
        <fgColor rgb="FFD9E2F3"/>
        <bgColor indexed="64"/>
      </patternFill>
    </fill>
    <fill>
      <patternFill patternType="solid">
        <fgColor rgb="FFB6E4E6"/>
        <bgColor indexed="64"/>
      </patternFill>
    </fill>
    <fill>
      <patternFill patternType="solid">
        <fgColor rgb="FF00FF99"/>
        <bgColor indexed="64"/>
      </patternFill>
    </fill>
    <fill>
      <patternFill patternType="solid">
        <fgColor rgb="FFFFC000"/>
        <bgColor indexed="64"/>
      </patternFill>
    </fill>
    <fill>
      <patternFill patternType="solid">
        <fgColor theme="9" tint="0.79998168889431442"/>
        <bgColor indexed="64"/>
      </patternFill>
    </fill>
  </fills>
  <borders count="12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54"/>
      </left>
      <right style="hair">
        <color indexed="54"/>
      </right>
      <top style="hair">
        <color indexed="54"/>
      </top>
      <bottom style="hair">
        <color indexed="5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theme="8"/>
      </left>
      <right style="hair">
        <color theme="8"/>
      </right>
      <top style="hair">
        <color theme="8"/>
      </top>
      <bottom style="hair">
        <color theme="8"/>
      </bottom>
      <diagonal/>
    </border>
    <border>
      <left style="medium">
        <color theme="4" tint="-0.24994659260841701"/>
      </left>
      <right style="thin">
        <color indexed="64"/>
      </right>
      <top style="thin">
        <color indexed="64"/>
      </top>
      <bottom style="thin">
        <color indexed="64"/>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medium">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medium">
        <color theme="4" tint="-0.24994659260841701"/>
      </left>
      <right style="thin">
        <color indexed="64"/>
      </right>
      <top style="medium">
        <color theme="4" tint="-0.24994659260841701"/>
      </top>
      <bottom/>
      <diagonal/>
    </border>
    <border>
      <left style="thin">
        <color indexed="64"/>
      </left>
      <right style="thin">
        <color indexed="64"/>
      </right>
      <top style="medium">
        <color theme="4" tint="-0.24994659260841701"/>
      </top>
      <bottom/>
      <diagonal/>
    </border>
    <border>
      <left style="thin">
        <color theme="4" tint="-0.24994659260841701"/>
      </left>
      <right/>
      <top style="medium">
        <color theme="4" tint="-0.24994659260841701"/>
      </top>
      <bottom/>
      <diagonal/>
    </border>
    <border>
      <left style="thin">
        <color theme="4" tint="-0.24994659260841701"/>
      </left>
      <right style="thin">
        <color theme="4" tint="-0.24994659260841701"/>
      </right>
      <top style="medium">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24994659260841701"/>
      </left>
      <right/>
      <top style="thin">
        <color theme="4" tint="-0.24994659260841701"/>
      </top>
      <bottom/>
      <diagonal/>
    </border>
    <border>
      <left style="medium">
        <color theme="4" tint="-0.24994659260841701"/>
      </left>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style="medium">
        <color theme="4" tint="-0.24994659260841701"/>
      </left>
      <right style="thin">
        <color theme="4" tint="-0.24994659260841701"/>
      </right>
      <top style="medium">
        <color theme="4" tint="-0.24994659260841701"/>
      </top>
      <bottom/>
      <diagonal/>
    </border>
    <border>
      <left style="thin">
        <color theme="4" tint="-0.24994659260841701"/>
      </left>
      <right style="thin">
        <color theme="4" tint="-0.24994659260841701"/>
      </right>
      <top style="thin">
        <color indexed="64"/>
      </top>
      <bottom/>
      <diagonal/>
    </border>
    <border>
      <left style="thin">
        <color theme="4" tint="-0.24994659260841701"/>
      </left>
      <right/>
      <top style="thin">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top style="thin">
        <color indexed="64"/>
      </top>
      <bottom/>
      <diagonal/>
    </border>
    <border>
      <left style="medium">
        <color theme="4" tint="-0.24994659260841701"/>
      </left>
      <right style="hair">
        <color rgb="FF00B0F0"/>
      </right>
      <top/>
      <bottom/>
      <diagonal/>
    </border>
    <border>
      <left style="hair">
        <color rgb="FF00B0F0"/>
      </left>
      <right style="hair">
        <color rgb="FF00B0F0"/>
      </right>
      <top/>
      <bottom/>
      <diagonal/>
    </border>
    <border>
      <left style="hair">
        <color rgb="FF00B0F0"/>
      </left>
      <right/>
      <top style="medium">
        <color theme="4" tint="-0.24994659260841701"/>
      </top>
      <bottom style="thin">
        <color theme="4" tint="-0.24994659260841701"/>
      </bottom>
      <diagonal/>
    </border>
    <border>
      <left/>
      <right/>
      <top style="thin">
        <color theme="0"/>
      </top>
      <bottom/>
      <diagonal/>
    </border>
    <border>
      <left/>
      <right/>
      <top/>
      <bottom style="thin">
        <color theme="0"/>
      </bottom>
      <diagonal/>
    </border>
    <border diagonalUp="1">
      <left style="thin">
        <color rgb="FFFFFFFF"/>
      </left>
      <right style="thin">
        <color rgb="FFFFFFFF"/>
      </right>
      <top style="thin">
        <color rgb="FFFFFFFF"/>
      </top>
      <bottom style="thin">
        <color rgb="FFFFFFFF"/>
      </bottom>
      <diagonal style="thin">
        <color rgb="FFFFFFFF"/>
      </diagonal>
    </border>
    <border diagonalUp="1">
      <left style="thin">
        <color rgb="FFFFFFFF"/>
      </left>
      <right/>
      <top style="thin">
        <color rgb="FFFFFFFF"/>
      </top>
      <bottom style="thin">
        <color rgb="FFFFFFFF"/>
      </bottom>
      <diagonal style="thin">
        <color rgb="FFFFFFFF"/>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hair">
        <color theme="8"/>
      </right>
      <top/>
      <bottom/>
      <diagonal/>
    </border>
    <border>
      <left style="hair">
        <color theme="0"/>
      </left>
      <right style="hair">
        <color theme="0"/>
      </right>
      <top style="hair">
        <color theme="0"/>
      </top>
      <bottom style="hair">
        <color theme="0"/>
      </bottom>
      <diagonal/>
    </border>
    <border>
      <left/>
      <right style="hair">
        <color theme="8"/>
      </right>
      <top style="hair">
        <color theme="8"/>
      </top>
      <bottom style="hair">
        <color theme="8"/>
      </bottom>
      <diagonal/>
    </border>
    <border>
      <left style="medium">
        <color indexed="64"/>
      </left>
      <right style="hair">
        <color rgb="FF00B0F0"/>
      </right>
      <top/>
      <bottom/>
      <diagonal/>
    </border>
    <border>
      <left style="hair">
        <color rgb="FF00B0F0"/>
      </left>
      <right style="hair">
        <color rgb="FF00B0F0"/>
      </right>
      <top style="hair">
        <color rgb="FF00B0F0"/>
      </top>
      <bottom/>
      <diagonal/>
    </border>
    <border>
      <left/>
      <right/>
      <top/>
      <bottom style="hair">
        <color rgb="FF00B0F0"/>
      </bottom>
      <diagonal/>
    </border>
    <border>
      <left style="medium">
        <color indexed="64"/>
      </left>
      <right/>
      <top style="hair">
        <color rgb="FF00B0F0"/>
      </top>
      <bottom style="medium">
        <color indexed="64"/>
      </bottom>
      <diagonal/>
    </border>
    <border>
      <left/>
      <right/>
      <top style="hair">
        <color rgb="FF00B0F0"/>
      </top>
      <bottom style="medium">
        <color indexed="64"/>
      </bottom>
      <diagonal/>
    </border>
    <border>
      <left style="medium">
        <color indexed="64"/>
      </left>
      <right/>
      <top style="thin">
        <color rgb="FFFFFFFF"/>
      </top>
      <bottom style="thin">
        <color indexed="64"/>
      </bottom>
      <diagonal/>
    </border>
    <border>
      <left/>
      <right/>
      <top style="thin">
        <color rgb="FFFFFFFF"/>
      </top>
      <bottom style="thin">
        <color indexed="64"/>
      </bottom>
      <diagonal/>
    </border>
    <border>
      <left/>
      <right style="thin">
        <color indexed="64"/>
      </right>
      <top style="thin">
        <color rgb="FFFFFFFF"/>
      </top>
      <bottom style="thin">
        <color indexed="64"/>
      </bottom>
      <diagonal/>
    </border>
    <border>
      <left style="medium">
        <color indexed="64"/>
      </left>
      <right/>
      <top/>
      <bottom style="thin">
        <color rgb="FFFFFFFF"/>
      </bottom>
      <diagonal/>
    </border>
    <border>
      <left/>
      <right/>
      <top/>
      <bottom style="thin">
        <color rgb="FFFFFFFF"/>
      </bottom>
      <diagonal/>
    </border>
    <border>
      <left style="medium">
        <color indexed="64"/>
      </left>
      <right/>
      <top/>
      <bottom style="medium">
        <color theme="4" tint="-0.24994659260841701"/>
      </bottom>
      <diagonal/>
    </border>
    <border>
      <left/>
      <right/>
      <top/>
      <bottom style="medium">
        <color theme="4" tint="-0.24994659260841701"/>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right style="medium">
        <color indexed="64"/>
      </right>
      <top style="medium">
        <color theme="4" tint="-0.24994659260841701"/>
      </top>
      <bottom style="thin">
        <color indexed="64"/>
      </bottom>
      <diagonal/>
    </border>
    <border>
      <left/>
      <right style="medium">
        <color theme="4" tint="-0.24994659260841701"/>
      </right>
      <top style="thin">
        <color indexed="64"/>
      </top>
      <bottom style="thin">
        <color indexed="64"/>
      </bottom>
      <diagonal/>
    </border>
    <border>
      <left/>
      <right style="thin">
        <color indexed="64"/>
      </right>
      <top style="medium">
        <color theme="4" tint="-0.24994659260841701"/>
      </top>
      <bottom style="thin">
        <color indexed="64"/>
      </bottom>
      <diagonal/>
    </border>
    <border>
      <left style="medium">
        <color theme="4" tint="-0.24994659260841701"/>
      </left>
      <right/>
      <top style="thin">
        <color indexed="64"/>
      </top>
      <bottom style="thin">
        <color indexed="64"/>
      </bottom>
      <diagonal/>
    </border>
    <border>
      <left style="medium">
        <color theme="4" tint="-0.24994659260841701"/>
      </left>
      <right/>
      <top style="thin">
        <color indexed="64"/>
      </top>
      <bottom style="medium">
        <color theme="4" tint="-0.24994659260841701"/>
      </bottom>
      <diagonal/>
    </border>
    <border>
      <left/>
      <right/>
      <top style="thin">
        <color indexed="64"/>
      </top>
      <bottom style="medium">
        <color theme="4" tint="-0.24994659260841701"/>
      </bottom>
      <diagonal/>
    </border>
    <border>
      <left/>
      <right style="medium">
        <color indexed="64"/>
      </right>
      <top style="thin">
        <color indexed="64"/>
      </top>
      <bottom style="medium">
        <color theme="4" tint="-0.24994659260841701"/>
      </bottom>
      <diagonal/>
    </border>
    <border>
      <left style="medium">
        <color theme="4" tint="-0.24994659260841701"/>
      </left>
      <right/>
      <top/>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right style="thin">
        <color theme="4" tint="-0.24994659260841701"/>
      </right>
      <top style="medium">
        <color theme="4" tint="-0.24994659260841701"/>
      </top>
      <bottom/>
      <diagonal/>
    </border>
    <border>
      <left/>
      <right/>
      <top style="thin">
        <color theme="4" tint="-0.24994659260841701"/>
      </top>
      <bottom style="thin">
        <color theme="4" tint="-0.24994659260841701"/>
      </bottom>
      <diagonal/>
    </border>
    <border>
      <left/>
      <right/>
      <top style="thin">
        <color theme="4" tint="-0.24994659260841701"/>
      </top>
      <bottom/>
      <diagonal/>
    </border>
    <border>
      <left style="medium">
        <color theme="4" tint="-0.24994659260841701"/>
      </left>
      <right/>
      <top/>
      <bottom style="thin">
        <color indexed="64"/>
      </bottom>
      <diagonal/>
    </border>
    <border>
      <left style="thin">
        <color theme="4" tint="-0.24994659260841701"/>
      </left>
      <right/>
      <top/>
      <bottom/>
      <diagonal/>
    </border>
    <border>
      <left/>
      <right style="thin">
        <color theme="4" tint="-0.24994659260841701"/>
      </right>
      <top/>
      <bottom/>
      <diagonal/>
    </border>
    <border>
      <left style="thin">
        <color theme="4" tint="-0.24994659260841701"/>
      </left>
      <right/>
      <top/>
      <bottom style="medium">
        <color theme="4" tint="-0.24994659260841701"/>
      </bottom>
      <diagonal/>
    </border>
    <border>
      <left/>
      <right style="thin">
        <color theme="4" tint="-0.24994659260841701"/>
      </right>
      <top/>
      <bottom style="medium">
        <color theme="4" tint="-0.24994659260841701"/>
      </bottom>
      <diagonal/>
    </border>
    <border>
      <left style="thin">
        <color theme="4" tint="-0.24994659260841701"/>
      </left>
      <right/>
      <top style="medium">
        <color theme="4" tint="-0.24994659260841701"/>
      </top>
      <bottom style="thin">
        <color theme="4" tint="-0.24994659260841701"/>
      </bottom>
      <diagonal/>
    </border>
    <border>
      <left/>
      <right/>
      <top style="medium">
        <color theme="4" tint="-0.24994659260841701"/>
      </top>
      <bottom style="thin">
        <color theme="4" tint="-0.24994659260841701"/>
      </bottom>
      <diagonal/>
    </border>
    <border>
      <left/>
      <right style="thin">
        <color theme="4" tint="-0.24994659260841701"/>
      </right>
      <top style="medium">
        <color theme="4" tint="-0.24994659260841701"/>
      </top>
      <bottom style="thin">
        <color theme="4" tint="-0.24994659260841701"/>
      </bottom>
      <diagonal/>
    </border>
    <border>
      <left/>
      <right style="medium">
        <color theme="4" tint="-0.24994659260841701"/>
      </right>
      <top style="medium">
        <color theme="4" tint="-0.24994659260841701"/>
      </top>
      <bottom style="medium">
        <color theme="4" tint="-0.24994659260841701"/>
      </bottom>
      <diagonal/>
    </border>
    <border>
      <left/>
      <right style="hair">
        <color rgb="FF00B0F0"/>
      </right>
      <top style="medium">
        <color theme="4" tint="-0.24994659260841701"/>
      </top>
      <bottom style="thin">
        <color theme="4" tint="-0.24994659260841701"/>
      </bottom>
      <diagonal/>
    </border>
    <border>
      <left style="medium">
        <color theme="4" tint="-0.24994659260841701"/>
      </left>
      <right/>
      <top style="thin">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diagonal/>
    </border>
    <border>
      <left style="medium">
        <color theme="4" tint="-0.24994659260841701"/>
      </left>
      <right style="thin">
        <color theme="4" tint="-0.24994659260841701"/>
      </right>
      <top/>
      <bottom style="thin">
        <color theme="4" tint="-0.24994659260841701"/>
      </bottom>
      <diagonal/>
    </border>
    <border>
      <left style="medium">
        <color theme="4" tint="-0.24994659260841701"/>
      </left>
      <right/>
      <top style="thin">
        <color theme="4" tint="-0.24994659260841701"/>
      </top>
      <bottom style="medium">
        <color theme="4" tint="-0.24994659260841701"/>
      </bottom>
      <diagonal/>
    </border>
    <border>
      <left style="medium">
        <color theme="4" tint="-0.24994659260841701"/>
      </left>
      <right style="thin">
        <color theme="4" tint="-0.24994659260841701"/>
      </right>
      <top/>
      <bottom/>
      <diagonal/>
    </border>
    <border>
      <left style="thin">
        <color theme="4" tint="-0.24994659260841701"/>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style="thin">
        <color theme="4" tint="-0.24994659260841701"/>
      </right>
      <top/>
      <bottom style="thin">
        <color theme="4" tint="-0.24994659260841701"/>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0">
    <xf numFmtId="0" fontId="0"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2" fillId="0" borderId="0"/>
    <xf numFmtId="0" fontId="22" fillId="0" borderId="0"/>
    <xf numFmtId="0" fontId="21" fillId="0" borderId="0"/>
    <xf numFmtId="0" fontId="22" fillId="0" borderId="0"/>
    <xf numFmtId="164" fontId="21" fillId="0" borderId="0" applyFont="0" applyFill="0" applyBorder="0" applyAlignment="0" applyProtection="0"/>
  </cellStyleXfs>
  <cellXfs count="816">
    <xf numFmtId="0" fontId="0" fillId="0" borderId="0" xfId="0"/>
    <xf numFmtId="11" fontId="0" fillId="0" borderId="0" xfId="0" applyNumberFormat="1"/>
    <xf numFmtId="49" fontId="0" fillId="0" borderId="0" xfId="0" applyNumberFormat="1"/>
    <xf numFmtId="0" fontId="1" fillId="0" borderId="0" xfId="4"/>
    <xf numFmtId="0" fontId="1" fillId="0" borderId="39" xfId="4" applyBorder="1"/>
    <xf numFmtId="0" fontId="1" fillId="0" borderId="39" xfId="4" applyBorder="1" applyAlignment="1">
      <alignment horizontal="left"/>
    </xf>
    <xf numFmtId="49" fontId="1" fillId="0" borderId="39" xfId="4" applyNumberFormat="1" applyBorder="1"/>
    <xf numFmtId="0" fontId="1" fillId="0" borderId="0" xfId="4" applyAlignment="1">
      <alignment horizontal="left"/>
    </xf>
    <xf numFmtId="0" fontId="2" fillId="0" borderId="0" xfId="4" applyFont="1"/>
    <xf numFmtId="165" fontId="1" fillId="0" borderId="39" xfId="4" applyNumberFormat="1" applyBorder="1"/>
    <xf numFmtId="166" fontId="1" fillId="0" borderId="39" xfId="4" applyNumberFormat="1" applyBorder="1"/>
    <xf numFmtId="167" fontId="1" fillId="0" borderId="39" xfId="4" applyNumberFormat="1" applyBorder="1"/>
    <xf numFmtId="168" fontId="1" fillId="0" borderId="39" xfId="4" applyNumberFormat="1" applyBorder="1"/>
    <xf numFmtId="0" fontId="26" fillId="10" borderId="0" xfId="0" applyFont="1" applyFill="1"/>
    <xf numFmtId="0" fontId="27" fillId="10" borderId="0" xfId="0" applyFont="1" applyFill="1"/>
    <xf numFmtId="0" fontId="27" fillId="0" borderId="0" xfId="0" applyFont="1"/>
    <xf numFmtId="0" fontId="26" fillId="0" borderId="0" xfId="0" applyFont="1" applyAlignment="1">
      <alignment wrapText="1"/>
    </xf>
    <xf numFmtId="0" fontId="26" fillId="0" borderId="0" xfId="0" applyFont="1"/>
    <xf numFmtId="0" fontId="26" fillId="6" borderId="0" xfId="0" applyFont="1" applyFill="1"/>
    <xf numFmtId="0" fontId="28" fillId="0" borderId="0" xfId="0" applyFont="1"/>
    <xf numFmtId="0" fontId="29" fillId="0" borderId="0" xfId="0" applyFont="1"/>
    <xf numFmtId="0" fontId="30" fillId="11" borderId="0" xfId="0" applyFont="1" applyFill="1" applyAlignment="1">
      <alignment horizontal="center" vertical="center" wrapText="1"/>
    </xf>
    <xf numFmtId="0" fontId="28" fillId="10" borderId="0" xfId="0" applyFont="1" applyFill="1"/>
    <xf numFmtId="0" fontId="26" fillId="10" borderId="0" xfId="0" applyFont="1" applyFill="1" applyProtection="1">
      <protection hidden="1"/>
    </xf>
    <xf numFmtId="15" fontId="4" fillId="12" borderId="1" xfId="0" applyNumberFormat="1" applyFont="1" applyFill="1" applyBorder="1" applyAlignment="1" applyProtection="1">
      <alignment horizontal="center" vertical="center" wrapText="1"/>
      <protection hidden="1"/>
    </xf>
    <xf numFmtId="0" fontId="28" fillId="10" borderId="0" xfId="0" applyFont="1" applyFill="1" applyProtection="1">
      <protection hidden="1"/>
    </xf>
    <xf numFmtId="15" fontId="31" fillId="10" borderId="0" xfId="0" applyNumberFormat="1" applyFont="1" applyFill="1" applyAlignment="1" applyProtection="1">
      <alignment horizontal="center" vertical="center" wrapText="1"/>
      <protection hidden="1"/>
    </xf>
    <xf numFmtId="15" fontId="31" fillId="10" borderId="0" xfId="0" applyNumberFormat="1" applyFont="1" applyFill="1" applyAlignment="1">
      <alignment horizontal="center" vertical="center" wrapText="1"/>
    </xf>
    <xf numFmtId="0" fontId="32" fillId="12" borderId="40" xfId="0" applyFont="1" applyFill="1" applyBorder="1" applyAlignment="1" applyProtection="1">
      <alignment horizontal="left" vertical="center" wrapText="1"/>
      <protection hidden="1"/>
    </xf>
    <xf numFmtId="0" fontId="33" fillId="13" borderId="0" xfId="0" applyFont="1" applyFill="1" applyAlignment="1">
      <alignment horizontal="center" vertical="center" wrapText="1"/>
    </xf>
    <xf numFmtId="49" fontId="26" fillId="14" borderId="41" xfId="0" applyNumberFormat="1" applyFont="1" applyFill="1" applyBorder="1"/>
    <xf numFmtId="49" fontId="26" fillId="14" borderId="42" xfId="0" applyNumberFormat="1" applyFont="1" applyFill="1" applyBorder="1"/>
    <xf numFmtId="0" fontId="34" fillId="15" borderId="43" xfId="0" applyFont="1" applyFill="1" applyBorder="1" applyAlignment="1" applyProtection="1">
      <alignment horizontal="center" vertical="center" wrapText="1"/>
      <protection hidden="1"/>
    </xf>
    <xf numFmtId="0" fontId="34" fillId="16" borderId="44" xfId="0" applyFont="1" applyFill="1" applyBorder="1" applyAlignment="1" applyProtection="1">
      <alignment horizontal="center" vertical="center" wrapText="1"/>
      <protection hidden="1"/>
    </xf>
    <xf numFmtId="2" fontId="35" fillId="17" borderId="45" xfId="0" applyNumberFormat="1" applyFont="1" applyFill="1" applyBorder="1" applyAlignment="1" applyProtection="1">
      <alignment horizontal="center" vertical="center" wrapText="1"/>
      <protection hidden="1"/>
    </xf>
    <xf numFmtId="2" fontId="35" fillId="18" borderId="45" xfId="0" applyNumberFormat="1" applyFont="1" applyFill="1" applyBorder="1" applyAlignment="1" applyProtection="1">
      <alignment horizontal="center" vertical="center" wrapText="1"/>
      <protection hidden="1"/>
    </xf>
    <xf numFmtId="49" fontId="34" fillId="8" borderId="46" xfId="0" applyNumberFormat="1" applyFont="1" applyFill="1" applyBorder="1" applyAlignment="1">
      <alignment vertical="center" wrapText="1"/>
    </xf>
    <xf numFmtId="0" fontId="34" fillId="19" borderId="47" xfId="0" applyFont="1" applyFill="1" applyBorder="1" applyAlignment="1">
      <alignment horizontal="center" vertical="center" wrapText="1"/>
    </xf>
    <xf numFmtId="0" fontId="34" fillId="15" borderId="44" xfId="0" applyFont="1" applyFill="1" applyBorder="1" applyAlignment="1" applyProtection="1">
      <alignment horizontal="center" vertical="center" wrapText="1"/>
      <protection hidden="1"/>
    </xf>
    <xf numFmtId="0" fontId="34" fillId="15" borderId="48" xfId="0" applyFont="1" applyFill="1" applyBorder="1" applyAlignment="1" applyProtection="1">
      <alignment horizontal="center" vertical="center" wrapText="1"/>
      <protection hidden="1"/>
    </xf>
    <xf numFmtId="49" fontId="35" fillId="17" borderId="45" xfId="0" applyNumberFormat="1" applyFont="1" applyFill="1" applyBorder="1" applyAlignment="1" applyProtection="1">
      <alignment horizontal="center" vertical="center" wrapText="1"/>
      <protection hidden="1"/>
    </xf>
    <xf numFmtId="0" fontId="35" fillId="17" borderId="45" xfId="0" applyFont="1" applyFill="1" applyBorder="1" applyAlignment="1" applyProtection="1">
      <alignment vertical="center" wrapText="1"/>
      <protection hidden="1"/>
    </xf>
    <xf numFmtId="0" fontId="35" fillId="17" borderId="45" xfId="0" applyFont="1" applyFill="1" applyBorder="1" applyAlignment="1" applyProtection="1">
      <alignment horizontal="center" vertical="center" wrapText="1"/>
      <protection hidden="1"/>
    </xf>
    <xf numFmtId="49" fontId="35" fillId="18" borderId="45" xfId="0" applyNumberFormat="1" applyFont="1" applyFill="1" applyBorder="1" applyAlignment="1" applyProtection="1">
      <alignment horizontal="center" vertical="center" wrapText="1"/>
      <protection hidden="1"/>
    </xf>
    <xf numFmtId="0" fontId="35" fillId="18" borderId="45" xfId="0" applyFont="1" applyFill="1" applyBorder="1" applyAlignment="1" applyProtection="1">
      <alignment vertical="center" wrapText="1"/>
      <protection hidden="1"/>
    </xf>
    <xf numFmtId="0" fontId="35" fillId="18" borderId="45" xfId="0" applyFont="1" applyFill="1" applyBorder="1" applyAlignment="1" applyProtection="1">
      <alignment horizontal="center" vertical="center" wrapText="1"/>
      <protection hidden="1"/>
    </xf>
    <xf numFmtId="0" fontId="36" fillId="5" borderId="0" xfId="0" applyFont="1" applyFill="1" applyAlignment="1">
      <alignment horizontal="center" vertical="center"/>
    </xf>
    <xf numFmtId="0" fontId="30" fillId="15" borderId="0" xfId="0" applyFont="1" applyFill="1" applyAlignment="1">
      <alignment horizontal="center" vertical="center" wrapText="1"/>
    </xf>
    <xf numFmtId="0" fontId="32" fillId="12" borderId="0" xfId="0" applyFont="1" applyFill="1" applyAlignment="1">
      <alignment horizontal="left" vertical="center" wrapText="1"/>
    </xf>
    <xf numFmtId="0" fontId="34" fillId="19" borderId="0" xfId="0" applyFont="1" applyFill="1" applyAlignment="1">
      <alignment horizontal="center" vertical="center" wrapText="1"/>
    </xf>
    <xf numFmtId="0" fontId="34" fillId="15" borderId="0" xfId="0" applyFont="1" applyFill="1" applyAlignment="1">
      <alignment horizontal="center" vertical="center" wrapText="1"/>
    </xf>
    <xf numFmtId="0" fontId="35" fillId="17" borderId="0" xfId="0" applyFont="1" applyFill="1" applyAlignment="1">
      <alignment horizontal="center" vertical="center" wrapText="1"/>
    </xf>
    <xf numFmtId="49" fontId="35" fillId="10" borderId="0" xfId="0" applyNumberFormat="1" applyFont="1" applyFill="1" applyAlignment="1">
      <alignment horizontal="center" vertical="center" wrapText="1"/>
    </xf>
    <xf numFmtId="0" fontId="35" fillId="18" borderId="0" xfId="0" applyFont="1" applyFill="1" applyAlignment="1">
      <alignment horizontal="center" vertical="center" wrapText="1"/>
    </xf>
    <xf numFmtId="0" fontId="29" fillId="10" borderId="0" xfId="0" applyFont="1" applyFill="1"/>
    <xf numFmtId="0" fontId="37" fillId="10" borderId="0" xfId="0" applyFont="1" applyFill="1"/>
    <xf numFmtId="0" fontId="37" fillId="0" borderId="0" xfId="0" applyFont="1"/>
    <xf numFmtId="49" fontId="26" fillId="10" borderId="0" xfId="0" applyNumberFormat="1" applyFont="1" applyFill="1"/>
    <xf numFmtId="49" fontId="32" fillId="12" borderId="40" xfId="0" applyNumberFormat="1" applyFont="1" applyFill="1" applyBorder="1" applyAlignment="1" applyProtection="1">
      <alignment horizontal="left" vertical="center" wrapText="1"/>
      <protection hidden="1"/>
    </xf>
    <xf numFmtId="0" fontId="33" fillId="13" borderId="0" xfId="0" applyFont="1" applyFill="1" applyAlignment="1" applyProtection="1">
      <alignment horizontal="center" vertical="center" wrapText="1"/>
      <protection hidden="1"/>
    </xf>
    <xf numFmtId="0" fontId="34" fillId="15" borderId="43" xfId="0" applyFont="1" applyFill="1" applyBorder="1" applyAlignment="1">
      <alignment horizontal="center" vertical="center" wrapText="1"/>
    </xf>
    <xf numFmtId="0" fontId="34" fillId="16" borderId="44" xfId="0" applyFont="1" applyFill="1" applyBorder="1" applyAlignment="1">
      <alignment horizontal="center" vertical="center" wrapText="1"/>
    </xf>
    <xf numFmtId="0" fontId="35" fillId="20" borderId="49" xfId="0" applyFont="1" applyFill="1" applyBorder="1" applyAlignment="1" applyProtection="1">
      <alignment horizontal="center" vertical="center" wrapText="1"/>
      <protection hidden="1"/>
    </xf>
    <xf numFmtId="0" fontId="35" fillId="17" borderId="50" xfId="0" applyFont="1" applyFill="1" applyBorder="1" applyAlignment="1" applyProtection="1">
      <alignment horizontal="center" vertical="center" wrapText="1"/>
      <protection hidden="1"/>
    </xf>
    <xf numFmtId="0" fontId="35" fillId="17" borderId="49" xfId="0" applyFont="1" applyFill="1" applyBorder="1" applyAlignment="1" applyProtection="1">
      <alignment horizontal="center" vertical="center" wrapText="1"/>
      <protection hidden="1"/>
    </xf>
    <xf numFmtId="49" fontId="26" fillId="10" borderId="0" xfId="0" applyNumberFormat="1" applyFont="1" applyFill="1" applyAlignment="1">
      <alignment wrapText="1"/>
    </xf>
    <xf numFmtId="0" fontId="34" fillId="15" borderId="44" xfId="0" applyFont="1" applyFill="1" applyBorder="1" applyAlignment="1">
      <alignment horizontal="center" vertical="center" wrapText="1"/>
    </xf>
    <xf numFmtId="0" fontId="34" fillId="15" borderId="51" xfId="0" applyFont="1" applyFill="1" applyBorder="1" applyAlignment="1">
      <alignment horizontal="center" vertical="center" wrapText="1"/>
    </xf>
    <xf numFmtId="0" fontId="35" fillId="20" borderId="49" xfId="0" applyFont="1" applyFill="1" applyBorder="1" applyAlignment="1" applyProtection="1">
      <alignment vertical="center" wrapText="1"/>
      <protection hidden="1"/>
    </xf>
    <xf numFmtId="0" fontId="35" fillId="18" borderId="50" xfId="0" applyFont="1" applyFill="1" applyBorder="1" applyAlignment="1" applyProtection="1">
      <alignment horizontal="center" vertical="center" wrapText="1"/>
      <protection hidden="1"/>
    </xf>
    <xf numFmtId="0" fontId="35" fillId="17" borderId="49" xfId="0" applyFont="1" applyFill="1" applyBorder="1" applyAlignment="1" applyProtection="1">
      <alignment vertical="center" wrapText="1"/>
      <protection hidden="1"/>
    </xf>
    <xf numFmtId="0" fontId="30" fillId="15" borderId="0" xfId="0" applyFont="1" applyFill="1" applyAlignment="1" applyProtection="1">
      <alignment horizontal="center" vertical="center" wrapText="1"/>
      <protection hidden="1"/>
    </xf>
    <xf numFmtId="0" fontId="32" fillId="12" borderId="0" xfId="0" applyFont="1" applyFill="1" applyAlignment="1">
      <alignment vertical="center" wrapText="1"/>
    </xf>
    <xf numFmtId="0" fontId="35" fillId="20" borderId="0" xfId="0" applyFont="1" applyFill="1" applyAlignment="1">
      <alignment horizontal="center" vertical="center" wrapText="1"/>
    </xf>
    <xf numFmtId="49" fontId="26" fillId="14" borderId="0" xfId="0" applyNumberFormat="1" applyFont="1" applyFill="1" applyProtection="1">
      <protection hidden="1"/>
    </xf>
    <xf numFmtId="49" fontId="26" fillId="14" borderId="52" xfId="0" applyNumberFormat="1" applyFont="1" applyFill="1" applyBorder="1" applyProtection="1">
      <protection hidden="1"/>
    </xf>
    <xf numFmtId="49" fontId="26" fillId="14" borderId="53" xfId="0" applyNumberFormat="1" applyFont="1" applyFill="1" applyBorder="1" applyProtection="1">
      <protection hidden="1"/>
    </xf>
    <xf numFmtId="0" fontId="34" fillId="15" borderId="54" xfId="0" applyFont="1" applyFill="1" applyBorder="1" applyAlignment="1" applyProtection="1">
      <alignment horizontal="center" vertical="center" wrapText="1"/>
      <protection hidden="1"/>
    </xf>
    <xf numFmtId="0" fontId="30" fillId="15" borderId="44" xfId="0" applyFont="1" applyFill="1" applyBorder="1" applyAlignment="1" applyProtection="1">
      <alignment horizontal="center" vertical="center" wrapText="1"/>
      <protection hidden="1"/>
    </xf>
    <xf numFmtId="0" fontId="34" fillId="15" borderId="55" xfId="0" applyFont="1" applyFill="1" applyBorder="1" applyAlignment="1" applyProtection="1">
      <alignment horizontal="center" vertical="center" wrapText="1"/>
      <protection hidden="1"/>
    </xf>
    <xf numFmtId="0" fontId="35" fillId="10" borderId="56" xfId="0" applyFont="1" applyFill="1" applyBorder="1" applyAlignment="1" applyProtection="1">
      <alignment vertical="center" wrapText="1"/>
      <protection hidden="1"/>
    </xf>
    <xf numFmtId="0" fontId="35" fillId="10" borderId="56" xfId="0" applyFont="1" applyFill="1" applyBorder="1" applyAlignment="1" applyProtection="1">
      <alignment horizontal="center" vertical="center" wrapText="1"/>
      <protection hidden="1"/>
    </xf>
    <xf numFmtId="0" fontId="35" fillId="10" borderId="57" xfId="0" applyFont="1" applyFill="1" applyBorder="1" applyAlignment="1" applyProtection="1">
      <alignment horizontal="center" vertical="center" wrapText="1"/>
      <protection hidden="1"/>
    </xf>
    <xf numFmtId="49" fontId="35" fillId="18" borderId="45" xfId="0" applyNumberFormat="1" applyFont="1" applyFill="1" applyBorder="1" applyAlignment="1" applyProtection="1">
      <alignment vertical="center" wrapText="1"/>
      <protection hidden="1"/>
    </xf>
    <xf numFmtId="49" fontId="35" fillId="21" borderId="56" xfId="0" applyNumberFormat="1" applyFont="1" applyFill="1" applyBorder="1" applyAlignment="1" applyProtection="1">
      <alignment horizontal="center" vertical="center" wrapText="1"/>
      <protection hidden="1"/>
    </xf>
    <xf numFmtId="0" fontId="35" fillId="21" borderId="56" xfId="0" applyFont="1" applyFill="1" applyBorder="1" applyAlignment="1" applyProtection="1">
      <alignment vertical="center" wrapText="1"/>
      <protection hidden="1"/>
    </xf>
    <xf numFmtId="0" fontId="34" fillId="19" borderId="47" xfId="0" applyFont="1" applyFill="1" applyBorder="1" applyAlignment="1" applyProtection="1">
      <alignment vertical="center" wrapText="1"/>
      <protection hidden="1"/>
    </xf>
    <xf numFmtId="0" fontId="34" fillId="15" borderId="58" xfId="0" applyFont="1" applyFill="1" applyBorder="1" applyAlignment="1" applyProtection="1">
      <alignment horizontal="center" vertical="center" wrapText="1"/>
      <protection hidden="1"/>
    </xf>
    <xf numFmtId="0" fontId="35" fillId="21" borderId="56" xfId="0" applyFont="1" applyFill="1" applyBorder="1" applyAlignment="1" applyProtection="1">
      <alignment horizontal="center" vertical="center" wrapText="1"/>
      <protection hidden="1"/>
    </xf>
    <xf numFmtId="0" fontId="0" fillId="10" borderId="0" xfId="0" applyFill="1"/>
    <xf numFmtId="0" fontId="34" fillId="19" borderId="0" xfId="0" applyFont="1" applyFill="1" applyAlignment="1">
      <alignment vertical="center" wrapText="1"/>
    </xf>
    <xf numFmtId="15" fontId="34" fillId="10" borderId="0" xfId="0" applyNumberFormat="1" applyFont="1" applyFill="1" applyAlignment="1">
      <alignment horizontal="center" vertical="center"/>
    </xf>
    <xf numFmtId="0" fontId="35" fillId="10" borderId="0" xfId="0" applyFont="1" applyFill="1" applyAlignment="1">
      <alignment horizontal="center" vertical="center" wrapText="1"/>
    </xf>
    <xf numFmtId="49" fontId="35" fillId="21" borderId="0" xfId="0" applyNumberFormat="1" applyFont="1" applyFill="1" applyAlignment="1">
      <alignment horizontal="center" vertical="center" wrapText="1"/>
    </xf>
    <xf numFmtId="49" fontId="0" fillId="6" borderId="0" xfId="0" applyNumberFormat="1" applyFill="1" applyAlignment="1">
      <alignment horizontal="center"/>
    </xf>
    <xf numFmtId="0" fontId="38" fillId="10" borderId="0" xfId="0" applyFont="1" applyFill="1" applyAlignment="1">
      <alignment horizontal="center" vertical="center"/>
    </xf>
    <xf numFmtId="0" fontId="29" fillId="10" borderId="0" xfId="0" applyFont="1" applyFill="1" applyAlignment="1">
      <alignment wrapText="1"/>
    </xf>
    <xf numFmtId="0" fontId="29" fillId="0" borderId="0" xfId="0" applyFont="1" applyAlignment="1">
      <alignment wrapText="1"/>
    </xf>
    <xf numFmtId="49" fontId="26" fillId="0" borderId="0" xfId="0" applyNumberFormat="1" applyFont="1"/>
    <xf numFmtId="49" fontId="39" fillId="14" borderId="52" xfId="0" applyNumberFormat="1" applyFont="1" applyFill="1" applyBorder="1" applyProtection="1">
      <protection hidden="1"/>
    </xf>
    <xf numFmtId="49" fontId="39" fillId="14" borderId="53" xfId="0" applyNumberFormat="1" applyFont="1" applyFill="1" applyBorder="1" applyProtection="1">
      <protection hidden="1"/>
    </xf>
    <xf numFmtId="0" fontId="34" fillId="13" borderId="59" xfId="0" applyFont="1" applyFill="1" applyBorder="1" applyAlignment="1" applyProtection="1">
      <alignment horizontal="center" vertical="center" wrapText="1"/>
      <protection hidden="1"/>
    </xf>
    <xf numFmtId="0" fontId="34" fillId="13" borderId="60" xfId="0" applyFont="1" applyFill="1" applyBorder="1" applyAlignment="1" applyProtection="1">
      <alignment horizontal="center" vertical="center" wrapText="1"/>
      <protection hidden="1"/>
    </xf>
    <xf numFmtId="0" fontId="34" fillId="13" borderId="61" xfId="0" applyFont="1" applyFill="1" applyBorder="1" applyAlignment="1" applyProtection="1">
      <alignment vertical="center" wrapText="1"/>
      <protection hidden="1"/>
    </xf>
    <xf numFmtId="0" fontId="35" fillId="10" borderId="50" xfId="0" applyFont="1" applyFill="1" applyBorder="1" applyAlignment="1" applyProtection="1">
      <alignment vertical="center" wrapText="1"/>
      <protection hidden="1"/>
    </xf>
    <xf numFmtId="0" fontId="35" fillId="6" borderId="45" xfId="0" applyFont="1" applyFill="1" applyBorder="1" applyAlignment="1" applyProtection="1">
      <alignment horizontal="left" vertical="center" wrapText="1"/>
      <protection hidden="1"/>
    </xf>
    <xf numFmtId="49" fontId="34" fillId="8" borderId="52" xfId="0" applyNumberFormat="1" applyFont="1" applyFill="1" applyBorder="1" applyAlignment="1" applyProtection="1">
      <alignment vertical="center"/>
      <protection hidden="1"/>
    </xf>
    <xf numFmtId="49" fontId="34" fillId="8" borderId="53" xfId="0" applyNumberFormat="1" applyFont="1" applyFill="1" applyBorder="1" applyAlignment="1" applyProtection="1">
      <alignment vertical="center"/>
      <protection hidden="1"/>
    </xf>
    <xf numFmtId="49" fontId="34" fillId="8" borderId="0" xfId="0" applyNumberFormat="1" applyFont="1" applyFill="1" applyAlignment="1">
      <alignment vertical="center"/>
    </xf>
    <xf numFmtId="0" fontId="34" fillId="13" borderId="0" xfId="0" applyFont="1" applyFill="1" applyAlignment="1" applyProtection="1">
      <alignment horizontal="center" vertical="center" wrapText="1"/>
      <protection hidden="1"/>
    </xf>
    <xf numFmtId="0" fontId="0" fillId="0" borderId="0" xfId="0" applyAlignment="1">
      <alignment horizontal="center"/>
    </xf>
    <xf numFmtId="49" fontId="0" fillId="0" borderId="0" xfId="0" applyNumberFormat="1" applyAlignment="1">
      <alignment horizontal="center"/>
    </xf>
    <xf numFmtId="49" fontId="35" fillId="22" borderId="0" xfId="0" applyNumberFormat="1" applyFont="1" applyFill="1" applyAlignment="1">
      <alignment horizontal="center" vertical="center"/>
    </xf>
    <xf numFmtId="49" fontId="35" fillId="10" borderId="0" xfId="0" applyNumberFormat="1" applyFont="1" applyFill="1" applyAlignment="1">
      <alignment horizontal="center" vertical="center"/>
    </xf>
    <xf numFmtId="0" fontId="0" fillId="6" borderId="0" xfId="0" applyFill="1"/>
    <xf numFmtId="0" fontId="0" fillId="0" borderId="0" xfId="0" applyAlignment="1">
      <alignment horizontal="center" vertical="center"/>
    </xf>
    <xf numFmtId="0" fontId="40" fillId="12" borderId="2" xfId="0" applyFont="1" applyFill="1" applyBorder="1" applyAlignment="1">
      <alignment vertical="center"/>
    </xf>
    <xf numFmtId="0" fontId="23" fillId="12" borderId="3" xfId="1" applyFill="1" applyBorder="1" applyAlignment="1" applyProtection="1">
      <alignment horizontal="center" vertical="center"/>
    </xf>
    <xf numFmtId="0" fontId="0" fillId="7" borderId="1" xfId="0" applyFill="1" applyBorder="1"/>
    <xf numFmtId="0" fontId="41" fillId="23" borderId="1" xfId="0" applyFont="1" applyFill="1" applyBorder="1" applyAlignment="1" applyProtection="1">
      <alignment horizontal="center" vertical="center" wrapText="1"/>
      <protection hidden="1"/>
    </xf>
    <xf numFmtId="0" fontId="21" fillId="12" borderId="1" xfId="14" applyFill="1" applyBorder="1" applyAlignment="1" applyProtection="1">
      <alignment horizontal="center" vertical="center" wrapText="1"/>
      <protection locked="0" hidden="1"/>
    </xf>
    <xf numFmtId="0" fontId="0" fillId="0" borderId="1" xfId="0" applyBorder="1" applyAlignment="1" applyProtection="1">
      <alignment horizontal="left" vertical="center" wrapText="1"/>
      <protection locked="0"/>
    </xf>
    <xf numFmtId="0" fontId="0" fillId="0" borderId="1" xfId="0" applyBorder="1" applyAlignment="1" applyProtection="1">
      <alignment horizontal="left" vertical="center"/>
      <protection locked="0"/>
    </xf>
    <xf numFmtId="0" fontId="0" fillId="7" borderId="1" xfId="0" applyFill="1" applyBorder="1" applyAlignment="1">
      <alignment horizontal="center"/>
    </xf>
    <xf numFmtId="0" fontId="0" fillId="0" borderId="0" xfId="0" applyProtection="1">
      <protection hidden="1"/>
    </xf>
    <xf numFmtId="0" fontId="0" fillId="10" borderId="0" xfId="0" applyFill="1" applyAlignment="1">
      <alignment shrinkToFit="1"/>
    </xf>
    <xf numFmtId="0" fontId="23" fillId="12" borderId="2" xfId="1" applyFill="1" applyBorder="1" applyAlignment="1" applyProtection="1">
      <alignment horizontal="center" vertical="center"/>
    </xf>
    <xf numFmtId="169" fontId="0" fillId="10" borderId="1" xfId="0" applyNumberFormat="1" applyFill="1" applyBorder="1" applyAlignment="1" applyProtection="1">
      <alignment horizontal="center" vertical="center"/>
      <protection locked="0"/>
    </xf>
    <xf numFmtId="4" fontId="0" fillId="10" borderId="1" xfId="0" applyNumberFormat="1" applyFill="1" applyBorder="1" applyAlignment="1" applyProtection="1">
      <alignment horizontal="center" vertical="center" shrinkToFit="1"/>
      <protection locked="0"/>
    </xf>
    <xf numFmtId="0" fontId="0" fillId="10" borderId="0" xfId="0" applyFill="1" applyAlignment="1">
      <alignment horizontal="center"/>
    </xf>
    <xf numFmtId="0" fontId="0" fillId="10" borderId="0" xfId="0" applyFill="1" applyAlignment="1">
      <alignment horizontal="center" vertical="center"/>
    </xf>
    <xf numFmtId="0" fontId="0" fillId="10" borderId="0" xfId="0" applyFill="1" applyAlignment="1">
      <alignment horizontal="left" vertical="center" wrapText="1"/>
    </xf>
    <xf numFmtId="0" fontId="0" fillId="10" borderId="0" xfId="0" applyFill="1" applyAlignment="1">
      <alignment horizontal="center" vertical="center" wrapText="1"/>
    </xf>
    <xf numFmtId="4" fontId="0" fillId="10" borderId="0" xfId="0" applyNumberFormat="1" applyFill="1" applyAlignment="1" applyProtection="1">
      <alignment horizontal="center" vertical="center"/>
      <protection locked="0"/>
    </xf>
    <xf numFmtId="10" fontId="0" fillId="10" borderId="0" xfId="0" applyNumberFormat="1" applyFill="1" applyAlignment="1" applyProtection="1">
      <alignment horizontal="center" vertical="center"/>
      <protection locked="0"/>
    </xf>
    <xf numFmtId="0" fontId="0" fillId="10" borderId="0" xfId="0" applyFill="1" applyAlignment="1" applyProtection="1">
      <alignment horizontal="center" vertical="center"/>
      <protection locked="0"/>
    </xf>
    <xf numFmtId="0" fontId="0" fillId="10" borderId="0" xfId="0" applyFill="1" applyAlignment="1" applyProtection="1">
      <alignment horizontal="center" vertical="center" wrapText="1"/>
      <protection locked="0"/>
    </xf>
    <xf numFmtId="0" fontId="0" fillId="10" borderId="0" xfId="0" applyFill="1" applyAlignment="1" applyProtection="1">
      <alignment horizontal="left" vertical="center" wrapText="1"/>
      <protection locked="0"/>
    </xf>
    <xf numFmtId="0" fontId="0" fillId="9" borderId="0" xfId="0" applyFill="1"/>
    <xf numFmtId="0" fontId="41" fillId="23" borderId="1" xfId="0" applyFont="1" applyFill="1" applyBorder="1" applyAlignment="1">
      <alignment horizontal="center" vertical="center" wrapText="1"/>
    </xf>
    <xf numFmtId="0" fontId="28" fillId="0" borderId="0" xfId="0" applyFont="1" applyProtection="1">
      <protection hidden="1"/>
    </xf>
    <xf numFmtId="3"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0" fillId="7" borderId="4" xfId="0" applyFill="1" applyBorder="1"/>
    <xf numFmtId="49" fontId="42" fillId="0" borderId="0" xfId="0" applyNumberFormat="1" applyFont="1"/>
    <xf numFmtId="4" fontId="0" fillId="0" borderId="1" xfId="0" applyNumberFormat="1" applyBorder="1" applyAlignment="1" applyProtection="1">
      <alignment horizontal="center" vertical="center"/>
      <protection locked="0"/>
    </xf>
    <xf numFmtId="169" fontId="0" fillId="0" borderId="1" xfId="0" applyNumberFormat="1" applyBorder="1" applyAlignment="1" applyProtection="1">
      <alignment horizontal="center" vertical="center"/>
      <protection locked="0"/>
    </xf>
    <xf numFmtId="1" fontId="0" fillId="0" borderId="0" xfId="0" applyNumberFormat="1"/>
    <xf numFmtId="0" fontId="43" fillId="24" borderId="1" xfId="0" applyFont="1" applyFill="1" applyBorder="1" applyAlignment="1">
      <alignment horizontal="left" vertical="top" wrapText="1"/>
    </xf>
    <xf numFmtId="0" fontId="43" fillId="0" borderId="0" xfId="0" applyFont="1"/>
    <xf numFmtId="0" fontId="43" fillId="24" borderId="1" xfId="0" applyFont="1" applyFill="1" applyBorder="1" applyAlignment="1" applyProtection="1">
      <alignment horizontal="left" vertical="top" wrapText="1"/>
      <protection locked="0"/>
    </xf>
    <xf numFmtId="0" fontId="22" fillId="0" borderId="0" xfId="15"/>
    <xf numFmtId="0" fontId="24" fillId="0" borderId="0" xfId="15" applyFont="1"/>
    <xf numFmtId="0" fontId="22" fillId="0" borderId="0" xfId="15" applyAlignment="1">
      <alignment wrapText="1"/>
    </xf>
    <xf numFmtId="0" fontId="24" fillId="0" borderId="0" xfId="15" applyFont="1" applyAlignment="1">
      <alignment wrapText="1"/>
    </xf>
    <xf numFmtId="0" fontId="22" fillId="25" borderId="0" xfId="15" applyFill="1"/>
    <xf numFmtId="0" fontId="24" fillId="25" borderId="0" xfId="15" applyFont="1" applyFill="1"/>
    <xf numFmtId="0" fontId="21" fillId="0" borderId="0" xfId="15" applyFont="1"/>
    <xf numFmtId="0" fontId="44" fillId="0" borderId="0" xfId="0" applyFont="1"/>
    <xf numFmtId="0" fontId="0" fillId="0" borderId="0" xfId="0" applyAlignment="1">
      <alignment wrapText="1"/>
    </xf>
    <xf numFmtId="17" fontId="29" fillId="0" borderId="1" xfId="0" applyNumberFormat="1" applyFont="1" applyBorder="1" applyAlignment="1">
      <alignment horizontal="center" vertical="center" wrapText="1"/>
    </xf>
    <xf numFmtId="17" fontId="29" fillId="0" borderId="0" xfId="0" applyNumberFormat="1" applyFont="1" applyAlignment="1">
      <alignment horizontal="center" vertical="center" wrapText="1"/>
    </xf>
    <xf numFmtId="14" fontId="0" fillId="0" borderId="0" xfId="0" applyNumberFormat="1"/>
    <xf numFmtId="0" fontId="45" fillId="0" borderId="0" xfId="0" applyFont="1"/>
    <xf numFmtId="0" fontId="0" fillId="0" borderId="0" xfId="0" applyProtection="1">
      <protection locked="0"/>
    </xf>
    <xf numFmtId="0" fontId="0" fillId="4" borderId="0" xfId="0" applyFill="1" applyProtection="1">
      <protection locked="0"/>
    </xf>
    <xf numFmtId="0" fontId="0" fillId="0" borderId="39" xfId="0" applyBorder="1" applyProtection="1">
      <protection locked="0"/>
    </xf>
    <xf numFmtId="0" fontId="0" fillId="0" borderId="39" xfId="0" applyBorder="1" applyAlignment="1" applyProtection="1">
      <alignment wrapText="1"/>
      <protection locked="0"/>
    </xf>
    <xf numFmtId="167" fontId="0" fillId="0" borderId="39" xfId="0" applyNumberFormat="1" applyBorder="1" applyProtection="1">
      <protection locked="0"/>
    </xf>
    <xf numFmtId="2" fontId="0" fillId="0" borderId="39" xfId="0" applyNumberFormat="1" applyBorder="1" applyProtection="1">
      <protection locked="0"/>
    </xf>
    <xf numFmtId="166" fontId="0" fillId="0" borderId="39" xfId="0" applyNumberFormat="1" applyBorder="1" applyProtection="1">
      <protection locked="0"/>
    </xf>
    <xf numFmtId="49" fontId="0" fillId="0" borderId="39" xfId="0" applyNumberFormat="1" applyBorder="1" applyProtection="1">
      <protection locked="0"/>
    </xf>
    <xf numFmtId="0" fontId="0" fillId="0" borderId="39" xfId="0" applyBorder="1"/>
    <xf numFmtId="0" fontId="0" fillId="0" borderId="0" xfId="0" applyAlignment="1" applyProtection="1">
      <alignment wrapText="1"/>
      <protection locked="0"/>
    </xf>
    <xf numFmtId="2" fontId="0" fillId="0" borderId="0" xfId="0" applyNumberFormat="1" applyProtection="1">
      <protection locked="0"/>
    </xf>
    <xf numFmtId="0" fontId="46" fillId="0" borderId="0" xfId="0" applyFont="1" applyProtection="1">
      <protection locked="0"/>
    </xf>
    <xf numFmtId="1" fontId="0" fillId="0" borderId="39" xfId="0" applyNumberFormat="1" applyBorder="1" applyProtection="1">
      <protection locked="0"/>
    </xf>
    <xf numFmtId="165" fontId="0" fillId="0" borderId="39" xfId="0" applyNumberFormat="1" applyBorder="1" applyProtection="1">
      <protection locked="0"/>
    </xf>
    <xf numFmtId="174" fontId="0" fillId="0" borderId="39" xfId="0" applyNumberFormat="1" applyBorder="1" applyProtection="1">
      <protection locked="0"/>
    </xf>
    <xf numFmtId="14" fontId="0" fillId="0" borderId="39" xfId="0" applyNumberFormat="1" applyBorder="1" applyProtection="1">
      <protection locked="0"/>
    </xf>
    <xf numFmtId="49" fontId="0" fillId="0" borderId="39" xfId="0" applyNumberFormat="1" applyBorder="1" applyAlignment="1" applyProtection="1">
      <alignment wrapText="1"/>
      <protection locked="0"/>
    </xf>
    <xf numFmtId="0" fontId="0" fillId="0" borderId="62" xfId="0" applyBorder="1"/>
    <xf numFmtId="0" fontId="0" fillId="0" borderId="63" xfId="0" applyBorder="1"/>
    <xf numFmtId="0" fontId="0" fillId="0" borderId="64" xfId="0" applyBorder="1"/>
    <xf numFmtId="0" fontId="0" fillId="0" borderId="65" xfId="0" applyBorder="1"/>
    <xf numFmtId="0" fontId="28" fillId="0" borderId="64" xfId="0" applyFont="1" applyBorder="1"/>
    <xf numFmtId="0" fontId="40" fillId="12" borderId="2" xfId="0" applyFont="1" applyFill="1" applyBorder="1" applyAlignment="1" applyProtection="1">
      <alignment vertical="center"/>
      <protection hidden="1"/>
    </xf>
    <xf numFmtId="169" fontId="29" fillId="0" borderId="1" xfId="0" applyNumberFormat="1" applyFont="1" applyBorder="1" applyAlignment="1" applyProtection="1">
      <alignment horizontal="center" vertical="center" wrapText="1"/>
      <protection locked="0"/>
    </xf>
    <xf numFmtId="4" fontId="29" fillId="0" borderId="1" xfId="0" applyNumberFormat="1" applyFont="1" applyBorder="1" applyAlignment="1" applyProtection="1">
      <alignment horizontal="center" vertical="center" wrapText="1"/>
      <protection locked="0"/>
    </xf>
    <xf numFmtId="2" fontId="0" fillId="0" borderId="0" xfId="0" applyNumberFormat="1"/>
    <xf numFmtId="0" fontId="0" fillId="0" borderId="66" xfId="0" applyBorder="1"/>
    <xf numFmtId="0" fontId="28" fillId="0" borderId="66" xfId="0" applyFont="1" applyBorder="1"/>
    <xf numFmtId="0" fontId="0" fillId="0" borderId="67" xfId="0" applyBorder="1"/>
    <xf numFmtId="0" fontId="0" fillId="12" borderId="5" xfId="0" applyFill="1" applyBorder="1" applyAlignment="1">
      <alignment vertical="center" wrapText="1"/>
    </xf>
    <xf numFmtId="0" fontId="1" fillId="0" borderId="6" xfId="4" applyBorder="1"/>
    <xf numFmtId="49" fontId="1" fillId="0" borderId="6" xfId="4" applyNumberFormat="1" applyBorder="1"/>
    <xf numFmtId="0" fontId="1" fillId="0" borderId="68" xfId="4" applyBorder="1"/>
    <xf numFmtId="49" fontId="1" fillId="0" borderId="0" xfId="4" applyNumberFormat="1"/>
    <xf numFmtId="0" fontId="22" fillId="0" borderId="1" xfId="5" applyBorder="1"/>
    <xf numFmtId="0" fontId="22" fillId="0" borderId="1" xfId="5" applyBorder="1" applyAlignment="1">
      <alignment horizontal="center" vertical="center"/>
    </xf>
    <xf numFmtId="14" fontId="22" fillId="0" borderId="1" xfId="5" applyNumberFormat="1" applyBorder="1" applyAlignment="1">
      <alignment horizontal="center" vertical="center"/>
    </xf>
    <xf numFmtId="0" fontId="22" fillId="0" borderId="1" xfId="5" applyBorder="1" applyAlignment="1">
      <alignment wrapText="1"/>
    </xf>
    <xf numFmtId="14" fontId="22" fillId="0" borderId="1" xfId="5" applyNumberFormat="1" applyBorder="1"/>
    <xf numFmtId="0" fontId="22" fillId="0" borderId="1" xfId="13" applyBorder="1"/>
    <xf numFmtId="14" fontId="22" fillId="0" borderId="1" xfId="13" applyNumberFormat="1" applyBorder="1"/>
    <xf numFmtId="0" fontId="22" fillId="0" borderId="1" xfId="13" applyBorder="1" applyAlignment="1">
      <alignment wrapText="1"/>
    </xf>
    <xf numFmtId="0" fontId="0" fillId="0" borderId="0" xfId="0" applyAlignment="1">
      <alignment vertical="center"/>
    </xf>
    <xf numFmtId="17" fontId="23" fillId="10" borderId="0" xfId="1" applyNumberFormat="1" applyFill="1" applyBorder="1" applyAlignment="1" applyProtection="1">
      <alignment horizontal="center" vertical="center"/>
    </xf>
    <xf numFmtId="0" fontId="40" fillId="23" borderId="7" xfId="0" applyFont="1" applyFill="1" applyBorder="1" applyAlignment="1">
      <alignment horizontal="center" vertical="center"/>
    </xf>
    <xf numFmtId="0" fontId="40" fillId="23" borderId="0" xfId="0" applyFont="1" applyFill="1" applyAlignment="1">
      <alignment horizontal="center" vertical="center"/>
    </xf>
    <xf numFmtId="0" fontId="40" fillId="23" borderId="8" xfId="0" applyFont="1" applyFill="1" applyBorder="1" applyAlignment="1">
      <alignment horizontal="center" vertical="center" wrapText="1"/>
    </xf>
    <xf numFmtId="0" fontId="0" fillId="12" borderId="9" xfId="0" applyFill="1" applyBorder="1" applyAlignment="1" applyProtection="1">
      <alignment horizontal="center" vertical="center" wrapText="1"/>
      <protection hidden="1"/>
    </xf>
    <xf numFmtId="0" fontId="0" fillId="12" borderId="10" xfId="0" applyFill="1" applyBorder="1" applyAlignment="1" applyProtection="1">
      <alignment horizontal="center" vertical="center" wrapText="1"/>
      <protection hidden="1"/>
    </xf>
    <xf numFmtId="15" fontId="0" fillId="10" borderId="10" xfId="0" applyNumberFormat="1" applyFill="1" applyBorder="1" applyAlignment="1" applyProtection="1">
      <alignment horizontal="center" vertical="center"/>
      <protection locked="0"/>
    </xf>
    <xf numFmtId="15" fontId="0" fillId="0" borderId="0" xfId="0" applyNumberFormat="1" applyAlignment="1">
      <alignment horizontal="center" vertical="center"/>
    </xf>
    <xf numFmtId="0" fontId="47" fillId="0" borderId="0" xfId="0" applyFont="1" applyAlignment="1">
      <alignment horizontal="center" vertical="center"/>
    </xf>
    <xf numFmtId="0" fontId="48" fillId="23" borderId="8" xfId="0" applyFont="1" applyFill="1" applyBorder="1" applyAlignment="1">
      <alignment horizontal="center" vertical="center" wrapText="1"/>
    </xf>
    <xf numFmtId="165" fontId="28" fillId="0" borderId="0" xfId="0" applyNumberFormat="1" applyFont="1"/>
    <xf numFmtId="0" fontId="28" fillId="0" borderId="0" xfId="0" applyFont="1" applyAlignment="1">
      <alignment wrapText="1"/>
    </xf>
    <xf numFmtId="165" fontId="0" fillId="10" borderId="11" xfId="0" applyNumberFormat="1" applyFill="1" applyBorder="1" applyAlignment="1" applyProtection="1">
      <alignment horizontal="center" vertical="center"/>
      <protection locked="0" hidden="1"/>
    </xf>
    <xf numFmtId="0" fontId="40" fillId="23" borderId="7" xfId="0" applyFont="1" applyFill="1" applyBorder="1" applyAlignment="1">
      <alignment horizontal="center" vertical="center" wrapText="1"/>
    </xf>
    <xf numFmtId="15" fontId="0" fillId="12" borderId="10" xfId="0" applyNumberFormat="1" applyFill="1" applyBorder="1" applyAlignment="1">
      <alignment horizontal="center" vertical="center"/>
    </xf>
    <xf numFmtId="15" fontId="28" fillId="10" borderId="0" xfId="0" applyNumberFormat="1" applyFont="1" applyFill="1" applyAlignment="1">
      <alignment horizontal="center" vertical="center"/>
    </xf>
    <xf numFmtId="15" fontId="28" fillId="10" borderId="0" xfId="0" applyNumberFormat="1" applyFont="1" applyFill="1" applyAlignment="1">
      <alignment horizontal="center" vertical="center" wrapText="1"/>
    </xf>
    <xf numFmtId="15" fontId="0" fillId="12" borderId="11" xfId="0" applyNumberFormat="1" applyFill="1" applyBorder="1" applyAlignment="1">
      <alignment horizontal="center" vertical="center"/>
    </xf>
    <xf numFmtId="15" fontId="0" fillId="10" borderId="0" xfId="0" applyNumberFormat="1" applyFill="1" applyAlignment="1">
      <alignment horizontal="center" vertical="center"/>
    </xf>
    <xf numFmtId="0" fontId="40" fillId="12" borderId="12" xfId="0" applyFont="1" applyFill="1" applyBorder="1" applyAlignment="1">
      <alignment horizontal="center" vertical="center"/>
    </xf>
    <xf numFmtId="0" fontId="40" fillId="12" borderId="13" xfId="0" applyFont="1" applyFill="1" applyBorder="1" applyAlignment="1">
      <alignment horizontal="center" vertical="center"/>
    </xf>
    <xf numFmtId="0" fontId="23" fillId="12" borderId="14" xfId="1" applyFill="1" applyBorder="1" applyAlignment="1" applyProtection="1">
      <alignment horizontal="center" vertical="center"/>
    </xf>
    <xf numFmtId="0" fontId="40" fillId="12" borderId="15" xfId="0" applyFont="1" applyFill="1" applyBorder="1" applyAlignment="1">
      <alignment horizontal="center" vertical="center"/>
    </xf>
    <xf numFmtId="0" fontId="40" fillId="12" borderId="16" xfId="0" applyFont="1" applyFill="1" applyBorder="1" applyAlignment="1">
      <alignment horizontal="center" vertical="center"/>
    </xf>
    <xf numFmtId="17" fontId="23" fillId="10" borderId="12" xfId="1" applyNumberFormat="1" applyFill="1" applyBorder="1" applyAlignment="1" applyProtection="1">
      <alignment horizontal="center" vertical="center"/>
    </xf>
    <xf numFmtId="17" fontId="23" fillId="10" borderId="13" xfId="1" applyNumberFormat="1" applyFill="1" applyBorder="1" applyAlignment="1" applyProtection="1">
      <alignment horizontal="center" vertical="center"/>
    </xf>
    <xf numFmtId="17" fontId="23" fillId="10" borderId="17" xfId="1" applyNumberFormat="1" applyFill="1" applyBorder="1" applyAlignment="1" applyProtection="1">
      <alignment horizontal="center" vertical="center"/>
    </xf>
    <xf numFmtId="0" fontId="40" fillId="23" borderId="39" xfId="0" applyFont="1" applyFill="1" applyBorder="1" applyAlignment="1">
      <alignment horizontal="center" vertical="center" wrapText="1"/>
    </xf>
    <xf numFmtId="17" fontId="23" fillId="10" borderId="8" xfId="1" applyNumberFormat="1" applyFill="1" applyBorder="1" applyAlignment="1" applyProtection="1">
      <alignment horizontal="center" vertical="center"/>
    </xf>
    <xf numFmtId="49" fontId="0" fillId="12" borderId="39" xfId="0" applyNumberFormat="1" applyFill="1" applyBorder="1" applyAlignment="1">
      <alignment horizontal="center" vertical="center"/>
    </xf>
    <xf numFmtId="49" fontId="0" fillId="10" borderId="69" xfId="0" applyNumberFormat="1" applyFill="1" applyBorder="1" applyAlignment="1">
      <alignment horizontal="center" vertical="center"/>
    </xf>
    <xf numFmtId="49" fontId="0" fillId="12" borderId="70" xfId="0" applyNumberFormat="1" applyFill="1" applyBorder="1" applyAlignment="1">
      <alignment horizontal="center" vertical="center"/>
    </xf>
    <xf numFmtId="0" fontId="0" fillId="0" borderId="13" xfId="0" applyBorder="1"/>
    <xf numFmtId="0" fontId="40" fillId="23" borderId="71" xfId="0" applyFont="1" applyFill="1" applyBorder="1" applyAlignment="1">
      <alignment horizontal="center" vertical="center" wrapText="1"/>
    </xf>
    <xf numFmtId="0" fontId="40" fillId="23" borderId="60" xfId="0" applyFont="1" applyFill="1" applyBorder="1" applyAlignment="1">
      <alignment horizontal="center" vertical="center" wrapText="1"/>
    </xf>
    <xf numFmtId="0" fontId="40" fillId="23" borderId="72" xfId="0" applyFont="1" applyFill="1" applyBorder="1" applyAlignment="1">
      <alignment horizontal="center" vertical="center" wrapText="1"/>
    </xf>
    <xf numFmtId="0" fontId="40" fillId="0" borderId="0" xfId="0" applyFont="1" applyAlignment="1">
      <alignment horizontal="center" vertical="center" wrapText="1"/>
    </xf>
    <xf numFmtId="1" fontId="0" fillId="12" borderId="0" xfId="0" applyNumberFormat="1" applyFill="1" applyAlignment="1">
      <alignment horizontal="center" vertical="center"/>
    </xf>
    <xf numFmtId="49" fontId="0" fillId="12" borderId="0" xfId="0" applyNumberFormat="1" applyFill="1" applyAlignment="1">
      <alignment horizontal="center" vertical="center"/>
    </xf>
    <xf numFmtId="49" fontId="22" fillId="12" borderId="0" xfId="0" applyNumberFormat="1" applyFont="1" applyFill="1" applyAlignment="1">
      <alignment horizontal="left" vertical="center" wrapText="1"/>
    </xf>
    <xf numFmtId="0" fontId="0" fillId="0" borderId="0" xfId="0" applyAlignment="1" applyProtection="1">
      <alignment horizontal="left" vertical="center" wrapText="1"/>
      <protection locked="0"/>
    </xf>
    <xf numFmtId="0" fontId="0" fillId="0" borderId="18" xfId="0" applyBorder="1"/>
    <xf numFmtId="0" fontId="0" fillId="0" borderId="73" xfId="0" applyBorder="1"/>
    <xf numFmtId="0" fontId="0" fillId="23" borderId="39" xfId="0" applyFill="1" applyBorder="1" applyAlignment="1">
      <alignment horizontal="center" vertical="center" wrapText="1"/>
    </xf>
    <xf numFmtId="0" fontId="0" fillId="0" borderId="39" xfId="0" applyBorder="1" applyAlignment="1">
      <alignment horizontal="center" vertical="center"/>
    </xf>
    <xf numFmtId="49" fontId="0" fillId="0" borderId="39" xfId="0" applyNumberFormat="1" applyBorder="1" applyAlignment="1" applyProtection="1">
      <alignment horizontal="left" vertical="center" wrapText="1"/>
      <protection locked="0"/>
    </xf>
    <xf numFmtId="17" fontId="0" fillId="0" borderId="39" xfId="0" applyNumberFormat="1" applyBorder="1" applyAlignment="1">
      <alignment horizontal="center" vertical="center"/>
    </xf>
    <xf numFmtId="0" fontId="0" fillId="0" borderId="16" xfId="0" applyBorder="1"/>
    <xf numFmtId="17" fontId="0" fillId="0" borderId="16" xfId="0" applyNumberFormat="1" applyBorder="1"/>
    <xf numFmtId="17" fontId="0" fillId="0" borderId="0" xfId="0" applyNumberFormat="1"/>
    <xf numFmtId="17" fontId="40" fillId="23" borderId="39" xfId="0" applyNumberFormat="1" applyFont="1" applyFill="1" applyBorder="1" applyAlignment="1">
      <alignment horizontal="center" vertical="center" wrapText="1"/>
    </xf>
    <xf numFmtId="15" fontId="0" fillId="12" borderId="39" xfId="0" applyNumberFormat="1" applyFill="1" applyBorder="1" applyAlignment="1">
      <alignment horizontal="center" vertical="center"/>
    </xf>
    <xf numFmtId="15" fontId="0" fillId="0" borderId="39" xfId="0" applyNumberFormat="1" applyBorder="1" applyAlignment="1" applyProtection="1">
      <alignment horizontal="center" vertical="center"/>
      <protection locked="0"/>
    </xf>
    <xf numFmtId="0" fontId="0" fillId="0" borderId="15" xfId="0" applyBorder="1"/>
    <xf numFmtId="15" fontId="0" fillId="10" borderId="18" xfId="0" applyNumberFormat="1" applyFill="1" applyBorder="1" applyAlignment="1">
      <alignment horizontal="center" vertical="center"/>
    </xf>
    <xf numFmtId="0" fontId="41" fillId="0" borderId="13" xfId="0" applyFont="1" applyBorder="1" applyAlignment="1">
      <alignment horizontal="center" vertical="center"/>
    </xf>
    <xf numFmtId="0" fontId="41" fillId="23" borderId="39" xfId="0" applyFont="1" applyFill="1" applyBorder="1" applyAlignment="1">
      <alignment horizontal="center" vertical="center"/>
    </xf>
    <xf numFmtId="17" fontId="41" fillId="23" borderId="39" xfId="0" applyNumberFormat="1" applyFont="1" applyFill="1" applyBorder="1" applyAlignment="1">
      <alignment horizontal="center" vertical="center"/>
    </xf>
    <xf numFmtId="17" fontId="47" fillId="0" borderId="39" xfId="0" applyNumberFormat="1" applyFont="1" applyBorder="1" applyAlignment="1">
      <alignment horizontal="center" vertical="center"/>
    </xf>
    <xf numFmtId="49" fontId="0" fillId="10" borderId="39" xfId="0" applyNumberFormat="1" applyFill="1" applyBorder="1" applyAlignment="1" applyProtection="1">
      <alignment horizontal="left" vertical="center" wrapText="1"/>
      <protection locked="0"/>
    </xf>
    <xf numFmtId="0" fontId="28" fillId="0" borderId="39" xfId="0" applyFont="1" applyBorder="1" applyAlignment="1">
      <alignment horizontal="left" wrapText="1"/>
    </xf>
    <xf numFmtId="175" fontId="49" fillId="10" borderId="0" xfId="0" applyNumberFormat="1" applyFont="1" applyFill="1" applyAlignment="1">
      <alignment horizontal="right" vertical="center"/>
    </xf>
    <xf numFmtId="15" fontId="28" fillId="0" borderId="0" xfId="0" applyNumberFormat="1" applyFont="1" applyAlignment="1">
      <alignment horizontal="center" vertical="center" wrapText="1"/>
    </xf>
    <xf numFmtId="17" fontId="0" fillId="10" borderId="0" xfId="0" applyNumberFormat="1" applyFill="1" applyAlignment="1">
      <alignment horizontal="center" vertical="center"/>
    </xf>
    <xf numFmtId="0" fontId="23" fillId="12" borderId="7" xfId="1" applyFill="1" applyBorder="1" applyAlignment="1" applyProtection="1">
      <alignment horizontal="center" vertical="center"/>
    </xf>
    <xf numFmtId="0" fontId="0" fillId="0" borderId="8" xfId="0" applyBorder="1"/>
    <xf numFmtId="0" fontId="47" fillId="0" borderId="0" xfId="0" applyFont="1" applyAlignment="1">
      <alignment horizontal="center" vertical="center" wrapText="1"/>
    </xf>
    <xf numFmtId="0" fontId="40" fillId="0" borderId="8" xfId="0" applyFont="1" applyBorder="1" applyAlignment="1">
      <alignment horizontal="center" vertical="center" wrapText="1"/>
    </xf>
    <xf numFmtId="17" fontId="41" fillId="10" borderId="0" xfId="0" applyNumberFormat="1" applyFont="1" applyFill="1" applyAlignment="1">
      <alignment horizontal="center" vertical="center" wrapText="1"/>
    </xf>
    <xf numFmtId="17" fontId="41" fillId="10" borderId="0" xfId="0" applyNumberFormat="1" applyFont="1" applyFill="1" applyAlignment="1">
      <alignment vertical="center" wrapText="1"/>
    </xf>
    <xf numFmtId="49" fontId="28" fillId="0" borderId="0" xfId="0" applyNumberFormat="1" applyFont="1" applyAlignment="1" applyProtection="1">
      <alignment horizontal="left" vertical="center" wrapText="1"/>
      <protection locked="0"/>
    </xf>
    <xf numFmtId="49" fontId="29" fillId="10" borderId="0" xfId="0" applyNumberFormat="1" applyFont="1" applyFill="1" applyAlignment="1">
      <alignment horizontal="left" vertical="center" wrapText="1"/>
    </xf>
    <xf numFmtId="0" fontId="29" fillId="10" borderId="0" xfId="0" applyFont="1" applyFill="1" applyAlignment="1">
      <alignment horizontal="left" vertical="center" wrapText="1"/>
    </xf>
    <xf numFmtId="17" fontId="0" fillId="23" borderId="39" xfId="0" applyNumberFormat="1" applyFill="1" applyBorder="1" applyAlignment="1">
      <alignment horizontal="center" vertical="center" wrapText="1"/>
    </xf>
    <xf numFmtId="0" fontId="28" fillId="0" borderId="39" xfId="0" applyFont="1" applyBorder="1"/>
    <xf numFmtId="0" fontId="28" fillId="0" borderId="39" xfId="0" applyFont="1" applyBorder="1" applyAlignment="1">
      <alignment wrapText="1"/>
    </xf>
    <xf numFmtId="17" fontId="0" fillId="0" borderId="39" xfId="0" applyNumberFormat="1" applyBorder="1"/>
    <xf numFmtId="17" fontId="28" fillId="0" borderId="39" xfId="0" applyNumberFormat="1" applyFont="1" applyBorder="1" applyAlignment="1">
      <alignment vertical="center"/>
    </xf>
    <xf numFmtId="49" fontId="28" fillId="0" borderId="39" xfId="0" applyNumberFormat="1" applyFont="1" applyBorder="1" applyAlignment="1">
      <alignment vertical="center"/>
    </xf>
    <xf numFmtId="0" fontId="28" fillId="0" borderId="39" xfId="0" applyFont="1" applyBorder="1" applyAlignment="1">
      <alignment vertical="center"/>
    </xf>
    <xf numFmtId="17" fontId="0" fillId="0" borderId="8" xfId="0" applyNumberFormat="1" applyBorder="1"/>
    <xf numFmtId="0" fontId="40" fillId="0" borderId="0" xfId="0" applyFont="1" applyAlignment="1">
      <alignment vertical="center"/>
    </xf>
    <xf numFmtId="0" fontId="47" fillId="10" borderId="39" xfId="0" applyFont="1" applyFill="1" applyBorder="1" applyAlignment="1">
      <alignment vertical="center"/>
    </xf>
    <xf numFmtId="0" fontId="0" fillId="0" borderId="39" xfId="0" applyBorder="1" applyAlignment="1" applyProtection="1">
      <alignment horizontal="center" vertical="center"/>
      <protection locked="0"/>
    </xf>
    <xf numFmtId="176" fontId="28" fillId="0" borderId="39" xfId="0" applyNumberFormat="1" applyFont="1" applyBorder="1"/>
    <xf numFmtId="0" fontId="41" fillId="0" borderId="17" xfId="0" applyFont="1" applyBorder="1" applyAlignment="1">
      <alignment horizontal="center" vertical="center"/>
    </xf>
    <xf numFmtId="0" fontId="41" fillId="0" borderId="0" xfId="0" applyFont="1" applyAlignment="1">
      <alignment horizontal="center" vertical="center"/>
    </xf>
    <xf numFmtId="0" fontId="40" fillId="10" borderId="0" xfId="0" applyFont="1" applyFill="1" applyAlignment="1">
      <alignment vertical="center"/>
    </xf>
    <xf numFmtId="17" fontId="41" fillId="0" borderId="0" xfId="0" applyNumberFormat="1" applyFont="1" applyAlignment="1">
      <alignment horizontal="center" vertical="center"/>
    </xf>
    <xf numFmtId="17" fontId="41" fillId="0" borderId="8" xfId="0" applyNumberFormat="1" applyFont="1" applyBorder="1" applyAlignment="1">
      <alignment horizontal="center" vertical="center"/>
    </xf>
    <xf numFmtId="17" fontId="41" fillId="10" borderId="0" xfId="0" applyNumberFormat="1" applyFont="1" applyFill="1" applyAlignment="1">
      <alignment vertical="center"/>
    </xf>
    <xf numFmtId="0" fontId="29" fillId="0" borderId="0" xfId="0" applyFont="1" applyAlignment="1">
      <alignment horizontal="left" wrapText="1"/>
    </xf>
    <xf numFmtId="0" fontId="29" fillId="0" borderId="8" xfId="0" applyFont="1" applyBorder="1" applyAlignment="1">
      <alignment horizontal="left" wrapText="1"/>
    </xf>
    <xf numFmtId="0" fontId="50" fillId="10" borderId="0" xfId="0" applyFont="1" applyFill="1" applyAlignment="1" applyProtection="1">
      <alignment horizontal="center" vertical="center"/>
      <protection hidden="1"/>
    </xf>
    <xf numFmtId="0" fontId="0" fillId="0" borderId="0" xfId="0" applyAlignment="1">
      <alignment horizontal="center" wrapText="1"/>
    </xf>
    <xf numFmtId="17" fontId="23" fillId="0" borderId="0" xfId="1" applyNumberFormat="1" applyFill="1" applyBorder="1" applyAlignment="1" applyProtection="1">
      <alignment horizontal="center" vertical="center"/>
    </xf>
    <xf numFmtId="17" fontId="40" fillId="0" borderId="0" xfId="0" applyNumberFormat="1" applyFont="1" applyAlignment="1">
      <alignment horizontal="center" vertical="center" wrapText="1"/>
    </xf>
    <xf numFmtId="0" fontId="40" fillId="10" borderId="13" xfId="0" applyFont="1" applyFill="1" applyBorder="1" applyAlignment="1">
      <alignment vertical="center"/>
    </xf>
    <xf numFmtId="0" fontId="0" fillId="0" borderId="17" xfId="0" applyBorder="1"/>
    <xf numFmtId="17" fontId="28" fillId="0" borderId="39" xfId="0" applyNumberFormat="1" applyFont="1" applyBorder="1"/>
    <xf numFmtId="0" fontId="40" fillId="10" borderId="16" xfId="0" applyFont="1" applyFill="1" applyBorder="1" applyAlignment="1">
      <alignment vertical="center"/>
    </xf>
    <xf numFmtId="0" fontId="0" fillId="0" borderId="19" xfId="0" applyBorder="1"/>
    <xf numFmtId="15" fontId="28" fillId="0" borderId="39" xfId="0" applyNumberFormat="1" applyFont="1" applyBorder="1"/>
    <xf numFmtId="17" fontId="41" fillId="0" borderId="0" xfId="0" applyNumberFormat="1" applyFont="1" applyAlignment="1">
      <alignment vertical="center"/>
    </xf>
    <xf numFmtId="0" fontId="0" fillId="0" borderId="0" xfId="0" applyAlignment="1">
      <alignment horizontal="center" vertical="center" wrapText="1"/>
    </xf>
    <xf numFmtId="0" fontId="42" fillId="0" borderId="0" xfId="0" applyFont="1"/>
    <xf numFmtId="0" fontId="42" fillId="10" borderId="0" xfId="0" applyFont="1" applyFill="1"/>
    <xf numFmtId="0" fontId="29" fillId="0" borderId="0" xfId="0" applyFont="1" applyAlignment="1">
      <alignment vertical="center"/>
    </xf>
    <xf numFmtId="0" fontId="0" fillId="10" borderId="15" xfId="0" applyFill="1" applyBorder="1"/>
    <xf numFmtId="0" fontId="0" fillId="10" borderId="16" xfId="0" applyFill="1" applyBorder="1"/>
    <xf numFmtId="0" fontId="40" fillId="10" borderId="0" xfId="0" applyFont="1" applyFill="1"/>
    <xf numFmtId="0" fontId="47" fillId="0" borderId="13" xfId="0" applyFont="1" applyBorder="1" applyAlignment="1">
      <alignment horizontal="center" vertical="center"/>
    </xf>
    <xf numFmtId="0" fontId="42" fillId="26" borderId="39" xfId="0" applyFont="1" applyFill="1" applyBorder="1"/>
    <xf numFmtId="0" fontId="51" fillId="26" borderId="39" xfId="0" applyFont="1" applyFill="1" applyBorder="1" applyAlignment="1">
      <alignment horizontal="center" vertical="center"/>
    </xf>
    <xf numFmtId="0" fontId="47" fillId="0" borderId="39" xfId="0" applyFont="1" applyBorder="1" applyAlignment="1">
      <alignment horizontal="center" vertical="center"/>
    </xf>
    <xf numFmtId="0" fontId="0" fillId="10" borderId="39" xfId="0" applyFill="1" applyBorder="1" applyAlignment="1" applyProtection="1">
      <alignment horizontal="left" vertical="center" wrapText="1"/>
      <protection locked="0"/>
    </xf>
    <xf numFmtId="0" fontId="28" fillId="0" borderId="39" xfId="0" applyFont="1" applyBorder="1" applyAlignment="1">
      <alignment horizontal="center" wrapText="1"/>
    </xf>
    <xf numFmtId="0" fontId="0" fillId="10" borderId="18" xfId="0" applyFill="1" applyBorder="1" applyAlignment="1">
      <alignment horizontal="center" vertical="center"/>
    </xf>
    <xf numFmtId="49" fontId="28" fillId="10" borderId="39" xfId="0" applyNumberFormat="1" applyFont="1" applyFill="1" applyBorder="1" applyAlignment="1">
      <alignment horizontal="center" vertical="center"/>
    </xf>
    <xf numFmtId="0" fontId="29" fillId="10" borderId="39" xfId="0" applyFont="1" applyFill="1" applyBorder="1" applyAlignment="1" applyProtection="1">
      <alignment horizontal="left" vertical="center" wrapText="1"/>
      <protection locked="0"/>
    </xf>
    <xf numFmtId="49" fontId="29" fillId="10" borderId="39" xfId="0" applyNumberFormat="1" applyFont="1" applyFill="1" applyBorder="1" applyAlignment="1">
      <alignment horizontal="left" vertical="center" wrapText="1"/>
    </xf>
    <xf numFmtId="0" fontId="29" fillId="10" borderId="39" xfId="0" applyFont="1" applyFill="1" applyBorder="1" applyAlignment="1">
      <alignment horizontal="left" vertical="center" wrapText="1"/>
    </xf>
    <xf numFmtId="0" fontId="0" fillId="10" borderId="19" xfId="0" applyFill="1" applyBorder="1"/>
    <xf numFmtId="0" fontId="47" fillId="0" borderId="17" xfId="0" applyFont="1" applyBorder="1" applyAlignment="1">
      <alignment horizontal="center" vertical="center"/>
    </xf>
    <xf numFmtId="0" fontId="47" fillId="0" borderId="39" xfId="0" applyFont="1" applyBorder="1" applyAlignment="1">
      <alignment horizontal="center" vertical="center" wrapText="1"/>
    </xf>
    <xf numFmtId="0" fontId="52" fillId="23" borderId="39" xfId="0" applyFont="1" applyFill="1" applyBorder="1" applyAlignment="1">
      <alignment horizontal="center" vertical="center"/>
    </xf>
    <xf numFmtId="49" fontId="29" fillId="10" borderId="39" xfId="0" applyNumberFormat="1" applyFont="1" applyFill="1" applyBorder="1" applyAlignment="1" applyProtection="1">
      <alignment horizontal="left" vertical="center" wrapText="1"/>
      <protection locked="0"/>
    </xf>
    <xf numFmtId="0" fontId="0" fillId="0" borderId="14" xfId="0" applyBorder="1"/>
    <xf numFmtId="0" fontId="26" fillId="0" borderId="13" xfId="0" applyFont="1" applyBorder="1"/>
    <xf numFmtId="0" fontId="41" fillId="23" borderId="39" xfId="0" applyFont="1" applyFill="1" applyBorder="1" applyAlignment="1">
      <alignment horizontal="center" vertical="center" wrapText="1"/>
    </xf>
    <xf numFmtId="17" fontId="47" fillId="10" borderId="39" xfId="0" applyNumberFormat="1" applyFont="1" applyFill="1" applyBorder="1" applyAlignment="1">
      <alignment vertical="center"/>
    </xf>
    <xf numFmtId="17" fontId="53" fillId="10" borderId="39" xfId="0" applyNumberFormat="1" applyFont="1" applyFill="1" applyBorder="1" applyAlignment="1">
      <alignment horizontal="center" vertical="center" wrapText="1"/>
    </xf>
    <xf numFmtId="17" fontId="53" fillId="10" borderId="39" xfId="0" applyNumberFormat="1" applyFont="1" applyFill="1" applyBorder="1" applyAlignment="1">
      <alignment vertical="center"/>
    </xf>
    <xf numFmtId="49" fontId="28" fillId="10" borderId="39" xfId="0" applyNumberFormat="1" applyFont="1" applyFill="1" applyBorder="1" applyAlignment="1">
      <alignment horizontal="left" vertical="center" wrapText="1"/>
    </xf>
    <xf numFmtId="0" fontId="28" fillId="10" borderId="39" xfId="0" applyFont="1" applyFill="1" applyBorder="1" applyAlignment="1">
      <alignment horizontal="left" vertical="center" wrapText="1"/>
    </xf>
    <xf numFmtId="0" fontId="28" fillId="10" borderId="39" xfId="0" applyFont="1" applyFill="1" applyBorder="1"/>
    <xf numFmtId="0" fontId="26" fillId="10" borderId="39" xfId="0" applyFont="1" applyFill="1" applyBorder="1"/>
    <xf numFmtId="0" fontId="0" fillId="0" borderId="3" xfId="0" applyBorder="1"/>
    <xf numFmtId="0" fontId="28" fillId="0" borderId="13" xfId="0" applyFont="1" applyBorder="1"/>
    <xf numFmtId="0" fontId="28" fillId="0" borderId="17" xfId="0" applyFont="1" applyBorder="1"/>
    <xf numFmtId="0" fontId="26" fillId="0" borderId="39" xfId="0" applyFont="1" applyBorder="1"/>
    <xf numFmtId="0" fontId="26" fillId="27" borderId="39" xfId="0" applyFont="1" applyFill="1" applyBorder="1"/>
    <xf numFmtId="49" fontId="26" fillId="0" borderId="39" xfId="0" applyNumberFormat="1" applyFont="1" applyBorder="1"/>
    <xf numFmtId="0" fontId="0" fillId="0" borderId="74" xfId="0" applyBorder="1"/>
    <xf numFmtId="0" fontId="0" fillId="0" borderId="75" xfId="0" applyBorder="1"/>
    <xf numFmtId="0" fontId="0" fillId="0" borderId="75" xfId="0" applyBorder="1" applyProtection="1">
      <protection locked="0"/>
    </xf>
    <xf numFmtId="0" fontId="23" fillId="0" borderId="0" xfId="1" applyProtection="1"/>
    <xf numFmtId="0" fontId="25" fillId="0" borderId="20" xfId="9" applyFont="1" applyBorder="1" applyAlignment="1">
      <alignment vertical="center" wrapText="1"/>
    </xf>
    <xf numFmtId="0" fontId="22" fillId="0" borderId="0" xfId="9"/>
    <xf numFmtId="0" fontId="22" fillId="0" borderId="0" xfId="9" applyAlignment="1">
      <alignment vertical="top"/>
    </xf>
    <xf numFmtId="0" fontId="22" fillId="0" borderId="0" xfId="9" applyAlignment="1">
      <alignment wrapText="1"/>
    </xf>
    <xf numFmtId="0" fontId="25" fillId="0" borderId="21" xfId="9" applyFont="1" applyBorder="1" applyAlignment="1">
      <alignment vertical="center" wrapText="1"/>
    </xf>
    <xf numFmtId="0" fontId="54" fillId="0" borderId="19" xfId="9" applyFont="1" applyBorder="1" applyAlignment="1">
      <alignment horizontal="left" vertical="center" wrapText="1" indent="1"/>
    </xf>
    <xf numFmtId="0" fontId="54" fillId="0" borderId="8" xfId="9" applyFont="1" applyBorder="1" applyAlignment="1">
      <alignment horizontal="left" vertical="center" wrapText="1" indent="1"/>
    </xf>
    <xf numFmtId="0" fontId="25" fillId="0" borderId="22" xfId="9" applyFont="1" applyBorder="1" applyAlignment="1">
      <alignment vertical="center" wrapText="1"/>
    </xf>
    <xf numFmtId="0" fontId="55" fillId="0" borderId="8" xfId="9" applyFont="1" applyBorder="1" applyAlignment="1">
      <alignment vertical="center" wrapText="1"/>
    </xf>
    <xf numFmtId="0" fontId="56" fillId="0" borderId="19" xfId="9" applyFont="1" applyBorder="1" applyAlignment="1">
      <alignment horizontal="left" vertical="center" wrapText="1" indent="1"/>
    </xf>
    <xf numFmtId="0" fontId="56" fillId="0" borderId="8" xfId="9" applyFont="1" applyBorder="1" applyAlignment="1">
      <alignment horizontal="left" vertical="center" wrapText="1" indent="1"/>
    </xf>
    <xf numFmtId="0" fontId="56" fillId="0" borderId="20" xfId="9" applyFont="1" applyBorder="1" applyAlignment="1">
      <alignment horizontal="left" vertical="center" wrapText="1" indent="1"/>
    </xf>
    <xf numFmtId="0" fontId="55" fillId="0" borderId="8" xfId="9" applyFont="1" applyBorder="1" applyAlignment="1">
      <alignment horizontal="left" vertical="center" wrapText="1"/>
    </xf>
    <xf numFmtId="0" fontId="54" fillId="0" borderId="21" xfId="9" applyFont="1" applyBorder="1" applyAlignment="1">
      <alignment horizontal="left" vertical="center" wrapText="1" indent="1"/>
    </xf>
    <xf numFmtId="0" fontId="13" fillId="0" borderId="8" xfId="9" applyFont="1" applyBorder="1" applyAlignment="1">
      <alignment vertical="center" wrapText="1"/>
    </xf>
    <xf numFmtId="0" fontId="57" fillId="0" borderId="8" xfId="9" applyFont="1" applyBorder="1" applyAlignment="1">
      <alignment vertical="center" wrapText="1"/>
    </xf>
    <xf numFmtId="0" fontId="14" fillId="0" borderId="8" xfId="9" applyFont="1" applyBorder="1" applyAlignment="1">
      <alignment vertical="center" wrapText="1"/>
    </xf>
    <xf numFmtId="0" fontId="13" fillId="0" borderId="19" xfId="9" applyFont="1" applyBorder="1" applyAlignment="1">
      <alignment vertical="center" wrapText="1"/>
    </xf>
    <xf numFmtId="0" fontId="57" fillId="0" borderId="21" xfId="9" applyFont="1" applyBorder="1" applyAlignment="1">
      <alignment vertical="center" wrapText="1"/>
    </xf>
    <xf numFmtId="0" fontId="25" fillId="0" borderId="19" xfId="9" applyFont="1" applyBorder="1" applyAlignment="1">
      <alignment vertical="center" wrapText="1"/>
    </xf>
    <xf numFmtId="0" fontId="57" fillId="0" borderId="22" xfId="9" applyFont="1" applyBorder="1" applyAlignment="1">
      <alignment vertical="center" wrapText="1"/>
    </xf>
    <xf numFmtId="0" fontId="57" fillId="0" borderId="20" xfId="9" applyFont="1" applyBorder="1" applyAlignment="1">
      <alignment vertical="center" wrapText="1"/>
    </xf>
    <xf numFmtId="0" fontId="54" fillId="0" borderId="20" xfId="0" applyFont="1" applyBorder="1" applyAlignment="1">
      <alignment horizontal="left" vertical="center" indent="1"/>
    </xf>
    <xf numFmtId="0" fontId="57" fillId="0" borderId="21" xfId="0" applyFont="1" applyBorder="1" applyAlignment="1">
      <alignment horizontal="left" vertical="center" indent="1"/>
    </xf>
    <xf numFmtId="0" fontId="57" fillId="0" borderId="22" xfId="0" applyFont="1" applyBorder="1" applyAlignment="1">
      <alignment horizontal="left" vertical="center" indent="1"/>
    </xf>
    <xf numFmtId="0" fontId="57" fillId="0" borderId="22" xfId="0" applyFont="1" applyBorder="1" applyAlignment="1">
      <alignment horizontal="left" vertical="center" wrapText="1" indent="1"/>
    </xf>
    <xf numFmtId="0" fontId="57" fillId="0" borderId="0" xfId="0" applyFont="1" applyAlignment="1">
      <alignment horizontal="left" vertical="center" indent="4"/>
    </xf>
    <xf numFmtId="0" fontId="22" fillId="0" borderId="8" xfId="9" applyBorder="1" applyAlignment="1">
      <alignment vertical="center" wrapText="1"/>
    </xf>
    <xf numFmtId="0" fontId="22" fillId="0" borderId="21" xfId="9" applyBorder="1" applyAlignment="1">
      <alignment vertical="center" wrapText="1"/>
    </xf>
    <xf numFmtId="0" fontId="22" fillId="0" borderId="0" xfId="0" applyFont="1"/>
    <xf numFmtId="0" fontId="25" fillId="0" borderId="0" xfId="9" applyFont="1" applyAlignment="1">
      <alignment vertical="center"/>
    </xf>
    <xf numFmtId="0" fontId="57" fillId="0" borderId="8" xfId="9" applyFont="1" applyBorder="1" applyAlignment="1">
      <alignment horizontal="left" vertical="center" wrapText="1"/>
    </xf>
    <xf numFmtId="0" fontId="54" fillId="0" borderId="22" xfId="0" applyFont="1" applyBorder="1" applyAlignment="1">
      <alignment horizontal="left" vertical="center" indent="1"/>
    </xf>
    <xf numFmtId="0" fontId="15" fillId="0" borderId="22" xfId="0" applyFont="1" applyBorder="1" applyAlignment="1">
      <alignment horizontal="left" vertical="center" wrapText="1" indent="1"/>
    </xf>
    <xf numFmtId="0" fontId="54" fillId="0" borderId="22" xfId="0" applyFont="1" applyBorder="1" applyAlignment="1">
      <alignment horizontal="left" vertical="center" wrapText="1" indent="1"/>
    </xf>
    <xf numFmtId="0" fontId="57" fillId="0" borderId="22" xfId="0" applyFont="1" applyBorder="1" applyAlignment="1">
      <alignment horizontal="left" vertical="center" indent="2"/>
    </xf>
    <xf numFmtId="0" fontId="57" fillId="0" borderId="22" xfId="0" applyFont="1" applyBorder="1" applyAlignment="1">
      <alignment horizontal="left" vertical="center" wrapText="1" indent="2"/>
    </xf>
    <xf numFmtId="0" fontId="56" fillId="0" borderId="22" xfId="0" applyFont="1" applyBorder="1" applyAlignment="1">
      <alignment horizontal="left" vertical="center" wrapText="1" indent="2"/>
    </xf>
    <xf numFmtId="0" fontId="22" fillId="0" borderId="21" xfId="0" applyFont="1" applyBorder="1" applyAlignment="1">
      <alignment wrapText="1"/>
    </xf>
    <xf numFmtId="0" fontId="22" fillId="0" borderId="21" xfId="0" applyFont="1" applyBorder="1"/>
    <xf numFmtId="0" fontId="57" fillId="0" borderId="0" xfId="0" applyFont="1" applyAlignment="1">
      <alignment horizontal="left" vertical="center" wrapText="1" indent="4"/>
    </xf>
    <xf numFmtId="0" fontId="22" fillId="0" borderId="20" xfId="9" applyBorder="1" applyAlignment="1">
      <alignment vertical="center" wrapText="1"/>
    </xf>
    <xf numFmtId="0" fontId="25" fillId="0" borderId="18" xfId="9" applyFont="1" applyBorder="1" applyAlignment="1">
      <alignment vertical="center" wrapText="1"/>
    </xf>
    <xf numFmtId="0" fontId="25" fillId="0" borderId="0" xfId="9" applyFont="1" applyAlignment="1">
      <alignment vertical="center" wrapText="1"/>
    </xf>
    <xf numFmtId="0" fontId="22" fillId="0" borderId="2" xfId="9" applyBorder="1" applyAlignment="1">
      <alignment vertical="center" wrapText="1"/>
    </xf>
    <xf numFmtId="0" fontId="22" fillId="0" borderId="22" xfId="9" applyBorder="1" applyAlignment="1">
      <alignment vertical="center" wrapText="1"/>
    </xf>
    <xf numFmtId="0" fontId="57" fillId="0" borderId="19" xfId="9" applyFont="1" applyBorder="1" applyAlignment="1">
      <alignment vertical="center" wrapText="1"/>
    </xf>
    <xf numFmtId="0" fontId="3" fillId="0" borderId="0" xfId="0" quotePrefix="1" applyFont="1" applyAlignment="1">
      <alignment horizontal="left" vertical="center" wrapText="1"/>
    </xf>
    <xf numFmtId="49" fontId="0" fillId="0" borderId="0" xfId="0" quotePrefix="1" applyNumberFormat="1" applyAlignment="1" applyProtection="1">
      <alignment horizontal="left" vertical="center" wrapText="1"/>
      <protection locked="0"/>
    </xf>
    <xf numFmtId="49" fontId="7" fillId="3" borderId="23" xfId="0" quotePrefix="1" applyNumberFormat="1" applyFont="1" applyFill="1" applyBorder="1" applyAlignment="1">
      <alignment horizontal="left" wrapText="1"/>
    </xf>
    <xf numFmtId="0" fontId="3" fillId="0" borderId="23" xfId="0" quotePrefix="1" applyFont="1" applyBorder="1" applyAlignment="1">
      <alignment horizontal="left" wrapText="1"/>
    </xf>
    <xf numFmtId="0" fontId="3" fillId="0" borderId="23" xfId="0" quotePrefix="1" applyFont="1" applyBorder="1" applyAlignment="1">
      <alignment horizontal="center" wrapText="1"/>
    </xf>
    <xf numFmtId="0" fontId="0" fillId="2" borderId="23" xfId="0" quotePrefix="1" applyFill="1" applyBorder="1" applyAlignment="1" applyProtection="1">
      <alignment horizontal="left" vertical="center" wrapText="1"/>
      <protection locked="0"/>
    </xf>
    <xf numFmtId="49" fontId="1" fillId="0" borderId="23" xfId="4" quotePrefix="1" applyNumberFormat="1" applyBorder="1"/>
    <xf numFmtId="0" fontId="1" fillId="0" borderId="6" xfId="4" quotePrefix="1" applyBorder="1" applyAlignment="1">
      <alignment horizontal="left"/>
    </xf>
    <xf numFmtId="49" fontId="1" fillId="0" borderId="6" xfId="4" quotePrefix="1" applyNumberFormat="1" applyBorder="1"/>
    <xf numFmtId="0" fontId="1" fillId="0" borderId="23" xfId="4" quotePrefix="1" applyBorder="1" applyAlignment="1">
      <alignment horizontal="left"/>
    </xf>
    <xf numFmtId="0" fontId="1" fillId="0" borderId="23" xfId="4" quotePrefix="1" applyBorder="1"/>
    <xf numFmtId="0" fontId="1" fillId="0" borderId="0" xfId="4" quotePrefix="1" applyAlignment="1">
      <alignment horizontal="left"/>
    </xf>
    <xf numFmtId="0" fontId="0" fillId="0" borderId="23" xfId="0" quotePrefix="1" applyBorder="1" applyProtection="1">
      <protection locked="0"/>
    </xf>
    <xf numFmtId="49" fontId="0" fillId="0" borderId="23" xfId="0" quotePrefix="1" applyNumberFormat="1" applyBorder="1" applyProtection="1">
      <protection locked="0"/>
    </xf>
    <xf numFmtId="0" fontId="8" fillId="0" borderId="0" xfId="15" quotePrefix="1" applyFont="1" applyAlignment="1">
      <alignment wrapText="1"/>
    </xf>
    <xf numFmtId="0" fontId="9" fillId="0" borderId="0" xfId="15" quotePrefix="1" applyFont="1"/>
    <xf numFmtId="0" fontId="8" fillId="0" borderId="0" xfId="15" quotePrefix="1" applyFont="1"/>
    <xf numFmtId="3" fontId="0" fillId="30" borderId="1" xfId="0" applyNumberFormat="1" applyFill="1" applyBorder="1" applyAlignment="1" applyProtection="1">
      <alignment horizontal="center" vertical="center"/>
      <protection locked="0"/>
    </xf>
    <xf numFmtId="3" fontId="0" fillId="30" borderId="1" xfId="0" applyNumberFormat="1" applyFill="1" applyBorder="1" applyAlignment="1" applyProtection="1">
      <alignment horizontal="center" vertical="center" shrinkToFit="1"/>
      <protection locked="0"/>
    </xf>
    <xf numFmtId="3" fontId="0" fillId="10" borderId="1" xfId="0" applyNumberFormat="1" applyFill="1" applyBorder="1" applyAlignment="1" applyProtection="1">
      <alignment horizontal="center" vertical="center" shrinkToFit="1"/>
      <protection locked="0"/>
    </xf>
    <xf numFmtId="3" fontId="29" fillId="0" borderId="1" xfId="0" applyNumberFormat="1" applyFont="1" applyBorder="1" applyAlignment="1" applyProtection="1">
      <alignment horizontal="center" vertical="center" wrapText="1"/>
      <protection locked="0"/>
    </xf>
    <xf numFmtId="3" fontId="0" fillId="10" borderId="1" xfId="0" applyNumberFormat="1" applyFill="1" applyBorder="1" applyAlignment="1" applyProtection="1">
      <alignment horizontal="center" vertical="center"/>
      <protection locked="0"/>
    </xf>
    <xf numFmtId="169" fontId="0" fillId="30" borderId="1" xfId="0" applyNumberFormat="1" applyFill="1" applyBorder="1" applyAlignment="1" applyProtection="1">
      <alignment horizontal="center" vertical="center"/>
      <protection locked="0"/>
    </xf>
    <xf numFmtId="4" fontId="0" fillId="30" borderId="1" xfId="0" applyNumberFormat="1" applyFill="1" applyBorder="1" applyAlignment="1" applyProtection="1">
      <alignment horizontal="center" vertical="center" shrinkToFit="1"/>
      <protection locked="0"/>
    </xf>
    <xf numFmtId="3" fontId="0" fillId="31" borderId="1" xfId="0" applyNumberFormat="1" applyFill="1" applyBorder="1" applyAlignment="1" applyProtection="1">
      <alignment horizontal="center" vertical="center" shrinkToFit="1"/>
      <protection locked="0"/>
    </xf>
    <xf numFmtId="169" fontId="0" fillId="25" borderId="1" xfId="0" applyNumberFormat="1" applyFill="1" applyBorder="1" applyAlignment="1" applyProtection="1">
      <alignment horizontal="center" vertical="center"/>
      <protection locked="0"/>
    </xf>
    <xf numFmtId="4" fontId="0" fillId="25" borderId="1" xfId="0" applyNumberFormat="1" applyFill="1" applyBorder="1" applyAlignment="1" applyProtection="1">
      <alignment horizontal="center" vertical="center" shrinkToFit="1"/>
      <protection locked="0"/>
    </xf>
    <xf numFmtId="3" fontId="0" fillId="0" borderId="1" xfId="0" applyNumberFormat="1" applyBorder="1" applyAlignment="1" applyProtection="1">
      <alignment horizontal="center" vertical="center" shrinkToFit="1"/>
      <protection locked="0"/>
    </xf>
    <xf numFmtId="177" fontId="0" fillId="10" borderId="1" xfId="19" applyNumberFormat="1" applyFont="1" applyFill="1" applyBorder="1" applyAlignment="1" applyProtection="1">
      <alignment horizontal="center" vertical="center"/>
      <protection locked="0"/>
    </xf>
    <xf numFmtId="4" fontId="0" fillId="10" borderId="1" xfId="0" applyNumberFormat="1" applyFill="1" applyBorder="1" applyAlignment="1" applyProtection="1">
      <alignment horizontal="center" vertical="center"/>
      <protection locked="0"/>
    </xf>
    <xf numFmtId="3" fontId="29" fillId="0" borderId="1" xfId="0" applyNumberFormat="1" applyFont="1" applyBorder="1" applyAlignment="1" applyProtection="1">
      <alignment horizontal="center" vertical="center"/>
      <protection locked="0"/>
    </xf>
    <xf numFmtId="0" fontId="0" fillId="10" borderId="1" xfId="0" applyFill="1" applyBorder="1" applyAlignment="1" applyProtection="1">
      <alignment horizontal="center" vertical="center" wrapText="1"/>
      <protection locked="0"/>
    </xf>
    <xf numFmtId="2" fontId="0" fillId="0" borderId="0" xfId="0" applyNumberFormat="1" applyAlignment="1">
      <alignment horizontal="center"/>
    </xf>
    <xf numFmtId="2" fontId="0" fillId="0" borderId="1" xfId="0" applyNumberFormat="1" applyBorder="1" applyAlignment="1" applyProtection="1">
      <alignment horizontal="center" vertical="center"/>
      <protection locked="0"/>
    </xf>
    <xf numFmtId="2" fontId="0" fillId="10" borderId="1" xfId="0" applyNumberFormat="1" applyFill="1" applyBorder="1" applyAlignment="1" applyProtection="1">
      <alignment horizontal="center" vertical="center"/>
      <protection locked="0"/>
    </xf>
    <xf numFmtId="2" fontId="0" fillId="10" borderId="1" xfId="19" applyNumberFormat="1" applyFont="1" applyFill="1" applyBorder="1" applyAlignment="1" applyProtection="1">
      <alignment horizontal="center" vertical="top"/>
      <protection locked="0"/>
    </xf>
    <xf numFmtId="164" fontId="29" fillId="0" borderId="1" xfId="19" applyFont="1" applyFill="1" applyBorder="1" applyAlignment="1" applyProtection="1">
      <alignment horizontal="center" vertical="center" wrapText="1"/>
      <protection locked="0"/>
    </xf>
    <xf numFmtId="0" fontId="0" fillId="0" borderId="0" xfId="0" applyAlignment="1">
      <alignment horizontal="left"/>
    </xf>
    <xf numFmtId="0" fontId="0" fillId="0" borderId="62" xfId="0" applyBorder="1" applyAlignment="1">
      <alignment horizontal="left"/>
    </xf>
    <xf numFmtId="0" fontId="0" fillId="0" borderId="63" xfId="0" applyBorder="1" applyAlignment="1">
      <alignment horizontal="left"/>
    </xf>
    <xf numFmtId="0" fontId="0" fillId="12" borderId="5" xfId="0" applyFill="1" applyBorder="1" applyAlignment="1">
      <alignment horizontal="left" vertical="center" wrapText="1"/>
    </xf>
    <xf numFmtId="0" fontId="41" fillId="23" borderId="1" xfId="0" applyFont="1" applyFill="1" applyBorder="1" applyAlignment="1" applyProtection="1">
      <alignment horizontal="left" vertical="center" wrapText="1"/>
      <protection hidden="1"/>
    </xf>
    <xf numFmtId="0" fontId="0" fillId="32" borderId="1" xfId="0" applyFill="1" applyBorder="1" applyAlignment="1" applyProtection="1">
      <alignment horizontal="left" vertical="center" wrapText="1"/>
      <protection locked="0"/>
    </xf>
    <xf numFmtId="0" fontId="0" fillId="32" borderId="1" xfId="0" applyFill="1" applyBorder="1" applyAlignment="1" applyProtection="1">
      <alignment horizontal="left" vertical="center"/>
      <protection locked="0"/>
    </xf>
    <xf numFmtId="0" fontId="25" fillId="0" borderId="17" xfId="9" applyFont="1" applyBorder="1" applyAlignment="1">
      <alignment horizontal="left" vertical="center" wrapText="1"/>
    </xf>
    <xf numFmtId="0" fontId="25" fillId="0" borderId="8" xfId="9" applyFont="1" applyBorder="1" applyAlignment="1">
      <alignment horizontal="left" vertical="center" wrapText="1"/>
    </xf>
    <xf numFmtId="0" fontId="25" fillId="0" borderId="19" xfId="9" applyFont="1" applyBorder="1" applyAlignment="1">
      <alignment horizontal="left" vertical="center" wrapText="1"/>
    </xf>
    <xf numFmtId="0" fontId="25" fillId="0" borderId="20" xfId="9" applyFont="1" applyBorder="1" applyAlignment="1">
      <alignment vertical="center" wrapText="1"/>
    </xf>
    <xf numFmtId="0" fontId="25" fillId="0" borderId="22" xfId="9" applyFont="1" applyBorder="1" applyAlignment="1">
      <alignment vertical="center" wrapText="1"/>
    </xf>
    <xf numFmtId="0" fontId="25" fillId="0" borderId="21" xfId="9" applyFont="1" applyBorder="1" applyAlignment="1">
      <alignment vertical="center" wrapText="1"/>
    </xf>
    <xf numFmtId="0" fontId="25" fillId="0" borderId="20" xfId="9" applyFont="1" applyBorder="1" applyAlignment="1">
      <alignment horizontal="left" vertical="center" wrapText="1"/>
    </xf>
    <xf numFmtId="0" fontId="25" fillId="0" borderId="22" xfId="9" applyFont="1" applyBorder="1" applyAlignment="1">
      <alignment horizontal="left" vertical="center" wrapText="1"/>
    </xf>
    <xf numFmtId="0" fontId="25" fillId="0" borderId="21" xfId="9" applyFont="1" applyBorder="1" applyAlignment="1">
      <alignment horizontal="left" vertical="center" wrapText="1"/>
    </xf>
    <xf numFmtId="0" fontId="23" fillId="5" borderId="7" xfId="1" applyFill="1" applyBorder="1" applyAlignment="1">
      <alignment vertical="center" wrapText="1"/>
    </xf>
    <xf numFmtId="0" fontId="23" fillId="5" borderId="3" xfId="1" applyFill="1" applyBorder="1" applyAlignment="1">
      <alignment vertical="center" wrapText="1"/>
    </xf>
    <xf numFmtId="0" fontId="60" fillId="28" borderId="15" xfId="9" applyFont="1" applyFill="1" applyBorder="1" applyAlignment="1">
      <alignment vertical="center" wrapText="1"/>
    </xf>
    <xf numFmtId="0" fontId="60" fillId="28" borderId="19" xfId="9" applyFont="1" applyFill="1" applyBorder="1" applyAlignment="1">
      <alignment vertical="center" wrapText="1"/>
    </xf>
    <xf numFmtId="0" fontId="25" fillId="28" borderId="7" xfId="9" applyFont="1" applyFill="1" applyBorder="1" applyAlignment="1">
      <alignment vertical="center" wrapText="1"/>
    </xf>
    <xf numFmtId="0" fontId="25" fillId="28" borderId="3" xfId="9" applyFont="1" applyFill="1" applyBorder="1" applyAlignment="1">
      <alignment vertical="center" wrapText="1"/>
    </xf>
    <xf numFmtId="0" fontId="13" fillId="28" borderId="7" xfId="9" applyFont="1" applyFill="1" applyBorder="1" applyAlignment="1">
      <alignment vertical="center" wrapText="1"/>
    </xf>
    <xf numFmtId="0" fontId="13" fillId="28" borderId="3" xfId="9" applyFont="1" applyFill="1" applyBorder="1" applyAlignment="1">
      <alignment vertical="center" wrapText="1"/>
    </xf>
    <xf numFmtId="0" fontId="61" fillId="0" borderId="20" xfId="9" applyFont="1" applyBorder="1" applyAlignment="1">
      <alignment vertical="center" wrapText="1"/>
    </xf>
    <xf numFmtId="0" fontId="61" fillId="0" borderId="22" xfId="9" applyFont="1" applyBorder="1" applyAlignment="1">
      <alignment vertical="center" wrapText="1"/>
    </xf>
    <xf numFmtId="0" fontId="61" fillId="0" borderId="21" xfId="9" applyFont="1" applyBorder="1" applyAlignment="1">
      <alignment vertical="center" wrapText="1"/>
    </xf>
    <xf numFmtId="0" fontId="57" fillId="28" borderId="7" xfId="9" applyFont="1" applyFill="1" applyBorder="1" applyAlignment="1">
      <alignment vertical="center" wrapText="1"/>
    </xf>
    <xf numFmtId="0" fontId="57" fillId="28" borderId="3" xfId="9" applyFont="1" applyFill="1" applyBorder="1" applyAlignment="1">
      <alignment vertical="center" wrapText="1"/>
    </xf>
    <xf numFmtId="0" fontId="56" fillId="0" borderId="15" xfId="9" applyFont="1" applyBorder="1" applyAlignment="1">
      <alignment horizontal="left" vertical="top" wrapText="1"/>
    </xf>
    <xf numFmtId="0" fontId="56" fillId="0" borderId="19" xfId="9" applyFont="1" applyBorder="1" applyAlignment="1">
      <alignment horizontal="left" vertical="top" wrapText="1"/>
    </xf>
    <xf numFmtId="0" fontId="56" fillId="0" borderId="7" xfId="9" applyFont="1" applyBorder="1" applyAlignment="1">
      <alignment horizontal="left" vertical="top" wrapText="1"/>
    </xf>
    <xf numFmtId="0" fontId="56" fillId="0" borderId="3" xfId="9" applyFont="1" applyBorder="1" applyAlignment="1">
      <alignment horizontal="left" vertical="top" wrapText="1"/>
    </xf>
    <xf numFmtId="0" fontId="25" fillId="6" borderId="7" xfId="9" applyFont="1" applyFill="1" applyBorder="1" applyAlignment="1">
      <alignment vertical="center" wrapText="1"/>
    </xf>
    <xf numFmtId="0" fontId="25" fillId="6" borderId="3" xfId="9" applyFont="1" applyFill="1" applyBorder="1" applyAlignment="1">
      <alignment vertical="center" wrapText="1"/>
    </xf>
    <xf numFmtId="0" fontId="25" fillId="0" borderId="20" xfId="9" applyFont="1" applyBorder="1" applyAlignment="1">
      <alignment horizontal="left" wrapText="1"/>
    </xf>
    <xf numFmtId="0" fontId="25" fillId="0" borderId="22" xfId="9" applyFont="1" applyBorder="1" applyAlignment="1">
      <alignment horizontal="left" wrapText="1"/>
    </xf>
    <xf numFmtId="0" fontId="25" fillId="0" borderId="21" xfId="9" applyFont="1" applyBorder="1" applyAlignment="1">
      <alignment horizontal="left" wrapText="1"/>
    </xf>
    <xf numFmtId="0" fontId="56" fillId="0" borderId="14" xfId="9" applyFont="1" applyBorder="1" applyAlignment="1">
      <alignment horizontal="left" vertical="top" wrapText="1"/>
    </xf>
    <xf numFmtId="0" fontId="58" fillId="0" borderId="14" xfId="1" applyFont="1" applyBorder="1" applyAlignment="1">
      <alignment horizontal="left" vertical="center" wrapText="1"/>
    </xf>
    <xf numFmtId="0" fontId="59" fillId="0" borderId="3" xfId="1" applyFont="1" applyBorder="1" applyAlignment="1">
      <alignment horizontal="left" vertical="center" wrapText="1"/>
    </xf>
    <xf numFmtId="0" fontId="56" fillId="0" borderId="14" xfId="9" applyFont="1" applyBorder="1" applyAlignment="1">
      <alignment horizontal="left" vertical="center" wrapText="1"/>
    </xf>
    <xf numFmtId="0" fontId="56" fillId="0" borderId="3" xfId="9" applyFont="1" applyBorder="1" applyAlignment="1">
      <alignment horizontal="left" vertical="center" wrapText="1"/>
    </xf>
    <xf numFmtId="0" fontId="56" fillId="0" borderId="12" xfId="9" applyFont="1" applyBorder="1" applyAlignment="1">
      <alignment horizontal="left" vertical="top" wrapText="1"/>
    </xf>
    <xf numFmtId="0" fontId="56" fillId="0" borderId="17" xfId="9" applyFont="1" applyBorder="1" applyAlignment="1">
      <alignment horizontal="left" vertical="top" wrapText="1"/>
    </xf>
    <xf numFmtId="0" fontId="56" fillId="0" borderId="18" xfId="9" applyFont="1" applyBorder="1" applyAlignment="1">
      <alignment horizontal="left" vertical="top" wrapText="1"/>
    </xf>
    <xf numFmtId="0" fontId="56" fillId="0" borderId="8" xfId="9" applyFont="1" applyBorder="1" applyAlignment="1">
      <alignment horizontal="left" vertical="top" wrapText="1"/>
    </xf>
    <xf numFmtId="0" fontId="25" fillId="0" borderId="0" xfId="9" applyFont="1" applyAlignment="1">
      <alignment horizontal="center" vertical="center"/>
    </xf>
    <xf numFmtId="0" fontId="56" fillId="0" borderId="7" xfId="9" applyFont="1" applyBorder="1" applyAlignment="1">
      <alignment horizontal="left" vertical="center" wrapText="1"/>
    </xf>
    <xf numFmtId="0" fontId="58" fillId="0" borderId="7" xfId="1" applyFont="1" applyBorder="1" applyAlignment="1">
      <alignment horizontal="left" vertical="center" wrapText="1"/>
    </xf>
    <xf numFmtId="0" fontId="0" fillId="0" borderId="0" xfId="0" applyAlignment="1">
      <alignment horizontal="center" vertical="center" wrapText="1"/>
    </xf>
    <xf numFmtId="0" fontId="40" fillId="23" borderId="12" xfId="0" applyFont="1" applyFill="1" applyBorder="1" applyAlignment="1">
      <alignment horizontal="center" vertical="center"/>
    </xf>
    <xf numFmtId="0" fontId="40" fillId="23" borderId="13" xfId="0" applyFont="1" applyFill="1" applyBorder="1" applyAlignment="1">
      <alignment horizontal="center" vertical="center"/>
    </xf>
    <xf numFmtId="0" fontId="40" fillId="23" borderId="17" xfId="0" applyFont="1" applyFill="1" applyBorder="1" applyAlignment="1">
      <alignment horizontal="center" vertical="center"/>
    </xf>
    <xf numFmtId="0" fontId="40" fillId="23" borderId="15" xfId="0" applyFont="1" applyFill="1" applyBorder="1" applyAlignment="1">
      <alignment horizontal="center" vertical="center"/>
    </xf>
    <xf numFmtId="0" fontId="40" fillId="23" borderId="16" xfId="0" applyFont="1" applyFill="1" applyBorder="1" applyAlignment="1">
      <alignment horizontal="center" vertical="center"/>
    </xf>
    <xf numFmtId="0" fontId="40" fillId="23" borderId="19" xfId="0" applyFont="1" applyFill="1" applyBorder="1" applyAlignment="1">
      <alignment horizontal="center" vertical="center"/>
    </xf>
    <xf numFmtId="0" fontId="40" fillId="0" borderId="0" xfId="0" applyFont="1" applyAlignment="1">
      <alignment horizontal="center" vertical="center"/>
    </xf>
    <xf numFmtId="0" fontId="40" fillId="23" borderId="7" xfId="0" applyFont="1" applyFill="1" applyBorder="1" applyAlignment="1">
      <alignment horizontal="center" vertical="center"/>
    </xf>
    <xf numFmtId="0" fontId="40" fillId="23" borderId="14" xfId="0" applyFont="1" applyFill="1" applyBorder="1" applyAlignment="1">
      <alignment horizontal="center" vertical="center"/>
    </xf>
    <xf numFmtId="0" fontId="40" fillId="23" borderId="24" xfId="0" applyFont="1" applyFill="1" applyBorder="1" applyAlignment="1">
      <alignment horizontal="center" vertical="center"/>
    </xf>
    <xf numFmtId="0" fontId="40" fillId="23" borderId="25" xfId="0" applyFont="1" applyFill="1" applyBorder="1" applyAlignment="1">
      <alignment horizontal="center" vertical="center"/>
    </xf>
    <xf numFmtId="0" fontId="40" fillId="5" borderId="7" xfId="0" applyFont="1" applyFill="1" applyBorder="1" applyAlignment="1">
      <alignment horizontal="center" vertical="center"/>
    </xf>
    <xf numFmtId="0" fontId="40" fillId="5" borderId="14" xfId="0" applyFont="1" applyFill="1" applyBorder="1" applyAlignment="1">
      <alignment horizontal="center" vertical="center"/>
    </xf>
    <xf numFmtId="0" fontId="40" fillId="12" borderId="2" xfId="0" applyFont="1" applyFill="1" applyBorder="1" applyAlignment="1">
      <alignment horizontal="center" vertical="center"/>
    </xf>
    <xf numFmtId="0" fontId="26" fillId="0" borderId="0" xfId="0" applyFont="1" applyAlignment="1">
      <alignment horizontal="center" vertical="center" wrapText="1"/>
    </xf>
    <xf numFmtId="0" fontId="0" fillId="0" borderId="0" xfId="0" applyAlignment="1">
      <alignment horizontal="center"/>
    </xf>
    <xf numFmtId="0" fontId="62" fillId="23" borderId="18" xfId="0" applyFont="1" applyFill="1" applyBorder="1" applyAlignment="1" applyProtection="1">
      <alignment horizontal="center" vertical="center"/>
      <protection hidden="1"/>
    </xf>
    <xf numFmtId="0" fontId="62" fillId="23" borderId="0" xfId="0" applyFont="1" applyFill="1" applyAlignment="1" applyProtection="1">
      <alignment horizontal="center" vertical="center"/>
      <protection hidden="1"/>
    </xf>
    <xf numFmtId="0" fontId="62" fillId="23" borderId="79" xfId="0" applyFont="1" applyFill="1" applyBorder="1" applyAlignment="1" applyProtection="1">
      <alignment horizontal="center" vertical="center"/>
      <protection hidden="1"/>
    </xf>
    <xf numFmtId="0" fontId="62" fillId="23" borderId="80" xfId="0" applyFont="1" applyFill="1" applyBorder="1" applyAlignment="1" applyProtection="1">
      <alignment horizontal="center" vertical="center"/>
      <protection hidden="1"/>
    </xf>
    <xf numFmtId="0" fontId="0" fillId="12" borderId="30" xfId="0" applyFill="1" applyBorder="1" applyAlignment="1" applyProtection="1">
      <alignment horizontal="center" vertical="center" wrapText="1"/>
      <protection hidden="1"/>
    </xf>
    <xf numFmtId="0" fontId="0" fillId="12" borderId="31" xfId="0" applyFill="1" applyBorder="1" applyAlignment="1" applyProtection="1">
      <alignment horizontal="center" vertical="center" wrapText="1"/>
      <protection hidden="1"/>
    </xf>
    <xf numFmtId="171" fontId="29" fillId="0" borderId="29" xfId="0" applyNumberFormat="1" applyFont="1" applyBorder="1" applyAlignment="1" applyProtection="1">
      <alignment horizontal="center" vertical="center" wrapText="1"/>
      <protection locked="0"/>
    </xf>
    <xf numFmtId="172" fontId="29" fillId="0" borderId="29" xfId="0" applyNumberFormat="1" applyFont="1" applyBorder="1" applyAlignment="1" applyProtection="1">
      <alignment horizontal="center" vertical="center" wrapText="1"/>
      <protection locked="0"/>
    </xf>
    <xf numFmtId="177" fontId="29" fillId="0" borderId="29" xfId="19" applyNumberFormat="1" applyFont="1" applyBorder="1" applyAlignment="1" applyProtection="1">
      <alignment horizontal="center" vertical="center" wrapText="1"/>
      <protection locked="0"/>
    </xf>
    <xf numFmtId="0" fontId="0" fillId="12" borderId="26" xfId="0" applyFill="1" applyBorder="1" applyAlignment="1">
      <alignment horizontal="center" vertical="center" wrapText="1"/>
    </xf>
    <xf numFmtId="0" fontId="0" fillId="12" borderId="27" xfId="0" applyFill="1" applyBorder="1" applyAlignment="1">
      <alignment horizontal="center" vertical="center" wrapText="1"/>
    </xf>
    <xf numFmtId="0" fontId="0" fillId="12" borderId="28" xfId="0" applyFill="1" applyBorder="1" applyAlignment="1">
      <alignment horizontal="center" vertical="center" wrapText="1"/>
    </xf>
    <xf numFmtId="0" fontId="0" fillId="12" borderId="76" xfId="0" applyFill="1" applyBorder="1" applyAlignment="1">
      <alignment horizontal="center" vertical="center" wrapText="1"/>
    </xf>
    <xf numFmtId="0" fontId="0" fillId="12" borderId="77" xfId="0" applyFill="1" applyBorder="1" applyAlignment="1">
      <alignment horizontal="center" vertical="center" wrapText="1"/>
    </xf>
    <xf numFmtId="0" fontId="0" fillId="12" borderId="78" xfId="0" applyFill="1" applyBorder="1" applyAlignment="1">
      <alignment horizontal="center" vertical="center" wrapText="1"/>
    </xf>
    <xf numFmtId="0" fontId="29" fillId="0" borderId="118" xfId="0" applyFont="1" applyBorder="1" applyAlignment="1" applyProtection="1">
      <alignment horizontal="left" vertical="center" wrapText="1"/>
      <protection locked="0"/>
    </xf>
    <xf numFmtId="0" fontId="29" fillId="0" borderId="119" xfId="0" applyFont="1" applyBorder="1" applyAlignment="1" applyProtection="1">
      <alignment horizontal="left" vertical="center" wrapText="1"/>
      <protection locked="0"/>
    </xf>
    <xf numFmtId="0" fontId="62" fillId="23" borderId="12" xfId="0" applyFont="1" applyFill="1" applyBorder="1" applyAlignment="1">
      <alignment horizontal="center" vertical="center"/>
    </xf>
    <xf numFmtId="0" fontId="62" fillId="23" borderId="13" xfId="0" applyFont="1" applyFill="1" applyBorder="1" applyAlignment="1">
      <alignment horizontal="center" vertical="center"/>
    </xf>
    <xf numFmtId="0" fontId="62" fillId="23" borderId="17" xfId="0" applyFont="1" applyFill="1" applyBorder="1" applyAlignment="1">
      <alignment horizontal="center" vertical="center"/>
    </xf>
    <xf numFmtId="0" fontId="62" fillId="23" borderId="15" xfId="0" applyFont="1" applyFill="1" applyBorder="1" applyAlignment="1">
      <alignment horizontal="center" vertical="center"/>
    </xf>
    <xf numFmtId="0" fontId="62" fillId="23" borderId="16" xfId="0" applyFont="1" applyFill="1" applyBorder="1" applyAlignment="1">
      <alignment horizontal="center" vertical="center"/>
    </xf>
    <xf numFmtId="0" fontId="62" fillId="23" borderId="19" xfId="0" applyFont="1" applyFill="1" applyBorder="1" applyAlignment="1">
      <alignment horizontal="center" vertical="center"/>
    </xf>
    <xf numFmtId="0" fontId="0" fillId="0" borderId="29" xfId="0" applyBorder="1" applyAlignment="1" applyProtection="1">
      <alignment horizontal="left" vertical="center" wrapText="1"/>
      <protection locked="0"/>
    </xf>
    <xf numFmtId="0" fontId="0" fillId="0" borderId="120" xfId="0" applyBorder="1" applyAlignment="1" applyProtection="1">
      <alignment horizontal="left" vertical="center" wrapText="1"/>
      <protection locked="0"/>
    </xf>
    <xf numFmtId="0" fontId="0" fillId="0" borderId="121" xfId="0" applyBorder="1" applyAlignment="1" applyProtection="1">
      <alignment horizontal="left" vertical="center" wrapText="1"/>
      <protection locked="0"/>
    </xf>
    <xf numFmtId="0" fontId="0" fillId="0" borderId="32" xfId="0" applyBorder="1" applyAlignment="1" applyProtection="1">
      <alignment horizontal="center" vertical="center"/>
      <protection locked="0"/>
    </xf>
    <xf numFmtId="0" fontId="0" fillId="0" borderId="33" xfId="0" applyBorder="1" applyAlignment="1" applyProtection="1">
      <alignment horizontal="center" vertical="center"/>
      <protection locked="0"/>
    </xf>
    <xf numFmtId="171" fontId="0" fillId="0" borderId="29" xfId="0" applyNumberFormat="1" applyBorder="1" applyAlignment="1" applyProtection="1">
      <alignment horizontal="center" vertical="center"/>
      <protection locked="0"/>
    </xf>
    <xf numFmtId="171" fontId="0" fillId="0" borderId="28" xfId="0" applyNumberFormat="1" applyBorder="1" applyAlignment="1" applyProtection="1">
      <alignment horizontal="center" vertical="center"/>
      <protection locked="0"/>
    </xf>
    <xf numFmtId="171" fontId="0" fillId="10" borderId="29" xfId="0" applyNumberFormat="1" applyFill="1" applyBorder="1" applyAlignment="1" applyProtection="1">
      <alignment horizontal="center" vertical="center"/>
      <protection locked="0"/>
    </xf>
    <xf numFmtId="171" fontId="0" fillId="10" borderId="28" xfId="0" applyNumberFormat="1" applyFill="1" applyBorder="1" applyAlignment="1" applyProtection="1">
      <alignment horizontal="center" vertical="center"/>
      <protection locked="0"/>
    </xf>
    <xf numFmtId="170" fontId="0" fillId="0" borderId="29" xfId="0" applyNumberFormat="1" applyBorder="1" applyAlignment="1" applyProtection="1">
      <alignment horizontal="center" vertical="center"/>
      <protection locked="0"/>
    </xf>
    <xf numFmtId="170" fontId="0" fillId="0" borderId="28" xfId="0" applyNumberFormat="1" applyBorder="1" applyAlignment="1" applyProtection="1">
      <alignment horizontal="center" vertical="center"/>
      <protection locked="0"/>
    </xf>
    <xf numFmtId="171" fontId="29" fillId="0" borderId="29" xfId="0" applyNumberFormat="1" applyFont="1" applyBorder="1" applyAlignment="1" applyProtection="1">
      <alignment horizontal="center" vertical="center"/>
      <protection locked="0"/>
    </xf>
    <xf numFmtId="171" fontId="29" fillId="0" borderId="28" xfId="0" applyNumberFormat="1" applyFont="1" applyBorder="1" applyAlignment="1" applyProtection="1">
      <alignment horizontal="center" vertical="center"/>
      <protection locked="0"/>
    </xf>
    <xf numFmtId="0" fontId="29" fillId="0" borderId="32" xfId="0" applyFont="1" applyBorder="1" applyAlignment="1" applyProtection="1">
      <alignment horizontal="center" vertical="center"/>
      <protection locked="0"/>
    </xf>
    <xf numFmtId="0" fontId="29" fillId="0" borderId="33" xfId="0" applyFont="1" applyBorder="1" applyAlignment="1" applyProtection="1">
      <alignment horizontal="center" vertical="center"/>
      <protection locked="0"/>
    </xf>
    <xf numFmtId="0" fontId="0" fillId="10" borderId="32" xfId="0" applyFill="1" applyBorder="1" applyAlignment="1" applyProtection="1">
      <alignment horizontal="center" vertical="center"/>
      <protection locked="0"/>
    </xf>
    <xf numFmtId="0" fontId="0" fillId="10" borderId="33" xfId="0" applyFill="1" applyBorder="1" applyAlignment="1" applyProtection="1">
      <alignment horizontal="center" vertical="center"/>
      <protection locked="0"/>
    </xf>
    <xf numFmtId="172" fontId="0" fillId="0" borderId="29" xfId="0" applyNumberFormat="1" applyBorder="1" applyAlignment="1" applyProtection="1">
      <alignment horizontal="center" vertical="center"/>
      <protection locked="0"/>
    </xf>
    <xf numFmtId="172" fontId="0" fillId="0" borderId="28" xfId="0" applyNumberFormat="1"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0" fillId="10" borderId="29" xfId="0" applyFill="1" applyBorder="1" applyAlignment="1" applyProtection="1">
      <alignment horizontal="center" vertical="center"/>
      <protection locked="0"/>
    </xf>
    <xf numFmtId="0" fontId="0" fillId="12" borderId="30" xfId="0" applyFill="1" applyBorder="1" applyAlignment="1">
      <alignment horizontal="center" vertical="center" wrapText="1"/>
    </xf>
    <xf numFmtId="0" fontId="0" fillId="12" borderId="31" xfId="0" applyFill="1" applyBorder="1" applyAlignment="1">
      <alignment horizontal="center" vertical="center" wrapText="1"/>
    </xf>
    <xf numFmtId="0" fontId="29" fillId="0" borderId="29" xfId="0" applyFont="1" applyBorder="1" applyAlignment="1" applyProtection="1">
      <alignment horizontal="center" vertical="center"/>
      <protection locked="0"/>
    </xf>
    <xf numFmtId="0" fontId="0" fillId="0" borderId="29" xfId="0" applyBorder="1" applyAlignment="1" applyProtection="1">
      <alignment horizontal="center" vertical="center" wrapText="1"/>
      <protection locked="0"/>
    </xf>
    <xf numFmtId="0" fontId="62" fillId="23" borderId="0" xfId="0" applyFont="1" applyFill="1" applyAlignment="1">
      <alignment horizontal="center" vertical="center" wrapText="1"/>
    </xf>
    <xf numFmtId="0" fontId="40" fillId="23" borderId="0" xfId="0" applyFont="1" applyFill="1" applyAlignment="1">
      <alignment horizontal="center" vertical="center"/>
    </xf>
    <xf numFmtId="0" fontId="66" fillId="0" borderId="120" xfId="0" applyFont="1" applyBorder="1" applyAlignment="1" applyProtection="1">
      <alignment horizontal="left" vertical="center" wrapText="1"/>
      <protection locked="0"/>
    </xf>
    <xf numFmtId="0" fontId="66" fillId="0" borderId="121" xfId="0" applyFont="1" applyBorder="1" applyAlignment="1" applyProtection="1">
      <alignment horizontal="left" vertical="center" wrapText="1"/>
      <protection locked="0"/>
    </xf>
    <xf numFmtId="0" fontId="0" fillId="12" borderId="30" xfId="0" applyFill="1" applyBorder="1" applyAlignment="1" applyProtection="1">
      <alignment horizontal="center" vertical="center" wrapText="1"/>
      <protection locked="0"/>
    </xf>
    <xf numFmtId="0" fontId="0" fillId="12" borderId="31" xfId="0" applyFill="1" applyBorder="1" applyAlignment="1" applyProtection="1">
      <alignment horizontal="center" vertical="center" wrapText="1"/>
      <protection locked="0"/>
    </xf>
    <xf numFmtId="0" fontId="25" fillId="7" borderId="1" xfId="0" applyFont="1" applyFill="1" applyBorder="1" applyAlignment="1">
      <alignment horizontal="center" vertical="center"/>
    </xf>
    <xf numFmtId="0" fontId="25" fillId="7" borderId="4" xfId="0" applyFont="1" applyFill="1" applyBorder="1" applyAlignment="1">
      <alignment horizontal="center" vertical="center"/>
    </xf>
    <xf numFmtId="0" fontId="25" fillId="7" borderId="34" xfId="0" applyFont="1" applyFill="1" applyBorder="1" applyAlignment="1">
      <alignment horizontal="center" vertical="center"/>
    </xf>
    <xf numFmtId="0" fontId="25" fillId="7" borderId="35" xfId="0" applyFont="1" applyFill="1" applyBorder="1" applyAlignment="1">
      <alignment horizontal="center" vertical="center"/>
    </xf>
    <xf numFmtId="0" fontId="62" fillId="23" borderId="0" xfId="0" applyFont="1" applyFill="1" applyAlignment="1">
      <alignment horizontal="center" vertical="center"/>
    </xf>
    <xf numFmtId="0" fontId="0" fillId="10" borderId="36" xfId="0" applyFill="1" applyBorder="1" applyAlignment="1">
      <alignment horizontal="center"/>
    </xf>
    <xf numFmtId="0" fontId="41" fillId="23" borderId="4" xfId="0" applyFont="1" applyFill="1" applyBorder="1" applyAlignment="1">
      <alignment horizontal="center" vertical="center"/>
    </xf>
    <xf numFmtId="0" fontId="41" fillId="23" borderId="34" xfId="0" applyFont="1" applyFill="1" applyBorder="1" applyAlignment="1">
      <alignment horizontal="center" vertical="center"/>
    </xf>
    <xf numFmtId="0" fontId="41" fillId="23" borderId="33" xfId="0" applyFont="1" applyFill="1" applyBorder="1" applyAlignment="1" applyProtection="1">
      <alignment horizontal="center" vertical="center"/>
      <protection hidden="1"/>
    </xf>
    <xf numFmtId="0" fontId="41" fillId="23" borderId="27" xfId="0" applyFont="1" applyFill="1" applyBorder="1" applyAlignment="1" applyProtection="1">
      <alignment horizontal="center" vertical="center"/>
      <protection hidden="1"/>
    </xf>
    <xf numFmtId="0" fontId="41" fillId="23" borderId="35" xfId="0" applyFont="1" applyFill="1" applyBorder="1" applyAlignment="1">
      <alignment horizontal="center" vertical="center"/>
    </xf>
    <xf numFmtId="16" fontId="25" fillId="7" borderId="4" xfId="0" applyNumberFormat="1" applyFont="1" applyFill="1" applyBorder="1" applyAlignment="1">
      <alignment horizontal="center" vertical="center"/>
    </xf>
    <xf numFmtId="16" fontId="25" fillId="7" borderId="34" xfId="0" applyNumberFormat="1" applyFont="1" applyFill="1" applyBorder="1" applyAlignment="1">
      <alignment horizontal="center" vertical="center"/>
    </xf>
    <xf numFmtId="16" fontId="25" fillId="7" borderId="35" xfId="0" applyNumberFormat="1" applyFont="1" applyFill="1" applyBorder="1" applyAlignment="1">
      <alignment horizontal="center" vertical="center"/>
    </xf>
    <xf numFmtId="0" fontId="62" fillId="23" borderId="1" xfId="0" applyFont="1" applyFill="1" applyBorder="1" applyAlignment="1">
      <alignment horizontal="center" vertical="center"/>
    </xf>
    <xf numFmtId="0" fontId="0" fillId="0" borderId="1" xfId="0" applyBorder="1" applyAlignment="1">
      <alignment horizontal="center" vertical="center"/>
    </xf>
    <xf numFmtId="0" fontId="37" fillId="10" borderId="0" xfId="0" applyFont="1" applyFill="1" applyAlignment="1">
      <alignment horizontal="center"/>
    </xf>
    <xf numFmtId="0" fontId="37" fillId="0" borderId="0" xfId="0" applyFont="1" applyAlignment="1">
      <alignment horizontal="center"/>
    </xf>
    <xf numFmtId="0" fontId="65" fillId="10" borderId="0" xfId="0" applyFont="1" applyFill="1" applyAlignment="1">
      <alignment horizontal="center"/>
    </xf>
    <xf numFmtId="49" fontId="35" fillId="10" borderId="115" xfId="0" applyNumberFormat="1" applyFont="1" applyFill="1" applyBorder="1" applyAlignment="1" applyProtection="1">
      <alignment horizontal="center" vertical="center"/>
      <protection hidden="1"/>
    </xf>
    <xf numFmtId="49" fontId="35" fillId="10" borderId="116" xfId="0" applyNumberFormat="1" applyFont="1" applyFill="1" applyBorder="1" applyAlignment="1" applyProtection="1">
      <alignment horizontal="center" vertical="center"/>
      <protection hidden="1"/>
    </xf>
    <xf numFmtId="49" fontId="35" fillId="10" borderId="117" xfId="0" applyNumberFormat="1" applyFont="1" applyFill="1" applyBorder="1" applyAlignment="1" applyProtection="1">
      <alignment horizontal="center" vertical="center"/>
      <protection hidden="1"/>
    </xf>
    <xf numFmtId="0" fontId="35" fillId="6" borderId="115" xfId="0" applyFont="1" applyFill="1" applyBorder="1" applyAlignment="1" applyProtection="1">
      <alignment horizontal="center" vertical="center" wrapText="1"/>
      <protection hidden="1"/>
    </xf>
    <xf numFmtId="0" fontId="35" fillId="6" borderId="116" xfId="0" applyFont="1" applyFill="1" applyBorder="1" applyAlignment="1" applyProtection="1">
      <alignment horizontal="center" vertical="center" wrapText="1"/>
      <protection hidden="1"/>
    </xf>
    <xf numFmtId="0" fontId="35" fillId="6" borderId="117" xfId="0" applyFont="1" applyFill="1" applyBorder="1" applyAlignment="1" applyProtection="1">
      <alignment horizontal="center" vertical="center" wrapText="1"/>
      <protection hidden="1"/>
    </xf>
    <xf numFmtId="49" fontId="35" fillId="6" borderId="115" xfId="0" applyNumberFormat="1" applyFont="1" applyFill="1" applyBorder="1" applyAlignment="1" applyProtection="1">
      <alignment horizontal="center" vertical="center" wrapText="1"/>
      <protection hidden="1"/>
    </xf>
    <xf numFmtId="49" fontId="35" fillId="6" borderId="116" xfId="0" applyNumberFormat="1" applyFont="1" applyFill="1" applyBorder="1" applyAlignment="1" applyProtection="1">
      <alignment horizontal="center" vertical="center" wrapText="1"/>
      <protection hidden="1"/>
    </xf>
    <xf numFmtId="49" fontId="35" fillId="6" borderId="117" xfId="0" applyNumberFormat="1" applyFont="1" applyFill="1" applyBorder="1" applyAlignment="1" applyProtection="1">
      <alignment horizontal="center" vertical="center" wrapText="1"/>
      <protection hidden="1"/>
    </xf>
    <xf numFmtId="49" fontId="35" fillId="10" borderId="115" xfId="0" applyNumberFormat="1" applyFont="1" applyFill="1" applyBorder="1" applyAlignment="1" applyProtection="1">
      <alignment horizontal="center" vertical="center" wrapText="1"/>
      <protection hidden="1"/>
    </xf>
    <xf numFmtId="49" fontId="35" fillId="10" borderId="116" xfId="0" applyNumberFormat="1" applyFont="1" applyFill="1" applyBorder="1" applyAlignment="1" applyProtection="1">
      <alignment horizontal="center" vertical="center" wrapText="1"/>
      <protection hidden="1"/>
    </xf>
    <xf numFmtId="49" fontId="35" fillId="10" borderId="117" xfId="0" applyNumberFormat="1" applyFont="1" applyFill="1" applyBorder="1" applyAlignment="1" applyProtection="1">
      <alignment horizontal="center" vertical="center" wrapText="1"/>
      <protection hidden="1"/>
    </xf>
    <xf numFmtId="0" fontId="35" fillId="10" borderId="115" xfId="0" applyFont="1" applyFill="1" applyBorder="1" applyAlignment="1" applyProtection="1">
      <alignment horizontal="center" vertical="center" wrapText="1"/>
      <protection hidden="1"/>
    </xf>
    <xf numFmtId="0" fontId="35" fillId="10" borderId="116" xfId="0" applyFont="1" applyFill="1" applyBorder="1" applyAlignment="1" applyProtection="1">
      <alignment horizontal="center" vertical="center" wrapText="1"/>
      <protection hidden="1"/>
    </xf>
    <xf numFmtId="0" fontId="35" fillId="10" borderId="117" xfId="0" applyFont="1" applyFill="1" applyBorder="1" applyAlignment="1" applyProtection="1">
      <alignment horizontal="center" vertical="center" wrapText="1"/>
      <protection hidden="1"/>
    </xf>
    <xf numFmtId="0" fontId="64" fillId="6" borderId="56" xfId="0" applyFont="1" applyFill="1" applyBorder="1" applyAlignment="1" applyProtection="1">
      <alignment horizontal="left"/>
      <protection hidden="1"/>
    </xf>
    <xf numFmtId="0" fontId="64" fillId="6" borderId="98" xfId="0" applyFont="1" applyFill="1" applyBorder="1" applyAlignment="1" applyProtection="1">
      <alignment horizontal="left"/>
      <protection hidden="1"/>
    </xf>
    <xf numFmtId="0" fontId="64" fillId="6" borderId="50" xfId="0" applyFont="1" applyFill="1" applyBorder="1" applyAlignment="1" applyProtection="1">
      <alignment horizontal="left"/>
      <protection hidden="1"/>
    </xf>
    <xf numFmtId="0" fontId="35" fillId="22" borderId="56" xfId="0" applyFont="1" applyFill="1" applyBorder="1" applyAlignment="1" applyProtection="1">
      <alignment horizontal="center" vertical="center"/>
      <protection hidden="1"/>
    </xf>
    <xf numFmtId="0" fontId="35" fillId="22" borderId="98" xfId="0" applyFont="1" applyFill="1" applyBorder="1" applyAlignment="1" applyProtection="1">
      <alignment horizontal="center" vertical="center"/>
      <protection hidden="1"/>
    </xf>
    <xf numFmtId="0" fontId="35" fillId="22" borderId="50" xfId="0" applyFont="1" applyFill="1" applyBorder="1" applyAlignment="1" applyProtection="1">
      <alignment horizontal="center" vertical="center"/>
      <protection hidden="1"/>
    </xf>
    <xf numFmtId="49" fontId="35" fillId="6" borderId="111" xfId="0" applyNumberFormat="1" applyFont="1" applyFill="1" applyBorder="1" applyAlignment="1" applyProtection="1">
      <alignment horizontal="center" vertical="center" wrapText="1"/>
      <protection hidden="1"/>
    </xf>
    <xf numFmtId="49" fontId="35" fillId="6" borderId="114" xfId="0" applyNumberFormat="1" applyFont="1" applyFill="1" applyBorder="1" applyAlignment="1" applyProtection="1">
      <alignment horizontal="center" vertical="center" wrapText="1"/>
      <protection hidden="1"/>
    </xf>
    <xf numFmtId="49" fontId="35" fillId="6" borderId="112" xfId="0" applyNumberFormat="1" applyFont="1" applyFill="1" applyBorder="1" applyAlignment="1" applyProtection="1">
      <alignment horizontal="center" vertical="center" wrapText="1"/>
      <protection hidden="1"/>
    </xf>
    <xf numFmtId="49" fontId="35" fillId="10" borderId="111" xfId="0" applyNumberFormat="1" applyFont="1" applyFill="1" applyBorder="1" applyAlignment="1" applyProtection="1">
      <alignment horizontal="center" vertical="center" wrapText="1"/>
      <protection hidden="1"/>
    </xf>
    <xf numFmtId="49" fontId="35" fillId="10" borderId="114" xfId="0" applyNumberFormat="1" applyFont="1" applyFill="1" applyBorder="1" applyAlignment="1" applyProtection="1">
      <alignment horizontal="center" vertical="center" wrapText="1"/>
      <protection hidden="1"/>
    </xf>
    <xf numFmtId="49" fontId="35" fillId="10" borderId="112" xfId="0" applyNumberFormat="1" applyFont="1" applyFill="1" applyBorder="1" applyAlignment="1" applyProtection="1">
      <alignment horizontal="center" vertical="center" wrapText="1"/>
      <protection hidden="1"/>
    </xf>
    <xf numFmtId="0" fontId="64" fillId="0" borderId="56" xfId="0" applyFont="1" applyBorder="1" applyAlignment="1" applyProtection="1">
      <alignment horizontal="center"/>
      <protection hidden="1"/>
    </xf>
    <xf numFmtId="0" fontId="64" fillId="0" borderId="98" xfId="0" applyFont="1" applyBorder="1" applyAlignment="1" applyProtection="1">
      <alignment horizontal="center"/>
      <protection hidden="1"/>
    </xf>
    <xf numFmtId="0" fontId="64" fillId="0" borderId="50" xfId="0" applyFont="1" applyBorder="1" applyAlignment="1" applyProtection="1">
      <alignment horizontal="center"/>
      <protection hidden="1"/>
    </xf>
    <xf numFmtId="49" fontId="35" fillId="10" borderId="110" xfId="0" applyNumberFormat="1" applyFont="1" applyFill="1" applyBorder="1" applyAlignment="1" applyProtection="1">
      <alignment horizontal="center" vertical="center" wrapText="1"/>
      <protection hidden="1"/>
    </xf>
    <xf numFmtId="49" fontId="35" fillId="21" borderId="110" xfId="0" applyNumberFormat="1" applyFont="1" applyFill="1" applyBorder="1" applyAlignment="1" applyProtection="1">
      <alignment horizontal="center" vertical="center" wrapText="1"/>
      <protection hidden="1"/>
    </xf>
    <xf numFmtId="0" fontId="35" fillId="6" borderId="111" xfId="0" applyFont="1" applyFill="1" applyBorder="1" applyAlignment="1" applyProtection="1">
      <alignment horizontal="center" vertical="center" wrapText="1"/>
      <protection hidden="1"/>
    </xf>
    <xf numFmtId="0" fontId="35" fillId="6" borderId="114" xfId="0" applyFont="1" applyFill="1" applyBorder="1" applyAlignment="1" applyProtection="1">
      <alignment horizontal="center" vertical="center" wrapText="1"/>
      <protection hidden="1"/>
    </xf>
    <xf numFmtId="0" fontId="35" fillId="6" borderId="112" xfId="0" applyFont="1" applyFill="1" applyBorder="1" applyAlignment="1" applyProtection="1">
      <alignment horizontal="center" vertical="center" wrapText="1"/>
      <protection hidden="1"/>
    </xf>
    <xf numFmtId="49" fontId="35" fillId="6" borderId="110" xfId="0" applyNumberFormat="1" applyFont="1" applyFill="1" applyBorder="1" applyAlignment="1" applyProtection="1">
      <alignment horizontal="center" vertical="center" wrapText="1"/>
      <protection hidden="1"/>
    </xf>
    <xf numFmtId="49" fontId="35" fillId="17" borderId="111" xfId="0" applyNumberFormat="1" applyFont="1" applyFill="1" applyBorder="1" applyAlignment="1" applyProtection="1">
      <alignment horizontal="center" vertical="center" wrapText="1"/>
      <protection hidden="1"/>
    </xf>
    <xf numFmtId="49" fontId="35" fillId="17" borderId="112" xfId="0" applyNumberFormat="1" applyFont="1" applyFill="1" applyBorder="1" applyAlignment="1" applyProtection="1">
      <alignment horizontal="center" vertical="center" wrapText="1"/>
      <protection hidden="1"/>
    </xf>
    <xf numFmtId="49" fontId="35" fillId="20" borderId="111" xfId="0" applyNumberFormat="1" applyFont="1" applyFill="1" applyBorder="1" applyAlignment="1" applyProtection="1">
      <alignment horizontal="center" vertical="center" wrapText="1"/>
      <protection hidden="1"/>
    </xf>
    <xf numFmtId="49" fontId="35" fillId="20" borderId="112" xfId="0" applyNumberFormat="1" applyFont="1" applyFill="1" applyBorder="1" applyAlignment="1" applyProtection="1">
      <alignment horizontal="center" vertical="center" wrapText="1"/>
      <protection hidden="1"/>
    </xf>
    <xf numFmtId="49" fontId="35" fillId="17" borderId="110" xfId="0" applyNumberFormat="1" applyFont="1" applyFill="1" applyBorder="1" applyAlignment="1" applyProtection="1">
      <alignment horizontal="center" vertical="center" wrapText="1"/>
      <protection hidden="1"/>
    </xf>
    <xf numFmtId="49" fontId="35" fillId="18" borderId="110" xfId="0" applyNumberFormat="1" applyFont="1" applyFill="1" applyBorder="1" applyAlignment="1" applyProtection="1">
      <alignment horizontal="center" vertical="center" wrapText="1"/>
      <protection hidden="1"/>
    </xf>
    <xf numFmtId="0" fontId="30" fillId="15" borderId="100" xfId="0" applyFont="1" applyFill="1" applyBorder="1" applyAlignment="1" applyProtection="1">
      <alignment horizontal="center" vertical="center" wrapText="1"/>
      <protection hidden="1"/>
    </xf>
    <xf numFmtId="0" fontId="30" fillId="15" borderId="27" xfId="0" applyFont="1" applyFill="1" applyBorder="1" applyAlignment="1" applyProtection="1">
      <alignment horizontal="center" vertical="center" wrapText="1"/>
      <protection hidden="1"/>
    </xf>
    <xf numFmtId="0" fontId="32" fillId="12" borderId="89" xfId="0" applyFont="1" applyFill="1" applyBorder="1" applyAlignment="1" applyProtection="1">
      <alignment vertical="center" wrapText="1"/>
      <protection hidden="1"/>
    </xf>
    <xf numFmtId="0" fontId="32" fillId="12" borderId="34" xfId="0" applyFont="1" applyFill="1" applyBorder="1" applyAlignment="1" applyProtection="1">
      <alignment vertical="center" wrapText="1"/>
      <protection hidden="1"/>
    </xf>
    <xf numFmtId="49" fontId="35" fillId="10" borderId="56" xfId="0" applyNumberFormat="1" applyFont="1" applyFill="1" applyBorder="1" applyAlignment="1" applyProtection="1">
      <alignment horizontal="center" vertical="center" wrapText="1"/>
      <protection hidden="1"/>
    </xf>
    <xf numFmtId="49" fontId="35" fillId="10" borderId="98" xfId="0" applyNumberFormat="1" applyFont="1" applyFill="1" applyBorder="1" applyAlignment="1" applyProtection="1">
      <alignment horizontal="center" vertical="center" wrapText="1"/>
      <protection hidden="1"/>
    </xf>
    <xf numFmtId="49" fontId="35" fillId="10" borderId="50" xfId="0" applyNumberFormat="1" applyFont="1" applyFill="1" applyBorder="1" applyAlignment="1" applyProtection="1">
      <alignment horizontal="center" vertical="center" wrapText="1"/>
      <protection hidden="1"/>
    </xf>
    <xf numFmtId="49" fontId="35" fillId="18" borderId="56" xfId="0" applyNumberFormat="1" applyFont="1" applyFill="1" applyBorder="1" applyAlignment="1" applyProtection="1">
      <alignment horizontal="center" vertical="center" wrapText="1"/>
      <protection hidden="1"/>
    </xf>
    <xf numFmtId="49" fontId="35" fillId="18" borderId="98" xfId="0" applyNumberFormat="1" applyFont="1" applyFill="1" applyBorder="1" applyAlignment="1" applyProtection="1">
      <alignment horizontal="center" vertical="center" wrapText="1"/>
      <protection hidden="1"/>
    </xf>
    <xf numFmtId="49" fontId="35" fillId="18" borderId="50" xfId="0" applyNumberFormat="1" applyFont="1" applyFill="1" applyBorder="1" applyAlignment="1" applyProtection="1">
      <alignment horizontal="center" vertical="center" wrapText="1"/>
      <protection hidden="1"/>
    </xf>
    <xf numFmtId="0" fontId="35" fillId="18" borderId="51" xfId="0" applyFont="1" applyFill="1" applyBorder="1" applyAlignment="1" applyProtection="1">
      <alignment horizontal="left" vertical="center" wrapText="1"/>
      <protection hidden="1"/>
    </xf>
    <xf numFmtId="0" fontId="35" fillId="18" borderId="99" xfId="0" applyFont="1" applyFill="1" applyBorder="1" applyAlignment="1" applyProtection="1">
      <alignment horizontal="left" vertical="center" wrapText="1"/>
      <protection hidden="1"/>
    </xf>
    <xf numFmtId="0" fontId="35" fillId="18" borderId="98" xfId="0" applyFont="1" applyFill="1" applyBorder="1" applyAlignment="1" applyProtection="1">
      <alignment horizontal="left" vertical="center" wrapText="1"/>
      <protection hidden="1"/>
    </xf>
    <xf numFmtId="0" fontId="35" fillId="18" borderId="50" xfId="0" applyFont="1" applyFill="1" applyBorder="1" applyAlignment="1" applyProtection="1">
      <alignment horizontal="left" vertical="center" wrapText="1"/>
      <protection hidden="1"/>
    </xf>
    <xf numFmtId="49" fontId="35" fillId="17" borderId="56" xfId="0" applyNumberFormat="1" applyFont="1" applyFill="1" applyBorder="1" applyAlignment="1" applyProtection="1">
      <alignment horizontal="center" vertical="center" wrapText="1"/>
      <protection hidden="1"/>
    </xf>
    <xf numFmtId="49" fontId="35" fillId="17" borderId="98" xfId="0" applyNumberFormat="1" applyFont="1" applyFill="1" applyBorder="1" applyAlignment="1" applyProtection="1">
      <alignment horizontal="center" vertical="center" wrapText="1"/>
      <protection hidden="1"/>
    </xf>
    <xf numFmtId="49" fontId="35" fillId="17" borderId="50" xfId="0" applyNumberFormat="1" applyFont="1" applyFill="1" applyBorder="1" applyAlignment="1" applyProtection="1">
      <alignment horizontal="center" vertical="center" wrapText="1"/>
      <protection hidden="1"/>
    </xf>
    <xf numFmtId="0" fontId="64" fillId="0" borderId="56" xfId="0" applyFont="1" applyBorder="1" applyAlignment="1" applyProtection="1">
      <alignment horizontal="left"/>
      <protection hidden="1"/>
    </xf>
    <xf numFmtId="0" fontId="64" fillId="0" borderId="98" xfId="0" applyFont="1" applyBorder="1" applyAlignment="1" applyProtection="1">
      <alignment horizontal="left"/>
      <protection hidden="1"/>
    </xf>
    <xf numFmtId="0" fontId="64" fillId="0" borderId="50" xfId="0" applyFont="1" applyBorder="1" applyAlignment="1" applyProtection="1">
      <alignment horizontal="left"/>
      <protection hidden="1"/>
    </xf>
    <xf numFmtId="0" fontId="35" fillId="10" borderId="115" xfId="0" applyFont="1" applyFill="1" applyBorder="1" applyAlignment="1" applyProtection="1">
      <alignment horizontal="center" vertical="center"/>
      <protection hidden="1"/>
    </xf>
    <xf numFmtId="0" fontId="35" fillId="10" borderId="116" xfId="0" applyFont="1" applyFill="1" applyBorder="1" applyAlignment="1" applyProtection="1">
      <alignment horizontal="center" vertical="center"/>
      <protection hidden="1"/>
    </xf>
    <xf numFmtId="0" fontId="35" fillId="10" borderId="117" xfId="0" applyFont="1" applyFill="1" applyBorder="1" applyAlignment="1" applyProtection="1">
      <alignment horizontal="center" vertical="center"/>
      <protection hidden="1"/>
    </xf>
    <xf numFmtId="49" fontId="35" fillId="6" borderId="115" xfId="0" applyNumberFormat="1" applyFont="1" applyFill="1" applyBorder="1" applyAlignment="1" applyProtection="1">
      <alignment horizontal="center" vertical="center"/>
      <protection hidden="1"/>
    </xf>
    <xf numFmtId="49" fontId="35" fillId="6" borderId="116" xfId="0" applyNumberFormat="1" applyFont="1" applyFill="1" applyBorder="1" applyAlignment="1" applyProtection="1">
      <alignment horizontal="center" vertical="center"/>
      <protection hidden="1"/>
    </xf>
    <xf numFmtId="49" fontId="35" fillId="6" borderId="117" xfId="0" applyNumberFormat="1" applyFont="1" applyFill="1" applyBorder="1" applyAlignment="1" applyProtection="1">
      <alignment horizontal="center" vertical="center"/>
      <protection hidden="1"/>
    </xf>
    <xf numFmtId="0" fontId="35" fillId="10" borderId="56" xfId="0" applyFont="1" applyFill="1" applyBorder="1" applyAlignment="1" applyProtection="1">
      <alignment horizontal="left" vertical="center" wrapText="1"/>
      <protection hidden="1"/>
    </xf>
    <xf numFmtId="0" fontId="35" fillId="10" borderId="98" xfId="0" applyFont="1" applyFill="1" applyBorder="1" applyAlignment="1" applyProtection="1">
      <alignment horizontal="left" vertical="center" wrapText="1"/>
      <protection hidden="1"/>
    </xf>
    <xf numFmtId="0" fontId="35" fillId="10" borderId="50" xfId="0" applyFont="1" applyFill="1" applyBorder="1" applyAlignment="1" applyProtection="1">
      <alignment horizontal="left" vertical="center" wrapText="1"/>
      <protection hidden="1"/>
    </xf>
    <xf numFmtId="0" fontId="33" fillId="13" borderId="93" xfId="0" applyFont="1" applyFill="1" applyBorder="1" applyAlignment="1" applyProtection="1">
      <alignment horizontal="center" vertical="center" wrapText="1"/>
      <protection hidden="1"/>
    </xf>
    <xf numFmtId="0" fontId="33" fillId="13" borderId="0" xfId="0" applyFont="1" applyFill="1" applyAlignment="1" applyProtection="1">
      <alignment horizontal="center" vertical="center" wrapText="1"/>
      <protection hidden="1"/>
    </xf>
    <xf numFmtId="49" fontId="34" fillId="8" borderId="52" xfId="0" applyNumberFormat="1" applyFont="1" applyFill="1" applyBorder="1" applyAlignment="1" applyProtection="1">
      <alignment horizontal="center" vertical="center"/>
      <protection hidden="1"/>
    </xf>
    <xf numFmtId="49" fontId="34" fillId="8" borderId="53" xfId="0" applyNumberFormat="1" applyFont="1" applyFill="1" applyBorder="1" applyAlignment="1" applyProtection="1">
      <alignment horizontal="center" vertical="center"/>
      <protection hidden="1"/>
    </xf>
    <xf numFmtId="49" fontId="34" fillId="8" borderId="108" xfId="0" applyNumberFormat="1" applyFont="1" applyFill="1" applyBorder="1" applyAlignment="1" applyProtection="1">
      <alignment horizontal="center" vertical="center"/>
      <protection hidden="1"/>
    </xf>
    <xf numFmtId="0" fontId="34" fillId="13" borderId="106" xfId="0" applyFont="1" applyFill="1" applyBorder="1" applyAlignment="1" applyProtection="1">
      <alignment horizontal="center" vertical="center" wrapText="1"/>
      <protection hidden="1"/>
    </xf>
    <xf numFmtId="0" fontId="34" fillId="13" borderId="109" xfId="0" applyFont="1" applyFill="1" applyBorder="1" applyAlignment="1" applyProtection="1">
      <alignment horizontal="center" vertical="center" wrapText="1"/>
      <protection hidden="1"/>
    </xf>
    <xf numFmtId="0" fontId="34" fillId="13" borderId="61" xfId="0" applyFont="1" applyFill="1" applyBorder="1" applyAlignment="1" applyProtection="1">
      <alignment horizontal="center" vertical="center" wrapText="1"/>
      <protection hidden="1"/>
    </xf>
    <xf numFmtId="49" fontId="35" fillId="21" borderId="113" xfId="0" applyNumberFormat="1" applyFont="1" applyFill="1" applyBorder="1" applyAlignment="1" applyProtection="1">
      <alignment horizontal="center" vertical="center" wrapText="1"/>
      <protection hidden="1"/>
    </xf>
    <xf numFmtId="0" fontId="33" fillId="13" borderId="93" xfId="0" applyFont="1" applyFill="1" applyBorder="1" applyAlignment="1">
      <alignment horizontal="center" vertical="center" wrapText="1"/>
    </xf>
    <xf numFmtId="0" fontId="33" fillId="13" borderId="0" xfId="0" applyFont="1" applyFill="1" applyAlignment="1">
      <alignment horizontal="center" vertical="center" wrapText="1"/>
    </xf>
    <xf numFmtId="0" fontId="35" fillId="20" borderId="56" xfId="0" applyFont="1" applyFill="1" applyBorder="1" applyAlignment="1" applyProtection="1">
      <alignment horizontal="center" vertical="center" wrapText="1"/>
      <protection hidden="1"/>
    </xf>
    <xf numFmtId="0" fontId="35" fillId="20" borderId="98" xfId="0" applyFont="1" applyFill="1" applyBorder="1" applyAlignment="1" applyProtection="1">
      <alignment horizontal="center" vertical="center" wrapText="1"/>
      <protection hidden="1"/>
    </xf>
    <xf numFmtId="0" fontId="35" fillId="20" borderId="50" xfId="0" applyFont="1" applyFill="1" applyBorder="1" applyAlignment="1" applyProtection="1">
      <alignment horizontal="center" vertical="center" wrapText="1"/>
      <protection hidden="1"/>
    </xf>
    <xf numFmtId="0" fontId="35" fillId="17" borderId="56" xfId="0" applyFont="1" applyFill="1" applyBorder="1" applyAlignment="1" applyProtection="1">
      <alignment horizontal="center" vertical="center" wrapText="1"/>
      <protection hidden="1"/>
    </xf>
    <xf numFmtId="0" fontId="35" fillId="17" borderId="98" xfId="0" applyFont="1" applyFill="1" applyBorder="1" applyAlignment="1" applyProtection="1">
      <alignment horizontal="center" vertical="center" wrapText="1"/>
      <protection hidden="1"/>
    </xf>
    <xf numFmtId="0" fontId="35" fillId="17" borderId="50" xfId="0" applyFont="1" applyFill="1" applyBorder="1" applyAlignment="1" applyProtection="1">
      <alignment horizontal="center" vertical="center" wrapText="1"/>
      <protection hidden="1"/>
    </xf>
    <xf numFmtId="49" fontId="35" fillId="10" borderId="56" xfId="0" applyNumberFormat="1" applyFont="1" applyFill="1" applyBorder="1" applyAlignment="1" applyProtection="1">
      <alignment horizontal="left" vertical="center" wrapText="1"/>
      <protection hidden="1"/>
    </xf>
    <xf numFmtId="49" fontId="35" fillId="10" borderId="98" xfId="0" applyNumberFormat="1" applyFont="1" applyFill="1" applyBorder="1" applyAlignment="1" applyProtection="1">
      <alignment horizontal="left" vertical="center" wrapText="1"/>
      <protection hidden="1"/>
    </xf>
    <xf numFmtId="49" fontId="35" fillId="10" borderId="50" xfId="0" applyNumberFormat="1" applyFont="1" applyFill="1" applyBorder="1" applyAlignment="1" applyProtection="1">
      <alignment horizontal="left" vertical="center" wrapText="1"/>
      <protection hidden="1"/>
    </xf>
    <xf numFmtId="0" fontId="35" fillId="17" borderId="94" xfId="0" applyFont="1" applyFill="1" applyBorder="1" applyAlignment="1" applyProtection="1">
      <alignment horizontal="center" vertical="center" wrapText="1"/>
      <protection hidden="1"/>
    </xf>
    <xf numFmtId="0" fontId="35" fillId="17" borderId="95" xfId="0" applyFont="1" applyFill="1" applyBorder="1" applyAlignment="1" applyProtection="1">
      <alignment horizontal="center" vertical="center" wrapText="1"/>
      <protection hidden="1"/>
    </xf>
    <xf numFmtId="0" fontId="35" fillId="17" borderId="96" xfId="0" applyFont="1" applyFill="1" applyBorder="1" applyAlignment="1" applyProtection="1">
      <alignment horizontal="center" vertical="center" wrapText="1"/>
      <protection hidden="1"/>
    </xf>
    <xf numFmtId="0" fontId="35" fillId="20" borderId="94" xfId="0" applyFont="1" applyFill="1" applyBorder="1" applyAlignment="1" applyProtection="1">
      <alignment horizontal="center" vertical="center" wrapText="1"/>
      <protection hidden="1"/>
    </xf>
    <xf numFmtId="0" fontId="35" fillId="20" borderId="95" xfId="0" applyFont="1" applyFill="1" applyBorder="1" applyAlignment="1" applyProtection="1">
      <alignment horizontal="center" vertical="center" wrapText="1"/>
      <protection hidden="1"/>
    </xf>
    <xf numFmtId="0" fontId="35" fillId="20" borderId="96" xfId="0" applyFont="1" applyFill="1" applyBorder="1" applyAlignment="1" applyProtection="1">
      <alignment horizontal="center" vertical="center" wrapText="1"/>
      <protection hidden="1"/>
    </xf>
    <xf numFmtId="0" fontId="35" fillId="20" borderId="105" xfId="0" applyFont="1" applyFill="1" applyBorder="1" applyAlignment="1" applyProtection="1">
      <alignment horizontal="center" vertical="center" wrapText="1"/>
      <protection hidden="1"/>
    </xf>
    <xf numFmtId="0" fontId="35" fillId="20" borderId="106" xfId="0" applyFont="1" applyFill="1" applyBorder="1" applyAlignment="1" applyProtection="1">
      <alignment horizontal="center" vertical="center" wrapText="1"/>
      <protection hidden="1"/>
    </xf>
    <xf numFmtId="0" fontId="35" fillId="20" borderId="107" xfId="0" applyFont="1" applyFill="1" applyBorder="1" applyAlignment="1" applyProtection="1">
      <alignment horizontal="center" vertical="center" wrapText="1"/>
      <protection hidden="1"/>
    </xf>
    <xf numFmtId="49" fontId="35" fillId="20" borderId="57" xfId="0" applyNumberFormat="1" applyFont="1" applyFill="1" applyBorder="1" applyAlignment="1" applyProtection="1">
      <alignment horizontal="center" vertical="center" wrapText="1"/>
      <protection hidden="1"/>
    </xf>
    <xf numFmtId="0" fontId="30" fillId="15" borderId="101" xfId="0" applyFont="1" applyFill="1" applyBorder="1" applyAlignment="1">
      <alignment horizontal="center" vertical="center" wrapText="1"/>
    </xf>
    <xf numFmtId="0" fontId="30" fillId="15" borderId="0" xfId="0" applyFont="1" applyFill="1" applyAlignment="1">
      <alignment horizontal="center" vertical="center" wrapText="1"/>
    </xf>
    <xf numFmtId="0" fontId="30" fillId="15" borderId="102" xfId="0" applyFont="1" applyFill="1" applyBorder="1" applyAlignment="1">
      <alignment horizontal="center" vertical="center" wrapText="1"/>
    </xf>
    <xf numFmtId="0" fontId="34" fillId="15" borderId="103" xfId="0" applyFont="1" applyFill="1" applyBorder="1" applyAlignment="1">
      <alignment horizontal="center" vertical="center" wrapText="1"/>
    </xf>
    <xf numFmtId="0" fontId="34" fillId="15" borderId="82" xfId="0" applyFont="1" applyFill="1" applyBorder="1" applyAlignment="1">
      <alignment horizontal="center" vertical="center" wrapText="1"/>
    </xf>
    <xf numFmtId="0" fontId="34" fillId="15" borderId="104" xfId="0" applyFont="1" applyFill="1" applyBorder="1" applyAlignment="1">
      <alignment horizontal="center" vertical="center" wrapText="1"/>
    </xf>
    <xf numFmtId="0" fontId="34" fillId="15" borderId="101" xfId="0" applyFont="1" applyFill="1" applyBorder="1" applyAlignment="1">
      <alignment horizontal="center" vertical="center" wrapText="1"/>
    </xf>
    <xf numFmtId="0" fontId="34" fillId="15" borderId="0" xfId="0" applyFont="1" applyFill="1" applyAlignment="1">
      <alignment horizontal="center" vertical="center" wrapText="1"/>
    </xf>
    <xf numFmtId="0" fontId="34" fillId="15" borderId="102" xfId="0" applyFont="1" applyFill="1" applyBorder="1" applyAlignment="1">
      <alignment horizontal="center" vertical="center" wrapText="1"/>
    </xf>
    <xf numFmtId="49" fontId="35" fillId="17" borderId="94" xfId="0" applyNumberFormat="1" applyFont="1" applyFill="1" applyBorder="1" applyAlignment="1" applyProtection="1">
      <alignment horizontal="center" vertical="center" wrapText="1"/>
      <protection hidden="1"/>
    </xf>
    <xf numFmtId="49" fontId="35" fillId="17" borderId="95" xfId="0" applyNumberFormat="1" applyFont="1" applyFill="1" applyBorder="1" applyAlignment="1" applyProtection="1">
      <alignment horizontal="center" vertical="center" wrapText="1"/>
      <protection hidden="1"/>
    </xf>
    <xf numFmtId="49" fontId="35" fillId="17" borderId="96" xfId="0" applyNumberFormat="1" applyFont="1" applyFill="1" applyBorder="1" applyAlignment="1" applyProtection="1">
      <alignment horizontal="center" vertical="center" wrapText="1"/>
      <protection hidden="1"/>
    </xf>
    <xf numFmtId="0" fontId="32" fillId="12" borderId="89" xfId="0" applyFont="1" applyFill="1" applyBorder="1" applyAlignment="1" applyProtection="1">
      <alignment horizontal="left" vertical="center" wrapText="1"/>
      <protection hidden="1"/>
    </xf>
    <xf numFmtId="0" fontId="32" fillId="12" borderId="34" xfId="0" applyFont="1" applyFill="1" applyBorder="1" applyAlignment="1" applyProtection="1">
      <alignment horizontal="left" vertical="center" wrapText="1"/>
      <protection hidden="1"/>
    </xf>
    <xf numFmtId="0" fontId="32" fillId="12" borderId="35" xfId="0" applyFont="1" applyFill="1" applyBorder="1" applyAlignment="1" applyProtection="1">
      <alignment horizontal="left" vertical="center" wrapText="1"/>
      <protection hidden="1"/>
    </xf>
    <xf numFmtId="0" fontId="30" fillId="15" borderId="94" xfId="0" applyFont="1" applyFill="1" applyBorder="1" applyAlignment="1" applyProtection="1">
      <alignment horizontal="center" vertical="center" wrapText="1"/>
      <protection hidden="1"/>
    </xf>
    <xf numFmtId="0" fontId="30" fillId="15" borderId="95" xfId="0" applyFont="1" applyFill="1" applyBorder="1" applyAlignment="1" applyProtection="1">
      <alignment horizontal="center" vertical="center" wrapText="1"/>
      <protection hidden="1"/>
    </xf>
    <xf numFmtId="0" fontId="30" fillId="15" borderId="96" xfId="0" applyFont="1" applyFill="1" applyBorder="1" applyAlignment="1" applyProtection="1">
      <alignment horizontal="center" vertical="center" wrapText="1"/>
      <protection hidden="1"/>
    </xf>
    <xf numFmtId="0" fontId="34" fillId="15" borderId="94" xfId="0" applyFont="1" applyFill="1" applyBorder="1" applyAlignment="1" applyProtection="1">
      <alignment horizontal="center" vertical="center" wrapText="1"/>
      <protection hidden="1"/>
    </xf>
    <xf numFmtId="0" fontId="34" fillId="15" borderId="95" xfId="0" applyFont="1" applyFill="1" applyBorder="1" applyAlignment="1" applyProtection="1">
      <alignment horizontal="center" vertical="center" wrapText="1"/>
      <protection hidden="1"/>
    </xf>
    <xf numFmtId="0" fontId="34" fillId="15" borderId="96" xfId="0" applyFont="1" applyFill="1" applyBorder="1" applyAlignment="1" applyProtection="1">
      <alignment horizontal="center" vertical="center" wrapText="1"/>
      <protection hidden="1"/>
    </xf>
    <xf numFmtId="0" fontId="34" fillId="15" borderId="48" xfId="0" applyFont="1" applyFill="1" applyBorder="1" applyAlignment="1" applyProtection="1">
      <alignment horizontal="center" vertical="center" wrapText="1"/>
      <protection hidden="1"/>
    </xf>
    <xf numFmtId="0" fontId="34" fillId="15" borderId="42" xfId="0" applyFont="1" applyFill="1" applyBorder="1" applyAlignment="1" applyProtection="1">
      <alignment horizontal="center" vertical="center" wrapText="1"/>
      <protection hidden="1"/>
    </xf>
    <xf numFmtId="0" fontId="34" fillId="15" borderId="97" xfId="0" applyFont="1" applyFill="1" applyBorder="1" applyAlignment="1" applyProtection="1">
      <alignment horizontal="center" vertical="center" wrapText="1"/>
      <protection hidden="1"/>
    </xf>
    <xf numFmtId="15" fontId="4" fillId="6" borderId="89" xfId="0" applyNumberFormat="1" applyFont="1" applyFill="1" applyBorder="1" applyAlignment="1" applyProtection="1">
      <alignment horizontal="center" vertical="center" wrapText="1"/>
      <protection hidden="1"/>
    </xf>
    <xf numFmtId="15" fontId="4" fillId="6" borderId="35" xfId="0" applyNumberFormat="1" applyFont="1" applyFill="1" applyBorder="1" applyAlignment="1" applyProtection="1">
      <alignment horizontal="center" vertical="center" wrapText="1"/>
      <protection hidden="1"/>
    </xf>
    <xf numFmtId="0" fontId="30" fillId="15" borderId="0" xfId="0" applyFont="1" applyFill="1" applyAlignment="1" applyProtection="1">
      <alignment horizontal="center" vertical="center" wrapText="1"/>
      <protection hidden="1"/>
    </xf>
    <xf numFmtId="0" fontId="30" fillId="15" borderId="93" xfId="0" applyFont="1" applyFill="1" applyBorder="1" applyAlignment="1" applyProtection="1">
      <alignment horizontal="center" vertical="center" wrapText="1"/>
      <protection hidden="1"/>
    </xf>
    <xf numFmtId="15" fontId="4" fillId="12" borderId="89" xfId="0" applyNumberFormat="1" applyFont="1" applyFill="1" applyBorder="1" applyAlignment="1" applyProtection="1">
      <alignment horizontal="center" vertical="center" wrapText="1"/>
      <protection hidden="1"/>
    </xf>
    <xf numFmtId="15" fontId="4" fillId="12" borderId="35" xfId="0" applyNumberFormat="1" applyFont="1" applyFill="1" applyBorder="1" applyAlignment="1" applyProtection="1">
      <alignment horizontal="center" vertical="center" wrapText="1"/>
      <protection hidden="1"/>
    </xf>
    <xf numFmtId="0" fontId="30" fillId="15" borderId="89" xfId="0" applyFont="1" applyFill="1" applyBorder="1" applyAlignment="1" applyProtection="1">
      <alignment horizontal="center" vertical="center" wrapText="1"/>
      <protection hidden="1"/>
    </xf>
    <xf numFmtId="0" fontId="30" fillId="15" borderId="34" xfId="0" applyFont="1" applyFill="1" applyBorder="1" applyAlignment="1" applyProtection="1">
      <alignment horizontal="center" vertical="center" wrapText="1"/>
      <protection hidden="1"/>
    </xf>
    <xf numFmtId="0" fontId="30" fillId="15" borderId="38" xfId="0" applyFont="1" applyFill="1" applyBorder="1" applyAlignment="1" applyProtection="1">
      <alignment horizontal="center" vertical="center" wrapText="1"/>
      <protection hidden="1"/>
    </xf>
    <xf numFmtId="0" fontId="4" fillId="12" borderId="37" xfId="0" applyFont="1" applyFill="1" applyBorder="1" applyAlignment="1" applyProtection="1">
      <alignment horizontal="center" vertical="center"/>
      <protection locked="0" hidden="1"/>
    </xf>
    <xf numFmtId="0" fontId="4" fillId="12" borderId="87" xfId="0" applyFont="1" applyFill="1" applyBorder="1" applyAlignment="1" applyProtection="1">
      <alignment horizontal="center" vertical="center"/>
      <protection locked="0" hidden="1"/>
    </xf>
    <xf numFmtId="0" fontId="5" fillId="12" borderId="89" xfId="0" applyFont="1" applyFill="1" applyBorder="1" applyAlignment="1" applyProtection="1">
      <alignment horizontal="center" vertical="center" wrapText="1"/>
      <protection hidden="1"/>
    </xf>
    <xf numFmtId="0" fontId="5" fillId="12" borderId="34" xfId="0" applyFont="1" applyFill="1" applyBorder="1" applyAlignment="1" applyProtection="1">
      <alignment horizontal="center" vertical="center" wrapText="1"/>
      <protection hidden="1"/>
    </xf>
    <xf numFmtId="0" fontId="5" fillId="12" borderId="35" xfId="0" applyFont="1" applyFill="1" applyBorder="1" applyAlignment="1" applyProtection="1">
      <alignment horizontal="center" vertical="center" wrapText="1"/>
      <protection hidden="1"/>
    </xf>
    <xf numFmtId="15" fontId="4" fillId="12" borderId="37" xfId="0" applyNumberFormat="1" applyFont="1" applyFill="1" applyBorder="1" applyAlignment="1" applyProtection="1">
      <alignment horizontal="center" vertical="center"/>
      <protection locked="0" hidden="1"/>
    </xf>
    <xf numFmtId="15" fontId="4" fillId="12" borderId="87" xfId="0" applyNumberFormat="1" applyFont="1" applyFill="1" applyBorder="1" applyAlignment="1" applyProtection="1">
      <alignment horizontal="center" vertical="center"/>
      <protection locked="0" hidden="1"/>
    </xf>
    <xf numFmtId="0" fontId="30" fillId="15" borderId="90" xfId="0" applyFont="1" applyFill="1" applyBorder="1" applyAlignment="1" applyProtection="1">
      <alignment horizontal="center" vertical="center" wrapText="1"/>
      <protection hidden="1"/>
    </xf>
    <xf numFmtId="0" fontId="30" fillId="15" borderId="91" xfId="0" applyFont="1" applyFill="1" applyBorder="1" applyAlignment="1" applyProtection="1">
      <alignment horizontal="center" vertical="center" wrapText="1"/>
      <protection hidden="1"/>
    </xf>
    <xf numFmtId="0" fontId="30" fillId="15" borderId="92" xfId="0" applyFont="1" applyFill="1" applyBorder="1" applyAlignment="1" applyProtection="1">
      <alignment horizontal="center" vertical="center" wrapText="1"/>
      <protection hidden="1"/>
    </xf>
    <xf numFmtId="0" fontId="36" fillId="5" borderId="81" xfId="0" applyFont="1" applyFill="1" applyBorder="1" applyAlignment="1">
      <alignment horizontal="center" vertical="center"/>
    </xf>
    <xf numFmtId="0" fontId="36" fillId="5" borderId="82" xfId="0" applyFont="1" applyFill="1" applyBorder="1" applyAlignment="1">
      <alignment horizontal="center" vertical="center"/>
    </xf>
    <xf numFmtId="0" fontId="30" fillId="15" borderId="83" xfId="0" applyFont="1" applyFill="1" applyBorder="1" applyAlignment="1">
      <alignment horizontal="center" vertical="center" wrapText="1"/>
    </xf>
    <xf numFmtId="0" fontId="30" fillId="15" borderId="84" xfId="0" applyFont="1" applyFill="1" applyBorder="1" applyAlignment="1">
      <alignment horizontal="center" vertical="center" wrapText="1"/>
    </xf>
    <xf numFmtId="0" fontId="30" fillId="15" borderId="85" xfId="0" applyFont="1" applyFill="1" applyBorder="1" applyAlignment="1" applyProtection="1">
      <alignment horizontal="center" vertical="center" wrapText="1"/>
      <protection hidden="1"/>
    </xf>
    <xf numFmtId="0" fontId="30" fillId="15" borderId="84" xfId="0" applyFont="1" applyFill="1" applyBorder="1" applyAlignment="1" applyProtection="1">
      <alignment horizontal="center" vertical="center" wrapText="1"/>
      <protection hidden="1"/>
    </xf>
    <xf numFmtId="0" fontId="30" fillId="15" borderId="86" xfId="0" applyFont="1" applyFill="1" applyBorder="1" applyAlignment="1" applyProtection="1">
      <alignment horizontal="center" vertical="center" wrapText="1"/>
      <protection hidden="1"/>
    </xf>
    <xf numFmtId="0" fontId="63" fillId="15" borderId="85" xfId="0" applyFont="1" applyFill="1" applyBorder="1" applyAlignment="1" applyProtection="1">
      <alignment horizontal="center" vertical="center" wrapText="1"/>
      <protection hidden="1"/>
    </xf>
    <xf numFmtId="0" fontId="63" fillId="15" borderId="84" xfId="0" applyFont="1" applyFill="1" applyBorder="1" applyAlignment="1" applyProtection="1">
      <alignment horizontal="center" vertical="center" wrapText="1"/>
      <protection hidden="1"/>
    </xf>
    <xf numFmtId="0" fontId="63" fillId="15" borderId="88" xfId="0" applyFont="1" applyFill="1" applyBorder="1" applyAlignment="1" applyProtection="1">
      <alignment horizontal="center" vertical="center" wrapText="1"/>
      <protection hidden="1"/>
    </xf>
    <xf numFmtId="0" fontId="2" fillId="0" borderId="0" xfId="4" applyFont="1" applyAlignment="1">
      <alignment horizontal="center"/>
    </xf>
    <xf numFmtId="0" fontId="10" fillId="0" borderId="8" xfId="9" applyFont="1" applyBorder="1" applyAlignment="1">
      <alignment vertical="center" wrapText="1"/>
    </xf>
    <xf numFmtId="0" fontId="10" fillId="0" borderId="21" xfId="9" applyFont="1" applyBorder="1" applyAlignment="1">
      <alignment vertical="center" wrapText="1"/>
    </xf>
    <xf numFmtId="0" fontId="10" fillId="0" borderId="19" xfId="9" applyFont="1" applyBorder="1" applyAlignment="1">
      <alignment vertical="center" wrapText="1"/>
    </xf>
    <xf numFmtId="0" fontId="10" fillId="0" borderId="2" xfId="9" applyFont="1" applyBorder="1" applyAlignment="1">
      <alignment vertical="center" wrapText="1"/>
    </xf>
    <xf numFmtId="0" fontId="0" fillId="12" borderId="121" xfId="0" applyFill="1" applyBorder="1"/>
    <xf numFmtId="0" fontId="0" fillId="0" borderId="121" xfId="0" applyBorder="1"/>
    <xf numFmtId="0" fontId="41" fillId="23" borderId="120" xfId="0" applyFont="1" applyFill="1" applyBorder="1" applyAlignment="1" applyProtection="1">
      <alignment horizontal="center" vertical="center" wrapText="1"/>
      <protection hidden="1"/>
    </xf>
    <xf numFmtId="0" fontId="0" fillId="12" borderId="120" xfId="0" applyFill="1" applyBorder="1" applyAlignment="1" applyProtection="1">
      <alignment horizontal="center" vertical="center" wrapText="1"/>
      <protection locked="0"/>
    </xf>
    <xf numFmtId="0" fontId="29" fillId="0" borderId="120" xfId="0" applyFont="1" applyBorder="1" applyAlignment="1" applyProtection="1">
      <alignment horizontal="left" vertical="center" wrapText="1"/>
      <protection locked="0"/>
    </xf>
    <xf numFmtId="0" fontId="29" fillId="0" borderId="120" xfId="0" applyFont="1" applyBorder="1" applyAlignment="1" applyProtection="1">
      <alignment horizontal="center" vertical="center" wrapText="1"/>
      <protection locked="0"/>
    </xf>
    <xf numFmtId="171" fontId="29" fillId="0" borderId="120" xfId="0" applyNumberFormat="1" applyFont="1" applyBorder="1" applyAlignment="1" applyProtection="1">
      <alignment horizontal="center" vertical="center" wrapText="1"/>
      <protection locked="0"/>
    </xf>
    <xf numFmtId="173" fontId="29" fillId="0" borderId="120" xfId="0" applyNumberFormat="1" applyFont="1" applyBorder="1" applyAlignment="1" applyProtection="1">
      <alignment horizontal="center" vertical="center" wrapText="1"/>
      <protection locked="0"/>
    </xf>
    <xf numFmtId="173" fontId="29" fillId="0" borderId="120" xfId="0" applyNumberFormat="1" applyFont="1" applyBorder="1" applyAlignment="1" applyProtection="1">
      <alignment horizontal="center" vertical="center"/>
      <protection locked="0"/>
    </xf>
    <xf numFmtId="0" fontId="29" fillId="0" borderId="120" xfId="0" applyFont="1" applyBorder="1" applyAlignment="1" applyProtection="1">
      <alignment horizontal="left" vertical="top" wrapText="1"/>
      <protection locked="0"/>
    </xf>
    <xf numFmtId="0" fontId="0" fillId="12" borderId="121" xfId="0" applyFill="1" applyBorder="1" applyAlignment="1" applyProtection="1">
      <alignment horizontal="center" vertical="center" wrapText="1"/>
      <protection locked="0"/>
    </xf>
    <xf numFmtId="0" fontId="29" fillId="0" borderId="121" xfId="0" applyFont="1" applyBorder="1" applyAlignment="1" applyProtection="1">
      <alignment horizontal="left" vertical="center" wrapText="1"/>
      <protection locked="0"/>
    </xf>
    <xf numFmtId="172" fontId="29" fillId="0" borderId="121" xfId="0" applyNumberFormat="1" applyFont="1" applyBorder="1" applyAlignment="1" applyProtection="1">
      <alignment horizontal="center" vertical="center" wrapText="1"/>
      <protection locked="0"/>
    </xf>
    <xf numFmtId="0" fontId="29" fillId="0" borderId="121" xfId="0" applyFont="1" applyBorder="1" applyAlignment="1" applyProtection="1">
      <alignment horizontal="center" vertical="center" wrapText="1"/>
      <protection locked="0"/>
    </xf>
    <xf numFmtId="171" fontId="29" fillId="0" borderId="121" xfId="0" applyNumberFormat="1" applyFont="1" applyBorder="1" applyAlignment="1" applyProtection="1">
      <alignment horizontal="center" vertical="center" wrapText="1"/>
      <protection locked="0"/>
    </xf>
    <xf numFmtId="173" fontId="29" fillId="0" borderId="121" xfId="0" applyNumberFormat="1" applyFont="1" applyBorder="1" applyAlignment="1" applyProtection="1">
      <alignment horizontal="center" vertical="center" wrapText="1"/>
      <protection locked="0"/>
    </xf>
    <xf numFmtId="173" fontId="29" fillId="0" borderId="121" xfId="0" applyNumberFormat="1" applyFont="1" applyBorder="1" applyAlignment="1" applyProtection="1">
      <alignment horizontal="center" vertical="center"/>
      <protection locked="0"/>
    </xf>
    <xf numFmtId="0" fontId="29" fillId="0" borderId="121" xfId="0" applyFont="1" applyBorder="1" applyAlignment="1" applyProtection="1">
      <alignment horizontal="left" vertical="top" wrapText="1"/>
      <protection locked="0"/>
    </xf>
    <xf numFmtId="177" fontId="29" fillId="0" borderId="120" xfId="19" applyNumberFormat="1" applyFont="1" applyBorder="1" applyAlignment="1" applyProtection="1">
      <alignment horizontal="center" vertical="center" wrapText="1"/>
      <protection locked="0"/>
    </xf>
    <xf numFmtId="0" fontId="29" fillId="0" borderId="120" xfId="0" applyFont="1" applyBorder="1" applyAlignment="1" applyProtection="1">
      <alignment horizontal="left" vertical="center"/>
      <protection locked="0"/>
    </xf>
    <xf numFmtId="0" fontId="29" fillId="0" borderId="120" xfId="0" quotePrefix="1" applyFont="1" applyBorder="1" applyAlignment="1" applyProtection="1">
      <alignment horizontal="left" vertical="center" wrapText="1"/>
      <protection locked="0"/>
    </xf>
    <xf numFmtId="177" fontId="29" fillId="0" borderId="121" xfId="19" applyNumberFormat="1" applyFont="1" applyBorder="1" applyAlignment="1" applyProtection="1">
      <alignment horizontal="center" vertical="center" wrapText="1"/>
      <protection locked="0"/>
    </xf>
    <xf numFmtId="0" fontId="29" fillId="0" borderId="121" xfId="0" applyFont="1" applyBorder="1" applyAlignment="1" applyProtection="1">
      <alignment horizontal="left" vertical="center"/>
      <protection locked="0"/>
    </xf>
    <xf numFmtId="0" fontId="29" fillId="0" borderId="121" xfId="0" quotePrefix="1" applyFont="1" applyBorder="1" applyAlignment="1" applyProtection="1">
      <alignment horizontal="left" vertical="center" wrapText="1"/>
      <protection locked="0"/>
    </xf>
    <xf numFmtId="170" fontId="29" fillId="0" borderId="120" xfId="0" applyNumberFormat="1" applyFont="1" applyBorder="1" applyAlignment="1" applyProtection="1">
      <alignment horizontal="center" vertical="center" wrapText="1"/>
      <protection locked="0"/>
    </xf>
    <xf numFmtId="170" fontId="29" fillId="0" borderId="121" xfId="0" applyNumberFormat="1" applyFont="1" applyBorder="1" applyAlignment="1" applyProtection="1">
      <alignment horizontal="center" vertical="center" wrapText="1"/>
      <protection locked="0"/>
    </xf>
    <xf numFmtId="0" fontId="0" fillId="7" borderId="1" xfId="0" applyFill="1" applyBorder="1" applyAlignment="1"/>
    <xf numFmtId="2" fontId="41" fillId="23" borderId="120" xfId="0" applyNumberFormat="1" applyFont="1" applyFill="1" applyBorder="1" applyAlignment="1" applyProtection="1">
      <alignment horizontal="center" vertical="center" wrapText="1"/>
      <protection hidden="1"/>
    </xf>
    <xf numFmtId="172" fontId="29" fillId="0" borderId="120" xfId="0" applyNumberFormat="1" applyFont="1" applyBorder="1" applyAlignment="1" applyProtection="1">
      <alignment horizontal="center" vertical="center" wrapText="1"/>
      <protection locked="0"/>
    </xf>
    <xf numFmtId="0" fontId="21" fillId="29" borderId="120" xfId="14" applyFill="1" applyBorder="1" applyAlignment="1" applyProtection="1">
      <alignment horizontal="center" vertical="center" wrapText="1"/>
      <protection hidden="1"/>
    </xf>
    <xf numFmtId="0" fontId="0" fillId="0" borderId="120" xfId="0" applyBorder="1" applyAlignment="1" applyProtection="1">
      <alignment horizontal="center" vertical="center" wrapText="1"/>
      <protection locked="0"/>
    </xf>
    <xf numFmtId="173" fontId="0" fillId="10" borderId="120" xfId="0" applyNumberFormat="1" applyFill="1" applyBorder="1" applyAlignment="1" applyProtection="1">
      <alignment horizontal="center" vertical="center"/>
      <protection locked="0"/>
    </xf>
    <xf numFmtId="173" fontId="0" fillId="0" borderId="120" xfId="0" applyNumberFormat="1" applyBorder="1" applyAlignment="1" applyProtection="1">
      <alignment horizontal="center" vertical="center"/>
      <protection locked="0"/>
    </xf>
    <xf numFmtId="0" fontId="0" fillId="0" borderId="121" xfId="0" applyBorder="1" applyAlignment="1" applyProtection="1">
      <alignment horizontal="center" vertical="center"/>
      <protection locked="0"/>
    </xf>
    <xf numFmtId="0" fontId="21" fillId="29" borderId="121" xfId="14" applyFill="1" applyBorder="1" applyAlignment="1" applyProtection="1">
      <alignment horizontal="center" vertical="center" wrapText="1"/>
      <protection hidden="1"/>
    </xf>
    <xf numFmtId="0" fontId="0" fillId="0" borderId="121" xfId="0" applyBorder="1" applyAlignment="1" applyProtection="1">
      <alignment horizontal="center" vertical="center" wrapText="1"/>
      <protection locked="0"/>
    </xf>
    <xf numFmtId="173" fontId="0" fillId="10" borderId="121" xfId="0" applyNumberFormat="1" applyFill="1" applyBorder="1" applyAlignment="1" applyProtection="1">
      <alignment horizontal="center" vertical="center"/>
      <protection locked="0"/>
    </xf>
    <xf numFmtId="173" fontId="0" fillId="0" borderId="121" xfId="0" applyNumberFormat="1" applyBorder="1" applyAlignment="1" applyProtection="1">
      <alignment horizontal="center" vertical="center"/>
      <protection locked="0"/>
    </xf>
    <xf numFmtId="171" fontId="0" fillId="10" borderId="120" xfId="0" applyNumberFormat="1" applyFill="1" applyBorder="1" applyAlignment="1" applyProtection="1">
      <alignment horizontal="center" vertical="center"/>
      <protection locked="0"/>
    </xf>
    <xf numFmtId="171" fontId="0" fillId="10" borderId="121" xfId="0" applyNumberFormat="1" applyFill="1" applyBorder="1" applyAlignment="1" applyProtection="1">
      <alignment horizontal="center" vertical="center"/>
      <protection locked="0"/>
    </xf>
    <xf numFmtId="0" fontId="0" fillId="10" borderId="120" xfId="0" applyFill="1" applyBorder="1" applyAlignment="1" applyProtection="1">
      <alignment horizontal="left" vertical="center" wrapText="1"/>
      <protection locked="0"/>
    </xf>
    <xf numFmtId="171" fontId="29" fillId="10" borderId="120" xfId="0" applyNumberFormat="1" applyFont="1" applyFill="1" applyBorder="1" applyAlignment="1" applyProtection="1">
      <alignment horizontal="center" vertical="center" wrapText="1"/>
      <protection locked="0"/>
    </xf>
    <xf numFmtId="0" fontId="0" fillId="10" borderId="121" xfId="0" applyFill="1" applyBorder="1" applyAlignment="1" applyProtection="1">
      <alignment horizontal="left" vertical="center" wrapText="1"/>
      <protection locked="0"/>
    </xf>
    <xf numFmtId="171" fontId="29" fillId="10" borderId="121" xfId="0" applyNumberFormat="1" applyFont="1" applyFill="1" applyBorder="1" applyAlignment="1" applyProtection="1">
      <alignment horizontal="center" vertical="center" wrapText="1"/>
      <protection locked="0"/>
    </xf>
    <xf numFmtId="0" fontId="0" fillId="10" borderId="121" xfId="0" applyFill="1" applyBorder="1" applyAlignment="1" applyProtection="1">
      <alignment horizontal="center" vertical="center"/>
      <protection locked="0"/>
    </xf>
    <xf numFmtId="0" fontId="29" fillId="0" borderId="121" xfId="0" applyFont="1" applyBorder="1" applyAlignment="1" applyProtection="1">
      <alignment horizontal="center" vertical="center"/>
      <protection locked="0"/>
    </xf>
    <xf numFmtId="170" fontId="0" fillId="10" borderId="120" xfId="0" applyNumberFormat="1" applyFill="1" applyBorder="1" applyAlignment="1" applyProtection="1">
      <alignment horizontal="center" vertical="center"/>
      <protection locked="0"/>
    </xf>
    <xf numFmtId="0" fontId="0" fillId="10" borderId="120" xfId="0" applyFill="1" applyBorder="1" applyAlignment="1" applyProtection="1">
      <alignment horizontal="center" vertical="center"/>
      <protection locked="0"/>
    </xf>
    <xf numFmtId="0" fontId="0" fillId="0" borderId="120" xfId="0" applyBorder="1" applyAlignment="1" applyProtection="1">
      <alignment horizontal="center" vertical="center"/>
      <protection locked="0"/>
    </xf>
    <xf numFmtId="0" fontId="0" fillId="0" borderId="120" xfId="0" applyBorder="1" applyAlignment="1" applyProtection="1">
      <alignment vertical="center" wrapText="1"/>
      <protection locked="0"/>
    </xf>
    <xf numFmtId="171" fontId="0" fillId="0" borderId="120" xfId="0" applyNumberFormat="1" applyBorder="1" applyAlignment="1" applyProtection="1">
      <alignment horizontal="center" vertical="center"/>
      <protection locked="0"/>
    </xf>
    <xf numFmtId="170" fontId="0" fillId="10" borderId="121" xfId="0" applyNumberFormat="1" applyFill="1" applyBorder="1" applyAlignment="1" applyProtection="1">
      <alignment horizontal="center" vertical="center"/>
      <protection locked="0"/>
    </xf>
    <xf numFmtId="0" fontId="0" fillId="0" borderId="121" xfId="0" applyBorder="1" applyAlignment="1" applyProtection="1">
      <alignment vertical="center" wrapText="1"/>
      <protection locked="0"/>
    </xf>
    <xf numFmtId="0" fontId="0" fillId="0" borderId="121" xfId="0" applyBorder="1" applyAlignment="1" applyProtection="1">
      <alignment vertical="center" wrapText="1"/>
      <protection locked="0"/>
    </xf>
    <xf numFmtId="171" fontId="0" fillId="0" borderId="121" xfId="0" applyNumberFormat="1" applyBorder="1" applyAlignment="1" applyProtection="1">
      <alignment horizontal="center" vertical="center"/>
      <protection locked="0"/>
    </xf>
    <xf numFmtId="0" fontId="0" fillId="0" borderId="121" xfId="0" applyBorder="1" applyAlignment="1" applyProtection="1">
      <alignment horizontal="center" vertical="center"/>
      <protection locked="0"/>
    </xf>
    <xf numFmtId="0" fontId="0" fillId="10" borderId="120" xfId="0" quotePrefix="1" applyFill="1" applyBorder="1" applyAlignment="1" applyProtection="1">
      <alignment horizontal="left" vertical="center" wrapText="1"/>
      <protection locked="0"/>
    </xf>
    <xf numFmtId="0" fontId="0" fillId="10" borderId="120" xfId="0" applyFill="1" applyBorder="1" applyAlignment="1">
      <alignment horizontal="center" vertical="center"/>
    </xf>
    <xf numFmtId="0" fontId="0" fillId="10" borderId="120" xfId="0" applyFill="1" applyBorder="1" applyAlignment="1">
      <alignment horizontal="left" vertical="center" wrapText="1"/>
    </xf>
    <xf numFmtId="0" fontId="0" fillId="10" borderId="120" xfId="0" applyFill="1" applyBorder="1" applyAlignment="1">
      <alignment horizontal="center" vertical="center" wrapText="1"/>
    </xf>
    <xf numFmtId="10" fontId="0" fillId="10" borderId="120" xfId="0" applyNumberFormat="1" applyFill="1" applyBorder="1" applyAlignment="1" applyProtection="1">
      <alignment horizontal="center" vertical="center"/>
      <protection locked="0"/>
    </xf>
    <xf numFmtId="0" fontId="0" fillId="10" borderId="120" xfId="0" applyFill="1" applyBorder="1" applyAlignment="1" applyProtection="1">
      <alignment horizontal="center" vertical="center" wrapText="1"/>
      <protection locked="0"/>
    </xf>
    <xf numFmtId="0" fontId="0" fillId="10" borderId="121" xfId="0" applyFill="1" applyBorder="1" applyAlignment="1">
      <alignment horizontal="center" vertical="center"/>
    </xf>
    <xf numFmtId="0" fontId="0" fillId="10" borderId="121" xfId="0" applyFill="1" applyBorder="1" applyAlignment="1">
      <alignment horizontal="left" vertical="center" wrapText="1"/>
    </xf>
    <xf numFmtId="0" fontId="0" fillId="10" borderId="121" xfId="0" applyFill="1" applyBorder="1" applyAlignment="1">
      <alignment horizontal="center" vertical="center" wrapText="1"/>
    </xf>
    <xf numFmtId="10" fontId="0" fillId="10" borderId="121" xfId="0" applyNumberFormat="1" applyFill="1" applyBorder="1" applyAlignment="1" applyProtection="1">
      <alignment horizontal="center" vertical="center"/>
      <protection locked="0"/>
    </xf>
    <xf numFmtId="0" fontId="0" fillId="10" borderId="121" xfId="0" applyFill="1" applyBorder="1" applyAlignment="1" applyProtection="1">
      <alignment horizontal="center" vertical="center" wrapText="1"/>
      <protection locked="0"/>
    </xf>
    <xf numFmtId="0" fontId="0" fillId="30" borderId="120" xfId="0" applyFill="1" applyBorder="1" applyAlignment="1" applyProtection="1">
      <alignment horizontal="center" vertical="center"/>
      <protection locked="0"/>
    </xf>
    <xf numFmtId="0" fontId="0" fillId="30" borderId="121" xfId="0" applyFill="1" applyBorder="1" applyAlignment="1" applyProtection="1">
      <alignment horizontal="center" vertical="center"/>
      <protection locked="0"/>
    </xf>
    <xf numFmtId="10" fontId="0" fillId="30" borderId="120" xfId="0" applyNumberFormat="1" applyFill="1" applyBorder="1" applyAlignment="1" applyProtection="1">
      <alignment horizontal="center" vertical="center"/>
      <protection locked="0"/>
    </xf>
    <xf numFmtId="10" fontId="0" fillId="30" borderId="121" xfId="0" applyNumberFormat="1" applyFill="1" applyBorder="1" applyAlignment="1" applyProtection="1">
      <alignment horizontal="center" vertical="center"/>
      <protection locked="0"/>
    </xf>
    <xf numFmtId="0" fontId="0" fillId="30" borderId="120" xfId="0" applyFill="1" applyBorder="1" applyAlignment="1" applyProtection="1">
      <alignment horizontal="center" vertical="center" wrapText="1"/>
      <protection locked="0"/>
    </xf>
    <xf numFmtId="0" fontId="0" fillId="30" borderId="121" xfId="0" applyFill="1" applyBorder="1" applyAlignment="1" applyProtection="1">
      <alignment horizontal="center" vertical="center" wrapText="1"/>
      <protection locked="0"/>
    </xf>
    <xf numFmtId="10" fontId="0" fillId="0" borderId="120" xfId="0" applyNumberFormat="1" applyBorder="1" applyAlignment="1" applyProtection="1">
      <alignment horizontal="center" vertical="center"/>
      <protection locked="0"/>
    </xf>
    <xf numFmtId="10" fontId="0" fillId="0" borderId="121" xfId="0" applyNumberFormat="1" applyBorder="1" applyAlignment="1" applyProtection="1">
      <alignment horizontal="center" vertical="center"/>
      <protection locked="0"/>
    </xf>
    <xf numFmtId="10" fontId="0" fillId="25" borderId="120" xfId="0" applyNumberFormat="1" applyFill="1" applyBorder="1" applyAlignment="1" applyProtection="1">
      <alignment horizontal="center" vertical="center"/>
      <protection locked="0"/>
    </xf>
    <xf numFmtId="0" fontId="0" fillId="25" borderId="120" xfId="0" applyFill="1" applyBorder="1" applyAlignment="1" applyProtection="1">
      <alignment horizontal="center" vertical="center"/>
      <protection locked="0"/>
    </xf>
    <xf numFmtId="10" fontId="0" fillId="25" borderId="121" xfId="0" applyNumberFormat="1" applyFill="1" applyBorder="1" applyAlignment="1" applyProtection="1">
      <alignment horizontal="center" vertical="center"/>
      <protection locked="0"/>
    </xf>
    <xf numFmtId="0" fontId="0" fillId="25" borderId="121" xfId="0" applyFill="1" applyBorder="1" applyAlignment="1" applyProtection="1">
      <alignment horizontal="center" vertical="center"/>
      <protection locked="0"/>
    </xf>
  </cellXfs>
  <cellStyles count="20">
    <cellStyle name="Hipervínculo" xfId="1" builtinId="8"/>
    <cellStyle name="Hyperlink 2" xfId="2" xr:uid="{00000000-0005-0000-0000-000001000000}"/>
    <cellStyle name="Hyperlink 3" xfId="3" xr:uid="{00000000-0005-0000-0000-000002000000}"/>
    <cellStyle name="Millares" xfId="19" builtinId="3"/>
    <cellStyle name="Normal" xfId="0" builtinId="0"/>
    <cellStyle name="Normal 2" xfId="4" xr:uid="{00000000-0005-0000-0000-000005000000}"/>
    <cellStyle name="Normal 3" xfId="5" xr:uid="{00000000-0005-0000-0000-000006000000}"/>
    <cellStyle name="Normal 3 2" xfId="6" xr:uid="{00000000-0005-0000-0000-000007000000}"/>
    <cellStyle name="Normal 3 2 2" xfId="7" xr:uid="{00000000-0005-0000-0000-000008000000}"/>
    <cellStyle name="Normal 3 2 2 2" xfId="8" xr:uid="{00000000-0005-0000-0000-000009000000}"/>
    <cellStyle name="Normal 3 2 3" xfId="9" xr:uid="{00000000-0005-0000-0000-00000A000000}"/>
    <cellStyle name="Normal 3 2 4" xfId="10" xr:uid="{00000000-0005-0000-0000-00000B000000}"/>
    <cellStyle name="Normal 3 3" xfId="11" xr:uid="{00000000-0005-0000-0000-00000C000000}"/>
    <cellStyle name="Normal 3 3 2" xfId="12" xr:uid="{00000000-0005-0000-0000-00000D000000}"/>
    <cellStyle name="Normal 3 4" xfId="13" xr:uid="{00000000-0005-0000-0000-00000E000000}"/>
    <cellStyle name="Normal 4" xfId="14" xr:uid="{00000000-0005-0000-0000-00000F000000}"/>
    <cellStyle name="Normal 5" xfId="15" xr:uid="{00000000-0005-0000-0000-000010000000}"/>
    <cellStyle name="Normal 5 2" xfId="16" xr:uid="{00000000-0005-0000-0000-000011000000}"/>
    <cellStyle name="Normal 5 3" xfId="17" xr:uid="{00000000-0005-0000-0000-000012000000}"/>
    <cellStyle name="Normal 6" xfId="18" xr:uid="{00000000-0005-0000-0000-000013000000}"/>
  </cellStyles>
  <dxfs count="495">
    <dxf>
      <font>
        <b val="0"/>
        <i val="0"/>
        <strike val="0"/>
        <condense val="0"/>
        <extend val="0"/>
        <outline val="0"/>
        <shadow val="0"/>
        <u val="none"/>
        <vertAlign val="baseline"/>
        <sz val="12"/>
        <color theme="4" tint="0.39991454817346722"/>
        <name val="Calibri"/>
        <scheme val="minor"/>
      </font>
      <fill>
        <patternFill patternType="solid">
          <fgColor indexed="64"/>
          <bgColor theme="4" tint="0.39991454817346722"/>
        </patternFill>
      </fill>
    </dxf>
    <dxf>
      <font>
        <b val="0"/>
        <i val="0"/>
        <strike val="0"/>
        <condense val="0"/>
        <extend val="0"/>
        <outline val="0"/>
        <shadow val="0"/>
        <u val="none"/>
        <vertAlign val="baseline"/>
        <sz val="12"/>
        <color theme="4" tint="0.39991454817346722"/>
        <name val="Calibri"/>
        <scheme val="minor"/>
      </font>
      <fill>
        <patternFill patternType="solid">
          <fgColor indexed="64"/>
          <bgColor theme="4" tint="0.39991454817346722"/>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1"/>
        <name val="Calibri"/>
        <scheme val="minor"/>
      </font>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1"/>
        <name val="Calibri"/>
        <scheme val="minor"/>
      </font>
      <fill>
        <patternFill patternType="solid">
          <fgColor indexed="64"/>
          <bgColor rgb="FFFF0000"/>
        </patternFill>
      </fill>
    </dxf>
    <dxf>
      <font>
        <color theme="1"/>
      </font>
      <fill>
        <patternFill>
          <bgColor rgb="FFFF0000"/>
        </patternFill>
      </fill>
    </dxf>
    <dxf>
      <font>
        <b val="0"/>
        <i val="0"/>
        <strike val="0"/>
        <condense val="0"/>
        <extend val="0"/>
        <outline val="0"/>
        <shadow val="0"/>
        <u val="none"/>
        <vertAlign val="baseline"/>
        <sz val="12"/>
        <color theme="1"/>
        <name val="Calibri"/>
        <scheme val="minor"/>
      </font>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theme="1" tint="0.499984740745262"/>
          <bgColor rgb="FFDBEEF3"/>
        </patternFill>
      </fill>
      <border>
        <left/>
        <right/>
        <top/>
        <bottom/>
      </border>
    </dxf>
    <dxf>
      <font>
        <b val="0"/>
        <i val="0"/>
        <strike val="0"/>
        <condense val="0"/>
        <extend val="0"/>
        <outline val="0"/>
        <shadow val="0"/>
        <u val="none"/>
        <vertAlign val="baseline"/>
        <sz val="12"/>
        <color rgb="FFFF0000"/>
        <name val="Calibri"/>
        <scheme val="minor"/>
      </font>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b val="0"/>
        <i val="0"/>
        <strike val="0"/>
        <condense val="0"/>
        <extend val="0"/>
        <outline val="0"/>
        <shadow val="0"/>
        <u val="none"/>
        <vertAlign val="baseline"/>
        <sz val="12"/>
        <color theme="1"/>
        <name val="Calibri"/>
        <scheme val="minor"/>
      </font>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theme="0"/>
          <bgColor rgb="FFDAEEF3"/>
        </patternFill>
      </fill>
      <border>
        <left/>
        <right/>
        <top/>
        <bottom/>
      </border>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border>
        <left/>
        <right/>
        <top/>
        <bottom/>
      </border>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theme="0"/>
          <bgColor rgb="FFDAEEF3"/>
        </patternFill>
      </fill>
      <border>
        <left/>
        <right/>
        <top/>
        <bottom/>
      </border>
    </dxf>
  </dxfs>
  <tableStyles count="0" defaultTableStyle="TableStyleMedium9" defaultPivotStyle="PivotStyleMedium7"/>
  <colors>
    <mruColors>
      <color rgb="FFFF7C80"/>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0</xdr:row>
      <xdr:rowOff>167640</xdr:rowOff>
    </xdr:from>
    <xdr:to>
      <xdr:col>1</xdr:col>
      <xdr:colOff>2560320</xdr:colOff>
      <xdr:row>2</xdr:row>
      <xdr:rowOff>426720</xdr:rowOff>
    </xdr:to>
    <xdr:pic>
      <xdr:nvPicPr>
        <xdr:cNvPr id="1028" name="Picture 1">
          <a:extLst>
            <a:ext uri="{FF2B5EF4-FFF2-40B4-BE49-F238E27FC236}">
              <a16:creationId xmlns:a16="http://schemas.microsoft.com/office/drawing/2014/main" id="{00000000-0008-0000-00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6764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647700</xdr:colOff>
      <xdr:row>7</xdr:row>
      <xdr:rowOff>53340</xdr:rowOff>
    </xdr:from>
    <xdr:ext cx="184731" cy="265195"/>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47700" y="1695450"/>
          <a:ext cx="18415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BO"/>
        </a:p>
      </xdr:txBody>
    </xdr:sp>
    <xdr:clientData/>
  </xdr:oneCellAnchor>
  <xdr:twoCellAnchor editAs="oneCell">
    <xdr:from>
      <xdr:col>0</xdr:col>
      <xdr:colOff>403860</xdr:colOff>
      <xdr:row>1</xdr:row>
      <xdr:rowOff>60960</xdr:rowOff>
    </xdr:from>
    <xdr:to>
      <xdr:col>1</xdr:col>
      <xdr:colOff>2628900</xdr:colOff>
      <xdr:row>2</xdr:row>
      <xdr:rowOff>327660</xdr:rowOff>
    </xdr:to>
    <xdr:pic>
      <xdr:nvPicPr>
        <xdr:cNvPr id="1030" name="Picture 3">
          <a:extLst>
            <a:ext uri="{FF2B5EF4-FFF2-40B4-BE49-F238E27FC236}">
              <a16:creationId xmlns:a16="http://schemas.microsoft.com/office/drawing/2014/main" id="{00000000-0008-0000-0000-00000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 y="259080"/>
          <a:ext cx="383286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3</xdr:row>
      <xdr:rowOff>38100</xdr:rowOff>
    </xdr:from>
    <xdr:to>
      <xdr:col>3</xdr:col>
      <xdr:colOff>365760</xdr:colOff>
      <xdr:row>7</xdr:row>
      <xdr:rowOff>76200</xdr:rowOff>
    </xdr:to>
    <xdr:pic>
      <xdr:nvPicPr>
        <xdr:cNvPr id="7170" name="Picture 1">
          <a:extLst>
            <a:ext uri="{FF2B5EF4-FFF2-40B4-BE49-F238E27FC236}">
              <a16:creationId xmlns:a16="http://schemas.microsoft.com/office/drawing/2014/main" id="{00000000-0008-0000-0D00-000002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3920" y="1203960"/>
          <a:ext cx="824484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69850</xdr:colOff>
      <xdr:row>2</xdr:row>
      <xdr:rowOff>133350</xdr:rowOff>
    </xdr:to>
    <xdr:sp macro="" textlink="">
      <xdr:nvSpPr>
        <xdr:cNvPr id="5121" name="Apttus_App" hidden="1">
          <a:extLst>
            <a:ext uri="{63B3BB69-23CF-44E3-9099-C40C66FF867C}">
              <a14:compatExt xmlns:a14="http://schemas.microsoft.com/office/drawing/2010/main" spid="_x0000_s5121"/>
            </a:ext>
            <a:ext uri="{FF2B5EF4-FFF2-40B4-BE49-F238E27FC236}">
              <a16:creationId xmlns:a16="http://schemas.microsoft.com/office/drawing/2014/main" id="{00000000-0008-0000-1200-0000011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0</xdr:colOff>
      <xdr:row>0</xdr:row>
      <xdr:rowOff>0</xdr:rowOff>
    </xdr:from>
    <xdr:to>
      <xdr:col>0</xdr:col>
      <xdr:colOff>571500</xdr:colOff>
      <xdr:row>2</xdr:row>
      <xdr:rowOff>133350</xdr:rowOff>
    </xdr:to>
    <xdr:sp macro="" textlink="">
      <xdr:nvSpPr>
        <xdr:cNvPr id="5125" name="Apttus_AppData" hidden="1">
          <a:extLst>
            <a:ext uri="{63B3BB69-23CF-44E3-9099-C40C66FF867C}">
              <a14:compatExt xmlns:a14="http://schemas.microsoft.com/office/drawing/2010/main" spid="_x0000_s5125"/>
            </a:ext>
            <a:ext uri="{FF2B5EF4-FFF2-40B4-BE49-F238E27FC236}">
              <a16:creationId xmlns:a16="http://schemas.microsoft.com/office/drawing/2014/main" id="{00000000-0008-0000-1200-0000051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0</xdr:colOff>
      <xdr:row>0</xdr:row>
      <xdr:rowOff>0</xdr:rowOff>
    </xdr:from>
    <xdr:to>
      <xdr:col>1</xdr:col>
      <xdr:colOff>342900</xdr:colOff>
      <xdr:row>2</xdr:row>
      <xdr:rowOff>133350</xdr:rowOff>
    </xdr:to>
    <xdr:sp macro="" textlink="">
      <xdr:nvSpPr>
        <xdr:cNvPr id="5126" name="Apttus_AppDataTracker" hidden="1">
          <a:extLst>
            <a:ext uri="{63B3BB69-23CF-44E3-9099-C40C66FF867C}">
              <a14:compatExt xmlns:a14="http://schemas.microsoft.com/office/drawing/2010/main" spid="_x0000_s5126"/>
            </a:ext>
            <a:ext uri="{FF2B5EF4-FFF2-40B4-BE49-F238E27FC236}">
              <a16:creationId xmlns:a16="http://schemas.microsoft.com/office/drawing/2014/main" id="{00000000-0008-0000-1200-0000061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0</xdr:colOff>
      <xdr:row>0</xdr:row>
      <xdr:rowOff>0</xdr:rowOff>
    </xdr:from>
    <xdr:to>
      <xdr:col>1</xdr:col>
      <xdr:colOff>285750</xdr:colOff>
      <xdr:row>2</xdr:row>
      <xdr:rowOff>133350</xdr:rowOff>
    </xdr:to>
    <xdr:sp macro="" textlink="">
      <xdr:nvSpPr>
        <xdr:cNvPr id="5127" name="Apttus_DataProtection" hidden="1">
          <a:extLst>
            <a:ext uri="{63B3BB69-23CF-44E3-9099-C40C66FF867C}">
              <a14:compatExt xmlns:a14="http://schemas.microsoft.com/office/drawing/2010/main" spid="_x0000_s5127"/>
            </a:ext>
            <a:ext uri="{FF2B5EF4-FFF2-40B4-BE49-F238E27FC236}">
              <a16:creationId xmlns:a16="http://schemas.microsoft.com/office/drawing/2014/main" id="{00000000-0008-0000-1200-0000071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0</xdr:colOff>
      <xdr:row>0</xdr:row>
      <xdr:rowOff>0</xdr:rowOff>
    </xdr:from>
    <xdr:to>
      <xdr:col>8</xdr:col>
      <xdr:colOff>69850</xdr:colOff>
      <xdr:row>2</xdr:row>
      <xdr:rowOff>133350</xdr:rowOff>
    </xdr:to>
    <xdr:pic>
      <xdr:nvPicPr>
        <xdr:cNvPr id="2" name="Apttus_App">
          <a:extLst>
            <a:ext uri="{FF2B5EF4-FFF2-40B4-BE49-F238E27FC236}">
              <a16:creationId xmlns:a16="http://schemas.microsoft.com/office/drawing/2014/main" id="{291FC734-823E-A41E-AD13-58DC4CCDF5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403850" cy="527050"/>
        </a:xfrm>
        <a:prstGeom prst="rect">
          <a:avLst/>
        </a:prstGeom>
        <a:solidFill>
          <a:srgbClr val="FFFFFF"/>
        </a:solidFill>
        <a:ln w="9525">
          <a:solidFill>
            <a:srgbClr val="000000"/>
          </a:solidFill>
          <a:miter lim="800000"/>
          <a:headEnd/>
          <a:tailEnd/>
        </a:ln>
      </xdr:spPr>
    </xdr:pic>
    <xdr:clientData/>
  </xdr:twoCellAnchor>
  <xdr:twoCellAnchor editAs="oneCell">
    <xdr:from>
      <xdr:col>0</xdr:col>
      <xdr:colOff>0</xdr:colOff>
      <xdr:row>0</xdr:row>
      <xdr:rowOff>0</xdr:rowOff>
    </xdr:from>
    <xdr:to>
      <xdr:col>0</xdr:col>
      <xdr:colOff>571500</xdr:colOff>
      <xdr:row>2</xdr:row>
      <xdr:rowOff>133350</xdr:rowOff>
    </xdr:to>
    <xdr:pic>
      <xdr:nvPicPr>
        <xdr:cNvPr id="3" name="Apttus_AppData">
          <a:extLst>
            <a:ext uri="{FF2B5EF4-FFF2-40B4-BE49-F238E27FC236}">
              <a16:creationId xmlns:a16="http://schemas.microsoft.com/office/drawing/2014/main" id="{3BC27AB0-E374-A6F2-CF96-01A609C85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571500" cy="527050"/>
        </a:xfrm>
        <a:prstGeom prst="rect">
          <a:avLst/>
        </a:prstGeom>
        <a:solidFill>
          <a:srgbClr val="FFFFFF"/>
        </a:solidFill>
        <a:ln w="9525">
          <a:solidFill>
            <a:srgbClr val="000000"/>
          </a:solidFill>
          <a:miter lim="800000"/>
          <a:headEnd/>
          <a:tailEnd/>
        </a:ln>
      </xdr:spPr>
    </xdr:pic>
    <xdr:clientData/>
  </xdr:twoCellAnchor>
  <xdr:twoCellAnchor editAs="oneCell">
    <xdr:from>
      <xdr:col>0</xdr:col>
      <xdr:colOff>0</xdr:colOff>
      <xdr:row>0</xdr:row>
      <xdr:rowOff>0</xdr:rowOff>
    </xdr:from>
    <xdr:to>
      <xdr:col>1</xdr:col>
      <xdr:colOff>342900</xdr:colOff>
      <xdr:row>2</xdr:row>
      <xdr:rowOff>133350</xdr:rowOff>
    </xdr:to>
    <xdr:pic>
      <xdr:nvPicPr>
        <xdr:cNvPr id="4" name="Apttus_AppDataTracker">
          <a:extLst>
            <a:ext uri="{FF2B5EF4-FFF2-40B4-BE49-F238E27FC236}">
              <a16:creationId xmlns:a16="http://schemas.microsoft.com/office/drawing/2014/main" id="{D51D069D-F440-490E-2F45-811DA85D57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009650" cy="527050"/>
        </a:xfrm>
        <a:prstGeom prst="rect">
          <a:avLst/>
        </a:prstGeom>
        <a:solidFill>
          <a:srgbClr val="FFFFFF"/>
        </a:solidFill>
        <a:ln w="9525">
          <a:solidFill>
            <a:srgbClr val="000000"/>
          </a:solidFill>
          <a:miter lim="800000"/>
          <a:headEnd/>
          <a:tailEnd/>
        </a:ln>
      </xdr:spPr>
    </xdr:pic>
    <xdr:clientData/>
  </xdr:twoCellAnchor>
  <xdr:twoCellAnchor editAs="oneCell">
    <xdr:from>
      <xdr:col>0</xdr:col>
      <xdr:colOff>0</xdr:colOff>
      <xdr:row>0</xdr:row>
      <xdr:rowOff>0</xdr:rowOff>
    </xdr:from>
    <xdr:to>
      <xdr:col>1</xdr:col>
      <xdr:colOff>285750</xdr:colOff>
      <xdr:row>2</xdr:row>
      <xdr:rowOff>133350</xdr:rowOff>
    </xdr:to>
    <xdr:pic>
      <xdr:nvPicPr>
        <xdr:cNvPr id="5" name="Apttus_DataProtection">
          <a:extLst>
            <a:ext uri="{FF2B5EF4-FFF2-40B4-BE49-F238E27FC236}">
              <a16:creationId xmlns:a16="http://schemas.microsoft.com/office/drawing/2014/main" id="{55EE8594-9631-967B-AEFF-9B09B8F6DA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952500" cy="527050"/>
        </a:xfrm>
        <a:prstGeom prst="rect">
          <a:avLst/>
        </a:prstGeom>
        <a:solidFill>
          <a:srgbClr val="FFFFFF"/>
        </a:solidFill>
        <a:ln w="9525">
          <a:solidFill>
            <a:srgbClr val="000000"/>
          </a:solid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WSaitta/OneDrive%20-%20The%20Global%20Fund/Desktop/PF_Francais_iAB_Spagnolo_don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verage%20Indicators%20-%20Section%20I"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act%20Indicators%20-%20Section%20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rancais"/>
      <sheetName val="Overview - Section A"/>
      <sheetName val="Version history"/>
      <sheetName val="Impact Indicators - Section B"/>
      <sheetName val="Impact Indicators - Section B "/>
      <sheetName val="update Helper"/>
      <sheetName val="Setup"/>
      <sheetName val="Impact Indicator Target Update"/>
      <sheetName val="Outcome Indicators - Section C"/>
      <sheetName val="Outcome Indicators - Section C "/>
      <sheetName val="Coverage Indicators-Section D"/>
      <sheetName val="Coverage Indicators - Section D"/>
      <sheetName val=" Disaggregation - Section E "/>
      <sheetName val="Disaggregation tab old"/>
      <sheetName val="Translations"/>
      <sheetName val="old - Section F"/>
      <sheetName val="WPTM - Section F"/>
      <sheetName val="Print View"/>
      <sheetName val="Reference Records"/>
      <sheetName val="Reference records(soft deleted)"/>
      <sheetName val="Disaggregation Records"/>
      <sheetName val="Disaggregation Data"/>
      <sheetName val="Account Role"/>
      <sheetName val="apttusmetadata"/>
      <sheetName val="PF_Francais_iAB_Spagnolo_don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age Indicators - Section I"/>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act Indicators - Section B"/>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odule" displayName="Module" ref="B158:R202" totalsRowShown="0">
  <autoFilter ref="B158:R202"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000-000001000000}" name="Name-Not in use"/>
    <tableColumn id="2" xr3:uid="{00000000-0010-0000-0000-000002000000}" name="Module Name"/>
    <tableColumn id="3" xr3:uid="{00000000-0010-0000-0000-000003000000}" name="Module-Coverage-Intervention Reference (Name)"/>
    <tableColumn id="4" xr3:uid="{00000000-0010-0000-0000-000004000000}" name="Component (Name)"/>
    <tableColumn id="5" xr3:uid="{00000000-0010-0000-0000-000005000000}" name="Name used on Overview Page for display"/>
    <tableColumn id="6" xr3:uid="{00000000-0010-0000-0000-000006000000}" name="Record ID"/>
    <tableColumn id="7" xr3:uid="{00000000-0010-0000-0000-000007000000}" name="Reference Record Id"/>
    <tableColumn id="8" xr3:uid="{00000000-0010-0000-0000-000008000000}" name="unique id"/>
    <tableColumn id="9" xr3:uid="{00000000-0010-0000-0000-000009000000}" name="unique name list"/>
    <tableColumn id="10" xr3:uid="{00000000-0010-0000-0000-00000A000000}" name="Allocation Cycle (Name)"/>
    <tableColumn id="11" xr3:uid="{00000000-0010-0000-0000-00000B000000}" name="Module (Name)"/>
    <tableColumn id="12" xr3:uid="{00000000-0010-0000-0000-00000C000000}" name="Component Indicator Reference ID"/>
    <tableColumn id="13" xr3:uid="{00000000-0010-0000-0000-00000D000000}" name="Column1"/>
    <tableColumn id="14" xr3:uid="{00000000-0010-0000-0000-00000E000000}" name="Column2"/>
    <tableColumn id="15" xr3:uid="{00000000-0010-0000-0000-00000F000000}" name="Cumulation Type"/>
    <tableColumn id="16" xr3:uid="{00000000-0010-0000-0000-000010000000}" name="Name - FR"/>
    <tableColumn id="17" xr3:uid="{00000000-0010-0000-0000-000011000000}" name="Name - ES"/>
  </tableColumns>
  <tableStyleInfo name="TableStyleLight9"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Intervention" displayName="Intervention" ref="A212:N350" totalsRowShown="0">
  <autoFilter ref="A212:N350"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100-000001000000}" name="Module"/>
    <tableColumn id="2" xr3:uid="{00000000-0010-0000-0100-000002000000}" name="Name ID"/>
    <tableColumn id="3" xr3:uid="{00000000-0010-0000-0100-000003000000}" name="translated intervetnion name"/>
    <tableColumn id="4" xr3:uid="{00000000-0010-0000-0100-000004000000}" name="Disaggregation Categories"/>
    <tableColumn id="5" xr3:uid="{00000000-0010-0000-0100-000005000000}" name="Record ID"/>
    <tableColumn id="6" xr3:uid="{00000000-0010-0000-0100-000006000000}" name="Column1"/>
    <tableColumn id="7" xr3:uid="{00000000-0010-0000-0100-000007000000}" name="Column2"/>
    <tableColumn id="8" xr3:uid="{00000000-0010-0000-0100-000008000000}" name="Column5"/>
    <tableColumn id="9" xr3:uid="{00000000-0010-0000-0100-000009000000}" name="Column4"/>
    <tableColumn id="10" xr3:uid="{00000000-0010-0000-0100-00000A000000}" name="Column3"/>
    <tableColumn id="11" xr3:uid="{00000000-0010-0000-0100-00000B000000}" name="Intervention"/>
    <tableColumn id="12" xr3:uid="{00000000-0010-0000-0100-00000C000000}" name="Name - FR"/>
    <tableColumn id="13" xr3:uid="{00000000-0010-0000-0100-00000D000000}" name="Name - ES"/>
    <tableColumn id="14" xr3:uid="{00000000-0010-0000-0100-00000E000000}" name="Allocation Cycle (Name)"/>
  </tableColumns>
  <tableStyleInfo name="TableStyleLight9"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verage" displayName="Coverage" ref="A78:Q155" totalsRowShown="0">
  <autoFilter ref="A78:Q155"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200-000001000000}" name="Module"/>
    <tableColumn id="2" xr3:uid="{00000000-0010-0000-0200-000002000000}" name="Name ID"/>
    <tableColumn id="3" xr3:uid="{00000000-0010-0000-0200-000003000000}" name="translated name"/>
    <tableColumn id="4" xr3:uid="{00000000-0010-0000-0200-000004000000}" name="transalted coverage categories name"/>
    <tableColumn id="5" xr3:uid="{00000000-0010-0000-0200-000005000000}" name="Column1"/>
    <tableColumn id="6" xr3:uid="{00000000-0010-0000-0200-000006000000}" name="Column2"/>
    <tableColumn id="7" xr3:uid="{00000000-0010-0000-0200-000007000000}" name="Record ID"/>
    <tableColumn id="8" xr3:uid="{00000000-0010-0000-0200-000008000000}" name="Column3"/>
    <tableColumn id="9" xr3:uid="{00000000-0010-0000-0200-000009000000}" name="Allocation Cycle (Name)"/>
    <tableColumn id="10" xr3:uid="{00000000-0010-0000-0200-00000A000000}" name="Soft Delete"/>
    <tableColumn id="11" xr3:uid="{00000000-0010-0000-0200-00000B000000}" name="Cumulation Type"/>
    <tableColumn id="12" xr3:uid="{00000000-0010-0000-0200-00000C000000}" name="Name"/>
    <tableColumn id="13" xr3:uid="{00000000-0010-0000-0200-00000D000000}" name="Name - FR"/>
    <tableColumn id="14" xr3:uid="{00000000-0010-0000-0200-00000E000000}" name="Name - ES"/>
    <tableColumn id="15" xr3:uid="{00000000-0010-0000-0200-00000F000000}" name="Disaggregation Categories"/>
    <tableColumn id="16" xr3:uid="{00000000-0010-0000-0200-000010000000}" name="Disaggregation Categories FR"/>
    <tableColumn id="17" xr3:uid="{00000000-0010-0000-0200-000011000000}" name="Disaggregation Categories ES"/>
  </tableColumns>
  <tableStyleInfo name="TableStyleMedium9"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am03.safelinks.protection.outlook.com/?url=https%3A%2F%2Fwww.theglobalfund.org%2Fen%2Ffunding-model%2Fapplying%2Fmaterials%2F&amp;data=02%7C01%7CSuman.Jain%40theglobalfund.org%7C7bccee3708fa4a69073308d756e8e890%7C7792090987824efbaaf144ac114d7c03%7C0%7C0%7C637073430642829490&amp;sdata=06Qn7wRiRWUZN9zT%2FRZc06lV4V6pXDhPUtQLguZfCQg%3D&amp;reserved=0" TargetMode="External"/><Relationship Id="rId1" Type="http://schemas.openxmlformats.org/officeDocument/2006/relationships/hyperlink" Target="https://www.theglobalfund.org/en/funding-model/applying/resourc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pageSetUpPr fitToPage="1"/>
  </sheetPr>
  <dimension ref="A3:BC434"/>
  <sheetViews>
    <sheetView showGridLines="0" view="pageLayout" topLeftCell="A370" zoomScale="40" zoomScaleNormal="100" zoomScaleSheetLayoutView="100" zoomScalePageLayoutView="40" workbookViewId="0"/>
  </sheetViews>
  <sheetFormatPr defaultColWidth="8.625" defaultRowHeight="15.75"/>
  <cols>
    <col min="1" max="1" width="21.125" customWidth="1"/>
    <col min="2" max="2" width="146" customWidth="1"/>
  </cols>
  <sheetData>
    <row r="3" spans="1:2" ht="35.65" customHeight="1"/>
    <row r="6" spans="1:2">
      <c r="A6" s="485" t="s">
        <v>0</v>
      </c>
      <c r="B6" s="485"/>
    </row>
    <row r="7" spans="1:2">
      <c r="A7" s="355"/>
      <c r="B7" s="355"/>
    </row>
    <row r="8" spans="1:2">
      <c r="A8" s="471" t="s">
        <v>1</v>
      </c>
      <c r="B8" s="472"/>
    </row>
    <row r="9" spans="1:2" ht="71.099999999999994" customHeight="1">
      <c r="A9" s="486" t="s">
        <v>2</v>
      </c>
      <c r="B9" s="480"/>
    </row>
    <row r="10" spans="1:2" ht="42.75" customHeight="1">
      <c r="A10" s="486" t="s">
        <v>3</v>
      </c>
      <c r="B10" s="480"/>
    </row>
    <row r="11" spans="1:2" ht="120" customHeight="1">
      <c r="A11" s="487" t="s">
        <v>4</v>
      </c>
      <c r="B11" s="478"/>
    </row>
    <row r="12" spans="1:2">
      <c r="A12" s="355"/>
      <c r="B12" s="356"/>
    </row>
    <row r="13" spans="1:2">
      <c r="A13" s="471" t="s">
        <v>5</v>
      </c>
      <c r="B13" s="472"/>
    </row>
    <row r="14" spans="1:2" ht="35.25" customHeight="1">
      <c r="A14" s="479" t="s">
        <v>6</v>
      </c>
      <c r="B14" s="480"/>
    </row>
    <row r="15" spans="1:2" ht="66.599999999999994" customHeight="1">
      <c r="A15" s="479" t="s">
        <v>7</v>
      </c>
      <c r="B15" s="480"/>
    </row>
    <row r="16" spans="1:2" ht="33" customHeight="1">
      <c r="A16" s="479" t="s">
        <v>8</v>
      </c>
      <c r="B16" s="480"/>
    </row>
    <row r="17" spans="1:2">
      <c r="A17" s="476" t="s">
        <v>9</v>
      </c>
      <c r="B17" s="470"/>
    </row>
    <row r="18" spans="1:2" ht="68.099999999999994" customHeight="1">
      <c r="A18" s="477" t="s">
        <v>10</v>
      </c>
      <c r="B18" s="478"/>
    </row>
    <row r="19" spans="1:2" ht="73.150000000000006" customHeight="1">
      <c r="A19" s="479" t="s">
        <v>11</v>
      </c>
      <c r="B19" s="480"/>
    </row>
    <row r="20" spans="1:2" ht="15.6" customHeight="1">
      <c r="A20" s="481" t="s">
        <v>12</v>
      </c>
      <c r="B20" s="482"/>
    </row>
    <row r="21" spans="1:2">
      <c r="A21" s="483" t="s">
        <v>13</v>
      </c>
      <c r="B21" s="484"/>
    </row>
    <row r="22" spans="1:2">
      <c r="A22" s="483" t="s">
        <v>14</v>
      </c>
      <c r="B22" s="484"/>
    </row>
    <row r="23" spans="1:2">
      <c r="A23" s="483" t="s">
        <v>15</v>
      </c>
      <c r="B23" s="484"/>
    </row>
    <row r="24" spans="1:2">
      <c r="A24" s="483" t="s">
        <v>16</v>
      </c>
      <c r="B24" s="484"/>
    </row>
    <row r="25" spans="1:2" ht="15.6" customHeight="1">
      <c r="A25" s="483" t="s">
        <v>17</v>
      </c>
      <c r="B25" s="484"/>
    </row>
    <row r="26" spans="1:2" ht="16.350000000000001" customHeight="1">
      <c r="A26" s="467" t="s">
        <v>18</v>
      </c>
      <c r="B26" s="468"/>
    </row>
    <row r="27" spans="1:2" ht="48.6" customHeight="1">
      <c r="A27" s="469" t="s">
        <v>19</v>
      </c>
      <c r="B27" s="470"/>
    </row>
    <row r="28" spans="1:2" ht="16.350000000000001" customHeight="1">
      <c r="A28" s="469" t="s">
        <v>20</v>
      </c>
      <c r="B28" s="470"/>
    </row>
    <row r="29" spans="1:2">
      <c r="A29" s="355"/>
      <c r="B29" s="356"/>
    </row>
    <row r="30" spans="1:2">
      <c r="A30" s="471" t="s">
        <v>21</v>
      </c>
      <c r="B30" s="472"/>
    </row>
    <row r="31" spans="1:2" ht="16.350000000000001" customHeight="1">
      <c r="A31" s="469" t="s">
        <v>22</v>
      </c>
      <c r="B31" s="470"/>
    </row>
    <row r="32" spans="1:2">
      <c r="A32" s="355"/>
      <c r="B32" s="357"/>
    </row>
    <row r="33" spans="1:2">
      <c r="A33" s="454" t="s">
        <v>23</v>
      </c>
      <c r="B33" s="455"/>
    </row>
    <row r="34" spans="1:2">
      <c r="A34" s="358" t="s">
        <v>24</v>
      </c>
      <c r="B34" s="359" t="s">
        <v>25</v>
      </c>
    </row>
    <row r="35" spans="1:2">
      <c r="A35" s="448" t="s">
        <v>26</v>
      </c>
      <c r="B35" s="360" t="s">
        <v>27</v>
      </c>
    </row>
    <row r="36" spans="1:2">
      <c r="A36" s="449"/>
      <c r="B36" s="362" t="s">
        <v>28</v>
      </c>
    </row>
    <row r="37" spans="1:2">
      <c r="A37" s="449"/>
      <c r="B37" s="360" t="s">
        <v>29</v>
      </c>
    </row>
    <row r="38" spans="1:2">
      <c r="A38" s="449"/>
      <c r="B38" s="362" t="s">
        <v>30</v>
      </c>
    </row>
    <row r="39" spans="1:2" ht="30">
      <c r="A39" s="450"/>
      <c r="B39" s="363" t="s">
        <v>31</v>
      </c>
    </row>
    <row r="40" spans="1:2" ht="45">
      <c r="A40" s="448" t="s">
        <v>32</v>
      </c>
      <c r="B40" s="364" t="s">
        <v>33</v>
      </c>
    </row>
    <row r="41" spans="1:2" ht="30">
      <c r="A41" s="449"/>
      <c r="B41" s="364" t="s">
        <v>34</v>
      </c>
    </row>
    <row r="42" spans="1:2">
      <c r="A42" s="449"/>
      <c r="B42" s="364" t="s">
        <v>35</v>
      </c>
    </row>
    <row r="43" spans="1:2" ht="30">
      <c r="A43" s="450"/>
      <c r="B43" s="359" t="s">
        <v>36</v>
      </c>
    </row>
    <row r="44" spans="1:2" ht="15.6" customHeight="1">
      <c r="A44" s="451" t="s">
        <v>37</v>
      </c>
      <c r="B44" s="360" t="s">
        <v>38</v>
      </c>
    </row>
    <row r="45" spans="1:2" ht="30">
      <c r="A45" s="452"/>
      <c r="B45" s="364" t="s">
        <v>39</v>
      </c>
    </row>
    <row r="46" spans="1:2" ht="30">
      <c r="A46" s="452"/>
      <c r="B46" s="360" t="s">
        <v>40</v>
      </c>
    </row>
    <row r="47" spans="1:2">
      <c r="A47" s="452"/>
      <c r="B47" s="360" t="s">
        <v>41</v>
      </c>
    </row>
    <row r="48" spans="1:2" ht="30">
      <c r="A48" s="453"/>
      <c r="B48" s="359" t="s">
        <v>42</v>
      </c>
    </row>
    <row r="49" spans="1:2" ht="30">
      <c r="A49" s="448" t="s">
        <v>43</v>
      </c>
      <c r="B49" s="360" t="s">
        <v>44</v>
      </c>
    </row>
    <row r="50" spans="1:2">
      <c r="A50" s="449"/>
      <c r="B50" s="362" t="s">
        <v>28</v>
      </c>
    </row>
    <row r="51" spans="1:2" ht="30">
      <c r="A51" s="449"/>
      <c r="B51" s="360" t="s">
        <v>45</v>
      </c>
    </row>
    <row r="52" spans="1:2">
      <c r="A52" s="449"/>
      <c r="B52" s="362" t="s">
        <v>30</v>
      </c>
    </row>
    <row r="53" spans="1:2" ht="60">
      <c r="A53" s="450"/>
      <c r="B53" s="363" t="s">
        <v>46</v>
      </c>
    </row>
    <row r="54" spans="1:2" ht="31.9" customHeight="1">
      <c r="A54" s="451" t="s">
        <v>47</v>
      </c>
      <c r="B54" s="365" t="s">
        <v>48</v>
      </c>
    </row>
    <row r="55" spans="1:2" ht="19.899999999999999" customHeight="1">
      <c r="A55" s="453"/>
      <c r="B55" s="363" t="s">
        <v>49</v>
      </c>
    </row>
    <row r="56" spans="1:2" ht="25.5" customHeight="1">
      <c r="A56" s="451" t="s">
        <v>50</v>
      </c>
      <c r="B56" s="364" t="s">
        <v>51</v>
      </c>
    </row>
    <row r="57" spans="1:2" ht="27" customHeight="1">
      <c r="A57" s="453"/>
      <c r="B57" s="363" t="s">
        <v>52</v>
      </c>
    </row>
    <row r="58" spans="1:2">
      <c r="A58" s="465"/>
      <c r="B58" s="466"/>
    </row>
    <row r="59" spans="1:2">
      <c r="A59" s="358" t="s">
        <v>53</v>
      </c>
      <c r="B59" s="359" t="s">
        <v>54</v>
      </c>
    </row>
    <row r="60" spans="1:2">
      <c r="A60" s="465"/>
      <c r="B60" s="466"/>
    </row>
    <row r="61" spans="1:2" ht="30">
      <c r="A61" s="448" t="s">
        <v>55</v>
      </c>
      <c r="B61" s="360" t="s">
        <v>56</v>
      </c>
    </row>
    <row r="62" spans="1:2" ht="30">
      <c r="A62" s="450"/>
      <c r="B62" s="359" t="s">
        <v>57</v>
      </c>
    </row>
    <row r="63" spans="1:2">
      <c r="A63" s="465"/>
      <c r="B63" s="466"/>
    </row>
    <row r="64" spans="1:2">
      <c r="A64" s="448" t="s">
        <v>58</v>
      </c>
      <c r="B64" s="366" t="s">
        <v>28</v>
      </c>
    </row>
    <row r="65" spans="1:2">
      <c r="A65" s="449"/>
      <c r="B65" s="360" t="s">
        <v>59</v>
      </c>
    </row>
    <row r="66" spans="1:2" ht="30">
      <c r="A66" s="449"/>
      <c r="B66" s="360" t="s">
        <v>60</v>
      </c>
    </row>
    <row r="67" spans="1:2" ht="30">
      <c r="A67" s="450"/>
      <c r="B67" s="359" t="s">
        <v>61</v>
      </c>
    </row>
    <row r="68" spans="1:2">
      <c r="A68" s="465"/>
      <c r="B68" s="466"/>
    </row>
    <row r="69" spans="1:2" ht="30">
      <c r="A69" s="448" t="s">
        <v>62</v>
      </c>
      <c r="B69" s="360" t="s">
        <v>63</v>
      </c>
    </row>
    <row r="70" spans="1:2" ht="45">
      <c r="A70" s="449"/>
      <c r="B70" s="360" t="s">
        <v>64</v>
      </c>
    </row>
    <row r="71" spans="1:2" ht="75">
      <c r="A71" s="449"/>
      <c r="B71" s="360" t="s">
        <v>65</v>
      </c>
    </row>
    <row r="72" spans="1:2" ht="45">
      <c r="A72" s="449"/>
      <c r="B72" s="367" t="s">
        <v>66</v>
      </c>
    </row>
    <row r="73" spans="1:2">
      <c r="A73" s="448" t="s">
        <v>67</v>
      </c>
      <c r="B73" s="368"/>
    </row>
    <row r="74" spans="1:2" ht="30">
      <c r="A74" s="449"/>
      <c r="B74" s="369" t="s">
        <v>68</v>
      </c>
    </row>
    <row r="75" spans="1:2">
      <c r="A75" s="450"/>
      <c r="B75" s="359"/>
    </row>
    <row r="76" spans="1:2">
      <c r="A76" s="448" t="s">
        <v>69</v>
      </c>
      <c r="B76" s="368"/>
    </row>
    <row r="77" spans="1:2" ht="30">
      <c r="A77" s="449"/>
      <c r="B77" s="369" t="s">
        <v>70</v>
      </c>
    </row>
    <row r="78" spans="1:2">
      <c r="A78" s="450"/>
      <c r="B78" s="359"/>
    </row>
    <row r="79" spans="1:2">
      <c r="A79" s="448" t="s">
        <v>71</v>
      </c>
      <c r="B79" s="370" t="s">
        <v>30</v>
      </c>
    </row>
    <row r="80" spans="1:2" ht="32.65" customHeight="1">
      <c r="A80" s="449"/>
      <c r="B80" s="369" t="s">
        <v>72</v>
      </c>
    </row>
    <row r="81" spans="1:2">
      <c r="A81" s="450"/>
      <c r="B81" s="359"/>
    </row>
    <row r="82" spans="1:2">
      <c r="A82" s="448" t="s">
        <v>73</v>
      </c>
      <c r="B82" s="370" t="s">
        <v>30</v>
      </c>
    </row>
    <row r="83" spans="1:2" ht="30">
      <c r="A83" s="449"/>
      <c r="B83" s="369" t="s">
        <v>74</v>
      </c>
    </row>
    <row r="84" spans="1:2">
      <c r="A84" s="450"/>
      <c r="B84" s="369" t="s">
        <v>75</v>
      </c>
    </row>
    <row r="85" spans="1:2">
      <c r="A85" s="465"/>
      <c r="B85" s="466"/>
    </row>
    <row r="86" spans="1:2">
      <c r="A86" s="448" t="s">
        <v>76</v>
      </c>
      <c r="B86" s="368"/>
    </row>
    <row r="87" spans="1:2" ht="30">
      <c r="A87" s="449"/>
      <c r="B87" s="369" t="s">
        <v>77</v>
      </c>
    </row>
    <row r="88" spans="1:2">
      <c r="A88" s="450"/>
      <c r="B88" s="359"/>
    </row>
    <row r="89" spans="1:2">
      <c r="A89" s="460"/>
      <c r="B89" s="461"/>
    </row>
    <row r="90" spans="1:2">
      <c r="A90" s="448" t="s">
        <v>78</v>
      </c>
      <c r="B90" s="368"/>
    </row>
    <row r="91" spans="1:2" ht="30">
      <c r="A91" s="449"/>
      <c r="B91" s="369" t="s">
        <v>79</v>
      </c>
    </row>
    <row r="92" spans="1:2">
      <c r="A92" s="450"/>
      <c r="B92" s="371"/>
    </row>
    <row r="93" spans="1:2" ht="99" customHeight="1">
      <c r="A93" s="448" t="s">
        <v>80</v>
      </c>
      <c r="B93" s="369" t="s">
        <v>81</v>
      </c>
    </row>
    <row r="94" spans="1:2" ht="43.5" customHeight="1">
      <c r="A94" s="449"/>
      <c r="B94" s="369" t="s">
        <v>82</v>
      </c>
    </row>
    <row r="95" spans="1:2" ht="52.15" customHeight="1">
      <c r="A95" s="449"/>
      <c r="B95" s="369" t="s">
        <v>83</v>
      </c>
    </row>
    <row r="96" spans="1:2">
      <c r="A96" s="450"/>
      <c r="B96" s="369" t="s">
        <v>84</v>
      </c>
    </row>
    <row r="97" spans="1:2">
      <c r="A97" s="460"/>
      <c r="B97" s="461"/>
    </row>
    <row r="98" spans="1:2">
      <c r="A98" s="448" t="s">
        <v>85</v>
      </c>
      <c r="B98" s="368"/>
    </row>
    <row r="99" spans="1:2" ht="30">
      <c r="A99" s="449"/>
      <c r="B99" s="369" t="s">
        <v>86</v>
      </c>
    </row>
    <row r="100" spans="1:2">
      <c r="A100" s="450"/>
      <c r="B100" s="371"/>
    </row>
    <row r="101" spans="1:2" ht="30">
      <c r="A101" s="473" t="s">
        <v>87</v>
      </c>
      <c r="B101" s="369" t="s">
        <v>88</v>
      </c>
    </row>
    <row r="102" spans="1:2" ht="45">
      <c r="A102" s="474"/>
      <c r="B102" s="369" t="s">
        <v>89</v>
      </c>
    </row>
    <row r="103" spans="1:2">
      <c r="A103" s="475"/>
      <c r="B103" s="372" t="s">
        <v>90</v>
      </c>
    </row>
    <row r="104" spans="1:2" ht="45">
      <c r="A104" s="448" t="s">
        <v>91</v>
      </c>
      <c r="B104" s="369" t="s">
        <v>92</v>
      </c>
    </row>
    <row r="105" spans="1:2" ht="30">
      <c r="A105" s="449"/>
      <c r="B105" s="369" t="s">
        <v>93</v>
      </c>
    </row>
    <row r="106" spans="1:2" ht="30">
      <c r="A106" s="450"/>
      <c r="B106" s="372" t="s">
        <v>94</v>
      </c>
    </row>
    <row r="107" spans="1:2">
      <c r="A107" s="355"/>
      <c r="B107" s="355"/>
    </row>
    <row r="108" spans="1:2">
      <c r="A108" s="454" t="s">
        <v>95</v>
      </c>
      <c r="B108" s="455"/>
    </row>
    <row r="109" spans="1:2">
      <c r="A109" s="451" t="s">
        <v>96</v>
      </c>
      <c r="B109" s="369" t="s">
        <v>97</v>
      </c>
    </row>
    <row r="110" spans="1:2" ht="30">
      <c r="A110" s="453"/>
      <c r="B110" s="372" t="s">
        <v>98</v>
      </c>
    </row>
    <row r="111" spans="1:2">
      <c r="A111" s="451" t="s">
        <v>99</v>
      </c>
      <c r="B111" s="369"/>
    </row>
    <row r="112" spans="1:2">
      <c r="A112" s="452"/>
      <c r="B112" s="369" t="s">
        <v>100</v>
      </c>
    </row>
    <row r="113" spans="1:2" ht="30">
      <c r="A113" s="452"/>
      <c r="B113" s="369" t="s">
        <v>101</v>
      </c>
    </row>
    <row r="114" spans="1:2" ht="45">
      <c r="A114" s="452"/>
      <c r="B114" s="369" t="s">
        <v>102</v>
      </c>
    </row>
    <row r="115" spans="1:2" ht="45">
      <c r="A115" s="452"/>
      <c r="B115" s="369" t="s">
        <v>103</v>
      </c>
    </row>
    <row r="116" spans="1:2">
      <c r="A116" s="453"/>
      <c r="B116" s="373"/>
    </row>
    <row r="117" spans="1:2">
      <c r="A117" s="448" t="s">
        <v>104</v>
      </c>
      <c r="B117" s="368"/>
    </row>
    <row r="118" spans="1:2">
      <c r="A118" s="449"/>
      <c r="B118" s="369" t="s">
        <v>105</v>
      </c>
    </row>
    <row r="119" spans="1:2" ht="30">
      <c r="A119" s="449"/>
      <c r="B119" s="369" t="s">
        <v>106</v>
      </c>
    </row>
    <row r="120" spans="1:2">
      <c r="A120" s="449"/>
      <c r="B120" s="369"/>
    </row>
    <row r="121" spans="1:2">
      <c r="A121" s="449"/>
      <c r="B121" s="362" t="s">
        <v>30</v>
      </c>
    </row>
    <row r="122" spans="1:2">
      <c r="A122" s="449"/>
      <c r="B122" s="369" t="s">
        <v>107</v>
      </c>
    </row>
    <row r="123" spans="1:2">
      <c r="A123" s="450"/>
      <c r="B123" s="373"/>
    </row>
    <row r="124" spans="1:2">
      <c r="A124" s="448" t="s">
        <v>108</v>
      </c>
      <c r="B124" s="368"/>
    </row>
    <row r="125" spans="1:2" ht="45">
      <c r="A125" s="449"/>
      <c r="B125" s="369" t="s">
        <v>109</v>
      </c>
    </row>
    <row r="126" spans="1:2">
      <c r="A126" s="449"/>
      <c r="B126" s="369" t="s">
        <v>110</v>
      </c>
    </row>
    <row r="127" spans="1:2" ht="30">
      <c r="A127" s="449"/>
      <c r="B127" s="369" t="s">
        <v>111</v>
      </c>
    </row>
    <row r="128" spans="1:2">
      <c r="A128" s="450"/>
      <c r="B128" s="373"/>
    </row>
    <row r="129" spans="1:2">
      <c r="A129" s="451" t="s">
        <v>112</v>
      </c>
      <c r="B129" s="369" t="s">
        <v>113</v>
      </c>
    </row>
    <row r="130" spans="1:2">
      <c r="A130" s="452"/>
      <c r="B130" s="372" t="s">
        <v>114</v>
      </c>
    </row>
    <row r="131" spans="1:2">
      <c r="A131" s="448" t="s">
        <v>115</v>
      </c>
      <c r="B131" s="368"/>
    </row>
    <row r="132" spans="1:2">
      <c r="A132" s="449"/>
      <c r="B132" s="374" t="s">
        <v>116</v>
      </c>
    </row>
    <row r="133" spans="1:2">
      <c r="A133" s="450"/>
      <c r="B133" s="373"/>
    </row>
    <row r="134" spans="1:2">
      <c r="A134" s="448" t="s">
        <v>117</v>
      </c>
      <c r="B134" s="368"/>
    </row>
    <row r="135" spans="1:2" ht="36" customHeight="1">
      <c r="A135" s="449"/>
      <c r="B135" s="374" t="s">
        <v>118</v>
      </c>
    </row>
    <row r="136" spans="1:2" ht="30">
      <c r="A136" s="449"/>
      <c r="B136" s="374" t="s">
        <v>119</v>
      </c>
    </row>
    <row r="137" spans="1:2" ht="27.6" customHeight="1">
      <c r="A137" s="449"/>
      <c r="B137" s="374" t="s">
        <v>120</v>
      </c>
    </row>
    <row r="138" spans="1:2">
      <c r="A138" s="450"/>
      <c r="B138" s="373"/>
    </row>
    <row r="139" spans="1:2">
      <c r="A139" s="448" t="s">
        <v>121</v>
      </c>
      <c r="B139" s="368"/>
    </row>
    <row r="140" spans="1:2" ht="30">
      <c r="A140" s="449"/>
      <c r="B140" s="374" t="s">
        <v>122</v>
      </c>
    </row>
    <row r="141" spans="1:2" ht="30">
      <c r="A141" s="449"/>
      <c r="B141" s="374" t="s">
        <v>123</v>
      </c>
    </row>
    <row r="142" spans="1:2" ht="34.15" customHeight="1">
      <c r="A142" s="449"/>
      <c r="B142" s="374" t="s">
        <v>124</v>
      </c>
    </row>
    <row r="143" spans="1:2">
      <c r="A143" s="449"/>
      <c r="B143" s="374" t="s">
        <v>125</v>
      </c>
    </row>
    <row r="144" spans="1:2" ht="30">
      <c r="A144" s="449"/>
      <c r="B144" s="374" t="s">
        <v>126</v>
      </c>
    </row>
    <row r="145" spans="1:2">
      <c r="A145" s="450"/>
      <c r="B145" s="373"/>
    </row>
    <row r="146" spans="1:2" ht="15.6" customHeight="1">
      <c r="A146" s="448" t="s">
        <v>127</v>
      </c>
      <c r="B146" s="362" t="s">
        <v>28</v>
      </c>
    </row>
    <row r="147" spans="1:2" ht="45">
      <c r="A147" s="449"/>
      <c r="B147" s="374" t="s">
        <v>128</v>
      </c>
    </row>
    <row r="148" spans="1:2">
      <c r="A148" s="449"/>
      <c r="B148" s="362" t="s">
        <v>30</v>
      </c>
    </row>
    <row r="149" spans="1:2" ht="30">
      <c r="A149" s="449"/>
      <c r="B149" s="374" t="s">
        <v>129</v>
      </c>
    </row>
    <row r="150" spans="1:2">
      <c r="A150" s="450"/>
      <c r="B150" s="372" t="s">
        <v>130</v>
      </c>
    </row>
    <row r="151" spans="1:2">
      <c r="A151" s="449" t="s">
        <v>131</v>
      </c>
      <c r="B151" s="375" t="s">
        <v>132</v>
      </c>
    </row>
    <row r="152" spans="1:2">
      <c r="A152" s="449"/>
      <c r="B152" s="374" t="s">
        <v>133</v>
      </c>
    </row>
    <row r="153" spans="1:2" ht="30">
      <c r="A153" s="450"/>
      <c r="B153" s="372" t="s">
        <v>134</v>
      </c>
    </row>
    <row r="154" spans="1:2">
      <c r="A154" s="458"/>
      <c r="B154" s="459"/>
    </row>
    <row r="155" spans="1:2">
      <c r="A155" s="448" t="s">
        <v>135</v>
      </c>
      <c r="B155" s="376" t="s">
        <v>136</v>
      </c>
    </row>
    <row r="156" spans="1:2">
      <c r="A156" s="449"/>
      <c r="B156" s="377" t="s">
        <v>137</v>
      </c>
    </row>
    <row r="157" spans="1:2">
      <c r="A157" s="448" t="s">
        <v>138</v>
      </c>
      <c r="B157" s="368"/>
    </row>
    <row r="158" spans="1:2">
      <c r="A158" s="449"/>
      <c r="B158" s="378" t="s">
        <v>139</v>
      </c>
    </row>
    <row r="159" spans="1:2">
      <c r="A159" s="449"/>
      <c r="B159" s="369"/>
    </row>
    <row r="160" spans="1:2" ht="30">
      <c r="A160" s="449"/>
      <c r="B160" s="379" t="s">
        <v>140</v>
      </c>
    </row>
    <row r="161" spans="1:2">
      <c r="A161" s="450"/>
      <c r="B161" s="373"/>
    </row>
    <row r="162" spans="1:2">
      <c r="A162" s="448" t="s">
        <v>141</v>
      </c>
      <c r="B162" s="733" t="s">
        <v>142</v>
      </c>
    </row>
    <row r="163" spans="1:2">
      <c r="A163" s="449"/>
      <c r="B163" s="372" t="s">
        <v>143</v>
      </c>
    </row>
    <row r="164" spans="1:2">
      <c r="A164" s="448" t="s">
        <v>144</v>
      </c>
      <c r="B164" s="368"/>
    </row>
    <row r="165" spans="1:2" ht="30">
      <c r="A165" s="449"/>
      <c r="B165" s="374" t="s">
        <v>145</v>
      </c>
    </row>
    <row r="166" spans="1:2">
      <c r="A166" s="450"/>
      <c r="B166" s="373"/>
    </row>
    <row r="167" spans="1:2">
      <c r="A167" s="448" t="s">
        <v>146</v>
      </c>
      <c r="B167" s="368"/>
    </row>
    <row r="168" spans="1:2" ht="30">
      <c r="A168" s="449"/>
      <c r="B168" s="369" t="s">
        <v>147</v>
      </c>
    </row>
    <row r="169" spans="1:2">
      <c r="A169" s="450"/>
      <c r="B169" s="373"/>
    </row>
    <row r="170" spans="1:2">
      <c r="A170" s="448" t="s">
        <v>148</v>
      </c>
      <c r="B170" s="368"/>
    </row>
    <row r="171" spans="1:2">
      <c r="A171" s="449"/>
      <c r="B171" s="369" t="s">
        <v>149</v>
      </c>
    </row>
    <row r="172" spans="1:2">
      <c r="A172" s="449"/>
      <c r="B172" s="369"/>
    </row>
    <row r="173" spans="1:2">
      <c r="A173" s="449"/>
      <c r="B173" s="380" t="s">
        <v>150</v>
      </c>
    </row>
    <row r="174" spans="1:2">
      <c r="A174" s="449"/>
      <c r="B174" s="380" t="s">
        <v>151</v>
      </c>
    </row>
    <row r="175" spans="1:2">
      <c r="A175" s="449"/>
      <c r="B175" s="380" t="s">
        <v>152</v>
      </c>
    </row>
    <row r="176" spans="1:2">
      <c r="A176" s="449"/>
      <c r="B176" s="380" t="s">
        <v>153</v>
      </c>
    </row>
    <row r="177" spans="1:2">
      <c r="A177" s="449"/>
      <c r="B177" s="380" t="s">
        <v>154</v>
      </c>
    </row>
    <row r="178" spans="1:2">
      <c r="A178" s="449"/>
      <c r="B178" s="380" t="s">
        <v>155</v>
      </c>
    </row>
    <row r="179" spans="1:2">
      <c r="A179" s="449"/>
      <c r="B179" s="380" t="s">
        <v>156</v>
      </c>
    </row>
    <row r="180" spans="1:2">
      <c r="A180" s="449"/>
      <c r="B180" s="380" t="s">
        <v>157</v>
      </c>
    </row>
    <row r="181" spans="1:2">
      <c r="A181" s="450"/>
      <c r="B181" s="373"/>
    </row>
    <row r="182" spans="1:2">
      <c r="A182" s="454" t="s">
        <v>158</v>
      </c>
      <c r="B182" s="455"/>
    </row>
    <row r="183" spans="1:2">
      <c r="A183" s="448" t="s">
        <v>96</v>
      </c>
      <c r="B183" s="733" t="s">
        <v>159</v>
      </c>
    </row>
    <row r="184" spans="1:2" ht="30">
      <c r="A184" s="449"/>
      <c r="B184" s="734" t="s">
        <v>160</v>
      </c>
    </row>
    <row r="185" spans="1:2">
      <c r="A185" s="448" t="s">
        <v>99</v>
      </c>
      <c r="B185" s="368"/>
    </row>
    <row r="186" spans="1:2">
      <c r="A186" s="449"/>
      <c r="B186" s="369" t="s">
        <v>161</v>
      </c>
    </row>
    <row r="187" spans="1:2" ht="30">
      <c r="A187" s="449"/>
      <c r="B187" s="369" t="s">
        <v>162</v>
      </c>
    </row>
    <row r="188" spans="1:2" ht="45">
      <c r="A188" s="449"/>
      <c r="B188" s="369" t="s">
        <v>163</v>
      </c>
    </row>
    <row r="189" spans="1:2" ht="45">
      <c r="A189" s="449"/>
      <c r="B189" s="369" t="s">
        <v>164</v>
      </c>
    </row>
    <row r="190" spans="1:2">
      <c r="A190" s="450"/>
      <c r="B190" s="373"/>
    </row>
    <row r="191" spans="1:2">
      <c r="A191" s="448" t="s">
        <v>165</v>
      </c>
      <c r="B191" s="368"/>
    </row>
    <row r="192" spans="1:2">
      <c r="A192" s="449"/>
      <c r="B192" s="369" t="s">
        <v>166</v>
      </c>
    </row>
    <row r="193" spans="1:2">
      <c r="A193" s="449"/>
      <c r="B193" s="369"/>
    </row>
    <row r="194" spans="1:2" ht="30">
      <c r="A194" s="449"/>
      <c r="B194" s="369" t="s">
        <v>167</v>
      </c>
    </row>
    <row r="195" spans="1:2">
      <c r="A195" s="449"/>
      <c r="B195" s="369"/>
    </row>
    <row r="196" spans="1:2">
      <c r="A196" s="449"/>
      <c r="B196" s="362" t="s">
        <v>30</v>
      </c>
    </row>
    <row r="197" spans="1:2">
      <c r="A197" s="449"/>
      <c r="B197" s="369" t="s">
        <v>168</v>
      </c>
    </row>
    <row r="198" spans="1:2">
      <c r="A198" s="450"/>
      <c r="B198" s="373"/>
    </row>
    <row r="199" spans="1:2">
      <c r="A199" s="448" t="s">
        <v>108</v>
      </c>
      <c r="B199" s="368"/>
    </row>
    <row r="200" spans="1:2" ht="45">
      <c r="A200" s="449"/>
      <c r="B200" s="369" t="s">
        <v>169</v>
      </c>
    </row>
    <row r="201" spans="1:2">
      <c r="A201" s="449"/>
      <c r="B201" s="369" t="s">
        <v>170</v>
      </c>
    </row>
    <row r="202" spans="1:2" ht="30">
      <c r="A202" s="449"/>
      <c r="B202" s="369" t="s">
        <v>171</v>
      </c>
    </row>
    <row r="203" spans="1:2">
      <c r="A203" s="450"/>
      <c r="B203" s="373"/>
    </row>
    <row r="204" spans="1:2">
      <c r="A204" s="451" t="s">
        <v>112</v>
      </c>
      <c r="B204" s="381" t="s">
        <v>172</v>
      </c>
    </row>
    <row r="205" spans="1:2">
      <c r="A205" s="453"/>
      <c r="B205" s="382" t="s">
        <v>173</v>
      </c>
    </row>
    <row r="206" spans="1:2">
      <c r="A206" s="451" t="s">
        <v>115</v>
      </c>
      <c r="B206" s="368"/>
    </row>
    <row r="207" spans="1:2">
      <c r="A207" s="452"/>
      <c r="B207" s="369" t="s">
        <v>174</v>
      </c>
    </row>
    <row r="208" spans="1:2">
      <c r="A208" s="453"/>
      <c r="B208" s="373"/>
    </row>
    <row r="209" spans="1:2">
      <c r="A209" s="448" t="s">
        <v>117</v>
      </c>
      <c r="B209" s="368"/>
    </row>
    <row r="210" spans="1:2" ht="31.15" customHeight="1">
      <c r="A210" s="449"/>
      <c r="B210" s="369" t="s">
        <v>175</v>
      </c>
    </row>
    <row r="211" spans="1:2" ht="30">
      <c r="A211" s="449"/>
      <c r="B211" s="369" t="s">
        <v>176</v>
      </c>
    </row>
    <row r="212" spans="1:2" ht="37.15" customHeight="1">
      <c r="A212" s="449"/>
      <c r="B212" s="369" t="s">
        <v>177</v>
      </c>
    </row>
    <row r="213" spans="1:2">
      <c r="A213" s="450"/>
      <c r="B213" s="371"/>
    </row>
    <row r="214" spans="1:2">
      <c r="A214" s="448" t="s">
        <v>178</v>
      </c>
      <c r="B214" s="368"/>
    </row>
    <row r="215" spans="1:2" ht="30">
      <c r="A215" s="449"/>
      <c r="B215" s="369" t="s">
        <v>179</v>
      </c>
    </row>
    <row r="216" spans="1:2" ht="30">
      <c r="A216" s="449"/>
      <c r="B216" s="369" t="s">
        <v>180</v>
      </c>
    </row>
    <row r="217" spans="1:2" ht="25.5" customHeight="1">
      <c r="A217" s="449"/>
      <c r="B217" s="369" t="s">
        <v>181</v>
      </c>
    </row>
    <row r="218" spans="1:2">
      <c r="A218" s="449"/>
      <c r="B218" s="369" t="s">
        <v>182</v>
      </c>
    </row>
    <row r="219" spans="1:2" ht="30">
      <c r="A219" s="449"/>
      <c r="B219" s="369" t="s">
        <v>183</v>
      </c>
    </row>
    <row r="220" spans="1:2">
      <c r="A220" s="450"/>
      <c r="B220" s="371"/>
    </row>
    <row r="221" spans="1:2" ht="15.6" customHeight="1">
      <c r="A221" s="448" t="s">
        <v>184</v>
      </c>
      <c r="B221" s="362" t="s">
        <v>28</v>
      </c>
    </row>
    <row r="222" spans="1:2" ht="45">
      <c r="A222" s="449"/>
      <c r="B222" s="374" t="s">
        <v>185</v>
      </c>
    </row>
    <row r="223" spans="1:2">
      <c r="A223" s="449"/>
      <c r="B223" s="362" t="s">
        <v>186</v>
      </c>
    </row>
    <row r="224" spans="1:2" ht="30">
      <c r="A224" s="449"/>
      <c r="B224" s="374" t="s">
        <v>187</v>
      </c>
    </row>
    <row r="225" spans="1:2">
      <c r="A225" s="450"/>
      <c r="B225" s="372" t="s">
        <v>188</v>
      </c>
    </row>
    <row r="226" spans="1:2">
      <c r="A226" s="448" t="s">
        <v>131</v>
      </c>
      <c r="B226" s="368"/>
    </row>
    <row r="227" spans="1:2">
      <c r="A227" s="449"/>
      <c r="B227" s="369" t="s">
        <v>189</v>
      </c>
    </row>
    <row r="228" spans="1:2">
      <c r="A228" s="449"/>
      <c r="B228" s="369" t="s">
        <v>190</v>
      </c>
    </row>
    <row r="229" spans="1:2" ht="30">
      <c r="A229" s="449"/>
      <c r="B229" s="369" t="s">
        <v>191</v>
      </c>
    </row>
    <row r="230" spans="1:2">
      <c r="A230" s="450"/>
      <c r="B230" s="371"/>
    </row>
    <row r="231" spans="1:2">
      <c r="A231" s="448" t="s">
        <v>135</v>
      </c>
      <c r="B231" s="733" t="s">
        <v>192</v>
      </c>
    </row>
    <row r="232" spans="1:2">
      <c r="A232" s="449"/>
      <c r="B232" s="372" t="s">
        <v>193</v>
      </c>
    </row>
    <row r="233" spans="1:2">
      <c r="A233" s="448" t="s">
        <v>138</v>
      </c>
      <c r="B233" s="368"/>
    </row>
    <row r="234" spans="1:2">
      <c r="A234" s="449"/>
      <c r="B234" s="369" t="s">
        <v>194</v>
      </c>
    </row>
    <row r="235" spans="1:2">
      <c r="A235" s="449"/>
      <c r="B235" s="369"/>
    </row>
    <row r="236" spans="1:2" ht="30">
      <c r="A236" s="449"/>
      <c r="B236" s="369" t="s">
        <v>195</v>
      </c>
    </row>
    <row r="237" spans="1:2">
      <c r="A237" s="450"/>
      <c r="B237" s="371"/>
    </row>
    <row r="238" spans="1:2">
      <c r="A238" s="448" t="s">
        <v>141</v>
      </c>
      <c r="B238" s="733" t="s">
        <v>196</v>
      </c>
    </row>
    <row r="239" spans="1:2">
      <c r="A239" s="450"/>
      <c r="B239" s="735" t="s">
        <v>197</v>
      </c>
    </row>
    <row r="240" spans="1:2">
      <c r="A240" s="448" t="s">
        <v>144</v>
      </c>
      <c r="B240" s="368"/>
    </row>
    <row r="241" spans="1:2" ht="30">
      <c r="A241" s="449"/>
      <c r="B241" s="369" t="s">
        <v>198</v>
      </c>
    </row>
    <row r="242" spans="1:2">
      <c r="A242" s="450"/>
      <c r="B242" s="371"/>
    </row>
    <row r="243" spans="1:2">
      <c r="A243" s="448" t="s">
        <v>146</v>
      </c>
      <c r="B243" s="368"/>
    </row>
    <row r="244" spans="1:2" ht="30">
      <c r="A244" s="449"/>
      <c r="B244" s="369" t="s">
        <v>199</v>
      </c>
    </row>
    <row r="245" spans="1:2">
      <c r="A245" s="450"/>
      <c r="B245" s="373"/>
    </row>
    <row r="246" spans="1:2">
      <c r="A246" s="445" t="s">
        <v>148</v>
      </c>
      <c r="B246" s="376" t="s">
        <v>200</v>
      </c>
    </row>
    <row r="247" spans="1:2">
      <c r="A247" s="446"/>
      <c r="B247" s="378"/>
    </row>
    <row r="248" spans="1:2">
      <c r="A248" s="446"/>
      <c r="B248" s="380" t="s">
        <v>201</v>
      </c>
    </row>
    <row r="249" spans="1:2">
      <c r="A249" s="446"/>
      <c r="B249" s="380" t="s">
        <v>151</v>
      </c>
    </row>
    <row r="250" spans="1:2">
      <c r="A250" s="446"/>
      <c r="B250" s="380" t="s">
        <v>152</v>
      </c>
    </row>
    <row r="251" spans="1:2">
      <c r="A251" s="446"/>
      <c r="B251" s="380" t="s">
        <v>153</v>
      </c>
    </row>
    <row r="252" spans="1:2">
      <c r="A252" s="446"/>
      <c r="B252" s="380" t="s">
        <v>154</v>
      </c>
    </row>
    <row r="253" spans="1:2">
      <c r="A253" s="446"/>
      <c r="B253" s="380" t="s">
        <v>155</v>
      </c>
    </row>
    <row r="254" spans="1:2">
      <c r="A254" s="446"/>
      <c r="B254" s="380" t="s">
        <v>156</v>
      </c>
    </row>
    <row r="255" spans="1:2">
      <c r="A255" s="446"/>
      <c r="B255" s="383" t="s">
        <v>202</v>
      </c>
    </row>
    <row r="256" spans="1:2">
      <c r="A256" s="446"/>
      <c r="B256" s="361"/>
    </row>
    <row r="257" spans="1:2">
      <c r="A257" s="447"/>
      <c r="B257" s="358"/>
    </row>
    <row r="258" spans="1:2">
      <c r="A258" s="384"/>
      <c r="B258" s="355"/>
    </row>
    <row r="259" spans="1:2">
      <c r="A259" s="454" t="s">
        <v>203</v>
      </c>
      <c r="B259" s="455"/>
    </row>
    <row r="260" spans="1:2">
      <c r="A260" s="448" t="s">
        <v>204</v>
      </c>
      <c r="B260" s="368"/>
    </row>
    <row r="261" spans="1:2">
      <c r="A261" s="449"/>
      <c r="B261" s="369" t="s">
        <v>205</v>
      </c>
    </row>
    <row r="262" spans="1:2">
      <c r="A262" s="450"/>
      <c r="B262" s="373"/>
    </row>
    <row r="263" spans="1:2">
      <c r="A263" s="448" t="s">
        <v>80</v>
      </c>
      <c r="B263" s="368"/>
    </row>
    <row r="264" spans="1:2" ht="29.65" customHeight="1">
      <c r="A264" s="449"/>
      <c r="B264" s="369" t="s">
        <v>206</v>
      </c>
    </row>
    <row r="265" spans="1:2">
      <c r="A265" s="450"/>
      <c r="B265" s="373"/>
    </row>
    <row r="266" spans="1:2">
      <c r="A266" s="451" t="s">
        <v>91</v>
      </c>
      <c r="B266" s="381" t="s">
        <v>207</v>
      </c>
    </row>
    <row r="267" spans="1:2" ht="45">
      <c r="A267" s="452"/>
      <c r="B267" s="381" t="s">
        <v>208</v>
      </c>
    </row>
    <row r="268" spans="1:2" ht="30">
      <c r="A268" s="452"/>
      <c r="B268" s="381" t="s">
        <v>209</v>
      </c>
    </row>
    <row r="269" spans="1:2" ht="30">
      <c r="A269" s="453"/>
      <c r="B269" s="382" t="s">
        <v>210</v>
      </c>
    </row>
    <row r="270" spans="1:2">
      <c r="A270" s="451" t="s">
        <v>99</v>
      </c>
      <c r="B270" s="368"/>
    </row>
    <row r="271" spans="1:2" ht="45">
      <c r="A271" s="452"/>
      <c r="B271" s="369" t="s">
        <v>211</v>
      </c>
    </row>
    <row r="272" spans="1:2">
      <c r="A272" s="452"/>
      <c r="B272" s="369"/>
    </row>
    <row r="273" spans="1:2" ht="45">
      <c r="A273" s="452"/>
      <c r="B273" s="369" t="s">
        <v>212</v>
      </c>
    </row>
    <row r="274" spans="1:2">
      <c r="A274" s="452"/>
      <c r="B274" s="369"/>
    </row>
    <row r="275" spans="1:2" ht="45">
      <c r="A275" s="452"/>
      <c r="B275" s="369" t="s">
        <v>164</v>
      </c>
    </row>
    <row r="276" spans="1:2">
      <c r="A276" s="453"/>
      <c r="B276" s="373"/>
    </row>
    <row r="277" spans="1:2">
      <c r="A277" s="448" t="s">
        <v>165</v>
      </c>
      <c r="B277" s="369" t="s">
        <v>213</v>
      </c>
    </row>
    <row r="278" spans="1:2">
      <c r="A278" s="449"/>
      <c r="B278" s="369" t="s">
        <v>214</v>
      </c>
    </row>
    <row r="279" spans="1:2" ht="42" customHeight="1">
      <c r="A279" s="449"/>
      <c r="B279" s="385" t="s">
        <v>215</v>
      </c>
    </row>
    <row r="280" spans="1:2" ht="15.6" customHeight="1">
      <c r="A280" s="449"/>
      <c r="B280" s="362" t="s">
        <v>186</v>
      </c>
    </row>
    <row r="281" spans="1:2" ht="34.5" customHeight="1">
      <c r="A281" s="449"/>
      <c r="B281" s="372" t="s">
        <v>216</v>
      </c>
    </row>
    <row r="282" spans="1:2" ht="30">
      <c r="A282" s="448" t="s">
        <v>217</v>
      </c>
      <c r="B282" s="369" t="s">
        <v>218</v>
      </c>
    </row>
    <row r="283" spans="1:2" ht="30">
      <c r="A283" s="449"/>
      <c r="B283" s="372" t="s">
        <v>219</v>
      </c>
    </row>
    <row r="284" spans="1:2">
      <c r="A284" s="448" t="s">
        <v>220</v>
      </c>
      <c r="B284" s="368"/>
    </row>
    <row r="285" spans="1:2">
      <c r="A285" s="449"/>
      <c r="B285" s="369" t="s">
        <v>172</v>
      </c>
    </row>
    <row r="286" spans="1:2">
      <c r="A286" s="450"/>
      <c r="B286" s="373"/>
    </row>
    <row r="287" spans="1:2">
      <c r="A287" s="448" t="s">
        <v>115</v>
      </c>
      <c r="B287" s="368"/>
    </row>
    <row r="288" spans="1:2">
      <c r="A288" s="449"/>
      <c r="B288" s="369" t="s">
        <v>221</v>
      </c>
    </row>
    <row r="289" spans="1:2">
      <c r="A289" s="450"/>
      <c r="B289" s="373"/>
    </row>
    <row r="290" spans="1:2">
      <c r="A290" s="448" t="s">
        <v>117</v>
      </c>
      <c r="B290" s="368"/>
    </row>
    <row r="291" spans="1:2">
      <c r="A291" s="449"/>
      <c r="B291" s="369" t="s">
        <v>222</v>
      </c>
    </row>
    <row r="292" spans="1:2" ht="30">
      <c r="A292" s="449"/>
      <c r="B292" s="369" t="s">
        <v>223</v>
      </c>
    </row>
    <row r="293" spans="1:2" ht="31.5" customHeight="1">
      <c r="A293" s="449"/>
      <c r="B293" s="369" t="s">
        <v>224</v>
      </c>
    </row>
    <row r="294" spans="1:2">
      <c r="A294" s="450"/>
      <c r="B294" s="373"/>
    </row>
    <row r="295" spans="1:2">
      <c r="A295" s="448" t="s">
        <v>225</v>
      </c>
      <c r="B295" s="368"/>
    </row>
    <row r="296" spans="1:2" ht="30">
      <c r="A296" s="449"/>
      <c r="B296" s="369" t="s">
        <v>226</v>
      </c>
    </row>
    <row r="297" spans="1:2" ht="30">
      <c r="A297" s="449"/>
      <c r="B297" s="369" t="s">
        <v>227</v>
      </c>
    </row>
    <row r="298" spans="1:2" ht="28.5" customHeight="1">
      <c r="A298" s="449"/>
      <c r="B298" s="369" t="s">
        <v>181</v>
      </c>
    </row>
    <row r="299" spans="1:2" ht="28.9" customHeight="1">
      <c r="A299" s="449"/>
      <c r="B299" s="369" t="s">
        <v>228</v>
      </c>
    </row>
    <row r="300" spans="1:2">
      <c r="A300" s="449"/>
      <c r="B300" s="369" t="s">
        <v>182</v>
      </c>
    </row>
    <row r="301" spans="1:2" ht="30">
      <c r="A301" s="449"/>
      <c r="B301" s="369" t="s">
        <v>229</v>
      </c>
    </row>
    <row r="302" spans="1:2">
      <c r="A302" s="449"/>
      <c r="B302" s="369"/>
    </row>
    <row r="303" spans="1:2">
      <c r="A303" s="450"/>
      <c r="B303" s="373"/>
    </row>
    <row r="304" spans="1:2" ht="15.6" customHeight="1">
      <c r="A304" s="462" t="s">
        <v>230</v>
      </c>
      <c r="B304" s="368"/>
    </row>
    <row r="305" spans="1:2">
      <c r="A305" s="463"/>
      <c r="B305" s="362" t="s">
        <v>231</v>
      </c>
    </row>
    <row r="306" spans="1:2">
      <c r="A306" s="463"/>
      <c r="B306" s="369" t="s">
        <v>232</v>
      </c>
    </row>
    <row r="307" spans="1:2" ht="30">
      <c r="A307" s="463"/>
      <c r="B307" s="369" t="s">
        <v>233</v>
      </c>
    </row>
    <row r="308" spans="1:2">
      <c r="A308" s="464"/>
      <c r="B308" s="373"/>
    </row>
    <row r="309" spans="1:2">
      <c r="A309" s="448" t="s">
        <v>234</v>
      </c>
      <c r="B309" s="362" t="s">
        <v>235</v>
      </c>
    </row>
    <row r="310" spans="1:2" ht="45">
      <c r="A310" s="449"/>
      <c r="B310" s="369" t="s">
        <v>236</v>
      </c>
    </row>
    <row r="311" spans="1:2">
      <c r="A311" s="449"/>
      <c r="B311" s="369"/>
    </row>
    <row r="312" spans="1:2">
      <c r="A312" s="449"/>
      <c r="B312" s="362" t="s">
        <v>231</v>
      </c>
    </row>
    <row r="313" spans="1:2" ht="45">
      <c r="A313" s="449"/>
      <c r="B313" s="369" t="s">
        <v>237</v>
      </c>
    </row>
    <row r="314" spans="1:2">
      <c r="A314" s="450"/>
      <c r="B314" s="735" t="s">
        <v>238</v>
      </c>
    </row>
    <row r="315" spans="1:2" ht="15.6" customHeight="1">
      <c r="A315" s="451" t="s">
        <v>239</v>
      </c>
      <c r="B315" s="368"/>
    </row>
    <row r="316" spans="1:2" ht="15.6" customHeight="1">
      <c r="A316" s="452"/>
      <c r="B316" s="386" t="s">
        <v>240</v>
      </c>
    </row>
    <row r="317" spans="1:2" ht="15.6" customHeight="1">
      <c r="A317" s="452"/>
      <c r="B317" s="386" t="s">
        <v>241</v>
      </c>
    </row>
    <row r="318" spans="1:2" ht="30">
      <c r="A318" s="452"/>
      <c r="B318" s="387" t="s">
        <v>242</v>
      </c>
    </row>
    <row r="319" spans="1:2" ht="31.15" customHeight="1">
      <c r="A319" s="452"/>
      <c r="B319" s="388" t="s">
        <v>243</v>
      </c>
    </row>
    <row r="320" spans="1:2" ht="15.6" customHeight="1">
      <c r="A320" s="452"/>
      <c r="B320" s="389" t="s">
        <v>244</v>
      </c>
    </row>
    <row r="321" spans="1:2" ht="30">
      <c r="A321" s="452"/>
      <c r="B321" s="390" t="s">
        <v>245</v>
      </c>
    </row>
    <row r="322" spans="1:2" ht="30">
      <c r="A322" s="452"/>
      <c r="B322" s="391" t="s">
        <v>246</v>
      </c>
    </row>
    <row r="323" spans="1:2">
      <c r="A323" s="452"/>
      <c r="B323" s="369" t="s">
        <v>247</v>
      </c>
    </row>
    <row r="324" spans="1:2">
      <c r="A324" s="453"/>
      <c r="B324" s="371"/>
    </row>
    <row r="325" spans="1:2" ht="52.35" customHeight="1">
      <c r="A325" s="448" t="s">
        <v>248</v>
      </c>
      <c r="B325" s="733" t="s">
        <v>249</v>
      </c>
    </row>
    <row r="326" spans="1:2" ht="45">
      <c r="A326" s="449"/>
      <c r="B326" s="369" t="s">
        <v>250</v>
      </c>
    </row>
    <row r="327" spans="1:2" ht="45">
      <c r="A327" s="449"/>
      <c r="B327" s="369" t="s">
        <v>251</v>
      </c>
    </row>
    <row r="328" spans="1:2" ht="30" customHeight="1">
      <c r="A328" s="449"/>
      <c r="B328" s="369" t="s">
        <v>252</v>
      </c>
    </row>
    <row r="329" spans="1:2">
      <c r="A329" s="449"/>
      <c r="B329" s="733"/>
    </row>
    <row r="330" spans="1:2">
      <c r="A330" s="450"/>
      <c r="B330" s="371"/>
    </row>
    <row r="331" spans="1:2">
      <c r="A331" s="451" t="s">
        <v>253</v>
      </c>
      <c r="B331" s="733" t="s">
        <v>254</v>
      </c>
    </row>
    <row r="332" spans="1:2" ht="30">
      <c r="A332" s="452"/>
      <c r="B332" s="388" t="s">
        <v>255</v>
      </c>
    </row>
    <row r="333" spans="1:2">
      <c r="A333" s="452"/>
      <c r="B333" s="386" t="s">
        <v>256</v>
      </c>
    </row>
    <row r="334" spans="1:2">
      <c r="A334" s="452"/>
      <c r="B334" s="386" t="s">
        <v>257</v>
      </c>
    </row>
    <row r="335" spans="1:2" ht="30">
      <c r="A335" s="453"/>
      <c r="B335" s="392" t="s">
        <v>258</v>
      </c>
    </row>
    <row r="336" spans="1:2">
      <c r="A336" s="451" t="s">
        <v>141</v>
      </c>
      <c r="B336" s="376" t="s">
        <v>259</v>
      </c>
    </row>
    <row r="337" spans="1:2">
      <c r="A337" s="452"/>
      <c r="B337" s="386" t="s">
        <v>260</v>
      </c>
    </row>
    <row r="338" spans="1:2">
      <c r="A338" s="453"/>
      <c r="B338" s="393" t="s">
        <v>261</v>
      </c>
    </row>
    <row r="339" spans="1:2" ht="30">
      <c r="A339" s="361" t="s">
        <v>146</v>
      </c>
      <c r="B339" s="736" t="s">
        <v>262</v>
      </c>
    </row>
    <row r="340" spans="1:2">
      <c r="A340" s="451" t="s">
        <v>148</v>
      </c>
      <c r="B340" s="368"/>
    </row>
    <row r="341" spans="1:2">
      <c r="A341" s="452"/>
      <c r="B341" s="369" t="s">
        <v>263</v>
      </c>
    </row>
    <row r="342" spans="1:2">
      <c r="A342" s="452"/>
      <c r="B342" s="380" t="s">
        <v>264</v>
      </c>
    </row>
    <row r="343" spans="1:2">
      <c r="A343" s="452"/>
      <c r="B343" s="380" t="s">
        <v>151</v>
      </c>
    </row>
    <row r="344" spans="1:2">
      <c r="A344" s="452"/>
      <c r="B344" s="380" t="s">
        <v>152</v>
      </c>
    </row>
    <row r="345" spans="1:2" ht="34.15" customHeight="1">
      <c r="A345" s="452"/>
      <c r="B345" s="394" t="s">
        <v>265</v>
      </c>
    </row>
    <row r="346" spans="1:2">
      <c r="A346" s="452"/>
      <c r="B346" s="380" t="s">
        <v>266</v>
      </c>
    </row>
    <row r="347" spans="1:2" ht="30">
      <c r="A347" s="452"/>
      <c r="B347" s="394" t="s">
        <v>267</v>
      </c>
    </row>
    <row r="348" spans="1:2">
      <c r="A348" s="453"/>
      <c r="B348" s="371"/>
    </row>
    <row r="349" spans="1:2">
      <c r="A349" s="460"/>
      <c r="B349" s="461"/>
    </row>
    <row r="350" spans="1:2">
      <c r="A350" s="355"/>
      <c r="B350" s="355"/>
    </row>
    <row r="351" spans="1:2" ht="16.350000000000001" customHeight="1">
      <c r="A351" s="454" t="s">
        <v>268</v>
      </c>
      <c r="B351" s="455"/>
    </row>
    <row r="352" spans="1:2" ht="16.350000000000001" customHeight="1">
      <c r="A352" s="451" t="s">
        <v>204</v>
      </c>
      <c r="B352" s="395" t="s">
        <v>269</v>
      </c>
    </row>
    <row r="353" spans="1:55" ht="16.350000000000001" customHeight="1">
      <c r="A353" s="453"/>
      <c r="B353" s="382" t="s">
        <v>270</v>
      </c>
    </row>
    <row r="354" spans="1:55" s="354" customFormat="1" ht="15.6" customHeight="1">
      <c r="A354" s="451" t="s">
        <v>271</v>
      </c>
      <c r="C354" s="396"/>
      <c r="D354" s="397"/>
      <c r="E354" s="397"/>
      <c r="F354" s="397"/>
      <c r="G354" s="397"/>
      <c r="H354" s="397"/>
      <c r="I354" s="397"/>
      <c r="J354" s="397"/>
      <c r="K354" s="397"/>
      <c r="L354" s="397"/>
      <c r="M354" s="397"/>
      <c r="N354" s="397"/>
      <c r="O354" s="397"/>
      <c r="P354" s="397"/>
      <c r="Q354" s="397"/>
      <c r="R354" s="397"/>
      <c r="S354" s="397"/>
      <c r="T354" s="397"/>
      <c r="U354" s="397"/>
      <c r="V354" s="397"/>
      <c r="W354" s="397"/>
      <c r="X354" s="397"/>
      <c r="Y354" s="397"/>
      <c r="Z354" s="397"/>
      <c r="AA354" s="397"/>
      <c r="AB354" s="397"/>
      <c r="AC354" s="397"/>
      <c r="AD354" s="397"/>
      <c r="AE354" s="397"/>
      <c r="AF354" s="397"/>
      <c r="AG354" s="397"/>
      <c r="AH354" s="397"/>
      <c r="AI354" s="397"/>
      <c r="AJ354" s="397"/>
      <c r="AK354" s="397"/>
      <c r="AL354" s="397"/>
      <c r="AM354" s="397"/>
      <c r="AN354" s="397"/>
      <c r="AO354" s="397"/>
      <c r="AP354" s="397"/>
      <c r="AQ354" s="397"/>
      <c r="AR354" s="397"/>
      <c r="AS354" s="397"/>
      <c r="AT354" s="397"/>
      <c r="AU354" s="397"/>
      <c r="AV354" s="397"/>
      <c r="AW354" s="397"/>
      <c r="AX354" s="397"/>
      <c r="AY354" s="397"/>
      <c r="AZ354" s="397"/>
      <c r="BA354" s="397"/>
      <c r="BB354" s="397"/>
      <c r="BC354" s="397"/>
    </row>
    <row r="355" spans="1:55" ht="30">
      <c r="A355" s="452"/>
      <c r="B355" s="369" t="s">
        <v>272</v>
      </c>
    </row>
    <row r="356" spans="1:55">
      <c r="A356" s="453"/>
      <c r="B356" s="373"/>
    </row>
    <row r="357" spans="1:55">
      <c r="A357" s="448" t="s">
        <v>273</v>
      </c>
      <c r="B357" s="368"/>
    </row>
    <row r="358" spans="1:55">
      <c r="A358" s="449"/>
      <c r="B358" s="369" t="s">
        <v>274</v>
      </c>
    </row>
    <row r="359" spans="1:55" ht="30">
      <c r="A359" s="449"/>
      <c r="B359" s="369" t="s">
        <v>275</v>
      </c>
    </row>
    <row r="360" spans="1:55">
      <c r="A360" s="450"/>
      <c r="B360" s="373"/>
    </row>
    <row r="361" spans="1:55">
      <c r="A361" s="361" t="s">
        <v>112</v>
      </c>
      <c r="B361" s="398" t="s">
        <v>276</v>
      </c>
    </row>
    <row r="362" spans="1:55">
      <c r="A362" s="451" t="s">
        <v>115</v>
      </c>
      <c r="B362" s="368"/>
    </row>
    <row r="363" spans="1:55">
      <c r="A363" s="452"/>
      <c r="B363" s="369" t="s">
        <v>277</v>
      </c>
    </row>
    <row r="364" spans="1:55">
      <c r="A364" s="453"/>
      <c r="B364" s="373"/>
    </row>
    <row r="365" spans="1:55">
      <c r="A365" s="448" t="s">
        <v>278</v>
      </c>
      <c r="B365" s="368"/>
    </row>
    <row r="366" spans="1:55">
      <c r="A366" s="449"/>
      <c r="B366" s="369" t="s">
        <v>279</v>
      </c>
    </row>
    <row r="367" spans="1:55">
      <c r="A367" s="450"/>
      <c r="B367" s="373"/>
    </row>
    <row r="368" spans="1:55">
      <c r="A368" s="445" t="s">
        <v>148</v>
      </c>
      <c r="B368" s="368"/>
    </row>
    <row r="369" spans="1:2">
      <c r="A369" s="446"/>
      <c r="B369" s="374" t="s">
        <v>280</v>
      </c>
    </row>
    <row r="370" spans="1:2">
      <c r="A370" s="446"/>
      <c r="B370" s="399" t="s">
        <v>281</v>
      </c>
    </row>
    <row r="371" spans="1:2">
      <c r="A371" s="446"/>
      <c r="B371" s="399" t="s">
        <v>282</v>
      </c>
    </row>
    <row r="372" spans="1:2" ht="30">
      <c r="A372" s="446"/>
      <c r="B372" s="399" t="s">
        <v>283</v>
      </c>
    </row>
    <row r="373" spans="1:2">
      <c r="A373" s="447"/>
      <c r="B373" s="358"/>
    </row>
    <row r="374" spans="1:2">
      <c r="A374" s="355"/>
      <c r="B374" s="355"/>
    </row>
    <row r="375" spans="1:2" ht="15.6" customHeight="1">
      <c r="A375" s="454" t="s">
        <v>284</v>
      </c>
      <c r="B375" s="455"/>
    </row>
    <row r="376" spans="1:2" ht="16.350000000000001" customHeight="1">
      <c r="A376" s="456" t="s">
        <v>285</v>
      </c>
      <c r="B376" s="457"/>
    </row>
    <row r="377" spans="1:2">
      <c r="A377" s="448" t="s">
        <v>286</v>
      </c>
      <c r="B377" s="368"/>
    </row>
    <row r="378" spans="1:2" ht="30">
      <c r="A378" s="449"/>
      <c r="B378" s="733" t="s">
        <v>287</v>
      </c>
    </row>
    <row r="379" spans="1:2" ht="45">
      <c r="A379" s="449"/>
      <c r="B379" s="369" t="s">
        <v>288</v>
      </c>
    </row>
    <row r="380" spans="1:2">
      <c r="A380" s="450"/>
      <c r="B380" s="373"/>
    </row>
    <row r="381" spans="1:2">
      <c r="A381" s="448" t="s">
        <v>289</v>
      </c>
      <c r="B381" s="368"/>
    </row>
    <row r="382" spans="1:2">
      <c r="A382" s="449"/>
      <c r="B382" s="369" t="s">
        <v>290</v>
      </c>
    </row>
    <row r="383" spans="1:2">
      <c r="A383" s="450"/>
      <c r="B383" s="373"/>
    </row>
    <row r="384" spans="1:2">
      <c r="A384" s="456"/>
      <c r="B384" s="457"/>
    </row>
    <row r="385" spans="1:2">
      <c r="A385" s="451" t="s">
        <v>80</v>
      </c>
      <c r="B385" s="368"/>
    </row>
    <row r="386" spans="1:2" ht="30.6" customHeight="1">
      <c r="A386" s="452"/>
      <c r="B386" s="369" t="s">
        <v>291</v>
      </c>
    </row>
    <row r="387" spans="1:2">
      <c r="A387" s="453"/>
      <c r="B387" s="369"/>
    </row>
    <row r="388" spans="1:2">
      <c r="A388" s="451" t="s">
        <v>91</v>
      </c>
      <c r="B388" s="375" t="s">
        <v>292</v>
      </c>
    </row>
    <row r="389" spans="1:2" ht="45">
      <c r="A389" s="452"/>
      <c r="B389" s="381" t="s">
        <v>293</v>
      </c>
    </row>
    <row r="390" spans="1:2" ht="30">
      <c r="A390" s="452"/>
      <c r="B390" s="399" t="s">
        <v>294</v>
      </c>
    </row>
    <row r="391" spans="1:2" ht="50.1" customHeight="1">
      <c r="A391" s="453"/>
      <c r="B391" s="382" t="s">
        <v>295</v>
      </c>
    </row>
    <row r="392" spans="1:2">
      <c r="A392" s="451" t="s">
        <v>296</v>
      </c>
      <c r="B392" s="381"/>
    </row>
    <row r="393" spans="1:2" ht="30">
      <c r="A393" s="452"/>
      <c r="B393" s="381" t="s">
        <v>297</v>
      </c>
    </row>
    <row r="394" spans="1:2">
      <c r="A394" s="453"/>
      <c r="B394" s="382"/>
    </row>
    <row r="395" spans="1:2">
      <c r="A395" s="451" t="s">
        <v>298</v>
      </c>
      <c r="B395" s="368"/>
    </row>
    <row r="396" spans="1:2">
      <c r="A396" s="452"/>
      <c r="B396" s="369" t="s">
        <v>299</v>
      </c>
    </row>
    <row r="397" spans="1:2">
      <c r="A397" s="453"/>
      <c r="B397" s="373"/>
    </row>
    <row r="398" spans="1:2">
      <c r="A398" s="451" t="s">
        <v>300</v>
      </c>
      <c r="B398" s="370"/>
    </row>
    <row r="399" spans="1:2">
      <c r="A399" s="452"/>
      <c r="B399" s="370" t="s">
        <v>301</v>
      </c>
    </row>
    <row r="400" spans="1:2" ht="45">
      <c r="A400" s="452"/>
      <c r="B400" s="733" t="s">
        <v>302</v>
      </c>
    </row>
    <row r="401" spans="1:2">
      <c r="A401" s="452"/>
      <c r="B401" s="370"/>
    </row>
    <row r="402" spans="1:2">
      <c r="A402" s="452"/>
      <c r="B402" s="370" t="s">
        <v>303</v>
      </c>
    </row>
    <row r="403" spans="1:2" ht="30">
      <c r="A403" s="452"/>
      <c r="B403" s="733" t="s">
        <v>304</v>
      </c>
    </row>
    <row r="404" spans="1:2">
      <c r="A404" s="453"/>
      <c r="B404" s="373"/>
    </row>
    <row r="405" spans="1:2">
      <c r="A405" s="451" t="s">
        <v>131</v>
      </c>
      <c r="B405" s="368"/>
    </row>
    <row r="406" spans="1:2">
      <c r="A406" s="452"/>
      <c r="B406" s="733" t="s">
        <v>305</v>
      </c>
    </row>
    <row r="407" spans="1:2" ht="28.5" customHeight="1">
      <c r="A407" s="452"/>
      <c r="B407" s="733" t="s">
        <v>306</v>
      </c>
    </row>
    <row r="408" spans="1:2" ht="30">
      <c r="A408" s="452"/>
      <c r="B408" s="369" t="s">
        <v>307</v>
      </c>
    </row>
    <row r="409" spans="1:2">
      <c r="A409" s="453"/>
      <c r="B409" s="373"/>
    </row>
    <row r="410" spans="1:2">
      <c r="A410" s="458"/>
      <c r="B410" s="459"/>
    </row>
    <row r="411" spans="1:2">
      <c r="A411" s="448" t="s">
        <v>308</v>
      </c>
      <c r="B411" s="368"/>
    </row>
    <row r="412" spans="1:2">
      <c r="A412" s="449"/>
      <c r="B412" s="369" t="s">
        <v>309</v>
      </c>
    </row>
    <row r="413" spans="1:2">
      <c r="A413" s="449"/>
      <c r="B413" s="369"/>
    </row>
    <row r="414" spans="1:2" ht="30">
      <c r="A414" s="449"/>
      <c r="B414" s="369" t="s">
        <v>310</v>
      </c>
    </row>
    <row r="415" spans="1:2">
      <c r="A415" s="449"/>
      <c r="B415" s="369"/>
    </row>
    <row r="416" spans="1:2" ht="30">
      <c r="A416" s="449"/>
      <c r="B416" s="369" t="s">
        <v>311</v>
      </c>
    </row>
    <row r="417" spans="1:2">
      <c r="A417" s="449"/>
      <c r="B417" s="369"/>
    </row>
    <row r="418" spans="1:2">
      <c r="A418" s="449"/>
      <c r="B418" s="369" t="s">
        <v>312</v>
      </c>
    </row>
    <row r="419" spans="1:2">
      <c r="A419" s="449"/>
      <c r="B419" s="369"/>
    </row>
    <row r="420" spans="1:2">
      <c r="A420" s="449"/>
      <c r="B420" s="369" t="s">
        <v>313</v>
      </c>
    </row>
    <row r="421" spans="1:2">
      <c r="A421" s="450"/>
      <c r="B421" s="373"/>
    </row>
    <row r="422" spans="1:2" ht="15.6" customHeight="1">
      <c r="A422" s="451" t="s">
        <v>314</v>
      </c>
      <c r="B422" s="368"/>
    </row>
    <row r="423" spans="1:2">
      <c r="A423" s="452"/>
      <c r="B423" s="362" t="s">
        <v>186</v>
      </c>
    </row>
    <row r="424" spans="1:2" ht="30">
      <c r="A424" s="452"/>
      <c r="B424" s="369" t="s">
        <v>315</v>
      </c>
    </row>
    <row r="425" spans="1:2">
      <c r="A425" s="452"/>
      <c r="B425" s="369"/>
    </row>
    <row r="426" spans="1:2" ht="30">
      <c r="A426" s="452"/>
      <c r="B426" s="369" t="s">
        <v>316</v>
      </c>
    </row>
    <row r="427" spans="1:2">
      <c r="A427" s="452"/>
      <c r="B427" s="369" t="s">
        <v>317</v>
      </c>
    </row>
    <row r="428" spans="1:2">
      <c r="A428" s="452"/>
      <c r="B428" s="369" t="s">
        <v>318</v>
      </c>
    </row>
    <row r="429" spans="1:2">
      <c r="A429" s="452"/>
      <c r="B429" s="369" t="s">
        <v>319</v>
      </c>
    </row>
    <row r="430" spans="1:2">
      <c r="A430" s="452"/>
      <c r="B430" s="374" t="s">
        <v>320</v>
      </c>
    </row>
    <row r="431" spans="1:2">
      <c r="A431" s="453"/>
      <c r="B431" s="400"/>
    </row>
    <row r="432" spans="1:2">
      <c r="A432" s="448" t="s">
        <v>148</v>
      </c>
      <c r="B432" s="368"/>
    </row>
    <row r="433" spans="1:2">
      <c r="A433" s="449"/>
      <c r="B433" s="369" t="s">
        <v>321</v>
      </c>
    </row>
    <row r="434" spans="1:2">
      <c r="A434" s="450"/>
      <c r="B434" s="371"/>
    </row>
  </sheetData>
  <sheetProtection password="FB8C" sheet="1" objects="1" scenarios="1"/>
  <mergeCells count="126">
    <mergeCell ref="A6:B6"/>
    <mergeCell ref="A8:B8"/>
    <mergeCell ref="A9:B9"/>
    <mergeCell ref="A10:B10"/>
    <mergeCell ref="A11:B11"/>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30:B30"/>
    <mergeCell ref="A31:B31"/>
    <mergeCell ref="A33:B33"/>
    <mergeCell ref="A111:A116"/>
    <mergeCell ref="A117:A123"/>
    <mergeCell ref="A124:A128"/>
    <mergeCell ref="A98:A100"/>
    <mergeCell ref="A101:A103"/>
    <mergeCell ref="A104:A106"/>
    <mergeCell ref="A109:A110"/>
    <mergeCell ref="A108:B108"/>
    <mergeCell ref="A129:A130"/>
    <mergeCell ref="A58:B58"/>
    <mergeCell ref="A60:B60"/>
    <mergeCell ref="A63:B63"/>
    <mergeCell ref="A68:B68"/>
    <mergeCell ref="A85:B85"/>
    <mergeCell ref="A89:B89"/>
    <mergeCell ref="A35:A39"/>
    <mergeCell ref="A40:A43"/>
    <mergeCell ref="A44:A48"/>
    <mergeCell ref="A49:A53"/>
    <mergeCell ref="A54:A55"/>
    <mergeCell ref="A97:B97"/>
    <mergeCell ref="A79:A81"/>
    <mergeCell ref="A82:A84"/>
    <mergeCell ref="A86:A88"/>
    <mergeCell ref="A56:A57"/>
    <mergeCell ref="A61:A62"/>
    <mergeCell ref="A64:A67"/>
    <mergeCell ref="A69:A72"/>
    <mergeCell ref="A73:A75"/>
    <mergeCell ref="A76:A78"/>
    <mergeCell ref="A90:A92"/>
    <mergeCell ref="A93:A96"/>
    <mergeCell ref="A131:A133"/>
    <mergeCell ref="A134:A138"/>
    <mergeCell ref="A139:A145"/>
    <mergeCell ref="A146:A150"/>
    <mergeCell ref="A151:A153"/>
    <mergeCell ref="A155:A156"/>
    <mergeCell ref="A154:B154"/>
    <mergeCell ref="A157:A161"/>
    <mergeCell ref="A162:A163"/>
    <mergeCell ref="A164:A166"/>
    <mergeCell ref="A167:A169"/>
    <mergeCell ref="A170:A181"/>
    <mergeCell ref="A183:A184"/>
    <mergeCell ref="A182:B182"/>
    <mergeCell ref="A185:A190"/>
    <mergeCell ref="A191:A198"/>
    <mergeCell ref="A199:A203"/>
    <mergeCell ref="A204:A205"/>
    <mergeCell ref="A206:A208"/>
    <mergeCell ref="A209:A213"/>
    <mergeCell ref="A214:A220"/>
    <mergeCell ref="A221:A225"/>
    <mergeCell ref="A226:A230"/>
    <mergeCell ref="A231:A232"/>
    <mergeCell ref="A233:A237"/>
    <mergeCell ref="A238:A239"/>
    <mergeCell ref="A240:A242"/>
    <mergeCell ref="A243:A245"/>
    <mergeCell ref="A246:A257"/>
    <mergeCell ref="A260:A262"/>
    <mergeCell ref="A263:A265"/>
    <mergeCell ref="A266:A269"/>
    <mergeCell ref="A259:B259"/>
    <mergeCell ref="A270:A276"/>
    <mergeCell ref="A277:A281"/>
    <mergeCell ref="A282:A283"/>
    <mergeCell ref="A284:A286"/>
    <mergeCell ref="A287:A289"/>
    <mergeCell ref="A290:A294"/>
    <mergeCell ref="A295:A303"/>
    <mergeCell ref="A304:A308"/>
    <mergeCell ref="A309:A314"/>
    <mergeCell ref="A315:A324"/>
    <mergeCell ref="A325:A330"/>
    <mergeCell ref="A331:A335"/>
    <mergeCell ref="A336:A338"/>
    <mergeCell ref="A340:A348"/>
    <mergeCell ref="A352:A353"/>
    <mergeCell ref="A354:A356"/>
    <mergeCell ref="A357:A360"/>
    <mergeCell ref="A362:A364"/>
    <mergeCell ref="A351:B351"/>
    <mergeCell ref="A349:B349"/>
    <mergeCell ref="A365:A367"/>
    <mergeCell ref="A368:A373"/>
    <mergeCell ref="A377:A380"/>
    <mergeCell ref="A381:A383"/>
    <mergeCell ref="A385:A387"/>
    <mergeCell ref="A388:A391"/>
    <mergeCell ref="A375:B375"/>
    <mergeCell ref="A376:B376"/>
    <mergeCell ref="A384:B384"/>
    <mergeCell ref="A432:A434"/>
    <mergeCell ref="A392:A394"/>
    <mergeCell ref="A395:A397"/>
    <mergeCell ref="A398:A404"/>
    <mergeCell ref="A405:A409"/>
    <mergeCell ref="A411:A421"/>
    <mergeCell ref="A422:A431"/>
    <mergeCell ref="A410:B410"/>
  </mergeCells>
  <hyperlinks>
    <hyperlink ref="A33:B33" location="SectionATab" display="Descripción General -Sección A" xr:uid="{00000000-0004-0000-0000-000000000000}"/>
    <hyperlink ref="A108:B108" location="SectionBTab" display="Indicadores de Impacto – Sección B" xr:uid="{00000000-0004-0000-0000-000001000000}"/>
    <hyperlink ref="A182:B182" location="SectionCTab" display="Indicadores de Resultado- Sección C " xr:uid="{00000000-0004-0000-0000-000002000000}"/>
    <hyperlink ref="A259:B259" location="SectionDTab" display="Indicadores de cobertura - Sección D " xr:uid="{00000000-0004-0000-0000-000003000000}"/>
    <hyperlink ref="A351:B351" location="SectionETab" display="Desagregación (indicadores de impacto, resultado y cobertura) – Sección E" xr:uid="{00000000-0004-0000-0000-000004000000}"/>
    <hyperlink ref="A375:B375" location="SectionFTab" display="Medidas de seguimiento al plan de trabajo - Sección F " xr:uid="{00000000-0004-0000-0000-000005000000}"/>
    <hyperlink ref="A11:B11" r:id="rId1" display="3.       El MD incluye indicadores de impacto, resultado y cobertura, cada uno con metas asociados y un cronograma para la presentación de reportes. Cada indicador de cobertura está vinculado a un módulo específico establecido en la subvención del Fondo Mundial. La plantilla del MD proporciona una lista estandarizada de indicadores para seleccionar. Estos provienen de las guías de los socios técnicos para garantizar reportes consistentes y armonizados. Consulte el Manual del Marco Modular-Octubre 2019  para obtener una lista completa de los indicadores a reportar al Fondo Mundial." xr:uid="{00000000-0004-0000-0000-000006000000}"/>
    <hyperlink ref="A18:B18" r:id="rId2" display="8.      En la etapa de solicitud de financiamiento: los solicitantes deben solicitar al Equipo de País una plantilla de MD. En su solicitud, los solicitantes deben especificar el (los) componente (s) que se cubrirán en su (s) solicitud (es) de financiación. Para obtener detalles sobre las presentaciones conjuntas, consulte las Instrucciones de solicitud de financiación. Los Equipos de País del Fondo Mundial generarán y compartirán una plantilla de MD, específica para cada solicitante. Los solicitantes utilizarán una plantilla de MD para la solicitud de financiación para todos los Receptores Principales nominados." xr:uid="{00000000-0004-0000-0000-000007000000}"/>
  </hyperlinks>
  <pageMargins left="0.270378787878788" right="0.7" top="0.75" bottom="0.75" header="0.3" footer="0.3"/>
  <pageSetup paperSize="9" scale="48" fitToHeight="0" orientation="portrait" horizontalDpi="4294967293" r:id="rId3"/>
  <headerFooter>
    <oddFooter>&amp;CPage &amp;P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100"/>
  <sheetViews>
    <sheetView showGridLines="0" zoomScale="64" zoomScaleNormal="64" zoomScaleSheetLayoutView="100" workbookViewId="0">
      <pane ySplit="8" topLeftCell="A17" activePane="bottomLeft" state="frozen"/>
      <selection pane="bottomLeft" activeCell="I17" sqref="I17:I18"/>
    </sheetView>
  </sheetViews>
  <sheetFormatPr defaultColWidth="8.75" defaultRowHeight="15.75"/>
  <cols>
    <col min="1" max="1" width="19" customWidth="1"/>
    <col min="2" max="2" width="30.625" customWidth="1"/>
    <col min="3" max="3" width="30.625" hidden="1" customWidth="1"/>
    <col min="4" max="4" width="13.625" style="433" customWidth="1"/>
    <col min="5" max="5" width="11.125" customWidth="1"/>
    <col min="6" max="6" width="12.125" style="110" customWidth="1"/>
    <col min="7" max="7" width="36.75" customWidth="1"/>
    <col min="8" max="8" width="40.625" customWidth="1"/>
    <col min="9" max="9" width="30.625" customWidth="1"/>
    <col min="10" max="10" width="17.5" customWidth="1"/>
    <col min="11" max="11" width="13.5" customWidth="1"/>
    <col min="12" max="12" width="11.625" customWidth="1"/>
    <col min="13" max="13" width="13.125" customWidth="1"/>
    <col min="14" max="14" width="15.125" customWidth="1"/>
    <col min="15" max="15" width="13.5" customWidth="1"/>
    <col min="16" max="16" width="11.625" customWidth="1"/>
    <col min="17" max="17" width="12.125" customWidth="1"/>
    <col min="18" max="18" width="14.125" customWidth="1"/>
    <col min="19" max="19" width="13.5" customWidth="1"/>
    <col min="20" max="20" width="11.625" customWidth="1"/>
    <col min="21" max="21" width="13.375" customWidth="1"/>
    <col min="22" max="22" width="14.5" customWidth="1"/>
    <col min="23" max="23" width="13.5" hidden="1" customWidth="1"/>
    <col min="24" max="24" width="11.625" hidden="1" customWidth="1"/>
    <col min="25" max="25" width="11.125" hidden="1" customWidth="1"/>
    <col min="26" max="26" width="13.125" hidden="1" customWidth="1"/>
    <col min="27" max="27" width="57.375" customWidth="1"/>
    <col min="28" max="28" width="34.25" hidden="1" customWidth="1"/>
    <col min="29" max="29" width="30.625" hidden="1" customWidth="1"/>
    <col min="30" max="30" width="50.625" customWidth="1"/>
    <col min="31" max="31" width="16.125" hidden="1" customWidth="1"/>
    <col min="32" max="32" width="10.25" hidden="1" customWidth="1"/>
    <col min="33" max="33" width="16.625" hidden="1" customWidth="1"/>
    <col min="34" max="34" width="22.125" hidden="1" customWidth="1"/>
    <col min="35" max="35" width="11.25" hidden="1" customWidth="1"/>
    <col min="36" max="36" width="11.75" customWidth="1"/>
  </cols>
  <sheetData>
    <row r="1" spans="1:35">
      <c r="A1" s="522" t="str">
        <f ca="1">Translations!A59</f>
        <v>Marco de desempeño - Indicadores de Resultado - Sección C</v>
      </c>
      <c r="B1" s="523"/>
      <c r="C1" s="523"/>
      <c r="D1" s="523"/>
      <c r="E1" s="523"/>
      <c r="F1" s="523"/>
      <c r="G1" s="523"/>
      <c r="H1" s="524"/>
    </row>
    <row r="2" spans="1:35">
      <c r="A2" s="525"/>
      <c r="B2" s="526"/>
      <c r="C2" s="526"/>
      <c r="D2" s="526"/>
      <c r="E2" s="526"/>
      <c r="F2" s="526"/>
      <c r="G2" s="526"/>
      <c r="H2" s="527"/>
    </row>
    <row r="4" spans="1:35">
      <c r="G4" s="19" t="s">
        <v>3013</v>
      </c>
    </row>
    <row r="5" spans="1:35">
      <c r="A5" s="116" t="str">
        <f ca="1">Translations!A12</f>
        <v>Navegación de la página</v>
      </c>
      <c r="B5" s="117" t="str">
        <f ca="1">Translations!A48</f>
        <v>Instrucciones</v>
      </c>
    </row>
    <row r="6" spans="1:35">
      <c r="A6" s="144"/>
      <c r="B6" s="144"/>
      <c r="C6" s="144"/>
      <c r="K6" s="19">
        <v>2</v>
      </c>
      <c r="O6" s="19">
        <v>3</v>
      </c>
      <c r="S6" s="19">
        <v>4</v>
      </c>
      <c r="W6" s="19">
        <v>5</v>
      </c>
    </row>
    <row r="7" spans="1:35">
      <c r="A7" s="763"/>
      <c r="B7" s="763"/>
      <c r="C7" s="763"/>
      <c r="D7" s="763"/>
      <c r="E7" s="763"/>
      <c r="F7" s="763"/>
      <c r="G7" s="763"/>
      <c r="H7" s="763"/>
      <c r="I7" s="763"/>
      <c r="J7" s="763"/>
      <c r="K7" s="514">
        <f ca="1">IFERROR(IF(YEAR(INDEX('Overview - Section A'!$A$47:$A$54,MATCH(K6,'Overview - Section A'!$B$47:$B$54,0)))&lt;=YEAR('Overview - Section A'!$E$11),YEAR(INDEX('Overview - Section A'!$A$47:$A$54,MATCH($K$6,'Overview - Section A'!$B$47:$B$54,0))),""),"")</f>
        <v>2023</v>
      </c>
      <c r="L7" s="515"/>
      <c r="M7" s="515"/>
      <c r="N7" s="516"/>
      <c r="O7" s="514">
        <f ca="1">IFERROR(IF(K7+1&lt;=YEAR('Overview - Section A'!$E$11),K7+1,""),"")</f>
        <v>2024</v>
      </c>
      <c r="P7" s="515"/>
      <c r="Q7" s="515"/>
      <c r="R7" s="516"/>
      <c r="S7" s="514">
        <f ca="1">IFERROR(IF(O7+1&lt;=YEAR('Overview - Section A'!$E$11),O7+1,""),"")</f>
        <v>2025</v>
      </c>
      <c r="T7" s="515"/>
      <c r="U7" s="515"/>
      <c r="V7" s="516"/>
      <c r="W7" s="514" t="str">
        <f ca="1">IFERROR(IF(S7+1&lt;=YEAR('Overview - Section A'!$E$11),S7+1,""),"")</f>
        <v/>
      </c>
      <c r="X7" s="515"/>
      <c r="Y7" s="515"/>
      <c r="Z7" s="516"/>
      <c r="AA7" s="118"/>
      <c r="AB7" s="118"/>
      <c r="AC7" s="118"/>
      <c r="AD7" s="118"/>
    </row>
    <row r="8" spans="1:35" ht="60" customHeight="1">
      <c r="A8" s="119" t="str">
        <f ca="1">Translations!A77</f>
        <v>Número del indicador de resultado</v>
      </c>
      <c r="B8" s="119" t="str">
        <f ca="1">Translations!A38</f>
        <v xml:space="preserve">Indicador estándar </v>
      </c>
      <c r="C8" s="119" t="str">
        <f ca="1">Translations!A39</f>
        <v>Indicador personalizado</v>
      </c>
      <c r="D8" s="764" t="str">
        <f ca="1">Translations!A40</f>
        <v>Línea de base #N
Línea de base #D</v>
      </c>
      <c r="E8" s="119" t="str">
        <f ca="1">Translations!A41</f>
        <v>Línea de base %</v>
      </c>
      <c r="F8" s="119" t="str">
        <f ca="1">Translations!A42</f>
        <v>Línea de base año</v>
      </c>
      <c r="G8" s="119" t="str">
        <f ca="1">Translations!A43</f>
        <v>Línea de base año fuente</v>
      </c>
      <c r="H8" s="119" t="str">
        <f ca="1">Translations!A51</f>
        <v>Desagregación requerida</v>
      </c>
      <c r="I8" s="119" t="str">
        <f ca="1">Translations!A52</f>
        <v>Receptor principal responsible</v>
      </c>
      <c r="J8" s="119" t="str">
        <f ca="1">Translations!A53</f>
        <v>País</v>
      </c>
      <c r="K8" s="119" t="str">
        <f ca="1">Translations!$A$54&amp;CHAR(10)&amp;Translations!$A$55</f>
        <v>Meta N#
Meta D#</v>
      </c>
      <c r="L8" s="119" t="str">
        <f ca="1">Translations!$A$63</f>
        <v>Meta %</v>
      </c>
      <c r="M8" s="119" t="str">
        <f ca="1">Translations!$A$56</f>
        <v>Fecha de envío del reporte</v>
      </c>
      <c r="N8" s="119" t="str">
        <f ca="1">Translations!$A$57</f>
        <v>Marque si la meta es "TBD"</v>
      </c>
      <c r="O8" s="119" t="str">
        <f ca="1">Translations!$A$54&amp;CHAR(10)&amp;Translations!$A$55</f>
        <v>Meta N#
Meta D#</v>
      </c>
      <c r="P8" s="119" t="str">
        <f ca="1">Translations!$A$63</f>
        <v>Meta %</v>
      </c>
      <c r="Q8" s="119" t="str">
        <f ca="1">Translations!$A$56</f>
        <v>Fecha de envío del reporte</v>
      </c>
      <c r="R8" s="119" t="str">
        <f ca="1">Translations!$A$57</f>
        <v>Marque si la meta es "TBD"</v>
      </c>
      <c r="S8" s="119" t="str">
        <f ca="1">Translations!$A$54&amp;CHAR(10)&amp;Translations!$A$55</f>
        <v>Meta N#
Meta D#</v>
      </c>
      <c r="T8" s="119" t="str">
        <f ca="1">Translations!$A$63</f>
        <v>Meta %</v>
      </c>
      <c r="U8" s="119" t="str">
        <f ca="1">Translations!$A$56</f>
        <v>Fecha de envío del reporte</v>
      </c>
      <c r="V8" s="119" t="str">
        <f ca="1">Translations!$A$57</f>
        <v>Marque si la meta es "TBD"</v>
      </c>
      <c r="W8" s="119" t="str">
        <f ca="1">Translations!$A$54&amp;CHAR(10)&amp;Translations!$A$55</f>
        <v>Meta N#
Meta D#</v>
      </c>
      <c r="X8" s="119" t="str">
        <f ca="1">Translations!$A$63</f>
        <v>Meta %</v>
      </c>
      <c r="Y8" s="119" t="str">
        <f ca="1">Translations!$A$56</f>
        <v>Fecha de envío del reporte</v>
      </c>
      <c r="Z8" s="119" t="str">
        <f ca="1">Translations!$A$57</f>
        <v>Marque si la meta es "TBD"</v>
      </c>
      <c r="AA8" s="119" t="str">
        <f ca="1">Translations!$A$58</f>
        <v>Comentarios</v>
      </c>
      <c r="AB8" s="119" t="str">
        <f ca="1">Translations!A39&amp;" (EN)"</f>
        <v>Indicador personalizado (EN)</v>
      </c>
      <c r="AC8" s="119" t="str">
        <f ca="1">Translations!A43&amp;" (EN)"</f>
        <v>Línea de base año fuente (EN)</v>
      </c>
      <c r="AD8" s="119" t="str">
        <f ca="1">Translations!A58&amp;" (EN)"</f>
        <v>Comentarios (EN)</v>
      </c>
      <c r="AG8" t="s">
        <v>3020</v>
      </c>
      <c r="AH8" t="s">
        <v>3021</v>
      </c>
    </row>
    <row r="9" spans="1:35" ht="63.6" customHeight="1">
      <c r="A9" s="549">
        <v>1</v>
      </c>
      <c r="B9" s="529" t="s">
        <v>763</v>
      </c>
      <c r="C9" s="529"/>
      <c r="D9" s="434"/>
      <c r="E9" s="765">
        <v>0.754</v>
      </c>
      <c r="F9" s="547">
        <v>2021</v>
      </c>
      <c r="G9" s="742" t="s">
        <v>5442</v>
      </c>
      <c r="H9" s="766" t="str">
        <f>AE11</f>
        <v>Edad</v>
      </c>
      <c r="I9" s="767" t="s">
        <v>356</v>
      </c>
      <c r="J9" s="767" t="s">
        <v>2303</v>
      </c>
      <c r="K9" s="146"/>
      <c r="L9" s="533" t="str">
        <f ca="1">IF(OR(INDIRECT("'update Helper'!K"&amp;AG11)="",K9&lt;&gt;0,K10&lt;&gt;0),IF(IFERROR((K9/K10),"")="","",(K9/K10)),INDIRECT("'update Helper'!K"&amp;AG11)/100)</f>
        <v/>
      </c>
      <c r="M9" s="768"/>
      <c r="N9" s="543"/>
      <c r="O9" s="127"/>
      <c r="P9" s="535" t="str">
        <f ca="1">IF(OR(INDIRECT("'update Helper'!K"&amp;AG11+1)="",O9&lt;&gt;0,O10&lt;&gt;0),IF(IFERROR((O9/O10),"")="","",(O9/O10)),INDIRECT("'update Helper'!K"&amp;AG11+1)/100)</f>
        <v/>
      </c>
      <c r="Q9" s="768"/>
      <c r="R9" s="531"/>
      <c r="S9" s="127"/>
      <c r="T9" s="535">
        <v>0.8</v>
      </c>
      <c r="U9" s="768">
        <v>45961</v>
      </c>
      <c r="V9" s="531"/>
      <c r="W9" s="146"/>
      <c r="X9" s="533" t="str">
        <f ca="1">IF(OR(INDIRECT("'update Helper'!K"&amp;AG11+3)="",W9&lt;&gt;0,W10&lt;&gt;0),IF(IFERROR((W9/W10),"")="","",(W9/W10)),INDIRECT("'update Helper'!K"&amp;AG11+3)/100)</f>
        <v/>
      </c>
      <c r="Y9" s="769"/>
      <c r="Z9" s="531"/>
      <c r="AA9" s="529" t="s">
        <v>5443</v>
      </c>
      <c r="AB9" s="529"/>
      <c r="AC9" s="528" t="s">
        <v>5444</v>
      </c>
      <c r="AD9" s="529" t="s">
        <v>5445</v>
      </c>
      <c r="AE9" t="str">
        <f t="array" ref="AE9">IFERROR(IF(INDEX('Reference Records'!$D$25:$D$76,MATCH(LEFT(#REF!,255),LEFT('Reference Records'!$C$25:$C$76,255),0))=0,"",INDEX('Reference Records'!$D$25:$D$76,MATCH(LEFT(#REF!,255),LEFT('Reference Records'!$C$25:$C$76,255),0))),"")</f>
        <v/>
      </c>
      <c r="AF9" t="e">
        <f>#REF!&amp;#REF!</f>
        <v>#REF!</v>
      </c>
      <c r="AG9" s="147">
        <f>ROW(Outcome_indicators_Targets__section_C)+3</f>
        <v>268</v>
      </c>
      <c r="AH9">
        <f>ROW(Outcome_indicators__section_C)+3</f>
        <v>228</v>
      </c>
      <c r="AI9" t="str">
        <f ca="1">IF(INDIRECT("'update Helper'!U"&amp;AH9)=0,"",IFERROR(VLOOKUP(INDIRECT("'update Helper'!O"&amp;AH9),'Account Role'!A$1:B$14,2,0),IFERROR(VLOOKUP(INDIRECT("'update Helper'!U"&amp;AH9),'Overview - Section A'!J$26:P$91,7,0),"")))</f>
        <v/>
      </c>
    </row>
    <row r="10" spans="1:35" ht="63.6" customHeight="1">
      <c r="A10" s="550"/>
      <c r="B10" s="530"/>
      <c r="C10" s="530"/>
      <c r="D10" s="434"/>
      <c r="E10" s="749"/>
      <c r="F10" s="770"/>
      <c r="G10" s="750"/>
      <c r="H10" s="771"/>
      <c r="I10" s="772"/>
      <c r="J10" s="772"/>
      <c r="K10" s="145"/>
      <c r="L10" s="534"/>
      <c r="M10" s="773"/>
      <c r="N10" s="544"/>
      <c r="O10" s="430"/>
      <c r="P10" s="536"/>
      <c r="Q10" s="773"/>
      <c r="R10" s="532"/>
      <c r="S10" s="430"/>
      <c r="T10" s="536"/>
      <c r="U10" s="773"/>
      <c r="V10" s="532"/>
      <c r="W10" s="145"/>
      <c r="X10" s="534"/>
      <c r="Y10" s="774"/>
      <c r="Z10" s="532"/>
      <c r="AA10" s="530"/>
      <c r="AB10" s="530"/>
      <c r="AC10" s="530"/>
      <c r="AD10" s="530"/>
      <c r="AG10" s="147"/>
    </row>
    <row r="11" spans="1:35" ht="56.45" customHeight="1">
      <c r="A11" s="549">
        <v>2</v>
      </c>
      <c r="B11" s="529" t="s">
        <v>769</v>
      </c>
      <c r="C11" s="529"/>
      <c r="D11" s="434"/>
      <c r="E11" s="765">
        <v>0.873</v>
      </c>
      <c r="F11" s="547">
        <v>2021</v>
      </c>
      <c r="G11" s="742" t="s">
        <v>5442</v>
      </c>
      <c r="H11" s="766" t="str">
        <f>AE13</f>
        <v>Edad</v>
      </c>
      <c r="I11" s="767" t="s">
        <v>356</v>
      </c>
      <c r="J11" s="767" t="s">
        <v>2303</v>
      </c>
      <c r="K11" s="146"/>
      <c r="L11" s="533" t="str">
        <f ca="1">IF(OR(INDIRECT("'update Helper'!K"&amp;AG13)="",K11&lt;&gt;0,K12&lt;&gt;0),IF(IFERROR((K11/K12),"")="","",(K11/K12)),INDIRECT("'update Helper'!K"&amp;AG13)/100)</f>
        <v/>
      </c>
      <c r="M11" s="768"/>
      <c r="N11" s="543"/>
      <c r="O11" s="127"/>
      <c r="P11" s="535" t="str">
        <f ca="1">IF(OR(INDIRECT("'update Helper'!K"&amp;AG13+1)="",O11&lt;&gt;0,O12&lt;&gt;0),IF(IFERROR((O11/O12),"")="","",(O11/O12)),INDIRECT("'update Helper'!K"&amp;AG13+1)/100)</f>
        <v/>
      </c>
      <c r="Q11" s="768"/>
      <c r="R11" s="531"/>
      <c r="S11" s="127"/>
      <c r="T11" s="775">
        <v>0.98</v>
      </c>
      <c r="U11" s="768">
        <v>45961</v>
      </c>
      <c r="V11" s="531"/>
      <c r="W11" s="146"/>
      <c r="X11" s="533" t="str">
        <f ca="1">IF(OR(INDIRECT("'update Helper'!K"&amp;AG13+3)="",W11&lt;&gt;0,W12&lt;&gt;0),IF(IFERROR((W11/W12),"")="","",(W11/W12)),INDIRECT("'update Helper'!K"&amp;AG13+3)/100)</f>
        <v/>
      </c>
      <c r="Y11" s="769"/>
      <c r="Z11" s="531"/>
      <c r="AA11" s="529" t="s">
        <v>5446</v>
      </c>
      <c r="AB11" s="529"/>
      <c r="AC11" s="528" t="s">
        <v>5447</v>
      </c>
      <c r="AD11" s="529" t="s">
        <v>5448</v>
      </c>
      <c r="AE11" t="str">
        <f t="array" ref="AE11">IFERROR(IF(INDEX('Reference Records'!$D$25:$D$76,MATCH(LEFT(B9,255),LEFT('Reference Records'!$C$25:$C$76,255),0))=0,"",INDEX('Reference Records'!$D$25:$D$76,MATCH(LEFT(B9,255),LEFT('Reference Records'!$C$25:$C$76,255),0))),"")</f>
        <v>Edad</v>
      </c>
      <c r="AF11" t="str">
        <f>B9&amp;C9</f>
        <v>HIV O-4a⁽ᴹ⁾ Porcentaje de hombres que afirman haber utilizado preservativo en su última relación de sexo anal con una pareja masculina no regular</v>
      </c>
      <c r="AG11" s="147">
        <f>AG9+'update Helper'!$V$2</f>
        <v>274</v>
      </c>
      <c r="AH11">
        <f>AH9+1</f>
        <v>229</v>
      </c>
      <c r="AI11" t="str">
        <f ca="1">IF(INDIRECT("'update Helper'!U"&amp;AH11)=0,"",IFERROR(VLOOKUP(INDIRECT("'update Helper'!O"&amp;AH11),'Account Role'!A$1:B$14,2,0),IFERROR(VLOOKUP(INDIRECT("'update Helper'!U"&amp;AH11),'Overview - Section A'!J$26:P$91,7,0),"")))</f>
        <v/>
      </c>
    </row>
    <row r="12" spans="1:35" ht="56.45" customHeight="1">
      <c r="A12" s="550"/>
      <c r="B12" s="530"/>
      <c r="C12" s="530"/>
      <c r="D12" s="434"/>
      <c r="E12" s="749"/>
      <c r="F12" s="770"/>
      <c r="G12" s="750"/>
      <c r="H12" s="771"/>
      <c r="I12" s="772"/>
      <c r="J12" s="772"/>
      <c r="K12" s="145"/>
      <c r="L12" s="534"/>
      <c r="M12" s="773"/>
      <c r="N12" s="544"/>
      <c r="O12" s="430"/>
      <c r="P12" s="536"/>
      <c r="Q12" s="773"/>
      <c r="R12" s="532"/>
      <c r="S12" s="430"/>
      <c r="T12" s="776"/>
      <c r="U12" s="773"/>
      <c r="V12" s="532"/>
      <c r="W12" s="145"/>
      <c r="X12" s="534"/>
      <c r="Y12" s="774"/>
      <c r="Z12" s="532"/>
      <c r="AA12" s="530"/>
      <c r="AB12" s="530"/>
      <c r="AC12" s="530"/>
      <c r="AD12" s="530"/>
      <c r="AG12" s="147"/>
    </row>
    <row r="13" spans="1:35" ht="58.9" customHeight="1">
      <c r="A13" s="549">
        <v>3</v>
      </c>
      <c r="B13" s="777" t="s">
        <v>775</v>
      </c>
      <c r="C13" s="777"/>
      <c r="D13" s="435">
        <v>1904</v>
      </c>
      <c r="E13" s="778">
        <f ca="1">IF(OR(INDIRECT("'update Helper'!D"&amp;AH15)="",D13&lt;&gt;0,D14&lt;&gt;0),IF(IFERROR((D13/D14),"")="","",(D13/D14)),INDIRECT("'update Helper'!D"&amp;AH15)/100)</f>
        <v>0.97942386831275718</v>
      </c>
      <c r="F13" s="548">
        <v>2010</v>
      </c>
      <c r="G13" s="552" t="s">
        <v>5449</v>
      </c>
      <c r="H13" s="766" t="str">
        <f>AE15</f>
        <v>Género,Edad</v>
      </c>
      <c r="I13" s="767" t="s">
        <v>356</v>
      </c>
      <c r="J13" s="767" t="s">
        <v>2303</v>
      </c>
      <c r="K13" s="146"/>
      <c r="L13" s="533" t="str">
        <f ca="1">IF(OR(INDIRECT("'update Helper'!K"&amp;AG15)="",K13&lt;&gt;0,K14&lt;&gt;0),IF(IFERROR((K13/K14),"")="","",(K13/K14)),INDIRECT("'update Helper'!K"&amp;AG15)/100)</f>
        <v/>
      </c>
      <c r="M13" s="768"/>
      <c r="N13" s="543"/>
      <c r="O13" s="127"/>
      <c r="P13" s="535" t="str">
        <f ca="1">IF(OR(INDIRECT("'update Helper'!K"&amp;AG15+1)="",O13&lt;&gt;0,O14&lt;&gt;0),IF(IFERROR((O13/O14),"")="","",(O13/O14)),INDIRECT("'update Helper'!K"&amp;AG15+1)/100)</f>
        <v/>
      </c>
      <c r="Q13" s="768"/>
      <c r="R13" s="531"/>
      <c r="S13" s="127"/>
      <c r="T13" s="535">
        <v>0.98</v>
      </c>
      <c r="U13" s="768">
        <v>45961</v>
      </c>
      <c r="V13" s="531"/>
      <c r="W13" s="146"/>
      <c r="X13" s="533" t="str">
        <f ca="1">IF(OR(INDIRECT("'update Helper'!K"&amp;AG15+3)="",W13&lt;&gt;0,W14&lt;&gt;0),IF(IFERROR((W13/W14),"")="","",(W13/W14)),INDIRECT("'update Helper'!K"&amp;AG15+3)/100)</f>
        <v/>
      </c>
      <c r="Y13" s="769"/>
      <c r="Z13" s="531"/>
      <c r="AA13" s="529" t="s">
        <v>5450</v>
      </c>
      <c r="AB13" s="529"/>
      <c r="AC13" s="528" t="s">
        <v>5451</v>
      </c>
      <c r="AD13" s="529" t="s">
        <v>5452</v>
      </c>
      <c r="AE13" t="str">
        <f t="array" ref="AE13">IFERROR(IF(INDEX('Reference Records'!$D$25:$D$76,MATCH(LEFT(B11,255),LEFT('Reference Records'!$C$25:$C$76,255),0))=0,"",INDEX('Reference Records'!$D$25:$D$76,MATCH(LEFT(B11,255),LEFT('Reference Records'!$C$25:$C$76,255),0))),"")</f>
        <v>Edad</v>
      </c>
      <c r="AF13" t="str">
        <f>B11&amp;C11</f>
        <v>HIV O-4.1b⁽ᴹ⁾ Porcentaje de personas transgénero que afirman haber utilizado preservativo en su último encuentro sexual o relación de sexo anal con una pareja masculina no regular</v>
      </c>
      <c r="AG13" s="147">
        <f>AG11+'update Helper'!$V$2</f>
        <v>280</v>
      </c>
      <c r="AH13">
        <f>AH11+1</f>
        <v>230</v>
      </c>
      <c r="AI13" t="str">
        <f ca="1">IF(INDIRECT("'update Helper'!U"&amp;AH13)=0,"",IFERROR(VLOOKUP(INDIRECT("'update Helper'!O"&amp;AH13),'Account Role'!A$1:B$14,2,0),IFERROR(VLOOKUP(INDIRECT("'update Helper'!U"&amp;AH13),'Overview - Section A'!J$26:P$91,7,0),"")))</f>
        <v/>
      </c>
    </row>
    <row r="14" spans="1:35" ht="58.9" customHeight="1">
      <c r="A14" s="550"/>
      <c r="B14" s="779"/>
      <c r="C14" s="779"/>
      <c r="D14" s="435">
        <v>1944</v>
      </c>
      <c r="E14" s="780"/>
      <c r="F14" s="781"/>
      <c r="G14" s="772"/>
      <c r="H14" s="771"/>
      <c r="I14" s="772"/>
      <c r="J14" s="772"/>
      <c r="K14" s="145"/>
      <c r="L14" s="534"/>
      <c r="M14" s="773"/>
      <c r="N14" s="544"/>
      <c r="O14" s="430"/>
      <c r="P14" s="536"/>
      <c r="Q14" s="773"/>
      <c r="R14" s="532"/>
      <c r="S14" s="430"/>
      <c r="T14" s="536"/>
      <c r="U14" s="773"/>
      <c r="V14" s="532"/>
      <c r="W14" s="145"/>
      <c r="X14" s="534"/>
      <c r="Y14" s="774"/>
      <c r="Z14" s="532"/>
      <c r="AA14" s="530"/>
      <c r="AB14" s="530"/>
      <c r="AC14" s="530"/>
      <c r="AD14" s="530"/>
      <c r="AG14" s="147"/>
    </row>
    <row r="15" spans="1:35" ht="30" customHeight="1">
      <c r="A15" s="549">
        <v>4</v>
      </c>
      <c r="B15" s="777" t="s">
        <v>808</v>
      </c>
      <c r="C15" s="777"/>
      <c r="D15" s="436">
        <v>9378</v>
      </c>
      <c r="E15" s="778">
        <f ca="1">IF(OR(INDIRECT("'update Helper'!D"&amp;AH17)="",D15&lt;&gt;0,D16&lt;&gt;0),IF(IFERROR((D15/D16),"")="","",(D15/D16)),INDIRECT("'update Helper'!D"&amp;AH17)/100)</f>
        <v>0.89119072507839969</v>
      </c>
      <c r="F15" s="548">
        <v>2021</v>
      </c>
      <c r="G15" s="552" t="s">
        <v>5453</v>
      </c>
      <c r="H15" s="766" t="str">
        <f>AE17</f>
        <v>Género</v>
      </c>
      <c r="I15" s="767" t="s">
        <v>356</v>
      </c>
      <c r="J15" s="767" t="s">
        <v>2303</v>
      </c>
      <c r="K15" s="429">
        <v>11714</v>
      </c>
      <c r="L15" s="535">
        <f ca="1">IF(OR(INDIRECT("'update Helper'!K"&amp;AG17)="",K15&lt;&gt;0,K16&lt;&gt;0),IF(IFERROR((K15/K16),"")="","",(K15/K16)),INDIRECT("'update Helper'!K"&amp;AG17)/100)</f>
        <v>0.91003729024238655</v>
      </c>
      <c r="M15" s="768">
        <v>45350</v>
      </c>
      <c r="N15" s="543"/>
      <c r="O15" s="422">
        <v>12926</v>
      </c>
      <c r="P15" s="535">
        <f ca="1">IF(OR(INDIRECT("'update Helper'!K"&amp;AG17+1)="",O15&lt;&gt;0,O16&lt;&gt;0),IF(IFERROR((O15/O16),"")="","",(O15/O16)),INDIRECT("'update Helper'!K"&amp;AG17+1)/100)</f>
        <v>0.92</v>
      </c>
      <c r="Q15" s="768">
        <v>45716</v>
      </c>
      <c r="R15" s="531"/>
      <c r="S15" s="422">
        <v>14194</v>
      </c>
      <c r="T15" s="535">
        <f ca="1">IF(OR(INDIRECT("'update Helper'!K"&amp;AG17+2)="",S15&lt;&gt;0,S16&lt;&gt;0),IF(IFERROR((S15/S16),"")="","",(S15/S16)),INDIRECT("'update Helper'!K"&amp;AG17+2)/100)</f>
        <v>0.92996134442770095</v>
      </c>
      <c r="U15" s="768">
        <v>46081</v>
      </c>
      <c r="V15" s="531"/>
      <c r="W15" s="146"/>
      <c r="X15" s="533" t="str">
        <f ca="1">IF(OR(INDIRECT("'update Helper'!K"&amp;AG17+3)="",W15&lt;&gt;0,W16&lt;&gt;0),IF(IFERROR((W15/W16),"")="","",(W15/W16)),INDIRECT("'update Helper'!K"&amp;AG17+3)/100)</f>
        <v/>
      </c>
      <c r="Y15" s="769"/>
      <c r="Z15" s="531"/>
      <c r="AA15" s="529" t="s">
        <v>5454</v>
      </c>
      <c r="AB15" s="529"/>
      <c r="AC15" s="528" t="s">
        <v>5455</v>
      </c>
      <c r="AD15" s="529" t="s">
        <v>5456</v>
      </c>
      <c r="AE15" t="str">
        <f t="array" ref="AE15">IFERROR(IF(INDEX('Reference Records'!$D$25:$D$76,MATCH(LEFT(B13,255),LEFT('Reference Records'!$C$25:$C$76,255),0))=0,"",INDEX('Reference Records'!$D$25:$D$76,MATCH(LEFT(B13,255),LEFT('Reference Records'!$C$25:$C$76,255),0))),"")</f>
        <v>Género,Edad</v>
      </c>
      <c r="AF15" t="str">
        <f>B13&amp;C13</f>
        <v>HIV O-5⁽ᴹ⁾ Porcentaje de trabajadores sexuales que afirman haber utilizado preservativo con su último cliente</v>
      </c>
      <c r="AG15" s="147">
        <f>AG13+'update Helper'!$V$2</f>
        <v>286</v>
      </c>
      <c r="AH15">
        <f>AH13+1</f>
        <v>231</v>
      </c>
      <c r="AI15" t="str">
        <f ca="1">IF(INDIRECT("'update Helper'!U"&amp;AH15)=0,"",IFERROR(VLOOKUP(INDIRECT("'update Helper'!O"&amp;AH15),'Account Role'!A$1:B$14,2,0),IFERROR(VLOOKUP(INDIRECT("'update Helper'!U"&amp;AH15),'Overview - Section A'!J$26:P$91,7,0),"")))</f>
        <v/>
      </c>
    </row>
    <row r="16" spans="1:35" ht="51" customHeight="1">
      <c r="A16" s="550"/>
      <c r="B16" s="779"/>
      <c r="C16" s="779"/>
      <c r="D16" s="436">
        <v>10523</v>
      </c>
      <c r="E16" s="780"/>
      <c r="F16" s="781"/>
      <c r="G16" s="772"/>
      <c r="H16" s="771"/>
      <c r="I16" s="772"/>
      <c r="J16" s="772"/>
      <c r="K16" s="429">
        <v>12872</v>
      </c>
      <c r="L16" s="536"/>
      <c r="M16" s="773"/>
      <c r="N16" s="544"/>
      <c r="O16" s="422">
        <v>14050</v>
      </c>
      <c r="P16" s="536"/>
      <c r="Q16" s="773"/>
      <c r="R16" s="532"/>
      <c r="S16" s="422">
        <v>15263</v>
      </c>
      <c r="T16" s="536"/>
      <c r="U16" s="773"/>
      <c r="V16" s="532"/>
      <c r="W16" s="145"/>
      <c r="X16" s="534"/>
      <c r="Y16" s="774"/>
      <c r="Z16" s="532"/>
      <c r="AA16" s="530"/>
      <c r="AB16" s="530"/>
      <c r="AC16" s="530"/>
      <c r="AD16" s="530"/>
      <c r="AG16" s="147"/>
    </row>
    <row r="17" spans="1:35" ht="30" customHeight="1">
      <c r="A17" s="549">
        <v>5</v>
      </c>
      <c r="B17" s="529" t="s">
        <v>910</v>
      </c>
      <c r="C17" s="529"/>
      <c r="D17" s="434">
        <v>61</v>
      </c>
      <c r="E17" s="743">
        <f ca="1">IF(OR(INDIRECT("'update Helper'!D"&amp;AH19)="",D17&lt;&gt;0,D18&lt;&gt;0),IF(IFERROR((D17/D18),"")="","",(D17/D18)),INDIRECT("'update Helper'!D"&amp;AH19)/100)</f>
        <v>0.70114942528735635</v>
      </c>
      <c r="F17" s="547">
        <v>2018</v>
      </c>
      <c r="G17" s="552" t="s">
        <v>3030</v>
      </c>
      <c r="H17" s="766" t="str">
        <f>AE19</f>
        <v/>
      </c>
      <c r="I17" s="767" t="s">
        <v>356</v>
      </c>
      <c r="J17" s="767" t="s">
        <v>2303</v>
      </c>
      <c r="K17" s="141">
        <v>77</v>
      </c>
      <c r="L17" s="545">
        <f ca="1">IF(OR(INDIRECT("'update Helper'!K"&amp;AG19)="",K17&lt;&gt;0,K18&lt;&gt;0),IF(IFERROR((K17/K18),"")="","",(K17/K18)),INDIRECT("'update Helper'!K"&amp;AG19)/100)</f>
        <v>0.85555555555555551</v>
      </c>
      <c r="M17" s="769">
        <v>45337</v>
      </c>
      <c r="N17" s="531"/>
      <c r="O17" s="141">
        <v>107</v>
      </c>
      <c r="P17" s="537">
        <f ca="1">IF(OR(INDIRECT("'update Helper'!K"&amp;AG19+1)="",O17&lt;&gt;0,O18&lt;&gt;0),IF(IFERROR((O17/O18),"")="","",(O17/O18)),INDIRECT("'update Helper'!K"&amp;AG19+1)/100)</f>
        <v>0.84920634920634919</v>
      </c>
      <c r="Q17" s="769">
        <v>45703</v>
      </c>
      <c r="R17" s="531"/>
      <c r="S17" s="141">
        <v>131</v>
      </c>
      <c r="T17" s="537">
        <f ca="1">IF(OR(INDIRECT("'update Helper'!K"&amp;AG19+2)="",S17&lt;&gt;0,S18&lt;&gt;0),IF(IFERROR((S17/S18),"")="","",(S17/S18)),INDIRECT("'update Helper'!K"&amp;AG19+2)/100)</f>
        <v>0.85064935064935066</v>
      </c>
      <c r="U17" s="769">
        <v>46068</v>
      </c>
      <c r="V17" s="531"/>
      <c r="W17" s="146"/>
      <c r="X17" s="533" t="str">
        <f ca="1">IF(OR(INDIRECT("'update Helper'!K"&amp;AG19+3)="",W17&lt;&gt;0,W18&lt;&gt;0),IF(IFERROR((W17/W18),"")="","",(W17/W18)),INDIRECT("'update Helper'!K"&amp;AG19+3)/100)</f>
        <v/>
      </c>
      <c r="Y17" s="769"/>
      <c r="Z17" s="531"/>
      <c r="AA17" s="529" t="s">
        <v>5457</v>
      </c>
      <c r="AB17" s="528"/>
      <c r="AC17" s="528" t="s">
        <v>3032</v>
      </c>
      <c r="AD17" s="529" t="s">
        <v>5458</v>
      </c>
      <c r="AE17" t="str">
        <f t="array" ref="AE17">IFERROR(IF(INDEX('Reference Records'!$D$25:$D$76,MATCH(LEFT(B15,255),LEFT('Reference Records'!$C$25:$C$76,255),0))=0,"",INDEX('Reference Records'!$D$25:$D$76,MATCH(LEFT(B15,255),LEFT('Reference Records'!$C$25:$C$76,255),0))),"")</f>
        <v>Género</v>
      </c>
      <c r="AF17" t="str">
        <f>B15&amp;C15</f>
        <v>HIV O-12 Porcentaje de personas que viven con VIH que reciben tratamiento antirretroviral y tienen carga viral suprimida</v>
      </c>
      <c r="AG17" s="147">
        <f>AG15+'update Helper'!$V$2</f>
        <v>292</v>
      </c>
      <c r="AH17">
        <f>AH15+1</f>
        <v>232</v>
      </c>
      <c r="AI17" t="str">
        <f ca="1">IF(INDIRECT("'update Helper'!U"&amp;AH17)=0,"",IFERROR(VLOOKUP(INDIRECT("'update Helper'!O"&amp;AH17),'Account Role'!A$1:B$14,2,0),IFERROR(VLOOKUP(INDIRECT("'update Helper'!U"&amp;AH17),'Overview - Section A'!J$26:P$91,7,0),"")))</f>
        <v/>
      </c>
    </row>
    <row r="18" spans="1:35" ht="375" customHeight="1">
      <c r="A18" s="550"/>
      <c r="B18" s="530"/>
      <c r="C18" s="530"/>
      <c r="D18" s="434">
        <v>87</v>
      </c>
      <c r="E18" s="751"/>
      <c r="F18" s="770"/>
      <c r="G18" s="772"/>
      <c r="H18" s="771"/>
      <c r="I18" s="772"/>
      <c r="J18" s="772"/>
      <c r="K18" s="141">
        <v>90</v>
      </c>
      <c r="L18" s="546"/>
      <c r="M18" s="774"/>
      <c r="N18" s="532"/>
      <c r="O18" s="141">
        <v>126</v>
      </c>
      <c r="P18" s="538"/>
      <c r="Q18" s="774"/>
      <c r="R18" s="532"/>
      <c r="S18" s="141">
        <v>154</v>
      </c>
      <c r="T18" s="538"/>
      <c r="U18" s="774"/>
      <c r="V18" s="532"/>
      <c r="W18" s="145"/>
      <c r="X18" s="534"/>
      <c r="Y18" s="774"/>
      <c r="Z18" s="532"/>
      <c r="AA18" s="530"/>
      <c r="AB18" s="530"/>
      <c r="AC18" s="530"/>
      <c r="AD18" s="530"/>
      <c r="AG18" s="147"/>
    </row>
    <row r="19" spans="1:35" ht="59.25" customHeight="1">
      <c r="A19" s="549">
        <v>6</v>
      </c>
      <c r="B19" s="529" t="s">
        <v>916</v>
      </c>
      <c r="C19" s="529"/>
      <c r="D19" s="434">
        <v>6016</v>
      </c>
      <c r="E19" s="743">
        <f ca="1">IF(OR(INDIRECT("'update Helper'!D"&amp;AH21)="",D19&lt;&gt;0,D20&lt;&gt;0),IF(IFERROR((D19/D20),"")="","",(D19/D20)),INDIRECT("'update Helper'!D"&amp;AH21)/100)</f>
        <v>0.5013333333333333</v>
      </c>
      <c r="F19" s="551">
        <v>2021</v>
      </c>
      <c r="G19" s="552" t="s">
        <v>3030</v>
      </c>
      <c r="H19" s="766" t="str">
        <f>AE21</f>
        <v/>
      </c>
      <c r="I19" s="767" t="s">
        <v>356</v>
      </c>
      <c r="J19" s="767" t="s">
        <v>2303</v>
      </c>
      <c r="K19" s="431">
        <v>7800</v>
      </c>
      <c r="L19" s="539">
        <f ca="1">IF(OR(INDIRECT("'update Helper'!K"&amp;AG21)="",K19&lt;&gt;0,K20&lt;&gt;0),IF(IFERROR((K19/K20),"")="","",(K19/K20)),INDIRECT("'update Helper'!K"&amp;AG21)/100)</f>
        <v>0.65</v>
      </c>
      <c r="M19" s="745">
        <v>45626</v>
      </c>
      <c r="N19" s="541"/>
      <c r="O19" s="431">
        <v>8400</v>
      </c>
      <c r="P19" s="539">
        <f ca="1">IF(OR(INDIRECT("'update Helper'!K"&amp;AG21+1)="",O19&lt;&gt;0,O20&lt;&gt;0),IF(IFERROR((O19/O20),"")="","",(O19/O20)),INDIRECT("'update Helper'!K"&amp;AG21+1)/100)</f>
        <v>0.7</v>
      </c>
      <c r="Q19" s="745">
        <v>45991</v>
      </c>
      <c r="R19" s="541"/>
      <c r="S19" s="431">
        <v>9000</v>
      </c>
      <c r="T19" s="539">
        <f ca="1">IF(OR(INDIRECT("'update Helper'!K"&amp;AG21+2)="",S19&lt;&gt;0,S20&lt;&gt;0),IF(IFERROR((S19/S20),"")="","",(S19/S20)),INDIRECT("'update Helper'!K"&amp;AG21+2)/100)</f>
        <v>0.75</v>
      </c>
      <c r="U19" s="745">
        <v>46356</v>
      </c>
      <c r="V19" s="531"/>
      <c r="W19" s="146"/>
      <c r="X19" s="533" t="str">
        <f ca="1">IF(OR(INDIRECT("'update Helper'!K"&amp;AG21+3)="",W19&lt;&gt;0,W20&lt;&gt;0),IF(IFERROR((W19/W20),"")="","",(W19/W20)),INDIRECT("'update Helper'!K"&amp;AG21+3)/100)</f>
        <v/>
      </c>
      <c r="Y19" s="769"/>
      <c r="Z19" s="531"/>
      <c r="AA19" s="529" t="s">
        <v>5459</v>
      </c>
      <c r="AB19" s="528"/>
      <c r="AC19" s="528" t="s">
        <v>5460</v>
      </c>
      <c r="AD19" s="529" t="s">
        <v>5461</v>
      </c>
      <c r="AE19" t="str">
        <f t="array" ref="AE19">IFERROR(IF(INDEX('Reference Records'!$D$25:$D$76,MATCH(LEFT(B17,255),LEFT('Reference Records'!$C$25:$C$76,255),0))=0,"",INDEX('Reference Records'!$D$25:$D$76,MATCH(LEFT(B17,255),LEFT('Reference Records'!$C$25:$C$76,255),0))),"")</f>
        <v/>
      </c>
      <c r="AF19" t="str">
        <f>B17&amp;C17</f>
        <v>TB O-4⁽ᴹ⁾ Tasa de éxito del tratamiento de los casos de tuberculosis resistente a la rifampicina y/o tuberculosis multirresistente: Porcentaje de casos de tuberculosis resistente a la rifampicina y/o tuberculosis multirresistente tratados con éxito.</v>
      </c>
      <c r="AG19" s="147">
        <f>AG17+'update Helper'!$V$2</f>
        <v>298</v>
      </c>
      <c r="AH19">
        <f>AH17+1</f>
        <v>233</v>
      </c>
      <c r="AI19" t="str">
        <f ca="1">IF(INDIRECT("'update Helper'!U"&amp;AH19)=0,"",IFERROR(VLOOKUP(INDIRECT("'update Helper'!O"&amp;AH19),'Account Role'!A$1:B$14,2,0),IFERROR(VLOOKUP(INDIRECT("'update Helper'!U"&amp;AH19),'Overview - Section A'!J$26:P$91,7,0),"")))</f>
        <v/>
      </c>
    </row>
    <row r="20" spans="1:35" ht="125.25" customHeight="1">
      <c r="A20" s="550"/>
      <c r="B20" s="530"/>
      <c r="C20" s="530"/>
      <c r="D20" s="434">
        <v>12000</v>
      </c>
      <c r="E20" s="751"/>
      <c r="F20" s="782"/>
      <c r="G20" s="772"/>
      <c r="H20" s="771"/>
      <c r="I20" s="772"/>
      <c r="J20" s="772"/>
      <c r="K20" s="431">
        <v>12000</v>
      </c>
      <c r="L20" s="540"/>
      <c r="M20" s="753"/>
      <c r="N20" s="542"/>
      <c r="O20" s="431">
        <v>12000</v>
      </c>
      <c r="P20" s="540"/>
      <c r="Q20" s="753"/>
      <c r="R20" s="542"/>
      <c r="S20" s="431">
        <v>12000</v>
      </c>
      <c r="T20" s="540"/>
      <c r="U20" s="753"/>
      <c r="V20" s="532"/>
      <c r="W20" s="145"/>
      <c r="X20" s="534"/>
      <c r="Y20" s="774"/>
      <c r="Z20" s="532"/>
      <c r="AA20" s="530"/>
      <c r="AB20" s="530"/>
      <c r="AC20" s="530"/>
      <c r="AD20" s="530"/>
      <c r="AG20" s="147"/>
    </row>
    <row r="21" spans="1:35" ht="30" customHeight="1">
      <c r="A21" s="549">
        <v>7</v>
      </c>
      <c r="B21" s="529"/>
      <c r="C21" s="529"/>
      <c r="D21" s="434"/>
      <c r="E21" s="743" t="str">
        <f ca="1">IF(OR(INDIRECT("'update Helper'!D"&amp;AH23)="",D21&lt;&gt;0,D22&lt;&gt;0),IF(IFERROR((D21/D22),"")="","",(D21/D22)),INDIRECT("'update Helper'!D"&amp;AH23)/100)</f>
        <v/>
      </c>
      <c r="F21" s="547"/>
      <c r="G21" s="528"/>
      <c r="H21" s="766" t="str">
        <f>AE23</f>
        <v/>
      </c>
      <c r="I21" s="767"/>
      <c r="J21" s="767"/>
      <c r="K21" s="146"/>
      <c r="L21" s="533" t="str">
        <f ca="1">IF(OR(INDIRECT("'update Helper'!K"&amp;AG23)="",K21&lt;&gt;0,K22&lt;&gt;0),IF(IFERROR((K21/K22),"")="","",(K21/K22)),INDIRECT("'update Helper'!K"&amp;AG23)/100)</f>
        <v/>
      </c>
      <c r="M21" s="769"/>
      <c r="N21" s="531"/>
      <c r="O21" s="146"/>
      <c r="P21" s="533" t="str">
        <f ca="1">IF(OR(INDIRECT("'update Helper'!K"&amp;AG23+1)="",O21&lt;&gt;0,O22&lt;&gt;0),IF(IFERROR((O21/O22),"")="","",(O21/O22)),INDIRECT("'update Helper'!K"&amp;AG23+1)/100)</f>
        <v/>
      </c>
      <c r="Q21" s="769"/>
      <c r="R21" s="531"/>
      <c r="S21" s="146"/>
      <c r="T21" s="533" t="str">
        <f ca="1">IF(OR(INDIRECT("'update Helper'!K"&amp;AG23+2)="",S21&lt;&gt;0,S22&lt;&gt;0),IF(IFERROR((S21/S22),"")="","",(S21/S22)),INDIRECT("'update Helper'!K"&amp;AG23+2)/100)</f>
        <v/>
      </c>
      <c r="U21" s="769"/>
      <c r="V21" s="531"/>
      <c r="W21" s="146"/>
      <c r="X21" s="533" t="str">
        <f ca="1">IF(OR(INDIRECT("'update Helper'!K"&amp;AG23+3)="",W21&lt;&gt;0,W22&lt;&gt;0),IF(IFERROR((W21/W22),"")="","",(W21/W22)),INDIRECT("'update Helper'!K"&amp;AG23+3)/100)</f>
        <v/>
      </c>
      <c r="Y21" s="769"/>
      <c r="Z21" s="531"/>
      <c r="AA21" s="529"/>
      <c r="AB21" s="529"/>
      <c r="AC21" s="528"/>
      <c r="AD21" s="529"/>
      <c r="AE21" t="str">
        <f t="array" ref="AE21">IFERROR(IF(INDEX('Reference Records'!$D$25:$D$76,MATCH(LEFT(B19,255),LEFT('Reference Records'!$C$25:$C$76,255),0))=0,"",INDEX('Reference Records'!$D$25:$D$76,MATCH(LEFT(B19,255),LEFT('Reference Records'!$C$25:$C$76,255),0))),"")</f>
        <v/>
      </c>
      <c r="AF21" t="str">
        <f>B19&amp;C19</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AG21" s="147">
        <f>AG19+'update Helper'!$V$2</f>
        <v>304</v>
      </c>
      <c r="AH21">
        <f>AH19+1</f>
        <v>234</v>
      </c>
      <c r="AI21" t="str">
        <f ca="1">IF(INDIRECT("'update Helper'!U"&amp;AH21)=0,"",IFERROR(VLOOKUP(INDIRECT("'update Helper'!O"&amp;AH21),'Account Role'!A$1:B$14,2,0),IFERROR(VLOOKUP(INDIRECT("'update Helper'!U"&amp;AH21),'Overview - Section A'!J$26:P$91,7,0),"")))</f>
        <v/>
      </c>
    </row>
    <row r="22" spans="1:35" ht="78" customHeight="1">
      <c r="A22" s="550"/>
      <c r="B22" s="530"/>
      <c r="C22" s="530"/>
      <c r="D22" s="434"/>
      <c r="E22" s="751"/>
      <c r="F22" s="770"/>
      <c r="G22" s="530"/>
      <c r="H22" s="771"/>
      <c r="I22" s="772"/>
      <c r="J22" s="772"/>
      <c r="K22" s="145"/>
      <c r="L22" s="534"/>
      <c r="M22" s="774"/>
      <c r="N22" s="532"/>
      <c r="O22" s="145"/>
      <c r="P22" s="534"/>
      <c r="Q22" s="774"/>
      <c r="R22" s="532"/>
      <c r="S22" s="145"/>
      <c r="T22" s="534"/>
      <c r="U22" s="774"/>
      <c r="V22" s="532"/>
      <c r="W22" s="145"/>
      <c r="X22" s="534"/>
      <c r="Y22" s="774"/>
      <c r="Z22" s="532"/>
      <c r="AA22" s="530"/>
      <c r="AB22" s="530"/>
      <c r="AC22" s="530"/>
      <c r="AD22" s="530"/>
      <c r="AG22" s="147"/>
    </row>
    <row r="23" spans="1:35" ht="30" customHeight="1">
      <c r="A23" s="549">
        <v>8</v>
      </c>
      <c r="B23" s="529"/>
      <c r="C23" s="529"/>
      <c r="D23" s="434"/>
      <c r="E23" s="743" t="str">
        <f ca="1">IF(OR(INDIRECT("'update Helper'!D"&amp;AH25)="",D23&lt;&gt;0,D24&lt;&gt;0),IF(IFERROR((D23/D24),"")="","",(D23/D24)),INDIRECT("'update Helper'!D"&amp;AH25)/100)</f>
        <v/>
      </c>
      <c r="F23" s="547"/>
      <c r="G23" s="528"/>
      <c r="H23" s="766" t="str">
        <f>AE25</f>
        <v/>
      </c>
      <c r="I23" s="767"/>
      <c r="J23" s="767"/>
      <c r="K23" s="146"/>
      <c r="L23" s="533" t="str">
        <f ca="1">IF(OR(INDIRECT("'update Helper'!K"&amp;AG25)="",K23&lt;&gt;0,K24&lt;&gt;0),IF(IFERROR((K23/K24),"")="","",(K23/K24)),INDIRECT("'update Helper'!K"&amp;AG25)/100)</f>
        <v/>
      </c>
      <c r="M23" s="769"/>
      <c r="N23" s="531"/>
      <c r="O23" s="146"/>
      <c r="P23" s="533" t="str">
        <f ca="1">IF(OR(INDIRECT("'update Helper'!K"&amp;AG25+1)="",O23&lt;&gt;0,O24&lt;&gt;0),IF(IFERROR((O23/O24),"")="","",(O23/O24)),INDIRECT("'update Helper'!K"&amp;AG25+1)/100)</f>
        <v/>
      </c>
      <c r="Q23" s="769"/>
      <c r="R23" s="531"/>
      <c r="S23" s="146"/>
      <c r="T23" s="533" t="str">
        <f ca="1">IF(OR(INDIRECT("'update Helper'!K"&amp;AG25+2)="",S23&lt;&gt;0,S24&lt;&gt;0),IF(IFERROR((S23/S24),"")="","",(S23/S24)),INDIRECT("'update Helper'!K"&amp;AG25+2)/100)</f>
        <v/>
      </c>
      <c r="U23" s="769"/>
      <c r="V23" s="531"/>
      <c r="W23" s="146"/>
      <c r="X23" s="533" t="str">
        <f ca="1">IF(OR(INDIRECT("'update Helper'!K"&amp;AG25+3)="",W23&lt;&gt;0,W24&lt;&gt;0),IF(IFERROR((W23/W24),"")="","",(W23/W24)),INDIRECT("'update Helper'!K"&amp;AG25+3)/100)</f>
        <v/>
      </c>
      <c r="Y23" s="769"/>
      <c r="Z23" s="531"/>
      <c r="AA23" s="529"/>
      <c r="AB23" s="529"/>
      <c r="AC23" s="528"/>
      <c r="AD23" s="529"/>
      <c r="AE23" t="str">
        <f t="array" ref="AE23">IFERROR(IF(INDEX('Reference Records'!$D$25:$D$76,MATCH(LEFT(B21,255),LEFT('Reference Records'!$C$25:$C$76,255),0))=0,"",INDEX('Reference Records'!$D$25:$D$76,MATCH(LEFT(B21,255),LEFT('Reference Records'!$C$25:$C$76,255),0))),"")</f>
        <v/>
      </c>
      <c r="AF23" t="str">
        <f>B21&amp;C21</f>
        <v/>
      </c>
      <c r="AG23" s="147">
        <f>AG21+'update Helper'!$V$2</f>
        <v>310</v>
      </c>
      <c r="AH23">
        <f>AH21+1</f>
        <v>235</v>
      </c>
      <c r="AI23" t="str">
        <f ca="1">IF(INDIRECT("'update Helper'!U"&amp;AH23)=0,"",IFERROR(VLOOKUP(INDIRECT("'update Helper'!O"&amp;AH23),'Account Role'!A$1:B$14,2,0),IFERROR(VLOOKUP(INDIRECT("'update Helper'!U"&amp;AH23),'Overview - Section A'!J$26:P$91,7,0),"")))</f>
        <v/>
      </c>
    </row>
    <row r="24" spans="1:35" ht="30" customHeight="1">
      <c r="A24" s="550"/>
      <c r="B24" s="530"/>
      <c r="C24" s="530"/>
      <c r="D24" s="434"/>
      <c r="E24" s="751"/>
      <c r="F24" s="770"/>
      <c r="G24" s="530"/>
      <c r="H24" s="771"/>
      <c r="I24" s="772"/>
      <c r="J24" s="772"/>
      <c r="K24" s="145"/>
      <c r="L24" s="534"/>
      <c r="M24" s="774"/>
      <c r="N24" s="532"/>
      <c r="O24" s="145"/>
      <c r="P24" s="534"/>
      <c r="Q24" s="774"/>
      <c r="R24" s="532"/>
      <c r="S24" s="145"/>
      <c r="T24" s="534"/>
      <c r="U24" s="774"/>
      <c r="V24" s="532"/>
      <c r="W24" s="145"/>
      <c r="X24" s="534"/>
      <c r="Y24" s="774"/>
      <c r="Z24" s="532"/>
      <c r="AA24" s="530"/>
      <c r="AB24" s="530"/>
      <c r="AC24" s="530"/>
      <c r="AD24" s="530"/>
      <c r="AG24" s="147"/>
    </row>
    <row r="25" spans="1:35" ht="30" customHeight="1">
      <c r="A25" s="549">
        <v>9</v>
      </c>
      <c r="B25" s="529"/>
      <c r="C25" s="529"/>
      <c r="D25" s="434"/>
      <c r="E25" s="743" t="str">
        <f ca="1">IF(OR(INDIRECT("'update Helper'!D"&amp;AH27)="",D25&lt;&gt;0,D26&lt;&gt;0),IF(IFERROR((D25/D26),"")="","",(D25/D26)),INDIRECT("'update Helper'!D"&amp;AH27)/100)</f>
        <v/>
      </c>
      <c r="F25" s="547"/>
      <c r="G25" s="528"/>
      <c r="H25" s="766" t="str">
        <f>AE27</f>
        <v/>
      </c>
      <c r="I25" s="767"/>
      <c r="J25" s="767"/>
      <c r="K25" s="146"/>
      <c r="L25" s="533" t="str">
        <f ca="1">IF(OR(INDIRECT("'update Helper'!K"&amp;AG27)="",K25&lt;&gt;0,K26&lt;&gt;0),IF(IFERROR((K25/K26),"")="","",(K25/K26)),INDIRECT("'update Helper'!K"&amp;AG27)/100)</f>
        <v/>
      </c>
      <c r="M25" s="769"/>
      <c r="N25" s="531"/>
      <c r="O25" s="146"/>
      <c r="P25" s="533" t="str">
        <f ca="1">IF(OR(INDIRECT("'update Helper'!K"&amp;AG27+1)="",O25&lt;&gt;0,O26&lt;&gt;0),IF(IFERROR((O25/O26),"")="","",(O25/O26)),INDIRECT("'update Helper'!K"&amp;AG27+1)/100)</f>
        <v/>
      </c>
      <c r="Q25" s="769"/>
      <c r="R25" s="531"/>
      <c r="S25" s="146"/>
      <c r="T25" s="533" t="str">
        <f ca="1">IF(OR(INDIRECT("'update Helper'!K"&amp;AG27+2)="",S25&lt;&gt;0,S26&lt;&gt;0),IF(IFERROR((S25/S26),"")="","",(S25/S26)),INDIRECT("'update Helper'!K"&amp;AG27+2)/100)</f>
        <v/>
      </c>
      <c r="U25" s="769"/>
      <c r="V25" s="531"/>
      <c r="W25" s="146"/>
      <c r="X25" s="533" t="str">
        <f ca="1">IF(OR(INDIRECT("'update Helper'!K"&amp;AG27+3)="",W25&lt;&gt;0,W26&lt;&gt;0),IF(IFERROR((W25/W26),"")="","",(W25/W26)),INDIRECT("'update Helper'!K"&amp;AG27+3)/100)</f>
        <v/>
      </c>
      <c r="Y25" s="769"/>
      <c r="Z25" s="531"/>
      <c r="AA25" s="529"/>
      <c r="AB25" s="529"/>
      <c r="AC25" s="528"/>
      <c r="AD25" s="529"/>
      <c r="AE25" t="str">
        <f t="array" ref="AE25">IFERROR(IF(INDEX('Reference Records'!$D$25:$D$76,MATCH(LEFT(B23,255),LEFT('Reference Records'!$C$25:$C$76,255),0))=0,"",INDEX('Reference Records'!$D$25:$D$76,MATCH(LEFT(B23,255),LEFT('Reference Records'!$C$25:$C$76,255),0))),"")</f>
        <v/>
      </c>
      <c r="AF25" t="str">
        <f>B23&amp;C23</f>
        <v/>
      </c>
      <c r="AG25" s="147">
        <f>AG23+'update Helper'!$V$2</f>
        <v>316</v>
      </c>
      <c r="AH25">
        <f>AH23+1</f>
        <v>236</v>
      </c>
      <c r="AI25" t="str">
        <f ca="1">IF(INDIRECT("'update Helper'!U"&amp;AH25)=0,"",IFERROR(VLOOKUP(INDIRECT("'update Helper'!O"&amp;AH25),'Account Role'!A$1:B$14,2,0),IFERROR(VLOOKUP(INDIRECT("'update Helper'!U"&amp;AH25),'Overview - Section A'!J$26:P$91,7,0),"")))</f>
        <v/>
      </c>
    </row>
    <row r="26" spans="1:35" ht="30" customHeight="1">
      <c r="A26" s="550"/>
      <c r="B26" s="530"/>
      <c r="C26" s="530"/>
      <c r="D26" s="434"/>
      <c r="E26" s="751"/>
      <c r="F26" s="770"/>
      <c r="G26" s="530"/>
      <c r="H26" s="771"/>
      <c r="I26" s="772"/>
      <c r="J26" s="772"/>
      <c r="K26" s="145"/>
      <c r="L26" s="534"/>
      <c r="M26" s="774"/>
      <c r="N26" s="532"/>
      <c r="O26" s="145"/>
      <c r="P26" s="534"/>
      <c r="Q26" s="774"/>
      <c r="R26" s="532"/>
      <c r="S26" s="145"/>
      <c r="T26" s="534"/>
      <c r="U26" s="774"/>
      <c r="V26" s="532"/>
      <c r="W26" s="145"/>
      <c r="X26" s="534"/>
      <c r="Y26" s="774"/>
      <c r="Z26" s="532"/>
      <c r="AA26" s="530"/>
      <c r="AB26" s="530"/>
      <c r="AC26" s="530"/>
      <c r="AD26" s="530"/>
      <c r="AG26" s="147"/>
    </row>
    <row r="27" spans="1:35" ht="30" customHeight="1">
      <c r="A27" s="549">
        <v>10</v>
      </c>
      <c r="B27" s="529"/>
      <c r="C27" s="529"/>
      <c r="D27" s="434"/>
      <c r="E27" s="743" t="str">
        <f ca="1">IF(OR(INDIRECT("'update Helper'!D"&amp;AH29)="",D27&lt;&gt;0,D28&lt;&gt;0),IF(IFERROR((D27/D28),"")="","",(D27/D28)),INDIRECT("'update Helper'!D"&amp;AH29)/100)</f>
        <v/>
      </c>
      <c r="F27" s="547"/>
      <c r="G27" s="528"/>
      <c r="H27" s="766" t="str">
        <f>AE29</f>
        <v/>
      </c>
      <c r="I27" s="767"/>
      <c r="J27" s="767"/>
      <c r="K27" s="146"/>
      <c r="L27" s="533" t="str">
        <f ca="1">IF(OR(INDIRECT("'update Helper'!K"&amp;AG29)="",K27&lt;&gt;0,K28&lt;&gt;0),IF(IFERROR((K27/K28),"")="","",(K27/K28)),INDIRECT("'update Helper'!K"&amp;AG29)/100)</f>
        <v/>
      </c>
      <c r="M27" s="769"/>
      <c r="N27" s="531"/>
      <c r="O27" s="146"/>
      <c r="P27" s="533" t="str">
        <f ca="1">IF(OR(INDIRECT("'update Helper'!K"&amp;AG29+1)="",O27&lt;&gt;0,O28&lt;&gt;0),IF(IFERROR((O27/O28),"")="","",(O27/O28)),INDIRECT("'update Helper'!K"&amp;AG29+1)/100)</f>
        <v/>
      </c>
      <c r="Q27" s="769"/>
      <c r="R27" s="531"/>
      <c r="S27" s="146"/>
      <c r="T27" s="533" t="str">
        <f ca="1">IF(OR(INDIRECT("'update Helper'!K"&amp;AG29+2)="",S27&lt;&gt;0,S28&lt;&gt;0),IF(IFERROR((S27/S28),"")="","",(S27/S28)),INDIRECT("'update Helper'!K"&amp;AG29+2)/100)</f>
        <v/>
      </c>
      <c r="U27" s="769"/>
      <c r="V27" s="531"/>
      <c r="W27" s="146"/>
      <c r="X27" s="533" t="str">
        <f ca="1">IF(OR(INDIRECT("'update Helper'!K"&amp;AG29+3)="",W27&lt;&gt;0,W28&lt;&gt;0),IF(IFERROR((W27/W28),"")="","",(W27/W28)),INDIRECT("'update Helper'!K"&amp;AG29+3)/100)</f>
        <v/>
      </c>
      <c r="Y27" s="769"/>
      <c r="Z27" s="531"/>
      <c r="AA27" s="529"/>
      <c r="AB27" s="529"/>
      <c r="AC27" s="528"/>
      <c r="AD27" s="529"/>
      <c r="AE27" t="str">
        <f t="array" ref="AE27">IFERROR(IF(INDEX('Reference Records'!$D$25:$D$76,MATCH(LEFT(B25,255),LEFT('Reference Records'!$C$25:$C$76,255),0))=0,"",INDEX('Reference Records'!$D$25:$D$76,MATCH(LEFT(B25,255),LEFT('Reference Records'!$C$25:$C$76,255),0))),"")</f>
        <v/>
      </c>
      <c r="AF27" t="str">
        <f>B25&amp;C25</f>
        <v/>
      </c>
      <c r="AG27" s="147">
        <f>AG25+'update Helper'!$V$2</f>
        <v>322</v>
      </c>
      <c r="AH27">
        <f>AH25+1</f>
        <v>237</v>
      </c>
      <c r="AI27" t="str">
        <f ca="1">IF(INDIRECT("'update Helper'!U"&amp;AH27)=0,"",IFERROR(VLOOKUP(INDIRECT("'update Helper'!O"&amp;AH27),'Account Role'!A$1:B$14,2,0),IFERROR(VLOOKUP(INDIRECT("'update Helper'!U"&amp;AH27),'Overview - Section A'!J$26:P$91,7,0),"")))</f>
        <v/>
      </c>
    </row>
    <row r="28" spans="1:35" ht="30" customHeight="1">
      <c r="A28" s="550"/>
      <c r="B28" s="530"/>
      <c r="C28" s="530"/>
      <c r="D28" s="434"/>
      <c r="E28" s="751"/>
      <c r="F28" s="770"/>
      <c r="G28" s="530"/>
      <c r="H28" s="771"/>
      <c r="I28" s="772"/>
      <c r="J28" s="772"/>
      <c r="K28" s="145"/>
      <c r="L28" s="534"/>
      <c r="M28" s="774"/>
      <c r="N28" s="532"/>
      <c r="O28" s="145"/>
      <c r="P28" s="534"/>
      <c r="Q28" s="774"/>
      <c r="R28" s="532"/>
      <c r="S28" s="145"/>
      <c r="T28" s="534"/>
      <c r="U28" s="774"/>
      <c r="V28" s="532"/>
      <c r="W28" s="145"/>
      <c r="X28" s="534"/>
      <c r="Y28" s="774"/>
      <c r="Z28" s="532"/>
      <c r="AA28" s="530"/>
      <c r="AB28" s="530"/>
      <c r="AC28" s="530"/>
      <c r="AD28" s="530"/>
      <c r="AG28" s="147"/>
    </row>
    <row r="29" spans="1:35" ht="30" customHeight="1">
      <c r="A29" s="549">
        <v>11</v>
      </c>
      <c r="B29" s="529"/>
      <c r="C29" s="529"/>
      <c r="D29" s="434"/>
      <c r="E29" s="743" t="str">
        <f ca="1">IF(OR(INDIRECT("'update Helper'!D"&amp;AH31)="",D29&lt;&gt;0,D30&lt;&gt;0),IF(IFERROR((D29/D30),"")="","",(D29/D30)),INDIRECT("'update Helper'!D"&amp;AH31)/100)</f>
        <v/>
      </c>
      <c r="F29" s="547"/>
      <c r="G29" s="528"/>
      <c r="H29" s="766" t="str">
        <f>AE31</f>
        <v/>
      </c>
      <c r="I29" s="767"/>
      <c r="J29" s="767"/>
      <c r="K29" s="146"/>
      <c r="L29" s="533" t="str">
        <f ca="1">IF(OR(INDIRECT("'update Helper'!K"&amp;AG31)="",K29&lt;&gt;0,K30&lt;&gt;0),IF(IFERROR((K29/K30),"")="","",(K29/K30)),INDIRECT("'update Helper'!K"&amp;AG31)/100)</f>
        <v/>
      </c>
      <c r="M29" s="769"/>
      <c r="N29" s="531"/>
      <c r="O29" s="146"/>
      <c r="P29" s="533" t="str">
        <f ca="1">IF(OR(INDIRECT("'update Helper'!K"&amp;AG31+1)="",O29&lt;&gt;0,O30&lt;&gt;0),IF(IFERROR((O29/O30),"")="","",(O29/O30)),INDIRECT("'update Helper'!K"&amp;AG31+1)/100)</f>
        <v/>
      </c>
      <c r="Q29" s="769"/>
      <c r="R29" s="531"/>
      <c r="S29" s="146"/>
      <c r="T29" s="533" t="str">
        <f ca="1">IF(OR(INDIRECT("'update Helper'!K"&amp;AG31+2)="",S29&lt;&gt;0,S30&lt;&gt;0),IF(IFERROR((S29/S30),"")="","",(S29/S30)),INDIRECT("'update Helper'!K"&amp;AG31+2)/100)</f>
        <v/>
      </c>
      <c r="U29" s="769"/>
      <c r="V29" s="531"/>
      <c r="W29" s="146"/>
      <c r="X29" s="533" t="str">
        <f ca="1">IF(OR(INDIRECT("'update Helper'!K"&amp;AG31+3)="",W29&lt;&gt;0,W30&lt;&gt;0),IF(IFERROR((W29/W30),"")="","",(W29/W30)),INDIRECT("'update Helper'!K"&amp;AG31+3)/100)</f>
        <v/>
      </c>
      <c r="Y29" s="769"/>
      <c r="Z29" s="531"/>
      <c r="AA29" s="529"/>
      <c r="AB29" s="529"/>
      <c r="AC29" s="528"/>
      <c r="AD29" s="529"/>
      <c r="AE29" t="str">
        <f t="array" ref="AE29">IFERROR(IF(INDEX('Reference Records'!$D$25:$D$76,MATCH(LEFT(B27,255),LEFT('Reference Records'!$C$25:$C$76,255),0))=0,"",INDEX('Reference Records'!$D$25:$D$76,MATCH(LEFT(B27,255),LEFT('Reference Records'!$C$25:$C$76,255),0))),"")</f>
        <v/>
      </c>
      <c r="AF29" t="str">
        <f>B27&amp;C27</f>
        <v/>
      </c>
      <c r="AG29" s="147">
        <f>AG27+'update Helper'!$V$2</f>
        <v>328</v>
      </c>
      <c r="AH29">
        <f>AH27+1</f>
        <v>238</v>
      </c>
      <c r="AI29" t="str">
        <f ca="1">IF(INDIRECT("'update Helper'!U"&amp;AH29)=0,"",IFERROR(VLOOKUP(INDIRECT("'update Helper'!O"&amp;AH29),'Account Role'!A$1:B$14,2,0),IFERROR(VLOOKUP(INDIRECT("'update Helper'!U"&amp;AH29),'Overview - Section A'!J$26:P$91,7,0),"")))</f>
        <v/>
      </c>
    </row>
    <row r="30" spans="1:35" ht="30" customHeight="1">
      <c r="A30" s="550"/>
      <c r="B30" s="530"/>
      <c r="C30" s="530"/>
      <c r="D30" s="434"/>
      <c r="E30" s="751"/>
      <c r="F30" s="770"/>
      <c r="G30" s="530"/>
      <c r="H30" s="771"/>
      <c r="I30" s="772"/>
      <c r="J30" s="772"/>
      <c r="K30" s="145"/>
      <c r="L30" s="534"/>
      <c r="M30" s="774"/>
      <c r="N30" s="532"/>
      <c r="O30" s="145"/>
      <c r="P30" s="534"/>
      <c r="Q30" s="774"/>
      <c r="R30" s="532"/>
      <c r="S30" s="145"/>
      <c r="T30" s="534"/>
      <c r="U30" s="774"/>
      <c r="V30" s="532"/>
      <c r="W30" s="145"/>
      <c r="X30" s="534"/>
      <c r="Y30" s="774"/>
      <c r="Z30" s="532"/>
      <c r="AA30" s="530"/>
      <c r="AB30" s="530"/>
      <c r="AC30" s="530"/>
      <c r="AD30" s="530"/>
      <c r="AG30" s="147"/>
    </row>
    <row r="31" spans="1:35" ht="30" customHeight="1">
      <c r="A31" s="549">
        <v>12</v>
      </c>
      <c r="B31" s="529"/>
      <c r="C31" s="529"/>
      <c r="D31" s="434"/>
      <c r="E31" s="743" t="str">
        <f ca="1">IF(OR(INDIRECT("'update Helper'!D"&amp;AH33)="",D31&lt;&gt;0,D32&lt;&gt;0),IF(IFERROR((D31/D32),"")="","",(D31/D32)),INDIRECT("'update Helper'!D"&amp;AH33)/100)</f>
        <v/>
      </c>
      <c r="F31" s="547"/>
      <c r="G31" s="528"/>
      <c r="H31" s="766" t="str">
        <f>AE33</f>
        <v/>
      </c>
      <c r="I31" s="767"/>
      <c r="J31" s="767"/>
      <c r="K31" s="146"/>
      <c r="L31" s="533" t="str">
        <f ca="1">IF(OR(INDIRECT("'update Helper'!K"&amp;AG33)="",K31&lt;&gt;0,K32&lt;&gt;0),IF(IFERROR((K31/K32),"")="","",(K31/K32)),INDIRECT("'update Helper'!K"&amp;AG33)/100)</f>
        <v/>
      </c>
      <c r="M31" s="769"/>
      <c r="N31" s="531"/>
      <c r="O31" s="146"/>
      <c r="P31" s="533" t="str">
        <f ca="1">IF(OR(INDIRECT("'update Helper'!K"&amp;AG33+1)="",O31&lt;&gt;0,O32&lt;&gt;0),IF(IFERROR((O31/O32),"")="","",(O31/O32)),INDIRECT("'update Helper'!K"&amp;AG33+1)/100)</f>
        <v/>
      </c>
      <c r="Q31" s="769"/>
      <c r="R31" s="531"/>
      <c r="S31" s="146"/>
      <c r="T31" s="533" t="str">
        <f ca="1">IF(OR(INDIRECT("'update Helper'!K"&amp;AG33+2)="",S31&lt;&gt;0,S32&lt;&gt;0),IF(IFERROR((S31/S32),"")="","",(S31/S32)),INDIRECT("'update Helper'!K"&amp;AG33+2)/100)</f>
        <v/>
      </c>
      <c r="U31" s="769"/>
      <c r="V31" s="531"/>
      <c r="W31" s="146"/>
      <c r="X31" s="533" t="str">
        <f ca="1">IF(OR(INDIRECT("'update Helper'!K"&amp;AG33+3)="",W31&lt;&gt;0,W32&lt;&gt;0),IF(IFERROR((W31/W32),"")="","",(W31/W32)),INDIRECT("'update Helper'!K"&amp;AG33+3)/100)</f>
        <v/>
      </c>
      <c r="Y31" s="769"/>
      <c r="Z31" s="531"/>
      <c r="AA31" s="529"/>
      <c r="AB31" s="529"/>
      <c r="AC31" s="528"/>
      <c r="AD31" s="529"/>
      <c r="AE31" t="str">
        <f t="array" ref="AE31">IFERROR(IF(INDEX('Reference Records'!$D$25:$D$76,MATCH(LEFT(B29,255),LEFT('Reference Records'!$C$25:$C$76,255),0))=0,"",INDEX('Reference Records'!$D$25:$D$76,MATCH(LEFT(B29,255),LEFT('Reference Records'!$C$25:$C$76,255),0))),"")</f>
        <v/>
      </c>
      <c r="AF31" t="str">
        <f>B29&amp;C29</f>
        <v/>
      </c>
      <c r="AG31" s="147">
        <f>AG29+'update Helper'!$V$2</f>
        <v>334</v>
      </c>
      <c r="AH31">
        <f>AH29+1</f>
        <v>239</v>
      </c>
      <c r="AI31" t="str">
        <f ca="1">IF(INDIRECT("'update Helper'!U"&amp;AH31)=0,"",IFERROR(VLOOKUP(INDIRECT("'update Helper'!O"&amp;AH31),'Account Role'!A$1:B$14,2,0),IFERROR(VLOOKUP(INDIRECT("'update Helper'!U"&amp;AH31),'Overview - Section A'!J$26:P$91,7,0),"")))</f>
        <v/>
      </c>
    </row>
    <row r="32" spans="1:35" ht="30" customHeight="1">
      <c r="A32" s="550"/>
      <c r="B32" s="530"/>
      <c r="C32" s="530"/>
      <c r="D32" s="434"/>
      <c r="E32" s="751"/>
      <c r="F32" s="770"/>
      <c r="G32" s="530"/>
      <c r="H32" s="771"/>
      <c r="I32" s="772"/>
      <c r="J32" s="772"/>
      <c r="K32" s="145"/>
      <c r="L32" s="534"/>
      <c r="M32" s="774"/>
      <c r="N32" s="532"/>
      <c r="O32" s="145"/>
      <c r="P32" s="534"/>
      <c r="Q32" s="774"/>
      <c r="R32" s="532"/>
      <c r="S32" s="145"/>
      <c r="T32" s="534"/>
      <c r="U32" s="774"/>
      <c r="V32" s="532"/>
      <c r="W32" s="145"/>
      <c r="X32" s="534"/>
      <c r="Y32" s="774"/>
      <c r="Z32" s="532"/>
      <c r="AA32" s="530"/>
      <c r="AB32" s="530"/>
      <c r="AC32" s="530"/>
      <c r="AD32" s="530"/>
      <c r="AG32" s="147"/>
    </row>
    <row r="33" spans="1:35" ht="30" customHeight="1">
      <c r="A33" s="549">
        <v>13</v>
      </c>
      <c r="B33" s="529"/>
      <c r="C33" s="529"/>
      <c r="D33" s="434"/>
      <c r="E33" s="743" t="str">
        <f ca="1">IF(OR(INDIRECT("'update Helper'!D"&amp;AH35)="",D33&lt;&gt;0,D34&lt;&gt;0),IF(IFERROR((D33/D34),"")="","",(D33/D34)),INDIRECT("'update Helper'!D"&amp;AH35)/100)</f>
        <v/>
      </c>
      <c r="F33" s="547"/>
      <c r="G33" s="528"/>
      <c r="H33" s="766" t="str">
        <f>AE35</f>
        <v/>
      </c>
      <c r="I33" s="767"/>
      <c r="J33" s="767"/>
      <c r="K33" s="146"/>
      <c r="L33" s="533" t="str">
        <f ca="1">IF(OR(INDIRECT("'update Helper'!K"&amp;AG35)="",K33&lt;&gt;0,K34&lt;&gt;0),IF(IFERROR((K33/K34),"")="","",(K33/K34)),INDIRECT("'update Helper'!K"&amp;AG35)/100)</f>
        <v/>
      </c>
      <c r="M33" s="769"/>
      <c r="N33" s="531"/>
      <c r="O33" s="146"/>
      <c r="P33" s="533" t="str">
        <f ca="1">IF(OR(INDIRECT("'update Helper'!K"&amp;AG35+1)="",O33&lt;&gt;0,O34&lt;&gt;0),IF(IFERROR((O33/O34),"")="","",(O33/O34)),INDIRECT("'update Helper'!K"&amp;AG35+1)/100)</f>
        <v/>
      </c>
      <c r="Q33" s="769"/>
      <c r="R33" s="531"/>
      <c r="S33" s="146"/>
      <c r="T33" s="533" t="str">
        <f ca="1">IF(OR(INDIRECT("'update Helper'!K"&amp;AG35+2)="",S33&lt;&gt;0,S34&lt;&gt;0),IF(IFERROR((S33/S34),"")="","",(S33/S34)),INDIRECT("'update Helper'!K"&amp;AG35+2)/100)</f>
        <v/>
      </c>
      <c r="U33" s="769"/>
      <c r="V33" s="531"/>
      <c r="W33" s="146"/>
      <c r="X33" s="533" t="str">
        <f ca="1">IF(OR(INDIRECT("'update Helper'!K"&amp;AG35+3)="",W33&lt;&gt;0,W34&lt;&gt;0),IF(IFERROR((W33/W34),"")="","",(W33/W34)),INDIRECT("'update Helper'!K"&amp;AG35+3)/100)</f>
        <v/>
      </c>
      <c r="Y33" s="769"/>
      <c r="Z33" s="531"/>
      <c r="AA33" s="529"/>
      <c r="AB33" s="529"/>
      <c r="AC33" s="528"/>
      <c r="AD33" s="529"/>
      <c r="AE33" t="str">
        <f t="array" ref="AE33">IFERROR(IF(INDEX('Reference Records'!$D$25:$D$76,MATCH(LEFT(B31,255),LEFT('Reference Records'!$C$25:$C$76,255),0))=0,"",INDEX('Reference Records'!$D$25:$D$76,MATCH(LEFT(B31,255),LEFT('Reference Records'!$C$25:$C$76,255),0))),"")</f>
        <v/>
      </c>
      <c r="AF33" t="str">
        <f>B31&amp;C31</f>
        <v/>
      </c>
      <c r="AG33" s="147">
        <f>AG31+'update Helper'!$V$2</f>
        <v>340</v>
      </c>
      <c r="AH33">
        <f>AH31+1</f>
        <v>240</v>
      </c>
      <c r="AI33" t="str">
        <f ca="1">IF(INDIRECT("'update Helper'!U"&amp;AH33)=0,"",IFERROR(VLOOKUP(INDIRECT("'update Helper'!O"&amp;AH33),'Account Role'!A$1:B$14,2,0),IFERROR(VLOOKUP(INDIRECT("'update Helper'!U"&amp;AH33),'Overview - Section A'!J$26:P$91,7,0),"")))</f>
        <v/>
      </c>
    </row>
    <row r="34" spans="1:35" ht="30" customHeight="1">
      <c r="A34" s="550"/>
      <c r="B34" s="530"/>
      <c r="C34" s="530"/>
      <c r="D34" s="434"/>
      <c r="E34" s="751"/>
      <c r="F34" s="770"/>
      <c r="G34" s="530"/>
      <c r="H34" s="771"/>
      <c r="I34" s="772"/>
      <c r="J34" s="772"/>
      <c r="K34" s="145"/>
      <c r="L34" s="534"/>
      <c r="M34" s="774"/>
      <c r="N34" s="532"/>
      <c r="O34" s="145"/>
      <c r="P34" s="534"/>
      <c r="Q34" s="774"/>
      <c r="R34" s="532"/>
      <c r="S34" s="145"/>
      <c r="T34" s="534"/>
      <c r="U34" s="774"/>
      <c r="V34" s="532"/>
      <c r="W34" s="145"/>
      <c r="X34" s="534"/>
      <c r="Y34" s="774"/>
      <c r="Z34" s="532"/>
      <c r="AA34" s="530"/>
      <c r="AB34" s="530"/>
      <c r="AC34" s="530"/>
      <c r="AD34" s="530"/>
      <c r="AG34" s="147"/>
    </row>
    <row r="35" spans="1:35" ht="30" customHeight="1">
      <c r="A35" s="549">
        <v>14</v>
      </c>
      <c r="B35" s="529"/>
      <c r="C35" s="529"/>
      <c r="D35" s="434"/>
      <c r="E35" s="743" t="str">
        <f ca="1">IF(OR(INDIRECT("'update Helper'!D"&amp;AH37)="",D35&lt;&gt;0,D36&lt;&gt;0),IF(IFERROR((D35/D36),"")="","",(D35/D36)),INDIRECT("'update Helper'!D"&amp;AH37)/100)</f>
        <v/>
      </c>
      <c r="F35" s="547"/>
      <c r="G35" s="528"/>
      <c r="H35" s="766" t="str">
        <f>AE37</f>
        <v/>
      </c>
      <c r="I35" s="767"/>
      <c r="J35" s="767"/>
      <c r="K35" s="146"/>
      <c r="L35" s="533" t="str">
        <f ca="1">IF(OR(INDIRECT("'update Helper'!K"&amp;AG37)="",K35&lt;&gt;0,K36&lt;&gt;0),IF(IFERROR((K35/K36),"")="","",(K35/K36)),INDIRECT("'update Helper'!K"&amp;AG37)/100)</f>
        <v/>
      </c>
      <c r="M35" s="769"/>
      <c r="N35" s="531"/>
      <c r="O35" s="146"/>
      <c r="P35" s="533" t="str">
        <f ca="1">IF(OR(INDIRECT("'update Helper'!K"&amp;AG37+1)="",O35&lt;&gt;0,O36&lt;&gt;0),IF(IFERROR((O35/O36),"")="","",(O35/O36)),INDIRECT("'update Helper'!K"&amp;AG37+1)/100)</f>
        <v/>
      </c>
      <c r="Q35" s="769"/>
      <c r="R35" s="531"/>
      <c r="S35" s="146"/>
      <c r="T35" s="533" t="str">
        <f ca="1">IF(OR(INDIRECT("'update Helper'!K"&amp;AG37+2)="",S35&lt;&gt;0,S36&lt;&gt;0),IF(IFERROR((S35/S36),"")="","",(S35/S36)),INDIRECT("'update Helper'!K"&amp;AG37+2)/100)</f>
        <v/>
      </c>
      <c r="U35" s="769"/>
      <c r="V35" s="531"/>
      <c r="W35" s="146"/>
      <c r="X35" s="533" t="str">
        <f ca="1">IF(OR(INDIRECT("'update Helper'!K"&amp;AG37+3)="",W35&lt;&gt;0,W36&lt;&gt;0),IF(IFERROR((W35/W36),"")="","",(W35/W36)),INDIRECT("'update Helper'!K"&amp;AG37+3)/100)</f>
        <v/>
      </c>
      <c r="Y35" s="769"/>
      <c r="Z35" s="531"/>
      <c r="AA35" s="529"/>
      <c r="AB35" s="529"/>
      <c r="AC35" s="528"/>
      <c r="AD35" s="529"/>
      <c r="AE35" t="str">
        <f t="array" ref="AE35">IFERROR(IF(INDEX('Reference Records'!$D$25:$D$76,MATCH(LEFT(B33,255),LEFT('Reference Records'!$C$25:$C$76,255),0))=0,"",INDEX('Reference Records'!$D$25:$D$76,MATCH(LEFT(B33,255),LEFT('Reference Records'!$C$25:$C$76,255),0))),"")</f>
        <v/>
      </c>
      <c r="AF35" t="str">
        <f>B33&amp;C33</f>
        <v/>
      </c>
      <c r="AG35" s="147">
        <f>AG33+'update Helper'!$V$2</f>
        <v>346</v>
      </c>
      <c r="AH35">
        <f>AH33+1</f>
        <v>241</v>
      </c>
      <c r="AI35" t="str">
        <f ca="1">IF(INDIRECT("'update Helper'!U"&amp;AH35)=0,"",IFERROR(VLOOKUP(INDIRECT("'update Helper'!O"&amp;AH35),'Account Role'!A$1:B$14,2,0),IFERROR(VLOOKUP(INDIRECT("'update Helper'!U"&amp;AH35),'Overview - Section A'!J$26:P$91,7,0),"")))</f>
        <v/>
      </c>
    </row>
    <row r="36" spans="1:35" ht="30" customHeight="1">
      <c r="A36" s="550"/>
      <c r="B36" s="530"/>
      <c r="C36" s="530"/>
      <c r="D36" s="434"/>
      <c r="E36" s="751"/>
      <c r="F36" s="770"/>
      <c r="G36" s="530"/>
      <c r="H36" s="771"/>
      <c r="I36" s="772"/>
      <c r="J36" s="772"/>
      <c r="K36" s="145"/>
      <c r="L36" s="534"/>
      <c r="M36" s="774"/>
      <c r="N36" s="532"/>
      <c r="O36" s="145"/>
      <c r="P36" s="534"/>
      <c r="Q36" s="774"/>
      <c r="R36" s="532"/>
      <c r="S36" s="145"/>
      <c r="T36" s="534"/>
      <c r="U36" s="774"/>
      <c r="V36" s="532"/>
      <c r="W36" s="145"/>
      <c r="X36" s="534"/>
      <c r="Y36" s="774"/>
      <c r="Z36" s="532"/>
      <c r="AA36" s="530"/>
      <c r="AB36" s="530"/>
      <c r="AC36" s="530"/>
      <c r="AD36" s="530"/>
      <c r="AG36" s="147"/>
    </row>
    <row r="37" spans="1:35" ht="30" customHeight="1">
      <c r="AE37" t="str">
        <f t="array" ref="AE37">IFERROR(IF(INDEX('Reference Records'!$D$25:$D$76,MATCH(LEFT(B35,255),LEFT('Reference Records'!$C$25:$C$76,255),0))=0,"",INDEX('Reference Records'!$D$25:$D$76,MATCH(LEFT(B35,255),LEFT('Reference Records'!$C$25:$C$76,255),0))),"")</f>
        <v/>
      </c>
      <c r="AF37" t="str">
        <f>B35&amp;C35</f>
        <v/>
      </c>
      <c r="AG37" s="147">
        <f>AG35+'update Helper'!$V$2</f>
        <v>352</v>
      </c>
      <c r="AH37">
        <f>AH35+1</f>
        <v>242</v>
      </c>
      <c r="AI37" t="str">
        <f ca="1">IF(INDIRECT("'update Helper'!U"&amp;AH37)=0,"",IFERROR(VLOOKUP(INDIRECT("'update Helper'!O"&amp;AH37),'Account Role'!A$1:B$14,2,0),IFERROR(VLOOKUP(INDIRECT("'update Helper'!U"&amp;AH37),'Overview - Section A'!J$26:P$91,7,0),"")))</f>
        <v/>
      </c>
    </row>
    <row r="38" spans="1:35" ht="30" customHeight="1">
      <c r="AG38" s="147"/>
    </row>
    <row r="39" spans="1:35" ht="30" customHeight="1"/>
    <row r="40" spans="1:35" ht="30" customHeight="1"/>
    <row r="41" spans="1:35" ht="30" customHeight="1"/>
    <row r="42" spans="1:35" ht="30" customHeight="1"/>
    <row r="43" spans="1:35" ht="30" customHeight="1"/>
    <row r="44" spans="1:35" ht="30" customHeight="1"/>
    <row r="45" spans="1:35" ht="30" customHeight="1"/>
    <row r="46" spans="1:35" ht="30" customHeight="1"/>
    <row r="47" spans="1:35" ht="30" customHeight="1"/>
    <row r="48" spans="1:35"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sheetData>
  <sheetProtection sheet="1" objects="1" scenarios="1" formatCells="0" formatColumns="0" formatRows="0"/>
  <mergeCells count="356">
    <mergeCell ref="W7:Z7"/>
    <mergeCell ref="A17:A18"/>
    <mergeCell ref="A19:A20"/>
    <mergeCell ref="A21:A22"/>
    <mergeCell ref="A23:A24"/>
    <mergeCell ref="A25:A26"/>
    <mergeCell ref="A7:J7"/>
    <mergeCell ref="K7:N7"/>
    <mergeCell ref="O7:R7"/>
    <mergeCell ref="S7:V7"/>
    <mergeCell ref="F17:F18"/>
    <mergeCell ref="F19:F20"/>
    <mergeCell ref="F21:F22"/>
    <mergeCell ref="F23:F24"/>
    <mergeCell ref="F25:F26"/>
    <mergeCell ref="G9:G10"/>
    <mergeCell ref="G11:G12"/>
    <mergeCell ref="G13:G14"/>
    <mergeCell ref="G15:G16"/>
    <mergeCell ref="G17:G18"/>
    <mergeCell ref="G19:G20"/>
    <mergeCell ref="G21:G22"/>
    <mergeCell ref="G23:G24"/>
    <mergeCell ref="G25:G26"/>
    <mergeCell ref="A27:A28"/>
    <mergeCell ref="A29:A30"/>
    <mergeCell ref="A31:A32"/>
    <mergeCell ref="A33:A34"/>
    <mergeCell ref="A35:A36"/>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A9:A10"/>
    <mergeCell ref="A11:A12"/>
    <mergeCell ref="A13:A14"/>
    <mergeCell ref="A15:A16"/>
    <mergeCell ref="C9:C10"/>
    <mergeCell ref="C11:C12"/>
    <mergeCell ref="C13:C14"/>
    <mergeCell ref="C15:C16"/>
    <mergeCell ref="C17:C18"/>
    <mergeCell ref="C19:C20"/>
    <mergeCell ref="C21:C22"/>
    <mergeCell ref="C23:C24"/>
    <mergeCell ref="C25:C26"/>
    <mergeCell ref="E9:E10"/>
    <mergeCell ref="E11:E12"/>
    <mergeCell ref="E13:E14"/>
    <mergeCell ref="E15:E16"/>
    <mergeCell ref="E17:E18"/>
    <mergeCell ref="E19:E20"/>
    <mergeCell ref="E21:E22"/>
    <mergeCell ref="E23:E24"/>
    <mergeCell ref="E25:E26"/>
    <mergeCell ref="C27:C28"/>
    <mergeCell ref="C29:C30"/>
    <mergeCell ref="C31:C32"/>
    <mergeCell ref="C33:C34"/>
    <mergeCell ref="F27:F28"/>
    <mergeCell ref="F29:F30"/>
    <mergeCell ref="F31:F32"/>
    <mergeCell ref="F33:F34"/>
    <mergeCell ref="F35:F36"/>
    <mergeCell ref="C35:C36"/>
    <mergeCell ref="E27:E28"/>
    <mergeCell ref="E29:E30"/>
    <mergeCell ref="E31:E32"/>
    <mergeCell ref="E33:E34"/>
    <mergeCell ref="E35:E36"/>
    <mergeCell ref="G27:G28"/>
    <mergeCell ref="G29:G30"/>
    <mergeCell ref="G31:G32"/>
    <mergeCell ref="G33:G34"/>
    <mergeCell ref="G35:G36"/>
    <mergeCell ref="F9:F10"/>
    <mergeCell ref="F11:F12"/>
    <mergeCell ref="F13:F14"/>
    <mergeCell ref="F15:F16"/>
    <mergeCell ref="H9:H10"/>
    <mergeCell ref="H11:H12"/>
    <mergeCell ref="H13:H14"/>
    <mergeCell ref="H15:H16"/>
    <mergeCell ref="H17:H18"/>
    <mergeCell ref="H19:H20"/>
    <mergeCell ref="H21:H22"/>
    <mergeCell ref="H23:H24"/>
    <mergeCell ref="H25:H26"/>
    <mergeCell ref="J35:J36"/>
    <mergeCell ref="I9:I10"/>
    <mergeCell ref="I11:I12"/>
    <mergeCell ref="I13:I14"/>
    <mergeCell ref="I15:I16"/>
    <mergeCell ref="I17:I18"/>
    <mergeCell ref="I19:I20"/>
    <mergeCell ref="I21:I22"/>
    <mergeCell ref="I23:I24"/>
    <mergeCell ref="J19:J20"/>
    <mergeCell ref="J21:J22"/>
    <mergeCell ref="J23:J24"/>
    <mergeCell ref="H27:H28"/>
    <mergeCell ref="H29:H30"/>
    <mergeCell ref="H31:H32"/>
    <mergeCell ref="H33:H34"/>
    <mergeCell ref="H35:H36"/>
    <mergeCell ref="I25:I26"/>
    <mergeCell ref="I27:I28"/>
    <mergeCell ref="I29:I30"/>
    <mergeCell ref="I31:I32"/>
    <mergeCell ref="I33:I34"/>
    <mergeCell ref="I35:I36"/>
    <mergeCell ref="L27:L28"/>
    <mergeCell ref="L29:L30"/>
    <mergeCell ref="L31:L32"/>
    <mergeCell ref="L33:L34"/>
    <mergeCell ref="L35:L36"/>
    <mergeCell ref="J9:J10"/>
    <mergeCell ref="J11:J12"/>
    <mergeCell ref="J13:J14"/>
    <mergeCell ref="J15:J16"/>
    <mergeCell ref="J17:J18"/>
    <mergeCell ref="L9:L10"/>
    <mergeCell ref="L11:L12"/>
    <mergeCell ref="L13:L14"/>
    <mergeCell ref="L15:L16"/>
    <mergeCell ref="L17:L18"/>
    <mergeCell ref="L19:L20"/>
    <mergeCell ref="L21:L22"/>
    <mergeCell ref="L23:L24"/>
    <mergeCell ref="L25:L26"/>
    <mergeCell ref="J25:J26"/>
    <mergeCell ref="J27:J28"/>
    <mergeCell ref="J29:J30"/>
    <mergeCell ref="J31:J32"/>
    <mergeCell ref="J33:J34"/>
    <mergeCell ref="M9:M10"/>
    <mergeCell ref="M11:M12"/>
    <mergeCell ref="M13:M14"/>
    <mergeCell ref="M15:M16"/>
    <mergeCell ref="M17:M18"/>
    <mergeCell ref="M19:M20"/>
    <mergeCell ref="M21:M22"/>
    <mergeCell ref="M23:M24"/>
    <mergeCell ref="M27:M28"/>
    <mergeCell ref="N9:N10"/>
    <mergeCell ref="N11:N12"/>
    <mergeCell ref="N13:N14"/>
    <mergeCell ref="N15:N16"/>
    <mergeCell ref="N17:N18"/>
    <mergeCell ref="N19:N20"/>
    <mergeCell ref="N21:N22"/>
    <mergeCell ref="N23:N24"/>
    <mergeCell ref="N25:N26"/>
    <mergeCell ref="M29:M30"/>
    <mergeCell ref="M31:M32"/>
    <mergeCell ref="M33:M34"/>
    <mergeCell ref="M25:M26"/>
    <mergeCell ref="P27:P28"/>
    <mergeCell ref="P29:P30"/>
    <mergeCell ref="P31:P32"/>
    <mergeCell ref="P33:P34"/>
    <mergeCell ref="P35:P36"/>
    <mergeCell ref="M35:M36"/>
    <mergeCell ref="N27:N28"/>
    <mergeCell ref="N29:N30"/>
    <mergeCell ref="N31:N32"/>
    <mergeCell ref="N33:N34"/>
    <mergeCell ref="N35:N36"/>
    <mergeCell ref="Q27:Q28"/>
    <mergeCell ref="Q29:Q30"/>
    <mergeCell ref="Q31:Q32"/>
    <mergeCell ref="Q33:Q34"/>
    <mergeCell ref="Q35:Q36"/>
    <mergeCell ref="P9:P10"/>
    <mergeCell ref="P11:P12"/>
    <mergeCell ref="P13:P14"/>
    <mergeCell ref="P15:P16"/>
    <mergeCell ref="P17:P18"/>
    <mergeCell ref="P19:P20"/>
    <mergeCell ref="P21:P22"/>
    <mergeCell ref="P23:P24"/>
    <mergeCell ref="P25:P26"/>
    <mergeCell ref="Q9:Q10"/>
    <mergeCell ref="Q11:Q12"/>
    <mergeCell ref="Q13:Q14"/>
    <mergeCell ref="Q15:Q16"/>
    <mergeCell ref="Q17:Q18"/>
    <mergeCell ref="Q19:Q20"/>
    <mergeCell ref="Q21:Q22"/>
    <mergeCell ref="Q23:Q24"/>
    <mergeCell ref="Q25:Q26"/>
    <mergeCell ref="R9:R10"/>
    <mergeCell ref="R11:R12"/>
    <mergeCell ref="R13:R14"/>
    <mergeCell ref="R15:R16"/>
    <mergeCell ref="R17:R18"/>
    <mergeCell ref="R19:R20"/>
    <mergeCell ref="R21:R22"/>
    <mergeCell ref="R23:R24"/>
    <mergeCell ref="R27:R28"/>
    <mergeCell ref="T9:T10"/>
    <mergeCell ref="T11:T12"/>
    <mergeCell ref="T13:T14"/>
    <mergeCell ref="T15:T16"/>
    <mergeCell ref="T17:T18"/>
    <mergeCell ref="T19:T20"/>
    <mergeCell ref="T21:T22"/>
    <mergeCell ref="T23:T24"/>
    <mergeCell ref="T25:T26"/>
    <mergeCell ref="R29:R30"/>
    <mergeCell ref="R31:R32"/>
    <mergeCell ref="R33:R34"/>
    <mergeCell ref="R25:R26"/>
    <mergeCell ref="U27:U28"/>
    <mergeCell ref="U29:U30"/>
    <mergeCell ref="U31:U32"/>
    <mergeCell ref="U33:U34"/>
    <mergeCell ref="U35:U36"/>
    <mergeCell ref="R35:R36"/>
    <mergeCell ref="T27:T28"/>
    <mergeCell ref="T29:T30"/>
    <mergeCell ref="T31:T32"/>
    <mergeCell ref="T33:T34"/>
    <mergeCell ref="T35:T36"/>
    <mergeCell ref="V27:V28"/>
    <mergeCell ref="V29:V30"/>
    <mergeCell ref="V31:V32"/>
    <mergeCell ref="V33:V34"/>
    <mergeCell ref="V35:V36"/>
    <mergeCell ref="U9:U10"/>
    <mergeCell ref="U11:U12"/>
    <mergeCell ref="U13:U14"/>
    <mergeCell ref="U15:U16"/>
    <mergeCell ref="U17:U18"/>
    <mergeCell ref="U19:U20"/>
    <mergeCell ref="U21:U22"/>
    <mergeCell ref="U23:U24"/>
    <mergeCell ref="U25:U26"/>
    <mergeCell ref="V9:V10"/>
    <mergeCell ref="V11:V12"/>
    <mergeCell ref="V13:V14"/>
    <mergeCell ref="V15:V16"/>
    <mergeCell ref="V17:V18"/>
    <mergeCell ref="V19:V20"/>
    <mergeCell ref="V21:V22"/>
    <mergeCell ref="V23:V24"/>
    <mergeCell ref="V25:V26"/>
    <mergeCell ref="X9:X10"/>
    <mergeCell ref="X11:X12"/>
    <mergeCell ref="X13:X14"/>
    <mergeCell ref="X15:X16"/>
    <mergeCell ref="X17:X18"/>
    <mergeCell ref="X19:X20"/>
    <mergeCell ref="X21:X22"/>
    <mergeCell ref="X23:X24"/>
    <mergeCell ref="X25:X26"/>
    <mergeCell ref="Y9:Y10"/>
    <mergeCell ref="Y11:Y12"/>
    <mergeCell ref="Y13:Y14"/>
    <mergeCell ref="Y15:Y16"/>
    <mergeCell ref="Y17:Y18"/>
    <mergeCell ref="Y19:Y20"/>
    <mergeCell ref="Y21:Y22"/>
    <mergeCell ref="Y23:Y24"/>
    <mergeCell ref="Z19:Z20"/>
    <mergeCell ref="Z21:Z22"/>
    <mergeCell ref="Z23:Z24"/>
    <mergeCell ref="Z9:Z10"/>
    <mergeCell ref="Z11:Z12"/>
    <mergeCell ref="Z13:Z14"/>
    <mergeCell ref="Z15:Z16"/>
    <mergeCell ref="Z17:Z18"/>
    <mergeCell ref="Z25:Z26"/>
    <mergeCell ref="X27:X28"/>
    <mergeCell ref="X29:X30"/>
    <mergeCell ref="X31:X32"/>
    <mergeCell ref="X33:X34"/>
    <mergeCell ref="X35:X36"/>
    <mergeCell ref="Y25:Y26"/>
    <mergeCell ref="Y27:Y28"/>
    <mergeCell ref="Y29:Y30"/>
    <mergeCell ref="Y31:Y32"/>
    <mergeCell ref="Y33:Y34"/>
    <mergeCell ref="Y35:Y36"/>
    <mergeCell ref="Z27:Z28"/>
    <mergeCell ref="Z29:Z30"/>
    <mergeCell ref="Z31:Z32"/>
    <mergeCell ref="Z33:Z34"/>
    <mergeCell ref="Z35:Z36"/>
    <mergeCell ref="AB35:AB36"/>
    <mergeCell ref="AD35:AD36"/>
    <mergeCell ref="AA9:AA10"/>
    <mergeCell ref="AA11:AA12"/>
    <mergeCell ref="AA13:AA14"/>
    <mergeCell ref="AA17:AA18"/>
    <mergeCell ref="AA35:AA36"/>
    <mergeCell ref="AB21:AB22"/>
    <mergeCell ref="AC33:AC34"/>
    <mergeCell ref="AC35:AC36"/>
    <mergeCell ref="AA25:AA26"/>
    <mergeCell ref="AA27:AA28"/>
    <mergeCell ref="AA29:AA30"/>
    <mergeCell ref="AA31:AA32"/>
    <mergeCell ref="AA33:AA34"/>
    <mergeCell ref="AB13:AB14"/>
    <mergeCell ref="AB15:AB16"/>
    <mergeCell ref="AA19:AA20"/>
    <mergeCell ref="AA21:AA22"/>
    <mergeCell ref="AA23:AA24"/>
    <mergeCell ref="AD15:AD16"/>
    <mergeCell ref="AD17:AD18"/>
    <mergeCell ref="AD19:AD20"/>
    <mergeCell ref="AC19:AC20"/>
    <mergeCell ref="AC17:AC18"/>
    <mergeCell ref="AD33:AD34"/>
    <mergeCell ref="AB33:AB34"/>
    <mergeCell ref="AB23:AB24"/>
    <mergeCell ref="AC21:AC22"/>
    <mergeCell ref="AC23:AC24"/>
    <mergeCell ref="AC25:AC26"/>
    <mergeCell ref="AC27:AC28"/>
    <mergeCell ref="AC29:AC30"/>
    <mergeCell ref="A1:H2"/>
    <mergeCell ref="AD21:AD22"/>
    <mergeCell ref="AD23:AD24"/>
    <mergeCell ref="AD25:AD26"/>
    <mergeCell ref="AD27:AD28"/>
    <mergeCell ref="AD29:AD30"/>
    <mergeCell ref="AD31:AD32"/>
    <mergeCell ref="AC31:AC32"/>
    <mergeCell ref="AC9:AC10"/>
    <mergeCell ref="AC11:AC12"/>
    <mergeCell ref="AC13:AC14"/>
    <mergeCell ref="AC15:AC16"/>
    <mergeCell ref="AB25:AB26"/>
    <mergeCell ref="AB27:AB28"/>
    <mergeCell ref="AB29:AB30"/>
    <mergeCell ref="AB31:AB32"/>
    <mergeCell ref="AB9:AB10"/>
    <mergeCell ref="AB11:AB12"/>
    <mergeCell ref="AD9:AD10"/>
    <mergeCell ref="AD11:AD12"/>
    <mergeCell ref="AD13:AD14"/>
    <mergeCell ref="AA15:AA16"/>
    <mergeCell ref="AB17:AB18"/>
    <mergeCell ref="AB19:AB20"/>
  </mergeCells>
  <conditionalFormatting sqref="A9 A13 A17 A21 A23 A27 A29 A33 A35 A15 A19 A25 A31">
    <cfRule type="expression" dxfId="405" priority="253">
      <formula>$AE11:$AE12="[Record ID]"</formula>
    </cfRule>
  </conditionalFormatting>
  <conditionalFormatting sqref="A9 A13 A17 A21 A23 A27 A29 A33 A35">
    <cfRule type="expression" dxfId="404" priority="252">
      <formula>#REF!="Yes"</formula>
    </cfRule>
  </conditionalFormatting>
  <conditionalFormatting sqref="A11">
    <cfRule type="expression" dxfId="403" priority="460">
      <formula>$AE13:$AE14="[Record ID]"</formula>
    </cfRule>
  </conditionalFormatting>
  <conditionalFormatting sqref="A15 A19 A25 A31 A11">
    <cfRule type="expression" dxfId="402" priority="405">
      <formula>#REF!="Yes"</formula>
    </cfRule>
  </conditionalFormatting>
  <conditionalFormatting sqref="B9:C16 B21:C36">
    <cfRule type="expression" dxfId="401" priority="257">
      <formula>AND($B9&lt;&gt;"",$C9&lt;&gt;"")</formula>
    </cfRule>
  </conditionalFormatting>
  <conditionalFormatting sqref="B17:C20">
    <cfRule type="expression" dxfId="400" priority="25">
      <formula>AND($B17&lt;&gt;"",$C17&lt;&gt;"")</formula>
    </cfRule>
  </conditionalFormatting>
  <conditionalFormatting sqref="K7 O7 S7 W7">
    <cfRule type="expression" dxfId="399" priority="281">
      <formula>$L7="Yes"</formula>
    </cfRule>
    <cfRule type="expression" dxfId="398" priority="282">
      <formula>$AK7:$AK9="[Record ID]"</formula>
    </cfRule>
  </conditionalFormatting>
  <conditionalFormatting sqref="K10 K12 K14:K16">
    <cfRule type="expression" dxfId="397" priority="15">
      <formula>AND(OR($K9&lt;&gt;"",$K10&lt;&gt;"",$L9&lt;&gt;""),$N9="TBD")</formula>
    </cfRule>
  </conditionalFormatting>
  <conditionalFormatting sqref="K18 K20">
    <cfRule type="expression" dxfId="396" priority="24">
      <formula>AND(OR($K17&lt;&gt;"",$K18&lt;&gt;"",$L17&lt;&gt;""),$N17="TBD")</formula>
    </cfRule>
  </conditionalFormatting>
  <conditionalFormatting sqref="K22 K24 K26 K28 K30 K32 K34 K36">
    <cfRule type="expression" dxfId="395" priority="267">
      <formula>AND(OR($K21&lt;&gt;"",$K22&lt;&gt;"",$L21&lt;&gt;""),$N21="TBD")</formula>
    </cfRule>
  </conditionalFormatting>
  <conditionalFormatting sqref="K9:N16 K21:N36">
    <cfRule type="expression" dxfId="394" priority="266">
      <formula>AND(OR($K9&lt;&gt;"",$K10&lt;&gt;"",$L9&lt;&gt;""),$N9="TBD")</formula>
    </cfRule>
  </conditionalFormatting>
  <conditionalFormatting sqref="K17:N20">
    <cfRule type="expression" dxfId="393" priority="23">
      <formula>AND(OR($K17&lt;&gt;"",$K18&lt;&gt;"",$L17&lt;&gt;""),$N17="TBD")</formula>
    </cfRule>
  </conditionalFormatting>
  <conditionalFormatting sqref="O10 O12 O14 O16">
    <cfRule type="expression" dxfId="392" priority="13">
      <formula>AND(OR($O9&lt;&gt;"",$O10&lt;&gt;"",$P9&lt;&gt;""),$R9="TBD")</formula>
    </cfRule>
  </conditionalFormatting>
  <conditionalFormatting sqref="O18 O20">
    <cfRule type="expression" dxfId="391" priority="22">
      <formula>AND(OR($O17&lt;&gt;"",$O18&lt;&gt;"",$P17&lt;&gt;""),$R17="TBD")</formula>
    </cfRule>
  </conditionalFormatting>
  <conditionalFormatting sqref="O22 O24 O26 O28 O30 O32 O34 O36">
    <cfRule type="expression" dxfId="390" priority="265">
      <formula>AND(OR($O21&lt;&gt;"",$O22&lt;&gt;"",$P21&lt;&gt;""),$R21="TBD")</formula>
    </cfRule>
  </conditionalFormatting>
  <conditionalFormatting sqref="O9:R14 O15:P16 R15:R16">
    <cfRule type="expression" dxfId="389" priority="12">
      <formula>AND(OR($O9&lt;&gt;"",$O10&lt;&gt;"",$P9&lt;&gt;""),$R9="TBD")</formula>
    </cfRule>
  </conditionalFormatting>
  <conditionalFormatting sqref="O17:R20">
    <cfRule type="expression" dxfId="388" priority="21">
      <formula>AND(OR($O17&lt;&gt;"",$O18&lt;&gt;"",$P17&lt;&gt;""),$R17="TBD")</formula>
    </cfRule>
  </conditionalFormatting>
  <conditionalFormatting sqref="O21:R36">
    <cfRule type="expression" dxfId="387" priority="264">
      <formula>AND(OR($O21&lt;&gt;"",$O22&lt;&gt;"",$P21&lt;&gt;""),$R21="TBD")</formula>
    </cfRule>
  </conditionalFormatting>
  <conditionalFormatting sqref="Q15:Q16">
    <cfRule type="expression" dxfId="386" priority="7">
      <formula>AND(OR($K15&lt;&gt;"",$K16&lt;&gt;"",$L15&lt;&gt;""),$N15="TBD")</formula>
    </cfRule>
  </conditionalFormatting>
  <conditionalFormatting sqref="S10 S12 S14 S16">
    <cfRule type="expression" dxfId="385" priority="11">
      <formula>AND(OR($S9&lt;&gt;"",$S10&lt;&gt;"",$T9&lt;&gt;""),$V9="TBD")</formula>
    </cfRule>
  </conditionalFormatting>
  <conditionalFormatting sqref="S18 S20">
    <cfRule type="expression" dxfId="384" priority="20">
      <formula>AND(OR($S17&lt;&gt;"",$S18&lt;&gt;"",$T17&lt;&gt;""),$V17="TBD")</formula>
    </cfRule>
  </conditionalFormatting>
  <conditionalFormatting sqref="S22 S24 S26 S28 S30 S32 S34 S36">
    <cfRule type="expression" dxfId="383" priority="263">
      <formula>AND(OR($S21&lt;&gt;"",$S22&lt;&gt;"",$T21&lt;&gt;""),$V21="TBD")</formula>
    </cfRule>
  </conditionalFormatting>
  <conditionalFormatting sqref="S9:T16 V9:V16 S21:V36">
    <cfRule type="expression" dxfId="382" priority="262">
      <formula>AND(OR($S9&lt;&gt;"",$S10&lt;&gt;"",$T9&lt;&gt;""),$V9="TBD")</formula>
    </cfRule>
  </conditionalFormatting>
  <conditionalFormatting sqref="S17:V20">
    <cfRule type="expression" dxfId="381" priority="19">
      <formula>AND(OR($S17&lt;&gt;"",$S18&lt;&gt;"",$T17&lt;&gt;""),$V17="TBD")</formula>
    </cfRule>
  </conditionalFormatting>
  <conditionalFormatting sqref="U9:U16">
    <cfRule type="expression" dxfId="380" priority="1">
      <formula>AND(OR($K9&lt;&gt;"",$K10&lt;&gt;"",$L9&lt;&gt;""),$N9="TBD")</formula>
    </cfRule>
  </conditionalFormatting>
  <conditionalFormatting sqref="W10 W12 W14 W16">
    <cfRule type="expression" dxfId="379" priority="9">
      <formula>AND(OR($W9&lt;&gt;"",$W10&lt;&gt;"",$X9&lt;&gt;""),$Z9="TBD")</formula>
    </cfRule>
  </conditionalFormatting>
  <conditionalFormatting sqref="W18 W20">
    <cfRule type="expression" dxfId="378" priority="18">
      <formula>AND(OR($W17&lt;&gt;"",$W18&lt;&gt;"",$X17&lt;&gt;""),$Z17="TBD")</formula>
    </cfRule>
  </conditionalFormatting>
  <conditionalFormatting sqref="W22 W24 W26 W28 W30 W32 W34 W36">
    <cfRule type="expression" dxfId="377" priority="259">
      <formula>AND(OR($W21&lt;&gt;"",$W22&lt;&gt;"",$X21&lt;&gt;""),$Z21="TBD")</formula>
    </cfRule>
  </conditionalFormatting>
  <conditionalFormatting sqref="W9:Z16 W21:Z36">
    <cfRule type="expression" dxfId="376" priority="258">
      <formula>AND(OR($W9&lt;&gt;"",$W10&lt;&gt;"",$X9&lt;&gt;""),$Z9="TBD")</formula>
    </cfRule>
  </conditionalFormatting>
  <conditionalFormatting sqref="W17:Z20">
    <cfRule type="expression" dxfId="375" priority="17">
      <formula>AND(OR($W17&lt;&gt;"",$W18&lt;&gt;"",$X17&lt;&gt;""),$Z17="TBD")</formula>
    </cfRule>
  </conditionalFormatting>
  <dataValidations count="6">
    <dataValidation type="list" allowBlank="1" showInputMessage="1" showErrorMessage="1" sqref="J9:J36" xr:uid="{00000000-0002-0000-0900-000000000000}">
      <formula1>Country</formula1>
    </dataValidation>
    <dataValidation type="list" allowBlank="1" showInputMessage="1" showErrorMessage="1" sqref="I9:I36" xr:uid="{00000000-0002-0000-0900-000001000000}">
      <formula1>MergedAndDistinctPR</formula1>
    </dataValidation>
    <dataValidation type="list" allowBlank="1" showInputMessage="1" showErrorMessage="1" sqref="B9:B36" xr:uid="{00000000-0002-0000-0900-000002000000}">
      <formula1>OutcomeIndicator</formula1>
    </dataValidation>
    <dataValidation type="date" operator="greaterThan" allowBlank="1" showInputMessage="1" showErrorMessage="1" sqref="M9:M36 Y9:Y36 U9:U36 Q9:Q36" xr:uid="{00000000-0002-0000-0900-000003000000}">
      <formula1>36526</formula1>
    </dataValidation>
    <dataValidation type="decimal" operator="greaterThanOrEqual" allowBlank="1" showInputMessage="1" showErrorMessage="1" sqref="D9:D36 W9:X36 O9:P36 K9:L36 S9:S36" xr:uid="{00000000-0002-0000-0900-000004000000}">
      <formula1>0</formula1>
    </dataValidation>
    <dataValidation type="list" allowBlank="1" showInputMessage="1" showErrorMessage="1" sqref="F9:F36" xr:uid="{00000000-0002-0000-0900-000005000000}">
      <formula1>baseline_validation</formula1>
    </dataValidation>
  </dataValidations>
  <hyperlinks>
    <hyperlink ref="B5" location="'Instructions-FR'!InstructionC" display="=Translations!A48"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D102"/>
  <sheetViews>
    <sheetView showGridLines="0" tabSelected="1" zoomScale="75" zoomScaleNormal="75" zoomScaleSheetLayoutView="100" workbookViewId="0">
      <pane xSplit="14" ySplit="8" topLeftCell="O28" activePane="bottomRight" state="frozen"/>
      <selection pane="bottomRight" activeCell="G25" sqref="G25:G26"/>
      <selection pane="bottomLeft" activeCell="A9" sqref="A9"/>
      <selection pane="topRight" activeCell="O1" sqref="O1"/>
    </sheetView>
  </sheetViews>
  <sheetFormatPr defaultColWidth="8.75" defaultRowHeight="15.75"/>
  <cols>
    <col min="1" max="1" width="10" customWidth="1"/>
    <col min="2" max="3" width="30.625" hidden="1" customWidth="1"/>
    <col min="4" max="4" width="40.375" customWidth="1"/>
    <col min="5" max="5" width="21.125" hidden="1" customWidth="1"/>
    <col min="6" max="6" width="14.75" customWidth="1"/>
    <col min="7" max="7" width="13.875" customWidth="1"/>
    <col min="8" max="8" width="15.625" customWidth="1"/>
    <col min="9" max="9" width="34.75" customWidth="1"/>
    <col min="10" max="10" width="51.625" hidden="1" customWidth="1"/>
    <col min="11" max="11" width="24.125" hidden="1" customWidth="1"/>
    <col min="12" max="12" width="26.5" hidden="1" customWidth="1"/>
    <col min="13" max="13" width="47.625" hidden="1" customWidth="1"/>
    <col min="14" max="14" width="18.125" hidden="1" customWidth="1"/>
    <col min="15" max="15" width="8.125" bestFit="1" customWidth="1"/>
    <col min="16" max="16" width="15.25" customWidth="1"/>
    <col min="17" max="17" width="13.125" customWidth="1"/>
    <col min="18" max="18" width="11.625" customWidth="1"/>
    <col min="19" max="19" width="14.125" customWidth="1"/>
    <col min="20" max="20" width="15.625" customWidth="1"/>
    <col min="21" max="21" width="12.625" customWidth="1"/>
    <col min="22" max="22" width="10.625" customWidth="1"/>
    <col min="23" max="26" width="12.625" hidden="1" customWidth="1"/>
    <col min="27" max="27" width="14.125" hidden="1" customWidth="1"/>
    <col min="28" max="28" width="11.125" hidden="1" customWidth="1"/>
    <col min="29" max="29" width="13.125" hidden="1" customWidth="1"/>
    <col min="30" max="30" width="14.125" hidden="1" customWidth="1"/>
    <col min="31" max="31" width="10.125" hidden="1" customWidth="1"/>
    <col min="32" max="32" width="16.625" hidden="1" customWidth="1"/>
    <col min="33" max="33" width="14.125" hidden="1" customWidth="1"/>
    <col min="34" max="34" width="13.625" hidden="1" customWidth="1"/>
    <col min="35" max="35" width="16.625" hidden="1" customWidth="1"/>
    <col min="36" max="36" width="14.125" hidden="1" customWidth="1"/>
    <col min="37" max="37" width="13.625" hidden="1" customWidth="1"/>
    <col min="38" max="38" width="16.625" hidden="1" customWidth="1"/>
    <col min="39" max="39" width="59.125" customWidth="1"/>
    <col min="40" max="40" width="34.5" customWidth="1"/>
    <col min="41" max="41" width="30.625" customWidth="1"/>
    <col min="42" max="42" width="59" customWidth="1"/>
    <col min="43" max="46" width="8.625" hidden="1" customWidth="1"/>
    <col min="47" max="47" width="0.125" customWidth="1"/>
    <col min="48" max="48" width="8.125" hidden="1" customWidth="1"/>
    <col min="49" max="49" width="11.125" hidden="1" customWidth="1"/>
    <col min="50" max="50" width="8" hidden="1" customWidth="1"/>
    <col min="51" max="51" width="11.125" hidden="1" customWidth="1"/>
    <col min="52" max="52" width="4.125" hidden="1" customWidth="1"/>
    <col min="53" max="53" width="16.125" hidden="1" customWidth="1"/>
    <col min="54" max="54" width="12.75" hidden="1" customWidth="1"/>
    <col min="55" max="55" width="16.625" hidden="1" customWidth="1"/>
    <col min="56" max="56" width="15.625" hidden="1" customWidth="1"/>
  </cols>
  <sheetData>
    <row r="1" spans="1:56" ht="15.6" customHeight="1">
      <c r="A1" s="553" t="str">
        <f ca="1">Translations!A64</f>
        <v>Marco de desempeño - Indicadores de cobertura - Sección D</v>
      </c>
      <c r="B1" s="554"/>
      <c r="C1" s="554"/>
      <c r="D1" s="554"/>
      <c r="E1" s="554"/>
      <c r="F1" s="554"/>
      <c r="G1" s="554"/>
    </row>
    <row r="2" spans="1:56" ht="15.6" customHeight="1">
      <c r="A2" s="554"/>
      <c r="B2" s="554"/>
      <c r="C2" s="554"/>
      <c r="D2" s="554"/>
      <c r="E2" s="554"/>
      <c r="F2" s="554"/>
      <c r="G2" s="554"/>
    </row>
    <row r="3" spans="1:56" ht="16.5" thickBot="1"/>
    <row r="4" spans="1:56" ht="16.5" thickBot="1">
      <c r="A4" s="116" t="str">
        <f ca="1">Translations!A12</f>
        <v>Navegación de la página</v>
      </c>
      <c r="B4" s="117" t="str">
        <f ca="1">Translations!A48</f>
        <v>Instrucciones</v>
      </c>
      <c r="G4" s="140" t="s">
        <v>3013</v>
      </c>
      <c r="AL4" t="s">
        <v>326</v>
      </c>
    </row>
    <row r="6" spans="1:56">
      <c r="O6" s="19">
        <v>2</v>
      </c>
      <c r="P6" s="19"/>
      <c r="Q6" s="19"/>
      <c r="R6" s="19">
        <v>3</v>
      </c>
      <c r="S6" s="19"/>
      <c r="T6" s="19"/>
      <c r="U6" s="19">
        <v>4</v>
      </c>
      <c r="V6" s="19"/>
      <c r="W6" s="19"/>
      <c r="X6" s="19">
        <v>5</v>
      </c>
      <c r="Y6" s="19"/>
      <c r="Z6" s="19"/>
      <c r="AA6" s="19">
        <v>6</v>
      </c>
      <c r="AB6" s="19"/>
      <c r="AC6" s="19"/>
      <c r="AD6" s="19">
        <v>7</v>
      </c>
      <c r="AG6" s="22">
        <v>8</v>
      </c>
      <c r="AJ6" s="19">
        <v>9</v>
      </c>
    </row>
    <row r="7" spans="1:56">
      <c r="A7" s="118"/>
      <c r="B7" s="118"/>
      <c r="C7" s="118"/>
      <c r="D7" s="118"/>
      <c r="E7" s="118"/>
      <c r="F7" s="118"/>
      <c r="G7" s="118"/>
      <c r="H7" s="118"/>
      <c r="I7" s="118"/>
      <c r="J7" s="118"/>
      <c r="K7" s="118"/>
      <c r="L7" s="118"/>
      <c r="M7" s="118"/>
      <c r="N7" s="118"/>
      <c r="O7" s="559" t="str">
        <f ca="1">IFERROR(IF(YEAR(INDEX('Overview - Section A'!$A$47:$A$54,MATCH(O6,'Overview - Section A'!$B$47:$B$54,0)))&lt;=YEAR('Overview - Section A'!$E$11),TEXT(IFERROR(INDEX('Overview - Section A'!$A$47:$A$54,MATCH(O6,'Overview - Section A'!$B$47:$B$54,0)),""),Setup!$A$33)&amp;" to "&amp;TEXT(IFERROR(INDEX('Overview - Section A'!$E$47:$E$54,MATCH(O6,'Overview - Section A'!$B$47:$B$54,0)),""),Setup!$A$33),""),"")</f>
        <v>1-Jan-23 to 31-Dec-23</v>
      </c>
      <c r="P7" s="559"/>
      <c r="Q7" s="559"/>
      <c r="R7" s="559" t="str">
        <f ca="1">IFERROR(IF(YEAR(INDEX('Overview - Section A'!$A$47:$A$54,MATCH(R6,'Overview - Section A'!$B$47:$B$54,0)))&lt;=YEAR('Overview - Section A'!$E$11),TEXT(IFERROR(INDEX('Overview - Section A'!$A$47:$A$54,MATCH(R6,'Overview - Section A'!$B$47:$B$54,0)),""),Setup!$A$33)&amp;" to "&amp;TEXT(IFERROR(INDEX('Overview - Section A'!$E$47:$E$54,MATCH(R6,'Overview - Section A'!$B$47:$B$54,0)),""),Setup!$A$33),""),"")</f>
        <v>1-Jan-24 to 31-Dec-24</v>
      </c>
      <c r="S7" s="559"/>
      <c r="T7" s="559"/>
      <c r="U7" s="559" t="str">
        <f ca="1">IFERROR(IF(YEAR(INDEX('Overview - Section A'!$A$47:$A$54,MATCH(U6,'Overview - Section A'!$B$47:$B$54,0)))&lt;=YEAR('Overview - Section A'!$E$11),TEXT(IFERROR(INDEX('Overview - Section A'!$A$47:$A$54,MATCH(U6,'Overview - Section A'!$B$47:$B$54,0)),""),Setup!$A$33)&amp;" to "&amp;TEXT(IFERROR(INDEX('Overview - Section A'!$E$47:$E$54,MATCH(U6,'Overview - Section A'!$B$47:$B$54,0)),""),Setup!$A$33),""),"")</f>
        <v>1-Jan-25 to 31-Dec-25</v>
      </c>
      <c r="V7" s="559"/>
      <c r="W7" s="559"/>
      <c r="X7" s="560" t="str">
        <f ca="1">IFERROR(IF(YEAR(INDEX('Overview - Section A'!$A$47:$A$54,MATCH(X6,'Overview - Section A'!$B$47:$B$54,0)))&lt;=YEAR('Overview - Section A'!$E$11),TEXT(IFERROR(INDEX('Overview - Section A'!$A$47:$A$54,MATCH(X6,'Overview - Section A'!$B$47:$B$54,0)),""),Setup!$A$33)&amp;" to "&amp;TEXT(IFERROR(INDEX('Overview - Section A'!$E$47:$E$54,MATCH(X6,'Overview - Section A'!$B$47:$B$54,0)),""),Setup!$A$33),""),"")</f>
        <v/>
      </c>
      <c r="Y7" s="561"/>
      <c r="Z7" s="562"/>
      <c r="AA7" s="559" t="str">
        <f ca="1">IFERROR(IF(YEAR(INDEX('Overview - Section A'!$A$47:$A$54,MATCH(AA6,'Overview - Section A'!$B$47:$B$54,0)))&lt;=YEAR('Overview - Section A'!$E$11),TEXT(IFERROR(INDEX('Overview - Section A'!$A$47:$A$54,MATCH(AA6,'Overview - Section A'!$B$47:$B$54,0)),""),Setup!$A$33)&amp;" to "&amp;TEXT(IFERROR(INDEX('Overview - Section A'!$E$47:$E$54,MATCH(AA6,'Overview - Section A'!$B$47:$B$54,0)),""),Setup!$A$33),""),"")</f>
        <v/>
      </c>
      <c r="AB7" s="559"/>
      <c r="AC7" s="559"/>
      <c r="AD7" s="559" t="str">
        <f ca="1">IFERROR(IF(YEAR(INDEX('Overview - Section A'!$A$47:$A$54,MATCH(AD6,'Overview - Section A'!$B$47:$B$54,0)))&lt;=YEAR('Overview - Section A'!$E$11),TEXT(IFERROR(INDEX('Overview - Section A'!$A$47:$A$54,MATCH(AD6,'Overview - Section A'!$B$47:$B$54,0)),""),Setup!$A$33)&amp;" to "&amp;TEXT(IFERROR(INDEX('Overview - Section A'!$E$47:$E$54,MATCH(AD6,'Overview - Section A'!$B$47:$B$54,0)),""),Setup!$A$33),""),"")</f>
        <v/>
      </c>
      <c r="AE7" s="559"/>
      <c r="AF7" s="559"/>
      <c r="AG7" s="559" t="str">
        <f ca="1">IFERROR(IF(YEAR(INDEX('Overview - Section A'!$A$47:$A$54,MATCH(AG6,'Overview - Section A'!$B$47:$B$54,0)))&lt;=YEAR('Overview - Section A'!$E$11),TEXT(IFERROR(INDEX('Overview - Section A'!$A$47:$A$54,MATCH(AG6,'Overview - Section A'!$B$47:$B$54,0)),""),Setup!$A$33)&amp;" to "&amp;TEXT(IFERROR(INDEX('Overview - Section A'!$E$47:$E$54,MATCH(AG6,'Overview - Section A'!$B$47:$B$54,0)),""),Setup!$A$33),""),"")</f>
        <v/>
      </c>
      <c r="AH7" s="559"/>
      <c r="AI7" s="559"/>
      <c r="AJ7" s="559" t="str">
        <f ca="1">IFERROR(IF(YEAR(INDEX('Overview - Section A'!$A$47:$A$54,MATCH(AJ6,'Overview - Section A'!$B$47:$B$54,0)))&lt;=YEAR('Overview - Section A'!$E$11),TEXT(IFERROR(INDEX('Overview - Section A'!$A$47:$A$54,MATCH(AJ6,'Overview - Section A'!$B$47:$B$54,0)),""),Setup!$A$33)&amp;" to "&amp;TEXT(IFERROR(INDEX('Overview - Section A'!$E$47:$E$54,MATCH(AJ6,'Overview - Section A'!$B$47:$B$54,0)),""),Setup!$A$33),""),"")</f>
        <v/>
      </c>
      <c r="AK7" s="559"/>
      <c r="AL7" s="559"/>
      <c r="AM7" s="118"/>
      <c r="AN7" s="143"/>
      <c r="AO7" s="143"/>
      <c r="AP7" s="143"/>
    </row>
    <row r="8" spans="1:56" ht="78.75">
      <c r="A8" s="119" t="str">
        <f ca="1">Translations!A65</f>
        <v xml:space="preserve">Número del Indicador de cobertura </v>
      </c>
      <c r="B8" s="119" t="s">
        <v>5282</v>
      </c>
      <c r="C8" s="119" t="s">
        <v>91</v>
      </c>
      <c r="D8" s="119" t="s">
        <v>99</v>
      </c>
      <c r="E8" s="119" t="s">
        <v>104</v>
      </c>
      <c r="F8" s="119" t="s">
        <v>5305</v>
      </c>
      <c r="G8" s="119" t="str">
        <f ca="1">Translations!A41</f>
        <v>Línea de base %</v>
      </c>
      <c r="H8" s="119" t="s">
        <v>3014</v>
      </c>
      <c r="I8" s="119" t="s">
        <v>3015</v>
      </c>
      <c r="J8" s="119" t="str">
        <f ca="1">Translations!A51</f>
        <v>Desagregación requerida</v>
      </c>
      <c r="K8" s="119" t="s">
        <v>5354</v>
      </c>
      <c r="L8" s="119" t="s">
        <v>300</v>
      </c>
      <c r="M8" s="119" t="s">
        <v>5357</v>
      </c>
      <c r="N8" s="119" t="s">
        <v>248</v>
      </c>
      <c r="O8" s="119" t="str">
        <f ca="1">Translations!$A$54&amp;CHAR(10)&amp;Translations!$A$55</f>
        <v>Meta N#
Meta D#</v>
      </c>
      <c r="P8" s="119" t="str">
        <f ca="1">Translations!$A$63</f>
        <v>Meta %</v>
      </c>
      <c r="Q8" s="119" t="str">
        <f ca="1">Translations!$A$57</f>
        <v>Marque si la meta es "TBD"</v>
      </c>
      <c r="R8" s="119" t="str">
        <f ca="1">Translations!$A$54&amp;CHAR(10)&amp;Translations!$A$55</f>
        <v>Meta N#
Meta D#</v>
      </c>
      <c r="S8" s="119" t="str">
        <f ca="1">Translations!$A$63</f>
        <v>Meta %</v>
      </c>
      <c r="T8" s="119" t="str">
        <f ca="1">Translations!$A$57</f>
        <v>Marque si la meta es "TBD"</v>
      </c>
      <c r="U8" s="119" t="str">
        <f ca="1">Translations!$A$54&amp;CHAR(10)&amp;Translations!$A$55</f>
        <v>Meta N#
Meta D#</v>
      </c>
      <c r="V8" s="119" t="str">
        <f ca="1">Translations!$A$63</f>
        <v>Meta %</v>
      </c>
      <c r="W8" s="119" t="str">
        <f ca="1">Translations!$A$57</f>
        <v>Marque si la meta es "TBD"</v>
      </c>
      <c r="X8" s="119" t="str">
        <f ca="1">Translations!$A$54&amp;CHAR(10)&amp;Translations!$A$55</f>
        <v>Meta N#
Meta D#</v>
      </c>
      <c r="Y8" s="119" t="str">
        <f ca="1">Translations!$A$63</f>
        <v>Meta %</v>
      </c>
      <c r="Z8" s="119" t="s">
        <v>3018</v>
      </c>
      <c r="AA8" s="119" t="s">
        <v>3016</v>
      </c>
      <c r="AB8" s="119" t="str">
        <f ca="1">Translations!$A$63</f>
        <v>Meta %</v>
      </c>
      <c r="AC8" s="119" t="s">
        <v>3018</v>
      </c>
      <c r="AD8" s="119" t="s">
        <v>3016</v>
      </c>
      <c r="AE8" s="119" t="str">
        <f ca="1">Translations!$A$63</f>
        <v>Meta %</v>
      </c>
      <c r="AF8" s="119" t="s">
        <v>3018</v>
      </c>
      <c r="AG8" s="119" t="s">
        <v>3016</v>
      </c>
      <c r="AH8" s="119" t="str">
        <f ca="1">Translations!$A$63</f>
        <v>Meta %</v>
      </c>
      <c r="AI8" s="119" t="s">
        <v>3018</v>
      </c>
      <c r="AJ8" s="119" t="s">
        <v>3016</v>
      </c>
      <c r="AK8" s="119" t="str">
        <f ca="1">Translations!$A$63</f>
        <v>Meta %</v>
      </c>
      <c r="AL8" s="119" t="s">
        <v>3018</v>
      </c>
      <c r="AM8" s="119" t="s">
        <v>148</v>
      </c>
      <c r="AN8" s="119" t="s">
        <v>5462</v>
      </c>
      <c r="AO8" s="119" t="s">
        <v>5463</v>
      </c>
      <c r="AP8" s="119" t="s">
        <v>5464</v>
      </c>
      <c r="BA8" t="s">
        <v>5465</v>
      </c>
      <c r="BB8" t="s">
        <v>5466</v>
      </c>
    </row>
    <row r="9" spans="1:56" ht="39.6" customHeight="1">
      <c r="A9" s="557">
        <v>1</v>
      </c>
      <c r="B9" s="529" t="s">
        <v>434</v>
      </c>
      <c r="C9" s="529" t="s">
        <v>505</v>
      </c>
      <c r="D9" s="529" t="s">
        <v>1006</v>
      </c>
      <c r="E9" s="529"/>
      <c r="F9" s="422">
        <v>13177</v>
      </c>
      <c r="G9" s="783">
        <f ca="1">IF(OR(INDIRECT("'update Helper'!D"&amp;BA9)="",F9&lt;&gt;0,F10&lt;&gt;0),IF(IFERROR((F9/F10),"")="","",(F9/F10)),INDIRECT("'update Helper'!D"&amp;BA9)/100)</f>
        <v>0.40660968309315887</v>
      </c>
      <c r="H9" s="784">
        <v>2021</v>
      </c>
      <c r="I9" s="767" t="s">
        <v>5453</v>
      </c>
      <c r="J9" s="766" t="str">
        <f>AQ9</f>
        <v>Edad</v>
      </c>
      <c r="K9" s="785" t="s">
        <v>5436</v>
      </c>
      <c r="L9" s="529"/>
      <c r="M9" s="142" t="s">
        <v>2303</v>
      </c>
      <c r="N9" s="786"/>
      <c r="O9" s="422">
        <v>16000</v>
      </c>
      <c r="P9" s="775">
        <f ca="1">IF(OR(INDIRECT("'update Helper'!I"&amp;BB9)="",O9&lt;&gt;0,O10&lt;&gt;0),IF(IFERROR((O9/O10),"")="","",(O9/O10)),INDIRECT("'update Helper'!I"&amp;BB9)/100)</f>
        <v>0.47854045162255121</v>
      </c>
      <c r="Q9" s="784"/>
      <c r="R9" s="422">
        <v>16353</v>
      </c>
      <c r="S9" s="775">
        <f ca="1">IF(OR(INDIRECT("'update Helper'!I"&amp;BB9+1)="",R9&lt;&gt;0,R10&lt;&gt;0),IF(IFERROR((R9/R10),"")="","",(R9/R10)),INDIRECT("'update Helper'!I"&amp;BB9+1)/100)</f>
        <v>0.48165056550424129</v>
      </c>
      <c r="T9" s="784"/>
      <c r="U9" s="422">
        <v>16697</v>
      </c>
      <c r="V9" s="775">
        <f ca="1">IF(OR(INDIRECT("'update Helper'!I"&amp;BB9+2)="",U9&lt;&gt;0,U10&lt;&gt;0),IF(IFERROR((U9/U10),"")="","",(U9/U10)),INDIRECT("'update Helper'!I"&amp;BB9+2)/100)</f>
        <v>0.48443438651463722</v>
      </c>
      <c r="W9" s="785"/>
      <c r="X9" s="141"/>
      <c r="Y9" s="787" t="str">
        <f ca="1">IF(A9=INDIRECT("'update Helper'!F"&amp;$BB9+3),IF(OR(INDIRECT("'update Helper'!I"&amp;BB9+3)="",X9&lt;&gt;0,X10&lt;&gt;0),IF(IFERROR((X9/X10),"")="","",(X9/X10)),INDIRECT("'update Helper'!I"&amp;BB9+3)/100),"")</f>
        <v/>
      </c>
      <c r="Z9" s="785"/>
      <c r="AA9" s="141"/>
      <c r="AB9" s="787" t="str">
        <f ca="1">IF(A9=INDIRECT("'update Helper'!F"&amp;$BB9+4),IF(OR(INDIRECT("'update Helper'!I"&amp;BB9+4)="",AA9&lt;&gt;0,AA10&lt;&gt;0),IF(IFERROR((AA9/AA10),"")="","",(AA9/AA10)),INDIRECT("'update Helper'!I"&amp;BB9+4)/100),"")</f>
        <v/>
      </c>
      <c r="AC9" s="785"/>
      <c r="AD9" s="141"/>
      <c r="AE9" s="787" t="str">
        <f ca="1">IF(A9=INDIRECT("'update Helper'!F"&amp;$BB9+5),IF(A9=INDIRECT("'update Helper'!F"&amp;$BB9+5),IF(OR(INDIRECT("'update Helper'!I"&amp;BB9+5)="",AD9&lt;&gt;0,AD10&lt;&gt;0),IF(IFERROR((AD9/AD10),"")="","",(AD9/AD10)),INDIRECT("'update Helper'!I"&amp;BB9+5)/100),""),"")</f>
        <v/>
      </c>
      <c r="AF9" s="785"/>
      <c r="AG9" s="141"/>
      <c r="AH9" s="787" t="str">
        <f ca="1">IF(A9=INDIRECT("'update Helper'!F"&amp;$BB9+6),IF(OR(INDIRECT("'update Helper'!I"&amp;BB9+6)="",AG9&lt;&gt;0,AG10&lt;&gt;0),IF(IFERROR((AG9/AG10),"")="","",(AG9/AG10)),INDIRECT("'update Helper'!I"&amp;BB9+6)/100),"")</f>
        <v/>
      </c>
      <c r="AI9" s="785"/>
      <c r="AJ9" s="141"/>
      <c r="AK9" s="787" t="str">
        <f ca="1">IF(A9=INDIRECT("'update Helper'!F"&amp;$BB9+6),IF(OR(INDIRECT("'update Helper'!I"&amp;BB9+7)="",AJ9&lt;&gt;0,AJ10&lt;&gt;0),IF(IFERROR((AJ9/AJ10),"")="","",(AJ9/AJ10)),INDIRECT("'update Helper'!I"&amp;BB9+7)/100),"")</f>
        <v/>
      </c>
      <c r="AL9" s="785"/>
      <c r="AM9" s="555" t="s">
        <v>5467</v>
      </c>
      <c r="AN9" s="529"/>
      <c r="AO9" s="529" t="s">
        <v>5455</v>
      </c>
      <c r="AP9" s="529" t="s">
        <v>5468</v>
      </c>
      <c r="AQ9" t="str">
        <f t="array" ref="AQ9">IFERROR(IF(INDEX('Reference Records'!$D$79:$D$156,MATCH(LEFT(D9,255),LEFT('Reference Records'!$C$79:$C$156,255),0))=0,"",INDEX('Reference Records'!$D$79:$D$156,MATCH(LEFT(D9,255),LEFT('Reference Records'!$C$79:$C$156,255),0))),"")</f>
        <v>Edad</v>
      </c>
      <c r="AR9" s="124" t="str">
        <f t="array" ref="AR9">VLOOKUP(LEFT(D9,255),LEFT('Reference Records'!C$78:G155,255),4,0)</f>
        <v>MCI-01045</v>
      </c>
      <c r="AS9" s="124">
        <f>MATCH(AR9,'Reference Records'!$F$656:$F$734,0)+ROW(PopulationByCoverage)-1</f>
        <v>659</v>
      </c>
      <c r="AT9" s="124">
        <f>MATCH(AR9,'Reference Records'!$F$656:$F$734,1)+ROW(PopulationByCoverage)-1</f>
        <v>659</v>
      </c>
      <c r="AU9" t="str">
        <f>D9&amp;E9</f>
        <v>KP-1a⁽ᴹ⁾ Porcentaje de HSH alcanzados por programas de prevención del VIH - paquete definido de servicios</v>
      </c>
      <c r="AV9" t="str">
        <f t="array" ref="AV9">IFERROR(IF(VLOOKUP(LEFT(D9,255),LEFT('Reference Records'!$C$1:$K$759,255),9,0)=0,"",CONCATENATE(VLOOKUP(LEFT(D9,255),LEFT('Reference Records'!$C$1:$K$759,255),9,0),";")),"")</f>
        <v>Non cumulative;Non cumulative – other;Non cumulative - special;</v>
      </c>
      <c r="AW9" t="str">
        <f>CLEAN(IFERROR(LEFT(AV9,SEARCH(";",AV9,1)-1),""))</f>
        <v>Non cumulative</v>
      </c>
      <c r="AX9" t="str">
        <f>SUBSTITUTE(IFERROR(MID(AV9,SEARCH(";",AV9)+1,SEARCH(";",AV9,SEARCH(";",AV9)+1)-SEARCH(";",AV9)-1),""),CHAR(10),"")</f>
        <v>Non cumulative – other</v>
      </c>
      <c r="AY9" s="110" t="str">
        <f>CLEAN(IFERROR(SUBSTITUTE(RIGHT(AV9,LEN(AV9)-SEARCH(";",AV9,SEARCH(";",AV9)+1)),";",""),""))</f>
        <v>Non cumulative - special</v>
      </c>
      <c r="AZ9" s="504" t="str">
        <f>IFERROR(IF(VLOOKUP(B9,'Reference Records'!$F$159:$N$210,9,FALSE)=0,"",VLOOKUP(B9,'Reference Records'!$F$159:$N$210,9,FALSE)),"")</f>
        <v>MCI-00648</v>
      </c>
      <c r="BA9">
        <f>ROW(Coverage_indicators__secton_D)+3</f>
        <v>454</v>
      </c>
      <c r="BB9">
        <f>ROW(Coverage_Indicator_Targets__section_D)+3</f>
        <v>520</v>
      </c>
      <c r="BC9" t="str">
        <f ca="1">IF(INDIRECT("'update Helper'!S"&amp;BA9)=0,"",IFERROR(VLOOKUP(INDIRECT("'update Helper'!S"&amp;BA9),'Account Role'!E$1:H$14,4,0),VLOOKUP(INDIRECT("'update Helper'!S"&amp;BA9),'Overview - Section A'!J$26:L$27,3,0)))</f>
        <v/>
      </c>
      <c r="BD9" t="str">
        <f ca="1">IF(INDIRECT("'update Helper'!S"&amp;BA9)=0,"",IFERROR(VLOOKUP(INDIRECT("'update Helper'!U"&amp;BA9),'Account Role'!A$1:B$14,2,0),IFERROR(VLOOKUP(INDIRECT("'update Helper'!AD"&amp;BA9),'Overview - Section A'!J$26:P$91,7,0),"")))</f>
        <v/>
      </c>
    </row>
    <row r="10" spans="1:56" ht="39.6" customHeight="1">
      <c r="A10" s="558"/>
      <c r="B10" s="530"/>
      <c r="C10" s="530"/>
      <c r="D10" s="530"/>
      <c r="E10" s="530"/>
      <c r="F10" s="422">
        <v>32407</v>
      </c>
      <c r="G10" s="788"/>
      <c r="H10" s="781"/>
      <c r="I10" s="772"/>
      <c r="J10" s="771"/>
      <c r="K10" s="770"/>
      <c r="L10" s="530"/>
      <c r="M10" s="789" t="s">
        <v>5183</v>
      </c>
      <c r="N10" s="790"/>
      <c r="O10" s="422">
        <v>33435</v>
      </c>
      <c r="P10" s="776"/>
      <c r="Q10" s="781"/>
      <c r="R10" s="422">
        <v>33952</v>
      </c>
      <c r="S10" s="776"/>
      <c r="T10" s="781"/>
      <c r="U10" s="422">
        <v>34467</v>
      </c>
      <c r="V10" s="776"/>
      <c r="W10" s="770"/>
      <c r="X10" s="141"/>
      <c r="Y10" s="791"/>
      <c r="Z10" s="770"/>
      <c r="AA10" s="141"/>
      <c r="AB10" s="791"/>
      <c r="AC10" s="770"/>
      <c r="AD10" s="141"/>
      <c r="AE10" s="791"/>
      <c r="AF10" s="770"/>
      <c r="AG10" s="141"/>
      <c r="AH10" s="791"/>
      <c r="AI10" s="770"/>
      <c r="AJ10" s="141"/>
      <c r="AK10" s="791"/>
      <c r="AL10" s="770"/>
      <c r="AM10" s="556"/>
      <c r="AN10" s="530"/>
      <c r="AO10" s="530"/>
      <c r="AP10" s="530"/>
      <c r="AY10" s="110"/>
      <c r="AZ10" s="504"/>
    </row>
    <row r="11" spans="1:56" ht="52.9" customHeight="1">
      <c r="A11" s="557">
        <v>2</v>
      </c>
      <c r="B11" s="529" t="s">
        <v>437</v>
      </c>
      <c r="C11" s="529" t="s">
        <v>505</v>
      </c>
      <c r="D11" s="529" t="s">
        <v>1124</v>
      </c>
      <c r="E11" s="529"/>
      <c r="F11" s="422">
        <v>12458</v>
      </c>
      <c r="G11" s="783">
        <f ca="1">IF(OR(INDIRECT("'update Helper'!D"&amp;BA11)="",F11&lt;&gt;0,F12&lt;&gt;0),IF(IFERROR((F11/F12),"")="","",(F11/F12)),INDIRECT("'update Helper'!D"&amp;BA11)/100)</f>
        <v>0.38442311846206068</v>
      </c>
      <c r="H11" s="784">
        <v>2021</v>
      </c>
      <c r="I11" s="767" t="s">
        <v>5453</v>
      </c>
      <c r="J11" s="766" t="str">
        <f>AQ11</f>
        <v>Edad,Resultado de prueba del VIH</v>
      </c>
      <c r="K11" s="785" t="s">
        <v>5436</v>
      </c>
      <c r="L11" s="529"/>
      <c r="M11" s="142" t="s">
        <v>2303</v>
      </c>
      <c r="N11" s="786"/>
      <c r="O11" s="422">
        <v>14799</v>
      </c>
      <c r="P11" s="775">
        <f ca="1">IF(OR(INDIRECT("'update Helper'!I"&amp;BB11)="",O11&lt;&gt;0,O12&lt;&gt;0),IF(IFERROR((O11/O12),"")="","",(O11/O12)),INDIRECT("'update Helper'!I"&amp;BB11)/100)</f>
        <v>0.44262000897263348</v>
      </c>
      <c r="Q11" s="784"/>
      <c r="R11" s="422">
        <v>15126</v>
      </c>
      <c r="S11" s="775">
        <f ca="1">IF(OR(INDIRECT("'update Helper'!I"&amp;BB11+1)="",R11&lt;&gt;0,R12&lt;&gt;0),IF(IFERROR((R11/R12),"")="","",(R11/R12)),INDIRECT("'update Helper'!I"&amp;BB11+1)/100)</f>
        <v>0.44551131008482564</v>
      </c>
      <c r="T11" s="784"/>
      <c r="U11" s="422">
        <v>15444</v>
      </c>
      <c r="V11" s="775">
        <f ca="1">IF(OR(INDIRECT("'update Helper'!I"&amp;BB11+2)="",U11&lt;&gt;0,U12&lt;&gt;0),IF(IFERROR((U11/U12),"")="","",(U11/U12)),INDIRECT("'update Helper'!I"&amp;BB11+2)/100)</f>
        <v>0.44808077291322135</v>
      </c>
      <c r="W11" s="785"/>
      <c r="X11" s="141"/>
      <c r="Y11" s="787" t="str">
        <f ca="1">IF(A11=INDIRECT("'update Helper'!F"&amp;$BB11+3),IF(OR(INDIRECT("'update Helper'!I"&amp;BB11+3)="",X11&lt;&gt;0,X12&lt;&gt;0),IF(IFERROR((X11/X12),"")="","",(X11/X12)),INDIRECT("'update Helper'!I"&amp;BB11+3)/100),"")</f>
        <v/>
      </c>
      <c r="Z11" s="785"/>
      <c r="AA11" s="141"/>
      <c r="AB11" s="787" t="str">
        <f ca="1">IF(A11=INDIRECT("'update Helper'!F"&amp;$BB11+4),IF(OR(INDIRECT("'update Helper'!I"&amp;BB11+4)="",AA11&lt;&gt;0,AA12&lt;&gt;0),IF(IFERROR((AA11/AA12),"")="","",(AA11/AA12)),INDIRECT("'update Helper'!I"&amp;BB11+4)/100),"")</f>
        <v/>
      </c>
      <c r="AC11" s="785"/>
      <c r="AD11" s="141"/>
      <c r="AE11" s="787" t="str">
        <f ca="1">IF(A11=INDIRECT("'update Helper'!F"&amp;$BB11+5),IF(A11=INDIRECT("'update Helper'!F"&amp;$BB11+5),IF(OR(INDIRECT("'update Helper'!I"&amp;BB11+5)="",AD11&lt;&gt;0,AD12&lt;&gt;0),IF(IFERROR((AD11/AD12),"")="","",(AD11/AD12)),INDIRECT("'update Helper'!I"&amp;BB11+5)/100),""),"")</f>
        <v/>
      </c>
      <c r="AF11" s="785"/>
      <c r="AG11" s="141"/>
      <c r="AH11" s="787" t="str">
        <f ca="1">IF(A11=INDIRECT("'update Helper'!F"&amp;$BB11+6),IF(OR(INDIRECT("'update Helper'!I"&amp;BB11+6)="",AG11&lt;&gt;0,AG12&lt;&gt;0),IF(IFERROR((AG11/AG12),"")="","",(AG11/AG12)),INDIRECT("'update Helper'!I"&amp;BB11+6)/100),"")</f>
        <v/>
      </c>
      <c r="AI11" s="785"/>
      <c r="AJ11" s="141"/>
      <c r="AK11" s="787" t="str">
        <f ca="1">IF(A11=INDIRECT("'update Helper'!F"&amp;$BB11+6),IF(OR(INDIRECT("'update Helper'!I"&amp;BB11+7)="",AJ11&lt;&gt;0,AJ12&lt;&gt;0),IF(IFERROR((AJ11/AJ12),"")="","",(AJ11/AJ12)),INDIRECT("'update Helper'!I"&amp;BB11+7)/100),"")</f>
        <v/>
      </c>
      <c r="AL11" s="785"/>
      <c r="AM11" s="555" t="s">
        <v>5469</v>
      </c>
      <c r="AN11" s="529"/>
      <c r="AO11" s="529" t="s">
        <v>5455</v>
      </c>
      <c r="AP11" s="529" t="s">
        <v>5470</v>
      </c>
      <c r="AQ11" t="str">
        <f t="array" ref="AQ11">IFERROR(IF(INDEX('Reference Records'!$D$79:$D$156,MATCH(LEFT(D11,255),LEFT('Reference Records'!$C$79:$C$156,255),0))=0,"",INDEX('Reference Records'!$D$79:$D$156,MATCH(LEFT(D11,255),LEFT('Reference Records'!$C$79:$C$156,255),0))),"")</f>
        <v>Edad,Resultado de prueba del VIH</v>
      </c>
      <c r="AR11" s="124" t="str">
        <f t="array" ref="AR11">VLOOKUP(LEFT(D11,255),LEFT('Reference Records'!C$78:G157,255),4,0)</f>
        <v>MCI-01065</v>
      </c>
      <c r="AS11" s="124">
        <f>MATCH(AR11,'Reference Records'!$F$656:$F$734,0)+ROW(PopulationByCoverage)-1</f>
        <v>679</v>
      </c>
      <c r="AT11" s="124">
        <f>MATCH(AR11,'Reference Records'!$F$656:$F$734,1)+ROW(PopulationByCoverage)-1</f>
        <v>679</v>
      </c>
      <c r="AU11" t="str">
        <f>D11&amp;E11</f>
        <v>HTS-3a⁽ᴹ⁾ Porcentaje de HSH a los que se les ha realizado una prueba de VIH durante el período de reporte y que conocen sus resultados</v>
      </c>
      <c r="AV11" t="str">
        <f t="array" ref="AV11">IFERROR(IF(VLOOKUP(LEFT(D11,255),LEFT('Reference Records'!$C$1:$K$759,255),9,0)=0,"",CONCATENATE(VLOOKUP(LEFT(D11,255),LEFT('Reference Records'!$C$1:$K$759,255),9,0),";")),"")</f>
        <v>Non cumulative;Non cumulative – other;Non cumulative - special;</v>
      </c>
      <c r="AW11" t="str">
        <f>CLEAN(IFERROR(LEFT(AV11,SEARCH(";",AV11,1)-1),""))</f>
        <v>Non cumulative</v>
      </c>
      <c r="AX11" t="str">
        <f>SUBSTITUTE(IFERROR(MID(AV11,SEARCH(";",AV11)+1,SEARCH(";",AV11,SEARCH(";",AV11)+1)-SEARCH(";",AV11)-1),""),CHAR(10),"")</f>
        <v>Non cumulative – other</v>
      </c>
      <c r="AY11" s="110" t="str">
        <f>CLEAN(IFERROR(SUBSTITUTE(RIGHT(AV11,LEN(AV11)-SEARCH(";",AV11,SEARCH(";",AV11)+1)),";",""),""))</f>
        <v>Non cumulative - special</v>
      </c>
      <c r="AZ11" s="504" t="str">
        <f>IFERROR(IF(VLOOKUP(B11,'Reference Records'!$F$159:$N$210,9,FALSE)=0,"",VLOOKUP(B11,'Reference Records'!$F$159:$N$210,9,FALSE)),"")</f>
        <v>MCI-00650</v>
      </c>
      <c r="BA11">
        <f>BA9+1</f>
        <v>455</v>
      </c>
      <c r="BB11">
        <f ca="1">BB9+'update Helper'!$AB$2</f>
        <v>526</v>
      </c>
      <c r="BD11" t="str">
        <f ca="1">IF(INDIRECT("'update Helper'!S"&amp;BA11)=0,"",IFERROR(VLOOKUP(INDIRECT("'update Helper'!U"&amp;BA11),'Account Role'!A$1:B$14,2,0),IFERROR(VLOOKUP(INDIRECT("'update Helper'!AD"&amp;BA11),'Overview - Section A'!J$26:P$91,7,0),"")))</f>
        <v/>
      </c>
    </row>
    <row r="12" spans="1:56" ht="52.9" customHeight="1">
      <c r="A12" s="558"/>
      <c r="B12" s="530"/>
      <c r="C12" s="530"/>
      <c r="D12" s="530"/>
      <c r="E12" s="530"/>
      <c r="F12" s="422">
        <f>+F10</f>
        <v>32407</v>
      </c>
      <c r="G12" s="788"/>
      <c r="H12" s="781"/>
      <c r="I12" s="772"/>
      <c r="J12" s="771"/>
      <c r="K12" s="770"/>
      <c r="L12" s="530"/>
      <c r="M12" s="789" t="s">
        <v>5183</v>
      </c>
      <c r="N12" s="790"/>
      <c r="O12" s="422">
        <f>+O10</f>
        <v>33435</v>
      </c>
      <c r="P12" s="776"/>
      <c r="Q12" s="781"/>
      <c r="R12" s="422">
        <f>+R10</f>
        <v>33952</v>
      </c>
      <c r="S12" s="776"/>
      <c r="T12" s="781"/>
      <c r="U12" s="422">
        <f>+U10</f>
        <v>34467</v>
      </c>
      <c r="V12" s="776"/>
      <c r="W12" s="770"/>
      <c r="X12" s="141"/>
      <c r="Y12" s="791"/>
      <c r="Z12" s="770"/>
      <c r="AA12" s="141"/>
      <c r="AB12" s="791"/>
      <c r="AC12" s="770"/>
      <c r="AD12" s="141"/>
      <c r="AE12" s="791"/>
      <c r="AF12" s="770"/>
      <c r="AG12" s="141"/>
      <c r="AH12" s="791"/>
      <c r="AI12" s="770"/>
      <c r="AJ12" s="141"/>
      <c r="AK12" s="791"/>
      <c r="AL12" s="770"/>
      <c r="AM12" s="556"/>
      <c r="AN12" s="530"/>
      <c r="AO12" s="530"/>
      <c r="AP12" s="530"/>
      <c r="AY12" s="110"/>
      <c r="AZ12" s="504"/>
    </row>
    <row r="13" spans="1:56" ht="40.9" customHeight="1">
      <c r="A13" s="557">
        <v>3</v>
      </c>
      <c r="B13" s="529" t="s">
        <v>434</v>
      </c>
      <c r="C13" s="529" t="s">
        <v>2395</v>
      </c>
      <c r="D13" s="529" t="s">
        <v>1011</v>
      </c>
      <c r="E13" s="529"/>
      <c r="F13" s="422">
        <v>1314</v>
      </c>
      <c r="G13" s="783">
        <f ca="1">IF(OR(INDIRECT("'update Helper'!D"&amp;BA13)="",F13&lt;&gt;0,F14&lt;&gt;0),IF(IFERROR((F13/F14),"")="","",(F13/F14)),INDIRECT("'update Helper'!D"&amp;BA13)/100)</f>
        <v>0.77067448680351902</v>
      </c>
      <c r="H13" s="784">
        <v>2021</v>
      </c>
      <c r="I13" s="767" t="s">
        <v>5453</v>
      </c>
      <c r="J13" s="766" t="str">
        <f>AQ13</f>
        <v>Edad</v>
      </c>
      <c r="K13" s="785"/>
      <c r="L13" s="529"/>
      <c r="M13" s="142" t="s">
        <v>2303</v>
      </c>
      <c r="N13" s="786"/>
      <c r="O13" s="422">
        <v>1332</v>
      </c>
      <c r="P13" s="775">
        <f ca="1">IF(OR(INDIRECT("'update Helper'!I"&amp;BB13)="",O13&lt;&gt;0,O14&lt;&gt;0),IF(IFERROR((O13/O14),"")="","",(O13/O14)),INDIRECT("'update Helper'!I"&amp;BB13)/100)</f>
        <v>0.75724843661171115</v>
      </c>
      <c r="Q13" s="784"/>
      <c r="R13" s="422">
        <v>1390</v>
      </c>
      <c r="S13" s="775">
        <f ca="1">IF(OR(INDIRECT("'update Helper'!I"&amp;BB13+1)="",R13&lt;&gt;0,R14&lt;&gt;0),IF(IFERROR((R13/R14),"")="","",(R13/R14)),INDIRECT("'update Helper'!I"&amp;BB13+1)/100)</f>
        <v>0.77827547592385216</v>
      </c>
      <c r="T13" s="784"/>
      <c r="U13" s="422">
        <v>1453</v>
      </c>
      <c r="V13" s="775">
        <f ca="1">IF(OR(INDIRECT("'update Helper'!I"&amp;BB13+2)="",U13&lt;&gt;0,U14&lt;&gt;0),IF(IFERROR((U13/U14),"")="","",(U13/U14)),INDIRECT("'update Helper'!I"&amp;BB13+2)/100)</f>
        <v>0.80099228224917307</v>
      </c>
      <c r="W13" s="785"/>
      <c r="X13" s="141"/>
      <c r="Y13" s="787" t="str">
        <f ca="1">IF(A13=INDIRECT("'update Helper'!F"&amp;$BB13+3),IF(OR(INDIRECT("'update Helper'!I"&amp;BB13+3)="",X13&lt;&gt;0,X14&lt;&gt;0),IF(IFERROR((X13/X14),"")="","",(X13/X14)),INDIRECT("'update Helper'!I"&amp;BB13+3)/100),"")</f>
        <v/>
      </c>
      <c r="Z13" s="785"/>
      <c r="AA13" s="141"/>
      <c r="AB13" s="787" t="str">
        <f ca="1">IF(A13=INDIRECT("'update Helper'!F"&amp;$BB13+4),IF(OR(INDIRECT("'update Helper'!I"&amp;BB13+4)="",AA13&lt;&gt;0,AA14&lt;&gt;0),IF(IFERROR((AA13/AA14),"")="","",(AA13/AA14)),INDIRECT("'update Helper'!I"&amp;BB13+4)/100),"")</f>
        <v/>
      </c>
      <c r="AC13" s="785"/>
      <c r="AD13" s="141"/>
      <c r="AE13" s="787" t="str">
        <f ca="1">IF(A13=INDIRECT("'update Helper'!F"&amp;$BB13+5),IF(A13=INDIRECT("'update Helper'!F"&amp;$BB13+5),IF(OR(INDIRECT("'update Helper'!I"&amp;BB13+5)="",AD13&lt;&gt;0,AD14&lt;&gt;0),IF(IFERROR((AD13/AD14),"")="","",(AD13/AD14)),INDIRECT("'update Helper'!I"&amp;BB13+5)/100),""),"")</f>
        <v/>
      </c>
      <c r="AF13" s="785"/>
      <c r="AG13" s="141"/>
      <c r="AH13" s="787" t="str">
        <f ca="1">IF(A13=INDIRECT("'update Helper'!F"&amp;$BB13+6),IF(OR(INDIRECT("'update Helper'!I"&amp;BB13+6)="",AG13&lt;&gt;0,AG14&lt;&gt;0),IF(IFERROR((AG13/AG14),"")="","",(AG13/AG14)),INDIRECT("'update Helper'!I"&amp;BB13+6)/100),"")</f>
        <v/>
      </c>
      <c r="AI13" s="785"/>
      <c r="AJ13" s="141"/>
      <c r="AK13" s="787" t="str">
        <f ca="1">IF(A13=INDIRECT("'update Helper'!F"&amp;$BB13+6),IF(OR(INDIRECT("'update Helper'!I"&amp;BB13+7)="",AJ13&lt;&gt;0,AJ14&lt;&gt;0),IF(IFERROR((AJ13/AJ14),"")="","",(AJ13/AJ14)),INDIRECT("'update Helper'!I"&amp;BB13+7)/100),"")</f>
        <v/>
      </c>
      <c r="AL13" s="785"/>
      <c r="AM13" s="555" t="s">
        <v>5471</v>
      </c>
      <c r="AN13" s="529"/>
      <c r="AO13" s="529" t="s">
        <v>5455</v>
      </c>
      <c r="AP13" s="529" t="s">
        <v>5472</v>
      </c>
      <c r="AQ13" t="str">
        <f t="array" ref="AQ13">IFERROR(IF(INDEX('Reference Records'!$D$79:$D$156,MATCH(LEFT(D13,255),LEFT('Reference Records'!$C$79:$C$156,255),0))=0,"",INDEX('Reference Records'!$D$79:$D$156,MATCH(LEFT(D13,255),LEFT('Reference Records'!$C$79:$C$156,255),0))),"")</f>
        <v>Edad</v>
      </c>
      <c r="AR13" s="124" t="str">
        <f t="array" ref="AR13">VLOOKUP(LEFT(D13,255),LEFT('Reference Records'!C$78:G159,255),4,0)</f>
        <v>MCI-01046</v>
      </c>
      <c r="AS13" s="124">
        <f>MATCH(AR13,'Reference Records'!$F$656:$F$734,0)+ROW(PopulationByCoverage)-1</f>
        <v>660</v>
      </c>
      <c r="AT13" s="124">
        <f>MATCH(AR13,'Reference Records'!$F$656:$F$734,1)+ROW(PopulationByCoverage)-1</f>
        <v>660</v>
      </c>
      <c r="AU13" t="str">
        <f>D13&amp;E13</f>
        <v>KP-1b⁽ᴹ⁾ Porcentaje de personas transgénero alcanzados por programas de prevención del VIH - paquete definido de servicios</v>
      </c>
      <c r="AV13" t="str">
        <f t="array" ref="AV13">IFERROR(IF(VLOOKUP(LEFT(D13,255),LEFT('Reference Records'!$C$1:$K$759,255),9,0)=0,"",CONCATENATE(VLOOKUP(LEFT(D13,255),LEFT('Reference Records'!$C$1:$K$759,255),9,0),";")),"")</f>
        <v>Non cumulative;Non cumulative – other;Non cumulative - special;</v>
      </c>
      <c r="AW13" t="str">
        <f>CLEAN(IFERROR(LEFT(AV13,SEARCH(";",AV13,1)-1),""))</f>
        <v>Non cumulative</v>
      </c>
      <c r="AX13" t="str">
        <f>SUBSTITUTE(IFERROR(MID(AV13,SEARCH(";",AV13)+1,SEARCH(";",AV13,SEARCH(";",AV13)+1)-SEARCH(";",AV13)-1),""),CHAR(10),"")</f>
        <v>Non cumulative – other</v>
      </c>
      <c r="AY13" s="110" t="str">
        <f>CLEAN(IFERROR(SUBSTITUTE(RIGHT(AV13,LEN(AV13)-SEARCH(";",AV13,SEARCH(";",AV13)+1)),";",""),""))</f>
        <v>Non cumulative - special</v>
      </c>
      <c r="AZ13" s="504" t="str">
        <f>IFERROR(IF(VLOOKUP(B13,'Reference Records'!$F$159:$N$210,9,FALSE)=0,"",VLOOKUP(B13,'Reference Records'!$F$159:$N$210,9,FALSE)),"")</f>
        <v>MCI-00648</v>
      </c>
      <c r="BA13">
        <f>BA11+1</f>
        <v>456</v>
      </c>
      <c r="BB13">
        <f ca="1">BB11+'update Helper'!$AB$2</f>
        <v>532</v>
      </c>
      <c r="BD13" t="str">
        <f ca="1">IF(INDIRECT("'update Helper'!S"&amp;BA13)=0,"",IFERROR(VLOOKUP(INDIRECT("'update Helper'!U"&amp;BA13),'Account Role'!A$1:B$14,2,0),IFERROR(VLOOKUP(INDIRECT("'update Helper'!AD"&amp;BA13),'Overview - Section A'!J$26:P$91,7,0),"")))</f>
        <v/>
      </c>
    </row>
    <row r="14" spans="1:56" ht="69.599999999999994" customHeight="1">
      <c r="A14" s="558"/>
      <c r="B14" s="530"/>
      <c r="C14" s="530"/>
      <c r="D14" s="530"/>
      <c r="E14" s="530"/>
      <c r="F14" s="422">
        <v>1705</v>
      </c>
      <c r="G14" s="788"/>
      <c r="H14" s="781"/>
      <c r="I14" s="772"/>
      <c r="J14" s="771"/>
      <c r="K14" s="770"/>
      <c r="L14" s="530"/>
      <c r="M14" s="789" t="s">
        <v>5183</v>
      </c>
      <c r="N14" s="790"/>
      <c r="O14" s="422">
        <v>1759</v>
      </c>
      <c r="P14" s="776"/>
      <c r="Q14" s="781"/>
      <c r="R14" s="422">
        <v>1786</v>
      </c>
      <c r="S14" s="776"/>
      <c r="T14" s="781"/>
      <c r="U14" s="422">
        <v>1814</v>
      </c>
      <c r="V14" s="776"/>
      <c r="W14" s="770"/>
      <c r="X14" s="141"/>
      <c r="Y14" s="791"/>
      <c r="Z14" s="770"/>
      <c r="AA14" s="141"/>
      <c r="AB14" s="791"/>
      <c r="AC14" s="770"/>
      <c r="AD14" s="141"/>
      <c r="AE14" s="791"/>
      <c r="AF14" s="770"/>
      <c r="AG14" s="141"/>
      <c r="AH14" s="791"/>
      <c r="AI14" s="770"/>
      <c r="AJ14" s="141"/>
      <c r="AK14" s="791"/>
      <c r="AL14" s="770"/>
      <c r="AM14" s="556"/>
      <c r="AN14" s="530"/>
      <c r="AO14" s="530"/>
      <c r="AP14" s="530"/>
      <c r="AY14" s="110"/>
      <c r="AZ14" s="504"/>
    </row>
    <row r="15" spans="1:56" ht="48" customHeight="1">
      <c r="A15" s="557">
        <v>4</v>
      </c>
      <c r="B15" s="529" t="s">
        <v>437</v>
      </c>
      <c r="C15" s="529" t="s">
        <v>2395</v>
      </c>
      <c r="D15" s="529" t="s">
        <v>1129</v>
      </c>
      <c r="E15" s="529"/>
      <c r="F15" s="422">
        <v>434</v>
      </c>
      <c r="G15" s="783">
        <f ca="1">IF(OR(INDIRECT("'update Helper'!D"&amp;BA15)="",F15&lt;&gt;0,F16&lt;&gt;0),IF(IFERROR((F15/F16),"")="","",(F15/F16)),INDIRECT("'update Helper'!D"&amp;BA15)/100)</f>
        <v>0.25454545454545452</v>
      </c>
      <c r="H15" s="784">
        <v>2021</v>
      </c>
      <c r="I15" s="767" t="s">
        <v>5453</v>
      </c>
      <c r="J15" s="766" t="str">
        <f>AQ15</f>
        <v>Edad,Resultado de prueba del VIH</v>
      </c>
      <c r="K15" s="785"/>
      <c r="L15" s="529"/>
      <c r="M15" s="142" t="s">
        <v>2303</v>
      </c>
      <c r="N15" s="786"/>
      <c r="O15" s="422">
        <v>748</v>
      </c>
      <c r="P15" s="775">
        <f ca="1">IF(OR(INDIRECT("'update Helper'!I"&amp;BB15)="",O15&lt;&gt;0,O16&lt;&gt;0),IF(IFERROR((O15/O16),"")="","",(O15/O16)),INDIRECT("'update Helper'!I"&amp;BB15)/100)</f>
        <v>0.42524161455372372</v>
      </c>
      <c r="Q15" s="784"/>
      <c r="R15" s="422">
        <v>772</v>
      </c>
      <c r="S15" s="775">
        <f ca="1">IF(OR(INDIRECT("'update Helper'!I"&amp;BB15+1)="",R15&lt;&gt;0,R16&lt;&gt;0),IF(IFERROR((R15/R16),"")="","",(R15/R16)),INDIRECT("'update Helper'!I"&amp;BB15+1)/100)</f>
        <v>0.43225083986562152</v>
      </c>
      <c r="T15" s="784"/>
      <c r="U15" s="422">
        <v>796</v>
      </c>
      <c r="V15" s="775">
        <f ca="1">IF(OR(INDIRECT("'update Helper'!I"&amp;BB15+2)="",U15&lt;&gt;0,U16&lt;&gt;0),IF(IFERROR((U15/U16),"")="","",(U15/U16)),INDIRECT("'update Helper'!I"&amp;BB15+2)/100)</f>
        <v>0.43880926130099229</v>
      </c>
      <c r="W15" s="785"/>
      <c r="X15" s="141"/>
      <c r="Y15" s="787" t="str">
        <f ca="1">IF(A15=INDIRECT("'update Helper'!F"&amp;$BB15+3),IF(OR(INDIRECT("'update Helper'!I"&amp;BB15+3)="",X15&lt;&gt;0,X16&lt;&gt;0),IF(IFERROR((X15/X16),"")="","",(X15/X16)),INDIRECT("'update Helper'!I"&amp;BB15+3)/100),"")</f>
        <v/>
      </c>
      <c r="Z15" s="785"/>
      <c r="AA15" s="141"/>
      <c r="AB15" s="787" t="str">
        <f ca="1">IF(A15=INDIRECT("'update Helper'!F"&amp;$BB15+4),IF(OR(INDIRECT("'update Helper'!I"&amp;BB15+4)="",AA15&lt;&gt;0,AA16&lt;&gt;0),IF(IFERROR((AA15/AA16),"")="","",(AA15/AA16)),INDIRECT("'update Helper'!I"&amp;BB15+4)/100),"")</f>
        <v/>
      </c>
      <c r="AC15" s="785"/>
      <c r="AD15" s="141"/>
      <c r="AE15" s="787" t="str">
        <f ca="1">IF(A15=INDIRECT("'update Helper'!F"&amp;$BB15+5),IF(A15=INDIRECT("'update Helper'!F"&amp;$BB15+5),IF(OR(INDIRECT("'update Helper'!I"&amp;BB15+5)="",AD15&lt;&gt;0,AD16&lt;&gt;0),IF(IFERROR((AD15/AD16),"")="","",(AD15/AD16)),INDIRECT("'update Helper'!I"&amp;BB15+5)/100),""),"")</f>
        <v/>
      </c>
      <c r="AF15" s="785"/>
      <c r="AG15" s="141"/>
      <c r="AH15" s="787" t="str">
        <f ca="1">IF(A15=INDIRECT("'update Helper'!F"&amp;$BB15+6),IF(OR(INDIRECT("'update Helper'!I"&amp;BB15+6)="",AG15&lt;&gt;0,AG16&lt;&gt;0),IF(IFERROR((AG15/AG16),"")="","",(AG15/AG16)),INDIRECT("'update Helper'!I"&amp;BB15+6)/100),"")</f>
        <v/>
      </c>
      <c r="AI15" s="785"/>
      <c r="AJ15" s="141"/>
      <c r="AK15" s="787" t="str">
        <f ca="1">IF(A15=INDIRECT("'update Helper'!F"&amp;$BB15+6),IF(OR(INDIRECT("'update Helper'!I"&amp;BB15+7)="",AJ15&lt;&gt;0,AJ16&lt;&gt;0),IF(IFERROR((AJ15/AJ16),"")="","",(AJ15/AJ16)),INDIRECT("'update Helper'!I"&amp;BB15+7)/100),"")</f>
        <v/>
      </c>
      <c r="AL15" s="785"/>
      <c r="AM15" s="555" t="s">
        <v>5473</v>
      </c>
      <c r="AN15" s="529"/>
      <c r="AO15" s="529" t="s">
        <v>5455</v>
      </c>
      <c r="AP15" s="529" t="s">
        <v>5474</v>
      </c>
      <c r="AQ15" t="str">
        <f t="array" ref="AQ15">IFERROR(IF(INDEX('Reference Records'!$D$79:$D$156,MATCH(LEFT(D15,255),LEFT('Reference Records'!$C$79:$C$156,255),0))=0,"",INDEX('Reference Records'!$D$79:$D$156,MATCH(LEFT(D15,255),LEFT('Reference Records'!$C$79:$C$156,255),0))),"")</f>
        <v>Edad,Resultado de prueba del VIH</v>
      </c>
      <c r="AR15" s="124" t="str">
        <f t="array" ref="AR15">VLOOKUP(LEFT(D15,255),LEFT('Reference Records'!C$78:G204,255),4,0)</f>
        <v>MCI-01066</v>
      </c>
      <c r="AS15" s="124">
        <f>MATCH(AR15,'Reference Records'!$F$656:$F$734,0)+ROW(PopulationByCoverage)-1</f>
        <v>680</v>
      </c>
      <c r="AT15" s="124">
        <f>MATCH(AR15,'Reference Records'!$F$656:$F$734,1)+ROW(PopulationByCoverage)-1</f>
        <v>680</v>
      </c>
      <c r="AU15" t="str">
        <f>D15&amp;E15</f>
        <v>HTS-3b⁽ᴹ⁾ Porcentaje de personas transgénero a los que se les ha realizado una prueba de VIH durante el período de reporte y que conocen sus resultados</v>
      </c>
      <c r="AV15" t="str">
        <f t="array" ref="AV15">IFERROR(IF(VLOOKUP(LEFT(D15,255),LEFT('Reference Records'!$C$1:$K$759,255),9,0)=0,"",CONCATENATE(VLOOKUP(LEFT(D15,255),LEFT('Reference Records'!$C$1:$K$759,255),9,0),";")),"")</f>
        <v>Non cumulative;Non cumulative – other;Non cumulative - special;</v>
      </c>
      <c r="AW15" t="str">
        <f>CLEAN(IFERROR(LEFT(AV15,SEARCH(";",AV15,1)-1),""))</f>
        <v>Non cumulative</v>
      </c>
      <c r="AX15" t="str">
        <f>SUBSTITUTE(IFERROR(MID(AV15,SEARCH(";",AV15)+1,SEARCH(";",AV15,SEARCH(";",AV15)+1)-SEARCH(";",AV15)-1),""),CHAR(10),"")</f>
        <v>Non cumulative – other</v>
      </c>
      <c r="AY15" s="110" t="str">
        <f>CLEAN(IFERROR(SUBSTITUTE(RIGHT(AV15,LEN(AV15)-SEARCH(";",AV15,SEARCH(";",AV15)+1)),";",""),""))</f>
        <v>Non cumulative - special</v>
      </c>
      <c r="AZ15" s="504" t="str">
        <f>IFERROR(IF(VLOOKUP(B15,'Reference Records'!$F$159:$N$210,9,FALSE)=0,"",VLOOKUP(B15,'Reference Records'!$F$159:$N$210,9,FALSE)),"")</f>
        <v>MCI-00650</v>
      </c>
      <c r="BA15">
        <f>BA13+1</f>
        <v>457</v>
      </c>
      <c r="BB15">
        <f ca="1">BB13+'update Helper'!$AB$2</f>
        <v>538</v>
      </c>
      <c r="BD15" t="str">
        <f ca="1">IF(INDIRECT("'update Helper'!S"&amp;BA15)=0,"",IFERROR(VLOOKUP(INDIRECT("'update Helper'!U"&amp;BA15),'Account Role'!A$1:B$14,2,0),IFERROR(VLOOKUP(INDIRECT("'update Helper'!AD"&amp;BA15),'Overview - Section A'!J$26:P$91,7,0),"")))</f>
        <v/>
      </c>
    </row>
    <row r="16" spans="1:56" ht="48" customHeight="1">
      <c r="A16" s="558"/>
      <c r="B16" s="530"/>
      <c r="C16" s="530"/>
      <c r="D16" s="530"/>
      <c r="E16" s="530"/>
      <c r="F16" s="422">
        <f>+F14</f>
        <v>1705</v>
      </c>
      <c r="G16" s="788"/>
      <c r="H16" s="781"/>
      <c r="I16" s="772"/>
      <c r="J16" s="771"/>
      <c r="K16" s="770"/>
      <c r="L16" s="530"/>
      <c r="M16" s="789" t="s">
        <v>5183</v>
      </c>
      <c r="N16" s="790"/>
      <c r="O16" s="422">
        <f>+O14</f>
        <v>1759</v>
      </c>
      <c r="P16" s="776"/>
      <c r="Q16" s="781"/>
      <c r="R16" s="422">
        <f>+R14</f>
        <v>1786</v>
      </c>
      <c r="S16" s="776"/>
      <c r="T16" s="781"/>
      <c r="U16" s="422">
        <f>+U14</f>
        <v>1814</v>
      </c>
      <c r="V16" s="776"/>
      <c r="W16" s="770"/>
      <c r="X16" s="141"/>
      <c r="Y16" s="791"/>
      <c r="Z16" s="770"/>
      <c r="AA16" s="141"/>
      <c r="AB16" s="791"/>
      <c r="AC16" s="770"/>
      <c r="AD16" s="141"/>
      <c r="AE16" s="791"/>
      <c r="AF16" s="770"/>
      <c r="AG16" s="141"/>
      <c r="AH16" s="791"/>
      <c r="AI16" s="770"/>
      <c r="AJ16" s="141"/>
      <c r="AK16" s="791"/>
      <c r="AL16" s="770"/>
      <c r="AM16" s="556"/>
      <c r="AN16" s="530"/>
      <c r="AO16" s="530"/>
      <c r="AP16" s="530"/>
      <c r="AY16" s="110"/>
      <c r="AZ16" s="504"/>
    </row>
    <row r="17" spans="1:56" ht="36.6" customHeight="1">
      <c r="A17" s="557">
        <v>5</v>
      </c>
      <c r="B17" s="529" t="s">
        <v>440</v>
      </c>
      <c r="C17" s="529" t="s">
        <v>2608</v>
      </c>
      <c r="D17" s="529" t="s">
        <v>1174</v>
      </c>
      <c r="E17" s="529"/>
      <c r="F17" s="422">
        <v>14113</v>
      </c>
      <c r="G17" s="783">
        <f ca="1">IF(OR(INDIRECT("'update Helper'!D"&amp;BA17)="",F17&lt;&gt;0,F18&lt;&gt;0),IF(IFERROR((F17/F18),"")="","",(F17/F18)),INDIRECT("'update Helper'!D"&amp;BA17)/100)</f>
        <v>0.53973535260823002</v>
      </c>
      <c r="H17" s="784">
        <v>2021</v>
      </c>
      <c r="I17" s="767" t="s">
        <v>5453</v>
      </c>
      <c r="J17" s="766" t="str">
        <f>AQ17</f>
        <v>Edad,Género,Duración del tratamiento,Grupo de riesgo objetivo</v>
      </c>
      <c r="K17" s="792"/>
      <c r="L17" s="529"/>
      <c r="M17" s="142" t="s">
        <v>2303</v>
      </c>
      <c r="N17" s="786"/>
      <c r="O17" s="422">
        <v>16269</v>
      </c>
      <c r="P17" s="775">
        <f ca="1">IF(OR(INDIRECT("'update Helper'!I"&amp;BB17)="",O17&lt;&gt;0,O18&lt;&gt;0),IF(IFERROR((O17/O18),"")="","",(O17/O18)),INDIRECT("'update Helper'!I"&amp;BB17)/100)</f>
        <v>0.58819913952059</v>
      </c>
      <c r="Q17" s="784"/>
      <c r="R17" s="422">
        <v>17354</v>
      </c>
      <c r="S17" s="775">
        <f ca="1">IF(OR(INDIRECT("'update Helper'!I"&amp;BB17+1)="",R17&lt;&gt;0,R18&lt;&gt;0),IF(IFERROR((R17/R18),"")="","",(R17/R18)),INDIRECT("'update Helper'!I"&amp;BB17+1)/100)</f>
        <v>0.61013254579334109</v>
      </c>
      <c r="T17" s="784"/>
      <c r="U17" s="422">
        <v>18433</v>
      </c>
      <c r="V17" s="775" t="b">
        <f ca="1">'WPTM - Section F'!B9=IF(OR(INDIRECT("'update Helper'!I"&amp;BB17+2)="",U17&lt;&gt;0,U18&lt;&gt;0),IF(IFERROR((U17/U18),"")="","",(U17/U18)),INDIRECT("'update Helper'!I"&amp;BB17+2)/100)</f>
        <v>0</v>
      </c>
      <c r="W17" s="785"/>
      <c r="X17" s="141"/>
      <c r="Y17" s="787" t="str">
        <f ca="1">IF(A17=INDIRECT("'update Helper'!F"&amp;$BB17+3),IF(OR(INDIRECT("'update Helper'!I"&amp;BB17+3)="",X17&lt;&gt;0,X18&lt;&gt;0),IF(IFERROR((X17/X18),"")="","",(X17/X18)),INDIRECT("'update Helper'!I"&amp;BB17+3)/100),"")</f>
        <v/>
      </c>
      <c r="Z17" s="785"/>
      <c r="AA17" s="141"/>
      <c r="AB17" s="787" t="str">
        <f ca="1">IF(A17=INDIRECT("'update Helper'!F"&amp;$BB17+4),IF(OR(INDIRECT("'update Helper'!I"&amp;BB17+4)="",AA17&lt;&gt;0,AA18&lt;&gt;0),IF(IFERROR((AA17/AA18),"")="","",(AA17/AA18)),INDIRECT("'update Helper'!I"&amp;BB17+4)/100),"")</f>
        <v/>
      </c>
      <c r="AC17" s="785"/>
      <c r="AD17" s="141"/>
      <c r="AE17" s="787" t="str">
        <f ca="1">IF(A17=INDIRECT("'update Helper'!F"&amp;$BB17+5),IF(A17=INDIRECT("'update Helper'!F"&amp;$BB17+5),IF(OR(INDIRECT("'update Helper'!I"&amp;BB17+5)="",AD17&lt;&gt;0,AD18&lt;&gt;0),IF(IFERROR((AD17/AD18),"")="","",(AD17/AD18)),INDIRECT("'update Helper'!I"&amp;BB17+5)/100),""),"")</f>
        <v/>
      </c>
      <c r="AF17" s="785"/>
      <c r="AG17" s="141"/>
      <c r="AH17" s="787" t="str">
        <f ca="1">IF(A17=INDIRECT("'update Helper'!F"&amp;$BB17+6),IF(OR(INDIRECT("'update Helper'!I"&amp;BB17+6)="",AG17&lt;&gt;0,AG18&lt;&gt;0),IF(IFERROR((AG17/AG18),"")="","",(AG17/AG18)),INDIRECT("'update Helper'!I"&amp;BB17+6)/100),"")</f>
        <v/>
      </c>
      <c r="AI17" s="785"/>
      <c r="AJ17" s="141"/>
      <c r="AK17" s="787" t="str">
        <f ca="1">IF(A17=INDIRECT("'update Helper'!F"&amp;$BB17+6),IF(OR(INDIRECT("'update Helper'!I"&amp;BB17+7)="",AJ17&lt;&gt;0,AJ18&lt;&gt;0),IF(IFERROR((AJ17/AJ18),"")="","",(AJ17/AJ18)),INDIRECT("'update Helper'!I"&amp;BB17+7)/100),"")</f>
        <v/>
      </c>
      <c r="AL17" s="785"/>
      <c r="AM17" s="555" t="s">
        <v>5475</v>
      </c>
      <c r="AN17" s="529"/>
      <c r="AO17" s="529" t="s">
        <v>5455</v>
      </c>
      <c r="AP17" s="529" t="s">
        <v>5476</v>
      </c>
      <c r="AQ17" t="str">
        <f t="array" ref="AQ17">IFERROR(IF(INDEX('Reference Records'!$D$79:$D$156,MATCH(LEFT(D17,255),LEFT('Reference Records'!$C$79:$C$156,255),0))=0,"",INDEX('Reference Records'!$D$79:$D$156,MATCH(LEFT(D17,255),LEFT('Reference Records'!$C$79:$C$156,255),0))),"")</f>
        <v>Edad,Género,Duración del tratamiento,Grupo de riesgo objetivo</v>
      </c>
      <c r="AR17" s="124" t="str">
        <f t="array" ref="AR17">VLOOKUP(LEFT(D17,255),LEFT('Reference Records'!C$78:G206,255),4,0)</f>
        <v>MCI-01073</v>
      </c>
      <c r="AS17" s="124">
        <f>MATCH(AR17,'Reference Records'!$F$656:$F$734,0)+ROW(PopulationByCoverage)-1</f>
        <v>687</v>
      </c>
      <c r="AT17" s="124">
        <f>MATCH(AR17,'Reference Records'!$F$656:$F$734,1)+ROW(PopulationByCoverage)-1</f>
        <v>687</v>
      </c>
      <c r="AU17" t="str">
        <f>D17&amp;E17</f>
        <v>TCS-1.1⁽ᴹ⁾ Porcentaje de personas en TARV entre todas las personas viviendo con VIH al final del período de reporte</v>
      </c>
      <c r="AV17" t="str">
        <f t="array" ref="AV17">IFERROR(IF(VLOOKUP(LEFT(D17,255),LEFT('Reference Records'!$C$1:$K$759,255),9,0)=0,"",CONCATENATE(VLOOKUP(LEFT(D17,255),LEFT('Reference Records'!$C$1:$K$759,255),9,0),";")),"")</f>
        <v>Non cumulative – other;</v>
      </c>
      <c r="AW17" t="str">
        <f>CLEAN(IFERROR(LEFT(AV17,SEARCH(";",AV17,1)-1),""))</f>
        <v>Non cumulative – other</v>
      </c>
      <c r="AX17" t="str">
        <f>SUBSTITUTE(IFERROR(MID(AV17,SEARCH(";",AV17)+1,SEARCH(";",AV17,SEARCH(";",AV17)+1)-SEARCH(";",AV17)-1),""),CHAR(10),"")</f>
        <v/>
      </c>
      <c r="AY17" s="110" t="str">
        <f>CLEAN(IFERROR(SUBSTITUTE(RIGHT(AV17,LEN(AV17)-SEARCH(";",AV17,SEARCH(";",AV17)+1)),";",""),""))</f>
        <v/>
      </c>
      <c r="AZ17" s="504" t="str">
        <f>IFERROR(IF(VLOOKUP(B17,'Reference Records'!$F$159:$N$210,9,FALSE)=0,"",VLOOKUP(B17,'Reference Records'!$F$159:$N$210,9,FALSE)),"")</f>
        <v>MCI-00651</v>
      </c>
      <c r="BA17">
        <f>BA15+1</f>
        <v>458</v>
      </c>
      <c r="BB17">
        <f ca="1">BB15+'update Helper'!$AB$2</f>
        <v>544</v>
      </c>
      <c r="BD17" t="str">
        <f ca="1">IF(INDIRECT("'update Helper'!S"&amp;BA17)=0,"",IFERROR(VLOOKUP(INDIRECT("'update Helper'!U"&amp;BA17),'Account Role'!A$1:B$14,2,0),IFERROR(VLOOKUP(INDIRECT("'update Helper'!AD"&amp;BA17),'Overview - Section A'!J$26:P$91,7,0),"")))</f>
        <v/>
      </c>
    </row>
    <row r="18" spans="1:56" ht="36.6" customHeight="1">
      <c r="A18" s="558"/>
      <c r="B18" s="530"/>
      <c r="C18" s="530"/>
      <c r="D18" s="530"/>
      <c r="E18" s="530"/>
      <c r="F18" s="422">
        <v>26148</v>
      </c>
      <c r="G18" s="788"/>
      <c r="H18" s="781"/>
      <c r="I18" s="772"/>
      <c r="J18" s="771"/>
      <c r="K18" s="792"/>
      <c r="L18" s="530"/>
      <c r="M18" s="789" t="s">
        <v>5182</v>
      </c>
      <c r="N18" s="790"/>
      <c r="O18" s="422">
        <v>27659</v>
      </c>
      <c r="P18" s="776"/>
      <c r="Q18" s="781"/>
      <c r="R18" s="422">
        <v>28443</v>
      </c>
      <c r="S18" s="776"/>
      <c r="T18" s="781"/>
      <c r="U18" s="422">
        <v>29227</v>
      </c>
      <c r="V18" s="776"/>
      <c r="W18" s="770"/>
      <c r="X18" s="141"/>
      <c r="Y18" s="791"/>
      <c r="Z18" s="770"/>
      <c r="AA18" s="141"/>
      <c r="AB18" s="791"/>
      <c r="AC18" s="770"/>
      <c r="AD18" s="141"/>
      <c r="AE18" s="791"/>
      <c r="AF18" s="770"/>
      <c r="AG18" s="141"/>
      <c r="AH18" s="791"/>
      <c r="AI18" s="770"/>
      <c r="AJ18" s="141"/>
      <c r="AK18" s="791"/>
      <c r="AL18" s="770"/>
      <c r="AM18" s="556"/>
      <c r="AN18" s="530"/>
      <c r="AO18" s="530"/>
      <c r="AP18" s="530"/>
      <c r="AY18" s="110"/>
      <c r="AZ18" s="504"/>
    </row>
    <row r="19" spans="1:56" ht="30" customHeight="1">
      <c r="A19" s="557">
        <v>6</v>
      </c>
      <c r="B19" s="793" t="s">
        <v>434</v>
      </c>
      <c r="C19" s="777" t="s">
        <v>5477</v>
      </c>
      <c r="D19" s="777" t="s">
        <v>1016</v>
      </c>
      <c r="E19" s="529"/>
      <c r="F19" s="422">
        <v>2045</v>
      </c>
      <c r="G19" s="787">
        <f ca="1">IF(OR(INDIRECT("'update Helper'!D"&amp;BA19)="",F19&lt;&gt;0,F20&lt;&gt;0),IF(IFERROR((F19/F20),"")="","",(F19/F20)),INDIRECT("'update Helper'!D"&amp;BA19)/100)</f>
        <v>9.9916939463526658E-2</v>
      </c>
      <c r="H19" s="784">
        <v>2021</v>
      </c>
      <c r="I19" s="767" t="s">
        <v>5453</v>
      </c>
      <c r="J19" s="766" t="str">
        <f>AQ19</f>
        <v>Género,Edad</v>
      </c>
      <c r="K19" s="785"/>
      <c r="L19" s="529"/>
      <c r="M19" s="142" t="s">
        <v>2303</v>
      </c>
      <c r="N19" s="786"/>
      <c r="O19" s="422">
        <v>2323</v>
      </c>
      <c r="P19" s="775">
        <f ca="1">IF(OR(INDIRECT("'update Helper'!I"&amp;BB19)="",O19&lt;&gt;0,O20&lt;&gt;0),IF(IFERROR((O19/O20),"")="","",(O19/O20)),INDIRECT("'update Helper'!I"&amp;BB19)/100)</f>
        <v>0.11001136578897519</v>
      </c>
      <c r="Q19" s="784"/>
      <c r="R19" s="422">
        <v>5170</v>
      </c>
      <c r="S19" s="775">
        <f ca="1">IF(OR(INDIRECT("'update Helper'!I"&amp;BB19+1)="",R19&lt;&gt;0,R20&lt;&gt;0),IF(IFERROR((R19/R20),"")="","",(R19/R20)),INDIRECT("'update Helper'!I"&amp;BB19+1)/100)</f>
        <v>0.24111556757765135</v>
      </c>
      <c r="T19" s="784"/>
      <c r="U19" s="422">
        <v>6948</v>
      </c>
      <c r="V19" s="775">
        <f ca="1">IF(OR(INDIRECT("'update Helper'!I"&amp;BB19+2)="",U19&lt;&gt;0,U20&lt;&gt;0),IF(IFERROR((U19/U20),"")="","",(U19/U20)),INDIRECT("'update Helper'!I"&amp;BB19+2)/100)</f>
        <v>0.3191841234840132</v>
      </c>
      <c r="W19" s="785"/>
      <c r="X19" s="141"/>
      <c r="Y19" s="787" t="str">
        <f ca="1">IF(A19=INDIRECT("'update Helper'!F"&amp;$BB19+3),IF(OR(INDIRECT("'update Helper'!I"&amp;BB19+3)="",X19&lt;&gt;0,X20&lt;&gt;0),IF(IFERROR((X19/X20),"")="","",(X19/X20)),INDIRECT("'update Helper'!I"&amp;BB19+3)/100),"")</f>
        <v/>
      </c>
      <c r="Z19" s="785"/>
      <c r="AA19" s="141"/>
      <c r="AB19" s="787" t="str">
        <f ca="1">IF(A19=INDIRECT("'update Helper'!F"&amp;$BB19+4),IF(OR(INDIRECT("'update Helper'!I"&amp;BB19+4)="",AA19&lt;&gt;0,AA20&lt;&gt;0),IF(IFERROR((AA19/AA20),"")="","",(AA19/AA20)),INDIRECT("'update Helper'!I"&amp;BB19+4)/100),"")</f>
        <v/>
      </c>
      <c r="AC19" s="785"/>
      <c r="AD19" s="141"/>
      <c r="AE19" s="787" t="str">
        <f ca="1">IF(A19=INDIRECT("'update Helper'!F"&amp;$BB19+5),IF(A19=INDIRECT("'update Helper'!F"&amp;$BB19+5),IF(OR(INDIRECT("'update Helper'!I"&amp;BB19+5)="",AD19&lt;&gt;0,AD20&lt;&gt;0),IF(IFERROR((AD19/AD20),"")="","",(AD19/AD20)),INDIRECT("'update Helper'!I"&amp;BB19+5)/100),""),"")</f>
        <v/>
      </c>
      <c r="AF19" s="785"/>
      <c r="AG19" s="141"/>
      <c r="AH19" s="787" t="str">
        <f ca="1">IF(A19=INDIRECT("'update Helper'!F"&amp;$BB19+6),IF(OR(INDIRECT("'update Helper'!I"&amp;BB19+6)="",AG19&lt;&gt;0,AG20&lt;&gt;0),IF(IFERROR((AG19/AG20),"")="","",(AG19/AG20)),INDIRECT("'update Helper'!I"&amp;BB19+6)/100),"")</f>
        <v/>
      </c>
      <c r="AI19" s="785"/>
      <c r="AJ19" s="141"/>
      <c r="AK19" s="787" t="str">
        <f ca="1">IF(A19=INDIRECT("'update Helper'!F"&amp;$BB19+6),IF(OR(INDIRECT("'update Helper'!I"&amp;BB19+7)="",AJ19&lt;&gt;0,AJ20&lt;&gt;0),IF(IFERROR((AJ19/AJ20),"")="","",(AJ19/AJ20)),INDIRECT("'update Helper'!I"&amp;BB19+7)/100),"")</f>
        <v/>
      </c>
      <c r="AL19" s="785"/>
      <c r="AM19" s="555" t="s">
        <v>5478</v>
      </c>
      <c r="AN19" s="529"/>
      <c r="AO19" s="529" t="s">
        <v>5455</v>
      </c>
      <c r="AP19" s="529" t="s">
        <v>5479</v>
      </c>
      <c r="AQ19" t="str">
        <f t="array" ref="AQ19">IFERROR(IF(INDEX('Reference Records'!$D$79:$D$156,MATCH(LEFT(D19,255),LEFT('Reference Records'!$C$79:$C$156,255),0))=0,"",INDEX('Reference Records'!$D$79:$D$156,MATCH(LEFT(D19,255),LEFT('Reference Records'!$C$79:$C$156,255),0))),"")</f>
        <v>Género,Edad</v>
      </c>
      <c r="AR19" s="124" t="str">
        <f t="array" ref="AR19">VLOOKUP(LEFT(D19,255),LEFT('Reference Records'!C$78:G208,255),4,0)</f>
        <v>MCI-01047</v>
      </c>
      <c r="AS19" s="124">
        <f>MATCH(AR19,'Reference Records'!$F$656:$F$734,0)+ROW(PopulationByCoverage)-1</f>
        <v>661</v>
      </c>
      <c r="AT19" s="124">
        <f>MATCH(AR19,'Reference Records'!$F$656:$F$734,1)+ROW(PopulationByCoverage)-1</f>
        <v>661</v>
      </c>
      <c r="AU19" t="str">
        <f>D19&amp;E19</f>
        <v>KP-1c⁽ᴹ⁾ Porcentaje de trabajadores sexuales alcanzados por programas de prevención del VIH - paquete definido de servicios</v>
      </c>
      <c r="AV19" t="str">
        <f t="array" ref="AV19">IFERROR(IF(VLOOKUP(LEFT(D19,255),LEFT('Reference Records'!$C$1:$K$759,255),9,0)=0,"",CONCATENATE(VLOOKUP(LEFT(D19,255),LEFT('Reference Records'!$C$1:$K$759,255),9,0),";")),"")</f>
        <v>Non cumulative;Non cumulative – other;Non cumulative - special;</v>
      </c>
      <c r="AW19" t="str">
        <f>CLEAN(IFERROR(LEFT(AV19,SEARCH(";",AV19,1)-1),""))</f>
        <v>Non cumulative</v>
      </c>
      <c r="AX19" t="str">
        <f>SUBSTITUTE(IFERROR(MID(AV19,SEARCH(";",AV19)+1,SEARCH(";",AV19,SEARCH(";",AV19)+1)-SEARCH(";",AV19)-1),""),CHAR(10),"")</f>
        <v>Non cumulative – other</v>
      </c>
      <c r="AY19" s="110" t="str">
        <f>CLEAN(IFERROR(SUBSTITUTE(RIGHT(AV19,LEN(AV19)-SEARCH(";",AV19,SEARCH(";",AV19)+1)),";",""),""))</f>
        <v>Non cumulative - special</v>
      </c>
      <c r="AZ19" s="504" t="str">
        <f>IFERROR(IF(VLOOKUP(B19,'Reference Records'!$F$159:$N$210,9,FALSE)=0,"",VLOOKUP(B19,'Reference Records'!$F$159:$N$210,9,FALSE)),"")</f>
        <v>MCI-00648</v>
      </c>
      <c r="BA19">
        <f>BA17+1</f>
        <v>459</v>
      </c>
      <c r="BB19">
        <f ca="1">BB17+'update Helper'!$AB$2</f>
        <v>550</v>
      </c>
      <c r="BD19" t="str">
        <f ca="1">IF(INDIRECT("'update Helper'!S"&amp;BA19)=0,"",IFERROR(VLOOKUP(INDIRECT("'update Helper'!U"&amp;BA19),'Account Role'!A$1:B$14,2,0),IFERROR(VLOOKUP(INDIRECT("'update Helper'!AD"&amp;BA19),'Overview - Section A'!J$26:P$91,7,0),"")))</f>
        <v/>
      </c>
    </row>
    <row r="20" spans="1:56" ht="30" customHeight="1">
      <c r="A20" s="558"/>
      <c r="B20" s="779"/>
      <c r="C20" s="779"/>
      <c r="D20" s="779"/>
      <c r="E20" s="530"/>
      <c r="F20" s="422">
        <v>20467</v>
      </c>
      <c r="G20" s="791"/>
      <c r="H20" s="781"/>
      <c r="I20" s="772"/>
      <c r="J20" s="771"/>
      <c r="K20" s="770"/>
      <c r="L20" s="530"/>
      <c r="M20" s="789" t="s">
        <v>5182</v>
      </c>
      <c r="N20" s="790"/>
      <c r="O20" s="422">
        <v>21116</v>
      </c>
      <c r="P20" s="776"/>
      <c r="Q20" s="781"/>
      <c r="R20" s="422">
        <v>21442</v>
      </c>
      <c r="S20" s="776"/>
      <c r="T20" s="781"/>
      <c r="U20" s="422">
        <v>21768</v>
      </c>
      <c r="V20" s="776"/>
      <c r="W20" s="770"/>
      <c r="X20" s="141"/>
      <c r="Y20" s="791"/>
      <c r="Z20" s="770"/>
      <c r="AA20" s="141"/>
      <c r="AB20" s="791"/>
      <c r="AC20" s="770"/>
      <c r="AD20" s="141"/>
      <c r="AE20" s="791"/>
      <c r="AF20" s="770"/>
      <c r="AG20" s="141"/>
      <c r="AH20" s="791"/>
      <c r="AI20" s="770"/>
      <c r="AJ20" s="141"/>
      <c r="AK20" s="791"/>
      <c r="AL20" s="770"/>
      <c r="AM20" s="556"/>
      <c r="AN20" s="530"/>
      <c r="AO20" s="530"/>
      <c r="AP20" s="530"/>
      <c r="AY20" s="110"/>
      <c r="AZ20" s="504"/>
    </row>
    <row r="21" spans="1:56" ht="30" customHeight="1">
      <c r="A21" s="557">
        <v>7</v>
      </c>
      <c r="B21" s="777" t="s">
        <v>437</v>
      </c>
      <c r="C21" s="777" t="s">
        <v>5477</v>
      </c>
      <c r="D21" s="777" t="s">
        <v>1134</v>
      </c>
      <c r="E21" s="529"/>
      <c r="F21" s="422">
        <v>1771</v>
      </c>
      <c r="G21" s="775">
        <f ca="1">IF(OR(INDIRECT("'update Helper'!D"&amp;BA21)="",F21&lt;&gt;0,F22&lt;&gt;0),IF(IFERROR((F21/F22),"")="","",(F21/F22)),INDIRECT("'update Helper'!D"&amp;BA21)/100)</f>
        <v>8.6529535349587142E-2</v>
      </c>
      <c r="H21" s="784">
        <v>2021</v>
      </c>
      <c r="I21" s="767" t="s">
        <v>5453</v>
      </c>
      <c r="J21" s="766" t="str">
        <f>AQ21</f>
        <v>Edad,Género,Resultado de prueba del VIH</v>
      </c>
      <c r="K21" s="785"/>
      <c r="L21" s="529"/>
      <c r="M21" s="142" t="s">
        <v>2303</v>
      </c>
      <c r="N21" s="786"/>
      <c r="O21" s="422">
        <v>2112</v>
      </c>
      <c r="P21" s="775">
        <f ca="1">IF(OR(INDIRECT("'update Helper'!I"&amp;BB21)="",O21&lt;&gt;0,O22&lt;&gt;0),IF(IFERROR((O21/O22),"")="","",(O21/O22)),INDIRECT("'update Helper'!I"&amp;BB21)/100)</f>
        <v>0.10001894298162531</v>
      </c>
      <c r="Q21" s="784"/>
      <c r="R21" s="422">
        <v>4505</v>
      </c>
      <c r="S21" s="775">
        <f ca="1">IF(OR(INDIRECT("'update Helper'!I"&amp;BB21+1)="",R21&lt;&gt;0,R22&lt;&gt;0),IF(IFERROR((R21/R22),"")="","",(R21/R22)),INDIRECT("'update Helper'!I"&amp;BB21+1)/100)</f>
        <v>0.21010166962037125</v>
      </c>
      <c r="T21" s="784"/>
      <c r="U21" s="422">
        <v>6008</v>
      </c>
      <c r="V21" s="775">
        <f ca="1">IF(OR(INDIRECT("'update Helper'!I"&amp;BB21+2)="",U21&lt;&gt;0,U22&lt;&gt;0),IF(IFERROR((U21/U22),"")="","",(U21/U22)),INDIRECT("'update Helper'!I"&amp;BB21+2)/100)</f>
        <v>0.27600147004777653</v>
      </c>
      <c r="W21" s="785"/>
      <c r="X21" s="141"/>
      <c r="Y21" s="787" t="str">
        <f ca="1">IF(A21=INDIRECT("'update Helper'!F"&amp;$BB21+3),IF(OR(INDIRECT("'update Helper'!I"&amp;BB21+3)="",X21&lt;&gt;0,X22&lt;&gt;0),IF(IFERROR((X21/X22),"")="","",(X21/X22)),INDIRECT("'update Helper'!I"&amp;BB21+3)/100),"")</f>
        <v/>
      </c>
      <c r="Z21" s="785"/>
      <c r="AA21" s="141"/>
      <c r="AB21" s="787" t="str">
        <f ca="1">IF(A21=INDIRECT("'update Helper'!F"&amp;$BB21+4),IF(OR(INDIRECT("'update Helper'!I"&amp;BB21+4)="",AA21&lt;&gt;0,AA22&lt;&gt;0),IF(IFERROR((AA21/AA22),"")="","",(AA21/AA22)),INDIRECT("'update Helper'!I"&amp;BB21+4)/100),"")</f>
        <v/>
      </c>
      <c r="AC21" s="785"/>
      <c r="AD21" s="141"/>
      <c r="AE21" s="787" t="str">
        <f ca="1">IF(A21=INDIRECT("'update Helper'!F"&amp;$BB21+5),IF(A21=INDIRECT("'update Helper'!F"&amp;$BB21+5),IF(OR(INDIRECT("'update Helper'!I"&amp;BB21+5)="",AD21&lt;&gt;0,AD22&lt;&gt;0),IF(IFERROR((AD21/AD22),"")="","",(AD21/AD22)),INDIRECT("'update Helper'!I"&amp;BB21+5)/100),""),"")</f>
        <v/>
      </c>
      <c r="AF21" s="785"/>
      <c r="AG21" s="141"/>
      <c r="AH21" s="787" t="str">
        <f ca="1">IF(A21=INDIRECT("'update Helper'!F"&amp;$BB21+6),IF(OR(INDIRECT("'update Helper'!I"&amp;BB21+6)="",AG21&lt;&gt;0,AG22&lt;&gt;0),IF(IFERROR((AG21/AG22),"")="","",(AG21/AG22)),INDIRECT("'update Helper'!I"&amp;BB21+6)/100),"")</f>
        <v/>
      </c>
      <c r="AI21" s="785"/>
      <c r="AJ21" s="141"/>
      <c r="AK21" s="787" t="str">
        <f ca="1">IF(A21=INDIRECT("'update Helper'!F"&amp;$BB21+6),IF(OR(INDIRECT("'update Helper'!I"&amp;BB21+7)="",AJ21&lt;&gt;0,AJ22&lt;&gt;0),IF(IFERROR((AJ21/AJ22),"")="","",(AJ21/AJ22)),INDIRECT("'update Helper'!I"&amp;BB21+7)/100),"")</f>
        <v/>
      </c>
      <c r="AL21" s="785"/>
      <c r="AM21" s="555" t="s">
        <v>5480</v>
      </c>
      <c r="AN21" s="529"/>
      <c r="AO21" s="529" t="s">
        <v>5455</v>
      </c>
      <c r="AP21" s="529" t="s">
        <v>5481</v>
      </c>
      <c r="AQ21" t="str">
        <f t="array" ref="AQ21">IFERROR(IF(INDEX('Reference Records'!$D$79:$D$156,MATCH(LEFT(D21,255),LEFT('Reference Records'!$C$79:$C$156,255),0))=0,"",INDEX('Reference Records'!$D$79:$D$156,MATCH(LEFT(D21,255),LEFT('Reference Records'!$C$79:$C$156,255),0))),"")</f>
        <v>Edad,Género,Resultado de prueba del VIH</v>
      </c>
      <c r="AR21" s="124" t="str">
        <f t="array" ref="AR21">VLOOKUP(LEFT(D21,255),LEFT('Reference Records'!C$78:G210,255),4,0)</f>
        <v>MCI-01067</v>
      </c>
      <c r="AS21" s="124">
        <f>MATCH(AR21,'Reference Records'!$F$656:$F$734,0)+ROW(PopulationByCoverage)-1</f>
        <v>681</v>
      </c>
      <c r="AT21" s="124">
        <f>MATCH(AR21,'Reference Records'!$F$656:$F$734,1)+ROW(PopulationByCoverage)-1</f>
        <v>681</v>
      </c>
      <c r="AU21" t="str">
        <f>D21&amp;E21</f>
        <v>HTS-3c⁽ᴹ⁾ Porcentaje de trabajadores sexuales a los que se les ha realizado una prueba de VIH durante el período de reporte y que conocen sus resultados</v>
      </c>
      <c r="AV21" t="str">
        <f t="array" ref="AV21">IFERROR(IF(VLOOKUP(LEFT(D21,255),LEFT('Reference Records'!$C$1:$K$759,255),9,0)=0,"",CONCATENATE(VLOOKUP(LEFT(D21,255),LEFT('Reference Records'!$C$1:$K$759,255),9,0),";")),"")</f>
        <v>Non cumulative;Non cumulative – other;Non cumulative - special;</v>
      </c>
      <c r="AW21" t="str">
        <f>CLEAN(IFERROR(LEFT(AV21,SEARCH(";",AV21,1)-1),""))</f>
        <v>Non cumulative</v>
      </c>
      <c r="AX21" t="str">
        <f>SUBSTITUTE(IFERROR(MID(AV21,SEARCH(";",AV21)+1,SEARCH(";",AV21,SEARCH(";",AV21)+1)-SEARCH(";",AV21)-1),""),CHAR(10),"")</f>
        <v>Non cumulative – other</v>
      </c>
      <c r="AY21" s="110" t="str">
        <f>CLEAN(IFERROR(SUBSTITUTE(RIGHT(AV21,LEN(AV21)-SEARCH(";",AV21,SEARCH(";",AV21)+1)),";",""),""))</f>
        <v>Non cumulative - special</v>
      </c>
      <c r="AZ21" s="504" t="str">
        <f>IFERROR(IF(VLOOKUP(B21,'Reference Records'!$F$159:$N$210,9,FALSE)=0,"",VLOOKUP(B21,'Reference Records'!$F$159:$N$210,9,FALSE)),"")</f>
        <v>MCI-00650</v>
      </c>
      <c r="BA21">
        <f>BA19+1</f>
        <v>460</v>
      </c>
      <c r="BB21">
        <f ca="1">BB19+'update Helper'!$AB$2</f>
        <v>556</v>
      </c>
      <c r="BD21" t="str">
        <f ca="1">IF(INDIRECT("'update Helper'!S"&amp;BA21)=0,"",IFERROR(VLOOKUP(INDIRECT("'update Helper'!U"&amp;BA21),'Account Role'!A$1:B$14,2,0),IFERROR(VLOOKUP(INDIRECT("'update Helper'!AD"&amp;BA21),'Overview - Section A'!J$26:P$91,7,0),"")))</f>
        <v/>
      </c>
    </row>
    <row r="22" spans="1:56" ht="30" customHeight="1">
      <c r="A22" s="558"/>
      <c r="B22" s="779"/>
      <c r="C22" s="779"/>
      <c r="D22" s="779"/>
      <c r="E22" s="530"/>
      <c r="F22" s="422">
        <f>+F20</f>
        <v>20467</v>
      </c>
      <c r="G22" s="776"/>
      <c r="H22" s="781"/>
      <c r="I22" s="772"/>
      <c r="J22" s="771"/>
      <c r="K22" s="770"/>
      <c r="L22" s="530"/>
      <c r="M22" s="789" t="s">
        <v>5182</v>
      </c>
      <c r="N22" s="790"/>
      <c r="O22" s="422">
        <f>+O20</f>
        <v>21116</v>
      </c>
      <c r="P22" s="776"/>
      <c r="Q22" s="781"/>
      <c r="R22" s="422">
        <f>+R20</f>
        <v>21442</v>
      </c>
      <c r="S22" s="776"/>
      <c r="T22" s="781"/>
      <c r="U22" s="422">
        <f>+U20</f>
        <v>21768</v>
      </c>
      <c r="V22" s="776"/>
      <c r="W22" s="770"/>
      <c r="X22" s="141"/>
      <c r="Y22" s="791"/>
      <c r="Z22" s="770"/>
      <c r="AA22" s="141"/>
      <c r="AB22" s="791"/>
      <c r="AC22" s="770"/>
      <c r="AD22" s="141"/>
      <c r="AE22" s="791"/>
      <c r="AF22" s="770"/>
      <c r="AG22" s="141"/>
      <c r="AH22" s="791"/>
      <c r="AI22" s="770"/>
      <c r="AJ22" s="141"/>
      <c r="AK22" s="791"/>
      <c r="AL22" s="770"/>
      <c r="AM22" s="556"/>
      <c r="AN22" s="530"/>
      <c r="AO22" s="530"/>
      <c r="AP22" s="530"/>
      <c r="AY22" s="110"/>
      <c r="AZ22" s="504"/>
    </row>
    <row r="23" spans="1:56" ht="119.25" customHeight="1">
      <c r="A23" s="557">
        <v>8</v>
      </c>
      <c r="B23" s="529" t="s">
        <v>443</v>
      </c>
      <c r="C23" s="529" t="s">
        <v>512</v>
      </c>
      <c r="D23" s="777" t="s">
        <v>1199</v>
      </c>
      <c r="E23" s="529"/>
      <c r="F23" s="141">
        <v>7140</v>
      </c>
      <c r="G23" s="787" t="str">
        <f ca="1">IF(OR(INDIRECT("'update Helper'!D"&amp;BA23)="",F23&lt;&gt;0,F24&lt;&gt;0),IF(IFERROR((F23/F24),"")="","",(F23/F24)),INDIRECT("'update Helper'!D"&amp;BA23)/100)</f>
        <v/>
      </c>
      <c r="H23" s="785">
        <v>2021</v>
      </c>
      <c r="I23" s="529" t="s">
        <v>3030</v>
      </c>
      <c r="J23" s="766" t="str">
        <f>AQ23</f>
        <v>Edad,Género,Resultado de prueba del VIH,Definición de caso</v>
      </c>
      <c r="K23" s="785"/>
      <c r="L23" s="529"/>
      <c r="M23" s="142" t="s">
        <v>2303</v>
      </c>
      <c r="N23" s="786"/>
      <c r="O23" s="141">
        <v>7800</v>
      </c>
      <c r="P23" s="787" t="str">
        <f ca="1">IF(OR(INDIRECT("'update Helper'!I"&amp;BB23)="",O23&lt;&gt;0,O24&lt;&gt;0),IF(IFERROR((O23/O24),"")="","",(O23/O24)),INDIRECT("'update Helper'!I"&amp;BB23)/100)</f>
        <v/>
      </c>
      <c r="Q23" s="785"/>
      <c r="R23" s="141">
        <v>8400</v>
      </c>
      <c r="S23" s="787" t="str">
        <f ca="1">IF(OR(INDIRECT("'update Helper'!I"&amp;BB23+1)="",R23&lt;&gt;0,R24&lt;&gt;0),IF(IFERROR((R23/R24),"")="","",(R23/R24)),INDIRECT("'update Helper'!I"&amp;BB23+1)/100)</f>
        <v/>
      </c>
      <c r="T23" s="785"/>
      <c r="U23" s="141">
        <v>9000</v>
      </c>
      <c r="V23" s="787" t="str">
        <f ca="1">IF(OR(INDIRECT("'update Helper'!I"&amp;BB23+2)="",U23&lt;&gt;0,U24&lt;&gt;0),IF(IFERROR((U23/U24),"")="","",(U23/U24)),INDIRECT("'update Helper'!I"&amp;BB23+2)/100)</f>
        <v/>
      </c>
      <c r="W23" s="785"/>
      <c r="X23" s="141"/>
      <c r="Y23" s="787" t="str">
        <f ca="1">IF(A23=INDIRECT("'update Helper'!F"&amp;$BB23+3),IF(OR(INDIRECT("'update Helper'!I"&amp;BB23+3)="",X23&lt;&gt;0,X24&lt;&gt;0),IF(IFERROR((X23/X24),"")="","",(X23/X24)),INDIRECT("'update Helper'!I"&amp;BB23+3)/100),"")</f>
        <v/>
      </c>
      <c r="Z23" s="785"/>
      <c r="AA23" s="141"/>
      <c r="AB23" s="787" t="str">
        <f ca="1">IF(A23=INDIRECT("'update Helper'!F"&amp;$BB23+4),IF(OR(INDIRECT("'update Helper'!I"&amp;BB23+4)="",AA23&lt;&gt;0,AA24&lt;&gt;0),IF(IFERROR((AA23/AA24),"")="","",(AA23/AA24)),INDIRECT("'update Helper'!I"&amp;BB23+4)/100),"")</f>
        <v/>
      </c>
      <c r="AC23" s="785"/>
      <c r="AD23" s="141"/>
      <c r="AE23" s="787" t="str">
        <f ca="1">IF(A23=INDIRECT("'update Helper'!F"&amp;$BB23+5),IF(A23=INDIRECT("'update Helper'!F"&amp;$BB23+5),IF(OR(INDIRECT("'update Helper'!I"&amp;BB23+5)="",AD23&lt;&gt;0,AD24&lt;&gt;0),IF(IFERROR((AD23/AD24),"")="","",(AD23/AD24)),INDIRECT("'update Helper'!I"&amp;BB23+5)/100),""),"")</f>
        <v/>
      </c>
      <c r="AF23" s="785"/>
      <c r="AG23" s="141"/>
      <c r="AH23" s="787" t="str">
        <f ca="1">IF(A23=INDIRECT("'update Helper'!F"&amp;$BB23+6),IF(OR(INDIRECT("'update Helper'!I"&amp;BB23+6)="",AG23&lt;&gt;0,AG24&lt;&gt;0),IF(IFERROR((AG23/AG24),"")="","",(AG23/AG24)),INDIRECT("'update Helper'!I"&amp;BB23+6)/100),"")</f>
        <v/>
      </c>
      <c r="AI23" s="785"/>
      <c r="AJ23" s="141"/>
      <c r="AK23" s="787" t="str">
        <f ca="1">IF(A23=INDIRECT("'update Helper'!F"&amp;$BB23+6),IF(OR(INDIRECT("'update Helper'!I"&amp;BB23+7)="",AJ23&lt;&gt;0,AJ24&lt;&gt;0),IF(IFERROR((AJ23/AJ24),"")="","",(AJ23/AJ24)),INDIRECT("'update Helper'!I"&amp;BB23+7)/100),"")</f>
        <v/>
      </c>
      <c r="AL23" s="785"/>
      <c r="AM23" s="741" t="s">
        <v>5482</v>
      </c>
      <c r="AN23" s="529"/>
      <c r="AO23" s="529" t="s">
        <v>3032</v>
      </c>
      <c r="AP23" s="529" t="s">
        <v>5483</v>
      </c>
      <c r="AQ23" t="str">
        <f t="array" ref="AQ23">IFERROR(IF(INDEX('Reference Records'!$D$79:$D$156,MATCH(LEFT(D23,255),LEFT('Reference Records'!$C$79:$C$156,255),0))=0,"",INDEX('Reference Records'!$D$79:$D$156,MATCH(LEFT(D23,255),LEFT('Reference Records'!$C$79:$C$156,255),0))),"")</f>
        <v>Edad,Género,Resultado de prueba del VIH,Definición de caso</v>
      </c>
      <c r="AR23" s="124" t="str">
        <f t="array" ref="AR23">VLOOKUP(LEFT(D23,255),LEFT('Reference Records'!C$78:G212,255),4,0)</f>
        <v>MCI-01076</v>
      </c>
      <c r="AS23" s="124">
        <f>MATCH(AR23,'Reference Records'!$F$656:$F$734,0)+ROW(PopulationByCoverage)-1</f>
        <v>690</v>
      </c>
      <c r="AT23" s="124">
        <f>MATCH(AR23,'Reference Records'!$F$656:$F$734,1)+ROW(PopulationByCoverage)-1</f>
        <v>690</v>
      </c>
      <c r="AU23" t="str">
        <f>D23&amp;E23</f>
        <v>TCP-1⁽ᴹ⁾ Número de casos notificados de todas las formas de tuberculosis (esto es, confirmados bacteriológicamente y con diagnóstico clínico), casos nuevos y recaídas.</v>
      </c>
      <c r="AV23" t="str">
        <f t="array" ref="AV23">IFERROR(IF(VLOOKUP(LEFT(D23,255),LEFT('Reference Records'!$C$1:$K$759,255),9,0)=0,"",CONCATENATE(VLOOKUP(LEFT(D23,255),LEFT('Reference Records'!$C$1:$K$759,255),9,0),";")),"")</f>
        <v>Non cumulative;</v>
      </c>
      <c r="AW23" t="str">
        <f>CLEAN(IFERROR(LEFT(AV23,SEARCH(";",AV23,1)-1),""))</f>
        <v>Non cumulative</v>
      </c>
      <c r="AX23" t="str">
        <f>SUBSTITUTE(IFERROR(MID(AV23,SEARCH(";",AV23)+1,SEARCH(";",AV23,SEARCH(";",AV23)+1)-SEARCH(";",AV23)-1),""),CHAR(10),"")</f>
        <v/>
      </c>
      <c r="AY23" s="110" t="str">
        <f>CLEAN(IFERROR(SUBSTITUTE(RIGHT(AV23,LEN(AV23)-SEARCH(";",AV23,SEARCH(";",AV23)+1)),";",""),""))</f>
        <v/>
      </c>
      <c r="AZ23" s="504" t="str">
        <f>IFERROR(IF(VLOOKUP(B23,'Reference Records'!$F$159:$N$210,9,FALSE)=0,"",VLOOKUP(B23,'Reference Records'!$F$159:$N$210,9,FALSE)),"")</f>
        <v>MCI-00653</v>
      </c>
      <c r="BA23">
        <f>BA21+1</f>
        <v>461</v>
      </c>
      <c r="BB23">
        <f ca="1">BB21+'update Helper'!$AB$2</f>
        <v>562</v>
      </c>
      <c r="BD23" t="str">
        <f ca="1">IF(INDIRECT("'update Helper'!S"&amp;BA23)=0,"",IFERROR(VLOOKUP(INDIRECT("'update Helper'!U"&amp;BA23),'Account Role'!A$1:B$14,2,0),IFERROR(VLOOKUP(INDIRECT("'update Helper'!AD"&amp;BA23),'Overview - Section A'!J$26:P$91,7,0),"")))</f>
        <v/>
      </c>
    </row>
    <row r="24" spans="1:56" ht="170.25" customHeight="1">
      <c r="A24" s="558"/>
      <c r="B24" s="530"/>
      <c r="C24" s="530"/>
      <c r="D24" s="779"/>
      <c r="E24" s="530"/>
      <c r="F24" s="141"/>
      <c r="G24" s="791"/>
      <c r="H24" s="770"/>
      <c r="I24" s="530"/>
      <c r="J24" s="771"/>
      <c r="K24" s="770"/>
      <c r="L24" s="530"/>
      <c r="M24" s="789" t="s">
        <v>5182</v>
      </c>
      <c r="N24" s="790"/>
      <c r="O24" s="141" t="str">
        <f t="shared" ref="O24" ca="1" si="0">IF(A23=INDIRECT("'update Helper'!F"&amp;$BB23),IF(INDIRECT("'update Helper'!J"&amp;BB23)=0,"",INDIRECT("'update Helper'!J"&amp;BB23)),"")</f>
        <v/>
      </c>
      <c r="P24" s="791"/>
      <c r="Q24" s="770"/>
      <c r="R24" s="141"/>
      <c r="S24" s="791"/>
      <c r="T24" s="770"/>
      <c r="U24" s="141"/>
      <c r="V24" s="791"/>
      <c r="W24" s="770"/>
      <c r="X24" s="141"/>
      <c r="Y24" s="791"/>
      <c r="Z24" s="770"/>
      <c r="AA24" s="141"/>
      <c r="AB24" s="791"/>
      <c r="AC24" s="770"/>
      <c r="AD24" s="141"/>
      <c r="AE24" s="791"/>
      <c r="AF24" s="770"/>
      <c r="AG24" s="141"/>
      <c r="AH24" s="791"/>
      <c r="AI24" s="770"/>
      <c r="AJ24" s="141"/>
      <c r="AK24" s="791"/>
      <c r="AL24" s="770"/>
      <c r="AM24" s="748"/>
      <c r="AN24" s="530"/>
      <c r="AO24" s="530"/>
      <c r="AP24" s="530"/>
      <c r="AY24" s="110"/>
      <c r="AZ24" s="504"/>
    </row>
    <row r="25" spans="1:56" ht="87" customHeight="1">
      <c r="A25" s="557">
        <v>9</v>
      </c>
      <c r="B25" s="529" t="s">
        <v>443</v>
      </c>
      <c r="C25" s="529" t="s">
        <v>512</v>
      </c>
      <c r="D25" s="777" t="s">
        <v>1207</v>
      </c>
      <c r="E25" s="529"/>
      <c r="F25" s="141">
        <v>6228</v>
      </c>
      <c r="G25" s="787">
        <f ca="1">IF(OR(INDIRECT("'update Helper'!D"&amp;BA25)="",F25&lt;&gt;0,F26&lt;&gt;0),IF(IFERROR((F25/F26),"")="","",(F25/F26)),INDIRECT("'update Helper'!D"&amp;BA25)/100)</f>
        <v>0.83451695028808792</v>
      </c>
      <c r="H25" s="785">
        <v>2019</v>
      </c>
      <c r="I25" s="529" t="s">
        <v>3030</v>
      </c>
      <c r="J25" s="766" t="str">
        <f>AQ25</f>
        <v>Edad,Género,Resultado de prueba del VIH</v>
      </c>
      <c r="K25" s="785"/>
      <c r="L25" s="529"/>
      <c r="M25" s="142" t="s">
        <v>2303</v>
      </c>
      <c r="N25" s="786"/>
      <c r="O25" s="141">
        <v>7020</v>
      </c>
      <c r="P25" s="787">
        <f ca="1">IF(OR(INDIRECT("'update Helper'!I"&amp;BB25)="",O25&lt;&gt;0,O26&lt;&gt;0),IF(IFERROR((O25/O26),"")="","",(O25/O26)),INDIRECT("'update Helper'!I"&amp;BB25)/100)</f>
        <v>0.9</v>
      </c>
      <c r="Q25" s="785"/>
      <c r="R25" s="141">
        <v>7560</v>
      </c>
      <c r="S25" s="787">
        <f ca="1">IF(OR(INDIRECT("'update Helper'!I"&amp;BB25+1)="",R25&lt;&gt;0,R26&lt;&gt;0),IF(IFERROR((R25/R26),"")="","",(R25/R26)),INDIRECT("'update Helper'!I"&amp;BB25+1)/100)</f>
        <v>0.9</v>
      </c>
      <c r="T25" s="785"/>
      <c r="U25" s="141">
        <v>8100</v>
      </c>
      <c r="V25" s="787">
        <f ca="1">IF(OR(INDIRECT("'update Helper'!I"&amp;BB25+2)="",U25&lt;&gt;0,U26&lt;&gt;0),IF(IFERROR((U25/U26),"")="","",(U25/U26)),INDIRECT("'update Helper'!I"&amp;BB25+2)/100)</f>
        <v>0.9</v>
      </c>
      <c r="W25" s="785"/>
      <c r="X25" s="141"/>
      <c r="Y25" s="787" t="str">
        <f ca="1">IF(A25=INDIRECT("'update Helper'!F"&amp;$BB25+3),IF(OR(INDIRECT("'update Helper'!I"&amp;BB25+3)="",X25&lt;&gt;0,X26&lt;&gt;0),IF(IFERROR((X25/X26),"")="","",(X25/X26)),INDIRECT("'update Helper'!I"&amp;BB25+3)/100),"")</f>
        <v/>
      </c>
      <c r="Z25" s="785"/>
      <c r="AA25" s="141"/>
      <c r="AB25" s="787" t="str">
        <f ca="1">IF(A25=INDIRECT("'update Helper'!F"&amp;$BB25+4),IF(OR(INDIRECT("'update Helper'!I"&amp;BB25+4)="",AA25&lt;&gt;0,AA26&lt;&gt;0),IF(IFERROR((AA25/AA26),"")="","",(AA25/AA26)),INDIRECT("'update Helper'!I"&amp;BB25+4)/100),"")</f>
        <v/>
      </c>
      <c r="AC25" s="785"/>
      <c r="AD25" s="141"/>
      <c r="AE25" s="787" t="str">
        <f ca="1">IF(A25=INDIRECT("'update Helper'!F"&amp;$BB25+5),IF(A25=INDIRECT("'update Helper'!F"&amp;$BB25+5),IF(OR(INDIRECT("'update Helper'!I"&amp;BB25+5)="",AD25&lt;&gt;0,AD26&lt;&gt;0),IF(IFERROR((AD25/AD26),"")="","",(AD25/AD26)),INDIRECT("'update Helper'!I"&amp;BB25+5)/100),""),"")</f>
        <v/>
      </c>
      <c r="AF25" s="785"/>
      <c r="AG25" s="141"/>
      <c r="AH25" s="787" t="str">
        <f ca="1">IF(A25=INDIRECT("'update Helper'!F"&amp;$BB25+6),IF(OR(INDIRECT("'update Helper'!I"&amp;BB25+6)="",AG25&lt;&gt;0,AG26&lt;&gt;0),IF(IFERROR((AG25/AG26),"")="","",(AG25/AG26)),INDIRECT("'update Helper'!I"&amp;BB25+6)/100),"")</f>
        <v/>
      </c>
      <c r="AI25" s="785"/>
      <c r="AJ25" s="141"/>
      <c r="AK25" s="787" t="str">
        <f ca="1">IF(A25=INDIRECT("'update Helper'!F"&amp;$BB25+6),IF(OR(INDIRECT("'update Helper'!I"&amp;BB25+7)="",AJ25&lt;&gt;0,AJ26&lt;&gt;0),IF(IFERROR((AJ25/AJ26),"")="","",(AJ25/AJ26)),INDIRECT("'update Helper'!I"&amp;BB25+7)/100),"")</f>
        <v/>
      </c>
      <c r="AL25" s="785"/>
      <c r="AM25" s="741" t="s">
        <v>5484</v>
      </c>
      <c r="AN25" s="529"/>
      <c r="AO25" s="529" t="s">
        <v>3032</v>
      </c>
      <c r="AP25" s="529" t="s">
        <v>5485</v>
      </c>
      <c r="AQ25" t="str">
        <f t="array" ref="AQ25">IFERROR(IF(INDEX('Reference Records'!$D$79:$D$156,MATCH(LEFT(D25,255),LEFT('Reference Records'!$C$79:$C$156,255),0))=0,"",INDEX('Reference Records'!$D$79:$D$156,MATCH(LEFT(D25,255),LEFT('Reference Records'!$C$79:$C$156,255),0))),"")</f>
        <v>Edad,Género,Resultado de prueba del VIH</v>
      </c>
      <c r="AR25" s="124" t="str">
        <f t="array" ref="AR25">VLOOKUP(LEFT(D25,255),LEFT('Reference Records'!C$78:G351,255),4,0)</f>
        <v>MCI-01077</v>
      </c>
      <c r="AS25" s="124">
        <f>MATCH(AR25,'Reference Records'!$F$656:$F$734,0)+ROW(PopulationByCoverage)-1</f>
        <v>691</v>
      </c>
      <c r="AT25" s="124">
        <f>MATCH(AR25,'Reference Records'!$F$656:$F$734,1)+ROW(PopulationByCoverage)-1</f>
        <v>691</v>
      </c>
      <c r="AU25" t="str">
        <f>D25&amp;E25</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AV25" t="str">
        <f t="array" ref="AV25">IFERROR(IF(VLOOKUP(LEFT(D25,255),LEFT('Reference Records'!$C$1:$K$759,255),9,0)=0,"",CONCATENATE(VLOOKUP(LEFT(D25,255),LEFT('Reference Records'!$C$1:$K$759,255),9,0),";")),"")</f>
        <v>Non cumulative;</v>
      </c>
      <c r="AW25" t="str">
        <f>CLEAN(IFERROR(LEFT(AV25,SEARCH(";",AV25,1)-1),""))</f>
        <v>Non cumulative</v>
      </c>
      <c r="AX25" t="str">
        <f>SUBSTITUTE(IFERROR(MID(AV25,SEARCH(";",AV25)+1,SEARCH(";",AV25,SEARCH(";",AV25)+1)-SEARCH(";",AV25)-1),""),CHAR(10),"")</f>
        <v/>
      </c>
      <c r="AY25" s="110" t="str">
        <f>CLEAN(IFERROR(SUBSTITUTE(RIGHT(AV25,LEN(AV25)-SEARCH(";",AV25,SEARCH(";",AV25)+1)),";",""),""))</f>
        <v/>
      </c>
      <c r="AZ25" s="504" t="str">
        <f>IFERROR(IF(VLOOKUP(B25,'Reference Records'!$F$159:$N$210,9,FALSE)=0,"",VLOOKUP(B25,'Reference Records'!$F$159:$N$210,9,FALSE)),"")</f>
        <v>MCI-00653</v>
      </c>
      <c r="BA25">
        <f>BA23+1</f>
        <v>462</v>
      </c>
      <c r="BB25">
        <f ca="1">BB23+'update Helper'!$AB$2</f>
        <v>568</v>
      </c>
      <c r="BD25" t="str">
        <f ca="1">IF(INDIRECT("'update Helper'!S"&amp;BA25)=0,"",IFERROR(VLOOKUP(INDIRECT("'update Helper'!U"&amp;BA25),'Account Role'!A$1:B$14,2,0),IFERROR(VLOOKUP(INDIRECT("'update Helper'!AD"&amp;BA25),'Overview - Section A'!J$26:P$91,7,0),"")))</f>
        <v/>
      </c>
    </row>
    <row r="26" spans="1:56" ht="144.75" customHeight="1">
      <c r="A26" s="558"/>
      <c r="B26" s="530"/>
      <c r="C26" s="530"/>
      <c r="D26" s="779"/>
      <c r="E26" s="530"/>
      <c r="F26" s="141">
        <v>7463</v>
      </c>
      <c r="G26" s="791"/>
      <c r="H26" s="770"/>
      <c r="I26" s="530"/>
      <c r="J26" s="771"/>
      <c r="K26" s="770"/>
      <c r="L26" s="530"/>
      <c r="M26" s="789" t="s">
        <v>5182</v>
      </c>
      <c r="N26" s="790"/>
      <c r="O26" s="141">
        <v>7800</v>
      </c>
      <c r="P26" s="791"/>
      <c r="Q26" s="770"/>
      <c r="R26" s="141">
        <v>8400</v>
      </c>
      <c r="S26" s="791"/>
      <c r="T26" s="770"/>
      <c r="U26" s="141">
        <v>9000</v>
      </c>
      <c r="V26" s="791"/>
      <c r="W26" s="770"/>
      <c r="X26" s="141"/>
      <c r="Y26" s="791"/>
      <c r="Z26" s="770"/>
      <c r="AA26" s="141"/>
      <c r="AB26" s="791"/>
      <c r="AC26" s="770"/>
      <c r="AD26" s="141"/>
      <c r="AE26" s="791"/>
      <c r="AF26" s="770"/>
      <c r="AG26" s="141"/>
      <c r="AH26" s="791"/>
      <c r="AI26" s="770"/>
      <c r="AJ26" s="141"/>
      <c r="AK26" s="791"/>
      <c r="AL26" s="770"/>
      <c r="AM26" s="748"/>
      <c r="AN26" s="530"/>
      <c r="AO26" s="530"/>
      <c r="AP26" s="530"/>
      <c r="AY26" s="110"/>
      <c r="AZ26" s="504"/>
    </row>
    <row r="27" spans="1:56" ht="62.25" customHeight="1">
      <c r="A27" s="557">
        <v>10</v>
      </c>
      <c r="B27" s="529" t="s">
        <v>443</v>
      </c>
      <c r="C27" s="529" t="s">
        <v>512</v>
      </c>
      <c r="D27" s="777" t="s">
        <v>1251</v>
      </c>
      <c r="E27" s="529"/>
      <c r="F27" s="141">
        <v>1245</v>
      </c>
      <c r="G27" s="787">
        <f ca="1">IF(OR(INDIRECT("'update Helper'!D"&amp;BA27)="",F27&lt;&gt;0,F28&lt;&gt;0),IF(IFERROR((F27/F28),"")="","",(F27/F28)),INDIRECT("'update Helper'!D"&amp;BA27)/100)</f>
        <v>0.20694813829787234</v>
      </c>
      <c r="H27" s="785">
        <v>2020</v>
      </c>
      <c r="I27" s="529" t="s">
        <v>3030</v>
      </c>
      <c r="J27" s="766" t="str">
        <f>AQ27</f>
        <v/>
      </c>
      <c r="K27" s="785"/>
      <c r="L27" s="529"/>
      <c r="M27" s="142" t="s">
        <v>2303</v>
      </c>
      <c r="N27" s="786"/>
      <c r="O27" s="141">
        <v>3300</v>
      </c>
      <c r="P27" s="787">
        <f ca="1">IF(OR(INDIRECT("'update Helper'!I"&amp;BB27)="",O27&lt;&gt;0,O28&lt;&gt;0),IF(IFERROR((O27/O28),"")="","",(O27/O28)),INDIRECT("'update Helper'!I"&amp;BB27)/100)</f>
        <v>0.5</v>
      </c>
      <c r="Q27" s="785"/>
      <c r="R27" s="141">
        <v>4680</v>
      </c>
      <c r="S27" s="787">
        <f ca="1">IF(OR(INDIRECT("'update Helper'!I"&amp;BB27+1)="",R27&lt;&gt;0,R28&lt;&gt;0),IF(IFERROR((R27/R28),"")="","",(R27/R28)),INDIRECT("'update Helper'!I"&amp;BB27+1)/100)</f>
        <v>0.6</v>
      </c>
      <c r="T27" s="785"/>
      <c r="U27" s="141">
        <v>6300</v>
      </c>
      <c r="V27" s="787">
        <f ca="1">IF(OR(INDIRECT("'update Helper'!I"&amp;BB27+2)="",U27&lt;&gt;0,U28&lt;&gt;0),IF(IFERROR((U27/U28),"")="","",(U27/U28)),INDIRECT("'update Helper'!I"&amp;BB27+2)/100)</f>
        <v>0.7</v>
      </c>
      <c r="W27" s="785"/>
      <c r="X27" s="141"/>
      <c r="Y27" s="787" t="str">
        <f ca="1">IF(A27=INDIRECT("'update Helper'!F"&amp;$BB27+3),IF(OR(INDIRECT("'update Helper'!I"&amp;BB27+3)="",X27&lt;&gt;0,X28&lt;&gt;0),IF(IFERROR((X27/X28),"")="","",(X27/X28)),INDIRECT("'update Helper'!I"&amp;BB27+3)/100),"")</f>
        <v/>
      </c>
      <c r="Z27" s="785"/>
      <c r="AA27" s="141"/>
      <c r="AB27" s="787" t="str">
        <f ca="1">IF(A27=INDIRECT("'update Helper'!F"&amp;$BB27+4),IF(OR(INDIRECT("'update Helper'!I"&amp;BB27+4)="",AA27&lt;&gt;0,AA28&lt;&gt;0),IF(IFERROR((AA27/AA28),"")="","",(AA27/AA28)),INDIRECT("'update Helper'!I"&amp;BB27+4)/100),"")</f>
        <v/>
      </c>
      <c r="AC27" s="785"/>
      <c r="AD27" s="141"/>
      <c r="AE27" s="787" t="str">
        <f ca="1">IF(A27=INDIRECT("'update Helper'!F"&amp;$BB27+5),IF(A27=INDIRECT("'update Helper'!F"&amp;$BB27+5),IF(OR(INDIRECT("'update Helper'!I"&amp;BB27+5)="",AD27&lt;&gt;0,AD28&lt;&gt;0),IF(IFERROR((AD27/AD28),"")="","",(AD27/AD28)),INDIRECT("'update Helper'!I"&amp;BB27+5)/100),""),"")</f>
        <v/>
      </c>
      <c r="AF27" s="785"/>
      <c r="AG27" s="141"/>
      <c r="AH27" s="787" t="str">
        <f ca="1">IF(A27=INDIRECT("'update Helper'!F"&amp;$BB27+6),IF(OR(INDIRECT("'update Helper'!I"&amp;BB27+6)="",AG27&lt;&gt;0,AG28&lt;&gt;0),IF(IFERROR((AG27/AG28),"")="","",(AG27/AG28)),INDIRECT("'update Helper'!I"&amp;BB27+6)/100),"")</f>
        <v/>
      </c>
      <c r="AI27" s="785"/>
      <c r="AJ27" s="141"/>
      <c r="AK27" s="787" t="str">
        <f ca="1">IF(A27=INDIRECT("'update Helper'!F"&amp;$BB27+6),IF(OR(INDIRECT("'update Helper'!I"&amp;BB27+7)="",AJ27&lt;&gt;0,AJ28&lt;&gt;0),IF(IFERROR((AJ27/AJ28),"")="","",(AJ27/AJ28)),INDIRECT("'update Helper'!I"&amp;BB27+7)/100),"")</f>
        <v/>
      </c>
      <c r="AL27" s="785"/>
      <c r="AM27" s="741" t="s">
        <v>5486</v>
      </c>
      <c r="AN27" s="529"/>
      <c r="AO27" s="529" t="s">
        <v>3032</v>
      </c>
      <c r="AP27" s="529" t="s">
        <v>5487</v>
      </c>
      <c r="AQ27" t="str">
        <f t="array" ref="AQ27">IFERROR(IF(INDEX('Reference Records'!$D$79:$D$156,MATCH(LEFT(D27,255),LEFT('Reference Records'!$C$79:$C$156,255),0))=0,"",INDEX('Reference Records'!$D$79:$D$156,MATCH(LEFT(D27,255),LEFT('Reference Records'!$C$79:$C$156,255),0))),"")</f>
        <v/>
      </c>
      <c r="AR27" s="124" t="str">
        <f t="array" ref="AR27">VLOOKUP(LEFT(D27,255),LEFT('Reference Records'!C$78:G353,255),4,0)</f>
        <v>MCI-01085</v>
      </c>
      <c r="AS27" s="124">
        <f>MATCH(AR27,'Reference Records'!$F$656:$F$734,0)+ROW(PopulationByCoverage)-1</f>
        <v>699</v>
      </c>
      <c r="AT27" s="124">
        <f>MATCH(AR27,'Reference Records'!$F$656:$F$734,1)+ROW(PopulationByCoverage)-1</f>
        <v>699</v>
      </c>
      <c r="AU27" t="str">
        <f>D27&amp;E27</f>
        <v>TCP-8 Porcentaje de pacientes de tuberculosis notificados como casos nuevos y recaídas analizados con las pruebas rápidas recomendadas por la OMS en el momento del diagnóstico.</v>
      </c>
      <c r="AV27" t="str">
        <f t="array" ref="AV27">IFERROR(IF(VLOOKUP(LEFT(D27,255),LEFT('Reference Records'!$C$1:$K$759,255),9,0)=0,"",CONCATENATE(VLOOKUP(LEFT(D27,255),LEFT('Reference Records'!$C$1:$K$759,255),9,0),";")),"")</f>
        <v>Non cumulative;</v>
      </c>
      <c r="AW27" t="str">
        <f>CLEAN(IFERROR(LEFT(AV27,SEARCH(";",AV27,1)-1),""))</f>
        <v>Non cumulative</v>
      </c>
      <c r="AX27" t="str">
        <f>SUBSTITUTE(IFERROR(MID(AV27,SEARCH(";",AV27)+1,SEARCH(";",AV27,SEARCH(";",AV27)+1)-SEARCH(";",AV27)-1),""),CHAR(10),"")</f>
        <v/>
      </c>
      <c r="AY27" s="110" t="str">
        <f>CLEAN(IFERROR(SUBSTITUTE(RIGHT(AV27,LEN(AV27)-SEARCH(";",AV27,SEARCH(";",AV27)+1)),";",""),""))</f>
        <v/>
      </c>
      <c r="AZ27" s="504" t="str">
        <f>IFERROR(IF(VLOOKUP(B27,'Reference Records'!$F$159:$N$210,9,FALSE)=0,"",VLOOKUP(B27,'Reference Records'!$F$159:$N$210,9,FALSE)),"")</f>
        <v>MCI-00653</v>
      </c>
      <c r="BA27">
        <f>BA25+1</f>
        <v>463</v>
      </c>
      <c r="BB27">
        <f ca="1">BB25+'update Helper'!$AB$2</f>
        <v>574</v>
      </c>
      <c r="BD27" t="str">
        <f ca="1">IF(INDIRECT("'update Helper'!S"&amp;BA27)=0,"",IFERROR(VLOOKUP(INDIRECT("'update Helper'!U"&amp;BA27),'Account Role'!A$1:B$14,2,0),IFERROR(VLOOKUP(INDIRECT("'update Helper'!AD"&amp;BA27),'Overview - Section A'!J$26:P$91,7,0),"")))</f>
        <v/>
      </c>
    </row>
    <row r="28" spans="1:56" ht="201" customHeight="1">
      <c r="A28" s="558"/>
      <c r="B28" s="530"/>
      <c r="C28" s="530"/>
      <c r="D28" s="779"/>
      <c r="E28" s="530"/>
      <c r="F28" s="141">
        <v>6016</v>
      </c>
      <c r="G28" s="791"/>
      <c r="H28" s="770"/>
      <c r="I28" s="530"/>
      <c r="J28" s="771"/>
      <c r="K28" s="770"/>
      <c r="L28" s="530"/>
      <c r="M28" s="789" t="s">
        <v>5182</v>
      </c>
      <c r="N28" s="790"/>
      <c r="O28" s="141">
        <v>6600</v>
      </c>
      <c r="P28" s="791"/>
      <c r="Q28" s="770"/>
      <c r="R28" s="141">
        <v>7800</v>
      </c>
      <c r="S28" s="791"/>
      <c r="T28" s="770"/>
      <c r="U28" s="141">
        <v>9000</v>
      </c>
      <c r="V28" s="791"/>
      <c r="W28" s="770"/>
      <c r="X28" s="141"/>
      <c r="Y28" s="791"/>
      <c r="Z28" s="770"/>
      <c r="AA28" s="141"/>
      <c r="AB28" s="791"/>
      <c r="AC28" s="770"/>
      <c r="AD28" s="141"/>
      <c r="AE28" s="791"/>
      <c r="AF28" s="770"/>
      <c r="AG28" s="141"/>
      <c r="AH28" s="791"/>
      <c r="AI28" s="770"/>
      <c r="AJ28" s="141"/>
      <c r="AK28" s="791"/>
      <c r="AL28" s="770"/>
      <c r="AM28" s="748"/>
      <c r="AN28" s="530"/>
      <c r="AO28" s="530"/>
      <c r="AP28" s="530"/>
      <c r="AY28" s="110"/>
      <c r="AZ28" s="504"/>
    </row>
    <row r="29" spans="1:56" ht="62.25" customHeight="1">
      <c r="A29" s="557">
        <v>11</v>
      </c>
      <c r="B29" s="529" t="s">
        <v>446</v>
      </c>
      <c r="C29" s="529" t="s">
        <v>512</v>
      </c>
      <c r="D29" s="777" t="s">
        <v>1257</v>
      </c>
      <c r="E29" s="529"/>
      <c r="F29" s="141">
        <v>121</v>
      </c>
      <c r="G29" s="787" t="str">
        <f ca="1">IF(OR(INDIRECT("'update Helper'!D"&amp;BA29)="",F29&lt;&gt;0,F30&lt;&gt;0),IF(IFERROR((F29/F30),"")="","",(F29/F30)),INDIRECT("'update Helper'!D"&amp;BA29)/100)</f>
        <v/>
      </c>
      <c r="H29" s="785">
        <v>2021</v>
      </c>
      <c r="I29" s="529" t="s">
        <v>3030</v>
      </c>
      <c r="J29" s="766" t="str">
        <f>AQ29</f>
        <v>Edad,Género</v>
      </c>
      <c r="K29" s="785"/>
      <c r="L29" s="529"/>
      <c r="M29" s="142" t="s">
        <v>2303</v>
      </c>
      <c r="N29" s="786"/>
      <c r="O29" s="141">
        <v>148</v>
      </c>
      <c r="P29" s="787" t="str">
        <f ca="1">IF(OR(INDIRECT("'update Helper'!I"&amp;BB29)="",O29&lt;&gt;0,O30&lt;&gt;0),IF(IFERROR((O29/O30),"")="","",(O29/O30)),INDIRECT("'update Helper'!I"&amp;BB29)/100)</f>
        <v/>
      </c>
      <c r="Q29" s="785"/>
      <c r="R29" s="141">
        <v>171</v>
      </c>
      <c r="S29" s="787" t="str">
        <f ca="1">IF(OR(INDIRECT("'update Helper'!I"&amp;BB29+1)="",R29&lt;&gt;0,R30&lt;&gt;0),IF(IFERROR((R29/R30),"")="","",(R29/R30)),INDIRECT("'update Helper'!I"&amp;BB29+1)/100)</f>
        <v/>
      </c>
      <c r="T29" s="785"/>
      <c r="U29" s="141">
        <v>192</v>
      </c>
      <c r="V29" s="787" t="str">
        <f ca="1">IF(OR(INDIRECT("'update Helper'!I"&amp;BB29+2)="",U29&lt;&gt;0,U30&lt;&gt;0),IF(IFERROR((U29/U30),"")="","",(U29/U30)),INDIRECT("'update Helper'!I"&amp;BB29+2)/100)</f>
        <v/>
      </c>
      <c r="W29" s="785"/>
      <c r="X29" s="141"/>
      <c r="Y29" s="787" t="str">
        <f ca="1">IF(A29=INDIRECT("'update Helper'!F"&amp;$BB29+3),IF(OR(INDIRECT("'update Helper'!I"&amp;BB29+3)="",X29&lt;&gt;0,X30&lt;&gt;0),IF(IFERROR((X29/X30),"")="","",(X29/X30)),INDIRECT("'update Helper'!I"&amp;BB29+3)/100),"")</f>
        <v/>
      </c>
      <c r="Z29" s="785"/>
      <c r="AA29" s="141"/>
      <c r="AB29" s="787" t="str">
        <f ca="1">IF(A29=INDIRECT("'update Helper'!F"&amp;$BB29+4),IF(OR(INDIRECT("'update Helper'!I"&amp;BB29+4)="",AA29&lt;&gt;0,AA30&lt;&gt;0),IF(IFERROR((AA29/AA30),"")="","",(AA29/AA30)),INDIRECT("'update Helper'!I"&amp;BB29+4)/100),"")</f>
        <v/>
      </c>
      <c r="AC29" s="785"/>
      <c r="AD29" s="141"/>
      <c r="AE29" s="787" t="str">
        <f ca="1">IF(A29=INDIRECT("'update Helper'!F"&amp;$BB29+5),IF(A29=INDIRECT("'update Helper'!F"&amp;$BB29+5),IF(OR(INDIRECT("'update Helper'!I"&amp;BB29+5)="",AD29&lt;&gt;0,AD30&lt;&gt;0),IF(IFERROR((AD29/AD30),"")="","",(AD29/AD30)),INDIRECT("'update Helper'!I"&amp;BB29+5)/100),""),"")</f>
        <v/>
      </c>
      <c r="AF29" s="785"/>
      <c r="AG29" s="141"/>
      <c r="AH29" s="787" t="str">
        <f ca="1">IF(A29=INDIRECT("'update Helper'!F"&amp;$BB29+6),IF(OR(INDIRECT("'update Helper'!I"&amp;BB29+6)="",AG29&lt;&gt;0,AG30&lt;&gt;0),IF(IFERROR((AG29/AG30),"")="","",(AG29/AG30)),INDIRECT("'update Helper'!I"&amp;BB29+6)/100),"")</f>
        <v/>
      </c>
      <c r="AI29" s="785"/>
      <c r="AJ29" s="141"/>
      <c r="AK29" s="787" t="str">
        <f ca="1">IF(A29=INDIRECT("'update Helper'!F"&amp;$BB29+6),IF(OR(INDIRECT("'update Helper'!I"&amp;BB29+7)="",AJ29&lt;&gt;0,AJ30&lt;&gt;0),IF(IFERROR((AJ29/AJ30),"")="","",(AJ29/AJ30)),INDIRECT("'update Helper'!I"&amp;BB29+7)/100),"")</f>
        <v/>
      </c>
      <c r="AL29" s="785"/>
      <c r="AM29" s="741" t="s">
        <v>5488</v>
      </c>
      <c r="AN29" s="529"/>
      <c r="AO29" s="529" t="s">
        <v>3032</v>
      </c>
      <c r="AP29" s="529" t="s">
        <v>5489</v>
      </c>
      <c r="AQ29" t="str">
        <f t="array" ref="AQ29">IFERROR(IF(INDEX('Reference Records'!$D$79:$D$156,MATCH(LEFT(D29,255),LEFT('Reference Records'!$C$79:$C$156,255),0))=0,"",INDEX('Reference Records'!$D$79:$D$156,MATCH(LEFT(D29,255),LEFT('Reference Records'!$C$79:$C$156,255),0))),"")</f>
        <v>Edad,Género</v>
      </c>
      <c r="AR29" s="124" t="str">
        <f t="array" ref="AR29">VLOOKUP(LEFT(D29,255),LEFT('Reference Records'!C$78:G355,255),4,0)</f>
        <v>MCI-01086</v>
      </c>
      <c r="AS29" s="124">
        <f>MATCH(AR29,'Reference Records'!$F$656:$F$734,0)+ROW(PopulationByCoverage)-1</f>
        <v>700</v>
      </c>
      <c r="AT29" s="124">
        <f>MATCH(AR29,'Reference Records'!$F$656:$F$734,1)+ROW(PopulationByCoverage)-1</f>
        <v>700</v>
      </c>
      <c r="AU29" t="str">
        <f>D29&amp;E29</f>
        <v>MDR TB-2⁽ᴹ⁾ Número de casos de tuberculosis resistente a la rifampicina y/o multirresistente notificados.</v>
      </c>
      <c r="AV29" t="str">
        <f t="array" ref="AV29">IFERROR(IF(VLOOKUP(LEFT(D29,255),LEFT('Reference Records'!$C$1:$K$759,255),9,0)=0,"",CONCATENATE(VLOOKUP(LEFT(D29,255),LEFT('Reference Records'!$C$1:$K$759,255),9,0),";")),"")</f>
        <v>Non cumulative;</v>
      </c>
      <c r="AW29" t="str">
        <f>CLEAN(IFERROR(LEFT(AV29,SEARCH(";",AV29,1)-1),""))</f>
        <v>Non cumulative</v>
      </c>
      <c r="AX29" t="str">
        <f>SUBSTITUTE(IFERROR(MID(AV29,SEARCH(";",AV29)+1,SEARCH(";",AV29,SEARCH(";",AV29)+1)-SEARCH(";",AV29)-1),""),CHAR(10),"")</f>
        <v/>
      </c>
      <c r="AY29" s="110" t="str">
        <f>CLEAN(IFERROR(SUBSTITUTE(RIGHT(AV29,LEN(AV29)-SEARCH(";",AV29,SEARCH(";",AV29)+1)),";",""),""))</f>
        <v/>
      </c>
      <c r="AZ29" s="504" t="str">
        <f>IFERROR(IF(VLOOKUP(B29,'Reference Records'!$F$159:$N$210,9,FALSE)=0,"",VLOOKUP(B29,'Reference Records'!$F$159:$N$210,9,FALSE)),"")</f>
        <v>MCI-00654</v>
      </c>
      <c r="BA29">
        <f>BA27+1</f>
        <v>464</v>
      </c>
      <c r="BB29">
        <f ca="1">BB27+'update Helper'!$AB$2</f>
        <v>580</v>
      </c>
      <c r="BD29" t="str">
        <f ca="1">IF(INDIRECT("'update Helper'!S"&amp;BA29)=0,"",IFERROR(VLOOKUP(INDIRECT("'update Helper'!U"&amp;BA29),'Account Role'!A$1:B$14,2,0),IFERROR(VLOOKUP(INDIRECT("'update Helper'!AD"&amp;BA29),'Overview - Section A'!J$26:P$91,7,0),"")))</f>
        <v/>
      </c>
    </row>
    <row r="30" spans="1:56" ht="157.5" customHeight="1">
      <c r="A30" s="558"/>
      <c r="B30" s="530"/>
      <c r="C30" s="530"/>
      <c r="D30" s="779"/>
      <c r="E30" s="530"/>
      <c r="F30" s="141"/>
      <c r="G30" s="791"/>
      <c r="H30" s="770"/>
      <c r="I30" s="530"/>
      <c r="J30" s="771"/>
      <c r="K30" s="770"/>
      <c r="L30" s="530"/>
      <c r="M30" s="789" t="s">
        <v>5182</v>
      </c>
      <c r="N30" s="790"/>
      <c r="O30" s="141"/>
      <c r="P30" s="791"/>
      <c r="Q30" s="770"/>
      <c r="R30" s="141"/>
      <c r="S30" s="791"/>
      <c r="T30" s="770"/>
      <c r="U30" s="141"/>
      <c r="V30" s="791"/>
      <c r="W30" s="770"/>
      <c r="X30" s="141"/>
      <c r="Y30" s="791"/>
      <c r="Z30" s="770"/>
      <c r="AA30" s="141"/>
      <c r="AB30" s="791"/>
      <c r="AC30" s="770"/>
      <c r="AD30" s="141"/>
      <c r="AE30" s="791"/>
      <c r="AF30" s="770"/>
      <c r="AG30" s="141"/>
      <c r="AH30" s="791"/>
      <c r="AI30" s="770"/>
      <c r="AJ30" s="141"/>
      <c r="AK30" s="791"/>
      <c r="AL30" s="770"/>
      <c r="AM30" s="748"/>
      <c r="AN30" s="530"/>
      <c r="AO30" s="530"/>
      <c r="AP30" s="530"/>
      <c r="AY30" s="110"/>
      <c r="AZ30" s="504"/>
    </row>
    <row r="31" spans="1:56" ht="102" customHeight="1">
      <c r="A31" s="557">
        <v>12</v>
      </c>
      <c r="B31" s="529" t="s">
        <v>446</v>
      </c>
      <c r="C31" s="529" t="s">
        <v>512</v>
      </c>
      <c r="D31" s="777" t="s">
        <v>1262</v>
      </c>
      <c r="E31" s="529"/>
      <c r="F31" s="141">
        <v>95</v>
      </c>
      <c r="G31" s="787" t="str">
        <f ca="1">IF(OR(INDIRECT("'update Helper'!D"&amp;BA31)="",F31&lt;&gt;0,F32&lt;&gt;0),IF(IFERROR((F31/F32),"")="","",(F31/F32)),INDIRECT("'update Helper'!D"&amp;BA31)/100)</f>
        <v/>
      </c>
      <c r="H31" s="785">
        <v>2021</v>
      </c>
      <c r="I31" s="529" t="s">
        <v>3030</v>
      </c>
      <c r="J31" s="766" t="str">
        <f>AQ31</f>
        <v>Edad,Género,Tipo de tratamiento</v>
      </c>
      <c r="K31" s="785"/>
      <c r="L31" s="529"/>
      <c r="M31" s="432" t="s">
        <v>2303</v>
      </c>
      <c r="N31" s="786"/>
      <c r="O31" s="141">
        <v>126</v>
      </c>
      <c r="P31" s="787" t="str">
        <f ca="1">IF(OR(INDIRECT("'update Helper'!I"&amp;BB31)="",O31&lt;&gt;0,O32&lt;&gt;0),IF(IFERROR((O31/O32),"")="","",(O31/O32)),INDIRECT("'update Helper'!I"&amp;BB31)/100)</f>
        <v/>
      </c>
      <c r="Q31" s="785"/>
      <c r="R31" s="141">
        <v>154</v>
      </c>
      <c r="S31" s="787" t="str">
        <f ca="1">IF(OR(INDIRECT("'update Helper'!I"&amp;BB31+1)="",R31&lt;&gt;0,R32&lt;&gt;0),IF(IFERROR((R31/R32),"")="","",(R31/R32)),INDIRECT("'update Helper'!I"&amp;BB31+1)/100)</f>
        <v/>
      </c>
      <c r="T31" s="785"/>
      <c r="U31" s="141">
        <v>183</v>
      </c>
      <c r="V31" s="787" t="str">
        <f ca="1">IF(OR(INDIRECT("'update Helper'!I"&amp;BB31+2)="",U31&lt;&gt;0,U32&lt;&gt;0),IF(IFERROR((U31/U32),"")="","",(U31/U32)),INDIRECT("'update Helper'!I"&amp;BB31+2)/100)</f>
        <v/>
      </c>
      <c r="W31" s="785"/>
      <c r="X31" s="141"/>
      <c r="Y31" s="787" t="str">
        <f ca="1">IF(A31=INDIRECT("'update Helper'!F"&amp;$BB31+3),IF(OR(INDIRECT("'update Helper'!I"&amp;BB31+3)="",X31&lt;&gt;0,X32&lt;&gt;0),IF(IFERROR((X31/X32),"")="","",(X31/X32)),INDIRECT("'update Helper'!I"&amp;BB31+3)/100),"")</f>
        <v/>
      </c>
      <c r="Z31" s="785"/>
      <c r="AA31" s="141"/>
      <c r="AB31" s="787" t="str">
        <f ca="1">IF(A31=INDIRECT("'update Helper'!F"&amp;$BB31+4),IF(OR(INDIRECT("'update Helper'!I"&amp;BB31+4)="",AA31&lt;&gt;0,AA32&lt;&gt;0),IF(IFERROR((AA31/AA32),"")="","",(AA31/AA32)),INDIRECT("'update Helper'!I"&amp;BB31+4)/100),"")</f>
        <v/>
      </c>
      <c r="AC31" s="785"/>
      <c r="AD31" s="141"/>
      <c r="AE31" s="787" t="str">
        <f ca="1">IF(A31=INDIRECT("'update Helper'!F"&amp;$BB31+5),IF(A31=INDIRECT("'update Helper'!F"&amp;$BB31+5),IF(OR(INDIRECT("'update Helper'!I"&amp;BB31+5)="",AD31&lt;&gt;0,AD32&lt;&gt;0),IF(IFERROR((AD31/AD32),"")="","",(AD31/AD32)),INDIRECT("'update Helper'!I"&amp;BB31+5)/100),""),"")</f>
        <v/>
      </c>
      <c r="AF31" s="785"/>
      <c r="AG31" s="141"/>
      <c r="AH31" s="787" t="str">
        <f ca="1">IF(A31=INDIRECT("'update Helper'!F"&amp;$BB31+6),IF(OR(INDIRECT("'update Helper'!I"&amp;BB31+6)="",AG31&lt;&gt;0,AG32&lt;&gt;0),IF(IFERROR((AG31/AG32),"")="","",(AG31/AG32)),INDIRECT("'update Helper'!I"&amp;BB31+6)/100),"")</f>
        <v/>
      </c>
      <c r="AI31" s="785"/>
      <c r="AJ31" s="141"/>
      <c r="AK31" s="787" t="str">
        <f ca="1">IF(A31=INDIRECT("'update Helper'!F"&amp;$BB31+6),IF(OR(INDIRECT("'update Helper'!I"&amp;BB31+7)="",AJ31&lt;&gt;0,AJ32&lt;&gt;0),IF(IFERROR((AJ31/AJ32),"")="","",(AJ31/AJ32)),INDIRECT("'update Helper'!I"&amp;BB31+7)/100),"")</f>
        <v/>
      </c>
      <c r="AL31" s="785"/>
      <c r="AM31" s="741" t="s">
        <v>5490</v>
      </c>
      <c r="AN31" s="529"/>
      <c r="AO31" s="529" t="s">
        <v>3032</v>
      </c>
      <c r="AP31" s="529" t="s">
        <v>5491</v>
      </c>
      <c r="AQ31" t="str">
        <f t="array" ref="AQ31">IFERROR(IF(INDEX('Reference Records'!$D$79:$D$156,MATCH(LEFT(D31,255),LEFT('Reference Records'!$C$79:$C$156,255),0))=0,"",INDEX('Reference Records'!$D$79:$D$156,MATCH(LEFT(D31,255),LEFT('Reference Records'!$C$79:$C$156,255),0))),"")</f>
        <v>Edad,Género,Tipo de tratamiento</v>
      </c>
      <c r="AR31" s="124" t="str">
        <f t="array" ref="AR31">VLOOKUP(LEFT(D31,255),LEFT('Reference Records'!C$78:G357,255),4,0)</f>
        <v>MCI-01087</v>
      </c>
      <c r="AS31" s="124">
        <f>MATCH(AR31,'Reference Records'!$F$656:$F$734,0)+ROW(PopulationByCoverage)-1</f>
        <v>701</v>
      </c>
      <c r="AT31" s="124">
        <f>MATCH(AR31,'Reference Records'!$F$656:$F$734,1)+ROW(PopulationByCoverage)-1</f>
        <v>701</v>
      </c>
      <c r="AU31" t="str">
        <f>D31&amp;E31</f>
        <v>MDR TB-3⁽ᴹ⁾ Número de casos de tuberculosis resistente a la rifampicina y/o multirresistente que empezaron a recibir tratamiento de segunda línea.</v>
      </c>
      <c r="AV31" t="str">
        <f t="array" ref="AV31">IFERROR(IF(VLOOKUP(LEFT(D31,255),LEFT('Reference Records'!$C$1:$K$759,255),9,0)=0,"",CONCATENATE(VLOOKUP(LEFT(D31,255),LEFT('Reference Records'!$C$1:$K$759,255),9,0),";")),"")</f>
        <v>Non cumulative;</v>
      </c>
      <c r="AW31" t="str">
        <f>CLEAN(IFERROR(LEFT(AV31,SEARCH(";",AV31,1)-1),""))</f>
        <v>Non cumulative</v>
      </c>
      <c r="AX31" t="str">
        <f>SUBSTITUTE(IFERROR(MID(AV31,SEARCH(";",AV31)+1,SEARCH(";",AV31,SEARCH(";",AV31)+1)-SEARCH(";",AV31)-1),""),CHAR(10),"")</f>
        <v/>
      </c>
      <c r="AY31" s="110" t="str">
        <f>CLEAN(IFERROR(SUBSTITUTE(RIGHT(AV31,LEN(AV31)-SEARCH(";",AV31,SEARCH(";",AV31)+1)),";",""),""))</f>
        <v/>
      </c>
      <c r="AZ31" s="504" t="str">
        <f>IFERROR(IF(VLOOKUP(B31,'Reference Records'!$F$159:$N$210,9,FALSE)=0,"",VLOOKUP(B31,'Reference Records'!$F$159:$N$210,9,FALSE)),"")</f>
        <v>MCI-00654</v>
      </c>
      <c r="BA31">
        <f>BA29+1</f>
        <v>465</v>
      </c>
      <c r="BB31">
        <f ca="1">BB29+'update Helper'!$AB$2</f>
        <v>586</v>
      </c>
      <c r="BD31" t="str">
        <f ca="1">IF(INDIRECT("'update Helper'!S"&amp;BA31)=0,"",IFERROR(VLOOKUP(INDIRECT("'update Helper'!U"&amp;BA31),'Account Role'!A$1:B$14,2,0),IFERROR(VLOOKUP(INDIRECT("'update Helper'!AD"&amp;BA31),'Overview - Section A'!J$26:P$91,7,0),"")))</f>
        <v/>
      </c>
    </row>
    <row r="32" spans="1:56" ht="165" customHeight="1">
      <c r="A32" s="558"/>
      <c r="B32" s="530"/>
      <c r="C32" s="530"/>
      <c r="D32" s="779"/>
      <c r="E32" s="530"/>
      <c r="F32" s="141"/>
      <c r="G32" s="791"/>
      <c r="H32" s="770"/>
      <c r="I32" s="530"/>
      <c r="J32" s="771"/>
      <c r="K32" s="770"/>
      <c r="L32" s="530"/>
      <c r="M32" s="789" t="s">
        <v>5182</v>
      </c>
      <c r="N32" s="790"/>
      <c r="O32" s="141"/>
      <c r="P32" s="791"/>
      <c r="Q32" s="770"/>
      <c r="R32" s="141"/>
      <c r="S32" s="791"/>
      <c r="T32" s="770"/>
      <c r="U32" s="141"/>
      <c r="V32" s="791"/>
      <c r="W32" s="770"/>
      <c r="X32" s="141"/>
      <c r="Y32" s="791"/>
      <c r="Z32" s="770"/>
      <c r="AA32" s="141"/>
      <c r="AB32" s="791"/>
      <c r="AC32" s="770"/>
      <c r="AD32" s="141"/>
      <c r="AE32" s="791"/>
      <c r="AF32" s="770"/>
      <c r="AG32" s="141"/>
      <c r="AH32" s="791"/>
      <c r="AI32" s="770"/>
      <c r="AJ32" s="141"/>
      <c r="AK32" s="791"/>
      <c r="AL32" s="770"/>
      <c r="AM32" s="748"/>
      <c r="AN32" s="530"/>
      <c r="AO32" s="530"/>
      <c r="AP32" s="530"/>
      <c r="AY32" s="110"/>
      <c r="AZ32" s="504"/>
    </row>
    <row r="33" spans="1:56" ht="30" customHeight="1">
      <c r="A33" s="557">
        <v>13</v>
      </c>
      <c r="B33" s="529"/>
      <c r="C33" s="529"/>
      <c r="D33" s="529"/>
      <c r="E33" s="529"/>
      <c r="F33" s="141"/>
      <c r="G33" s="787" t="str">
        <f ca="1">IF(OR(INDIRECT("'update Helper'!D"&amp;BA33)="",F33&lt;&gt;0,F34&lt;&gt;0),IF(IFERROR((F33/F34),"")="","",(F33/F34)),INDIRECT("'update Helper'!D"&amp;BA33)/100)</f>
        <v/>
      </c>
      <c r="H33" s="785"/>
      <c r="I33" s="529"/>
      <c r="J33" s="766" t="str">
        <f>AQ33</f>
        <v/>
      </c>
      <c r="K33" s="785"/>
      <c r="L33" s="529"/>
      <c r="M33" s="142"/>
      <c r="N33" s="786"/>
      <c r="O33" s="141" t="str">
        <f ca="1">IF(A33=INDIRECT("'update Helper'!F"&amp;$BB33),IF(INDIRECT("'update Helper'!K"&amp;BB33)="","",INDIRECT("'update Helper'!K"&amp;BB33)),"")</f>
        <v/>
      </c>
      <c r="P33" s="787" t="str">
        <f ca="1">IF(OR(INDIRECT("'update Helper'!I"&amp;BB33)="",O33&lt;&gt;0,O34&lt;&gt;0),IF(IFERROR((O33/O34),"")="","",(O33/O34)),INDIRECT("'update Helper'!I"&amp;BB33)/100)</f>
        <v/>
      </c>
      <c r="Q33" s="785"/>
      <c r="R33" s="141"/>
      <c r="S33" s="787" t="str">
        <f ca="1">IF(OR(INDIRECT("'update Helper'!I"&amp;BB33+1)="",R33&lt;&gt;0,R34&lt;&gt;0),IF(IFERROR((R33/R34),"")="","",(R33/R34)),INDIRECT("'update Helper'!I"&amp;BB33+1)/100)</f>
        <v/>
      </c>
      <c r="T33" s="785"/>
      <c r="U33" s="141"/>
      <c r="V33" s="787" t="str">
        <f ca="1">IF(OR(INDIRECT("'update Helper'!I"&amp;BB33+2)="",U33&lt;&gt;0,U34&lt;&gt;0),IF(IFERROR((U33/U34),"")="","",(U33/U34)),INDIRECT("'update Helper'!I"&amp;BB33+2)/100)</f>
        <v/>
      </c>
      <c r="W33" s="785"/>
      <c r="X33" s="141"/>
      <c r="Y33" s="787" t="str">
        <f ca="1">IF(A33=INDIRECT("'update Helper'!F"&amp;$BB33+3),IF(OR(INDIRECT("'update Helper'!I"&amp;BB33+3)="",X33&lt;&gt;0,X34&lt;&gt;0),IF(IFERROR((X33/X34),"")="","",(X33/X34)),INDIRECT("'update Helper'!I"&amp;BB33+3)/100),"")</f>
        <v/>
      </c>
      <c r="Z33" s="785"/>
      <c r="AA33" s="141"/>
      <c r="AB33" s="787" t="str">
        <f ca="1">IF(A33=INDIRECT("'update Helper'!F"&amp;$BB33+4),IF(OR(INDIRECT("'update Helper'!I"&amp;BB33+4)="",AA33&lt;&gt;0,AA34&lt;&gt;0),IF(IFERROR((AA33/AA34),"")="","",(AA33/AA34)),INDIRECT("'update Helper'!I"&amp;BB33+4)/100),"")</f>
        <v/>
      </c>
      <c r="AC33" s="785"/>
      <c r="AD33" s="141"/>
      <c r="AE33" s="787" t="str">
        <f ca="1">IF(A33=INDIRECT("'update Helper'!F"&amp;$BB33+5),IF(A33=INDIRECT("'update Helper'!F"&amp;$BB33+5),IF(OR(INDIRECT("'update Helper'!I"&amp;BB33+5)="",AD33&lt;&gt;0,AD34&lt;&gt;0),IF(IFERROR((AD33/AD34),"")="","",(AD33/AD34)),INDIRECT("'update Helper'!I"&amp;BB33+5)/100),""),"")</f>
        <v/>
      </c>
      <c r="AF33" s="785"/>
      <c r="AG33" s="141"/>
      <c r="AH33" s="787" t="str">
        <f ca="1">IF(A33=INDIRECT("'update Helper'!F"&amp;$BB33+6),IF(OR(INDIRECT("'update Helper'!I"&amp;BB33+6)="",AG33&lt;&gt;0,AG34&lt;&gt;0),IF(IFERROR((AG33/AG34),"")="","",(AG33/AG34)),INDIRECT("'update Helper'!I"&amp;BB33+6)/100),"")</f>
        <v/>
      </c>
      <c r="AI33" s="785"/>
      <c r="AJ33" s="141"/>
      <c r="AK33" s="787" t="str">
        <f ca="1">IF(A33=INDIRECT("'update Helper'!F"&amp;$BB33+6),IF(OR(INDIRECT("'update Helper'!I"&amp;BB33+7)="",AJ33&lt;&gt;0,AJ34&lt;&gt;0),IF(IFERROR((AJ33/AJ34),"")="","",(AJ33/AJ34)),INDIRECT("'update Helper'!I"&amp;BB33+7)/100),"")</f>
        <v/>
      </c>
      <c r="AL33" s="785"/>
      <c r="AM33" s="529"/>
      <c r="AN33" s="529"/>
      <c r="AO33" s="529"/>
      <c r="AP33" s="529"/>
      <c r="AQ33" t="str">
        <f t="array" ref="AQ33">IFERROR(IF(INDEX('Reference Records'!$D$79:$D$156,MATCH(LEFT(D33,255),LEFT('Reference Records'!$C$79:$C$156,255),0))=0,"",INDEX('Reference Records'!$D$79:$D$156,MATCH(LEFT(D33,255),LEFT('Reference Records'!$C$79:$C$156,255),0))),"")</f>
        <v/>
      </c>
      <c r="AR33" s="124" t="str">
        <f t="array" ref="AR33">VLOOKUP(LEFT(D33,255),LEFT('Reference Records'!C$78:G359,255),4,0)</f>
        <v/>
      </c>
      <c r="AS33" s="124" t="e">
        <f>MATCH(AR33,'Reference Records'!$F$656:$F$734,0)+ROW(PopulationByCoverage)-1</f>
        <v>#N/A</v>
      </c>
      <c r="AT33" s="124" t="e">
        <f>MATCH(AR33,'Reference Records'!$F$656:$F$734,1)+ROW(PopulationByCoverage)-1</f>
        <v>#N/A</v>
      </c>
      <c r="AU33" t="str">
        <f>D33&amp;E33</f>
        <v/>
      </c>
      <c r="AV33" t="str">
        <f t="array" ref="AV33">IFERROR(IF(VLOOKUP(LEFT(D33,255),LEFT('Reference Records'!$C$1:$K$759,255),9,0)=0,"",CONCATENATE(VLOOKUP(LEFT(D33,255),LEFT('Reference Records'!$C$1:$K$759,255),9,0),";")),"")</f>
        <v>;</v>
      </c>
      <c r="AW33" t="str">
        <f>CLEAN(IFERROR(LEFT(AV33,SEARCH(";",AV33,1)-1),""))</f>
        <v/>
      </c>
      <c r="AX33" t="str">
        <f>SUBSTITUTE(IFERROR(MID(AV33,SEARCH(";",AV33)+1,SEARCH(";",AV33,SEARCH(";",AV33)+1)-SEARCH(";",AV33)-1),""),CHAR(10),"")</f>
        <v/>
      </c>
      <c r="AY33" s="110" t="str">
        <f>CLEAN(IFERROR(SUBSTITUTE(RIGHT(AV33,LEN(AV33)-SEARCH(";",AV33,SEARCH(";",AV33)+1)),";",""),""))</f>
        <v/>
      </c>
      <c r="AZ33" s="504" t="str">
        <f>IFERROR(IF(VLOOKUP(B33,'Reference Records'!$F$159:$N$210,9,FALSE)=0,"",VLOOKUP(B33,'Reference Records'!$F$159:$N$210,9,FALSE)),"")</f>
        <v/>
      </c>
      <c r="BA33">
        <f>BA31+1</f>
        <v>466</v>
      </c>
      <c r="BB33">
        <f ca="1">BB31+'update Helper'!$AB$2</f>
        <v>592</v>
      </c>
      <c r="BD33" t="str">
        <f ca="1">IF(INDIRECT("'update Helper'!S"&amp;BA33)=0,"",IFERROR(VLOOKUP(INDIRECT("'update Helper'!U"&amp;BA33),'Account Role'!A$1:B$14,2,0),IFERROR(VLOOKUP(INDIRECT("'update Helper'!AD"&amp;BA33),'Overview - Section A'!J$26:P$91,7,0),"")))</f>
        <v/>
      </c>
    </row>
    <row r="34" spans="1:56" ht="30" customHeight="1">
      <c r="A34" s="558"/>
      <c r="B34" s="530"/>
      <c r="C34" s="530"/>
      <c r="D34" s="530"/>
      <c r="E34" s="530"/>
      <c r="F34" s="141"/>
      <c r="G34" s="791"/>
      <c r="H34" s="770"/>
      <c r="I34" s="530"/>
      <c r="J34" s="771"/>
      <c r="K34" s="770"/>
      <c r="L34" s="530"/>
      <c r="M34" s="789"/>
      <c r="N34" s="790"/>
      <c r="O34" s="141" t="str">
        <f ca="1">IF(A33=INDIRECT("'update Helper'!F"&amp;$BB33),IF(INDIRECT("'update Helper'!J"&amp;BB33)=0,"",INDIRECT("'update Helper'!J"&amp;BB33)),"")</f>
        <v/>
      </c>
      <c r="P34" s="791"/>
      <c r="Q34" s="770"/>
      <c r="R34" s="141"/>
      <c r="S34" s="791"/>
      <c r="T34" s="770"/>
      <c r="U34" s="141"/>
      <c r="V34" s="791"/>
      <c r="W34" s="770"/>
      <c r="X34" s="141"/>
      <c r="Y34" s="791"/>
      <c r="Z34" s="770"/>
      <c r="AA34" s="141"/>
      <c r="AB34" s="791"/>
      <c r="AC34" s="770"/>
      <c r="AD34" s="141"/>
      <c r="AE34" s="791"/>
      <c r="AF34" s="770"/>
      <c r="AG34" s="141"/>
      <c r="AH34" s="791"/>
      <c r="AI34" s="770"/>
      <c r="AJ34" s="141"/>
      <c r="AK34" s="791"/>
      <c r="AL34" s="770"/>
      <c r="AM34" s="530"/>
      <c r="AN34" s="530"/>
      <c r="AO34" s="530"/>
      <c r="AP34" s="530"/>
      <c r="AY34" s="110"/>
      <c r="AZ34" s="504"/>
    </row>
    <row r="35" spans="1:56" ht="30" customHeight="1">
      <c r="A35" s="557">
        <v>14</v>
      </c>
      <c r="B35" s="529"/>
      <c r="C35" s="529"/>
      <c r="D35" s="529"/>
      <c r="E35" s="529"/>
      <c r="F35" s="141"/>
      <c r="G35" s="787" t="str">
        <f ca="1">IF(OR(INDIRECT("'update Helper'!D"&amp;BA35)="",F35&lt;&gt;0,F36&lt;&gt;0),IF(IFERROR((F35/F36),"")="","",(F35/F36)),INDIRECT("'update Helper'!D"&amp;BA35)/100)</f>
        <v/>
      </c>
      <c r="H35" s="785"/>
      <c r="I35" s="529"/>
      <c r="J35" s="766" t="str">
        <f>AQ35</f>
        <v/>
      </c>
      <c r="K35" s="785"/>
      <c r="L35" s="529"/>
      <c r="M35" s="142"/>
      <c r="N35" s="786"/>
      <c r="O35" s="141" t="str">
        <f ca="1">IF(A35=INDIRECT("'update Helper'!F"&amp;$BB35),IF(INDIRECT("'update Helper'!K"&amp;BB35)="","",INDIRECT("'update Helper'!K"&amp;BB35)),"")</f>
        <v/>
      </c>
      <c r="P35" s="787" t="str">
        <f ca="1">IF(OR(INDIRECT("'update Helper'!I"&amp;BB35)="",O35&lt;&gt;0,O36&lt;&gt;0),IF(IFERROR((O35/O36),"")="","",(O35/O36)),INDIRECT("'update Helper'!I"&amp;BB35)/100)</f>
        <v/>
      </c>
      <c r="Q35" s="785"/>
      <c r="R35" s="141"/>
      <c r="S35" s="787" t="str">
        <f ca="1">IF(OR(INDIRECT("'update Helper'!I"&amp;BB35+1)="",R35&lt;&gt;0,R36&lt;&gt;0),IF(IFERROR((R35/R36),"")="","",(R35/R36)),INDIRECT("'update Helper'!I"&amp;BB35+1)/100)</f>
        <v/>
      </c>
      <c r="T35" s="785"/>
      <c r="U35" s="141"/>
      <c r="V35" s="787" t="str">
        <f ca="1">IF(OR(INDIRECT("'update Helper'!I"&amp;BB35+2)="",U35&lt;&gt;0,U36&lt;&gt;0),IF(IFERROR((U35/U36),"")="","",(U35/U36)),INDIRECT("'update Helper'!I"&amp;BB35+2)/100)</f>
        <v/>
      </c>
      <c r="W35" s="785"/>
      <c r="X35" s="141"/>
      <c r="Y35" s="787" t="str">
        <f ca="1">IF(A35=INDIRECT("'update Helper'!F"&amp;$BB35+3),IF(OR(INDIRECT("'update Helper'!I"&amp;BB35+3)="",X35&lt;&gt;0,X36&lt;&gt;0),IF(IFERROR((X35/X36),"")="","",(X35/X36)),INDIRECT("'update Helper'!I"&amp;BB35+3)/100),"")</f>
        <v/>
      </c>
      <c r="Z35" s="785"/>
      <c r="AA35" s="141"/>
      <c r="AB35" s="787" t="str">
        <f ca="1">IF(A35=INDIRECT("'update Helper'!F"&amp;$BB35+4),IF(OR(INDIRECT("'update Helper'!I"&amp;BB35+4)="",AA35&lt;&gt;0,AA36&lt;&gt;0),IF(IFERROR((AA35/AA36),"")="","",(AA35/AA36)),INDIRECT("'update Helper'!I"&amp;BB35+4)/100),"")</f>
        <v/>
      </c>
      <c r="AC35" s="785"/>
      <c r="AD35" s="141"/>
      <c r="AE35" s="787" t="str">
        <f ca="1">IF(A35=INDIRECT("'update Helper'!F"&amp;$BB35+5),IF(A35=INDIRECT("'update Helper'!F"&amp;$BB35+5),IF(OR(INDIRECT("'update Helper'!I"&amp;BB35+5)="",AD35&lt;&gt;0,AD36&lt;&gt;0),IF(IFERROR((AD35/AD36),"")="","",(AD35/AD36)),INDIRECT("'update Helper'!I"&amp;BB35+5)/100),""),"")</f>
        <v/>
      </c>
      <c r="AF35" s="785"/>
      <c r="AG35" s="141"/>
      <c r="AH35" s="787" t="str">
        <f ca="1">IF(A35=INDIRECT("'update Helper'!F"&amp;$BB35+6),IF(OR(INDIRECT("'update Helper'!I"&amp;BB35+6)="",AG35&lt;&gt;0,AG36&lt;&gt;0),IF(IFERROR((AG35/AG36),"")="","",(AG35/AG36)),INDIRECT("'update Helper'!I"&amp;BB35+6)/100),"")</f>
        <v/>
      </c>
      <c r="AI35" s="785"/>
      <c r="AJ35" s="141"/>
      <c r="AK35" s="787" t="str">
        <f ca="1">IF(A35=INDIRECT("'update Helper'!F"&amp;$BB35+6),IF(OR(INDIRECT("'update Helper'!I"&amp;BB35+7)="",AJ35&lt;&gt;0,AJ36&lt;&gt;0),IF(IFERROR((AJ35/AJ36),"")="","",(AJ35/AJ36)),INDIRECT("'update Helper'!I"&amp;BB35+7)/100),"")</f>
        <v/>
      </c>
      <c r="AL35" s="785"/>
      <c r="AM35" s="529"/>
      <c r="AN35" s="529"/>
      <c r="AO35" s="529"/>
      <c r="AP35" s="529"/>
      <c r="AQ35" t="str">
        <f t="array" ref="AQ35">IFERROR(IF(INDEX('Reference Records'!$D$79:$D$156,MATCH(LEFT(D35,255),LEFT('Reference Records'!$C$79:$C$156,255),0))=0,"",INDEX('Reference Records'!$D$79:$D$156,MATCH(LEFT(D35,255),LEFT('Reference Records'!$C$79:$C$156,255),0))),"")</f>
        <v/>
      </c>
      <c r="AR35" s="124" t="str">
        <f t="array" ref="AR35">VLOOKUP(LEFT(D35,255),LEFT('Reference Records'!C$78:G361,255),4,0)</f>
        <v/>
      </c>
      <c r="AS35" s="124" t="e">
        <f>MATCH(AR35,'Reference Records'!$F$656:$F$734,0)+ROW(PopulationByCoverage)-1</f>
        <v>#N/A</v>
      </c>
      <c r="AT35" s="124" t="e">
        <f>MATCH(AR35,'Reference Records'!$F$656:$F$734,1)+ROW(PopulationByCoverage)-1</f>
        <v>#N/A</v>
      </c>
      <c r="AU35" t="str">
        <f>D35&amp;E35</f>
        <v/>
      </c>
      <c r="AV35" t="str">
        <f t="array" ref="AV35">IFERROR(IF(VLOOKUP(LEFT(D35,255),LEFT('Reference Records'!$C$1:$K$759,255),9,0)=0,"",CONCATENATE(VLOOKUP(LEFT(D35,255),LEFT('Reference Records'!$C$1:$K$759,255),9,0),";")),"")</f>
        <v>;</v>
      </c>
      <c r="AW35" t="str">
        <f>CLEAN(IFERROR(LEFT(AV35,SEARCH(";",AV35,1)-1),""))</f>
        <v/>
      </c>
      <c r="AX35" t="str">
        <f>SUBSTITUTE(IFERROR(MID(AV35,SEARCH(";",AV35)+1,SEARCH(";",AV35,SEARCH(";",AV35)+1)-SEARCH(";",AV35)-1),""),CHAR(10),"")</f>
        <v/>
      </c>
      <c r="AY35" s="110" t="str">
        <f>CLEAN(IFERROR(SUBSTITUTE(RIGHT(AV35,LEN(AV35)-SEARCH(";",AV35,SEARCH(";",AV35)+1)),";",""),""))</f>
        <v/>
      </c>
      <c r="AZ35" s="504" t="str">
        <f>IFERROR(IF(VLOOKUP(B35,'Reference Records'!$F$159:$N$210,9,FALSE)=0,"",VLOOKUP(B35,'Reference Records'!$F$159:$N$210,9,FALSE)),"")</f>
        <v/>
      </c>
      <c r="BA35">
        <f>BA33+1</f>
        <v>467</v>
      </c>
      <c r="BB35">
        <f ca="1">BB33+'update Helper'!$AB$2</f>
        <v>598</v>
      </c>
      <c r="BD35" t="str">
        <f ca="1">IF(INDIRECT("'update Helper'!S"&amp;BA35)=0,"",IFERROR(VLOOKUP(INDIRECT("'update Helper'!U"&amp;BA35),'Account Role'!A$1:B$14,2,0),IFERROR(VLOOKUP(INDIRECT("'update Helper'!AD"&amp;BA35),'Overview - Section A'!J$26:P$91,7,0),"")))</f>
        <v/>
      </c>
    </row>
    <row r="36" spans="1:56" ht="30" customHeight="1">
      <c r="A36" s="558"/>
      <c r="B36" s="530"/>
      <c r="C36" s="530"/>
      <c r="D36" s="530"/>
      <c r="E36" s="530"/>
      <c r="F36" s="141"/>
      <c r="G36" s="791"/>
      <c r="H36" s="770"/>
      <c r="I36" s="530"/>
      <c r="J36" s="771"/>
      <c r="K36" s="770"/>
      <c r="L36" s="530"/>
      <c r="M36" s="789"/>
      <c r="N36" s="790"/>
      <c r="O36" s="141" t="str">
        <f ca="1">IF(A35=INDIRECT("'update Helper'!F"&amp;$BB35),IF(INDIRECT("'update Helper'!J"&amp;BB35)=0,"",INDIRECT("'update Helper'!J"&amp;BB35)),"")</f>
        <v/>
      </c>
      <c r="P36" s="791"/>
      <c r="Q36" s="770"/>
      <c r="R36" s="141"/>
      <c r="S36" s="791"/>
      <c r="T36" s="770"/>
      <c r="U36" s="141"/>
      <c r="V36" s="791"/>
      <c r="W36" s="770"/>
      <c r="X36" s="141"/>
      <c r="Y36" s="791"/>
      <c r="Z36" s="770"/>
      <c r="AA36" s="141"/>
      <c r="AB36" s="791"/>
      <c r="AC36" s="770"/>
      <c r="AD36" s="141"/>
      <c r="AE36" s="791"/>
      <c r="AF36" s="770"/>
      <c r="AG36" s="141"/>
      <c r="AH36" s="791"/>
      <c r="AI36" s="770"/>
      <c r="AJ36" s="141"/>
      <c r="AK36" s="791"/>
      <c r="AL36" s="770"/>
      <c r="AM36" s="530"/>
      <c r="AN36" s="530"/>
      <c r="AO36" s="530"/>
      <c r="AP36" s="530"/>
      <c r="AY36" s="110"/>
      <c r="AZ36" s="504"/>
    </row>
    <row r="37" spans="1:56" ht="30" customHeight="1">
      <c r="A37" s="557">
        <v>15</v>
      </c>
      <c r="B37" s="529"/>
      <c r="C37" s="529"/>
      <c r="D37" s="529"/>
      <c r="E37" s="529"/>
      <c r="F37" s="141"/>
      <c r="G37" s="787" t="str">
        <f ca="1">IF(OR(INDIRECT("'update Helper'!D"&amp;BA37)="",F37&lt;&gt;0,F38&lt;&gt;0),IF(IFERROR((F37/F38),"")="","",(F37/F38)),INDIRECT("'update Helper'!D"&amp;BA37)/100)</f>
        <v/>
      </c>
      <c r="H37" s="785"/>
      <c r="I37" s="529"/>
      <c r="J37" s="766" t="str">
        <f>AQ37</f>
        <v/>
      </c>
      <c r="K37" s="785"/>
      <c r="L37" s="529"/>
      <c r="M37" s="142"/>
      <c r="N37" s="786"/>
      <c r="O37" s="141" t="str">
        <f ca="1">IF(A37=INDIRECT("'update Helper'!F"&amp;$BB37),IF(INDIRECT("'update Helper'!K"&amp;BB37)="","",INDIRECT("'update Helper'!K"&amp;BB37)),"")</f>
        <v/>
      </c>
      <c r="P37" s="787" t="str">
        <f ca="1">IF(OR(INDIRECT("'update Helper'!I"&amp;BB37)="",O37&lt;&gt;0,O38&lt;&gt;0),IF(IFERROR((O37/O38),"")="","",(O37/O38)),INDIRECT("'update Helper'!I"&amp;BB37)/100)</f>
        <v/>
      </c>
      <c r="Q37" s="785"/>
      <c r="R37" s="141"/>
      <c r="S37" s="787" t="str">
        <f ca="1">IF(OR(INDIRECT("'update Helper'!I"&amp;BB37+1)="",R37&lt;&gt;0,R38&lt;&gt;0),IF(IFERROR((R37/R38),"")="","",(R37/R38)),INDIRECT("'update Helper'!I"&amp;BB37+1)/100)</f>
        <v/>
      </c>
      <c r="T37" s="785"/>
      <c r="U37" s="141"/>
      <c r="V37" s="787" t="str">
        <f ca="1">IF(OR(INDIRECT("'update Helper'!I"&amp;BB37+2)="",U37&lt;&gt;0,U38&lt;&gt;0),IF(IFERROR((U37/U38),"")="","",(U37/U38)),INDIRECT("'update Helper'!I"&amp;BB37+2)/100)</f>
        <v/>
      </c>
      <c r="W37" s="785"/>
      <c r="X37" s="141"/>
      <c r="Y37" s="787" t="str">
        <f ca="1">IF(A37=INDIRECT("'update Helper'!F"&amp;$BB37+3),IF(OR(INDIRECT("'update Helper'!I"&amp;BB37+3)="",X37&lt;&gt;0,X38&lt;&gt;0),IF(IFERROR((X37/X38),"")="","",(X37/X38)),INDIRECT("'update Helper'!I"&amp;BB37+3)/100),"")</f>
        <v/>
      </c>
      <c r="Z37" s="785"/>
      <c r="AA37" s="141"/>
      <c r="AB37" s="787" t="str">
        <f ca="1">IF(A37=INDIRECT("'update Helper'!F"&amp;$BB37+4),IF(OR(INDIRECT("'update Helper'!I"&amp;BB37+4)="",AA37&lt;&gt;0,AA38&lt;&gt;0),IF(IFERROR((AA37/AA38),"")="","",(AA37/AA38)),INDIRECT("'update Helper'!I"&amp;BB37+4)/100),"")</f>
        <v/>
      </c>
      <c r="AC37" s="785"/>
      <c r="AD37" s="141"/>
      <c r="AE37" s="787" t="str">
        <f ca="1">IF(A37=INDIRECT("'update Helper'!F"&amp;$BB37+5),IF(A37=INDIRECT("'update Helper'!F"&amp;$BB37+5),IF(OR(INDIRECT("'update Helper'!I"&amp;BB37+5)="",AD37&lt;&gt;0,AD38&lt;&gt;0),IF(IFERROR((AD37/AD38),"")="","",(AD37/AD38)),INDIRECT("'update Helper'!I"&amp;BB37+5)/100),""),"")</f>
        <v/>
      </c>
      <c r="AF37" s="785"/>
      <c r="AG37" s="141"/>
      <c r="AH37" s="787" t="str">
        <f ca="1">IF(A37=INDIRECT("'update Helper'!F"&amp;$BB37+6),IF(OR(INDIRECT("'update Helper'!I"&amp;BB37+6)="",AG37&lt;&gt;0,AG38&lt;&gt;0),IF(IFERROR((AG37/AG38),"")="","",(AG37/AG38)),INDIRECT("'update Helper'!I"&amp;BB37+6)/100),"")</f>
        <v/>
      </c>
      <c r="AI37" s="785"/>
      <c r="AJ37" s="141"/>
      <c r="AK37" s="787" t="str">
        <f ca="1">IF(A37=INDIRECT("'update Helper'!F"&amp;$BB37+6),IF(OR(INDIRECT("'update Helper'!I"&amp;BB37+7)="",AJ37&lt;&gt;0,AJ38&lt;&gt;0),IF(IFERROR((AJ37/AJ38),"")="","",(AJ37/AJ38)),INDIRECT("'update Helper'!I"&amp;BB37+7)/100),"")</f>
        <v/>
      </c>
      <c r="AL37" s="785"/>
      <c r="AM37" s="529"/>
      <c r="AN37" s="529"/>
      <c r="AO37" s="529"/>
      <c r="AP37" s="529"/>
      <c r="AQ37" t="str">
        <f t="array" ref="AQ37">IFERROR(IF(INDEX('Reference Records'!$D$79:$D$156,MATCH(LEFT(D37,255),LEFT('Reference Records'!$C$79:$C$156,255),0))=0,"",INDEX('Reference Records'!$D$79:$D$156,MATCH(LEFT(D37,255),LEFT('Reference Records'!$C$79:$C$156,255),0))),"")</f>
        <v/>
      </c>
      <c r="AR37" s="124" t="str">
        <f t="array" ref="AR37">VLOOKUP(LEFT(D37,255),LEFT('Reference Records'!C$78:G363,255),4,0)</f>
        <v/>
      </c>
      <c r="AS37" s="124" t="e">
        <f>MATCH(AR37,'Reference Records'!$F$656:$F$734,0)+ROW(PopulationByCoverage)-1</f>
        <v>#N/A</v>
      </c>
      <c r="AT37" s="124" t="e">
        <f>MATCH(AR37,'Reference Records'!$F$656:$F$734,1)+ROW(PopulationByCoverage)-1</f>
        <v>#N/A</v>
      </c>
      <c r="AU37" t="str">
        <f>D37&amp;E37</f>
        <v/>
      </c>
      <c r="AV37" t="str">
        <f t="array" ref="AV37">IFERROR(IF(VLOOKUP(LEFT(D37,255),LEFT('Reference Records'!$C$1:$K$759,255),9,0)=0,"",CONCATENATE(VLOOKUP(LEFT(D37,255),LEFT('Reference Records'!$C$1:$K$759,255),9,0),";")),"")</f>
        <v>;</v>
      </c>
      <c r="AW37" t="str">
        <f>CLEAN(IFERROR(LEFT(AV37,SEARCH(";",AV37,1)-1),""))</f>
        <v/>
      </c>
      <c r="AX37" t="str">
        <f>SUBSTITUTE(IFERROR(MID(AV37,SEARCH(";",AV37)+1,SEARCH(";",AV37,SEARCH(";",AV37)+1)-SEARCH(";",AV37)-1),""),CHAR(10),"")</f>
        <v/>
      </c>
      <c r="AY37" s="110" t="str">
        <f>CLEAN(IFERROR(SUBSTITUTE(RIGHT(AV37,LEN(AV37)-SEARCH(";",AV37,SEARCH(";",AV37)+1)),";",""),""))</f>
        <v/>
      </c>
      <c r="AZ37" s="504" t="str">
        <f>IFERROR(IF(VLOOKUP(B37,'Reference Records'!$F$159:$N$210,9,FALSE)=0,"",VLOOKUP(B37,'Reference Records'!$F$159:$N$210,9,FALSE)),"")</f>
        <v/>
      </c>
      <c r="BA37">
        <f t="shared" ref="BA37:BA67" si="1">BA35+1</f>
        <v>468</v>
      </c>
      <c r="BB37">
        <f ca="1">BB35+'update Helper'!$AB$2</f>
        <v>604</v>
      </c>
      <c r="BD37" t="str">
        <f ca="1">IF(INDIRECT("'update Helper'!S"&amp;BA37)=0,"",IFERROR(VLOOKUP(INDIRECT("'update Helper'!U"&amp;BA37),'Account Role'!A$1:B$14,2,0),IFERROR(VLOOKUP(INDIRECT("'update Helper'!AD"&amp;BA37),'Overview - Section A'!J$26:P$91,7,0),"")))</f>
        <v/>
      </c>
    </row>
    <row r="38" spans="1:56" ht="30" customHeight="1">
      <c r="A38" s="558"/>
      <c r="B38" s="530"/>
      <c r="C38" s="530"/>
      <c r="D38" s="530"/>
      <c r="E38" s="530"/>
      <c r="F38" s="141"/>
      <c r="G38" s="791"/>
      <c r="H38" s="770"/>
      <c r="I38" s="530"/>
      <c r="J38" s="771"/>
      <c r="K38" s="770"/>
      <c r="L38" s="530"/>
      <c r="M38" s="789"/>
      <c r="N38" s="790"/>
      <c r="O38" s="141" t="str">
        <f ca="1">IF(A37=INDIRECT("'update Helper'!F"&amp;$BB37),IF(INDIRECT("'update Helper'!J"&amp;BB37)=0,"",INDIRECT("'update Helper'!J"&amp;BB37)),"")</f>
        <v/>
      </c>
      <c r="P38" s="791"/>
      <c r="Q38" s="770"/>
      <c r="R38" s="141"/>
      <c r="S38" s="791"/>
      <c r="T38" s="770"/>
      <c r="U38" s="141"/>
      <c r="V38" s="791"/>
      <c r="W38" s="770"/>
      <c r="X38" s="141"/>
      <c r="Y38" s="791"/>
      <c r="Z38" s="770"/>
      <c r="AA38" s="141"/>
      <c r="AB38" s="791"/>
      <c r="AC38" s="770"/>
      <c r="AD38" s="141"/>
      <c r="AE38" s="791"/>
      <c r="AF38" s="770"/>
      <c r="AG38" s="141"/>
      <c r="AH38" s="791"/>
      <c r="AI38" s="770"/>
      <c r="AJ38" s="141"/>
      <c r="AK38" s="791"/>
      <c r="AL38" s="770"/>
      <c r="AM38" s="530"/>
      <c r="AN38" s="530"/>
      <c r="AO38" s="530"/>
      <c r="AP38" s="530"/>
      <c r="AY38" s="110"/>
      <c r="AZ38" s="504"/>
    </row>
    <row r="39" spans="1:56" ht="30" customHeight="1">
      <c r="A39" s="557">
        <v>16</v>
      </c>
      <c r="B39" s="529"/>
      <c r="C39" s="529"/>
      <c r="D39" s="529"/>
      <c r="E39" s="529"/>
      <c r="F39" s="141"/>
      <c r="G39" s="787" t="str">
        <f ca="1">IF(OR(INDIRECT("'update Helper'!D"&amp;BA39)="",F39&lt;&gt;0,F40&lt;&gt;0),IF(IFERROR((F39/F40),"")="","",(F39/F40)),INDIRECT("'update Helper'!D"&amp;BA39)/100)</f>
        <v/>
      </c>
      <c r="H39" s="785"/>
      <c r="I39" s="529"/>
      <c r="J39" s="766" t="str">
        <f>AQ39</f>
        <v/>
      </c>
      <c r="K39" s="785"/>
      <c r="L39" s="529"/>
      <c r="M39" s="142"/>
      <c r="N39" s="786"/>
      <c r="O39" s="141" t="str">
        <f ca="1">IF(A39=INDIRECT("'update Helper'!F"&amp;$BB39),IF(INDIRECT("'update Helper'!K"&amp;BB39)="","",INDIRECT("'update Helper'!K"&amp;BB39)),"")</f>
        <v/>
      </c>
      <c r="P39" s="787" t="str">
        <f ca="1">IF(OR(INDIRECT("'update Helper'!I"&amp;BB39)="",O39&lt;&gt;0,O40&lt;&gt;0),IF(IFERROR((O39/O40),"")="","",(O39/O40)),INDIRECT("'update Helper'!I"&amp;BB39)/100)</f>
        <v/>
      </c>
      <c r="Q39" s="785"/>
      <c r="R39" s="141"/>
      <c r="S39" s="787" t="str">
        <f ca="1">IF(OR(INDIRECT("'update Helper'!I"&amp;BB39+1)="",R39&lt;&gt;0,R40&lt;&gt;0),IF(IFERROR((R39/R40),"")="","",(R39/R40)),INDIRECT("'update Helper'!I"&amp;BB39+1)/100)</f>
        <v/>
      </c>
      <c r="T39" s="785"/>
      <c r="U39" s="141"/>
      <c r="V39" s="787" t="str">
        <f ca="1">IF(OR(INDIRECT("'update Helper'!I"&amp;BB39+2)="",U39&lt;&gt;0,U40&lt;&gt;0),IF(IFERROR((U39/U40),"")="","",(U39/U40)),INDIRECT("'update Helper'!I"&amp;BB39+2)/100)</f>
        <v/>
      </c>
      <c r="W39" s="785"/>
      <c r="X39" s="141"/>
      <c r="Y39" s="787" t="str">
        <f ca="1">IF(A39=INDIRECT("'update Helper'!F"&amp;$BB39+3),IF(OR(INDIRECT("'update Helper'!I"&amp;BB39+3)="",X39&lt;&gt;0,X40&lt;&gt;0),IF(IFERROR((X39/X40),"")="","",(X39/X40)),INDIRECT("'update Helper'!I"&amp;BB39+3)/100),"")</f>
        <v/>
      </c>
      <c r="Z39" s="785"/>
      <c r="AA39" s="141"/>
      <c r="AB39" s="787" t="str">
        <f ca="1">IF(A39=INDIRECT("'update Helper'!F"&amp;$BB39+4),IF(OR(INDIRECT("'update Helper'!I"&amp;BB39+4)="",AA39&lt;&gt;0,AA40&lt;&gt;0),IF(IFERROR((AA39/AA40),"")="","",(AA39/AA40)),INDIRECT("'update Helper'!I"&amp;BB39+4)/100),"")</f>
        <v/>
      </c>
      <c r="AC39" s="785"/>
      <c r="AD39" s="141"/>
      <c r="AE39" s="787" t="str">
        <f ca="1">IF(A39=INDIRECT("'update Helper'!F"&amp;$BB39+5),IF(A39=INDIRECT("'update Helper'!F"&amp;$BB39+5),IF(OR(INDIRECT("'update Helper'!I"&amp;BB39+5)="",AD39&lt;&gt;0,AD40&lt;&gt;0),IF(IFERROR((AD39/AD40),"")="","",(AD39/AD40)),INDIRECT("'update Helper'!I"&amp;BB39+5)/100),""),"")</f>
        <v/>
      </c>
      <c r="AF39" s="785"/>
      <c r="AG39" s="141"/>
      <c r="AH39" s="787" t="str">
        <f ca="1">IF(A39=INDIRECT("'update Helper'!F"&amp;$BB39+6),IF(OR(INDIRECT("'update Helper'!I"&amp;BB39+6)="",AG39&lt;&gt;0,AG40&lt;&gt;0),IF(IFERROR((AG39/AG40),"")="","",(AG39/AG40)),INDIRECT("'update Helper'!I"&amp;BB39+6)/100),"")</f>
        <v/>
      </c>
      <c r="AI39" s="785"/>
      <c r="AJ39" s="141"/>
      <c r="AK39" s="787" t="str">
        <f ca="1">IF(A39=INDIRECT("'update Helper'!F"&amp;$BB39+6),IF(OR(INDIRECT("'update Helper'!I"&amp;BB39+7)="",AJ39&lt;&gt;0,AJ40&lt;&gt;0),IF(IFERROR((AJ39/AJ40),"")="","",(AJ39/AJ40)),INDIRECT("'update Helper'!I"&amp;BB39+7)/100),"")</f>
        <v/>
      </c>
      <c r="AL39" s="785"/>
      <c r="AM39" s="529"/>
      <c r="AN39" s="529"/>
      <c r="AO39" s="529"/>
      <c r="AP39" s="529"/>
      <c r="AQ39" t="str">
        <f t="array" ref="AQ39">IFERROR(IF(INDEX('Reference Records'!$D$79:$D$156,MATCH(LEFT(D39,255),LEFT('Reference Records'!$C$79:$C$156,255),0))=0,"",INDEX('Reference Records'!$D$79:$D$156,MATCH(LEFT(D39,255),LEFT('Reference Records'!$C$79:$C$156,255),0))),"")</f>
        <v/>
      </c>
      <c r="AR39" s="124" t="str">
        <f t="array" ref="AR39">VLOOKUP(LEFT(D39,255),LEFT('Reference Records'!C$78:G365,255),4,0)</f>
        <v/>
      </c>
      <c r="AS39" s="124" t="e">
        <f>MATCH(AR39,'Reference Records'!$F$656:$F$734,0)+ROW(PopulationByCoverage)-1</f>
        <v>#N/A</v>
      </c>
      <c r="AT39" s="124" t="e">
        <f>MATCH(AR39,'Reference Records'!$F$656:$F$734,1)+ROW(PopulationByCoverage)-1</f>
        <v>#N/A</v>
      </c>
      <c r="AU39" t="str">
        <f>D39&amp;E39</f>
        <v/>
      </c>
      <c r="AV39" t="str">
        <f t="array" ref="AV39">IFERROR(IF(VLOOKUP(LEFT(D39,255),LEFT('Reference Records'!$C$1:$K$759,255),9,0)=0,"",CONCATENATE(VLOOKUP(LEFT(D39,255),LEFT('Reference Records'!$C$1:$K$759,255),9,0),";")),"")</f>
        <v>;</v>
      </c>
      <c r="AW39" t="str">
        <f>CLEAN(IFERROR(LEFT(AV39,SEARCH(";",AV39,1)-1),""))</f>
        <v/>
      </c>
      <c r="AX39" t="str">
        <f>SUBSTITUTE(IFERROR(MID(AV39,SEARCH(";",AV39)+1,SEARCH(";",AV39,SEARCH(";",AV39)+1)-SEARCH(";",AV39)-1),""),CHAR(10),"")</f>
        <v/>
      </c>
      <c r="AY39" s="110" t="str">
        <f>CLEAN(IFERROR(SUBSTITUTE(RIGHT(AV39,LEN(AV39)-SEARCH(";",AV39,SEARCH(";",AV39)+1)),";",""),""))</f>
        <v/>
      </c>
      <c r="AZ39" s="504" t="str">
        <f>IFERROR(IF(VLOOKUP(B39,'Reference Records'!$F$159:$N$210,9,FALSE)=0,"",VLOOKUP(B39,'Reference Records'!$F$159:$N$210,9,FALSE)),"")</f>
        <v/>
      </c>
      <c r="BA39">
        <f t="shared" si="1"/>
        <v>469</v>
      </c>
      <c r="BB39">
        <f ca="1">BB37+'update Helper'!$AB$2</f>
        <v>610</v>
      </c>
      <c r="BD39" t="str">
        <f ca="1">IF(INDIRECT("'update Helper'!S"&amp;BA39)=0,"",IFERROR(VLOOKUP(INDIRECT("'update Helper'!U"&amp;BA39),'Account Role'!A$1:B$14,2,0),IFERROR(VLOOKUP(INDIRECT("'update Helper'!AD"&amp;BA39),'Overview - Section A'!J$26:P$91,7,0),"")))</f>
        <v/>
      </c>
    </row>
    <row r="40" spans="1:56" ht="30" customHeight="1">
      <c r="A40" s="558"/>
      <c r="B40" s="530"/>
      <c r="C40" s="530"/>
      <c r="D40" s="530"/>
      <c r="E40" s="530"/>
      <c r="F40" s="141"/>
      <c r="G40" s="791"/>
      <c r="H40" s="770"/>
      <c r="I40" s="530"/>
      <c r="J40" s="771"/>
      <c r="K40" s="770"/>
      <c r="L40" s="530"/>
      <c r="M40" s="789"/>
      <c r="N40" s="790"/>
      <c r="O40" s="141" t="str">
        <f ca="1">IF(A39=INDIRECT("'update Helper'!F"&amp;$BB39),IF(INDIRECT("'update Helper'!J"&amp;BB39)=0,"",INDIRECT("'update Helper'!J"&amp;BB39)),"")</f>
        <v/>
      </c>
      <c r="P40" s="791"/>
      <c r="Q40" s="770"/>
      <c r="R40" s="141"/>
      <c r="S40" s="791"/>
      <c r="T40" s="770"/>
      <c r="U40" s="141"/>
      <c r="V40" s="791"/>
      <c r="W40" s="770"/>
      <c r="X40" s="141"/>
      <c r="Y40" s="791"/>
      <c r="Z40" s="770"/>
      <c r="AA40" s="141"/>
      <c r="AB40" s="791"/>
      <c r="AC40" s="770"/>
      <c r="AD40" s="141"/>
      <c r="AE40" s="791"/>
      <c r="AF40" s="770"/>
      <c r="AG40" s="141"/>
      <c r="AH40" s="791"/>
      <c r="AI40" s="770"/>
      <c r="AJ40" s="141"/>
      <c r="AK40" s="791"/>
      <c r="AL40" s="770"/>
      <c r="AM40" s="530"/>
      <c r="AN40" s="530"/>
      <c r="AO40" s="530"/>
      <c r="AP40" s="530"/>
      <c r="AY40" s="110"/>
      <c r="AZ40" s="504"/>
    </row>
    <row r="41" spans="1:56" ht="30" customHeight="1">
      <c r="A41" s="557">
        <v>17</v>
      </c>
      <c r="B41" s="529"/>
      <c r="C41" s="529"/>
      <c r="D41" s="529"/>
      <c r="E41" s="529"/>
      <c r="F41" s="141"/>
      <c r="G41" s="787" t="str">
        <f ca="1">IF(OR(INDIRECT("'update Helper'!D"&amp;BA41)="",F41&lt;&gt;0,F42&lt;&gt;0),IF(IFERROR((F41/F42),"")="","",(F41/F42)),INDIRECT("'update Helper'!D"&amp;BA41)/100)</f>
        <v/>
      </c>
      <c r="H41" s="785"/>
      <c r="I41" s="529"/>
      <c r="J41" s="766" t="str">
        <f>AQ41</f>
        <v/>
      </c>
      <c r="K41" s="785"/>
      <c r="L41" s="529"/>
      <c r="M41" s="142"/>
      <c r="N41" s="786"/>
      <c r="O41" s="141" t="str">
        <f ca="1">IF(A41=INDIRECT("'update Helper'!F"&amp;$BB41),IF(INDIRECT("'update Helper'!K"&amp;BB41)="","",INDIRECT("'update Helper'!K"&amp;BB41)),"")</f>
        <v/>
      </c>
      <c r="P41" s="787" t="str">
        <f ca="1">IF(OR(INDIRECT("'update Helper'!I"&amp;BB41)="",O41&lt;&gt;0,O42&lt;&gt;0),IF(IFERROR((O41/O42),"")="","",(O41/O42)),INDIRECT("'update Helper'!I"&amp;BB41)/100)</f>
        <v/>
      </c>
      <c r="Q41" s="785"/>
      <c r="R41" s="141"/>
      <c r="S41" s="787" t="str">
        <f ca="1">IF(OR(INDIRECT("'update Helper'!I"&amp;BB41+1)="",R41&lt;&gt;0,R42&lt;&gt;0),IF(IFERROR((R41/R42),"")="","",(R41/R42)),INDIRECT("'update Helper'!I"&amp;BB41+1)/100)</f>
        <v/>
      </c>
      <c r="T41" s="785"/>
      <c r="U41" s="141"/>
      <c r="V41" s="787" t="str">
        <f ca="1">IF(OR(INDIRECT("'update Helper'!I"&amp;BB41+2)="",U41&lt;&gt;0,U42&lt;&gt;0),IF(IFERROR((U41/U42),"")="","",(U41/U42)),INDIRECT("'update Helper'!I"&amp;BB41+2)/100)</f>
        <v/>
      </c>
      <c r="W41" s="785"/>
      <c r="X41" s="141"/>
      <c r="Y41" s="787" t="str">
        <f ca="1">IF(A41=INDIRECT("'update Helper'!F"&amp;$BB41+3),IF(OR(INDIRECT("'update Helper'!I"&amp;BB41+3)="",X41&lt;&gt;0,X42&lt;&gt;0),IF(IFERROR((X41/X42),"")="","",(X41/X42)),INDIRECT("'update Helper'!I"&amp;BB41+3)/100),"")</f>
        <v/>
      </c>
      <c r="Z41" s="785"/>
      <c r="AA41" s="141"/>
      <c r="AB41" s="787" t="str">
        <f ca="1">IF(A41=INDIRECT("'update Helper'!F"&amp;$BB41+4),IF(OR(INDIRECT("'update Helper'!I"&amp;BB41+4)="",AA41&lt;&gt;0,AA42&lt;&gt;0),IF(IFERROR((AA41/AA42),"")="","",(AA41/AA42)),INDIRECT("'update Helper'!I"&amp;BB41+4)/100),"")</f>
        <v/>
      </c>
      <c r="AC41" s="785"/>
      <c r="AD41" s="141"/>
      <c r="AE41" s="787" t="str">
        <f ca="1">IF(A41=INDIRECT("'update Helper'!F"&amp;$BB41+5),IF(A41=INDIRECT("'update Helper'!F"&amp;$BB41+5),IF(OR(INDIRECT("'update Helper'!I"&amp;BB41+5)="",AD41&lt;&gt;0,AD42&lt;&gt;0),IF(IFERROR((AD41/AD42),"")="","",(AD41/AD42)),INDIRECT("'update Helper'!I"&amp;BB41+5)/100),""),"")</f>
        <v/>
      </c>
      <c r="AF41" s="785"/>
      <c r="AG41" s="141"/>
      <c r="AH41" s="787" t="str">
        <f ca="1">IF(A41=INDIRECT("'update Helper'!F"&amp;$BB41+6),IF(OR(INDIRECT("'update Helper'!I"&amp;BB41+6)="",AG41&lt;&gt;0,AG42&lt;&gt;0),IF(IFERROR((AG41/AG42),"")="","",(AG41/AG42)),INDIRECT("'update Helper'!I"&amp;BB41+6)/100),"")</f>
        <v/>
      </c>
      <c r="AI41" s="785"/>
      <c r="AJ41" s="141"/>
      <c r="AK41" s="787" t="str">
        <f ca="1">IF(A41=INDIRECT("'update Helper'!F"&amp;$BB41+6),IF(OR(INDIRECT("'update Helper'!I"&amp;BB41+7)="",AJ41&lt;&gt;0,AJ42&lt;&gt;0),IF(IFERROR((AJ41/AJ42),"")="","",(AJ41/AJ42)),INDIRECT("'update Helper'!I"&amp;BB41+7)/100),"")</f>
        <v/>
      </c>
      <c r="AL41" s="785"/>
      <c r="AM41" s="529"/>
      <c r="AN41" s="529"/>
      <c r="AO41" s="529"/>
      <c r="AP41" s="529"/>
      <c r="AQ41" t="str">
        <f t="array" ref="AQ41">IFERROR(IF(INDEX('Reference Records'!$D$79:$D$156,MATCH(LEFT(D41,255),LEFT('Reference Records'!$C$79:$C$156,255),0))=0,"",INDEX('Reference Records'!$D$79:$D$156,MATCH(LEFT(D41,255),LEFT('Reference Records'!$C$79:$C$156,255),0))),"")</f>
        <v/>
      </c>
      <c r="AR41" s="124" t="str">
        <f t="array" ref="AR41">VLOOKUP(LEFT(D41,255),LEFT('Reference Records'!C$78:G367,255),4,0)</f>
        <v/>
      </c>
      <c r="AS41" s="124" t="e">
        <f>MATCH(AR41,'Reference Records'!$F$656:$F$734,0)+ROW(PopulationByCoverage)-1</f>
        <v>#N/A</v>
      </c>
      <c r="AT41" s="124" t="e">
        <f>MATCH(AR41,'Reference Records'!$F$656:$F$734,1)+ROW(PopulationByCoverage)-1</f>
        <v>#N/A</v>
      </c>
      <c r="AU41" t="str">
        <f>D41&amp;E41</f>
        <v/>
      </c>
      <c r="AV41" t="str">
        <f t="array" ref="AV41">IFERROR(IF(VLOOKUP(LEFT(D41,255),LEFT('Reference Records'!$C$1:$K$759,255),9,0)=0,"",CONCATENATE(VLOOKUP(LEFT(D41,255),LEFT('Reference Records'!$C$1:$K$759,255),9,0),";")),"")</f>
        <v>;</v>
      </c>
      <c r="AW41" t="str">
        <f>CLEAN(IFERROR(LEFT(AV41,SEARCH(";",AV41,1)-1),""))</f>
        <v/>
      </c>
      <c r="AX41" t="str">
        <f>SUBSTITUTE(IFERROR(MID(AV41,SEARCH(";",AV41)+1,SEARCH(";",AV41,SEARCH(";",AV41)+1)-SEARCH(";",AV41)-1),""),CHAR(10),"")</f>
        <v/>
      </c>
      <c r="AY41" s="110" t="str">
        <f>CLEAN(IFERROR(SUBSTITUTE(RIGHT(AV41,LEN(AV41)-SEARCH(";",AV41,SEARCH(";",AV41)+1)),";",""),""))</f>
        <v/>
      </c>
      <c r="AZ41" s="504" t="str">
        <f>IFERROR(IF(VLOOKUP(B41,'Reference Records'!$F$159:$N$210,9,FALSE)=0,"",VLOOKUP(B41,'Reference Records'!$F$159:$N$210,9,FALSE)),"")</f>
        <v/>
      </c>
      <c r="BA41">
        <f t="shared" si="1"/>
        <v>470</v>
      </c>
      <c r="BB41">
        <f ca="1">BB39+'update Helper'!$AB$2</f>
        <v>616</v>
      </c>
      <c r="BD41" t="str">
        <f ca="1">IF(INDIRECT("'update Helper'!S"&amp;BA41)=0,"",IFERROR(VLOOKUP(INDIRECT("'update Helper'!U"&amp;BA41),'Account Role'!A$1:B$14,2,0),IFERROR(VLOOKUP(INDIRECT("'update Helper'!AD"&amp;BA41),'Overview - Section A'!J$26:P$91,7,0),"")))</f>
        <v/>
      </c>
    </row>
    <row r="42" spans="1:56" ht="30" customHeight="1">
      <c r="A42" s="558"/>
      <c r="B42" s="530"/>
      <c r="C42" s="530"/>
      <c r="D42" s="530"/>
      <c r="E42" s="530"/>
      <c r="F42" s="141"/>
      <c r="G42" s="791"/>
      <c r="H42" s="770"/>
      <c r="I42" s="530"/>
      <c r="J42" s="771"/>
      <c r="K42" s="770"/>
      <c r="L42" s="530"/>
      <c r="M42" s="789"/>
      <c r="N42" s="790"/>
      <c r="O42" s="141" t="str">
        <f ca="1">IF(A41=INDIRECT("'update Helper'!F"&amp;$BB41),IF(INDIRECT("'update Helper'!J"&amp;BB41)=0,"",INDIRECT("'update Helper'!J"&amp;BB41)),"")</f>
        <v/>
      </c>
      <c r="P42" s="791"/>
      <c r="Q42" s="770"/>
      <c r="R42" s="141"/>
      <c r="S42" s="791"/>
      <c r="T42" s="770"/>
      <c r="U42" s="141"/>
      <c r="V42" s="791"/>
      <c r="W42" s="770"/>
      <c r="X42" s="141"/>
      <c r="Y42" s="791"/>
      <c r="Z42" s="770"/>
      <c r="AA42" s="141"/>
      <c r="AB42" s="791"/>
      <c r="AC42" s="770"/>
      <c r="AD42" s="141"/>
      <c r="AE42" s="791"/>
      <c r="AF42" s="770"/>
      <c r="AG42" s="141"/>
      <c r="AH42" s="791"/>
      <c r="AI42" s="770"/>
      <c r="AJ42" s="141"/>
      <c r="AK42" s="791"/>
      <c r="AL42" s="770"/>
      <c r="AM42" s="530"/>
      <c r="AN42" s="530"/>
      <c r="AO42" s="530"/>
      <c r="AP42" s="530"/>
      <c r="AY42" s="110"/>
      <c r="AZ42" s="504"/>
    </row>
    <row r="43" spans="1:56" ht="30" customHeight="1">
      <c r="A43" s="557">
        <v>18</v>
      </c>
      <c r="B43" s="529"/>
      <c r="C43" s="529"/>
      <c r="D43" s="529"/>
      <c r="E43" s="529"/>
      <c r="F43" s="141"/>
      <c r="G43" s="787" t="str">
        <f ca="1">IF(OR(INDIRECT("'update Helper'!D"&amp;BA43)="",F43&lt;&gt;0,F44&lt;&gt;0),IF(IFERROR((F43/F44),"")="","",(F43/F44)),INDIRECT("'update Helper'!D"&amp;BA43)/100)</f>
        <v/>
      </c>
      <c r="H43" s="785"/>
      <c r="I43" s="529"/>
      <c r="J43" s="766" t="str">
        <f>AQ43</f>
        <v/>
      </c>
      <c r="K43" s="785"/>
      <c r="L43" s="529"/>
      <c r="M43" s="142"/>
      <c r="N43" s="786"/>
      <c r="O43" s="141" t="str">
        <f ca="1">IF(A43=INDIRECT("'update Helper'!F"&amp;$BB43),IF(INDIRECT("'update Helper'!K"&amp;BB43)="","",INDIRECT("'update Helper'!K"&amp;BB43)),"")</f>
        <v/>
      </c>
      <c r="P43" s="787" t="str">
        <f ca="1">IF(OR(INDIRECT("'update Helper'!I"&amp;BB43)="",O43&lt;&gt;0,O44&lt;&gt;0),IF(IFERROR((O43/O44),"")="","",(O43/O44)),INDIRECT("'update Helper'!I"&amp;BB43)/100)</f>
        <v/>
      </c>
      <c r="Q43" s="785"/>
      <c r="R43" s="141"/>
      <c r="S43" s="787" t="str">
        <f ca="1">IF(OR(INDIRECT("'update Helper'!I"&amp;BB43+1)="",R43&lt;&gt;0,R44&lt;&gt;0),IF(IFERROR((R43/R44),"")="","",(R43/R44)),INDIRECT("'update Helper'!I"&amp;BB43+1)/100)</f>
        <v/>
      </c>
      <c r="T43" s="785"/>
      <c r="U43" s="141"/>
      <c r="V43" s="787" t="str">
        <f ca="1">IF(OR(INDIRECT("'update Helper'!I"&amp;BB43+2)="",U43&lt;&gt;0,U44&lt;&gt;0),IF(IFERROR((U43/U44),"")="","",(U43/U44)),INDIRECT("'update Helper'!I"&amp;BB43+2)/100)</f>
        <v/>
      </c>
      <c r="W43" s="785"/>
      <c r="X43" s="141"/>
      <c r="Y43" s="787" t="str">
        <f ca="1">IF(A43=INDIRECT("'update Helper'!F"&amp;$BB43+3),IF(OR(INDIRECT("'update Helper'!I"&amp;BB43+3)="",X43&lt;&gt;0,X44&lt;&gt;0),IF(IFERROR((X43/X44),"")="","",(X43/X44)),INDIRECT("'update Helper'!I"&amp;BB43+3)/100),"")</f>
        <v/>
      </c>
      <c r="Z43" s="785"/>
      <c r="AA43" s="141"/>
      <c r="AB43" s="787" t="str">
        <f ca="1">IF(A43=INDIRECT("'update Helper'!F"&amp;$BB43+4),IF(OR(INDIRECT("'update Helper'!I"&amp;BB43+4)="",AA43&lt;&gt;0,AA44&lt;&gt;0),IF(IFERROR((AA43/AA44),"")="","",(AA43/AA44)),INDIRECT("'update Helper'!I"&amp;BB43+4)/100),"")</f>
        <v/>
      </c>
      <c r="AC43" s="785"/>
      <c r="AD43" s="141"/>
      <c r="AE43" s="787" t="str">
        <f ca="1">IF(A43=INDIRECT("'update Helper'!F"&amp;$BB43+5),IF(A43=INDIRECT("'update Helper'!F"&amp;$BB43+5),IF(OR(INDIRECT("'update Helper'!I"&amp;BB43+5)="",AD43&lt;&gt;0,AD44&lt;&gt;0),IF(IFERROR((AD43/AD44),"")="","",(AD43/AD44)),INDIRECT("'update Helper'!I"&amp;BB43+5)/100),""),"")</f>
        <v/>
      </c>
      <c r="AF43" s="785"/>
      <c r="AG43" s="141"/>
      <c r="AH43" s="787" t="str">
        <f ca="1">IF(A43=INDIRECT("'update Helper'!F"&amp;$BB43+6),IF(OR(INDIRECT("'update Helper'!I"&amp;BB43+6)="",AG43&lt;&gt;0,AG44&lt;&gt;0),IF(IFERROR((AG43/AG44),"")="","",(AG43/AG44)),INDIRECT("'update Helper'!I"&amp;BB43+6)/100),"")</f>
        <v/>
      </c>
      <c r="AI43" s="785"/>
      <c r="AJ43" s="141"/>
      <c r="AK43" s="787" t="str">
        <f ca="1">IF(A43=INDIRECT("'update Helper'!F"&amp;$BB43+6),IF(OR(INDIRECT("'update Helper'!I"&amp;BB43+7)="",AJ43&lt;&gt;0,AJ44&lt;&gt;0),IF(IFERROR((AJ43/AJ44),"")="","",(AJ43/AJ44)),INDIRECT("'update Helper'!I"&amp;BB43+7)/100),"")</f>
        <v/>
      </c>
      <c r="AL43" s="785"/>
      <c r="AM43" s="529"/>
      <c r="AN43" s="529"/>
      <c r="AO43" s="529"/>
      <c r="AP43" s="529"/>
      <c r="AQ43" t="str">
        <f t="array" ref="AQ43">IFERROR(IF(INDEX('Reference Records'!$D$79:$D$156,MATCH(LEFT(D43,255),LEFT('Reference Records'!$C$79:$C$156,255),0))=0,"",INDEX('Reference Records'!$D$79:$D$156,MATCH(LEFT(D43,255),LEFT('Reference Records'!$C$79:$C$156,255),0))),"")</f>
        <v/>
      </c>
      <c r="AR43" s="124" t="str">
        <f t="array" ref="AR43">VLOOKUP(LEFT(D43,255),LEFT('Reference Records'!C$78:G369,255),4,0)</f>
        <v/>
      </c>
      <c r="AS43" s="124" t="e">
        <f>MATCH(AR43,'Reference Records'!$F$656:$F$734,0)+ROW(PopulationByCoverage)-1</f>
        <v>#N/A</v>
      </c>
      <c r="AT43" s="124" t="e">
        <f>MATCH(AR43,'Reference Records'!$F$656:$F$734,1)+ROW(PopulationByCoverage)-1</f>
        <v>#N/A</v>
      </c>
      <c r="AU43" t="str">
        <f>D43&amp;E43</f>
        <v/>
      </c>
      <c r="AV43" t="str">
        <f t="array" ref="AV43">IFERROR(IF(VLOOKUP(LEFT(D43,255),LEFT('Reference Records'!$C$1:$K$759,255),9,0)=0,"",CONCATENATE(VLOOKUP(LEFT(D43,255),LEFT('Reference Records'!$C$1:$K$759,255),9,0),";")),"")</f>
        <v>;</v>
      </c>
      <c r="AW43" t="str">
        <f>CLEAN(IFERROR(LEFT(AV43,SEARCH(";",AV43,1)-1),""))</f>
        <v/>
      </c>
      <c r="AX43" t="str">
        <f>SUBSTITUTE(IFERROR(MID(AV43,SEARCH(";",AV43)+1,SEARCH(";",AV43,SEARCH(";",AV43)+1)-SEARCH(";",AV43)-1),""),CHAR(10),"")</f>
        <v/>
      </c>
      <c r="AY43" s="110" t="str">
        <f>CLEAN(IFERROR(SUBSTITUTE(RIGHT(AV43,LEN(AV43)-SEARCH(";",AV43,SEARCH(";",AV43)+1)),";",""),""))</f>
        <v/>
      </c>
      <c r="AZ43" s="504" t="str">
        <f>IFERROR(IF(VLOOKUP(B43,'Reference Records'!$F$159:$N$210,9,FALSE)=0,"",VLOOKUP(B43,'Reference Records'!$F$159:$N$210,9,FALSE)),"")</f>
        <v/>
      </c>
      <c r="BA43">
        <f t="shared" si="1"/>
        <v>471</v>
      </c>
      <c r="BB43">
        <f ca="1">BB41+'update Helper'!$AB$2</f>
        <v>622</v>
      </c>
      <c r="BD43" t="str">
        <f ca="1">IF(INDIRECT("'update Helper'!S"&amp;BA43)=0,"",IFERROR(VLOOKUP(INDIRECT("'update Helper'!U"&amp;BA43),'Account Role'!A$1:B$14,2,0),IFERROR(VLOOKUP(INDIRECT("'update Helper'!AD"&amp;BA43),'Overview - Section A'!J$26:P$91,7,0),"")))</f>
        <v/>
      </c>
    </row>
    <row r="44" spans="1:56" ht="30" customHeight="1">
      <c r="A44" s="558"/>
      <c r="B44" s="530"/>
      <c r="C44" s="530"/>
      <c r="D44" s="530"/>
      <c r="E44" s="530"/>
      <c r="F44" s="141"/>
      <c r="G44" s="791"/>
      <c r="H44" s="770"/>
      <c r="I44" s="530"/>
      <c r="J44" s="771"/>
      <c r="K44" s="770"/>
      <c r="L44" s="530"/>
      <c r="M44" s="789"/>
      <c r="N44" s="790"/>
      <c r="O44" s="141" t="str">
        <f ca="1">IF(A43=INDIRECT("'update Helper'!F"&amp;$BB43),IF(INDIRECT("'update Helper'!J"&amp;BB43)=0,"",INDIRECT("'update Helper'!J"&amp;BB43)),"")</f>
        <v/>
      </c>
      <c r="P44" s="791"/>
      <c r="Q44" s="770"/>
      <c r="R44" s="141"/>
      <c r="S44" s="791"/>
      <c r="T44" s="770"/>
      <c r="U44" s="141"/>
      <c r="V44" s="791"/>
      <c r="W44" s="770"/>
      <c r="X44" s="141"/>
      <c r="Y44" s="791"/>
      <c r="Z44" s="770"/>
      <c r="AA44" s="141"/>
      <c r="AB44" s="791"/>
      <c r="AC44" s="770"/>
      <c r="AD44" s="141"/>
      <c r="AE44" s="791"/>
      <c r="AF44" s="770"/>
      <c r="AG44" s="141"/>
      <c r="AH44" s="791"/>
      <c r="AI44" s="770"/>
      <c r="AJ44" s="141"/>
      <c r="AK44" s="791"/>
      <c r="AL44" s="770"/>
      <c r="AM44" s="530"/>
      <c r="AN44" s="530"/>
      <c r="AO44" s="530"/>
      <c r="AP44" s="530"/>
      <c r="AY44" s="110"/>
      <c r="AZ44" s="504"/>
    </row>
    <row r="45" spans="1:56" ht="30" customHeight="1">
      <c r="A45" s="557">
        <v>19</v>
      </c>
      <c r="B45" s="529"/>
      <c r="C45" s="529"/>
      <c r="D45" s="529"/>
      <c r="E45" s="529"/>
      <c r="F45" s="141"/>
      <c r="G45" s="787" t="str">
        <f ca="1">IF(OR(INDIRECT("'update Helper'!D"&amp;BA45)="",F45&lt;&gt;0,F46&lt;&gt;0),IF(IFERROR((F45/F46),"")="","",(F45/F46)),INDIRECT("'update Helper'!D"&amp;BA45)/100)</f>
        <v/>
      </c>
      <c r="H45" s="785"/>
      <c r="I45" s="529"/>
      <c r="J45" s="766" t="str">
        <f>AQ45</f>
        <v/>
      </c>
      <c r="K45" s="785"/>
      <c r="L45" s="529"/>
      <c r="M45" s="142"/>
      <c r="N45" s="786"/>
      <c r="O45" s="141" t="str">
        <f ca="1">IF(A45=INDIRECT("'update Helper'!F"&amp;$BB45),IF(INDIRECT("'update Helper'!K"&amp;BB45)="","",INDIRECT("'update Helper'!K"&amp;BB45)),"")</f>
        <v/>
      </c>
      <c r="P45" s="787" t="str">
        <f ca="1">IF(OR(INDIRECT("'update Helper'!I"&amp;BB45)="",O45&lt;&gt;0,O46&lt;&gt;0),IF(IFERROR((O45/O46),"")="","",(O45/O46)),INDIRECT("'update Helper'!I"&amp;BB45)/100)</f>
        <v/>
      </c>
      <c r="Q45" s="785"/>
      <c r="R45" s="141"/>
      <c r="S45" s="787" t="str">
        <f ca="1">IF(OR(INDIRECT("'update Helper'!I"&amp;BB45+1)="",R45&lt;&gt;0,R46&lt;&gt;0),IF(IFERROR((R45/R46),"")="","",(R45/R46)),INDIRECT("'update Helper'!I"&amp;BB45+1)/100)</f>
        <v/>
      </c>
      <c r="T45" s="785"/>
      <c r="U45" s="141"/>
      <c r="V45" s="787" t="str">
        <f ca="1">IF(OR(INDIRECT("'update Helper'!I"&amp;BB45+2)="",U45&lt;&gt;0,U46&lt;&gt;0),IF(IFERROR((U45/U46),"")="","",(U45/U46)),INDIRECT("'update Helper'!I"&amp;BB45+2)/100)</f>
        <v/>
      </c>
      <c r="W45" s="785"/>
      <c r="X45" s="141"/>
      <c r="Y45" s="787" t="str">
        <f ca="1">IF(A45=INDIRECT("'update Helper'!F"&amp;$BB45+3),IF(OR(INDIRECT("'update Helper'!I"&amp;BB45+3)="",X45&lt;&gt;0,X46&lt;&gt;0),IF(IFERROR((X45/X46),"")="","",(X45/X46)),INDIRECT("'update Helper'!I"&amp;BB45+3)/100),"")</f>
        <v/>
      </c>
      <c r="Z45" s="785"/>
      <c r="AA45" s="141"/>
      <c r="AB45" s="787" t="str">
        <f ca="1">IF(A45=INDIRECT("'update Helper'!F"&amp;$BB45+4),IF(OR(INDIRECT("'update Helper'!I"&amp;BB45+4)="",AA45&lt;&gt;0,AA46&lt;&gt;0),IF(IFERROR((AA45/AA46),"")="","",(AA45/AA46)),INDIRECT("'update Helper'!I"&amp;BB45+4)/100),"")</f>
        <v/>
      </c>
      <c r="AC45" s="785"/>
      <c r="AD45" s="141"/>
      <c r="AE45" s="787" t="str">
        <f ca="1">IF(A45=INDIRECT("'update Helper'!F"&amp;$BB45+5),IF(A45=INDIRECT("'update Helper'!F"&amp;$BB45+5),IF(OR(INDIRECT("'update Helper'!I"&amp;BB45+5)="",AD45&lt;&gt;0,AD46&lt;&gt;0),IF(IFERROR((AD45/AD46),"")="","",(AD45/AD46)),INDIRECT("'update Helper'!I"&amp;BB45+5)/100),""),"")</f>
        <v/>
      </c>
      <c r="AF45" s="785"/>
      <c r="AG45" s="141"/>
      <c r="AH45" s="787" t="str">
        <f ca="1">IF(A45=INDIRECT("'update Helper'!F"&amp;$BB45+6),IF(OR(INDIRECT("'update Helper'!I"&amp;BB45+6)="",AG45&lt;&gt;0,AG46&lt;&gt;0),IF(IFERROR((AG45/AG46),"")="","",(AG45/AG46)),INDIRECT("'update Helper'!I"&amp;BB45+6)/100),"")</f>
        <v/>
      </c>
      <c r="AI45" s="785"/>
      <c r="AJ45" s="141"/>
      <c r="AK45" s="787" t="str">
        <f ca="1">IF(A45=INDIRECT("'update Helper'!F"&amp;$BB45+6),IF(OR(INDIRECT("'update Helper'!I"&amp;BB45+7)="",AJ45&lt;&gt;0,AJ46&lt;&gt;0),IF(IFERROR((AJ45/AJ46),"")="","",(AJ45/AJ46)),INDIRECT("'update Helper'!I"&amp;BB45+7)/100),"")</f>
        <v/>
      </c>
      <c r="AL45" s="785"/>
      <c r="AM45" s="529"/>
      <c r="AN45" s="529"/>
      <c r="AO45" s="529"/>
      <c r="AP45" s="529"/>
      <c r="AQ45" t="str">
        <f t="array" ref="AQ45">IFERROR(IF(INDEX('Reference Records'!$D$79:$D$156,MATCH(LEFT(D45,255),LEFT('Reference Records'!$C$79:$C$156,255),0))=0,"",INDEX('Reference Records'!$D$79:$D$156,MATCH(LEFT(D45,255),LEFT('Reference Records'!$C$79:$C$156,255),0))),"")</f>
        <v/>
      </c>
      <c r="AR45" s="124" t="str">
        <f t="array" ref="AR45">VLOOKUP(LEFT(D45,255),LEFT('Reference Records'!C$78:G371,255),4,0)</f>
        <v/>
      </c>
      <c r="AS45" s="124" t="e">
        <f>MATCH(AR45,'Reference Records'!$F$656:$F$734,0)+ROW(PopulationByCoverage)-1</f>
        <v>#N/A</v>
      </c>
      <c r="AT45" s="124" t="e">
        <f>MATCH(AR45,'Reference Records'!$F$656:$F$734,1)+ROW(PopulationByCoverage)-1</f>
        <v>#N/A</v>
      </c>
      <c r="AU45" t="str">
        <f>D45&amp;E45</f>
        <v/>
      </c>
      <c r="AV45" t="str">
        <f t="array" ref="AV45">IFERROR(IF(VLOOKUP(LEFT(D45,255),LEFT('Reference Records'!$C$1:$K$759,255),9,0)=0,"",CONCATENATE(VLOOKUP(LEFT(D45,255),LEFT('Reference Records'!$C$1:$K$759,255),9,0),";")),"")</f>
        <v>;</v>
      </c>
      <c r="AW45" t="str">
        <f>CLEAN(IFERROR(LEFT(AV45,SEARCH(";",AV45,1)-1),""))</f>
        <v/>
      </c>
      <c r="AX45" t="str">
        <f>SUBSTITUTE(IFERROR(MID(AV45,SEARCH(";",AV45)+1,SEARCH(";",AV45,SEARCH(";",AV45)+1)-SEARCH(";",AV45)-1),""),CHAR(10),"")</f>
        <v/>
      </c>
      <c r="AY45" s="110" t="str">
        <f>CLEAN(IFERROR(SUBSTITUTE(RIGHT(AV45,LEN(AV45)-SEARCH(";",AV45,SEARCH(";",AV45)+1)),";",""),""))</f>
        <v/>
      </c>
      <c r="AZ45" s="504" t="str">
        <f>IFERROR(IF(VLOOKUP(B45,'Reference Records'!$F$159:$N$210,9,FALSE)=0,"",VLOOKUP(B45,'Reference Records'!$F$159:$N$210,9,FALSE)),"")</f>
        <v/>
      </c>
      <c r="BA45">
        <f t="shared" si="1"/>
        <v>472</v>
      </c>
      <c r="BB45">
        <f ca="1">BB43+'update Helper'!$AB$2</f>
        <v>628</v>
      </c>
      <c r="BD45" t="str">
        <f ca="1">IF(INDIRECT("'update Helper'!S"&amp;BA45)=0,"",IFERROR(VLOOKUP(INDIRECT("'update Helper'!U"&amp;BA45),'Account Role'!A$1:B$14,2,0),IFERROR(VLOOKUP(INDIRECT("'update Helper'!AD"&amp;BA45),'Overview - Section A'!J$26:P$91,7,0),"")))</f>
        <v/>
      </c>
    </row>
    <row r="46" spans="1:56" ht="30" customHeight="1">
      <c r="A46" s="558"/>
      <c r="B46" s="530"/>
      <c r="C46" s="530"/>
      <c r="D46" s="530"/>
      <c r="E46" s="530"/>
      <c r="F46" s="141"/>
      <c r="G46" s="791"/>
      <c r="H46" s="770"/>
      <c r="I46" s="530"/>
      <c r="J46" s="771"/>
      <c r="K46" s="770"/>
      <c r="L46" s="530"/>
      <c r="M46" s="789"/>
      <c r="N46" s="790"/>
      <c r="O46" s="141" t="str">
        <f ca="1">IF(A45=INDIRECT("'update Helper'!F"&amp;$BB45),IF(INDIRECT("'update Helper'!J"&amp;BB45)=0,"",INDIRECT("'update Helper'!J"&amp;BB45)),"")</f>
        <v/>
      </c>
      <c r="P46" s="791"/>
      <c r="Q46" s="770"/>
      <c r="R46" s="141"/>
      <c r="S46" s="791"/>
      <c r="T46" s="770"/>
      <c r="U46" s="141"/>
      <c r="V46" s="791"/>
      <c r="W46" s="770"/>
      <c r="X46" s="141"/>
      <c r="Y46" s="791"/>
      <c r="Z46" s="770"/>
      <c r="AA46" s="141"/>
      <c r="AB46" s="791"/>
      <c r="AC46" s="770"/>
      <c r="AD46" s="141"/>
      <c r="AE46" s="791"/>
      <c r="AF46" s="770"/>
      <c r="AG46" s="141"/>
      <c r="AH46" s="791"/>
      <c r="AI46" s="770"/>
      <c r="AJ46" s="141"/>
      <c r="AK46" s="791"/>
      <c r="AL46" s="770"/>
      <c r="AM46" s="530"/>
      <c r="AN46" s="530"/>
      <c r="AO46" s="530"/>
      <c r="AP46" s="530"/>
      <c r="AY46" s="110"/>
      <c r="AZ46" s="504"/>
    </row>
    <row r="47" spans="1:56" ht="30" customHeight="1">
      <c r="A47" s="557">
        <v>20</v>
      </c>
      <c r="B47" s="529"/>
      <c r="C47" s="529"/>
      <c r="D47" s="529"/>
      <c r="E47" s="529"/>
      <c r="F47" s="141"/>
      <c r="G47" s="787" t="str">
        <f ca="1">IF(OR(INDIRECT("'update Helper'!D"&amp;BA47)="",F47&lt;&gt;0,F48&lt;&gt;0),IF(IFERROR((F47/F48),"")="","",(F47/F48)),INDIRECT("'update Helper'!D"&amp;BA47)/100)</f>
        <v/>
      </c>
      <c r="H47" s="785"/>
      <c r="I47" s="529"/>
      <c r="J47" s="766" t="str">
        <f>AQ47</f>
        <v/>
      </c>
      <c r="K47" s="785"/>
      <c r="L47" s="529"/>
      <c r="M47" s="142"/>
      <c r="N47" s="786"/>
      <c r="O47" s="141" t="str">
        <f ca="1">IF(A47=INDIRECT("'update Helper'!F"&amp;$BB47),IF(INDIRECT("'update Helper'!K"&amp;BB47)="","",INDIRECT("'update Helper'!K"&amp;BB47)),"")</f>
        <v/>
      </c>
      <c r="P47" s="787" t="str">
        <f ca="1">IF(OR(INDIRECT("'update Helper'!I"&amp;BB47)="",O47&lt;&gt;0,O48&lt;&gt;0),IF(IFERROR((O47/O48),"")="","",(O47/O48)),INDIRECT("'update Helper'!I"&amp;BB47)/100)</f>
        <v/>
      </c>
      <c r="Q47" s="785"/>
      <c r="R47" s="141"/>
      <c r="S47" s="787" t="str">
        <f ca="1">IF(OR(INDIRECT("'update Helper'!I"&amp;BB47+1)="",R47&lt;&gt;0,R48&lt;&gt;0),IF(IFERROR((R47/R48),"")="","",(R47/R48)),INDIRECT("'update Helper'!I"&amp;BB47+1)/100)</f>
        <v/>
      </c>
      <c r="T47" s="785"/>
      <c r="U47" s="141"/>
      <c r="V47" s="787" t="str">
        <f ca="1">IF(OR(INDIRECT("'update Helper'!I"&amp;BB47+2)="",U47&lt;&gt;0,U48&lt;&gt;0),IF(IFERROR((U47/U48),"")="","",(U47/U48)),INDIRECT("'update Helper'!I"&amp;BB47+2)/100)</f>
        <v/>
      </c>
      <c r="W47" s="785"/>
      <c r="X47" s="141"/>
      <c r="Y47" s="787" t="str">
        <f ca="1">IF(A47=INDIRECT("'update Helper'!F"&amp;$BB47+3),IF(OR(INDIRECT("'update Helper'!I"&amp;BB47+3)="",X47&lt;&gt;0,X48&lt;&gt;0),IF(IFERROR((X47/X48),"")="","",(X47/X48)),INDIRECT("'update Helper'!I"&amp;BB47+3)/100),"")</f>
        <v/>
      </c>
      <c r="Z47" s="785"/>
      <c r="AA47" s="141"/>
      <c r="AB47" s="787" t="str">
        <f ca="1">IF(A47=INDIRECT("'update Helper'!F"&amp;$BB47+4),IF(OR(INDIRECT("'update Helper'!I"&amp;BB47+4)="",AA47&lt;&gt;0,AA48&lt;&gt;0),IF(IFERROR((AA47/AA48),"")="","",(AA47/AA48)),INDIRECT("'update Helper'!I"&amp;BB47+4)/100),"")</f>
        <v/>
      </c>
      <c r="AC47" s="785"/>
      <c r="AD47" s="141"/>
      <c r="AE47" s="787" t="str">
        <f ca="1">IF(A47=INDIRECT("'update Helper'!F"&amp;$BB47+5),IF(A47=INDIRECT("'update Helper'!F"&amp;$BB47+5),IF(OR(INDIRECT("'update Helper'!I"&amp;BB47+5)="",AD47&lt;&gt;0,AD48&lt;&gt;0),IF(IFERROR((AD47/AD48),"")="","",(AD47/AD48)),INDIRECT("'update Helper'!I"&amp;BB47+5)/100),""),"")</f>
        <v/>
      </c>
      <c r="AF47" s="785"/>
      <c r="AG47" s="141"/>
      <c r="AH47" s="787" t="str">
        <f ca="1">IF(A47=INDIRECT("'update Helper'!F"&amp;$BB47+6),IF(OR(INDIRECT("'update Helper'!I"&amp;BB47+6)="",AG47&lt;&gt;0,AG48&lt;&gt;0),IF(IFERROR((AG47/AG48),"")="","",(AG47/AG48)),INDIRECT("'update Helper'!I"&amp;BB47+6)/100),"")</f>
        <v/>
      </c>
      <c r="AI47" s="785"/>
      <c r="AJ47" s="141"/>
      <c r="AK47" s="787" t="str">
        <f ca="1">IF(A47=INDIRECT("'update Helper'!F"&amp;$BB47+6),IF(OR(INDIRECT("'update Helper'!I"&amp;BB47+7)="",AJ47&lt;&gt;0,AJ48&lt;&gt;0),IF(IFERROR((AJ47/AJ48),"")="","",(AJ47/AJ48)),INDIRECT("'update Helper'!I"&amp;BB47+7)/100),"")</f>
        <v/>
      </c>
      <c r="AL47" s="785"/>
      <c r="AM47" s="529"/>
      <c r="AN47" s="529"/>
      <c r="AO47" s="529"/>
      <c r="AP47" s="529"/>
      <c r="AQ47" t="str">
        <f t="array" ref="AQ47">IFERROR(IF(INDEX('Reference Records'!$D$79:$D$156,MATCH(LEFT(D47,255),LEFT('Reference Records'!$C$79:$C$156,255),0))=0,"",INDEX('Reference Records'!$D$79:$D$156,MATCH(LEFT(D47,255),LEFT('Reference Records'!$C$79:$C$156,255),0))),"")</f>
        <v/>
      </c>
      <c r="AR47" s="124" t="str">
        <f t="array" ref="AR47">VLOOKUP(LEFT(D47,255),LEFT('Reference Records'!C$78:G418,255),4,0)</f>
        <v/>
      </c>
      <c r="AS47" s="124" t="e">
        <f>MATCH(AR47,'Reference Records'!$F$656:$F$734,0)+ROW(PopulationByCoverage)-1</f>
        <v>#N/A</v>
      </c>
      <c r="AT47" s="124" t="e">
        <f>MATCH(AR47,'Reference Records'!$F$656:$F$734,1)+ROW(PopulationByCoverage)-1</f>
        <v>#N/A</v>
      </c>
      <c r="AU47" t="str">
        <f>D47&amp;E47</f>
        <v/>
      </c>
      <c r="AV47" t="str">
        <f t="array" ref="AV47">IFERROR(IF(VLOOKUP(LEFT(D47,255),LEFT('Reference Records'!$C$1:$K$759,255),9,0)=0,"",CONCATENATE(VLOOKUP(LEFT(D47,255),LEFT('Reference Records'!$C$1:$K$759,255),9,0),";")),"")</f>
        <v>;</v>
      </c>
      <c r="AW47" t="str">
        <f>CLEAN(IFERROR(LEFT(AV47,SEARCH(";",AV47,1)-1),""))</f>
        <v/>
      </c>
      <c r="AX47" t="str">
        <f>SUBSTITUTE(IFERROR(MID(AV47,SEARCH(";",AV47)+1,SEARCH(";",AV47,SEARCH(";",AV47)+1)-SEARCH(";",AV47)-1),""),CHAR(10),"")</f>
        <v/>
      </c>
      <c r="AY47" s="110" t="str">
        <f>CLEAN(IFERROR(SUBSTITUTE(RIGHT(AV47,LEN(AV47)-SEARCH(";",AV47,SEARCH(";",AV47)+1)),";",""),""))</f>
        <v/>
      </c>
      <c r="AZ47" s="504" t="str">
        <f>IFERROR(IF(VLOOKUP(B47,'Reference Records'!$F$159:$N$210,9,FALSE)=0,"",VLOOKUP(B47,'Reference Records'!$F$159:$N$210,9,FALSE)),"")</f>
        <v/>
      </c>
      <c r="BA47">
        <f t="shared" si="1"/>
        <v>473</v>
      </c>
      <c r="BB47">
        <f ca="1">BB45+'update Helper'!$AB$2</f>
        <v>634</v>
      </c>
      <c r="BD47" t="str">
        <f ca="1">IF(INDIRECT("'update Helper'!S"&amp;BA47)=0,"",IFERROR(VLOOKUP(INDIRECT("'update Helper'!U"&amp;BA47),'Account Role'!A$1:B$14,2,0),IFERROR(VLOOKUP(INDIRECT("'update Helper'!AD"&amp;BA47),'Overview - Section A'!J$26:P$91,7,0),"")))</f>
        <v/>
      </c>
    </row>
    <row r="48" spans="1:56" ht="30" customHeight="1">
      <c r="A48" s="558"/>
      <c r="B48" s="530"/>
      <c r="C48" s="530"/>
      <c r="D48" s="530"/>
      <c r="E48" s="530"/>
      <c r="F48" s="141"/>
      <c r="G48" s="791"/>
      <c r="H48" s="770"/>
      <c r="I48" s="530"/>
      <c r="J48" s="771"/>
      <c r="K48" s="770"/>
      <c r="L48" s="530"/>
      <c r="M48" s="789"/>
      <c r="N48" s="790"/>
      <c r="O48" s="141" t="str">
        <f ca="1">IF(A47=INDIRECT("'update Helper'!F"&amp;$BB47),IF(INDIRECT("'update Helper'!J"&amp;BB47)=0,"",INDIRECT("'update Helper'!J"&amp;BB47)),"")</f>
        <v/>
      </c>
      <c r="P48" s="791"/>
      <c r="Q48" s="770"/>
      <c r="R48" s="141"/>
      <c r="S48" s="791"/>
      <c r="T48" s="770"/>
      <c r="U48" s="141"/>
      <c r="V48" s="791"/>
      <c r="W48" s="770"/>
      <c r="X48" s="141"/>
      <c r="Y48" s="791"/>
      <c r="Z48" s="770"/>
      <c r="AA48" s="141"/>
      <c r="AB48" s="791"/>
      <c r="AC48" s="770"/>
      <c r="AD48" s="141"/>
      <c r="AE48" s="791"/>
      <c r="AF48" s="770"/>
      <c r="AG48" s="141"/>
      <c r="AH48" s="791"/>
      <c r="AI48" s="770"/>
      <c r="AJ48" s="141"/>
      <c r="AK48" s="791"/>
      <c r="AL48" s="770"/>
      <c r="AM48" s="530"/>
      <c r="AN48" s="530"/>
      <c r="AO48" s="530"/>
      <c r="AP48" s="530"/>
      <c r="AY48" s="110"/>
      <c r="AZ48" s="504"/>
    </row>
    <row r="49" spans="1:56" ht="30" customHeight="1">
      <c r="A49" s="557">
        <v>21</v>
      </c>
      <c r="B49" s="529"/>
      <c r="C49" s="529"/>
      <c r="D49" s="529"/>
      <c r="E49" s="529"/>
      <c r="F49" s="141"/>
      <c r="G49" s="787" t="str">
        <f ca="1">IF(OR(INDIRECT("'update Helper'!D"&amp;BA49)="",F49&lt;&gt;0,F50&lt;&gt;0),IF(IFERROR((F49/F50),"")="","",(F49/F50)),INDIRECT("'update Helper'!D"&amp;BA49)/100)</f>
        <v/>
      </c>
      <c r="H49" s="785"/>
      <c r="I49" s="529"/>
      <c r="J49" s="766" t="str">
        <f>AQ49</f>
        <v/>
      </c>
      <c r="K49" s="785"/>
      <c r="L49" s="529"/>
      <c r="M49" s="142"/>
      <c r="N49" s="786"/>
      <c r="O49" s="141" t="str">
        <f ca="1">IF(A49=INDIRECT("'update Helper'!F"&amp;$BB49),IF(INDIRECT("'update Helper'!K"&amp;BB49)="","",INDIRECT("'update Helper'!K"&amp;BB49)),"")</f>
        <v/>
      </c>
      <c r="P49" s="787" t="str">
        <f ca="1">IF(OR(INDIRECT("'update Helper'!I"&amp;BB49)="",O49&lt;&gt;0,O50&lt;&gt;0),IF(IFERROR((O49/O50),"")="","",(O49/O50)),INDIRECT("'update Helper'!I"&amp;BB49)/100)</f>
        <v/>
      </c>
      <c r="Q49" s="785"/>
      <c r="R49" s="141"/>
      <c r="S49" s="787" t="str">
        <f ca="1">IF(OR(INDIRECT("'update Helper'!I"&amp;BB49+1)="",R49&lt;&gt;0,R50&lt;&gt;0),IF(IFERROR((R49/R50),"")="","",(R49/R50)),INDIRECT("'update Helper'!I"&amp;BB49+1)/100)</f>
        <v/>
      </c>
      <c r="T49" s="785"/>
      <c r="U49" s="141"/>
      <c r="V49" s="787" t="str">
        <f ca="1">IF(OR(INDIRECT("'update Helper'!I"&amp;BB49+2)="",U49&lt;&gt;0,U50&lt;&gt;0),IF(IFERROR((U49/U50),"")="","",(U49/U50)),INDIRECT("'update Helper'!I"&amp;BB49+2)/100)</f>
        <v/>
      </c>
      <c r="W49" s="785"/>
      <c r="X49" s="141"/>
      <c r="Y49" s="787" t="str">
        <f ca="1">IF(A49=INDIRECT("'update Helper'!F"&amp;$BB49+3),IF(OR(INDIRECT("'update Helper'!I"&amp;BB49+3)="",X49&lt;&gt;0,X50&lt;&gt;0),IF(IFERROR((X49/X50),"")="","",(X49/X50)),INDIRECT("'update Helper'!I"&amp;BB49+3)/100),"")</f>
        <v/>
      </c>
      <c r="Z49" s="785"/>
      <c r="AA49" s="141"/>
      <c r="AB49" s="787" t="str">
        <f ca="1">IF(A49=INDIRECT("'update Helper'!F"&amp;$BB49+4),IF(OR(INDIRECT("'update Helper'!I"&amp;BB49+4)="",AA49&lt;&gt;0,AA50&lt;&gt;0),IF(IFERROR((AA49/AA50),"")="","",(AA49/AA50)),INDIRECT("'update Helper'!I"&amp;BB49+4)/100),"")</f>
        <v/>
      </c>
      <c r="AC49" s="785"/>
      <c r="AD49" s="141"/>
      <c r="AE49" s="787" t="str">
        <f ca="1">IF(A49=INDIRECT("'update Helper'!F"&amp;$BB49+5),IF(A49=INDIRECT("'update Helper'!F"&amp;$BB49+5),IF(OR(INDIRECT("'update Helper'!I"&amp;BB49+5)="",AD49&lt;&gt;0,AD50&lt;&gt;0),IF(IFERROR((AD49/AD50),"")="","",(AD49/AD50)),INDIRECT("'update Helper'!I"&amp;BB49+5)/100),""),"")</f>
        <v/>
      </c>
      <c r="AF49" s="785"/>
      <c r="AG49" s="141"/>
      <c r="AH49" s="787" t="str">
        <f ca="1">IF(A49=INDIRECT("'update Helper'!F"&amp;$BB49+6),IF(OR(INDIRECT("'update Helper'!I"&amp;BB49+6)="",AG49&lt;&gt;0,AG50&lt;&gt;0),IF(IFERROR((AG49/AG50),"")="","",(AG49/AG50)),INDIRECT("'update Helper'!I"&amp;BB49+6)/100),"")</f>
        <v/>
      </c>
      <c r="AI49" s="785"/>
      <c r="AJ49" s="141"/>
      <c r="AK49" s="787" t="str">
        <f ca="1">IF(A49=INDIRECT("'update Helper'!F"&amp;$BB49+6),IF(OR(INDIRECT("'update Helper'!I"&amp;BB49+7)="",AJ49&lt;&gt;0,AJ50&lt;&gt;0),IF(IFERROR((AJ49/AJ50),"")="","",(AJ49/AJ50)),INDIRECT("'update Helper'!I"&amp;BB49+7)/100),"")</f>
        <v/>
      </c>
      <c r="AL49" s="785"/>
      <c r="AM49" s="529"/>
      <c r="AN49" s="529"/>
      <c r="AO49" s="529"/>
      <c r="AP49" s="529"/>
      <c r="AQ49" t="str">
        <f t="array" ref="AQ49">IFERROR(IF(INDEX('Reference Records'!$D$79:$D$156,MATCH(LEFT(D49,255),LEFT('Reference Records'!$C$79:$C$156,255),0))=0,"",INDEX('Reference Records'!$D$79:$D$156,MATCH(LEFT(D49,255),LEFT('Reference Records'!$C$79:$C$156,255),0))),"")</f>
        <v/>
      </c>
      <c r="AR49" s="124" t="str">
        <f t="array" ref="AR49">VLOOKUP(LEFT(D49,255),LEFT('Reference Records'!C$78:G420,255),4,0)</f>
        <v/>
      </c>
      <c r="AS49" s="124" t="e">
        <f>MATCH(AR49,'Reference Records'!$F$656:$F$734,0)+ROW(PopulationByCoverage)-1</f>
        <v>#N/A</v>
      </c>
      <c r="AT49" s="124" t="e">
        <f>MATCH(AR49,'Reference Records'!$F$656:$F$734,1)+ROW(PopulationByCoverage)-1</f>
        <v>#N/A</v>
      </c>
      <c r="AU49" t="str">
        <f>D49&amp;E49</f>
        <v/>
      </c>
      <c r="AV49" t="str">
        <f t="array" ref="AV49">IFERROR(IF(VLOOKUP(LEFT(D49,255),LEFT('Reference Records'!$C$1:$K$759,255),9,0)=0,"",CONCATENATE(VLOOKUP(LEFT(D49,255),LEFT('Reference Records'!$C$1:$K$759,255),9,0),";")),"")</f>
        <v>;</v>
      </c>
      <c r="AW49" t="str">
        <f>CLEAN(IFERROR(LEFT(AV49,SEARCH(";",AV49,1)-1),""))</f>
        <v/>
      </c>
      <c r="AX49" t="str">
        <f>SUBSTITUTE(IFERROR(MID(AV49,SEARCH(";",AV49)+1,SEARCH(";",AV49,SEARCH(";",AV49)+1)-SEARCH(";",AV49)-1),""),CHAR(10),"")</f>
        <v/>
      </c>
      <c r="AY49" s="110" t="str">
        <f>CLEAN(IFERROR(SUBSTITUTE(RIGHT(AV49,LEN(AV49)-SEARCH(";",AV49,SEARCH(";",AV49)+1)),";",""),""))</f>
        <v/>
      </c>
      <c r="AZ49" s="504" t="str">
        <f>IFERROR(IF(VLOOKUP(B49,'Reference Records'!$F$159:$N$210,9,FALSE)=0,"",VLOOKUP(B49,'Reference Records'!$F$159:$N$210,9,FALSE)),"")</f>
        <v/>
      </c>
      <c r="BA49">
        <f t="shared" si="1"/>
        <v>474</v>
      </c>
      <c r="BB49">
        <f ca="1">BB47+'update Helper'!$AB$2</f>
        <v>640</v>
      </c>
      <c r="BD49" t="str">
        <f ca="1">IF(INDIRECT("'update Helper'!S"&amp;BA49)=0,"",IFERROR(VLOOKUP(INDIRECT("'update Helper'!U"&amp;BA49),'Account Role'!A$1:B$14,2,0),IFERROR(VLOOKUP(INDIRECT("'update Helper'!AD"&amp;BA49),'Overview - Section A'!J$26:P$91,7,0),"")))</f>
        <v/>
      </c>
    </row>
    <row r="50" spans="1:56" ht="30" customHeight="1">
      <c r="A50" s="558"/>
      <c r="B50" s="530"/>
      <c r="C50" s="530"/>
      <c r="D50" s="530"/>
      <c r="E50" s="530"/>
      <c r="F50" s="141"/>
      <c r="G50" s="791"/>
      <c r="H50" s="770"/>
      <c r="I50" s="530"/>
      <c r="J50" s="771"/>
      <c r="K50" s="770"/>
      <c r="L50" s="530"/>
      <c r="M50" s="789"/>
      <c r="N50" s="790"/>
      <c r="O50" s="141" t="str">
        <f ca="1">IF(A49=INDIRECT("'update Helper'!F"&amp;$BB49),IF(INDIRECT("'update Helper'!J"&amp;BB49)=0,"",INDIRECT("'update Helper'!J"&amp;BB49)),"")</f>
        <v/>
      </c>
      <c r="P50" s="791"/>
      <c r="Q50" s="770"/>
      <c r="R50" s="141"/>
      <c r="S50" s="791"/>
      <c r="T50" s="770"/>
      <c r="U50" s="141"/>
      <c r="V50" s="791"/>
      <c r="W50" s="770"/>
      <c r="X50" s="141"/>
      <c r="Y50" s="791"/>
      <c r="Z50" s="770"/>
      <c r="AA50" s="141"/>
      <c r="AB50" s="791"/>
      <c r="AC50" s="770"/>
      <c r="AD50" s="141"/>
      <c r="AE50" s="791"/>
      <c r="AF50" s="770"/>
      <c r="AG50" s="141"/>
      <c r="AH50" s="791"/>
      <c r="AI50" s="770"/>
      <c r="AJ50" s="141"/>
      <c r="AK50" s="791"/>
      <c r="AL50" s="770"/>
      <c r="AM50" s="530"/>
      <c r="AN50" s="530"/>
      <c r="AO50" s="530"/>
      <c r="AP50" s="530"/>
      <c r="AY50" s="110"/>
      <c r="AZ50" s="504"/>
    </row>
    <row r="51" spans="1:56" ht="30" customHeight="1">
      <c r="A51" s="557">
        <v>22</v>
      </c>
      <c r="B51" s="529"/>
      <c r="C51" s="529"/>
      <c r="D51" s="529"/>
      <c r="E51" s="529"/>
      <c r="F51" s="141"/>
      <c r="G51" s="787" t="str">
        <f ca="1">IF(OR(INDIRECT("'update Helper'!D"&amp;BA51)="",F51&lt;&gt;0,F52&lt;&gt;0),IF(IFERROR((F51/F52),"")="","",(F51/F52)),INDIRECT("'update Helper'!D"&amp;BA51)/100)</f>
        <v/>
      </c>
      <c r="H51" s="785"/>
      <c r="I51" s="529"/>
      <c r="J51" s="766" t="str">
        <f>AQ51</f>
        <v/>
      </c>
      <c r="K51" s="785"/>
      <c r="L51" s="529"/>
      <c r="M51" s="142"/>
      <c r="N51" s="786"/>
      <c r="O51" s="141" t="str">
        <f ca="1">IF(A51=INDIRECT("'update Helper'!F"&amp;$BB51),IF(INDIRECT("'update Helper'!K"&amp;BB51)="","",INDIRECT("'update Helper'!K"&amp;BB51)),"")</f>
        <v/>
      </c>
      <c r="P51" s="787" t="str">
        <f ca="1">IF(OR(INDIRECT("'update Helper'!I"&amp;BB51)="",O51&lt;&gt;0,O52&lt;&gt;0),IF(IFERROR((O51/O52),"")="","",(O51/O52)),INDIRECT("'update Helper'!I"&amp;BB51)/100)</f>
        <v/>
      </c>
      <c r="Q51" s="785"/>
      <c r="R51" s="141"/>
      <c r="S51" s="787" t="str">
        <f ca="1">IF(OR(INDIRECT("'update Helper'!I"&amp;BB51+1)="",R51&lt;&gt;0,R52&lt;&gt;0),IF(IFERROR((R51/R52),"")="","",(R51/R52)),INDIRECT("'update Helper'!I"&amp;BB51+1)/100)</f>
        <v/>
      </c>
      <c r="T51" s="785"/>
      <c r="U51" s="141"/>
      <c r="V51" s="787" t="str">
        <f ca="1">IF(OR(INDIRECT("'update Helper'!I"&amp;BB51+2)="",U51&lt;&gt;0,U52&lt;&gt;0),IF(IFERROR((U51/U52),"")="","",(U51/U52)),INDIRECT("'update Helper'!I"&amp;BB51+2)/100)</f>
        <v/>
      </c>
      <c r="W51" s="785"/>
      <c r="X51" s="141"/>
      <c r="Y51" s="787" t="str">
        <f ca="1">IF(A51=INDIRECT("'update Helper'!F"&amp;$BB51+3),IF(OR(INDIRECT("'update Helper'!I"&amp;BB51+3)="",X51&lt;&gt;0,X52&lt;&gt;0),IF(IFERROR((X51/X52),"")="","",(X51/X52)),INDIRECT("'update Helper'!I"&amp;BB51+3)/100),"")</f>
        <v/>
      </c>
      <c r="Z51" s="785"/>
      <c r="AA51" s="141"/>
      <c r="AB51" s="787" t="str">
        <f ca="1">IF(A51=INDIRECT("'update Helper'!F"&amp;$BB51+4),IF(OR(INDIRECT("'update Helper'!I"&amp;BB51+4)="",AA51&lt;&gt;0,AA52&lt;&gt;0),IF(IFERROR((AA51/AA52),"")="","",(AA51/AA52)),INDIRECT("'update Helper'!I"&amp;BB51+4)/100),"")</f>
        <v/>
      </c>
      <c r="AC51" s="785"/>
      <c r="AD51" s="141"/>
      <c r="AE51" s="787" t="str">
        <f ca="1">IF(A51=INDIRECT("'update Helper'!F"&amp;$BB51+5),IF(A51=INDIRECT("'update Helper'!F"&amp;$BB51+5),IF(OR(INDIRECT("'update Helper'!I"&amp;BB51+5)="",AD51&lt;&gt;0,AD52&lt;&gt;0),IF(IFERROR((AD51/AD52),"")="","",(AD51/AD52)),INDIRECT("'update Helper'!I"&amp;BB51+5)/100),""),"")</f>
        <v/>
      </c>
      <c r="AF51" s="785"/>
      <c r="AG51" s="141"/>
      <c r="AH51" s="787" t="str">
        <f ca="1">IF(A51=INDIRECT("'update Helper'!F"&amp;$BB51+6),IF(OR(INDIRECT("'update Helper'!I"&amp;BB51+6)="",AG51&lt;&gt;0,AG52&lt;&gt;0),IF(IFERROR((AG51/AG52),"")="","",(AG51/AG52)),INDIRECT("'update Helper'!I"&amp;BB51+6)/100),"")</f>
        <v/>
      </c>
      <c r="AI51" s="785"/>
      <c r="AJ51" s="141"/>
      <c r="AK51" s="787" t="str">
        <f ca="1">IF(A51=INDIRECT("'update Helper'!F"&amp;$BB51+6),IF(OR(INDIRECT("'update Helper'!I"&amp;BB51+7)="",AJ51&lt;&gt;0,AJ52&lt;&gt;0),IF(IFERROR((AJ51/AJ52),"")="","",(AJ51/AJ52)),INDIRECT("'update Helper'!I"&amp;BB51+7)/100),"")</f>
        <v/>
      </c>
      <c r="AL51" s="785"/>
      <c r="AM51" s="529"/>
      <c r="AN51" s="529"/>
      <c r="AO51" s="529"/>
      <c r="AP51" s="529"/>
      <c r="AQ51" t="str">
        <f t="array" ref="AQ51">IFERROR(IF(INDEX('Reference Records'!$D$79:$D$156,MATCH(LEFT(D51,255),LEFT('Reference Records'!$C$79:$C$156,255),0))=0,"",INDEX('Reference Records'!$D$79:$D$156,MATCH(LEFT(D51,255),LEFT('Reference Records'!$C$79:$C$156,255),0))),"")</f>
        <v/>
      </c>
      <c r="AR51" s="124" t="str">
        <f t="array" ref="AR51">VLOOKUP(LEFT(D51,255),LEFT('Reference Records'!C$78:G422,255),4,0)</f>
        <v/>
      </c>
      <c r="AS51" s="124" t="e">
        <f>MATCH(AR51,'Reference Records'!$F$656:$F$734,0)+ROW(PopulationByCoverage)-1</f>
        <v>#N/A</v>
      </c>
      <c r="AT51" s="124" t="e">
        <f>MATCH(AR51,'Reference Records'!$F$656:$F$734,1)+ROW(PopulationByCoverage)-1</f>
        <v>#N/A</v>
      </c>
      <c r="AU51" t="str">
        <f>D51&amp;E51</f>
        <v/>
      </c>
      <c r="AV51" t="str">
        <f t="array" ref="AV51">IFERROR(IF(VLOOKUP(LEFT(D51,255),LEFT('Reference Records'!$C$1:$K$759,255),9,0)=0,"",CONCATENATE(VLOOKUP(LEFT(D51,255),LEFT('Reference Records'!$C$1:$K$759,255),9,0),";")),"")</f>
        <v>;</v>
      </c>
      <c r="AW51" t="str">
        <f>CLEAN(IFERROR(LEFT(AV51,SEARCH(";",AV51,1)-1),""))</f>
        <v/>
      </c>
      <c r="AX51" t="str">
        <f>SUBSTITUTE(IFERROR(MID(AV51,SEARCH(";",AV51)+1,SEARCH(";",AV51,SEARCH(";",AV51)+1)-SEARCH(";",AV51)-1),""),CHAR(10),"")</f>
        <v/>
      </c>
      <c r="AY51" s="110" t="str">
        <f>CLEAN(IFERROR(SUBSTITUTE(RIGHT(AV51,LEN(AV51)-SEARCH(";",AV51,SEARCH(";",AV51)+1)),";",""),""))</f>
        <v/>
      </c>
      <c r="AZ51" s="504" t="str">
        <f>IFERROR(IF(VLOOKUP(B51,'Reference Records'!$F$159:$N$210,9,FALSE)=0,"",VLOOKUP(B51,'Reference Records'!$F$159:$N$210,9,FALSE)),"")</f>
        <v/>
      </c>
      <c r="BA51">
        <f t="shared" si="1"/>
        <v>475</v>
      </c>
      <c r="BB51">
        <f ca="1">BB49+'update Helper'!$AB$2</f>
        <v>646</v>
      </c>
      <c r="BD51" t="str">
        <f ca="1">IF(INDIRECT("'update Helper'!S"&amp;BA51)=0,"",IFERROR(VLOOKUP(INDIRECT("'update Helper'!U"&amp;BA51),'Account Role'!A$1:B$14,2,0),IFERROR(VLOOKUP(INDIRECT("'update Helper'!AD"&amp;BA51),'Overview - Section A'!J$26:P$91,7,0),"")))</f>
        <v/>
      </c>
    </row>
    <row r="52" spans="1:56" ht="30" customHeight="1">
      <c r="A52" s="558"/>
      <c r="B52" s="530"/>
      <c r="C52" s="530"/>
      <c r="D52" s="530"/>
      <c r="E52" s="530"/>
      <c r="F52" s="141"/>
      <c r="G52" s="791"/>
      <c r="H52" s="770"/>
      <c r="I52" s="530"/>
      <c r="J52" s="771"/>
      <c r="K52" s="770"/>
      <c r="L52" s="530"/>
      <c r="M52" s="789"/>
      <c r="N52" s="790"/>
      <c r="O52" s="141" t="str">
        <f ca="1">IF(A51=INDIRECT("'update Helper'!F"&amp;$BB51),IF(INDIRECT("'update Helper'!J"&amp;BB51)=0,"",INDIRECT("'update Helper'!J"&amp;BB51)),"")</f>
        <v/>
      </c>
      <c r="P52" s="791"/>
      <c r="Q52" s="770"/>
      <c r="R52" s="141"/>
      <c r="S52" s="791"/>
      <c r="T52" s="770"/>
      <c r="U52" s="141"/>
      <c r="V52" s="791"/>
      <c r="W52" s="770"/>
      <c r="X52" s="141"/>
      <c r="Y52" s="791"/>
      <c r="Z52" s="770"/>
      <c r="AA52" s="141"/>
      <c r="AB52" s="791"/>
      <c r="AC52" s="770"/>
      <c r="AD52" s="141"/>
      <c r="AE52" s="791"/>
      <c r="AF52" s="770"/>
      <c r="AG52" s="141"/>
      <c r="AH52" s="791"/>
      <c r="AI52" s="770"/>
      <c r="AJ52" s="141"/>
      <c r="AK52" s="791"/>
      <c r="AL52" s="770"/>
      <c r="AM52" s="530"/>
      <c r="AN52" s="530"/>
      <c r="AO52" s="530"/>
      <c r="AP52" s="530"/>
      <c r="AY52" s="110"/>
      <c r="AZ52" s="504"/>
    </row>
    <row r="53" spans="1:56" ht="30" customHeight="1">
      <c r="A53" s="557">
        <v>23</v>
      </c>
      <c r="B53" s="529"/>
      <c r="C53" s="529"/>
      <c r="D53" s="529"/>
      <c r="E53" s="529"/>
      <c r="F53" s="141"/>
      <c r="G53" s="787" t="str">
        <f ca="1">IF(OR(INDIRECT("'update Helper'!D"&amp;BA53)="",F53&lt;&gt;0,F54&lt;&gt;0),IF(IFERROR((F53/F54),"")="","",(F53/F54)),INDIRECT("'update Helper'!D"&amp;BA53)/100)</f>
        <v/>
      </c>
      <c r="H53" s="785"/>
      <c r="I53" s="529"/>
      <c r="J53" s="766" t="str">
        <f>AQ53</f>
        <v/>
      </c>
      <c r="K53" s="785"/>
      <c r="L53" s="529"/>
      <c r="M53" s="142"/>
      <c r="N53" s="786"/>
      <c r="O53" s="141" t="str">
        <f ca="1">IF(A53=INDIRECT("'update Helper'!F"&amp;$BB53),IF(INDIRECT("'update Helper'!K"&amp;BB53)="","",INDIRECT("'update Helper'!K"&amp;BB53)),"")</f>
        <v/>
      </c>
      <c r="P53" s="787" t="str">
        <f ca="1">IF(OR(INDIRECT("'update Helper'!I"&amp;BB53)="",O53&lt;&gt;0,O54&lt;&gt;0),IF(IFERROR((O53/O54),"")="","",(O53/O54)),INDIRECT("'update Helper'!I"&amp;BB53)/100)</f>
        <v/>
      </c>
      <c r="Q53" s="785"/>
      <c r="R53" s="141"/>
      <c r="S53" s="787" t="str">
        <f ca="1">IF(OR(INDIRECT("'update Helper'!I"&amp;BB53+1)="",R53&lt;&gt;0,R54&lt;&gt;0),IF(IFERROR((R53/R54),"")="","",(R53/R54)),INDIRECT("'update Helper'!I"&amp;BB53+1)/100)</f>
        <v/>
      </c>
      <c r="T53" s="785"/>
      <c r="U53" s="141"/>
      <c r="V53" s="787" t="str">
        <f ca="1">IF(OR(INDIRECT("'update Helper'!I"&amp;BB53+2)="",U53&lt;&gt;0,U54&lt;&gt;0),IF(IFERROR((U53/U54),"")="","",(U53/U54)),INDIRECT("'update Helper'!I"&amp;BB53+2)/100)</f>
        <v/>
      </c>
      <c r="W53" s="785"/>
      <c r="X53" s="141"/>
      <c r="Y53" s="787" t="str">
        <f ca="1">IF(A53=INDIRECT("'update Helper'!F"&amp;$BB53+3),IF(OR(INDIRECT("'update Helper'!I"&amp;BB53+3)="",X53&lt;&gt;0,X54&lt;&gt;0),IF(IFERROR((X53/X54),"")="","",(X53/X54)),INDIRECT("'update Helper'!I"&amp;BB53+3)/100),"")</f>
        <v/>
      </c>
      <c r="Z53" s="785"/>
      <c r="AA53" s="141"/>
      <c r="AB53" s="787" t="str">
        <f ca="1">IF(A53=INDIRECT("'update Helper'!F"&amp;$BB53+4),IF(OR(INDIRECT("'update Helper'!I"&amp;BB53+4)="",AA53&lt;&gt;0,AA54&lt;&gt;0),IF(IFERROR((AA53/AA54),"")="","",(AA53/AA54)),INDIRECT("'update Helper'!I"&amp;BB53+4)/100),"")</f>
        <v/>
      </c>
      <c r="AC53" s="785"/>
      <c r="AD53" s="141"/>
      <c r="AE53" s="787" t="str">
        <f ca="1">IF(A53=INDIRECT("'update Helper'!F"&amp;$BB53+5),IF(A53=INDIRECT("'update Helper'!F"&amp;$BB53+5),IF(OR(INDIRECT("'update Helper'!I"&amp;BB53+5)="",AD53&lt;&gt;0,AD54&lt;&gt;0),IF(IFERROR((AD53/AD54),"")="","",(AD53/AD54)),INDIRECT("'update Helper'!I"&amp;BB53+5)/100),""),"")</f>
        <v/>
      </c>
      <c r="AF53" s="785"/>
      <c r="AG53" s="141"/>
      <c r="AH53" s="787" t="str">
        <f ca="1">IF(A53=INDIRECT("'update Helper'!F"&amp;$BB53+6),IF(OR(INDIRECT("'update Helper'!I"&amp;BB53+6)="",AG53&lt;&gt;0,AG54&lt;&gt;0),IF(IFERROR((AG53/AG54),"")="","",(AG53/AG54)),INDIRECT("'update Helper'!I"&amp;BB53+6)/100),"")</f>
        <v/>
      </c>
      <c r="AI53" s="785"/>
      <c r="AJ53" s="141"/>
      <c r="AK53" s="787" t="str">
        <f ca="1">IF(A53=INDIRECT("'update Helper'!F"&amp;$BB53+6),IF(OR(INDIRECT("'update Helper'!I"&amp;BB53+7)="",AJ53&lt;&gt;0,AJ54&lt;&gt;0),IF(IFERROR((AJ53/AJ54),"")="","",(AJ53/AJ54)),INDIRECT("'update Helper'!I"&amp;BB53+7)/100),"")</f>
        <v/>
      </c>
      <c r="AL53" s="785"/>
      <c r="AM53" s="529"/>
      <c r="AN53" s="529"/>
      <c r="AO53" s="529"/>
      <c r="AP53" s="529"/>
      <c r="AQ53" t="str">
        <f t="array" ref="AQ53">IFERROR(IF(INDEX('Reference Records'!$D$79:$D$156,MATCH(LEFT(D53,255),LEFT('Reference Records'!$C$79:$C$156,255),0))=0,"",INDEX('Reference Records'!$D$79:$D$156,MATCH(LEFT(D53,255),LEFT('Reference Records'!$C$79:$C$156,255),0))),"")</f>
        <v/>
      </c>
      <c r="AR53" s="124" t="str">
        <f t="array" ref="AR53">VLOOKUP(LEFT(D53,255),LEFT('Reference Records'!C$78:G424,255),4,0)</f>
        <v/>
      </c>
      <c r="AS53" s="124" t="e">
        <f>MATCH(AR53,'Reference Records'!$F$656:$F$734,0)+ROW(PopulationByCoverage)-1</f>
        <v>#N/A</v>
      </c>
      <c r="AT53" s="124" t="e">
        <f>MATCH(AR53,'Reference Records'!$F$656:$F$734,1)+ROW(PopulationByCoverage)-1</f>
        <v>#N/A</v>
      </c>
      <c r="AU53" t="str">
        <f>D53&amp;E53</f>
        <v/>
      </c>
      <c r="AV53" t="str">
        <f t="array" ref="AV53">IFERROR(IF(VLOOKUP(LEFT(D53,255),LEFT('Reference Records'!$C$1:$K$759,255),9,0)=0,"",CONCATENATE(VLOOKUP(LEFT(D53,255),LEFT('Reference Records'!$C$1:$K$759,255),9,0),";")),"")</f>
        <v>;</v>
      </c>
      <c r="AW53" t="str">
        <f>CLEAN(IFERROR(LEFT(AV53,SEARCH(";",AV53,1)-1),""))</f>
        <v/>
      </c>
      <c r="AX53" t="str">
        <f>SUBSTITUTE(IFERROR(MID(AV53,SEARCH(";",AV53)+1,SEARCH(";",AV53,SEARCH(";",AV53)+1)-SEARCH(";",AV53)-1),""),CHAR(10),"")</f>
        <v/>
      </c>
      <c r="AY53" s="110" t="str">
        <f>CLEAN(IFERROR(SUBSTITUTE(RIGHT(AV53,LEN(AV53)-SEARCH(";",AV53,SEARCH(";",AV53)+1)),";",""),""))</f>
        <v/>
      </c>
      <c r="AZ53" s="504" t="str">
        <f>IFERROR(IF(VLOOKUP(B53,'Reference Records'!$F$159:$N$210,9,FALSE)=0,"",VLOOKUP(B53,'Reference Records'!$F$159:$N$210,9,FALSE)),"")</f>
        <v/>
      </c>
      <c r="BA53">
        <f t="shared" si="1"/>
        <v>476</v>
      </c>
      <c r="BB53">
        <f ca="1">BB51+'update Helper'!$AB$2</f>
        <v>652</v>
      </c>
      <c r="BD53" t="str">
        <f ca="1">IF(INDIRECT("'update Helper'!S"&amp;BA53)=0,"",IFERROR(VLOOKUP(INDIRECT("'update Helper'!U"&amp;BA53),'Account Role'!A$1:B$14,2,0),IFERROR(VLOOKUP(INDIRECT("'update Helper'!AD"&amp;BA53),'Overview - Section A'!J$26:P$91,7,0),"")))</f>
        <v/>
      </c>
    </row>
    <row r="54" spans="1:56" ht="30" customHeight="1">
      <c r="A54" s="558"/>
      <c r="B54" s="530"/>
      <c r="C54" s="530"/>
      <c r="D54" s="530"/>
      <c r="E54" s="530"/>
      <c r="F54" s="141"/>
      <c r="G54" s="791"/>
      <c r="H54" s="770"/>
      <c r="I54" s="530"/>
      <c r="J54" s="771"/>
      <c r="K54" s="770"/>
      <c r="L54" s="530"/>
      <c r="M54" s="789"/>
      <c r="N54" s="790"/>
      <c r="O54" s="141" t="str">
        <f ca="1">IF(A53=INDIRECT("'update Helper'!F"&amp;$BB53),IF(INDIRECT("'update Helper'!J"&amp;BB53)=0,"",INDIRECT("'update Helper'!J"&amp;BB53)),"")</f>
        <v/>
      </c>
      <c r="P54" s="791"/>
      <c r="Q54" s="770"/>
      <c r="R54" s="141"/>
      <c r="S54" s="791"/>
      <c r="T54" s="770"/>
      <c r="U54" s="141"/>
      <c r="V54" s="791"/>
      <c r="W54" s="770"/>
      <c r="X54" s="141"/>
      <c r="Y54" s="791"/>
      <c r="Z54" s="770"/>
      <c r="AA54" s="141"/>
      <c r="AB54" s="791"/>
      <c r="AC54" s="770"/>
      <c r="AD54" s="141"/>
      <c r="AE54" s="791"/>
      <c r="AF54" s="770"/>
      <c r="AG54" s="141"/>
      <c r="AH54" s="791"/>
      <c r="AI54" s="770"/>
      <c r="AJ54" s="141"/>
      <c r="AK54" s="791"/>
      <c r="AL54" s="770"/>
      <c r="AM54" s="530"/>
      <c r="AN54" s="530"/>
      <c r="AO54" s="530"/>
      <c r="AP54" s="530"/>
      <c r="AY54" s="110"/>
      <c r="AZ54" s="504"/>
    </row>
    <row r="55" spans="1:56" ht="30" customHeight="1">
      <c r="A55" s="557">
        <v>24</v>
      </c>
      <c r="B55" s="529"/>
      <c r="C55" s="529"/>
      <c r="D55" s="529"/>
      <c r="E55" s="529"/>
      <c r="F55" s="141"/>
      <c r="G55" s="787" t="str">
        <f ca="1">IF(OR(INDIRECT("'update Helper'!D"&amp;BA55)="",F55&lt;&gt;0,F56&lt;&gt;0),IF(IFERROR((F55/F56),"")="","",(F55/F56)),INDIRECT("'update Helper'!D"&amp;BA55)/100)</f>
        <v/>
      </c>
      <c r="H55" s="785"/>
      <c r="I55" s="529"/>
      <c r="J55" s="766" t="str">
        <f>AQ55</f>
        <v/>
      </c>
      <c r="K55" s="785"/>
      <c r="L55" s="529"/>
      <c r="M55" s="142"/>
      <c r="N55" s="786"/>
      <c r="O55" s="141" t="str">
        <f ca="1">IF(A55=INDIRECT("'update Helper'!F"&amp;$BB55),IF(INDIRECT("'update Helper'!K"&amp;BB55)="","",INDIRECT("'update Helper'!K"&amp;BB55)),"")</f>
        <v/>
      </c>
      <c r="P55" s="787" t="str">
        <f ca="1">IF(OR(INDIRECT("'update Helper'!I"&amp;BB55)="",O55&lt;&gt;0,O56&lt;&gt;0),IF(IFERROR((O55/O56),"")="","",(O55/O56)),INDIRECT("'update Helper'!I"&amp;BB55)/100)</f>
        <v/>
      </c>
      <c r="Q55" s="785"/>
      <c r="R55" s="141"/>
      <c r="S55" s="787" t="str">
        <f ca="1">IF(OR(INDIRECT("'update Helper'!I"&amp;BB55+1)="",R55&lt;&gt;0,R56&lt;&gt;0),IF(IFERROR((R55/R56),"")="","",(R55/R56)),INDIRECT("'update Helper'!I"&amp;BB55+1)/100)</f>
        <v/>
      </c>
      <c r="T55" s="785"/>
      <c r="U55" s="141"/>
      <c r="V55" s="787" t="str">
        <f ca="1">IF(OR(INDIRECT("'update Helper'!I"&amp;BB55+2)="",U55&lt;&gt;0,U56&lt;&gt;0),IF(IFERROR((U55/U56),"")="","",(U55/U56)),INDIRECT("'update Helper'!I"&amp;BB55+2)/100)</f>
        <v/>
      </c>
      <c r="W55" s="785"/>
      <c r="X55" s="141"/>
      <c r="Y55" s="787" t="str">
        <f ca="1">IF(A55=INDIRECT("'update Helper'!F"&amp;$BB55+3),IF(OR(INDIRECT("'update Helper'!I"&amp;BB55+3)="",X55&lt;&gt;0,X56&lt;&gt;0),IF(IFERROR((X55/X56),"")="","",(X55/X56)),INDIRECT("'update Helper'!I"&amp;BB55+3)/100),"")</f>
        <v/>
      </c>
      <c r="Z55" s="785"/>
      <c r="AA55" s="141"/>
      <c r="AB55" s="787" t="str">
        <f ca="1">IF(A55=INDIRECT("'update Helper'!F"&amp;$BB55+4),IF(OR(INDIRECT("'update Helper'!I"&amp;BB55+4)="",AA55&lt;&gt;0,AA56&lt;&gt;0),IF(IFERROR((AA55/AA56),"")="","",(AA55/AA56)),INDIRECT("'update Helper'!I"&amp;BB55+4)/100),"")</f>
        <v/>
      </c>
      <c r="AC55" s="785"/>
      <c r="AD55" s="141"/>
      <c r="AE55" s="787" t="str">
        <f ca="1">IF(A55=INDIRECT("'update Helper'!F"&amp;$BB55+5),IF(A55=INDIRECT("'update Helper'!F"&amp;$BB55+5),IF(OR(INDIRECT("'update Helper'!I"&amp;BB55+5)="",AD55&lt;&gt;0,AD56&lt;&gt;0),IF(IFERROR((AD55/AD56),"")="","",(AD55/AD56)),INDIRECT("'update Helper'!I"&amp;BB55+5)/100),""),"")</f>
        <v/>
      </c>
      <c r="AF55" s="785"/>
      <c r="AG55" s="141"/>
      <c r="AH55" s="787" t="str">
        <f ca="1">IF(A55=INDIRECT("'update Helper'!F"&amp;$BB55+6),IF(OR(INDIRECT("'update Helper'!I"&amp;BB55+6)="",AG55&lt;&gt;0,AG56&lt;&gt;0),IF(IFERROR((AG55/AG56),"")="","",(AG55/AG56)),INDIRECT("'update Helper'!I"&amp;BB55+6)/100),"")</f>
        <v/>
      </c>
      <c r="AI55" s="785"/>
      <c r="AJ55" s="141"/>
      <c r="AK55" s="787" t="str">
        <f ca="1">IF(A55=INDIRECT("'update Helper'!F"&amp;$BB55+6),IF(OR(INDIRECT("'update Helper'!I"&amp;BB55+7)="",AJ55&lt;&gt;0,AJ56&lt;&gt;0),IF(IFERROR((AJ55/AJ56),"")="","",(AJ55/AJ56)),INDIRECT("'update Helper'!I"&amp;BB55+7)/100),"")</f>
        <v/>
      </c>
      <c r="AL55" s="785"/>
      <c r="AM55" s="529"/>
      <c r="AN55" s="529"/>
      <c r="AO55" s="529"/>
      <c r="AP55" s="529"/>
      <c r="AQ55" t="str">
        <f t="array" ref="AQ55">IFERROR(IF(INDEX('Reference Records'!$D$79:$D$156,MATCH(LEFT(D55,255),LEFT('Reference Records'!$C$79:$C$156,255),0))=0,"",INDEX('Reference Records'!$D$79:$D$156,MATCH(LEFT(D55,255),LEFT('Reference Records'!$C$79:$C$156,255),0))),"")</f>
        <v/>
      </c>
      <c r="AR55" s="124" t="str">
        <f t="array" ref="AR55">VLOOKUP(LEFT(D55,255),LEFT('Reference Records'!C$78:G426,255),4,0)</f>
        <v/>
      </c>
      <c r="AS55" s="124" t="e">
        <f>MATCH(AR55,'Reference Records'!$F$656:$F$734,0)+ROW(PopulationByCoverage)-1</f>
        <v>#N/A</v>
      </c>
      <c r="AT55" s="124" t="e">
        <f>MATCH(AR55,'Reference Records'!$F$656:$F$734,1)+ROW(PopulationByCoverage)-1</f>
        <v>#N/A</v>
      </c>
      <c r="AU55" t="str">
        <f>D55&amp;E55</f>
        <v/>
      </c>
      <c r="AV55" t="str">
        <f t="array" ref="AV55">IFERROR(IF(VLOOKUP(LEFT(D55,255),LEFT('Reference Records'!$C$1:$K$759,255),9,0)=0,"",CONCATENATE(VLOOKUP(LEFT(D55,255),LEFT('Reference Records'!$C$1:$K$759,255),9,0),";")),"")</f>
        <v>;</v>
      </c>
      <c r="AW55" t="str">
        <f>CLEAN(IFERROR(LEFT(AV55,SEARCH(";",AV55,1)-1),""))</f>
        <v/>
      </c>
      <c r="AX55" t="str">
        <f>SUBSTITUTE(IFERROR(MID(AV55,SEARCH(";",AV55)+1,SEARCH(";",AV55,SEARCH(";",AV55)+1)-SEARCH(";",AV55)-1),""),CHAR(10),"")</f>
        <v/>
      </c>
      <c r="AY55" s="110" t="str">
        <f>CLEAN(IFERROR(SUBSTITUTE(RIGHT(AV55,LEN(AV55)-SEARCH(";",AV55,SEARCH(";",AV55)+1)),";",""),""))</f>
        <v/>
      </c>
      <c r="AZ55" s="504" t="str">
        <f>IFERROR(IF(VLOOKUP(B55,'Reference Records'!$F$159:$N$210,9,FALSE)=0,"",VLOOKUP(B55,'Reference Records'!$F$159:$N$210,9,FALSE)),"")</f>
        <v/>
      </c>
      <c r="BA55">
        <f t="shared" si="1"/>
        <v>477</v>
      </c>
      <c r="BB55">
        <f ca="1">BB53+'update Helper'!$AB$2</f>
        <v>658</v>
      </c>
      <c r="BD55" t="str">
        <f ca="1">IF(INDIRECT("'update Helper'!S"&amp;BA55)=0,"",IFERROR(VLOOKUP(INDIRECT("'update Helper'!U"&amp;BA55),'Account Role'!A$1:B$14,2,0),IFERROR(VLOOKUP(INDIRECT("'update Helper'!AD"&amp;BA55),'Overview - Section A'!J$26:P$91,7,0),"")))</f>
        <v/>
      </c>
    </row>
    <row r="56" spans="1:56" ht="30" customHeight="1">
      <c r="A56" s="558"/>
      <c r="B56" s="530"/>
      <c r="C56" s="530"/>
      <c r="D56" s="530"/>
      <c r="E56" s="530"/>
      <c r="F56" s="141"/>
      <c r="G56" s="791"/>
      <c r="H56" s="770"/>
      <c r="I56" s="530"/>
      <c r="J56" s="771"/>
      <c r="K56" s="770"/>
      <c r="L56" s="530"/>
      <c r="M56" s="789"/>
      <c r="N56" s="790"/>
      <c r="O56" s="141" t="str">
        <f ca="1">IF(A55=INDIRECT("'update Helper'!F"&amp;$BB55),IF(INDIRECT("'update Helper'!J"&amp;BB55)=0,"",INDIRECT("'update Helper'!J"&amp;BB55)),"")</f>
        <v/>
      </c>
      <c r="P56" s="791"/>
      <c r="Q56" s="770"/>
      <c r="R56" s="141"/>
      <c r="S56" s="791"/>
      <c r="T56" s="770"/>
      <c r="U56" s="141"/>
      <c r="V56" s="791"/>
      <c r="W56" s="770"/>
      <c r="X56" s="141"/>
      <c r="Y56" s="791"/>
      <c r="Z56" s="770"/>
      <c r="AA56" s="141"/>
      <c r="AB56" s="791"/>
      <c r="AC56" s="770"/>
      <c r="AD56" s="141"/>
      <c r="AE56" s="791"/>
      <c r="AF56" s="770"/>
      <c r="AG56" s="141"/>
      <c r="AH56" s="791"/>
      <c r="AI56" s="770"/>
      <c r="AJ56" s="141"/>
      <c r="AK56" s="791"/>
      <c r="AL56" s="770"/>
      <c r="AM56" s="530"/>
      <c r="AN56" s="530"/>
      <c r="AO56" s="530"/>
      <c r="AP56" s="530"/>
      <c r="AY56" s="110"/>
      <c r="AZ56" s="504"/>
    </row>
    <row r="57" spans="1:56" ht="30" customHeight="1">
      <c r="A57" s="557">
        <v>25</v>
      </c>
      <c r="B57" s="529"/>
      <c r="C57" s="529"/>
      <c r="D57" s="529"/>
      <c r="E57" s="529"/>
      <c r="F57" s="141"/>
      <c r="G57" s="787" t="str">
        <f ca="1">IF(OR(INDIRECT("'update Helper'!D"&amp;BA57)="",F57&lt;&gt;0,F58&lt;&gt;0),IF(IFERROR((F57/F58),"")="","",(F57/F58)),INDIRECT("'update Helper'!D"&amp;BA57)/100)</f>
        <v/>
      </c>
      <c r="H57" s="785"/>
      <c r="I57" s="529"/>
      <c r="J57" s="766" t="str">
        <f>AQ57</f>
        <v/>
      </c>
      <c r="K57" s="785"/>
      <c r="L57" s="529"/>
      <c r="M57" s="142"/>
      <c r="N57" s="786"/>
      <c r="O57" s="141" t="str">
        <f ca="1">IF(A57=INDIRECT("'update Helper'!F"&amp;$BB57),IF(INDIRECT("'update Helper'!K"&amp;BB57)="","",INDIRECT("'update Helper'!K"&amp;BB57)),"")</f>
        <v/>
      </c>
      <c r="P57" s="787" t="str">
        <f ca="1">IF(OR(INDIRECT("'update Helper'!I"&amp;BB57)="",O57&lt;&gt;0,O58&lt;&gt;0),IF(IFERROR((O57/O58),"")="","",(O57/O58)),INDIRECT("'update Helper'!I"&amp;BB57)/100)</f>
        <v/>
      </c>
      <c r="Q57" s="785"/>
      <c r="R57" s="141"/>
      <c r="S57" s="787" t="str">
        <f ca="1">IF(OR(INDIRECT("'update Helper'!I"&amp;BB57+1)="",R57&lt;&gt;0,R58&lt;&gt;0),IF(IFERROR((R57/R58),"")="","",(R57/R58)),INDIRECT("'update Helper'!I"&amp;BB57+1)/100)</f>
        <v/>
      </c>
      <c r="T57" s="785"/>
      <c r="U57" s="141"/>
      <c r="V57" s="787" t="str">
        <f ca="1">IF(OR(INDIRECT("'update Helper'!I"&amp;BB57+2)="",U57&lt;&gt;0,U58&lt;&gt;0),IF(IFERROR((U57/U58),"")="","",(U57/U58)),INDIRECT("'update Helper'!I"&amp;BB57+2)/100)</f>
        <v/>
      </c>
      <c r="W57" s="785"/>
      <c r="X57" s="141"/>
      <c r="Y57" s="787" t="str">
        <f ca="1">IF(A57=INDIRECT("'update Helper'!F"&amp;$BB57+3),IF(OR(INDIRECT("'update Helper'!I"&amp;BB57+3)="",X57&lt;&gt;0,X58&lt;&gt;0),IF(IFERROR((X57/X58),"")="","",(X57/X58)),INDIRECT("'update Helper'!I"&amp;BB57+3)/100),"")</f>
        <v/>
      </c>
      <c r="Z57" s="785"/>
      <c r="AA57" s="141"/>
      <c r="AB57" s="787" t="str">
        <f ca="1">IF(A57=INDIRECT("'update Helper'!F"&amp;$BB57+4),IF(OR(INDIRECT("'update Helper'!I"&amp;BB57+4)="",AA57&lt;&gt;0,AA58&lt;&gt;0),IF(IFERROR((AA57/AA58),"")="","",(AA57/AA58)),INDIRECT("'update Helper'!I"&amp;BB57+4)/100),"")</f>
        <v/>
      </c>
      <c r="AC57" s="785"/>
      <c r="AD57" s="141"/>
      <c r="AE57" s="787" t="str">
        <f ca="1">IF(A57=INDIRECT("'update Helper'!F"&amp;$BB57+5),IF(A57=INDIRECT("'update Helper'!F"&amp;$BB57+5),IF(OR(INDIRECT("'update Helper'!I"&amp;BB57+5)="",AD57&lt;&gt;0,AD58&lt;&gt;0),IF(IFERROR((AD57/AD58),"")="","",(AD57/AD58)),INDIRECT("'update Helper'!I"&amp;BB57+5)/100),""),"")</f>
        <v/>
      </c>
      <c r="AF57" s="785"/>
      <c r="AG57" s="141"/>
      <c r="AH57" s="787" t="str">
        <f ca="1">IF(A57=INDIRECT("'update Helper'!F"&amp;$BB57+6),IF(OR(INDIRECT("'update Helper'!I"&amp;BB57+6)="",AG57&lt;&gt;0,AG58&lt;&gt;0),IF(IFERROR((AG57/AG58),"")="","",(AG57/AG58)),INDIRECT("'update Helper'!I"&amp;BB57+6)/100),"")</f>
        <v/>
      </c>
      <c r="AI57" s="785"/>
      <c r="AJ57" s="141"/>
      <c r="AK57" s="787" t="str">
        <f ca="1">IF(A57=INDIRECT("'update Helper'!F"&amp;$BB57+6),IF(OR(INDIRECT("'update Helper'!I"&amp;BB57+7)="",AJ57&lt;&gt;0,AJ58&lt;&gt;0),IF(IFERROR((AJ57/AJ58),"")="","",(AJ57/AJ58)),INDIRECT("'update Helper'!I"&amp;BB57+7)/100),"")</f>
        <v/>
      </c>
      <c r="AL57" s="785"/>
      <c r="AM57" s="529"/>
      <c r="AN57" s="529"/>
      <c r="AO57" s="529"/>
      <c r="AP57" s="529"/>
      <c r="AQ57" t="str">
        <f t="array" ref="AQ57">IFERROR(IF(INDEX('Reference Records'!$D$79:$D$156,MATCH(LEFT(D57,255),LEFT('Reference Records'!$C$79:$C$156,255),0))=0,"",INDEX('Reference Records'!$D$79:$D$156,MATCH(LEFT(D57,255),LEFT('Reference Records'!$C$79:$C$156,255),0))),"")</f>
        <v/>
      </c>
      <c r="AR57" s="124" t="str">
        <f t="array" ref="AR57">VLOOKUP(LEFT(D57,255),LEFT('Reference Records'!C$78:G428,255),4,0)</f>
        <v/>
      </c>
      <c r="AS57" s="124" t="e">
        <f>MATCH(AR57,'Reference Records'!$F$656:$F$734,0)+ROW(PopulationByCoverage)-1</f>
        <v>#N/A</v>
      </c>
      <c r="AT57" s="124" t="e">
        <f>MATCH(AR57,'Reference Records'!$F$656:$F$734,1)+ROW(PopulationByCoverage)-1</f>
        <v>#N/A</v>
      </c>
      <c r="AU57" t="str">
        <f>D57&amp;E57</f>
        <v/>
      </c>
      <c r="AV57" t="str">
        <f t="array" ref="AV57">IFERROR(IF(VLOOKUP(LEFT(D57,255),LEFT('Reference Records'!$C$1:$K$759,255),9,0)=0,"",CONCATENATE(VLOOKUP(LEFT(D57,255),LEFT('Reference Records'!$C$1:$K$759,255),9,0),";")),"")</f>
        <v>;</v>
      </c>
      <c r="AW57" t="str">
        <f>CLEAN(IFERROR(LEFT(AV57,SEARCH(";",AV57,1)-1),""))</f>
        <v/>
      </c>
      <c r="AX57" t="str">
        <f>SUBSTITUTE(IFERROR(MID(AV57,SEARCH(";",AV57)+1,SEARCH(";",AV57,SEARCH(";",AV57)+1)-SEARCH(";",AV57)-1),""),CHAR(10),"")</f>
        <v/>
      </c>
      <c r="AY57" s="110" t="str">
        <f>CLEAN(IFERROR(SUBSTITUTE(RIGHT(AV57,LEN(AV57)-SEARCH(";",AV57,SEARCH(";",AV57)+1)),";",""),""))</f>
        <v/>
      </c>
      <c r="AZ57" s="504" t="str">
        <f>IFERROR(IF(VLOOKUP(B57,'Reference Records'!$F$159:$N$210,9,FALSE)=0,"",VLOOKUP(B57,'Reference Records'!$F$159:$N$210,9,FALSE)),"")</f>
        <v/>
      </c>
      <c r="BA57">
        <f t="shared" si="1"/>
        <v>478</v>
      </c>
      <c r="BB57">
        <f ca="1">BB55+'update Helper'!$AB$2</f>
        <v>664</v>
      </c>
      <c r="BD57" t="str">
        <f ca="1">IF(INDIRECT("'update Helper'!S"&amp;BA57)=0,"",IFERROR(VLOOKUP(INDIRECT("'update Helper'!U"&amp;BA57),'Account Role'!A$1:B$14,2,0),IFERROR(VLOOKUP(INDIRECT("'update Helper'!AD"&amp;BA57),'Overview - Section A'!J$26:P$91,7,0),"")))</f>
        <v/>
      </c>
    </row>
    <row r="58" spans="1:56" ht="30" customHeight="1">
      <c r="A58" s="558"/>
      <c r="B58" s="530"/>
      <c r="C58" s="530"/>
      <c r="D58" s="530"/>
      <c r="E58" s="530"/>
      <c r="F58" s="141"/>
      <c r="G58" s="791"/>
      <c r="H58" s="770"/>
      <c r="I58" s="530"/>
      <c r="J58" s="771"/>
      <c r="K58" s="770"/>
      <c r="L58" s="530"/>
      <c r="M58" s="789"/>
      <c r="N58" s="790"/>
      <c r="O58" s="141" t="str">
        <f ca="1">IF(A57=INDIRECT("'update Helper'!F"&amp;$BB57),IF(INDIRECT("'update Helper'!J"&amp;BB57)=0,"",INDIRECT("'update Helper'!J"&amp;BB57)),"")</f>
        <v/>
      </c>
      <c r="P58" s="791"/>
      <c r="Q58" s="770"/>
      <c r="R58" s="141"/>
      <c r="S58" s="791"/>
      <c r="T58" s="770"/>
      <c r="U58" s="141"/>
      <c r="V58" s="791"/>
      <c r="W58" s="770"/>
      <c r="X58" s="141"/>
      <c r="Y58" s="791"/>
      <c r="Z58" s="770"/>
      <c r="AA58" s="141"/>
      <c r="AB58" s="791"/>
      <c r="AC58" s="770"/>
      <c r="AD58" s="141"/>
      <c r="AE58" s="791"/>
      <c r="AF58" s="770"/>
      <c r="AG58" s="141"/>
      <c r="AH58" s="791"/>
      <c r="AI58" s="770"/>
      <c r="AJ58" s="141"/>
      <c r="AK58" s="791"/>
      <c r="AL58" s="770"/>
      <c r="AM58" s="530"/>
      <c r="AN58" s="530"/>
      <c r="AO58" s="530"/>
      <c r="AP58" s="530"/>
      <c r="AY58" s="110"/>
      <c r="AZ58" s="504"/>
    </row>
    <row r="59" spans="1:56" ht="30" customHeight="1">
      <c r="A59" s="557">
        <v>26</v>
      </c>
      <c r="B59" s="529"/>
      <c r="C59" s="529"/>
      <c r="D59" s="529"/>
      <c r="E59" s="529"/>
      <c r="F59" s="141"/>
      <c r="G59" s="787" t="str">
        <f ca="1">IF(OR(INDIRECT("'update Helper'!D"&amp;BA59)="",F59&lt;&gt;0,F60&lt;&gt;0),IF(IFERROR((F59/F60),"")="","",(F59/F60)),INDIRECT("'update Helper'!D"&amp;BA59)/100)</f>
        <v/>
      </c>
      <c r="H59" s="785"/>
      <c r="I59" s="529"/>
      <c r="J59" s="766" t="str">
        <f>AQ59</f>
        <v/>
      </c>
      <c r="K59" s="785"/>
      <c r="L59" s="529"/>
      <c r="M59" s="142"/>
      <c r="N59" s="786"/>
      <c r="O59" s="141" t="str">
        <f ca="1">IF(A59=INDIRECT("'update Helper'!F"&amp;$BB59),IF(INDIRECT("'update Helper'!K"&amp;BB59)="","",INDIRECT("'update Helper'!K"&amp;BB59)),"")</f>
        <v/>
      </c>
      <c r="P59" s="787" t="str">
        <f ca="1">IF(OR(INDIRECT("'update Helper'!I"&amp;BB59)="",O59&lt;&gt;0,O60&lt;&gt;0),IF(IFERROR((O59/O60),"")="","",(O59/O60)),INDIRECT("'update Helper'!I"&amp;BB59)/100)</f>
        <v/>
      </c>
      <c r="Q59" s="785"/>
      <c r="R59" s="141"/>
      <c r="S59" s="787" t="str">
        <f ca="1">IF(OR(INDIRECT("'update Helper'!I"&amp;BB59+1)="",R59&lt;&gt;0,R60&lt;&gt;0),IF(IFERROR((R59/R60),"")="","",(R59/R60)),INDIRECT("'update Helper'!I"&amp;BB59+1)/100)</f>
        <v/>
      </c>
      <c r="T59" s="785"/>
      <c r="U59" s="141"/>
      <c r="V59" s="787" t="str">
        <f ca="1">IF(OR(INDIRECT("'update Helper'!I"&amp;BB59+2)="",U59&lt;&gt;0,U60&lt;&gt;0),IF(IFERROR((U59/U60),"")="","",(U59/U60)),INDIRECT("'update Helper'!I"&amp;BB59+2)/100)</f>
        <v/>
      </c>
      <c r="W59" s="785"/>
      <c r="X59" s="141"/>
      <c r="Y59" s="787" t="str">
        <f ca="1">IF(A59=INDIRECT("'update Helper'!F"&amp;$BB59+3),IF(OR(INDIRECT("'update Helper'!I"&amp;BB59+3)="",X59&lt;&gt;0,X60&lt;&gt;0),IF(IFERROR((X59/X60),"")="","",(X59/X60)),INDIRECT("'update Helper'!I"&amp;BB59+3)/100),"")</f>
        <v/>
      </c>
      <c r="Z59" s="785"/>
      <c r="AA59" s="141"/>
      <c r="AB59" s="787" t="str">
        <f ca="1">IF(A59=INDIRECT("'update Helper'!F"&amp;$BB59+4),IF(OR(INDIRECT("'update Helper'!I"&amp;BB59+4)="",AA59&lt;&gt;0,AA60&lt;&gt;0),IF(IFERROR((AA59/AA60),"")="","",(AA59/AA60)),INDIRECT("'update Helper'!I"&amp;BB59+4)/100),"")</f>
        <v/>
      </c>
      <c r="AC59" s="785"/>
      <c r="AD59" s="141"/>
      <c r="AE59" s="787" t="str">
        <f ca="1">IF(A59=INDIRECT("'update Helper'!F"&amp;$BB59+5),IF(A59=INDIRECT("'update Helper'!F"&amp;$BB59+5),IF(OR(INDIRECT("'update Helper'!I"&amp;BB59+5)="",AD59&lt;&gt;0,AD60&lt;&gt;0),IF(IFERROR((AD59/AD60),"")="","",(AD59/AD60)),INDIRECT("'update Helper'!I"&amp;BB59+5)/100),""),"")</f>
        <v/>
      </c>
      <c r="AF59" s="785"/>
      <c r="AG59" s="141"/>
      <c r="AH59" s="787" t="str">
        <f ca="1">IF(A59=INDIRECT("'update Helper'!F"&amp;$BB59+6),IF(OR(INDIRECT("'update Helper'!I"&amp;BB59+6)="",AG59&lt;&gt;0,AG60&lt;&gt;0),IF(IFERROR((AG59/AG60),"")="","",(AG59/AG60)),INDIRECT("'update Helper'!I"&amp;BB59+6)/100),"")</f>
        <v/>
      </c>
      <c r="AI59" s="785"/>
      <c r="AJ59" s="141"/>
      <c r="AK59" s="787" t="str">
        <f ca="1">IF(A59=INDIRECT("'update Helper'!F"&amp;$BB59+6),IF(OR(INDIRECT("'update Helper'!I"&amp;BB59+7)="",AJ59&lt;&gt;0,AJ60&lt;&gt;0),IF(IFERROR((AJ59/AJ60),"")="","",(AJ59/AJ60)),INDIRECT("'update Helper'!I"&amp;BB59+7)/100),"")</f>
        <v/>
      </c>
      <c r="AL59" s="785"/>
      <c r="AM59" s="529"/>
      <c r="AN59" s="529"/>
      <c r="AO59" s="529"/>
      <c r="AP59" s="529"/>
      <c r="AQ59" t="str">
        <f t="array" ref="AQ59">IFERROR(IF(INDEX('Reference Records'!$D$79:$D$156,MATCH(LEFT(D59,255),LEFT('Reference Records'!$C$79:$C$156,255),0))=0,"",INDEX('Reference Records'!$D$79:$D$156,MATCH(LEFT(D59,255),LEFT('Reference Records'!$C$79:$C$156,255),0))),"")</f>
        <v/>
      </c>
      <c r="AR59" s="124" t="str">
        <f t="array" ref="AR59">VLOOKUP(LEFT(D59,255),LEFT('Reference Records'!C$78:G430,255),4,0)</f>
        <v/>
      </c>
      <c r="AS59" s="124" t="e">
        <f>MATCH(AR59,'Reference Records'!$F$656:$F$734,0)+ROW(PopulationByCoverage)-1</f>
        <v>#N/A</v>
      </c>
      <c r="AT59" s="124" t="e">
        <f>MATCH(AR59,'Reference Records'!$F$656:$F$734,1)+ROW(PopulationByCoverage)-1</f>
        <v>#N/A</v>
      </c>
      <c r="AU59" t="str">
        <f>D59&amp;E59</f>
        <v/>
      </c>
      <c r="AV59" t="str">
        <f t="array" ref="AV59">IFERROR(IF(VLOOKUP(LEFT(D59,255),LEFT('Reference Records'!$C$1:$K$759,255),9,0)=0,"",CONCATENATE(VLOOKUP(LEFT(D59,255),LEFT('Reference Records'!$C$1:$K$759,255),9,0),";")),"")</f>
        <v>;</v>
      </c>
      <c r="AW59" t="str">
        <f>CLEAN(IFERROR(LEFT(AV59,SEARCH(";",AV59,1)-1),""))</f>
        <v/>
      </c>
      <c r="AX59" t="str">
        <f>SUBSTITUTE(IFERROR(MID(AV59,SEARCH(";",AV59)+1,SEARCH(";",AV59,SEARCH(";",AV59)+1)-SEARCH(";",AV59)-1),""),CHAR(10),"")</f>
        <v/>
      </c>
      <c r="AY59" s="110" t="str">
        <f>CLEAN(IFERROR(SUBSTITUTE(RIGHT(AV59,LEN(AV59)-SEARCH(";",AV59,SEARCH(";",AV59)+1)),";",""),""))</f>
        <v/>
      </c>
      <c r="AZ59" s="504" t="str">
        <f>IFERROR(IF(VLOOKUP(B59,'Reference Records'!$F$159:$N$210,9,FALSE)=0,"",VLOOKUP(B59,'Reference Records'!$F$159:$N$210,9,FALSE)),"")</f>
        <v/>
      </c>
      <c r="BA59">
        <f t="shared" si="1"/>
        <v>479</v>
      </c>
      <c r="BB59">
        <f ca="1">BB57+'update Helper'!$AB$2</f>
        <v>670</v>
      </c>
      <c r="BD59" t="str">
        <f ca="1">IF(INDIRECT("'update Helper'!S"&amp;BA59)=0,"",IFERROR(VLOOKUP(INDIRECT("'update Helper'!U"&amp;BA59),'Account Role'!A$1:B$14,2,0),IFERROR(VLOOKUP(INDIRECT("'update Helper'!AD"&amp;BA59),'Overview - Section A'!J$26:P$91,7,0),"")))</f>
        <v/>
      </c>
    </row>
    <row r="60" spans="1:56" ht="30" customHeight="1">
      <c r="A60" s="558"/>
      <c r="B60" s="530"/>
      <c r="C60" s="530"/>
      <c r="D60" s="530"/>
      <c r="E60" s="530"/>
      <c r="F60" s="141"/>
      <c r="G60" s="791"/>
      <c r="H60" s="770"/>
      <c r="I60" s="530"/>
      <c r="J60" s="771"/>
      <c r="K60" s="770"/>
      <c r="L60" s="530"/>
      <c r="M60" s="789"/>
      <c r="N60" s="790"/>
      <c r="O60" s="141" t="str">
        <f ca="1">IF(A59=INDIRECT("'update Helper'!F"&amp;$BB59),IF(INDIRECT("'update Helper'!J"&amp;BB59)=0,"",INDIRECT("'update Helper'!J"&amp;BB59)),"")</f>
        <v/>
      </c>
      <c r="P60" s="791"/>
      <c r="Q60" s="770"/>
      <c r="R60" s="141"/>
      <c r="S60" s="791"/>
      <c r="T60" s="770"/>
      <c r="U60" s="141"/>
      <c r="V60" s="791"/>
      <c r="W60" s="770"/>
      <c r="X60" s="141"/>
      <c r="Y60" s="791"/>
      <c r="Z60" s="770"/>
      <c r="AA60" s="141"/>
      <c r="AB60" s="791"/>
      <c r="AC60" s="770"/>
      <c r="AD60" s="141"/>
      <c r="AE60" s="791"/>
      <c r="AF60" s="770"/>
      <c r="AG60" s="141"/>
      <c r="AH60" s="791"/>
      <c r="AI60" s="770"/>
      <c r="AJ60" s="141"/>
      <c r="AK60" s="791"/>
      <c r="AL60" s="770"/>
      <c r="AM60" s="530"/>
      <c r="AN60" s="530"/>
      <c r="AO60" s="530"/>
      <c r="AP60" s="530"/>
      <c r="AY60" s="110"/>
      <c r="AZ60" s="504"/>
    </row>
    <row r="61" spans="1:56" ht="30" customHeight="1">
      <c r="A61" s="557">
        <v>27</v>
      </c>
      <c r="B61" s="529"/>
      <c r="C61" s="529"/>
      <c r="D61" s="529"/>
      <c r="E61" s="529"/>
      <c r="F61" s="141"/>
      <c r="G61" s="787" t="str">
        <f ca="1">IF(OR(INDIRECT("'update Helper'!D"&amp;BA61)="",F61&lt;&gt;0,F62&lt;&gt;0),IF(IFERROR((F61/F62),"")="","",(F61/F62)),INDIRECT("'update Helper'!D"&amp;BA61)/100)</f>
        <v/>
      </c>
      <c r="H61" s="785"/>
      <c r="I61" s="529"/>
      <c r="J61" s="766" t="str">
        <f>AQ61</f>
        <v/>
      </c>
      <c r="K61" s="785"/>
      <c r="L61" s="529"/>
      <c r="M61" s="142"/>
      <c r="N61" s="786"/>
      <c r="O61" s="141" t="str">
        <f ca="1">IF(A61=INDIRECT("'update Helper'!F"&amp;$BB61),IF(INDIRECT("'update Helper'!K"&amp;BB61)="","",INDIRECT("'update Helper'!K"&amp;BB61)),"")</f>
        <v/>
      </c>
      <c r="P61" s="787" t="str">
        <f ca="1">IF(OR(INDIRECT("'update Helper'!I"&amp;BB61)="",O61&lt;&gt;0,O62&lt;&gt;0),IF(IFERROR((O61/O62),"")="","",(O61/O62)),INDIRECT("'update Helper'!I"&amp;BB61)/100)</f>
        <v/>
      </c>
      <c r="Q61" s="785"/>
      <c r="R61" s="141"/>
      <c r="S61" s="787" t="str">
        <f ca="1">IF(OR(INDIRECT("'update Helper'!I"&amp;BB61+1)="",R61&lt;&gt;0,R62&lt;&gt;0),IF(IFERROR((R61/R62),"")="","",(R61/R62)),INDIRECT("'update Helper'!I"&amp;BB61+1)/100)</f>
        <v/>
      </c>
      <c r="T61" s="785"/>
      <c r="U61" s="141"/>
      <c r="V61" s="787" t="str">
        <f ca="1">IF(OR(INDIRECT("'update Helper'!I"&amp;BB61+2)="",U61&lt;&gt;0,U62&lt;&gt;0),IF(IFERROR((U61/U62),"")="","",(U61/U62)),INDIRECT("'update Helper'!I"&amp;BB61+2)/100)</f>
        <v/>
      </c>
      <c r="W61" s="785"/>
      <c r="X61" s="141"/>
      <c r="Y61" s="787" t="str">
        <f ca="1">IF(A61=INDIRECT("'update Helper'!F"&amp;$BB61+3),IF(OR(INDIRECT("'update Helper'!I"&amp;BB61+3)="",X61&lt;&gt;0,X62&lt;&gt;0),IF(IFERROR((X61/X62),"")="","",(X61/X62)),INDIRECT("'update Helper'!I"&amp;BB61+3)/100),"")</f>
        <v/>
      </c>
      <c r="Z61" s="785"/>
      <c r="AA61" s="141"/>
      <c r="AB61" s="787" t="str">
        <f ca="1">IF(A61=INDIRECT("'update Helper'!F"&amp;$BB61+4),IF(OR(INDIRECT("'update Helper'!I"&amp;BB61+4)="",AA61&lt;&gt;0,AA62&lt;&gt;0),IF(IFERROR((AA61/AA62),"")="","",(AA61/AA62)),INDIRECT("'update Helper'!I"&amp;BB61+4)/100),"")</f>
        <v/>
      </c>
      <c r="AC61" s="785"/>
      <c r="AD61" s="141"/>
      <c r="AE61" s="787" t="str">
        <f ca="1">IF(A61=INDIRECT("'update Helper'!F"&amp;$BB61+5),IF(A61=INDIRECT("'update Helper'!F"&amp;$BB61+5),IF(OR(INDIRECT("'update Helper'!I"&amp;BB61+5)="",AD61&lt;&gt;0,AD62&lt;&gt;0),IF(IFERROR((AD61/AD62),"")="","",(AD61/AD62)),INDIRECT("'update Helper'!I"&amp;BB61+5)/100),""),"")</f>
        <v/>
      </c>
      <c r="AF61" s="785"/>
      <c r="AG61" s="141"/>
      <c r="AH61" s="787" t="str">
        <f ca="1">IF(A61=INDIRECT("'update Helper'!F"&amp;$BB61+6),IF(OR(INDIRECT("'update Helper'!I"&amp;BB61+6)="",AG61&lt;&gt;0,AG62&lt;&gt;0),IF(IFERROR((AG61/AG62),"")="","",(AG61/AG62)),INDIRECT("'update Helper'!I"&amp;BB61+6)/100),"")</f>
        <v/>
      </c>
      <c r="AI61" s="785"/>
      <c r="AJ61" s="141"/>
      <c r="AK61" s="787" t="str">
        <f ca="1">IF(A61=INDIRECT("'update Helper'!F"&amp;$BB61+6),IF(OR(INDIRECT("'update Helper'!I"&amp;BB61+7)="",AJ61&lt;&gt;0,AJ62&lt;&gt;0),IF(IFERROR((AJ61/AJ62),"")="","",(AJ61/AJ62)),INDIRECT("'update Helper'!I"&amp;BB61+7)/100),"")</f>
        <v/>
      </c>
      <c r="AL61" s="785"/>
      <c r="AM61" s="529"/>
      <c r="AN61" s="529"/>
      <c r="AO61" s="529"/>
      <c r="AP61" s="529"/>
      <c r="AQ61" t="str">
        <f t="array" ref="AQ61">IFERROR(IF(INDEX('Reference Records'!$D$79:$D$156,MATCH(LEFT(D61,255),LEFT('Reference Records'!$C$79:$C$156,255),0))=0,"",INDEX('Reference Records'!$D$79:$D$156,MATCH(LEFT(D61,255),LEFT('Reference Records'!$C$79:$C$156,255),0))),"")</f>
        <v/>
      </c>
      <c r="AR61" s="124" t="str">
        <f t="array" ref="AR61">VLOOKUP(LEFT(D61,255),LEFT('Reference Records'!C$78:G653,255),4,0)</f>
        <v/>
      </c>
      <c r="AS61" s="124" t="e">
        <f>MATCH(AR61,'Reference Records'!$F$656:$F$734,0)+ROW(PopulationByCoverage)-1</f>
        <v>#N/A</v>
      </c>
      <c r="AT61" s="124" t="e">
        <f>MATCH(AR61,'Reference Records'!$F$656:$F$734,1)+ROW(PopulationByCoverage)-1</f>
        <v>#N/A</v>
      </c>
      <c r="AU61" t="str">
        <f>D61&amp;E61</f>
        <v/>
      </c>
      <c r="AV61" t="str">
        <f t="array" ref="AV61">IFERROR(IF(VLOOKUP(LEFT(D61,255),LEFT('Reference Records'!$C$1:$K$759,255),9,0)=0,"",CONCATENATE(VLOOKUP(LEFT(D61,255),LEFT('Reference Records'!$C$1:$K$759,255),9,0),";")),"")</f>
        <v>;</v>
      </c>
      <c r="AW61" t="str">
        <f>CLEAN(IFERROR(LEFT(AV61,SEARCH(";",AV61,1)-1),""))</f>
        <v/>
      </c>
      <c r="AX61" t="str">
        <f>SUBSTITUTE(IFERROR(MID(AV61,SEARCH(";",AV61)+1,SEARCH(";",AV61,SEARCH(";",AV61)+1)-SEARCH(";",AV61)-1),""),CHAR(10),"")</f>
        <v/>
      </c>
      <c r="AY61" s="110" t="str">
        <f>CLEAN(IFERROR(SUBSTITUTE(RIGHT(AV61,LEN(AV61)-SEARCH(";",AV61,SEARCH(";",AV61)+1)),";",""),""))</f>
        <v/>
      </c>
      <c r="AZ61" s="504" t="str">
        <f>IFERROR(IF(VLOOKUP(B61,'Reference Records'!$F$159:$N$210,9,FALSE)=0,"",VLOOKUP(B61,'Reference Records'!$F$159:$N$210,9,FALSE)),"")</f>
        <v/>
      </c>
      <c r="BA61">
        <f t="shared" si="1"/>
        <v>480</v>
      </c>
      <c r="BB61">
        <f ca="1">BB59+'update Helper'!$AB$2</f>
        <v>676</v>
      </c>
      <c r="BD61" t="str">
        <f ca="1">IF(INDIRECT("'update Helper'!S"&amp;BA61)=0,"",IFERROR(VLOOKUP(INDIRECT("'update Helper'!U"&amp;BA61),'Account Role'!A$1:B$14,2,0),IFERROR(VLOOKUP(INDIRECT("'update Helper'!AD"&amp;BA61),'Overview - Section A'!J$26:P$91,7,0),"")))</f>
        <v/>
      </c>
    </row>
    <row r="62" spans="1:56" ht="30" customHeight="1">
      <c r="A62" s="558"/>
      <c r="B62" s="530"/>
      <c r="C62" s="530"/>
      <c r="D62" s="530"/>
      <c r="E62" s="530"/>
      <c r="F62" s="141"/>
      <c r="G62" s="791"/>
      <c r="H62" s="770"/>
      <c r="I62" s="530"/>
      <c r="J62" s="771"/>
      <c r="K62" s="770"/>
      <c r="L62" s="530"/>
      <c r="M62" s="789"/>
      <c r="N62" s="790"/>
      <c r="O62" s="141" t="str">
        <f ca="1">IF(A61=INDIRECT("'update Helper'!F"&amp;$BB61),IF(INDIRECT("'update Helper'!J"&amp;BB61)=0,"",INDIRECT("'update Helper'!J"&amp;BB61)),"")</f>
        <v/>
      </c>
      <c r="P62" s="791"/>
      <c r="Q62" s="770"/>
      <c r="R62" s="141"/>
      <c r="S62" s="791"/>
      <c r="T62" s="770"/>
      <c r="U62" s="141"/>
      <c r="V62" s="791"/>
      <c r="W62" s="770"/>
      <c r="X62" s="141"/>
      <c r="Y62" s="791"/>
      <c r="Z62" s="770"/>
      <c r="AA62" s="141"/>
      <c r="AB62" s="791"/>
      <c r="AC62" s="770"/>
      <c r="AD62" s="141"/>
      <c r="AE62" s="791"/>
      <c r="AF62" s="770"/>
      <c r="AG62" s="141"/>
      <c r="AH62" s="791"/>
      <c r="AI62" s="770"/>
      <c r="AJ62" s="141"/>
      <c r="AK62" s="791"/>
      <c r="AL62" s="770"/>
      <c r="AM62" s="530"/>
      <c r="AN62" s="530"/>
      <c r="AO62" s="530"/>
      <c r="AP62" s="530"/>
      <c r="AY62" s="110"/>
      <c r="AZ62" s="504"/>
    </row>
    <row r="63" spans="1:56" ht="30" customHeight="1">
      <c r="A63" s="557">
        <v>28</v>
      </c>
      <c r="B63" s="529"/>
      <c r="C63" s="529"/>
      <c r="D63" s="529"/>
      <c r="E63" s="529"/>
      <c r="F63" s="141"/>
      <c r="G63" s="787" t="str">
        <f ca="1">IF(OR(INDIRECT("'update Helper'!D"&amp;BA63)="",F63&lt;&gt;0,F64&lt;&gt;0),IF(IFERROR((F63/F64),"")="","",(F63/F64)),INDIRECT("'update Helper'!D"&amp;BA63)/100)</f>
        <v/>
      </c>
      <c r="H63" s="785"/>
      <c r="I63" s="529"/>
      <c r="J63" s="766" t="str">
        <f>AQ63</f>
        <v/>
      </c>
      <c r="K63" s="785"/>
      <c r="L63" s="529"/>
      <c r="M63" s="142"/>
      <c r="N63" s="786"/>
      <c r="O63" s="141" t="str">
        <f ca="1">IF(A63=INDIRECT("'update Helper'!F"&amp;$BB63),IF(INDIRECT("'update Helper'!K"&amp;BB63)="","",INDIRECT("'update Helper'!K"&amp;BB63)),"")</f>
        <v/>
      </c>
      <c r="P63" s="787" t="str">
        <f ca="1">IF(OR(INDIRECT("'update Helper'!I"&amp;BB63)="",O63&lt;&gt;0,O64&lt;&gt;0),IF(IFERROR((O63/O64),"")="","",(O63/O64)),INDIRECT("'update Helper'!I"&amp;BB63)/100)</f>
        <v/>
      </c>
      <c r="Q63" s="785"/>
      <c r="R63" s="141"/>
      <c r="S63" s="787" t="str">
        <f ca="1">IF(OR(INDIRECT("'update Helper'!I"&amp;BB63+1)="",R63&lt;&gt;0,R64&lt;&gt;0),IF(IFERROR((R63/R64),"")="","",(R63/R64)),INDIRECT("'update Helper'!I"&amp;BB63+1)/100)</f>
        <v/>
      </c>
      <c r="T63" s="785"/>
      <c r="U63" s="141"/>
      <c r="V63" s="787" t="str">
        <f ca="1">IF(OR(INDIRECT("'update Helper'!I"&amp;BB63+2)="",U63&lt;&gt;0,U64&lt;&gt;0),IF(IFERROR((U63/U64),"")="","",(U63/U64)),INDIRECT("'update Helper'!I"&amp;BB63+2)/100)</f>
        <v/>
      </c>
      <c r="W63" s="785"/>
      <c r="X63" s="141"/>
      <c r="Y63" s="787" t="str">
        <f ca="1">IF(A63=INDIRECT("'update Helper'!F"&amp;$BB63+3),IF(OR(INDIRECT("'update Helper'!I"&amp;BB63+3)="",X63&lt;&gt;0,X64&lt;&gt;0),IF(IFERROR((X63/X64),"")="","",(X63/X64)),INDIRECT("'update Helper'!I"&amp;BB63+3)/100),"")</f>
        <v/>
      </c>
      <c r="Z63" s="785"/>
      <c r="AA63" s="141"/>
      <c r="AB63" s="787" t="str">
        <f ca="1">IF(A63=INDIRECT("'update Helper'!F"&amp;$BB63+4),IF(OR(INDIRECT("'update Helper'!I"&amp;BB63+4)="",AA63&lt;&gt;0,AA64&lt;&gt;0),IF(IFERROR((AA63/AA64),"")="","",(AA63/AA64)),INDIRECT("'update Helper'!I"&amp;BB63+4)/100),"")</f>
        <v/>
      </c>
      <c r="AC63" s="785"/>
      <c r="AD63" s="141"/>
      <c r="AE63" s="787" t="str">
        <f ca="1">IF(A63=INDIRECT("'update Helper'!F"&amp;$BB63+5),IF(A63=INDIRECT("'update Helper'!F"&amp;$BB63+5),IF(OR(INDIRECT("'update Helper'!I"&amp;BB63+5)="",AD63&lt;&gt;0,AD64&lt;&gt;0),IF(IFERROR((AD63/AD64),"")="","",(AD63/AD64)),INDIRECT("'update Helper'!I"&amp;BB63+5)/100),""),"")</f>
        <v/>
      </c>
      <c r="AF63" s="785"/>
      <c r="AG63" s="141"/>
      <c r="AH63" s="787" t="str">
        <f ca="1">IF(A63=INDIRECT("'update Helper'!F"&amp;$BB63+6),IF(OR(INDIRECT("'update Helper'!I"&amp;BB63+6)="",AG63&lt;&gt;0,AG64&lt;&gt;0),IF(IFERROR((AG63/AG64),"")="","",(AG63/AG64)),INDIRECT("'update Helper'!I"&amp;BB63+6)/100),"")</f>
        <v/>
      </c>
      <c r="AI63" s="785"/>
      <c r="AJ63" s="141"/>
      <c r="AK63" s="787" t="str">
        <f ca="1">IF(A63=INDIRECT("'update Helper'!F"&amp;$BB63+6),IF(OR(INDIRECT("'update Helper'!I"&amp;BB63+7)="",AJ63&lt;&gt;0,AJ64&lt;&gt;0),IF(IFERROR((AJ63/AJ64),"")="","",(AJ63/AJ64)),INDIRECT("'update Helper'!I"&amp;BB63+7)/100),"")</f>
        <v/>
      </c>
      <c r="AL63" s="785"/>
      <c r="AM63" s="529"/>
      <c r="AN63" s="529"/>
      <c r="AO63" s="529"/>
      <c r="AP63" s="529"/>
      <c r="AQ63" t="str">
        <f t="array" ref="AQ63">IFERROR(IF(INDEX('Reference Records'!$D$79:$D$156,MATCH(LEFT(D63,255),LEFT('Reference Records'!$C$79:$C$156,255),0))=0,"",INDEX('Reference Records'!$D$79:$D$156,MATCH(LEFT(D63,255),LEFT('Reference Records'!$C$79:$C$156,255),0))),"")</f>
        <v/>
      </c>
      <c r="AR63" s="124" t="str">
        <f t="array" ref="AR63">VLOOKUP(LEFT(D63,255),LEFT('Reference Records'!C$78:G655,255),4,0)</f>
        <v/>
      </c>
      <c r="AS63" s="124" t="e">
        <f>MATCH(AR63,'Reference Records'!$F$656:$F$734,0)+ROW(PopulationByCoverage)-1</f>
        <v>#N/A</v>
      </c>
      <c r="AT63" s="124" t="e">
        <f>MATCH(AR63,'Reference Records'!$F$656:$F$734,1)+ROW(PopulationByCoverage)-1</f>
        <v>#N/A</v>
      </c>
      <c r="AU63" t="str">
        <f>D63&amp;E63</f>
        <v/>
      </c>
      <c r="AV63" t="str">
        <f t="array" ref="AV63">IFERROR(IF(VLOOKUP(LEFT(D63,255),LEFT('Reference Records'!$C$1:$K$759,255),9,0)=0,"",CONCATENATE(VLOOKUP(LEFT(D63,255),LEFT('Reference Records'!$C$1:$K$759,255),9,0),";")),"")</f>
        <v>;</v>
      </c>
      <c r="AW63" t="str">
        <f>CLEAN(IFERROR(LEFT(AV63,SEARCH(";",AV63,1)-1),""))</f>
        <v/>
      </c>
      <c r="AX63" t="str">
        <f>SUBSTITUTE(IFERROR(MID(AV63,SEARCH(";",AV63)+1,SEARCH(";",AV63,SEARCH(";",AV63)+1)-SEARCH(";",AV63)-1),""),CHAR(10),"")</f>
        <v/>
      </c>
      <c r="AY63" s="110" t="str">
        <f>CLEAN(IFERROR(SUBSTITUTE(RIGHT(AV63,LEN(AV63)-SEARCH(";",AV63,SEARCH(";",AV63)+1)),";",""),""))</f>
        <v/>
      </c>
      <c r="AZ63" s="504" t="str">
        <f>IFERROR(IF(VLOOKUP(B63,'Reference Records'!$F$159:$N$210,9,FALSE)=0,"",VLOOKUP(B63,'Reference Records'!$F$159:$N$210,9,FALSE)),"")</f>
        <v/>
      </c>
      <c r="BA63">
        <f t="shared" si="1"/>
        <v>481</v>
      </c>
      <c r="BB63">
        <f ca="1">BB61+'update Helper'!$AB$2</f>
        <v>682</v>
      </c>
      <c r="BD63" t="str">
        <f ca="1">IF(INDIRECT("'update Helper'!S"&amp;BA63)=0,"",IFERROR(VLOOKUP(INDIRECT("'update Helper'!U"&amp;BA63),'Account Role'!A$1:B$14,2,0),IFERROR(VLOOKUP(INDIRECT("'update Helper'!AD"&amp;BA63),'Overview - Section A'!J$26:P$91,7,0),"")))</f>
        <v/>
      </c>
    </row>
    <row r="64" spans="1:56" ht="30" customHeight="1">
      <c r="A64" s="558"/>
      <c r="B64" s="530"/>
      <c r="C64" s="530"/>
      <c r="D64" s="530"/>
      <c r="E64" s="530"/>
      <c r="F64" s="141"/>
      <c r="G64" s="791"/>
      <c r="H64" s="770"/>
      <c r="I64" s="530"/>
      <c r="J64" s="771"/>
      <c r="K64" s="770"/>
      <c r="L64" s="530"/>
      <c r="M64" s="789"/>
      <c r="N64" s="790"/>
      <c r="O64" s="141" t="str">
        <f ca="1">IF(A63=INDIRECT("'update Helper'!F"&amp;$BB63),IF(INDIRECT("'update Helper'!J"&amp;BB63)=0,"",INDIRECT("'update Helper'!J"&amp;BB63)),"")</f>
        <v/>
      </c>
      <c r="P64" s="791"/>
      <c r="Q64" s="770"/>
      <c r="R64" s="141"/>
      <c r="S64" s="791"/>
      <c r="T64" s="770"/>
      <c r="U64" s="141"/>
      <c r="V64" s="791"/>
      <c r="W64" s="770"/>
      <c r="X64" s="141"/>
      <c r="Y64" s="791"/>
      <c r="Z64" s="770"/>
      <c r="AA64" s="141"/>
      <c r="AB64" s="791"/>
      <c r="AC64" s="770"/>
      <c r="AD64" s="141"/>
      <c r="AE64" s="791"/>
      <c r="AF64" s="770"/>
      <c r="AG64" s="141"/>
      <c r="AH64" s="791"/>
      <c r="AI64" s="770"/>
      <c r="AJ64" s="141"/>
      <c r="AK64" s="791"/>
      <c r="AL64" s="770"/>
      <c r="AM64" s="530"/>
      <c r="AN64" s="530"/>
      <c r="AO64" s="530"/>
      <c r="AP64" s="530"/>
      <c r="AY64" s="110"/>
      <c r="AZ64" s="504"/>
    </row>
    <row r="65" spans="1:56" ht="30" customHeight="1">
      <c r="A65" s="557">
        <v>29</v>
      </c>
      <c r="B65" s="529"/>
      <c r="C65" s="529"/>
      <c r="D65" s="529"/>
      <c r="E65" s="529"/>
      <c r="F65" s="141"/>
      <c r="G65" s="787" t="str">
        <f ca="1">IF(OR(INDIRECT("'update Helper'!D"&amp;BA65)="",F65&lt;&gt;0,F66&lt;&gt;0),IF(IFERROR((F65/F66),"")="","",(F65/F66)),INDIRECT("'update Helper'!D"&amp;BA65)/100)</f>
        <v/>
      </c>
      <c r="H65" s="785"/>
      <c r="I65" s="529"/>
      <c r="J65" s="766" t="str">
        <f>AQ65</f>
        <v/>
      </c>
      <c r="K65" s="785"/>
      <c r="L65" s="529"/>
      <c r="M65" s="142"/>
      <c r="N65" s="786"/>
      <c r="O65" s="141" t="str">
        <f ca="1">IF(A65=INDIRECT("'update Helper'!F"&amp;$BB65),IF(INDIRECT("'update Helper'!K"&amp;BB65)="","",INDIRECT("'update Helper'!K"&amp;BB65)),"")</f>
        <v/>
      </c>
      <c r="P65" s="787" t="str">
        <f ca="1">IF(OR(INDIRECT("'update Helper'!I"&amp;BB65)="",O65&lt;&gt;0,O66&lt;&gt;0),IF(IFERROR((O65/O66),"")="","",(O65/O66)),INDIRECT("'update Helper'!I"&amp;BB65)/100)</f>
        <v/>
      </c>
      <c r="Q65" s="785"/>
      <c r="R65" s="141"/>
      <c r="S65" s="787" t="str">
        <f ca="1">IF(OR(INDIRECT("'update Helper'!I"&amp;BB65+1)="",R65&lt;&gt;0,R66&lt;&gt;0),IF(IFERROR((R65/R66),"")="","",(R65/R66)),INDIRECT("'update Helper'!I"&amp;BB65+1)/100)</f>
        <v/>
      </c>
      <c r="T65" s="785"/>
      <c r="U65" s="141"/>
      <c r="V65" s="787" t="str">
        <f ca="1">IF(OR(INDIRECT("'update Helper'!I"&amp;BB65+2)="",U65&lt;&gt;0,U66&lt;&gt;0),IF(IFERROR((U65/U66),"")="","",(U65/U66)),INDIRECT("'update Helper'!I"&amp;BB65+2)/100)</f>
        <v/>
      </c>
      <c r="W65" s="785"/>
      <c r="X65" s="141"/>
      <c r="Y65" s="787" t="str">
        <f ca="1">IF(A65=INDIRECT("'update Helper'!F"&amp;$BB65+3),IF(OR(INDIRECT("'update Helper'!I"&amp;BB65+3)="",X65&lt;&gt;0,X66&lt;&gt;0),IF(IFERROR((X65/X66),"")="","",(X65/X66)),INDIRECT("'update Helper'!I"&amp;BB65+3)/100),"")</f>
        <v/>
      </c>
      <c r="Z65" s="785"/>
      <c r="AA65" s="141"/>
      <c r="AB65" s="787" t="str">
        <f ca="1">IF(A65=INDIRECT("'update Helper'!F"&amp;$BB65+4),IF(OR(INDIRECT("'update Helper'!I"&amp;BB65+4)="",AA65&lt;&gt;0,AA66&lt;&gt;0),IF(IFERROR((AA65/AA66),"")="","",(AA65/AA66)),INDIRECT("'update Helper'!I"&amp;BB65+4)/100),"")</f>
        <v/>
      </c>
      <c r="AC65" s="785"/>
      <c r="AD65" s="141"/>
      <c r="AE65" s="787" t="str">
        <f ca="1">IF(A65=INDIRECT("'update Helper'!F"&amp;$BB65+5),IF(A65=INDIRECT("'update Helper'!F"&amp;$BB65+5),IF(OR(INDIRECT("'update Helper'!I"&amp;BB65+5)="",AD65&lt;&gt;0,AD66&lt;&gt;0),IF(IFERROR((AD65/AD66),"")="","",(AD65/AD66)),INDIRECT("'update Helper'!I"&amp;BB65+5)/100),""),"")</f>
        <v/>
      </c>
      <c r="AF65" s="785"/>
      <c r="AG65" s="141"/>
      <c r="AH65" s="787" t="str">
        <f ca="1">IF(A65=INDIRECT("'update Helper'!F"&amp;$BB65+6),IF(OR(INDIRECT("'update Helper'!I"&amp;BB65+6)="",AG65&lt;&gt;0,AG66&lt;&gt;0),IF(IFERROR((AG65/AG66),"")="","",(AG65/AG66)),INDIRECT("'update Helper'!I"&amp;BB65+6)/100),"")</f>
        <v/>
      </c>
      <c r="AI65" s="785"/>
      <c r="AJ65" s="141"/>
      <c r="AK65" s="787" t="str">
        <f ca="1">IF(A65=INDIRECT("'update Helper'!F"&amp;$BB65+6),IF(OR(INDIRECT("'update Helper'!I"&amp;BB65+7)="",AJ65&lt;&gt;0,AJ66&lt;&gt;0),IF(IFERROR((AJ65/AJ66),"")="","",(AJ65/AJ66)),INDIRECT("'update Helper'!I"&amp;BB65+7)/100),"")</f>
        <v/>
      </c>
      <c r="AL65" s="785"/>
      <c r="AM65" s="529"/>
      <c r="AN65" s="529"/>
      <c r="AO65" s="529"/>
      <c r="AP65" s="529"/>
      <c r="AQ65" t="str">
        <f t="array" ref="AQ65">IFERROR(IF(INDEX('Reference Records'!$D$79:$D$156,MATCH(LEFT(D65,255),LEFT('Reference Records'!$C$79:$C$156,255),0))=0,"",INDEX('Reference Records'!$D$79:$D$156,MATCH(LEFT(D65,255),LEFT('Reference Records'!$C$79:$C$156,255),0))),"")</f>
        <v/>
      </c>
      <c r="AR65" s="124" t="str">
        <f t="array" ref="AR65">VLOOKUP(LEFT(D65,255),LEFT('Reference Records'!C$78:G657,255),4,0)</f>
        <v/>
      </c>
      <c r="AS65" s="124" t="e">
        <f>MATCH(AR65,'Reference Records'!$F$656:$F$734,0)+ROW(PopulationByCoverage)-1</f>
        <v>#N/A</v>
      </c>
      <c r="AT65" s="124" t="e">
        <f>MATCH(AR65,'Reference Records'!$F$656:$F$734,1)+ROW(PopulationByCoverage)-1</f>
        <v>#N/A</v>
      </c>
      <c r="AU65" t="str">
        <f>D65&amp;E65</f>
        <v/>
      </c>
      <c r="AV65" t="str">
        <f t="array" ref="AV65">IFERROR(IF(VLOOKUP(LEFT(D65,255),LEFT('Reference Records'!$C$1:$K$759,255),9,0)=0,"",CONCATENATE(VLOOKUP(LEFT(D65,255),LEFT('Reference Records'!$C$1:$K$759,255),9,0),";")),"")</f>
        <v>;</v>
      </c>
      <c r="AW65" t="str">
        <f>CLEAN(IFERROR(LEFT(AV65,SEARCH(";",AV65,1)-1),""))</f>
        <v/>
      </c>
      <c r="AX65" t="str">
        <f>SUBSTITUTE(IFERROR(MID(AV65,SEARCH(";",AV65)+1,SEARCH(";",AV65,SEARCH(";",AV65)+1)-SEARCH(";",AV65)-1),""),CHAR(10),"")</f>
        <v/>
      </c>
      <c r="AY65" s="110" t="str">
        <f>CLEAN(IFERROR(SUBSTITUTE(RIGHT(AV65,LEN(AV65)-SEARCH(";",AV65,SEARCH(";",AV65)+1)),";",""),""))</f>
        <v/>
      </c>
      <c r="AZ65" s="504" t="str">
        <f>IFERROR(IF(VLOOKUP(B65,'Reference Records'!$F$159:$N$210,9,FALSE)=0,"",VLOOKUP(B65,'Reference Records'!$F$159:$N$210,9,FALSE)),"")</f>
        <v/>
      </c>
      <c r="BA65">
        <f t="shared" si="1"/>
        <v>482</v>
      </c>
      <c r="BB65">
        <f ca="1">BB63+'update Helper'!$AB$2</f>
        <v>688</v>
      </c>
      <c r="BD65" t="str">
        <f ca="1">IF(INDIRECT("'update Helper'!S"&amp;BA65)=0,"",IFERROR(VLOOKUP(INDIRECT("'update Helper'!U"&amp;BA65),'Account Role'!A$1:B$14,2,0),IFERROR(VLOOKUP(INDIRECT("'update Helper'!AD"&amp;BA65),'Overview - Section A'!J$26:P$91,7,0),"")))</f>
        <v/>
      </c>
    </row>
    <row r="66" spans="1:56" ht="30" customHeight="1">
      <c r="A66" s="558"/>
      <c r="B66" s="530"/>
      <c r="C66" s="530"/>
      <c r="D66" s="530"/>
      <c r="E66" s="530"/>
      <c r="F66" s="141"/>
      <c r="G66" s="791"/>
      <c r="H66" s="770"/>
      <c r="I66" s="530"/>
      <c r="J66" s="771"/>
      <c r="K66" s="770"/>
      <c r="L66" s="530"/>
      <c r="M66" s="789"/>
      <c r="N66" s="790"/>
      <c r="O66" s="141" t="str">
        <f ca="1">IF(A65=INDIRECT("'update Helper'!F"&amp;$BB65),IF(INDIRECT("'update Helper'!J"&amp;BB65)=0,"",INDIRECT("'update Helper'!J"&amp;BB65)),"")</f>
        <v/>
      </c>
      <c r="P66" s="791"/>
      <c r="Q66" s="770"/>
      <c r="R66" s="141"/>
      <c r="S66" s="791"/>
      <c r="T66" s="770"/>
      <c r="U66" s="141"/>
      <c r="V66" s="791"/>
      <c r="W66" s="770"/>
      <c r="X66" s="141"/>
      <c r="Y66" s="791"/>
      <c r="Z66" s="770"/>
      <c r="AA66" s="141"/>
      <c r="AB66" s="791"/>
      <c r="AC66" s="770"/>
      <c r="AD66" s="141"/>
      <c r="AE66" s="791"/>
      <c r="AF66" s="770"/>
      <c r="AG66" s="141"/>
      <c r="AH66" s="791"/>
      <c r="AI66" s="770"/>
      <c r="AJ66" s="141"/>
      <c r="AK66" s="791"/>
      <c r="AL66" s="770"/>
      <c r="AM66" s="530"/>
      <c r="AN66" s="530"/>
      <c r="AO66" s="530"/>
      <c r="AP66" s="530"/>
      <c r="AY66" s="110"/>
      <c r="AZ66" s="504"/>
    </row>
    <row r="67" spans="1:56" ht="30" customHeight="1">
      <c r="A67" s="557">
        <v>30</v>
      </c>
      <c r="B67" s="529" t="str">
        <f ca="1">IF(INDIRECT("'update Helper'!AB"&amp;BA67)=0,"",INDIRECT("'update Helper'!AB"&amp;BA67))</f>
        <v/>
      </c>
      <c r="C67" s="529" t="str">
        <f ca="1">IFERROR(INDEX('Reference Records'!C$655:C792,MATCH(INDIRECT("'update Helper'!M"&amp;BA67),'Reference Records'!E$655:E792,0)),"")</f>
        <v/>
      </c>
      <c r="D67" s="529" t="str">
        <f ca="1">IF(INDIRECT("'update Helper'!X"&amp;BA67)=0,"",INDIRECT("'update Helper'!X"&amp;BA67))</f>
        <v/>
      </c>
      <c r="E67" s="529" t="str">
        <f ca="1">IF(INDIRECT("'update Helper'!T"&amp;BA67)=0,"",INDIRECT("'update Helper'!T"&amp;BA67))</f>
        <v/>
      </c>
      <c r="F67" s="141" t="str">
        <f ca="1">IF(INDIRECT("'update Helper'!F"&amp;BA67)="","",INDIRECT("'update Helper'!F"&amp;BA67))</f>
        <v/>
      </c>
      <c r="G67" s="787" t="str">
        <f ca="1">IF(OR(INDIRECT("'update Helper'!D"&amp;BA67)="",F67&lt;&gt;0,F68&lt;&gt;0),IF(IFERROR((F67/F68),"")="","",(F67/F68)),INDIRECT("'update Helper'!D"&amp;BA67)/100)</f>
        <v/>
      </c>
      <c r="H67" s="785" t="str">
        <f ca="1">IF(INDIRECT("'update Helper'!L"&amp;BA67)=0,"",INDIRECT("'update Helper'!L"&amp;BA67))</f>
        <v/>
      </c>
      <c r="I67" s="529" t="str">
        <f ca="1">IF(INDIRECT("'update Helper'!U"&amp;BA67)=0,"",INDIRECT("'update Helper'!U"&amp;BA67))</f>
        <v/>
      </c>
      <c r="J67" s="766" t="str">
        <f ca="1">AQ67</f>
        <v/>
      </c>
      <c r="K67" s="785" t="str">
        <f ca="1">IF(OR(INDIRECT("'update Helper'!A"&amp;BA67)=FALSE,INDIRECT("'update Helper'!R"&amp;BA67)=0),"",IF(INDIRECT("'update Helper'!R"&amp;BA67)=FALSE,"No","Yes"))</f>
        <v/>
      </c>
      <c r="L67" s="529" t="str">
        <f ca="1">IF(INDIRECT("'update Helper'!S"&amp;BA67)=0,"",IFERROR(VLOOKUP(INDIRECT("'update Helper'!U"&amp;BA67),'Account Role'!A$1:B$14,2,0),IFERROR(VLOOKUP(INDIRECT("'update Helper'!AD"&amp;BA67),'Overview - Section A'!J$26:M$91,4,0),"")))</f>
        <v/>
      </c>
      <c r="M67" s="142" t="str">
        <f ca="1">IF(INDIRECT("'update Helper'!O"&amp;BA67)=0,"",INDIRECT("'update Helper'!O"&amp;BA67))</f>
        <v/>
      </c>
      <c r="N67" s="786" t="str">
        <f ca="1">IF(INDIRECT("'update Helper'!Q"&amp;BA67)=0,"",INDIRECT("'update Helper'!Q"&amp;BA67))</f>
        <v/>
      </c>
      <c r="O67" s="141" t="str">
        <f ca="1">IF(A67=INDIRECT("'update Helper'!F"&amp;$BB67),IF(INDIRECT("'update Helper'!K"&amp;BB67)="","",INDIRECT("'update Helper'!K"&amp;BB67)),"")</f>
        <v/>
      </c>
      <c r="P67" s="787" t="str">
        <f ca="1">IF(OR(INDIRECT("'update Helper'!I"&amp;BB67)="",O67&lt;&gt;0,O68&lt;&gt;0),IF(IFERROR((O67/O68),"")="","",(O67/O68)),INDIRECT("'update Helper'!I"&amp;BB67)/100)</f>
        <v/>
      </c>
      <c r="Q67" s="785" t="str">
        <f ca="1">IF(A67=INDIRECT("'update Helper'!F"&amp;$BB67),IF(INDIRECT("'update Helper'!L"&amp;BB67)=0,"",INDIRECT("'update Helper'!L"&amp;BB67)),"")</f>
        <v/>
      </c>
      <c r="R67" s="141" t="str">
        <f ca="1">IF(A67=INDIRECT("'update Helper'!F"&amp;$BB67+1),IF(INDIRECT("'update Helper'!K"&amp;BB67+1)="","",INDIRECT("'update Helper'!K"&amp;BB67+1)),"")</f>
        <v/>
      </c>
      <c r="S67" s="787" t="str">
        <f ca="1">IF(OR(INDIRECT("'update Helper'!I"&amp;BB67+1)="",R67&lt;&gt;0,R68&lt;&gt;0),IF(IFERROR((R67/R68),"")="","",(R67/R68)),INDIRECT("'update Helper'!I"&amp;BB67+1)/100)</f>
        <v/>
      </c>
      <c r="T67" s="785" t="str">
        <f ca="1">IF(A67=INDIRECT("'update Helper'!F"&amp;$BB67+1),IF(INDIRECT("'update Helper'!L"&amp;BB67+1)=0,"",INDIRECT("'update Helper'!L"&amp;BB67+1)),"")</f>
        <v/>
      </c>
      <c r="U67" s="141" t="str">
        <f ca="1">IF(A67=INDIRECT("'update Helper'!F"&amp;$BB67+2),IF(INDIRECT("'update Helper'!K"&amp;BB67+2)="","",INDIRECT("'update Helper'!K"&amp;BB67+2)),"")</f>
        <v/>
      </c>
      <c r="V67" s="787" t="str">
        <f ca="1">IF(OR(INDIRECT("'update Helper'!I"&amp;BB67+2)="",U67&lt;&gt;0,U68&lt;&gt;0),IF(IFERROR((U67/U68),"")="","",(U67/U68)),INDIRECT("'update Helper'!I"&amp;BB67+2)/100)</f>
        <v/>
      </c>
      <c r="W67" s="785" t="str">
        <f ca="1">IF(A67=INDIRECT("'update Helper'!F"&amp;$BB67+2),IF(INDIRECT("'update Helper'!L"&amp;BB67+2)=0,"",INDIRECT("'update Helper'!L"&amp;BB67+2)),"")</f>
        <v/>
      </c>
      <c r="X67" s="141" t="str">
        <f ca="1">IF(A67=INDIRECT("'update Helper'!F"&amp;$BB67+3),IF(INDIRECT("'update Helper'!K"&amp;BB67+3)="","",INDIRECT("'update Helper'!K"&amp;BB67+3)),"")</f>
        <v/>
      </c>
      <c r="Y67" s="787" t="str">
        <f ca="1">IF(A67=INDIRECT("'update Helper'!F"&amp;$BB67+3),IF(OR(INDIRECT("'update Helper'!I"&amp;BB67+3)="",X67&lt;&gt;0,X68&lt;&gt;0),IF(IFERROR((X67/X68),"")="","",(X67/X68)),INDIRECT("'update Helper'!I"&amp;BB67+3)/100),"")</f>
        <v/>
      </c>
      <c r="Z67" s="785" t="str">
        <f ca="1">IF(A67=INDIRECT("'update Helper'!F"&amp;$BB67+3),IF(INDIRECT("'update Helper'!L"&amp;BB67+3)=0,"",INDIRECT("'update Helper'!L"&amp;BB67+3)),"")</f>
        <v/>
      </c>
      <c r="AA67" s="141" t="str">
        <f ca="1">IF(A67=INDIRECT("'update Helper'!F"&amp;$BB67+4),IF(INDIRECT("'update Helper'!K"&amp;BB67+4)="","",INDIRECT("'update Helper'!K"&amp;BB67+4)),"")</f>
        <v/>
      </c>
      <c r="AB67" s="787" t="str">
        <f ca="1">IF(A67=INDIRECT("'update Helper'!F"&amp;$BB67+4),IF(OR(INDIRECT("'update Helper'!I"&amp;BB67+4)="",AA67&lt;&gt;0,AA68&lt;&gt;0),IF(IFERROR((AA67/AA68),"")="","",(AA67/AA68)),INDIRECT("'update Helper'!I"&amp;BB67+4)/100),"")</f>
        <v/>
      </c>
      <c r="AC67" s="785" t="str">
        <f ca="1">IF(A67=INDIRECT("'update Helper'!F"&amp;$BB67+4),IF(INDIRECT("'update Helper'!L"&amp;BB67+4)=0,"",INDIRECT("'update Helper'!L"&amp;BB67+4)),"")</f>
        <v/>
      </c>
      <c r="AD67" s="141" t="str">
        <f ca="1">IF(A67=INDIRECT("'update Helper'!F"&amp;$BB67+5),IF(INDIRECT("'update Helper'!K"&amp;BB67+5)="","",INDIRECT("'update Helper'!K"&amp;BB67+5)),"")</f>
        <v/>
      </c>
      <c r="AE67" s="787" t="str">
        <f ca="1">IF(A67=INDIRECT("'update Helper'!F"&amp;$BB67+5),IF(A67=INDIRECT("'update Helper'!F"&amp;$BB67+5),IF(OR(INDIRECT("'update Helper'!I"&amp;BB67+5)="",AD67&lt;&gt;0,AD68&lt;&gt;0),IF(IFERROR((AD67/AD68),"")="","",(AD67/AD68)),INDIRECT("'update Helper'!I"&amp;BB67+5)/100),""),"")</f>
        <v/>
      </c>
      <c r="AF67" s="785" t="str">
        <f ca="1">IF(A67=INDIRECT("'update Helper'!F"&amp;$BB67+5),IF(INDIRECT("'update Helper'!L"&amp;BB67+5)=0,"",INDIRECT("'update Helper'!L"&amp;BB67+5)),"")</f>
        <v/>
      </c>
      <c r="AG67" s="141" t="str">
        <f ca="1">IF(A67=INDIRECT("'update Helper'!F"&amp;$BB67+6),IF(INDIRECT("'update Helper'!K"&amp;BB67+6)="","",INDIRECT("'update Helper'!K"&amp;BB67+6)),"")</f>
        <v/>
      </c>
      <c r="AH67" s="787" t="str">
        <f ca="1">IF(A67=INDIRECT("'update Helper'!F"&amp;$BB67+6),IF(OR(INDIRECT("'update Helper'!I"&amp;BB67+6)="",AG67&lt;&gt;0,AG68&lt;&gt;0),IF(IFERROR((AG67/AG68),"")="","",(AG67/AG68)),INDIRECT("'update Helper'!I"&amp;BB67+6)/100),"")</f>
        <v/>
      </c>
      <c r="AI67" s="785" t="str">
        <f ca="1">IF(A67=INDIRECT("'update Helper'!F"&amp;$BB67+6),IF(INDIRECT("'update Helper'!L"&amp;BB67+6)=0,"",INDIRECT("'update Helper'!L"&amp;BB67+6)),"")</f>
        <v/>
      </c>
      <c r="AJ67" s="141" t="str">
        <f ca="1">IF(A67=INDIRECT("'update Helper'!F"&amp;$BB67+7),IF(INDIRECT("'update Helper'!K"&amp;BB67+7)="","",INDIRECT("'update Helper'!K"&amp;BB67+7)),"")</f>
        <v/>
      </c>
      <c r="AK67" s="787" t="str">
        <f ca="1">IF(A67=INDIRECT("'update Helper'!F"&amp;$BB67+6),IF(OR(INDIRECT("'update Helper'!I"&amp;BB67+7)="",AJ67&lt;&gt;0,AJ68&lt;&gt;0),IF(IFERROR((AJ67/AJ68),"")="","",(AJ67/AJ68)),INDIRECT("'update Helper'!I"&amp;BB67+7)/100),"")</f>
        <v/>
      </c>
      <c r="AL67" s="785" t="str">
        <f ca="1">IF(A67=INDIRECT("'update Helper'!F"&amp;$BB67+7),IF(INDIRECT("'update Helper'!L"&amp;BB67+7)=0,"",INDIRECT("'update Helper'!L"&amp;BB67+7)),"")</f>
        <v/>
      </c>
      <c r="AM67" s="529" t="str">
        <f ca="1">IF(INDIRECT("'update Helper'!V"&amp;BA67)=0,"",INDIRECT("'update Helper'!V"&amp;BA67))</f>
        <v/>
      </c>
      <c r="AN67" s="529" t="str">
        <f ca="1">IF(INDIRECT("'update Helper'!N"&amp;BA67)=0,"",INDIRECT("'update Helper'!N"&amp;BA67))</f>
        <v/>
      </c>
      <c r="AO67" s="529" t="str">
        <f ca="1">IF(INDIRECT("'update Helper'!G"&amp;BA67)=0,"",INDIRECT("'update Helper'!G"&amp;BA67))</f>
        <v/>
      </c>
      <c r="AP67" s="529" t="str">
        <f ca="1">IF(INDIRECT("'update Helper'!I"&amp;BA67)=0,"",INDIRECT("'update Helper'!I"&amp;BA67))</f>
        <v/>
      </c>
      <c r="AQ67" t="str">
        <f t="array" aca="1" ref="AQ67" ca="1">IFERROR(IF(INDEX('Reference Records'!$D$79:$D$156,MATCH(LEFT(D67,255),LEFT('Reference Records'!$C$79:$C$156,255),0))=0,"",INDEX('Reference Records'!$D$79:$D$156,MATCH(LEFT(D67,255),LEFT('Reference Records'!$C$79:$C$156,255),0))),"")</f>
        <v/>
      </c>
      <c r="AR67" s="124" t="str">
        <f t="array" aca="1" ref="AR67" ca="1">VLOOKUP(LEFT(D67,255),LEFT('Reference Records'!C$78:G735,255),4,0)</f>
        <v/>
      </c>
      <c r="AS67" s="124" t="e">
        <f ca="1">MATCH(AR67,'Reference Records'!$F$656:$F$734,0)+ROW(PopulationByCoverage)-1</f>
        <v>#N/A</v>
      </c>
      <c r="AT67" s="124" t="e">
        <f ca="1">MATCH(AR67,'Reference Records'!$F$656:$F$734,1)+ROW(PopulationByCoverage)-1</f>
        <v>#N/A</v>
      </c>
      <c r="AU67" t="str">
        <f ca="1">D67&amp;E67</f>
        <v/>
      </c>
      <c r="AV67" t="str">
        <f t="array" aca="1" ref="AV67" ca="1">IFERROR(IF(VLOOKUP(LEFT(D67,255),LEFT('Reference Records'!$C$1:$K$759,255),9,0)=0,"",CONCATENATE(VLOOKUP(LEFT(D67,255),LEFT('Reference Records'!$C$1:$K$759,255),9,0),";")),"")</f>
        <v>;</v>
      </c>
      <c r="AW67" t="str">
        <f ca="1">CLEAN(IFERROR(LEFT(AV67,SEARCH(";",AV67,1)-1),""))</f>
        <v/>
      </c>
      <c r="AX67" t="str">
        <f ca="1">SUBSTITUTE(IFERROR(MID(AV67,SEARCH(";",AV67)+1,SEARCH(";",AV67,SEARCH(";",AV67)+1)-SEARCH(";",AV67)-1),""),CHAR(10),"")</f>
        <v/>
      </c>
      <c r="AY67" s="110" t="str">
        <f ca="1">CLEAN(IFERROR(SUBSTITUTE(RIGHT(AV67,LEN(AV67)-SEARCH(";",AV67,SEARCH(";",AV67)+1)),";",""),""))</f>
        <v/>
      </c>
      <c r="AZ67" s="504" t="str">
        <f ca="1">IFERROR(IF(VLOOKUP(B67,'Reference Records'!$F$159:$N$210,9,FALSE)=0,"",VLOOKUP(B67,'Reference Records'!$F$159:$N$210,9,FALSE)),"")</f>
        <v/>
      </c>
      <c r="BA67">
        <f t="shared" si="1"/>
        <v>483</v>
      </c>
      <c r="BB67">
        <f ca="1">BB65+'update Helper'!$AB$2</f>
        <v>694</v>
      </c>
      <c r="BD67" t="str">
        <f ca="1">IF(INDIRECT("'update Helper'!S"&amp;BA67)=0,"",IFERROR(VLOOKUP(INDIRECT("'update Helper'!U"&amp;BA67),'Account Role'!A$1:B$14,2,0),IFERROR(VLOOKUP(INDIRECT("'update Helper'!AD"&amp;BA67),'Overview - Section A'!J$26:P$91,7,0),"")))</f>
        <v/>
      </c>
    </row>
    <row r="68" spans="1:56" ht="30" customHeight="1">
      <c r="A68" s="558"/>
      <c r="B68" s="530"/>
      <c r="C68" s="530"/>
      <c r="D68" s="530"/>
      <c r="E68" s="530"/>
      <c r="F68" s="141" t="str">
        <f ca="1">IF(INDIRECT("'update Helper'!E"&amp;BA67)=0,"",INDIRECT("'update Helper'!E"&amp;BA67))</f>
        <v/>
      </c>
      <c r="G68" s="791"/>
      <c r="H68" s="770"/>
      <c r="I68" s="530"/>
      <c r="J68" s="771"/>
      <c r="K68" s="770"/>
      <c r="L68" s="530"/>
      <c r="M68" s="789" t="str">
        <f ca="1">IF(INDIRECT("'update Helper'!P"&amp;BA67)=0,"",INDIRECT("'update Helper'!P"&amp;BA67))</f>
        <v/>
      </c>
      <c r="N68" s="790"/>
      <c r="O68" s="141" t="str">
        <f ca="1">IF(A67=INDIRECT("'update Helper'!F"&amp;$BB67),IF(INDIRECT("'update Helper'!J"&amp;BB67)=0,"",INDIRECT("'update Helper'!J"&amp;BB67)),"")</f>
        <v/>
      </c>
      <c r="P68" s="791"/>
      <c r="Q68" s="770"/>
      <c r="R68" s="141" t="str">
        <f ca="1">IF(A67=INDIRECT("'update Helper'!F"&amp;$BB67+1),IF(INDIRECT("'update Helper'!J"&amp;BB67+1)=0,"",INDIRECT("'update Helper'!J"&amp;BB67+1)),"")</f>
        <v/>
      </c>
      <c r="S68" s="791"/>
      <c r="T68" s="770"/>
      <c r="U68" s="141" t="str">
        <f ca="1">IF(A67=INDIRECT("'update Helper'!F"&amp;$BB67+2),IF(INDIRECT("'update Helper'!J"&amp;BB67+2)=0,"",INDIRECT("'update Helper'!J"&amp;BB67+2)),"")</f>
        <v/>
      </c>
      <c r="V68" s="791"/>
      <c r="W68" s="770"/>
      <c r="X68" s="141" t="str">
        <f ca="1">IF(A67=INDIRECT("'update Helper'!F"&amp;$BB67+3),IF(INDIRECT("'update Helper'!J"&amp;BB67+3)=0,"",INDIRECT("'update Helper'!J"&amp;BB67+3)),"")</f>
        <v/>
      </c>
      <c r="Y68" s="791"/>
      <c r="Z68" s="770"/>
      <c r="AA68" s="141" t="str">
        <f ca="1">IF(A67=INDIRECT("'update Helper'!F"&amp;$BB67+4),IF(INDIRECT("'update Helper'!J"&amp;BB67+4)=0,"",INDIRECT("'update Helper'!J"&amp;BB67+4)),"")</f>
        <v/>
      </c>
      <c r="AB68" s="791"/>
      <c r="AC68" s="770"/>
      <c r="AD68" s="141" t="str">
        <f ca="1">IF(A67=INDIRECT("'update Helper'!F"&amp;$BB67+5),IF(INDIRECT("'update Helper'!J"&amp;BB67+5)=0,"",INDIRECT("'update Helper'!J"&amp;BB67+5)),"")</f>
        <v/>
      </c>
      <c r="AE68" s="791"/>
      <c r="AF68" s="770"/>
      <c r="AG68" s="141" t="str">
        <f ca="1">IF(A67=INDIRECT("'update Helper'!F"&amp;$BB67+6),IF(INDIRECT("'update Helper'!J"&amp;BB67+6)=0,"",INDIRECT("'update Helper'!J"&amp;BB67+6)),"")</f>
        <v/>
      </c>
      <c r="AH68" s="791"/>
      <c r="AI68" s="770"/>
      <c r="AJ68" s="141" t="str">
        <f ca="1">IF(A67=INDIRECT("'update Helper'!F"&amp;$BB67+7),IF(INDIRECT("'update Helper'!J"&amp;BB67+7)=0,"",INDIRECT("'update Helper'!J"&amp;BB67+7)),"")</f>
        <v/>
      </c>
      <c r="AK68" s="791"/>
      <c r="AL68" s="770"/>
      <c r="AM68" s="530"/>
      <c r="AN68" s="530"/>
      <c r="AO68" s="530"/>
      <c r="AP68" s="530"/>
      <c r="AY68" s="110"/>
      <c r="AZ68" s="504"/>
    </row>
    <row r="69" spans="1:56" ht="30" customHeight="1">
      <c r="AE69" s="504"/>
    </row>
    <row r="70" spans="1:56" ht="30" customHeight="1">
      <c r="AE70" s="504"/>
    </row>
    <row r="71" spans="1:56" ht="30" customHeight="1">
      <c r="AE71" s="504"/>
    </row>
    <row r="72" spans="1:56" ht="30" customHeight="1">
      <c r="AE72" s="504"/>
    </row>
    <row r="73" spans="1:56" ht="30" customHeight="1">
      <c r="AE73" s="504"/>
    </row>
    <row r="74" spans="1:56" ht="30" customHeight="1">
      <c r="AE74" s="504"/>
    </row>
    <row r="75" spans="1:56" ht="30" customHeight="1">
      <c r="AE75" s="504"/>
    </row>
    <row r="76" spans="1:56" ht="30" customHeight="1">
      <c r="AE76" s="504"/>
    </row>
    <row r="77" spans="1:56" ht="30" customHeight="1">
      <c r="AE77" s="504"/>
    </row>
    <row r="78" spans="1:56" ht="30" customHeight="1">
      <c r="AE78" s="504"/>
    </row>
    <row r="79" spans="1:56" ht="30" customHeight="1">
      <c r="AE79" s="504"/>
    </row>
    <row r="80" spans="1:56" ht="30" customHeight="1">
      <c r="AE80" s="504"/>
    </row>
    <row r="81" spans="31:31" ht="30" customHeight="1">
      <c r="AE81" s="504"/>
    </row>
    <row r="82" spans="31:31" ht="30" customHeight="1">
      <c r="AE82" s="504"/>
    </row>
    <row r="83" spans="31:31" ht="30" customHeight="1">
      <c r="AE83" s="504"/>
    </row>
    <row r="84" spans="31:31" ht="30" customHeight="1">
      <c r="AE84" s="504"/>
    </row>
    <row r="85" spans="31:31" ht="30" customHeight="1">
      <c r="AE85" s="504"/>
    </row>
    <row r="86" spans="31:31" ht="30" customHeight="1">
      <c r="AE86" s="504"/>
    </row>
    <row r="87" spans="31:31" ht="30" customHeight="1">
      <c r="AE87" s="504"/>
    </row>
    <row r="88" spans="31:31" ht="30" customHeight="1">
      <c r="AE88" s="504"/>
    </row>
    <row r="89" spans="31:31" ht="30" customHeight="1">
      <c r="AE89" s="504"/>
    </row>
    <row r="90" spans="31:31" ht="30" customHeight="1">
      <c r="AE90" s="504"/>
    </row>
    <row r="91" spans="31:31" ht="30" customHeight="1">
      <c r="AE91" s="504"/>
    </row>
    <row r="92" spans="31:31" ht="30" customHeight="1">
      <c r="AE92" s="504"/>
    </row>
    <row r="93" spans="31:31" ht="30" customHeight="1">
      <c r="AE93" s="504"/>
    </row>
    <row r="94" spans="31:31" ht="30" customHeight="1">
      <c r="AE94" s="504"/>
    </row>
    <row r="95" spans="31:31" ht="30" customHeight="1">
      <c r="AE95" s="504"/>
    </row>
    <row r="96" spans="31:31" ht="30" customHeight="1">
      <c r="AE96" s="504"/>
    </row>
    <row r="97" spans="31:31" ht="30" customHeight="1">
      <c r="AE97" s="504"/>
    </row>
    <row r="98" spans="31:31" ht="30" customHeight="1">
      <c r="AE98" s="504"/>
    </row>
    <row r="99" spans="31:31" ht="30" customHeight="1">
      <c r="AE99" s="504"/>
    </row>
    <row r="100" spans="31:31" ht="30" customHeight="1">
      <c r="AE100" s="504"/>
    </row>
    <row r="101" spans="31:31">
      <c r="AE101" s="504"/>
    </row>
    <row r="102" spans="31:31">
      <c r="AE102" s="504"/>
    </row>
  </sheetData>
  <sheetProtection sheet="1" objects="1" scenarios="1" formatCells="0" formatColumns="0" formatRows="0"/>
  <mergeCells count="1015">
    <mergeCell ref="O7:Q7"/>
    <mergeCell ref="R7:T7"/>
    <mergeCell ref="U7:W7"/>
    <mergeCell ref="X7:Z7"/>
    <mergeCell ref="AA7:AC7"/>
    <mergeCell ref="AD7:AF7"/>
    <mergeCell ref="AG7:AI7"/>
    <mergeCell ref="AJ7:AL7"/>
    <mergeCell ref="A9:A10"/>
    <mergeCell ref="A11:A12"/>
    <mergeCell ref="A13:A14"/>
    <mergeCell ref="A15:A16"/>
    <mergeCell ref="D9:D10"/>
    <mergeCell ref="D11:D12"/>
    <mergeCell ref="D13:D14"/>
    <mergeCell ref="D15:D16"/>
    <mergeCell ref="A17:A18"/>
    <mergeCell ref="E9:E10"/>
    <mergeCell ref="E11:E12"/>
    <mergeCell ref="E13:E14"/>
    <mergeCell ref="E15:E16"/>
    <mergeCell ref="E17:E18"/>
    <mergeCell ref="K9:K10"/>
    <mergeCell ref="K11:K12"/>
    <mergeCell ref="K13:K14"/>
    <mergeCell ref="K15:K16"/>
    <mergeCell ref="S9:S10"/>
    <mergeCell ref="S11:S12"/>
    <mergeCell ref="S13:S14"/>
    <mergeCell ref="S15:S16"/>
    <mergeCell ref="S17:S18"/>
    <mergeCell ref="Z9:Z10"/>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1:A52"/>
    <mergeCell ref="A53:A54"/>
    <mergeCell ref="A55:A56"/>
    <mergeCell ref="A57:A58"/>
    <mergeCell ref="A59:A60"/>
    <mergeCell ref="A61:A62"/>
    <mergeCell ref="A63:A64"/>
    <mergeCell ref="A65:A66"/>
    <mergeCell ref="A67:A68"/>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1:B52"/>
    <mergeCell ref="B53:B54"/>
    <mergeCell ref="B55:B56"/>
    <mergeCell ref="B57:B58"/>
    <mergeCell ref="B59:B60"/>
    <mergeCell ref="B61:B62"/>
    <mergeCell ref="B63:B64"/>
    <mergeCell ref="B65:B66"/>
    <mergeCell ref="B67:B68"/>
    <mergeCell ref="C9:C10"/>
    <mergeCell ref="C11:C12"/>
    <mergeCell ref="C13:C14"/>
    <mergeCell ref="C15:C16"/>
    <mergeCell ref="C17:C1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1:C52"/>
    <mergeCell ref="C53:C54"/>
    <mergeCell ref="C55:C56"/>
    <mergeCell ref="C57:C58"/>
    <mergeCell ref="C59:C60"/>
    <mergeCell ref="C61:C62"/>
    <mergeCell ref="C63:C64"/>
    <mergeCell ref="C65:C66"/>
    <mergeCell ref="C67:C68"/>
    <mergeCell ref="D17:D18"/>
    <mergeCell ref="D19:D20"/>
    <mergeCell ref="D21:D22"/>
    <mergeCell ref="D23:D24"/>
    <mergeCell ref="D25:D26"/>
    <mergeCell ref="D27:D28"/>
    <mergeCell ref="D29:D30"/>
    <mergeCell ref="D31:D32"/>
    <mergeCell ref="D33:D34"/>
    <mergeCell ref="D35:D36"/>
    <mergeCell ref="D37:D38"/>
    <mergeCell ref="D39:D40"/>
    <mergeCell ref="D41:D42"/>
    <mergeCell ref="D43:D44"/>
    <mergeCell ref="D45:D46"/>
    <mergeCell ref="D47:D48"/>
    <mergeCell ref="D49:D50"/>
    <mergeCell ref="D51:D52"/>
    <mergeCell ref="D53:D54"/>
    <mergeCell ref="D55:D56"/>
    <mergeCell ref="D57:D58"/>
    <mergeCell ref="D59:D60"/>
    <mergeCell ref="D61:D62"/>
    <mergeCell ref="D63:D64"/>
    <mergeCell ref="D65:D66"/>
    <mergeCell ref="D67:D68"/>
    <mergeCell ref="E19:E20"/>
    <mergeCell ref="E21:E22"/>
    <mergeCell ref="E23:E24"/>
    <mergeCell ref="E25:E26"/>
    <mergeCell ref="E27:E28"/>
    <mergeCell ref="E29:E30"/>
    <mergeCell ref="E31:E32"/>
    <mergeCell ref="E33:E34"/>
    <mergeCell ref="E35:E36"/>
    <mergeCell ref="E37:E38"/>
    <mergeCell ref="E39:E40"/>
    <mergeCell ref="E41:E42"/>
    <mergeCell ref="E43:E44"/>
    <mergeCell ref="E45:E46"/>
    <mergeCell ref="E47:E48"/>
    <mergeCell ref="E49:E50"/>
    <mergeCell ref="E51:E52"/>
    <mergeCell ref="E53:E54"/>
    <mergeCell ref="E55:E56"/>
    <mergeCell ref="E57:E58"/>
    <mergeCell ref="E59:E60"/>
    <mergeCell ref="E61:E62"/>
    <mergeCell ref="E63:E64"/>
    <mergeCell ref="E65:E66"/>
    <mergeCell ref="E67:E68"/>
    <mergeCell ref="G9:G10"/>
    <mergeCell ref="G11:G12"/>
    <mergeCell ref="G13:G14"/>
    <mergeCell ref="G15:G16"/>
    <mergeCell ref="G17:G18"/>
    <mergeCell ref="G19:G20"/>
    <mergeCell ref="G21:G22"/>
    <mergeCell ref="G23:G24"/>
    <mergeCell ref="G25:G26"/>
    <mergeCell ref="G27:G28"/>
    <mergeCell ref="G29:G30"/>
    <mergeCell ref="G31:G32"/>
    <mergeCell ref="G33:G34"/>
    <mergeCell ref="G35:G36"/>
    <mergeCell ref="G37:G38"/>
    <mergeCell ref="G39:G40"/>
    <mergeCell ref="G41:G42"/>
    <mergeCell ref="G43:G44"/>
    <mergeCell ref="G45:G46"/>
    <mergeCell ref="G47:G48"/>
    <mergeCell ref="G49:G50"/>
    <mergeCell ref="G51:G52"/>
    <mergeCell ref="G53:G54"/>
    <mergeCell ref="G55:G56"/>
    <mergeCell ref="G57:G58"/>
    <mergeCell ref="G59:G60"/>
    <mergeCell ref="G61:G62"/>
    <mergeCell ref="G63:G64"/>
    <mergeCell ref="G65:G66"/>
    <mergeCell ref="G67:G68"/>
    <mergeCell ref="H9:H10"/>
    <mergeCell ref="H11:H12"/>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49:H50"/>
    <mergeCell ref="H51:H52"/>
    <mergeCell ref="H53:H54"/>
    <mergeCell ref="H55:H56"/>
    <mergeCell ref="H57:H58"/>
    <mergeCell ref="H59:H60"/>
    <mergeCell ref="H61:H62"/>
    <mergeCell ref="H63:H64"/>
    <mergeCell ref="H65:H66"/>
    <mergeCell ref="H67:H68"/>
    <mergeCell ref="I9:I10"/>
    <mergeCell ref="I11:I12"/>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I51:I52"/>
    <mergeCell ref="I53:I54"/>
    <mergeCell ref="I55:I56"/>
    <mergeCell ref="I57:I58"/>
    <mergeCell ref="I59:I60"/>
    <mergeCell ref="I61:I62"/>
    <mergeCell ref="I63:I64"/>
    <mergeCell ref="I65:I66"/>
    <mergeCell ref="I67:I68"/>
    <mergeCell ref="J9:J1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J61:J62"/>
    <mergeCell ref="J63:J64"/>
    <mergeCell ref="J65:J66"/>
    <mergeCell ref="J67:J68"/>
    <mergeCell ref="K19:K20"/>
    <mergeCell ref="K21:K22"/>
    <mergeCell ref="K23:K24"/>
    <mergeCell ref="K25:K26"/>
    <mergeCell ref="K27:K28"/>
    <mergeCell ref="K29:K30"/>
    <mergeCell ref="K31:K32"/>
    <mergeCell ref="K33:K34"/>
    <mergeCell ref="K35:K36"/>
    <mergeCell ref="K37:K38"/>
    <mergeCell ref="K39:K40"/>
    <mergeCell ref="K41:K42"/>
    <mergeCell ref="K43:K44"/>
    <mergeCell ref="K45:K46"/>
    <mergeCell ref="K47:K48"/>
    <mergeCell ref="K49:K50"/>
    <mergeCell ref="K51:K52"/>
    <mergeCell ref="K53:K54"/>
    <mergeCell ref="K55:K56"/>
    <mergeCell ref="K57:K58"/>
    <mergeCell ref="K59:K60"/>
    <mergeCell ref="K61:K62"/>
    <mergeCell ref="K63:K64"/>
    <mergeCell ref="K65:K66"/>
    <mergeCell ref="K67:K68"/>
    <mergeCell ref="L9:L10"/>
    <mergeCell ref="L11:L12"/>
    <mergeCell ref="L13:L14"/>
    <mergeCell ref="L15:L16"/>
    <mergeCell ref="L17:L18"/>
    <mergeCell ref="L19:L20"/>
    <mergeCell ref="L21:L22"/>
    <mergeCell ref="L23:L24"/>
    <mergeCell ref="L25:L26"/>
    <mergeCell ref="L27:L28"/>
    <mergeCell ref="L29:L30"/>
    <mergeCell ref="L31:L32"/>
    <mergeCell ref="L33:L34"/>
    <mergeCell ref="L35:L36"/>
    <mergeCell ref="L37:L38"/>
    <mergeCell ref="L39:L40"/>
    <mergeCell ref="L41:L42"/>
    <mergeCell ref="L43:L44"/>
    <mergeCell ref="L45:L46"/>
    <mergeCell ref="L47:L48"/>
    <mergeCell ref="L49:L50"/>
    <mergeCell ref="L51:L52"/>
    <mergeCell ref="L53:L54"/>
    <mergeCell ref="L55:L56"/>
    <mergeCell ref="L57:L58"/>
    <mergeCell ref="L59:L60"/>
    <mergeCell ref="L61:L62"/>
    <mergeCell ref="L63:L64"/>
    <mergeCell ref="L65:L66"/>
    <mergeCell ref="L67:L68"/>
    <mergeCell ref="N9:N10"/>
    <mergeCell ref="N11:N12"/>
    <mergeCell ref="N13:N14"/>
    <mergeCell ref="N15:N16"/>
    <mergeCell ref="N17:N18"/>
    <mergeCell ref="N19:N20"/>
    <mergeCell ref="N21:N22"/>
    <mergeCell ref="N23:N24"/>
    <mergeCell ref="N25:N26"/>
    <mergeCell ref="N27:N28"/>
    <mergeCell ref="N29:N30"/>
    <mergeCell ref="N31:N32"/>
    <mergeCell ref="N33:N34"/>
    <mergeCell ref="N35:N36"/>
    <mergeCell ref="N37:N38"/>
    <mergeCell ref="N39:N40"/>
    <mergeCell ref="N41:N42"/>
    <mergeCell ref="N43:N44"/>
    <mergeCell ref="N45:N46"/>
    <mergeCell ref="N47:N48"/>
    <mergeCell ref="N49:N50"/>
    <mergeCell ref="N51:N52"/>
    <mergeCell ref="N53:N54"/>
    <mergeCell ref="N55:N56"/>
    <mergeCell ref="N57:N58"/>
    <mergeCell ref="N59:N60"/>
    <mergeCell ref="N61:N62"/>
    <mergeCell ref="N63:N64"/>
    <mergeCell ref="N65:N66"/>
    <mergeCell ref="N67:N68"/>
    <mergeCell ref="P9:P10"/>
    <mergeCell ref="P11:P12"/>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P49:P50"/>
    <mergeCell ref="P51:P52"/>
    <mergeCell ref="P53:P54"/>
    <mergeCell ref="P55:P56"/>
    <mergeCell ref="P57:P58"/>
    <mergeCell ref="P59:P60"/>
    <mergeCell ref="P61:P62"/>
    <mergeCell ref="P63:P64"/>
    <mergeCell ref="P65:P66"/>
    <mergeCell ref="P67:P68"/>
    <mergeCell ref="Q9:Q10"/>
    <mergeCell ref="Q11:Q12"/>
    <mergeCell ref="Q13:Q14"/>
    <mergeCell ref="Q15:Q16"/>
    <mergeCell ref="Q17:Q18"/>
    <mergeCell ref="Q19:Q20"/>
    <mergeCell ref="Q21:Q22"/>
    <mergeCell ref="Q23:Q24"/>
    <mergeCell ref="Q25:Q26"/>
    <mergeCell ref="Q27:Q28"/>
    <mergeCell ref="Q29:Q30"/>
    <mergeCell ref="Q31:Q32"/>
    <mergeCell ref="Q33:Q34"/>
    <mergeCell ref="Q35:Q36"/>
    <mergeCell ref="Q37:Q38"/>
    <mergeCell ref="Q39:Q40"/>
    <mergeCell ref="Q41:Q42"/>
    <mergeCell ref="Q43:Q44"/>
    <mergeCell ref="Q45:Q46"/>
    <mergeCell ref="Q47:Q48"/>
    <mergeCell ref="Q49:Q50"/>
    <mergeCell ref="Q51:Q52"/>
    <mergeCell ref="Q53:Q54"/>
    <mergeCell ref="Q55:Q56"/>
    <mergeCell ref="Q57:Q58"/>
    <mergeCell ref="Q59:Q60"/>
    <mergeCell ref="Q61:Q62"/>
    <mergeCell ref="Q63:Q64"/>
    <mergeCell ref="Q65:Q66"/>
    <mergeCell ref="Q67:Q68"/>
    <mergeCell ref="S19:S20"/>
    <mergeCell ref="S21:S22"/>
    <mergeCell ref="S23:S24"/>
    <mergeCell ref="S25:S26"/>
    <mergeCell ref="S27:S28"/>
    <mergeCell ref="S29:S30"/>
    <mergeCell ref="S31:S32"/>
    <mergeCell ref="S33:S34"/>
    <mergeCell ref="S35:S36"/>
    <mergeCell ref="S37:S38"/>
    <mergeCell ref="S39:S40"/>
    <mergeCell ref="S41:S42"/>
    <mergeCell ref="S43:S44"/>
    <mergeCell ref="S45:S46"/>
    <mergeCell ref="S47:S48"/>
    <mergeCell ref="S49:S50"/>
    <mergeCell ref="S51:S52"/>
    <mergeCell ref="S53:S54"/>
    <mergeCell ref="S55:S56"/>
    <mergeCell ref="S57:S58"/>
    <mergeCell ref="S59:S60"/>
    <mergeCell ref="S61:S62"/>
    <mergeCell ref="S63:S64"/>
    <mergeCell ref="S65:S66"/>
    <mergeCell ref="S67:S68"/>
    <mergeCell ref="T9:T10"/>
    <mergeCell ref="T11:T12"/>
    <mergeCell ref="T13:T14"/>
    <mergeCell ref="T15:T16"/>
    <mergeCell ref="T17:T18"/>
    <mergeCell ref="T19:T20"/>
    <mergeCell ref="T21:T22"/>
    <mergeCell ref="T23:T24"/>
    <mergeCell ref="T25:T26"/>
    <mergeCell ref="T27:T28"/>
    <mergeCell ref="T29:T30"/>
    <mergeCell ref="T31:T32"/>
    <mergeCell ref="T33:T34"/>
    <mergeCell ref="T35:T36"/>
    <mergeCell ref="T37:T38"/>
    <mergeCell ref="T39:T40"/>
    <mergeCell ref="T41:T42"/>
    <mergeCell ref="T43:T44"/>
    <mergeCell ref="T45:T46"/>
    <mergeCell ref="T47:T48"/>
    <mergeCell ref="T49:T50"/>
    <mergeCell ref="T51:T52"/>
    <mergeCell ref="T53:T54"/>
    <mergeCell ref="T55:T56"/>
    <mergeCell ref="T57:T58"/>
    <mergeCell ref="T59:T60"/>
    <mergeCell ref="T61:T62"/>
    <mergeCell ref="T63:T64"/>
    <mergeCell ref="T65:T66"/>
    <mergeCell ref="T67:T68"/>
    <mergeCell ref="V9:V10"/>
    <mergeCell ref="V11:V12"/>
    <mergeCell ref="V13:V14"/>
    <mergeCell ref="V15:V16"/>
    <mergeCell ref="V17:V18"/>
    <mergeCell ref="V19:V20"/>
    <mergeCell ref="V21:V22"/>
    <mergeCell ref="V23:V24"/>
    <mergeCell ref="V25:V26"/>
    <mergeCell ref="V27:V28"/>
    <mergeCell ref="V29:V30"/>
    <mergeCell ref="V31:V32"/>
    <mergeCell ref="V33:V34"/>
    <mergeCell ref="V35:V36"/>
    <mergeCell ref="V37:V38"/>
    <mergeCell ref="V39:V40"/>
    <mergeCell ref="V41:V42"/>
    <mergeCell ref="V43:V44"/>
    <mergeCell ref="V45:V46"/>
    <mergeCell ref="V47:V48"/>
    <mergeCell ref="V49:V50"/>
    <mergeCell ref="V51:V52"/>
    <mergeCell ref="V53:V54"/>
    <mergeCell ref="V55:V56"/>
    <mergeCell ref="V57:V58"/>
    <mergeCell ref="V59:V60"/>
    <mergeCell ref="V61:V62"/>
    <mergeCell ref="V63:V64"/>
    <mergeCell ref="V65:V66"/>
    <mergeCell ref="V67:V68"/>
    <mergeCell ref="W9:W10"/>
    <mergeCell ref="W11:W12"/>
    <mergeCell ref="W13:W14"/>
    <mergeCell ref="W15:W16"/>
    <mergeCell ref="W17:W18"/>
    <mergeCell ref="W19:W20"/>
    <mergeCell ref="W21:W22"/>
    <mergeCell ref="W23:W24"/>
    <mergeCell ref="W25:W26"/>
    <mergeCell ref="W27:W28"/>
    <mergeCell ref="W29:W30"/>
    <mergeCell ref="W31:W32"/>
    <mergeCell ref="W33:W34"/>
    <mergeCell ref="W35:W36"/>
    <mergeCell ref="W37:W38"/>
    <mergeCell ref="W39:W40"/>
    <mergeCell ref="W41:W42"/>
    <mergeCell ref="W43:W44"/>
    <mergeCell ref="W45:W46"/>
    <mergeCell ref="W47:W48"/>
    <mergeCell ref="W49:W50"/>
    <mergeCell ref="W51:W52"/>
    <mergeCell ref="W53:W54"/>
    <mergeCell ref="W55:W56"/>
    <mergeCell ref="W57:W58"/>
    <mergeCell ref="W59:W60"/>
    <mergeCell ref="W61:W62"/>
    <mergeCell ref="W63:W64"/>
    <mergeCell ref="W65:W66"/>
    <mergeCell ref="W67:W68"/>
    <mergeCell ref="Y9:Y10"/>
    <mergeCell ref="Y11:Y12"/>
    <mergeCell ref="Y13:Y14"/>
    <mergeCell ref="Y15:Y16"/>
    <mergeCell ref="Y17:Y18"/>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1:Y52"/>
    <mergeCell ref="Y53:Y54"/>
    <mergeCell ref="Y55:Y56"/>
    <mergeCell ref="Y57:Y58"/>
    <mergeCell ref="Y59:Y60"/>
    <mergeCell ref="Y61:Y62"/>
    <mergeCell ref="Y63:Y64"/>
    <mergeCell ref="Y65:Y66"/>
    <mergeCell ref="Y67:Y68"/>
    <mergeCell ref="Z11:Z12"/>
    <mergeCell ref="Z13:Z14"/>
    <mergeCell ref="Z15:Z16"/>
    <mergeCell ref="Z17:Z18"/>
    <mergeCell ref="Z19:Z20"/>
    <mergeCell ref="Z21:Z22"/>
    <mergeCell ref="Z23:Z24"/>
    <mergeCell ref="Z25:Z26"/>
    <mergeCell ref="Z27:Z28"/>
    <mergeCell ref="Z29:Z30"/>
    <mergeCell ref="Z31:Z32"/>
    <mergeCell ref="Z33:Z34"/>
    <mergeCell ref="Z35:Z36"/>
    <mergeCell ref="Z37:Z38"/>
    <mergeCell ref="Z39:Z40"/>
    <mergeCell ref="Z41:Z42"/>
    <mergeCell ref="Z43:Z44"/>
    <mergeCell ref="Z45:Z46"/>
    <mergeCell ref="Z47:Z48"/>
    <mergeCell ref="Z49:Z50"/>
    <mergeCell ref="Z51:Z52"/>
    <mergeCell ref="Z53:Z54"/>
    <mergeCell ref="Z55:Z56"/>
    <mergeCell ref="Z57:Z58"/>
    <mergeCell ref="Z59:Z60"/>
    <mergeCell ref="Z61:Z62"/>
    <mergeCell ref="Z63:Z64"/>
    <mergeCell ref="Z65:Z66"/>
    <mergeCell ref="Z67:Z68"/>
    <mergeCell ref="AB9:AB10"/>
    <mergeCell ref="AB11:AB12"/>
    <mergeCell ref="AB13:AB14"/>
    <mergeCell ref="AB15:AB16"/>
    <mergeCell ref="AB17:AB18"/>
    <mergeCell ref="AB19:AB20"/>
    <mergeCell ref="AB21:AB22"/>
    <mergeCell ref="AB23:AB24"/>
    <mergeCell ref="AB25:AB26"/>
    <mergeCell ref="AB27:AB28"/>
    <mergeCell ref="AB29:AB30"/>
    <mergeCell ref="AB31:AB32"/>
    <mergeCell ref="AB33:AB34"/>
    <mergeCell ref="AB35:AB36"/>
    <mergeCell ref="AB37:AB38"/>
    <mergeCell ref="AB39:AB40"/>
    <mergeCell ref="AB41:AB42"/>
    <mergeCell ref="AB43:AB44"/>
    <mergeCell ref="AB45:AB46"/>
    <mergeCell ref="AB47:AB48"/>
    <mergeCell ref="AB49:AB50"/>
    <mergeCell ref="AB51:AB52"/>
    <mergeCell ref="AB53:AB54"/>
    <mergeCell ref="AB55:AB56"/>
    <mergeCell ref="AB57:AB58"/>
    <mergeCell ref="AB59:AB60"/>
    <mergeCell ref="AB61:AB62"/>
    <mergeCell ref="AB63:AB64"/>
    <mergeCell ref="AB65:AB66"/>
    <mergeCell ref="AB67:AB68"/>
    <mergeCell ref="AC9:AC10"/>
    <mergeCell ref="AC11:AC12"/>
    <mergeCell ref="AC13:AC14"/>
    <mergeCell ref="AC15:AC16"/>
    <mergeCell ref="AC17:AC18"/>
    <mergeCell ref="AC19:AC20"/>
    <mergeCell ref="AC21:AC22"/>
    <mergeCell ref="AC23:AC24"/>
    <mergeCell ref="AC25:AC26"/>
    <mergeCell ref="AC27:AC28"/>
    <mergeCell ref="AC29:AC30"/>
    <mergeCell ref="AC31:AC32"/>
    <mergeCell ref="AC33:AC34"/>
    <mergeCell ref="AC35:AC36"/>
    <mergeCell ref="AC37:AC38"/>
    <mergeCell ref="AC39:AC40"/>
    <mergeCell ref="AC41:AC42"/>
    <mergeCell ref="AC43:AC44"/>
    <mergeCell ref="AC45:AC46"/>
    <mergeCell ref="AC47:AC48"/>
    <mergeCell ref="AC49:AC50"/>
    <mergeCell ref="AC51:AC52"/>
    <mergeCell ref="AC53:AC54"/>
    <mergeCell ref="AC55:AC56"/>
    <mergeCell ref="AC57:AC58"/>
    <mergeCell ref="AC59:AC60"/>
    <mergeCell ref="AC61:AC62"/>
    <mergeCell ref="AC63:AC64"/>
    <mergeCell ref="AC65:AC66"/>
    <mergeCell ref="AC67:AC68"/>
    <mergeCell ref="AE9:AE10"/>
    <mergeCell ref="AE11:AE12"/>
    <mergeCell ref="AE13:AE14"/>
    <mergeCell ref="AE15:AE16"/>
    <mergeCell ref="AE17:AE18"/>
    <mergeCell ref="AE19:AE20"/>
    <mergeCell ref="AE21:AE22"/>
    <mergeCell ref="AE23:AE24"/>
    <mergeCell ref="AE25:AE26"/>
    <mergeCell ref="AE27:AE28"/>
    <mergeCell ref="AE29:AE30"/>
    <mergeCell ref="AE31:AE32"/>
    <mergeCell ref="AE33:AE34"/>
    <mergeCell ref="AE35:AE36"/>
    <mergeCell ref="AE37:AE38"/>
    <mergeCell ref="AE39:AE40"/>
    <mergeCell ref="AE41:AE42"/>
    <mergeCell ref="AE43:AE44"/>
    <mergeCell ref="AE45:AE46"/>
    <mergeCell ref="AE47:AE48"/>
    <mergeCell ref="AE49:AE50"/>
    <mergeCell ref="AE51:AE52"/>
    <mergeCell ref="AE53:AE54"/>
    <mergeCell ref="AE55:AE56"/>
    <mergeCell ref="AE57:AE58"/>
    <mergeCell ref="AE59:AE60"/>
    <mergeCell ref="AE61:AE62"/>
    <mergeCell ref="AE63:AE64"/>
    <mergeCell ref="AE65:AE66"/>
    <mergeCell ref="AE67:AE68"/>
    <mergeCell ref="AE69:AE70"/>
    <mergeCell ref="AE71:AE72"/>
    <mergeCell ref="AE73:AE74"/>
    <mergeCell ref="AE75:AE76"/>
    <mergeCell ref="AE77:AE78"/>
    <mergeCell ref="AE79:AE80"/>
    <mergeCell ref="AE81:AE82"/>
    <mergeCell ref="AE83:AE84"/>
    <mergeCell ref="AE85:AE86"/>
    <mergeCell ref="AE87:AE88"/>
    <mergeCell ref="AE89:AE90"/>
    <mergeCell ref="AE91:AE92"/>
    <mergeCell ref="AE93:AE94"/>
    <mergeCell ref="AE95:AE96"/>
    <mergeCell ref="AE97:AE98"/>
    <mergeCell ref="AE99:AE100"/>
    <mergeCell ref="AE101:AE102"/>
    <mergeCell ref="AF9:AF10"/>
    <mergeCell ref="AF11:AF12"/>
    <mergeCell ref="AF13:AF14"/>
    <mergeCell ref="AF15:AF16"/>
    <mergeCell ref="AF17:AF18"/>
    <mergeCell ref="AF19:AF20"/>
    <mergeCell ref="AF21:AF22"/>
    <mergeCell ref="AF23:AF24"/>
    <mergeCell ref="AF25:AF26"/>
    <mergeCell ref="AF27:AF28"/>
    <mergeCell ref="AF29:AF30"/>
    <mergeCell ref="AF31:AF32"/>
    <mergeCell ref="AF33:AF34"/>
    <mergeCell ref="AF35:AF36"/>
    <mergeCell ref="AF37:AF38"/>
    <mergeCell ref="AF39:AF40"/>
    <mergeCell ref="AF41:AF42"/>
    <mergeCell ref="AF43:AF44"/>
    <mergeCell ref="AF45:AF46"/>
    <mergeCell ref="AF47:AF48"/>
    <mergeCell ref="AF49:AF50"/>
    <mergeCell ref="AF51:AF52"/>
    <mergeCell ref="AF53:AF54"/>
    <mergeCell ref="AF55:AF56"/>
    <mergeCell ref="AF57:AF58"/>
    <mergeCell ref="AF59:AF60"/>
    <mergeCell ref="AF61:AF62"/>
    <mergeCell ref="AF63:AF64"/>
    <mergeCell ref="AF65:AF66"/>
    <mergeCell ref="AF67:AF68"/>
    <mergeCell ref="AH9:AH10"/>
    <mergeCell ref="AH11:AH12"/>
    <mergeCell ref="AH13:AH14"/>
    <mergeCell ref="AH15:AH16"/>
    <mergeCell ref="AH17:AH18"/>
    <mergeCell ref="AH19:AH20"/>
    <mergeCell ref="AH21:AH22"/>
    <mergeCell ref="AH23:AH24"/>
    <mergeCell ref="AH25:AH26"/>
    <mergeCell ref="AH27:AH28"/>
    <mergeCell ref="AH29:AH30"/>
    <mergeCell ref="AH31:AH32"/>
    <mergeCell ref="AH33:AH34"/>
    <mergeCell ref="AH35:AH36"/>
    <mergeCell ref="AH37:AH38"/>
    <mergeCell ref="AH39:AH40"/>
    <mergeCell ref="AH41:AH42"/>
    <mergeCell ref="AH43:AH44"/>
    <mergeCell ref="AH45:AH46"/>
    <mergeCell ref="AH47:AH48"/>
    <mergeCell ref="AH49:AH50"/>
    <mergeCell ref="AH51:AH52"/>
    <mergeCell ref="AH53:AH54"/>
    <mergeCell ref="AH55:AH56"/>
    <mergeCell ref="AH57:AH58"/>
    <mergeCell ref="AH59:AH60"/>
    <mergeCell ref="AH61:AH62"/>
    <mergeCell ref="AH63:AH64"/>
    <mergeCell ref="AI9:AI10"/>
    <mergeCell ref="AI11:AI12"/>
    <mergeCell ref="AI13:AI14"/>
    <mergeCell ref="AI15:AI16"/>
    <mergeCell ref="AI17:AI18"/>
    <mergeCell ref="AI19:AI20"/>
    <mergeCell ref="AI21:AI22"/>
    <mergeCell ref="AI23:AI24"/>
    <mergeCell ref="AI25:AI26"/>
    <mergeCell ref="AI27:AI28"/>
    <mergeCell ref="AI29:AI30"/>
    <mergeCell ref="AI31:AI32"/>
    <mergeCell ref="AI33:AI34"/>
    <mergeCell ref="AI35:AI36"/>
    <mergeCell ref="AI37:AI38"/>
    <mergeCell ref="AI39:AI40"/>
    <mergeCell ref="AI41:AI42"/>
    <mergeCell ref="AH67:AH68"/>
    <mergeCell ref="AI43:AI44"/>
    <mergeCell ref="AI45:AI46"/>
    <mergeCell ref="AI47:AI48"/>
    <mergeCell ref="AI49:AI50"/>
    <mergeCell ref="AI51:AI52"/>
    <mergeCell ref="AI53:AI54"/>
    <mergeCell ref="AI55:AI56"/>
    <mergeCell ref="AI57:AI58"/>
    <mergeCell ref="AI59:AI60"/>
    <mergeCell ref="AI61:AI62"/>
    <mergeCell ref="AI63:AI64"/>
    <mergeCell ref="AI65:AI66"/>
    <mergeCell ref="AI67:AI68"/>
    <mergeCell ref="AK43:AK44"/>
    <mergeCell ref="AK45:AK46"/>
    <mergeCell ref="AK47:AK48"/>
    <mergeCell ref="AK49:AK50"/>
    <mergeCell ref="AK51:AK52"/>
    <mergeCell ref="AK53:AK54"/>
    <mergeCell ref="AK55:AK56"/>
    <mergeCell ref="AK57:AK58"/>
    <mergeCell ref="AK59:AK60"/>
    <mergeCell ref="AK61:AK62"/>
    <mergeCell ref="AK63:AK64"/>
    <mergeCell ref="AK65:AK66"/>
    <mergeCell ref="AK67:AK68"/>
    <mergeCell ref="AL17:AL18"/>
    <mergeCell ref="AL19:AL20"/>
    <mergeCell ref="AL21:AL22"/>
    <mergeCell ref="AL23:AL24"/>
    <mergeCell ref="AL25:AL26"/>
    <mergeCell ref="AL27:AL28"/>
    <mergeCell ref="AL29:AL30"/>
    <mergeCell ref="AL31:AL32"/>
    <mergeCell ref="AL33:AL34"/>
    <mergeCell ref="AL35:AL36"/>
    <mergeCell ref="AL37:AL38"/>
    <mergeCell ref="AL39:AL40"/>
    <mergeCell ref="AL41:AL42"/>
    <mergeCell ref="AK37:AK38"/>
    <mergeCell ref="AK39:AK40"/>
    <mergeCell ref="AK41:AK42"/>
    <mergeCell ref="AH65:AH66"/>
    <mergeCell ref="AL63:AL64"/>
    <mergeCell ref="AL65:AL66"/>
    <mergeCell ref="AK9:AK10"/>
    <mergeCell ref="AK11:AK12"/>
    <mergeCell ref="AK13:AK14"/>
    <mergeCell ref="AK15:AK16"/>
    <mergeCell ref="AK17:AK18"/>
    <mergeCell ref="AK19:AK20"/>
    <mergeCell ref="AK21:AK22"/>
    <mergeCell ref="AK23:AK24"/>
    <mergeCell ref="AK25:AK26"/>
    <mergeCell ref="AK27:AK28"/>
    <mergeCell ref="AK29:AK30"/>
    <mergeCell ref="AK31:AK32"/>
    <mergeCell ref="AK33:AK34"/>
    <mergeCell ref="AK35:AK36"/>
    <mergeCell ref="AM9:AM10"/>
    <mergeCell ref="AM11:AM12"/>
    <mergeCell ref="AM13:AM14"/>
    <mergeCell ref="AM15:AM16"/>
    <mergeCell ref="AM17:AM18"/>
    <mergeCell ref="AM19:AM20"/>
    <mergeCell ref="AM21:AM22"/>
    <mergeCell ref="AM23:AM24"/>
    <mergeCell ref="AM25:AM26"/>
    <mergeCell ref="AM27:AM28"/>
    <mergeCell ref="AM33:AM34"/>
    <mergeCell ref="AM35:AM36"/>
    <mergeCell ref="AL9:AL10"/>
    <mergeCell ref="AL11:AL12"/>
    <mergeCell ref="AL13:AL14"/>
    <mergeCell ref="AL15:AL16"/>
    <mergeCell ref="AM29:AM30"/>
    <mergeCell ref="AM31:AM32"/>
    <mergeCell ref="AM37:AM38"/>
    <mergeCell ref="AM39:AM40"/>
    <mergeCell ref="AM41:AM42"/>
    <mergeCell ref="AN43:AN44"/>
    <mergeCell ref="AN45:AN46"/>
    <mergeCell ref="AN47:AN48"/>
    <mergeCell ref="AN49:AN50"/>
    <mergeCell ref="AL43:AL44"/>
    <mergeCell ref="AL45:AL46"/>
    <mergeCell ref="AL47:AL48"/>
    <mergeCell ref="AL49:AL50"/>
    <mergeCell ref="AL51:AL52"/>
    <mergeCell ref="AL53:AL54"/>
    <mergeCell ref="AL55:AL56"/>
    <mergeCell ref="AL57:AL58"/>
    <mergeCell ref="AL59:AL60"/>
    <mergeCell ref="AL61:AL62"/>
    <mergeCell ref="AL67:AL68"/>
    <mergeCell ref="AM43:AM44"/>
    <mergeCell ref="AM45:AM46"/>
    <mergeCell ref="AO47:AO48"/>
    <mergeCell ref="AO49:AO50"/>
    <mergeCell ref="AO51:AO52"/>
    <mergeCell ref="AO53:AO54"/>
    <mergeCell ref="AM47:AM48"/>
    <mergeCell ref="AM49:AM50"/>
    <mergeCell ref="AM51:AM52"/>
    <mergeCell ref="AM53:AM54"/>
    <mergeCell ref="AM55:AM56"/>
    <mergeCell ref="AM57:AM58"/>
    <mergeCell ref="AM59:AM60"/>
    <mergeCell ref="AM61:AM62"/>
    <mergeCell ref="AM63:AM64"/>
    <mergeCell ref="AM65:AM66"/>
    <mergeCell ref="AM67:AM68"/>
    <mergeCell ref="AN9:AN10"/>
    <mergeCell ref="AN11:AN12"/>
    <mergeCell ref="AN13:AN14"/>
    <mergeCell ref="AN15:AN16"/>
    <mergeCell ref="AN17:AN18"/>
    <mergeCell ref="AN19:AN20"/>
    <mergeCell ref="AN21:AN22"/>
    <mergeCell ref="AN23:AN24"/>
    <mergeCell ref="AN25:AN26"/>
    <mergeCell ref="AN27:AN28"/>
    <mergeCell ref="AN29:AN30"/>
    <mergeCell ref="AN31:AN32"/>
    <mergeCell ref="AN33:AN34"/>
    <mergeCell ref="AN35:AN36"/>
    <mergeCell ref="AN37:AN38"/>
    <mergeCell ref="AN39:AN40"/>
    <mergeCell ref="AN41:AN42"/>
    <mergeCell ref="AP51:AP52"/>
    <mergeCell ref="AP53:AP54"/>
    <mergeCell ref="AP55:AP56"/>
    <mergeCell ref="AP57:AP58"/>
    <mergeCell ref="AN51:AN52"/>
    <mergeCell ref="AN53:AN54"/>
    <mergeCell ref="AN55:AN56"/>
    <mergeCell ref="AN57:AN58"/>
    <mergeCell ref="AN59:AN60"/>
    <mergeCell ref="AN61:AN62"/>
    <mergeCell ref="AN63:AN64"/>
    <mergeCell ref="AN65:AN66"/>
    <mergeCell ref="AN67:AN68"/>
    <mergeCell ref="AO9:AO10"/>
    <mergeCell ref="AO11:AO12"/>
    <mergeCell ref="AO13:AO14"/>
    <mergeCell ref="AO15:AO16"/>
    <mergeCell ref="AO17:AO18"/>
    <mergeCell ref="AO19:AO20"/>
    <mergeCell ref="AO21:AO22"/>
    <mergeCell ref="AO23:AO24"/>
    <mergeCell ref="AO25:AO26"/>
    <mergeCell ref="AO27:AO28"/>
    <mergeCell ref="AO29:AO30"/>
    <mergeCell ref="AO31:AO32"/>
    <mergeCell ref="AO33:AO34"/>
    <mergeCell ref="AO35:AO36"/>
    <mergeCell ref="AO37:AO38"/>
    <mergeCell ref="AO39:AO40"/>
    <mergeCell ref="AO41:AO42"/>
    <mergeCell ref="AO43:AO44"/>
    <mergeCell ref="AO45:AO46"/>
    <mergeCell ref="AZ37:AZ38"/>
    <mergeCell ref="AZ39:AZ40"/>
    <mergeCell ref="AZ41:AZ42"/>
    <mergeCell ref="AZ67:AZ68"/>
    <mergeCell ref="AO55:AO56"/>
    <mergeCell ref="AO57:AO58"/>
    <mergeCell ref="AO59:AO60"/>
    <mergeCell ref="AO61:AO62"/>
    <mergeCell ref="AO63:AO64"/>
    <mergeCell ref="AO65:AO66"/>
    <mergeCell ref="AO67:AO68"/>
    <mergeCell ref="AP9:AP10"/>
    <mergeCell ref="AP11:AP12"/>
    <mergeCell ref="AP13:AP14"/>
    <mergeCell ref="AP15:AP16"/>
    <mergeCell ref="AP17:AP18"/>
    <mergeCell ref="AP19:AP20"/>
    <mergeCell ref="AP21:AP22"/>
    <mergeCell ref="AP23:AP24"/>
    <mergeCell ref="AP25:AP26"/>
    <mergeCell ref="AP27:AP28"/>
    <mergeCell ref="AP29:AP30"/>
    <mergeCell ref="AP31:AP32"/>
    <mergeCell ref="AP33:AP34"/>
    <mergeCell ref="AP35:AP36"/>
    <mergeCell ref="AP37:AP38"/>
    <mergeCell ref="AP39:AP40"/>
    <mergeCell ref="AP41:AP42"/>
    <mergeCell ref="AP43:AP44"/>
    <mergeCell ref="AP45:AP46"/>
    <mergeCell ref="AP47:AP48"/>
    <mergeCell ref="AP49:AP50"/>
    <mergeCell ref="A1:G2"/>
    <mergeCell ref="AZ55:AZ56"/>
    <mergeCell ref="AZ57:AZ58"/>
    <mergeCell ref="AZ59:AZ60"/>
    <mergeCell ref="AZ61:AZ62"/>
    <mergeCell ref="AZ63:AZ64"/>
    <mergeCell ref="AZ65:AZ66"/>
    <mergeCell ref="AZ43:AZ44"/>
    <mergeCell ref="AZ45:AZ46"/>
    <mergeCell ref="AP59:AP60"/>
    <mergeCell ref="AP61:AP62"/>
    <mergeCell ref="AP63:AP64"/>
    <mergeCell ref="AP65:AP66"/>
    <mergeCell ref="AP67:AP68"/>
    <mergeCell ref="AZ9:AZ10"/>
    <mergeCell ref="AZ11:AZ12"/>
    <mergeCell ref="AZ13:AZ14"/>
    <mergeCell ref="AZ15:AZ16"/>
    <mergeCell ref="AZ17:AZ18"/>
    <mergeCell ref="AZ19:AZ20"/>
    <mergeCell ref="AZ21:AZ22"/>
    <mergeCell ref="AZ23:AZ24"/>
    <mergeCell ref="AZ25:AZ26"/>
    <mergeCell ref="AZ27:AZ28"/>
    <mergeCell ref="AZ29:AZ30"/>
    <mergeCell ref="AZ47:AZ48"/>
    <mergeCell ref="AZ49:AZ50"/>
    <mergeCell ref="AZ51:AZ52"/>
    <mergeCell ref="AZ53:AZ54"/>
    <mergeCell ref="AZ31:AZ32"/>
    <mergeCell ref="AZ33:AZ34"/>
    <mergeCell ref="AZ35:AZ36"/>
  </mergeCells>
  <conditionalFormatting sqref="A9 A13 A17 A21 A25 A29 A33 A37 A11 A15 A19 A23 A27 A31 A35">
    <cfRule type="expression" dxfId="374" priority="13451">
      <formula>#REF!="[Record ID]"</formula>
    </cfRule>
  </conditionalFormatting>
  <conditionalFormatting sqref="A9 A13 A17 A21 A25 A29 A33 A37">
    <cfRule type="expression" dxfId="373" priority="1209">
      <formula>#REF!="Yes"</formula>
    </cfRule>
  </conditionalFormatting>
  <conditionalFormatting sqref="A11 A15 A19 A23 A27 A31 A35">
    <cfRule type="expression" dxfId="372" priority="1053">
      <formula>#REF!="Yes"</formula>
    </cfRule>
  </conditionalFormatting>
  <conditionalFormatting sqref="A39">
    <cfRule type="expression" dxfId="371" priority="638">
      <formula>#REF!="[Record ID]"</formula>
    </cfRule>
    <cfRule type="expression" dxfId="370" priority="636">
      <formula>#REF!="Yes"</formula>
    </cfRule>
  </conditionalFormatting>
  <conditionalFormatting sqref="A41">
    <cfRule type="expression" dxfId="369" priority="600">
      <formula>#REF!="[Record ID]"</formula>
    </cfRule>
    <cfRule type="expression" dxfId="368" priority="598">
      <formula>#REF!="Yes"</formula>
    </cfRule>
  </conditionalFormatting>
  <conditionalFormatting sqref="A43">
    <cfRule type="expression" dxfId="367" priority="562">
      <formula>#REF!="[Record ID]"</formula>
    </cfRule>
    <cfRule type="expression" dxfId="366" priority="560">
      <formula>#REF!="Yes"</formula>
    </cfRule>
  </conditionalFormatting>
  <conditionalFormatting sqref="A45">
    <cfRule type="expression" dxfId="365" priority="524">
      <formula>#REF!="[Record ID]"</formula>
    </cfRule>
    <cfRule type="expression" dxfId="364" priority="522">
      <formula>#REF!="Yes"</formula>
    </cfRule>
  </conditionalFormatting>
  <conditionalFormatting sqref="A47">
    <cfRule type="expression" dxfId="363" priority="486">
      <formula>#REF!="[Record ID]"</formula>
    </cfRule>
    <cfRule type="expression" dxfId="362" priority="484">
      <formula>#REF!="Yes"</formula>
    </cfRule>
  </conditionalFormatting>
  <conditionalFormatting sqref="A49">
    <cfRule type="expression" dxfId="361" priority="448">
      <formula>#REF!="[Record ID]"</formula>
    </cfRule>
    <cfRule type="expression" dxfId="360" priority="446">
      <formula>#REF!="Yes"</formula>
    </cfRule>
  </conditionalFormatting>
  <conditionalFormatting sqref="A51">
    <cfRule type="expression" dxfId="359" priority="410">
      <formula>#REF!="[Record ID]"</formula>
    </cfRule>
    <cfRule type="expression" dxfId="358" priority="408">
      <formula>#REF!="Yes"</formula>
    </cfRule>
  </conditionalFormatting>
  <conditionalFormatting sqref="A53">
    <cfRule type="expression" dxfId="357" priority="372">
      <formula>#REF!="[Record ID]"</formula>
    </cfRule>
    <cfRule type="expression" dxfId="356" priority="370">
      <formula>#REF!="Yes"</formula>
    </cfRule>
  </conditionalFormatting>
  <conditionalFormatting sqref="A55">
    <cfRule type="expression" dxfId="355" priority="334">
      <formula>#REF!="[Record ID]"</formula>
    </cfRule>
    <cfRule type="expression" dxfId="354" priority="332">
      <formula>#REF!="Yes"</formula>
    </cfRule>
  </conditionalFormatting>
  <conditionalFormatting sqref="A57">
    <cfRule type="expression" dxfId="353" priority="296">
      <formula>#REF!="[Record ID]"</formula>
    </cfRule>
    <cfRule type="expression" dxfId="352" priority="294">
      <formula>#REF!="Yes"</formula>
    </cfRule>
  </conditionalFormatting>
  <conditionalFormatting sqref="A59">
    <cfRule type="expression" dxfId="351" priority="258">
      <formula>#REF!="[Record ID]"</formula>
    </cfRule>
    <cfRule type="expression" dxfId="350" priority="256">
      <formula>#REF!="Yes"</formula>
    </cfRule>
  </conditionalFormatting>
  <conditionalFormatting sqref="A61">
    <cfRule type="expression" dxfId="349" priority="220">
      <formula>#REF!="[Record ID]"</formula>
    </cfRule>
    <cfRule type="expression" dxfId="348" priority="218">
      <formula>#REF!="Yes"</formula>
    </cfRule>
  </conditionalFormatting>
  <conditionalFormatting sqref="A63">
    <cfRule type="expression" dxfId="347" priority="182">
      <formula>#REF!="[Record ID]"</formula>
    </cfRule>
    <cfRule type="expression" dxfId="346" priority="180">
      <formula>#REF!="Yes"</formula>
    </cfRule>
  </conditionalFormatting>
  <conditionalFormatting sqref="A65">
    <cfRule type="expression" dxfId="345" priority="142">
      <formula>#REF!="Yes"</formula>
    </cfRule>
    <cfRule type="expression" dxfId="344" priority="144">
      <formula>#REF!="[Record ID]"</formula>
    </cfRule>
  </conditionalFormatting>
  <conditionalFormatting sqref="A67">
    <cfRule type="expression" dxfId="343" priority="81">
      <formula>#REF!="[Record ID]"</formula>
    </cfRule>
    <cfRule type="expression" dxfId="342" priority="79">
      <formula>#REF!="Yes"</formula>
    </cfRule>
  </conditionalFormatting>
  <conditionalFormatting sqref="C9:C22">
    <cfRule type="expression" dxfId="341" priority="1">
      <formula>AND(OR($D9&lt;&gt;"",$E9&lt;&gt;""),$C9="")</formula>
    </cfRule>
  </conditionalFormatting>
  <conditionalFormatting sqref="C23:C32">
    <cfRule type="expression" dxfId="340" priority="34">
      <formula>AND(OR($D23&lt;&gt;"",$E23&lt;&gt;""),$C23="")</formula>
    </cfRule>
  </conditionalFormatting>
  <conditionalFormatting sqref="C33:C68">
    <cfRule type="expression" dxfId="339" priority="44">
      <formula>AND(OR($D33&lt;&gt;"",$E33&lt;&gt;""),$C33="")</formula>
    </cfRule>
  </conditionalFormatting>
  <conditionalFormatting sqref="D9:E22">
    <cfRule type="expression" dxfId="338" priority="8">
      <formula>AND($D9&lt;&gt;"",$E9&lt;&gt;"")</formula>
    </cfRule>
  </conditionalFormatting>
  <conditionalFormatting sqref="D23:E32">
    <cfRule type="expression" dxfId="337" priority="33">
      <formula>AND($D23&lt;&gt;"",$E23&lt;&gt;"")</formula>
    </cfRule>
  </conditionalFormatting>
  <conditionalFormatting sqref="D33:E68">
    <cfRule type="expression" dxfId="336" priority="78">
      <formula>AND($D33&lt;&gt;"",$E33&lt;&gt;"")</formula>
    </cfRule>
  </conditionalFormatting>
  <conditionalFormatting sqref="M10 M12 M14 M16 M18 M20 M22 M24 M26 M28 M30 M32 M34 M36 M38">
    <cfRule type="expression" dxfId="335" priority="13450">
      <formula>AND($M10="",$B9&lt;&gt;"")</formula>
    </cfRule>
  </conditionalFormatting>
  <conditionalFormatting sqref="M40">
    <cfRule type="expression" dxfId="334" priority="637">
      <formula>AND($M40="",$B39&lt;&gt;"")</formula>
    </cfRule>
  </conditionalFormatting>
  <conditionalFormatting sqref="M42">
    <cfRule type="expression" dxfId="333" priority="599">
      <formula>AND($M42="",$B41&lt;&gt;"")</formula>
    </cfRule>
  </conditionalFormatting>
  <conditionalFormatting sqref="M44">
    <cfRule type="expression" dxfId="332" priority="561">
      <formula>AND($M44="",$B43&lt;&gt;"")</formula>
    </cfRule>
  </conditionalFormatting>
  <conditionalFormatting sqref="M46">
    <cfRule type="expression" dxfId="331" priority="523">
      <formula>AND($M46="",$B45&lt;&gt;"")</formula>
    </cfRule>
  </conditionalFormatting>
  <conditionalFormatting sqref="M48">
    <cfRule type="expression" dxfId="330" priority="485">
      <formula>AND($M48="",$B47&lt;&gt;"")</formula>
    </cfRule>
  </conditionalFormatting>
  <conditionalFormatting sqref="M50">
    <cfRule type="expression" dxfId="329" priority="447">
      <formula>AND($M50="",$B49&lt;&gt;"")</formula>
    </cfRule>
  </conditionalFormatting>
  <conditionalFormatting sqref="M52">
    <cfRule type="expression" dxfId="328" priority="409">
      <formula>AND($M52="",$B51&lt;&gt;"")</formula>
    </cfRule>
  </conditionalFormatting>
  <conditionalFormatting sqref="M54">
    <cfRule type="expression" dxfId="327" priority="371">
      <formula>AND($M54="",$B53&lt;&gt;"")</formula>
    </cfRule>
  </conditionalFormatting>
  <conditionalFormatting sqref="M56">
    <cfRule type="expression" dxfId="326" priority="333">
      <formula>AND($M56="",$B55&lt;&gt;"")</formula>
    </cfRule>
  </conditionalFormatting>
  <conditionalFormatting sqref="M58">
    <cfRule type="expression" dxfId="325" priority="295">
      <formula>AND($M58="",$B57&lt;&gt;"")</formula>
    </cfRule>
  </conditionalFormatting>
  <conditionalFormatting sqref="M60">
    <cfRule type="expression" dxfId="324" priority="257">
      <formula>AND($M60="",$B59&lt;&gt;"")</formula>
    </cfRule>
  </conditionalFormatting>
  <conditionalFormatting sqref="M62">
    <cfRule type="expression" dxfId="323" priority="219">
      <formula>AND($M62="",$B61&lt;&gt;"")</formula>
    </cfRule>
  </conditionalFormatting>
  <conditionalFormatting sqref="M64">
    <cfRule type="expression" dxfId="322" priority="181">
      <formula>AND($M64="",$B63&lt;&gt;"")</formula>
    </cfRule>
  </conditionalFormatting>
  <conditionalFormatting sqref="M66">
    <cfRule type="expression" dxfId="321" priority="143">
      <formula>AND($M66="",$B65&lt;&gt;"")</formula>
    </cfRule>
  </conditionalFormatting>
  <conditionalFormatting sqref="M68">
    <cfRule type="expression" dxfId="320" priority="80">
      <formula>AND($M68="",$B67&lt;&gt;"")</formula>
    </cfRule>
  </conditionalFormatting>
  <conditionalFormatting sqref="O9 O11 O13 O15 O17 O19 O21">
    <cfRule type="expression" dxfId="319" priority="1078">
      <formula>AND(OR($O9&lt;&gt;"",$O10&lt;&gt;"",$P9&lt;&gt;""),$Q9="TBD")</formula>
    </cfRule>
  </conditionalFormatting>
  <conditionalFormatting sqref="O10 O12 O14 O16 O18 O20 O22 O34 O36 O38 O40 O42 O44 O46 O48 O50 O52 O54 O56 O58 O60 O62 O64 O66">
    <cfRule type="expression" dxfId="318" priority="1062">
      <formula>AND(OR($O9&lt;&gt;"",$O10&lt;&gt;"",$P9&lt;&gt;""),$Q9="TBD")</formula>
    </cfRule>
  </conditionalFormatting>
  <conditionalFormatting sqref="O23 O25 O27 O29 O31">
    <cfRule type="expression" dxfId="317" priority="31">
      <formula>AND(OR($O23&lt;&gt;"",$O24&lt;&gt;"",$P23&lt;&gt;""),$Q23="TBD")</formula>
    </cfRule>
  </conditionalFormatting>
  <conditionalFormatting sqref="O24 O26 O28 O30 O32">
    <cfRule type="expression" dxfId="316" priority="16">
      <formula>AND(OR($O23&lt;&gt;"",$O24&lt;&gt;"",$P23&lt;&gt;""),$Q23="TBD")</formula>
    </cfRule>
  </conditionalFormatting>
  <conditionalFormatting sqref="O68">
    <cfRule type="expression" dxfId="315" priority="89">
      <formula>AND(OR($O67&lt;&gt;"",$O68&lt;&gt;"",$P67&lt;&gt;""),$Q67="TBD")</formula>
    </cfRule>
  </conditionalFormatting>
  <conditionalFormatting sqref="O9:Q22">
    <cfRule type="expression" dxfId="314" priority="1079">
      <formula>AND(OR($O9&lt;&gt;"",$O10&lt;&gt;"",$P9&lt;&gt;""),$Q9="TBD")</formula>
    </cfRule>
  </conditionalFormatting>
  <conditionalFormatting sqref="O23:Q32">
    <cfRule type="expression" dxfId="313" priority="32">
      <formula>AND(OR($O23&lt;&gt;"",$O24&lt;&gt;"",$P23&lt;&gt;""),$Q23="TBD")</formula>
    </cfRule>
  </conditionalFormatting>
  <conditionalFormatting sqref="O33:Q68">
    <cfRule type="expression" dxfId="312" priority="77">
      <formula>AND(OR($O33&lt;&gt;"",$O34&lt;&gt;"",$P33&lt;&gt;""),$Q33="TBD")</formula>
    </cfRule>
  </conditionalFormatting>
  <conditionalFormatting sqref="R9 R11 R13 R15 R17 R19 R33 R35 R37 R39 R41 R43 R45 R47 R49 R51 R53 R55 R57 R59 R61 R63 R65">
    <cfRule type="expression" dxfId="311" priority="1076">
      <formula>AND(OR($O9&lt;&gt;"",$O10&lt;&gt;"",$P9&lt;&gt;""),$Q9="TBD")</formula>
    </cfRule>
  </conditionalFormatting>
  <conditionalFormatting sqref="R10 R12 R14 R16 R18 R20 R34 R36 R38 R40 R42 R44 R46 R48 R50 R52 R54 R56 R58 R60 R62 R64 R66">
    <cfRule type="expression" dxfId="310" priority="1061">
      <formula>AND(OR($R9&lt;&gt;"",$R10&lt;&gt;"",$S9&lt;&gt;""),$T9="TBD")</formula>
    </cfRule>
  </conditionalFormatting>
  <conditionalFormatting sqref="R21:R22">
    <cfRule type="expression" dxfId="309" priority="43">
      <formula>AND(OR($O21&lt;&gt;"",$O22&lt;&gt;"",$P21&lt;&gt;""),$Q21="TBD")</formula>
    </cfRule>
  </conditionalFormatting>
  <conditionalFormatting sqref="R22">
    <cfRule type="expression" dxfId="308" priority="42">
      <formula>AND(OR($O21&lt;&gt;"",$O22&lt;&gt;"",$P21&lt;&gt;""),$Q21="TBD")</formula>
    </cfRule>
  </conditionalFormatting>
  <conditionalFormatting sqref="R23 R25 R27 R29 R31">
    <cfRule type="expression" dxfId="307" priority="29">
      <formula>AND(OR($O23&lt;&gt;"",$O24&lt;&gt;"",$P23&lt;&gt;""),$Q23="TBD")</formula>
    </cfRule>
  </conditionalFormatting>
  <conditionalFormatting sqref="R24 R26 R28 R30 R32">
    <cfRule type="expression" dxfId="306" priority="15">
      <formula>AND(OR($R23&lt;&gt;"",$R24&lt;&gt;"",$S23&lt;&gt;""),$T23="TBD")</formula>
    </cfRule>
  </conditionalFormatting>
  <conditionalFormatting sqref="R67">
    <cfRule type="expression" dxfId="305" priority="102">
      <formula>AND(OR($O67&lt;&gt;"",$O68&lt;&gt;"",$P67&lt;&gt;""),$Q67="TBD")</formula>
    </cfRule>
  </conditionalFormatting>
  <conditionalFormatting sqref="R68">
    <cfRule type="expression" dxfId="304" priority="88">
      <formula>AND(OR($R67&lt;&gt;"",$R68&lt;&gt;"",$S67&lt;&gt;""),$T67="TBD")</formula>
    </cfRule>
  </conditionalFormatting>
  <conditionalFormatting sqref="R9:T10 R11:R21 S11:T22">
    <cfRule type="expression" dxfId="303" priority="1077">
      <formula>AND(OR($R9&lt;&gt;"",$R10&lt;&gt;"",$S9&lt;&gt;""),$T9="TBD")</formula>
    </cfRule>
  </conditionalFormatting>
  <conditionalFormatting sqref="R23:T32">
    <cfRule type="expression" dxfId="302" priority="30">
      <formula>AND(OR($R23&lt;&gt;"",$R24&lt;&gt;"",$S23&lt;&gt;""),$T23="TBD")</formula>
    </cfRule>
  </conditionalFormatting>
  <conditionalFormatting sqref="R33:T68">
    <cfRule type="expression" dxfId="301" priority="76">
      <formula>AND(OR($R33&lt;&gt;"",$R34&lt;&gt;"",$S33&lt;&gt;""),$T33="TBD")</formula>
    </cfRule>
  </conditionalFormatting>
  <conditionalFormatting sqref="U9 U11 U13 U15 U17 U19 U33 U35 U37 U39 U41 U43 U45 U47 U49 U51 U53 U55 U57 U59 U61 U63 U65">
    <cfRule type="expression" dxfId="300" priority="1074">
      <formula>AND(OR($O9&lt;&gt;"",$O10&lt;&gt;"",$P9&lt;&gt;""),$Q9="TBD")</formula>
    </cfRule>
  </conditionalFormatting>
  <conditionalFormatting sqref="U10 U12 U14 U16 U18 U20 U34 U36 U38 U40 U42 U44 U46 U48 U50 U52 U54 U56 U58 U60 U62 U64 U66">
    <cfRule type="expression" dxfId="299" priority="1060">
      <formula>AND(OR($U9&lt;&gt;"",$U10&lt;&gt;"",$V9&lt;&gt;""),$W9="TBD")</formula>
    </cfRule>
  </conditionalFormatting>
  <conditionalFormatting sqref="U21:U22">
    <cfRule type="expression" dxfId="298" priority="41">
      <formula>AND(OR($O21&lt;&gt;"",$O22&lt;&gt;"",$P21&lt;&gt;""),$Q21="TBD")</formula>
    </cfRule>
  </conditionalFormatting>
  <conditionalFormatting sqref="U22">
    <cfRule type="expression" dxfId="297" priority="40">
      <formula>AND(OR($O21&lt;&gt;"",$O22&lt;&gt;"",$P21&lt;&gt;""),$Q21="TBD")</formula>
    </cfRule>
  </conditionalFormatting>
  <conditionalFormatting sqref="U23 U25 U27 U29 U31">
    <cfRule type="expression" dxfId="296" priority="27">
      <formula>AND(OR($O23&lt;&gt;"",$O24&lt;&gt;"",$P23&lt;&gt;""),$Q23="TBD")</formula>
    </cfRule>
  </conditionalFormatting>
  <conditionalFormatting sqref="U24 U26 U28 U30 U32">
    <cfRule type="expression" dxfId="295" priority="14">
      <formula>AND(OR($U23&lt;&gt;"",$U24&lt;&gt;"",$V23&lt;&gt;""),$W23="TBD")</formula>
    </cfRule>
  </conditionalFormatting>
  <conditionalFormatting sqref="U67">
    <cfRule type="expression" dxfId="294" priority="100">
      <formula>AND(OR($O67&lt;&gt;"",$O68&lt;&gt;"",$P67&lt;&gt;""),$Q67="TBD")</formula>
    </cfRule>
  </conditionalFormatting>
  <conditionalFormatting sqref="U68">
    <cfRule type="expression" dxfId="293" priority="87">
      <formula>AND(OR($U67&lt;&gt;"",$U68&lt;&gt;"",$V67&lt;&gt;""),$W67="TBD")</formula>
    </cfRule>
  </conditionalFormatting>
  <conditionalFormatting sqref="U9:W10 U11:U21 V11:W22">
    <cfRule type="expression" dxfId="292" priority="1075">
      <formula>AND(OR($U9&lt;&gt;"",$U10&lt;&gt;"",$V9&lt;&gt;""),$W9="TBD")</formula>
    </cfRule>
  </conditionalFormatting>
  <conditionalFormatting sqref="U23:W32">
    <cfRule type="expression" dxfId="291" priority="28">
      <formula>AND(OR($U23&lt;&gt;"",$U24&lt;&gt;"",$V23&lt;&gt;""),$W23="TBD")</formula>
    </cfRule>
  </conditionalFormatting>
  <conditionalFormatting sqref="U33:W68">
    <cfRule type="expression" dxfId="290" priority="75">
      <formula>AND(OR($U33&lt;&gt;"",$U34&lt;&gt;"",$V33&lt;&gt;""),$W33="TBD")</formula>
    </cfRule>
  </conditionalFormatting>
  <conditionalFormatting sqref="X9 X11 X13 X15 X17 X19 X21 X33 X35 X37 X39 X41 X43 X45 X47 X49 X51 X53 X55 X57 X59 X61 X63 X65">
    <cfRule type="expression" dxfId="289" priority="1072">
      <formula>AND(OR($O9&lt;&gt;"",$O10&lt;&gt;"",$P9&lt;&gt;""),$Q9="TBD")</formula>
    </cfRule>
  </conditionalFormatting>
  <conditionalFormatting sqref="X10 X12 X14 X16 X18 X20 X22 X34 X36 X38 X40 X42 X44 X46 X48 X50 X52 X54 X56 X58 X60 X62 X64 X66">
    <cfRule type="expression" dxfId="288" priority="1059">
      <formula>AND(OR($X9&lt;&gt;"",$X10&lt;&gt;"",$Y9&lt;&gt;""),$Z9="TBD")</formula>
    </cfRule>
  </conditionalFormatting>
  <conditionalFormatting sqref="X23 X25 X27 X29 X31">
    <cfRule type="expression" dxfId="287" priority="25">
      <formula>AND(OR($O23&lt;&gt;"",$O24&lt;&gt;"",$P23&lt;&gt;""),$Q23="TBD")</formula>
    </cfRule>
  </conditionalFormatting>
  <conditionalFormatting sqref="X24 X26 X28 X30 X32">
    <cfRule type="expression" dxfId="286" priority="13">
      <formula>AND(OR($X23&lt;&gt;"",$X24&lt;&gt;"",$Y23&lt;&gt;""),$Z23="TBD")</formula>
    </cfRule>
  </conditionalFormatting>
  <conditionalFormatting sqref="X67">
    <cfRule type="expression" dxfId="285" priority="98">
      <formula>AND(OR($O67&lt;&gt;"",$O68&lt;&gt;"",$P67&lt;&gt;""),$Q67="TBD")</formula>
    </cfRule>
  </conditionalFormatting>
  <conditionalFormatting sqref="X68">
    <cfRule type="expression" dxfId="284" priority="86">
      <formula>AND(OR($X67&lt;&gt;"",$X68&lt;&gt;"",$Y67&lt;&gt;""),$Z67="TBD")</formula>
    </cfRule>
  </conditionalFormatting>
  <conditionalFormatting sqref="X9:Z22">
    <cfRule type="expression" dxfId="283" priority="1073">
      <formula>AND(OR($X9&lt;&gt;"",$X10&lt;&gt;"",$Y9&lt;&gt;""),$Z9="TBD")</formula>
    </cfRule>
  </conditionalFormatting>
  <conditionalFormatting sqref="X23:Z32">
    <cfRule type="expression" dxfId="282" priority="26">
      <formula>AND(OR($X23&lt;&gt;"",$X24&lt;&gt;"",$Y23&lt;&gt;""),$Z23="TBD")</formula>
    </cfRule>
  </conditionalFormatting>
  <conditionalFormatting sqref="X33:Z68">
    <cfRule type="expression" dxfId="281" priority="99">
      <formula>AND(OR($X33&lt;&gt;"",$X34&lt;&gt;"",$Y33&lt;&gt;""),$Z33="TBD")</formula>
    </cfRule>
  </conditionalFormatting>
  <conditionalFormatting sqref="AA9 AA11 AA13 AA15 AA17 AA19 AA21 AA33 AA35 AA37 AA39 AA41 AA43 AA45 AA47 AA49 AA51 AA53 AA55 AA57 AA59 AA61 AA63 AA65">
    <cfRule type="expression" dxfId="280" priority="1070">
      <formula>AND(OR($O9&lt;&gt;"",$O10&lt;&gt;"",$P9&lt;&gt;""),$Q9="TBD")</formula>
    </cfRule>
  </conditionalFormatting>
  <conditionalFormatting sqref="AA10 AA12 AA14 AA16 AA18 AA20 AA22 AA34 AA36 AA38 AA40 AA42 AA44 AA46 AA48 AA50 AA52 AA54 AA56 AA58 AA60 AA62 AA64 AA66">
    <cfRule type="expression" dxfId="279" priority="1058">
      <formula>AND(OR($AA9&lt;&gt;"",$AA10&lt;&gt;"",$AB9&lt;&gt;""),$AC9="TBD")</formula>
    </cfRule>
  </conditionalFormatting>
  <conditionalFormatting sqref="AA23 AA25 AA27 AA29 AA31">
    <cfRule type="expression" dxfId="278" priority="23">
      <formula>AND(OR($O23&lt;&gt;"",$O24&lt;&gt;"",$P23&lt;&gt;""),$Q23="TBD")</formula>
    </cfRule>
  </conditionalFormatting>
  <conditionalFormatting sqref="AA24 AA26 AA28 AA30 AA32">
    <cfRule type="expression" dxfId="277" priority="12">
      <formula>AND(OR($AA23&lt;&gt;"",$AA24&lt;&gt;"",$AB23&lt;&gt;""),$AC23="TBD")</formula>
    </cfRule>
  </conditionalFormatting>
  <conditionalFormatting sqref="AA67">
    <cfRule type="expression" dxfId="276" priority="96">
      <formula>AND(OR($O67&lt;&gt;"",$O68&lt;&gt;"",$P67&lt;&gt;""),$Q67="TBD")</formula>
    </cfRule>
  </conditionalFormatting>
  <conditionalFormatting sqref="AA68">
    <cfRule type="expression" dxfId="275" priority="85">
      <formula>AND(OR($AA67&lt;&gt;"",$AA68&lt;&gt;"",$AB67&lt;&gt;""),$AC67="TBD")</formula>
    </cfRule>
  </conditionalFormatting>
  <conditionalFormatting sqref="AA9:AC22">
    <cfRule type="expression" dxfId="274" priority="1071">
      <formula>AND(OR($AA9&lt;&gt;"",$AA10&lt;&gt;"",$AB9&lt;&gt;""),$AC9="TBD")</formula>
    </cfRule>
  </conditionalFormatting>
  <conditionalFormatting sqref="AA23:AC32">
    <cfRule type="expression" dxfId="273" priority="24">
      <formula>AND(OR($AA23&lt;&gt;"",$AA24&lt;&gt;"",$AB23&lt;&gt;""),$AC23="TBD")</formula>
    </cfRule>
  </conditionalFormatting>
  <conditionalFormatting sqref="AA33:AC68">
    <cfRule type="expression" dxfId="272" priority="97">
      <formula>AND(OR($AA33&lt;&gt;"",$AA34&lt;&gt;"",$AB33&lt;&gt;""),$AC33="TBD")</formula>
    </cfRule>
  </conditionalFormatting>
  <conditionalFormatting sqref="AD9 AD11 AD13 AD15 AD17 AD19 AD21 AD33 AD35 AD37 AD39 AD41 AD43 AD45 AD47 AD49 AD51 AD53 AD55 AD57 AD59 AD61 AD63 AD65">
    <cfRule type="expression" dxfId="271" priority="1068">
      <formula>AND(OR($O9&lt;&gt;"",$O10&lt;&gt;"",$P9&lt;&gt;""),$Q9="TBD")</formula>
    </cfRule>
  </conditionalFormatting>
  <conditionalFormatting sqref="AD10 AD12 AD14 AD16 AD18 AD20 AD22 AD34 AD36 AD38 AD40 AD42 AD44 AD46 AD48 AD50 AD52 AD54 AD56 AD58 AD60 AD62 AD64 AD66">
    <cfRule type="expression" dxfId="270" priority="1057">
      <formula>AND(OR($AD9&lt;&gt;"",$AD10&lt;&gt;"",$AE9&lt;&gt;""),$AF9="TBD")</formula>
    </cfRule>
  </conditionalFormatting>
  <conditionalFormatting sqref="AD23 AD25 AD27 AD29 AD31">
    <cfRule type="expression" dxfId="269" priority="21">
      <formula>AND(OR($O23&lt;&gt;"",$O24&lt;&gt;"",$P23&lt;&gt;""),$Q23="TBD")</formula>
    </cfRule>
  </conditionalFormatting>
  <conditionalFormatting sqref="AD24 AD26 AD28 AD30 AD32">
    <cfRule type="expression" dxfId="268" priority="11">
      <formula>AND(OR($AD23&lt;&gt;"",$AD24&lt;&gt;"",$AE23&lt;&gt;""),$AF23="TBD")</formula>
    </cfRule>
  </conditionalFormatting>
  <conditionalFormatting sqref="AD67">
    <cfRule type="expression" dxfId="267" priority="94">
      <formula>AND(OR($O67&lt;&gt;"",$O68&lt;&gt;"",$P67&lt;&gt;""),$Q67="TBD")</formula>
    </cfRule>
  </conditionalFormatting>
  <conditionalFormatting sqref="AD68">
    <cfRule type="expression" dxfId="266" priority="84">
      <formula>AND(OR($AD67&lt;&gt;"",$AD68&lt;&gt;"",$AE67&lt;&gt;""),$AF67="TBD")</formula>
    </cfRule>
  </conditionalFormatting>
  <conditionalFormatting sqref="AD9:AF22">
    <cfRule type="expression" dxfId="265" priority="1069">
      <formula>AND(OR($AD9&lt;&gt;"",$AD10&lt;&gt;"",$AE9&lt;&gt;""),$AF9="TBD")</formula>
    </cfRule>
  </conditionalFormatting>
  <conditionalFormatting sqref="AD23:AF32">
    <cfRule type="expression" dxfId="264" priority="22">
      <formula>AND(OR($AD23&lt;&gt;"",$AD24&lt;&gt;"",$AE23&lt;&gt;""),$AF23="TBD")</formula>
    </cfRule>
  </conditionalFormatting>
  <conditionalFormatting sqref="AD33:AF68">
    <cfRule type="expression" dxfId="263" priority="95">
      <formula>AND(OR($AD33&lt;&gt;"",$AD34&lt;&gt;"",$AE33&lt;&gt;""),$AF33="TBD")</formula>
    </cfRule>
  </conditionalFormatting>
  <conditionalFormatting sqref="AG9 AG11 AG13 AG15 AG17 AG19 AG21 AG33 AG35 AG37 AG39 AG41 AG43 AG45 AG47 AG49 AG51 AG53 AG55 AG57 AG59 AG61 AG63 AG65">
    <cfRule type="expression" dxfId="262" priority="1066">
      <formula>AND(OR($O9&lt;&gt;"",$O10&lt;&gt;"",$P9&lt;&gt;""),$Q9="TBD")</formula>
    </cfRule>
  </conditionalFormatting>
  <conditionalFormatting sqref="AG10 AG12 AG14 AG16 AG18 AG20 AG22 AG34 AG36 AG38 AG40 AG42 AG44 AG46 AG48 AG50 AG52 AG54 AG56 AG58 AG60 AG62 AG64 AG66">
    <cfRule type="expression" dxfId="261" priority="1056">
      <formula>AND(OR($AG9&lt;&gt;"",$AG10&lt;&gt;"",$AH9&lt;&gt;""),$AI9="TBD")</formula>
    </cfRule>
  </conditionalFormatting>
  <conditionalFormatting sqref="AG23 AG25 AG27 AG29 AG31">
    <cfRule type="expression" dxfId="260" priority="19">
      <formula>AND(OR($O23&lt;&gt;"",$O24&lt;&gt;"",$P23&lt;&gt;""),$Q23="TBD")</formula>
    </cfRule>
  </conditionalFormatting>
  <conditionalFormatting sqref="AG24 AG26 AG28 AG30 AG32">
    <cfRule type="expression" dxfId="259" priority="10">
      <formula>AND(OR($AG23&lt;&gt;"",$AG24&lt;&gt;"",$AH23&lt;&gt;""),$AI23="TBD")</formula>
    </cfRule>
  </conditionalFormatting>
  <conditionalFormatting sqref="AG67">
    <cfRule type="expression" dxfId="258" priority="92">
      <formula>AND(OR($O67&lt;&gt;"",$O68&lt;&gt;"",$P67&lt;&gt;""),$Q67="TBD")</formula>
    </cfRule>
  </conditionalFormatting>
  <conditionalFormatting sqref="AG68">
    <cfRule type="expression" dxfId="257" priority="83">
      <formula>AND(OR($AG67&lt;&gt;"",$AG68&lt;&gt;"",$AH67&lt;&gt;""),$AI67="TBD")</formula>
    </cfRule>
  </conditionalFormatting>
  <conditionalFormatting sqref="AG9:AI22">
    <cfRule type="expression" dxfId="256" priority="1067">
      <formula>AND(OR($AG9&lt;&gt;"",$AG10&lt;&gt;"",$AH9&lt;&gt;""),$AI9="TBD")</formula>
    </cfRule>
  </conditionalFormatting>
  <conditionalFormatting sqref="AG23:AI32">
    <cfRule type="expression" dxfId="255" priority="20">
      <formula>AND(OR($AG23&lt;&gt;"",$AG24&lt;&gt;"",$AH23&lt;&gt;""),$AI23="TBD")</formula>
    </cfRule>
  </conditionalFormatting>
  <conditionalFormatting sqref="AG33:AI68">
    <cfRule type="expression" dxfId="254" priority="93">
      <formula>AND(OR($AG33&lt;&gt;"",$AG34&lt;&gt;"",$AH33&lt;&gt;""),$AI33="TBD")</formula>
    </cfRule>
  </conditionalFormatting>
  <conditionalFormatting sqref="AJ9 AJ11 AJ13 AJ15 AJ17 AJ19 AJ21 AJ33 AJ35 AJ37 AJ39 AJ41 AJ43 AJ45 AJ47 AJ49 AJ51 AJ53 AJ55 AJ57 AJ59 AJ61 AJ63 AJ65">
    <cfRule type="expression" dxfId="253" priority="1064">
      <formula>AND(OR($O9&lt;&gt;"",$O10&lt;&gt;"",$P9&lt;&gt;""),$Q9="TBD")</formula>
    </cfRule>
  </conditionalFormatting>
  <conditionalFormatting sqref="AJ10 AJ12 AJ14 AJ16 AJ18 AJ20 AJ22 AJ34 AJ36 AJ38 AJ40 AJ42 AJ44 AJ46 AJ48 AJ50 AJ52 AJ54 AJ56 AJ58 AJ60 AJ62 AJ64 AJ66">
    <cfRule type="expression" dxfId="252" priority="1055">
      <formula>AND(OR($AJ9&lt;&gt;"",$AJ10&lt;&gt;"",$AK9&lt;&gt;""),$AL9="TBD")</formula>
    </cfRule>
  </conditionalFormatting>
  <conditionalFormatting sqref="AJ23 AJ25 AJ27 AJ29 AJ31">
    <cfRule type="expression" dxfId="251" priority="17">
      <formula>AND(OR($O23&lt;&gt;"",$O24&lt;&gt;"",$P23&lt;&gt;""),$Q23="TBD")</formula>
    </cfRule>
  </conditionalFormatting>
  <conditionalFormatting sqref="AJ24 AJ26 AJ28 AJ30 AJ32">
    <cfRule type="expression" dxfId="250" priority="9">
      <formula>AND(OR($AJ23&lt;&gt;"",$AJ24&lt;&gt;"",$AK23&lt;&gt;""),$AL23="TBD")</formula>
    </cfRule>
  </conditionalFormatting>
  <conditionalFormatting sqref="AJ67">
    <cfRule type="expression" dxfId="249" priority="90">
      <formula>AND(OR($O67&lt;&gt;"",$O68&lt;&gt;"",$P67&lt;&gt;""),$Q67="TBD")</formula>
    </cfRule>
  </conditionalFormatting>
  <conditionalFormatting sqref="AJ68">
    <cfRule type="expression" dxfId="248" priority="82">
      <formula>AND(OR($AJ67&lt;&gt;"",$AJ68&lt;&gt;"",$AK67&lt;&gt;""),$AL67="TBD")</formula>
    </cfRule>
  </conditionalFormatting>
  <conditionalFormatting sqref="AJ9:AL22">
    <cfRule type="expression" dxfId="247" priority="1065">
      <formula>AND(OR($AJ9&lt;&gt;"",$AJ10&lt;&gt;"",$AK9&lt;&gt;""),$AL9="TBD")</formula>
    </cfRule>
  </conditionalFormatting>
  <conditionalFormatting sqref="AJ23:AL32">
    <cfRule type="expression" dxfId="246" priority="18">
      <formula>AND(OR($AJ23&lt;&gt;"",$AJ24&lt;&gt;"",$AK23&lt;&gt;""),$AL23="TBD")</formula>
    </cfRule>
  </conditionalFormatting>
  <conditionalFormatting sqref="AJ33:AL68">
    <cfRule type="expression" dxfId="245" priority="91">
      <formula>AND(OR($AJ33&lt;&gt;"",$AJ34&lt;&gt;"",$AK33&lt;&gt;""),$AL33="TBD")</formula>
    </cfRule>
  </conditionalFormatting>
  <conditionalFormatting sqref="AN9:AN10">
    <cfRule type="expression" dxfId="244" priority="662">
      <formula>AND($D9&lt;&gt;"",$E9&lt;&gt;"")</formula>
    </cfRule>
  </conditionalFormatting>
  <dataValidations count="10">
    <dataValidation type="list" allowBlank="1" showInputMessage="1" showErrorMessage="1" sqref="M9 M11 M13 M15 M17 M19 M21 M23 M25 M27 M29 M31 M33 M35 M37 M39 M41 M43 M45 M47 M49 M51 M53 M55 M57 M59 M61 M63 M65 M67" xr:uid="{00000000-0002-0000-0A00-000000000000}">
      <formula1>Country</formula1>
    </dataValidation>
    <dataValidation type="list" allowBlank="1" showInputMessage="1" showErrorMessage="1" sqref="H9:H68" xr:uid="{00000000-0002-0000-0A00-000001000000}">
      <formula1>baseline_validation</formula1>
    </dataValidation>
    <dataValidation type="list" allowBlank="1" showInputMessage="1" showErrorMessage="1" sqref="B9:B68" xr:uid="{00000000-0002-0000-0A00-000002000000}">
      <formula1>Coverage_Module</formula1>
    </dataValidation>
    <dataValidation type="list" allowBlank="1" showInputMessage="1" showErrorMessage="1" sqref="C9:C68" xr:uid="{00000000-0002-0000-0A00-000003000000}">
      <formula1>IF($E9&lt;&gt;"",#REF!,INDIRECT(CONCATENATE("'Reference Records'!C",AS9,":C",AT9)))</formula1>
    </dataValidation>
    <dataValidation type="list" allowBlank="1" showInputMessage="1" showErrorMessage="1" sqref="D9:D68" xr:uid="{00000000-0002-0000-0A00-000004000000}">
      <formula1>OFFSET(CoverageStart,MATCH(AZ9,CoverageColumn,0)-1,2,COUNTIF(CoverageColumn,AZ9),1)</formula1>
    </dataValidation>
    <dataValidation type="custom" allowBlank="1" showInputMessage="1" showErrorMessage="1" errorTitle="Coverage Indicators" error="Cannot enter both Standard and Custom indicators on the same line" sqref="E9:E68" xr:uid="{00000000-0002-0000-0A00-000005000000}">
      <formula1>D9=""</formula1>
    </dataValidation>
    <dataValidation type="list" allowBlank="1" showInputMessage="1" showErrorMessage="1" sqref="K9:K68" xr:uid="{00000000-0002-0000-0A00-000006000000}">
      <formula1>"Yes,No"</formula1>
    </dataValidation>
    <dataValidation type="list" allowBlank="1" showInputMessage="1" showErrorMessage="1" sqref="L9:L68" xr:uid="{00000000-0002-0000-0A00-000007000000}">
      <formula1>MergedAndDistinctPR</formula1>
    </dataValidation>
    <dataValidation type="list" allowBlank="1" showInputMessage="1" showErrorMessage="1" sqref="T9:T68" xr:uid="{00000000-0002-0000-0A00-000008000000}">
      <formula1>IF(OR($R9&lt;&gt;"",$R10&lt;&gt;"",$S9&lt;&gt;""),INDIRECT("FakeRange"),$G$4)</formula1>
    </dataValidation>
    <dataValidation type="decimal" operator="greaterThanOrEqual" allowBlank="1" showInputMessage="1" showErrorMessage="1" sqref="O9:P68 U9:V68 AA9:AB68 AG9:AH68 F9:G68 R9:S68 X9:Y68 AD9:AE68 AJ9:AK68" xr:uid="{00000000-0002-0000-0A00-000009000000}">
      <formula1>0</formula1>
    </dataValidation>
  </dataValidations>
  <hyperlinks>
    <hyperlink ref="B4" location="'Instructions-FR'!InstructionD" display="=Translations!A48"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1820"/>
  <sheetViews>
    <sheetView showGridLines="0" topLeftCell="B1" zoomScale="89" zoomScaleNormal="89" zoomScaleSheetLayoutView="100" workbookViewId="0">
      <pane xSplit="4" ySplit="9" topLeftCell="J1091" activePane="bottomRight" state="frozen"/>
      <selection pane="bottomRight" activeCell="J745" sqref="J745:J746"/>
      <selection pane="bottomLeft" activeCell="B10" sqref="B10"/>
      <selection pane="topRight" activeCell="F1" sqref="F1"/>
    </sheetView>
  </sheetViews>
  <sheetFormatPr defaultColWidth="8.75" defaultRowHeight="15.75"/>
  <cols>
    <col min="1" max="1" width="7.5" hidden="1" customWidth="1"/>
    <col min="2" max="2" width="26.25" customWidth="1"/>
    <col min="3" max="3" width="30.625" customWidth="1"/>
    <col min="4" max="4" width="15.125" customWidth="1"/>
    <col min="5" max="5" width="24.125" customWidth="1"/>
    <col min="6" max="6" width="20.125" customWidth="1"/>
    <col min="7" max="7" width="16.125" customWidth="1"/>
    <col min="8" max="8" width="17.125" customWidth="1"/>
    <col min="9" max="9" width="30.625" customWidth="1"/>
    <col min="10" max="10" width="66.75" customWidth="1"/>
    <col min="11" max="11" width="30.625" customWidth="1"/>
    <col min="12" max="12" width="15.125" customWidth="1"/>
    <col min="13" max="13" width="16.625" customWidth="1"/>
    <col min="14" max="14" width="50.625" customWidth="1"/>
    <col min="15" max="19" width="9" hidden="1" customWidth="1"/>
    <col min="20" max="20" width="17.125" hidden="1" customWidth="1"/>
    <col min="21" max="21" width="12.625" hidden="1" customWidth="1"/>
    <col min="22" max="22" width="10.25" hidden="1" customWidth="1"/>
    <col min="23" max="23" width="13.75" hidden="1" customWidth="1"/>
  </cols>
  <sheetData>
    <row r="1" spans="1:23">
      <c r="B1" s="523" t="str">
        <f ca="1">Translations!A69</f>
        <v>Marco de desempeño - Desagregación - Sección E</v>
      </c>
      <c r="C1" s="523"/>
      <c r="D1" s="523"/>
      <c r="E1" s="523"/>
      <c r="F1" s="523"/>
      <c r="G1" s="523"/>
      <c r="H1" s="523"/>
      <c r="I1" s="523"/>
      <c r="J1" s="523"/>
    </row>
    <row r="2" spans="1:23" ht="28.5" customHeight="1">
      <c r="B2" s="563"/>
      <c r="C2" s="563"/>
      <c r="D2" s="563"/>
      <c r="E2" s="563"/>
      <c r="F2" s="563"/>
      <c r="G2" s="563"/>
      <c r="H2" s="563"/>
      <c r="I2" s="563"/>
      <c r="J2" s="563"/>
    </row>
    <row r="3" spans="1:23">
      <c r="B3" s="563"/>
      <c r="C3" s="563"/>
      <c r="D3" s="563"/>
      <c r="E3" s="563"/>
      <c r="F3" s="563"/>
      <c r="G3" s="563"/>
      <c r="H3" s="563"/>
      <c r="I3" s="563"/>
      <c r="J3" s="563"/>
    </row>
    <row r="5" spans="1:23">
      <c r="B5" s="116" t="str">
        <f ca="1">Translations!A12</f>
        <v>Navegación de la página</v>
      </c>
      <c r="C5" s="126" t="str">
        <f ca="1">Translations!A70</f>
        <v>Impacto</v>
      </c>
      <c r="D5" s="126" t="str">
        <f ca="1">Translations!A78</f>
        <v xml:space="preserve">Resultados </v>
      </c>
      <c r="E5" s="126" t="str">
        <f ca="1">Translations!A71</f>
        <v>Cobertura</v>
      </c>
      <c r="F5" s="117" t="str">
        <f ca="1">Translations!A48</f>
        <v>Instrucciones</v>
      </c>
    </row>
    <row r="8" spans="1:23" ht="16.350000000000001" customHeight="1">
      <c r="B8" s="565" t="str">
        <f ca="1">Translations!A72</f>
        <v>Desagregación del Indicador de impacto</v>
      </c>
      <c r="C8" s="566"/>
      <c r="D8" s="566"/>
      <c r="E8" s="566"/>
      <c r="F8" s="566"/>
      <c r="G8" s="566"/>
      <c r="H8" s="566"/>
      <c r="I8" s="566"/>
      <c r="J8" s="566"/>
      <c r="K8" s="565"/>
      <c r="L8" s="566"/>
      <c r="M8" s="566"/>
      <c r="N8" s="566"/>
    </row>
    <row r="9" spans="1:23" ht="45" customHeight="1">
      <c r="A9" s="124" t="s">
        <v>5492</v>
      </c>
      <c r="B9" s="119" t="str">
        <f ca="1">Translations!A37</f>
        <v xml:space="preserve">Indicador de impacto número </v>
      </c>
      <c r="C9" s="119" t="str">
        <f ca="1">Translations!A73</f>
        <v>Nombre del indicador de impacto</v>
      </c>
      <c r="D9" s="119" t="str">
        <f ca="1">Translations!$A$74</f>
        <v>Categoría</v>
      </c>
      <c r="E9" s="119" t="str">
        <f ca="1">Translations!$A$75</f>
        <v>Desagregación</v>
      </c>
      <c r="F9" s="119" t="s">
        <v>5305</v>
      </c>
      <c r="G9" s="119" t="str">
        <f ca="1">Translations!$A$41</f>
        <v>Línea de base %</v>
      </c>
      <c r="H9" s="119" t="s">
        <v>3014</v>
      </c>
      <c r="I9" s="119" t="s">
        <v>3015</v>
      </c>
      <c r="J9" s="119" t="s">
        <v>148</v>
      </c>
      <c r="K9" s="119" t="str">
        <f ca="1">Translations!A73&amp;" (EN) "</f>
        <v xml:space="preserve">Nombre del indicador de impacto (EN) </v>
      </c>
      <c r="L9" s="119" t="str">
        <f ca="1">Translations!$A$74&amp;" (EN)"</f>
        <v>Categoría (EN)</v>
      </c>
      <c r="M9" s="119" t="s">
        <v>5463</v>
      </c>
      <c r="N9" s="119" t="s">
        <v>5464</v>
      </c>
    </row>
    <row r="10" spans="1:23" s="89" customFormat="1" ht="40.35" customHeight="1">
      <c r="A10" s="564" t="str">
        <f ca="1">INDIRECT("'update Helper'!C"&amp;U10)</f>
        <v>a1G3p000005dHa5EAE</v>
      </c>
      <c r="B10" s="794">
        <v>1</v>
      </c>
      <c r="C10" s="795" t="str">
        <f ca="1">IFERROR(VLOOKUP(B10,'Impact Indicators - Section B '!$A$9:$AF$52,32,FALSE),"")</f>
        <v>HIV I-9a⁽ᴹ⁾ Porcentaje de HSH y viven con el VIH</v>
      </c>
      <c r="D10" s="796" t="str">
        <f ca="1">R10</f>
        <v>Edad</v>
      </c>
      <c r="E10" s="796" t="str">
        <f ca="1">S10</f>
        <v>25+</v>
      </c>
      <c r="F10" s="127">
        <v>288</v>
      </c>
      <c r="G10" s="797">
        <f ca="1">IF(OR(INDIRECT("'update Helper'!E"&amp;U10)="",F10&lt;&gt;0,F11&lt;&gt;0),IF(IFERROR((F10/F11),"")="","",(F10/F11)),INDIRECT("'update Helper'!E"&amp;U10)/100)</f>
        <v>0.28685258964143429</v>
      </c>
      <c r="H10" s="784">
        <v>2021</v>
      </c>
      <c r="I10" s="798" t="s">
        <v>5493</v>
      </c>
      <c r="J10" s="777" t="s">
        <v>5494</v>
      </c>
      <c r="K10" s="795" t="str">
        <f ca="1">W10</f>
        <v>HIV I-9a⁽ᴹ⁾ Percentage of men who have sex with men who are living with HIV</v>
      </c>
      <c r="L10" s="795" t="str">
        <f ca="1">V10</f>
        <v>Age</v>
      </c>
      <c r="M10" s="777"/>
      <c r="N10" s="777"/>
      <c r="P10" s="89">
        <f ca="1">IF(AND(EXACT(C10,C8),C8&lt;&gt;0),P8+1,0)</f>
        <v>0</v>
      </c>
      <c r="Q10" s="89" t="str">
        <f ca="1">IF(C10&lt;&gt;"",C10&amp;"-"&amp;P10,"")</f>
        <v>HIV I-9a⁽ᴹ⁾ Porcentaje de HSH y viven con el VIH-0</v>
      </c>
      <c r="R10" s="89" t="str">
        <f t="array" aca="1" ref="R10" ca="1">IFERROR(IF(INDEX('Disaggregation Records'!$E$3:$E$66,MATCH(RIGHT(Q10,255),RIGHT('Disaggregation Records'!$D$3:$D$66,255),0))="","",INDEX('Disaggregation Records'!$E$3:$E$66,MATCH(RIGHT(Q10,255),RIGHT('Disaggregation Records'!$D$3:$D$66,255),0))),"")</f>
        <v>Edad</v>
      </c>
      <c r="S10" s="89" t="str">
        <f t="array" aca="1" ref="S10" ca="1">IFERROR(IF(INDEX('Disaggregation Records'!$F$3:$F$66,MATCH(RIGHT(Q10,255),RIGHT('Disaggregation Records'!$D$3:$D$66,255),0))="","",INDEX('Disaggregation Records'!$F$3:$F$66,MATCH(RIGHT(Q10,255),RIGHT('Disaggregation Records'!$D$3:$D$66,255),0))),"")</f>
        <v>25+</v>
      </c>
      <c r="T10" s="89" t="str">
        <f t="array" aca="1" ref="T10" ca="1">IFERROR(IF(INDEX('Disaggregation Records'!$H$3:$H$66,MATCH(RIGHT(Q10,255),RIGHT('Disaggregation Records'!$D$3:$D$66,255),0))="","",INDEX('Disaggregation Records'!$H$3:$H$66,MATCH(RIGHT(Q10,255),RIGHT('Disaggregation Records'!$D$3:$D$66,255),0))),"")</f>
        <v>IDR-00657</v>
      </c>
      <c r="U10" s="89">
        <f>ROW(Impact_Indicator_Disaggregation)+3</f>
        <v>1191</v>
      </c>
      <c r="V10" s="89" t="str">
        <f t="array" aca="1" ref="V10" ca="1">IFERROR(IF(INDEX('Disaggregation Records'!$I$3:$I$66,MATCH(RIGHT(Q10,255),RIGHT('Disaggregation Records'!$D$3:$D$66,255),0))="","",INDEX('Disaggregation Records'!$I$3:$I$66,MATCH(RIGHT(Q10,255),RIGHT('Disaggregation Records'!$D$3:$D$66,255),0))),"")</f>
        <v>Age</v>
      </c>
      <c r="W10" s="89" t="str">
        <f ca="1">IFERROR(INDEX('Reference Records'!O$3:O$19,MATCH(LEFT(C10,255),'Reference Records'!J$3:J$19,0)),"")</f>
        <v>HIV I-9a⁽ᴹ⁾ Percentage of men who have sex with men who are living with HIV</v>
      </c>
    </row>
    <row r="11" spans="1:23" s="125" customFormat="1" ht="40.35" customHeight="1">
      <c r="A11" s="564"/>
      <c r="B11" s="799"/>
      <c r="C11" s="800"/>
      <c r="D11" s="801"/>
      <c r="E11" s="801"/>
      <c r="F11" s="128">
        <v>1004</v>
      </c>
      <c r="G11" s="802"/>
      <c r="H11" s="781"/>
      <c r="I11" s="803"/>
      <c r="J11" s="779"/>
      <c r="K11" s="800"/>
      <c r="L11" s="800"/>
      <c r="M11" s="779"/>
      <c r="N11" s="779"/>
    </row>
    <row r="12" spans="1:23" s="89" customFormat="1" ht="40.35" customHeight="1">
      <c r="A12" s="564" t="str">
        <f ca="1">INDIRECT("'update Helper'!C"&amp;U12)</f>
        <v>a1G3p000005dHa6EAE</v>
      </c>
      <c r="B12" s="794">
        <v>1</v>
      </c>
      <c r="C12" s="795" t="str">
        <f ca="1">IFERROR(VLOOKUP(B12,'Impact Indicators - Section B '!$A$9:$AF$52,32,FALSE),"")</f>
        <v>HIV I-9a⁽ᴹ⁾ Porcentaje de HSH y viven con el VIH</v>
      </c>
      <c r="D12" s="796" t="str">
        <f ca="1">R12</f>
        <v>Edad</v>
      </c>
      <c r="E12" s="796" t="str">
        <f ca="1">S12</f>
        <v>&lt;25</v>
      </c>
      <c r="F12" s="127">
        <v>134</v>
      </c>
      <c r="G12" s="797">
        <f ca="1">IF(OR(INDIRECT("'update Helper'!E"&amp;U12)="",F12&lt;&gt;0,F13&lt;&gt;0),IF(IFERROR((F12/F13),"")="","",(F12/F13)),INDIRECT("'update Helper'!E"&amp;U12)/100)</f>
        <v>0.21069182389937108</v>
      </c>
      <c r="H12" s="784">
        <v>2021</v>
      </c>
      <c r="I12" s="798" t="s">
        <v>5493</v>
      </c>
      <c r="J12" s="777" t="s">
        <v>5494</v>
      </c>
      <c r="K12" s="795" t="str">
        <f ca="1">W12</f>
        <v>HIV I-9a⁽ᴹ⁾ Percentage of men who have sex with men who are living with HIV</v>
      </c>
      <c r="L12" s="795" t="str">
        <f ca="1">V12</f>
        <v>Age</v>
      </c>
      <c r="M12" s="777"/>
      <c r="N12" s="777"/>
      <c r="P12" s="89">
        <f ca="1">IF(AND(EXACT(C12,C10),C10&lt;&gt;0),P10+1,0)</f>
        <v>1</v>
      </c>
      <c r="Q12" s="89" t="str">
        <f ca="1">IF(C12&lt;&gt;"",C12&amp;"-"&amp;P12,"")</f>
        <v>HIV I-9a⁽ᴹ⁾ Porcentaje de HSH y viven con el VIH-1</v>
      </c>
      <c r="R12" s="89" t="str">
        <f t="array" aca="1" ref="R12" ca="1">IFERROR(IF(INDEX('Disaggregation Records'!$E$3:$E$66,MATCH(RIGHT(Q12,255),RIGHT('Disaggregation Records'!$D$3:$D$66,255),0))="","",INDEX('Disaggregation Records'!$E$3:$E$66,MATCH(RIGHT(Q12,255),RIGHT('Disaggregation Records'!$D$3:$D$66,255),0))),"")</f>
        <v>Edad</v>
      </c>
      <c r="S12" s="89" t="str">
        <f t="array" aca="1" ref="S12" ca="1">IFERROR(IF(INDEX('Disaggregation Records'!$F$3:$F$66,MATCH(RIGHT(Q12,255),RIGHT('Disaggregation Records'!$D$3:$D$66,255),0))="","",INDEX('Disaggregation Records'!$F$3:$F$66,MATCH(RIGHT(Q12,255),RIGHT('Disaggregation Records'!$D$3:$D$66,255),0))),"")</f>
        <v>&lt;25</v>
      </c>
      <c r="T12" s="89" t="str">
        <f t="array" aca="1" ref="T12" ca="1">IFERROR(IF(INDEX('Disaggregation Records'!$H$3:$H$66,MATCH(RIGHT(Q12,255),RIGHT('Disaggregation Records'!$D$3:$D$66,255),0))="","",INDEX('Disaggregation Records'!$H$3:$H$66,MATCH(RIGHT(Q12,255),RIGHT('Disaggregation Records'!$D$3:$D$66,255),0))),"")</f>
        <v>IDR-00656</v>
      </c>
      <c r="U12" s="89">
        <f>U10+1</f>
        <v>1192</v>
      </c>
      <c r="V12" s="89" t="str">
        <f t="array" aca="1" ref="V12" ca="1">IFERROR(IF(INDEX('Disaggregation Records'!$I$3:$I$66,MATCH(RIGHT(Q12,255),RIGHT('Disaggregation Records'!$D$3:$D$66,255),0))="","",INDEX('Disaggregation Records'!$I$3:$I$66,MATCH(RIGHT(Q12,255),RIGHT('Disaggregation Records'!$D$3:$D$66,255),0))),"")</f>
        <v>Age</v>
      </c>
      <c r="W12" s="89" t="str">
        <f ca="1">IFERROR(INDEX('Reference Records'!O$3:O$19,MATCH(LEFT(C12,255),'Reference Records'!J$3:J$19,0)),"")</f>
        <v>HIV I-9a⁽ᴹ⁾ Percentage of men who have sex with men who are living with HIV</v>
      </c>
    </row>
    <row r="13" spans="1:23" s="125" customFormat="1" ht="40.35" customHeight="1">
      <c r="A13" s="564"/>
      <c r="B13" s="799"/>
      <c r="C13" s="800"/>
      <c r="D13" s="801"/>
      <c r="E13" s="801"/>
      <c r="F13" s="128">
        <v>636</v>
      </c>
      <c r="G13" s="802"/>
      <c r="H13" s="781"/>
      <c r="I13" s="803"/>
      <c r="J13" s="779"/>
      <c r="K13" s="800"/>
      <c r="L13" s="800"/>
      <c r="M13" s="779"/>
      <c r="N13" s="779"/>
    </row>
    <row r="14" spans="1:23" s="89" customFormat="1" ht="40.35" customHeight="1">
      <c r="A14" s="564" t="str">
        <f t="shared" ref="A14:A76" ca="1" si="0">INDIRECT("'update Helper'!C"&amp;U14)</f>
        <v>a1G3p000005dHa7EAE</v>
      </c>
      <c r="B14" s="794">
        <v>1</v>
      </c>
      <c r="C14" s="795" t="str">
        <f ca="1">IFERROR(VLOOKUP(B14,'Impact Indicators - Section B '!$A$9:$AF$52,32,FALSE),"")</f>
        <v>HIV I-9a⁽ᴹ⁾ Porcentaje de HSH y viven con el VIH</v>
      </c>
      <c r="D14" s="796" t="str">
        <f ca="1">R14</f>
        <v/>
      </c>
      <c r="E14" s="796" t="str">
        <f ca="1">S14</f>
        <v/>
      </c>
      <c r="F14" s="127"/>
      <c r="G14" s="797" t="str">
        <f ca="1">IF(OR(INDIRECT("'update Helper'!E"&amp;U14)="",F14&lt;&gt;0,F15&lt;&gt;0),IF(IFERROR((F14/F15),"")="","",(F14/F15)),INDIRECT("'update Helper'!E"&amp;U14)/100)</f>
        <v/>
      </c>
      <c r="H14" s="784"/>
      <c r="I14" s="798"/>
      <c r="J14" s="777"/>
      <c r="K14" s="795" t="str">
        <f ca="1">W14</f>
        <v>HIV I-9a⁽ᴹ⁾ Percentage of men who have sex with men who are living with HIV</v>
      </c>
      <c r="L14" s="795" t="str">
        <f ca="1">V14</f>
        <v/>
      </c>
      <c r="M14" s="777"/>
      <c r="N14" s="777"/>
      <c r="P14" s="89">
        <f ca="1">IF(AND(EXACT(C14,C12),C12&lt;&gt;0),P12+1,0)</f>
        <v>2</v>
      </c>
      <c r="Q14" s="89" t="str">
        <f ca="1">IF(C14&lt;&gt;"",C14&amp;"-"&amp;P14,"")</f>
        <v>HIV I-9a⁽ᴹ⁾ Porcentaje de HSH y viven con el VIH-2</v>
      </c>
      <c r="R14" s="89" t="str">
        <f t="array" aca="1" ref="R14" ca="1">IFERROR(IF(INDEX('Disaggregation Records'!$E$3:$E$66,MATCH(RIGHT(Q14,255),RIGHT('Disaggregation Records'!$D$3:$D$66,255),0))="","",INDEX('Disaggregation Records'!$E$3:$E$66,MATCH(RIGHT(Q14,255),RIGHT('Disaggregation Records'!$D$3:$D$66,255),0))),"")</f>
        <v/>
      </c>
      <c r="S14" s="89" t="str">
        <f t="array" aca="1" ref="S14" ca="1">IFERROR(IF(INDEX('Disaggregation Records'!$F$3:$F$66,MATCH(RIGHT(Q14,255),RIGHT('Disaggregation Records'!$D$3:$D$66,255),0))="","",INDEX('Disaggregation Records'!$F$3:$F$66,MATCH(RIGHT(Q14,255),RIGHT('Disaggregation Records'!$D$3:$D$66,255),0))),"")</f>
        <v/>
      </c>
      <c r="T14" s="89" t="str">
        <f t="array" aca="1" ref="T14" ca="1">IFERROR(IF(INDEX('Disaggregation Records'!$H$3:$H$66,MATCH(RIGHT(Q14,255),RIGHT('Disaggregation Records'!$D$3:$D$66,255),0))="","",INDEX('Disaggregation Records'!$H$3:$H$66,MATCH(RIGHT(Q14,255),RIGHT('Disaggregation Records'!$D$3:$D$66,255),0))),"")</f>
        <v/>
      </c>
      <c r="U14" s="89">
        <f>U12+1</f>
        <v>1193</v>
      </c>
      <c r="V14" s="89" t="str">
        <f t="array" aca="1" ref="V14" ca="1">IFERROR(IF(INDEX('Disaggregation Records'!$I$3:$I$66,MATCH(RIGHT(Q14,255),RIGHT('Disaggregation Records'!$D$3:$D$66,255),0))="","",INDEX('Disaggregation Records'!$I$3:$I$66,MATCH(RIGHT(Q14,255),RIGHT('Disaggregation Records'!$D$3:$D$66,255),0))),"")</f>
        <v/>
      </c>
      <c r="W14" s="89" t="str">
        <f ca="1">IFERROR(INDEX('Reference Records'!O$3:O$19,MATCH(LEFT(C14,255),'Reference Records'!J$3:J$19,0)),"")</f>
        <v>HIV I-9a⁽ᴹ⁾ Percentage of men who have sex with men who are living with HIV</v>
      </c>
    </row>
    <row r="15" spans="1:23" s="89" customFormat="1" ht="40.35" customHeight="1">
      <c r="A15" s="564"/>
      <c r="B15" s="799"/>
      <c r="C15" s="800"/>
      <c r="D15" s="801"/>
      <c r="E15" s="801"/>
      <c r="F15" s="128"/>
      <c r="G15" s="802"/>
      <c r="H15" s="781"/>
      <c r="I15" s="803"/>
      <c r="J15" s="779"/>
      <c r="K15" s="800"/>
      <c r="L15" s="800"/>
      <c r="M15" s="779"/>
      <c r="N15" s="779"/>
      <c r="P15" s="125"/>
      <c r="Q15" s="125"/>
      <c r="R15" s="125"/>
      <c r="S15" s="125"/>
      <c r="T15" s="125"/>
      <c r="U15" s="125"/>
      <c r="V15" s="125"/>
      <c r="W15" s="125"/>
    </row>
    <row r="16" spans="1:23" s="89" customFormat="1" ht="40.35" customHeight="1">
      <c r="A16" s="564" t="str">
        <f t="shared" ca="1" si="0"/>
        <v>a1G3p000005dHa8EAE</v>
      </c>
      <c r="B16" s="794">
        <v>1</v>
      </c>
      <c r="C16" s="795" t="str">
        <f ca="1">IFERROR(VLOOKUP(B16,'Impact Indicators - Section B '!$A$9:$AF$52,32,FALSE),"")</f>
        <v>HIV I-9a⁽ᴹ⁾ Porcentaje de HSH y viven con el VIH</v>
      </c>
      <c r="D16" s="796" t="str">
        <f ca="1">R16</f>
        <v/>
      </c>
      <c r="E16" s="796" t="str">
        <f ca="1">S16</f>
        <v/>
      </c>
      <c r="F16" s="127"/>
      <c r="G16" s="797" t="str">
        <f ca="1">IF(OR(INDIRECT("'update Helper'!E"&amp;U16)="",F16&lt;&gt;0,F17&lt;&gt;0),IF(IFERROR((F16/F17),"")="","",(F16/F17)),INDIRECT("'update Helper'!E"&amp;U16)/100)</f>
        <v/>
      </c>
      <c r="H16" s="784"/>
      <c r="I16" s="798"/>
      <c r="J16" s="777"/>
      <c r="K16" s="795" t="str">
        <f ca="1">W16</f>
        <v>HIV I-9a⁽ᴹ⁾ Percentage of men who have sex with men who are living with HIV</v>
      </c>
      <c r="L16" s="795" t="str">
        <f ca="1">V16</f>
        <v/>
      </c>
      <c r="M16" s="777"/>
      <c r="N16" s="777"/>
      <c r="P16" s="89">
        <f ca="1">IF(AND(EXACT(C16,C14),C14&lt;&gt;0),P14+1,0)</f>
        <v>3</v>
      </c>
      <c r="Q16" s="89" t="str">
        <f ca="1">IF(C16&lt;&gt;"",C16&amp;"-"&amp;P16,"")</f>
        <v>HIV I-9a⁽ᴹ⁾ Porcentaje de HSH y viven con el VIH-3</v>
      </c>
      <c r="R16" s="89" t="str">
        <f t="array" aca="1" ref="R16" ca="1">IFERROR(IF(INDEX('Disaggregation Records'!$E$3:$E$66,MATCH(RIGHT(Q16,255),RIGHT('Disaggregation Records'!$D$3:$D$66,255),0))="","",INDEX('Disaggregation Records'!$E$3:$E$66,MATCH(RIGHT(Q16,255),RIGHT('Disaggregation Records'!$D$3:$D$66,255),0))),"")</f>
        <v/>
      </c>
      <c r="S16" s="89" t="str">
        <f t="array" aca="1" ref="S16" ca="1">IFERROR(IF(INDEX('Disaggregation Records'!$F$3:$F$66,MATCH(RIGHT(Q16,255),RIGHT('Disaggregation Records'!$D$3:$D$66,255),0))="","",INDEX('Disaggregation Records'!$F$3:$F$66,MATCH(RIGHT(Q16,255),RIGHT('Disaggregation Records'!$D$3:$D$66,255),0))),"")</f>
        <v/>
      </c>
      <c r="T16" s="89" t="str">
        <f t="array" aca="1" ref="T16" ca="1">IFERROR(IF(INDEX('Disaggregation Records'!$H$3:$H$66,MATCH(RIGHT(Q16,255),RIGHT('Disaggregation Records'!$D$3:$D$66,255),0))="","",INDEX('Disaggregation Records'!$H$3:$H$66,MATCH(RIGHT(Q16,255),RIGHT('Disaggregation Records'!$D$3:$D$66,255),0))),"")</f>
        <v/>
      </c>
      <c r="U16" s="89">
        <f>U14+1</f>
        <v>1194</v>
      </c>
      <c r="V16" s="89" t="str">
        <f t="array" aca="1" ref="V16" ca="1">IFERROR(IF(INDEX('Disaggregation Records'!$I$3:$I$66,MATCH(RIGHT(Q16,255),RIGHT('Disaggregation Records'!$D$3:$D$66,255),0))="","",INDEX('Disaggregation Records'!$I$3:$I$66,MATCH(RIGHT(Q16,255),RIGHT('Disaggregation Records'!$D$3:$D$66,255),0))),"")</f>
        <v/>
      </c>
      <c r="W16" s="89" t="str">
        <f ca="1">IFERROR(INDEX('Reference Records'!O$3:O$19,MATCH(LEFT(C16,255),'Reference Records'!J$3:J$19,0)),"")</f>
        <v>HIV I-9a⁽ᴹ⁾ Percentage of men who have sex with men who are living with HIV</v>
      </c>
    </row>
    <row r="17" spans="1:23" s="125" customFormat="1" ht="40.35" customHeight="1">
      <c r="A17" s="564"/>
      <c r="B17" s="799"/>
      <c r="C17" s="800"/>
      <c r="D17" s="801"/>
      <c r="E17" s="801"/>
      <c r="F17" s="128"/>
      <c r="G17" s="802"/>
      <c r="H17" s="781"/>
      <c r="I17" s="803"/>
      <c r="J17" s="779"/>
      <c r="K17" s="800"/>
      <c r="L17" s="800"/>
      <c r="M17" s="779"/>
      <c r="N17" s="779"/>
    </row>
    <row r="18" spans="1:23" s="89" customFormat="1" ht="40.35" customHeight="1">
      <c r="A18" s="564" t="str">
        <f t="shared" ca="1" si="0"/>
        <v>a1G3p000005dHa9EAE</v>
      </c>
      <c r="B18" s="794">
        <v>1</v>
      </c>
      <c r="C18" s="795" t="str">
        <f ca="1">IFERROR(VLOOKUP(B18,'Impact Indicators - Section B '!$A$9:$AF$52,32,FALSE),"")</f>
        <v>HIV I-9a⁽ᴹ⁾ Porcentaje de HSH y viven con el VIH</v>
      </c>
      <c r="D18" s="796" t="str">
        <f ca="1">R18</f>
        <v/>
      </c>
      <c r="E18" s="796" t="str">
        <f ca="1">S18</f>
        <v/>
      </c>
      <c r="F18" s="127"/>
      <c r="G18" s="797" t="str">
        <f ca="1">IF(OR(INDIRECT("'update Helper'!E"&amp;U18)="",F18&lt;&gt;0,F19&lt;&gt;0),IF(IFERROR((F18/F19),"")="","",(F18/F19)),INDIRECT("'update Helper'!E"&amp;U18)/100)</f>
        <v/>
      </c>
      <c r="H18" s="784"/>
      <c r="I18" s="798"/>
      <c r="J18" s="777"/>
      <c r="K18" s="795" t="str">
        <f ca="1">W18</f>
        <v>HIV I-9a⁽ᴹ⁾ Percentage of men who have sex with men who are living with HIV</v>
      </c>
      <c r="L18" s="795" t="str">
        <f ca="1">V18</f>
        <v/>
      </c>
      <c r="M18" s="777"/>
      <c r="N18" s="777"/>
      <c r="P18" s="89">
        <f ca="1">IF(AND(EXACT(C18,C16),C16&lt;&gt;0),P16+1,0)</f>
        <v>4</v>
      </c>
      <c r="Q18" s="89" t="str">
        <f ca="1">IF(C18&lt;&gt;"",C18&amp;"-"&amp;P18,"")</f>
        <v>HIV I-9a⁽ᴹ⁾ Porcentaje de HSH y viven con el VIH-4</v>
      </c>
      <c r="R18" s="89" t="str">
        <f t="array" aca="1" ref="R18" ca="1">IFERROR(IF(INDEX('Disaggregation Records'!$E$3:$E$66,MATCH(RIGHT(Q18,255),RIGHT('Disaggregation Records'!$D$3:$D$66,255),0))="","",INDEX('Disaggregation Records'!$E$3:$E$66,MATCH(RIGHT(Q18,255),RIGHT('Disaggregation Records'!$D$3:$D$66,255),0))),"")</f>
        <v/>
      </c>
      <c r="S18" s="89" t="str">
        <f t="array" aca="1" ref="S18" ca="1">IFERROR(IF(INDEX('Disaggregation Records'!$F$3:$F$66,MATCH(RIGHT(Q18,255),RIGHT('Disaggregation Records'!$D$3:$D$66,255),0))="","",INDEX('Disaggregation Records'!$F$3:$F$66,MATCH(RIGHT(Q18,255),RIGHT('Disaggregation Records'!$D$3:$D$66,255),0))),"")</f>
        <v/>
      </c>
      <c r="T18" s="89" t="str">
        <f t="array" aca="1" ref="T18" ca="1">IFERROR(IF(INDEX('Disaggregation Records'!$H$3:$H$66,MATCH(RIGHT(Q18,255),RIGHT('Disaggregation Records'!$D$3:$D$66,255),0))="","",INDEX('Disaggregation Records'!$H$3:$H$66,MATCH(RIGHT(Q18,255),RIGHT('Disaggregation Records'!$D$3:$D$66,255),0))),"")</f>
        <v/>
      </c>
      <c r="U18" s="89">
        <f>U16+1</f>
        <v>1195</v>
      </c>
      <c r="V18" s="89" t="str">
        <f t="array" aca="1" ref="V18" ca="1">IFERROR(IF(INDEX('Disaggregation Records'!$I$3:$I$66,MATCH(RIGHT(Q18,255),RIGHT('Disaggregation Records'!$D$3:$D$66,255),0))="","",INDEX('Disaggregation Records'!$I$3:$I$66,MATCH(RIGHT(Q18,255),RIGHT('Disaggregation Records'!$D$3:$D$66,255),0))),"")</f>
        <v/>
      </c>
      <c r="W18" s="89" t="str">
        <f ca="1">IFERROR(INDEX('Reference Records'!O$3:O$19,MATCH(LEFT(C18,255),'Reference Records'!J$3:J$19,0)),"")</f>
        <v>HIV I-9a⁽ᴹ⁾ Percentage of men who have sex with men who are living with HIV</v>
      </c>
    </row>
    <row r="19" spans="1:23" s="125" customFormat="1" ht="40.35" customHeight="1">
      <c r="A19" s="564"/>
      <c r="B19" s="799"/>
      <c r="C19" s="800"/>
      <c r="D19" s="801"/>
      <c r="E19" s="801"/>
      <c r="F19" s="128"/>
      <c r="G19" s="802"/>
      <c r="H19" s="781"/>
      <c r="I19" s="803"/>
      <c r="J19" s="779"/>
      <c r="K19" s="800"/>
      <c r="L19" s="800"/>
      <c r="M19" s="779"/>
      <c r="N19" s="779"/>
    </row>
    <row r="20" spans="1:23" s="89" customFormat="1" ht="40.35" customHeight="1">
      <c r="A20" s="564" t="str">
        <f t="shared" ca="1" si="0"/>
        <v>a1G3p000005dHaAEAU</v>
      </c>
      <c r="B20" s="794">
        <v>1</v>
      </c>
      <c r="C20" s="795" t="str">
        <f ca="1">IFERROR(VLOOKUP(B20,'Impact Indicators - Section B '!$A$9:$AF$52,32,FALSE),"")</f>
        <v>HIV I-9a⁽ᴹ⁾ Porcentaje de HSH y viven con el VIH</v>
      </c>
      <c r="D20" s="796" t="str">
        <f ca="1">R20</f>
        <v/>
      </c>
      <c r="E20" s="796" t="str">
        <f ca="1">S20</f>
        <v/>
      </c>
      <c r="F20" s="127"/>
      <c r="G20" s="797" t="str">
        <f ca="1">IF(OR(INDIRECT("'update Helper'!E"&amp;U20)="",F20&lt;&gt;0,F21&lt;&gt;0),IF(IFERROR((F20/F21),"")="","",(F20/F21)),INDIRECT("'update Helper'!E"&amp;U20)/100)</f>
        <v/>
      </c>
      <c r="H20" s="784"/>
      <c r="I20" s="798"/>
      <c r="J20" s="777"/>
      <c r="K20" s="795" t="str">
        <f ca="1">W20</f>
        <v>HIV I-9a⁽ᴹ⁾ Percentage of men who have sex with men who are living with HIV</v>
      </c>
      <c r="L20" s="795" t="str">
        <f ca="1">V20</f>
        <v/>
      </c>
      <c r="M20" s="777"/>
      <c r="N20" s="777"/>
      <c r="P20" s="89">
        <f ca="1">IF(AND(EXACT(C20,C18),C18&lt;&gt;0),P18+1,0)</f>
        <v>5</v>
      </c>
      <c r="Q20" s="89" t="str">
        <f ca="1">IF(C20&lt;&gt;"",C20&amp;"-"&amp;P20,"")</f>
        <v>HIV I-9a⁽ᴹ⁾ Porcentaje de HSH y viven con el VIH-5</v>
      </c>
      <c r="R20" s="89" t="str">
        <f t="array" aca="1" ref="R20" ca="1">IFERROR(IF(INDEX('Disaggregation Records'!$E$3:$E$66,MATCH(RIGHT(Q20,255),RIGHT('Disaggregation Records'!$D$3:$D$66,255),0))="","",INDEX('Disaggregation Records'!$E$3:$E$66,MATCH(RIGHT(Q20,255),RIGHT('Disaggregation Records'!$D$3:$D$66,255),0))),"")</f>
        <v/>
      </c>
      <c r="S20" s="89" t="str">
        <f t="array" aca="1" ref="S20" ca="1">IFERROR(IF(INDEX('Disaggregation Records'!$F$3:$F$66,MATCH(RIGHT(Q20,255),RIGHT('Disaggregation Records'!$D$3:$D$66,255),0))="","",INDEX('Disaggregation Records'!$F$3:$F$66,MATCH(RIGHT(Q20,255),RIGHT('Disaggregation Records'!$D$3:$D$66,255),0))),"")</f>
        <v/>
      </c>
      <c r="T20" s="89" t="str">
        <f t="array" aca="1" ref="T20" ca="1">IFERROR(IF(INDEX('Disaggregation Records'!$H$3:$H$66,MATCH(RIGHT(Q20,255),RIGHT('Disaggregation Records'!$D$3:$D$66,255),0))="","",INDEX('Disaggregation Records'!$H$3:$H$66,MATCH(RIGHT(Q20,255),RIGHT('Disaggregation Records'!$D$3:$D$66,255),0))),"")</f>
        <v/>
      </c>
      <c r="U20" s="89">
        <f>U18+1</f>
        <v>1196</v>
      </c>
      <c r="V20" s="89" t="str">
        <f t="array" aca="1" ref="V20" ca="1">IFERROR(IF(INDEX('Disaggregation Records'!$I$3:$I$66,MATCH(RIGHT(Q20,255),RIGHT('Disaggregation Records'!$D$3:$D$66,255),0))="","",INDEX('Disaggregation Records'!$I$3:$I$66,MATCH(RIGHT(Q20,255),RIGHT('Disaggregation Records'!$D$3:$D$66,255),0))),"")</f>
        <v/>
      </c>
      <c r="W20" s="89" t="str">
        <f ca="1">IFERROR(INDEX('Reference Records'!O$3:O$19,MATCH(LEFT(C20,255),'Reference Records'!J$3:J$19,0)),"")</f>
        <v>HIV I-9a⁽ᴹ⁾ Percentage of men who have sex with men who are living with HIV</v>
      </c>
    </row>
    <row r="21" spans="1:23" s="89" customFormat="1" ht="40.35" customHeight="1">
      <c r="A21" s="564"/>
      <c r="B21" s="799"/>
      <c r="C21" s="800"/>
      <c r="D21" s="801"/>
      <c r="E21" s="801"/>
      <c r="F21" s="128"/>
      <c r="G21" s="802"/>
      <c r="H21" s="781"/>
      <c r="I21" s="803"/>
      <c r="J21" s="779"/>
      <c r="K21" s="800"/>
      <c r="L21" s="800"/>
      <c r="M21" s="779"/>
      <c r="N21" s="779"/>
      <c r="P21" s="125"/>
      <c r="Q21" s="125"/>
      <c r="R21" s="125"/>
      <c r="S21" s="125"/>
      <c r="T21" s="125"/>
      <c r="U21" s="125"/>
      <c r="V21" s="125"/>
      <c r="W21" s="125"/>
    </row>
    <row r="22" spans="1:23" s="89" customFormat="1" ht="40.35" customHeight="1">
      <c r="A22" s="564" t="str">
        <f t="shared" ca="1" si="0"/>
        <v>a1G3p000005dHaBEAU</v>
      </c>
      <c r="B22" s="794">
        <v>1</v>
      </c>
      <c r="C22" s="795" t="str">
        <f ca="1">IFERROR(VLOOKUP(B22,'Impact Indicators - Section B '!$A$9:$AF$52,32,FALSE),"")</f>
        <v>HIV I-9a⁽ᴹ⁾ Porcentaje de HSH y viven con el VIH</v>
      </c>
      <c r="D22" s="796" t="str">
        <f ca="1">R22</f>
        <v/>
      </c>
      <c r="E22" s="796" t="str">
        <f ca="1">S22</f>
        <v/>
      </c>
      <c r="F22" s="127"/>
      <c r="G22" s="797" t="str">
        <f ca="1">IF(OR(INDIRECT("'update Helper'!E"&amp;U22)="",F22&lt;&gt;0,F23&lt;&gt;0),IF(IFERROR((F22/F23),"")="","",(F22/F23)),INDIRECT("'update Helper'!E"&amp;U22)/100)</f>
        <v/>
      </c>
      <c r="H22" s="784"/>
      <c r="I22" s="798"/>
      <c r="J22" s="777"/>
      <c r="K22" s="795" t="str">
        <f ca="1">W22</f>
        <v>HIV I-9a⁽ᴹ⁾ Percentage of men who have sex with men who are living with HIV</v>
      </c>
      <c r="L22" s="795" t="str">
        <f ca="1">V22</f>
        <v/>
      </c>
      <c r="M22" s="777"/>
      <c r="N22" s="777"/>
      <c r="P22" s="89">
        <f ca="1">IF(AND(EXACT(C22,C20),C20&lt;&gt;0),P20+1,0)</f>
        <v>6</v>
      </c>
      <c r="Q22" s="89" t="str">
        <f ca="1">IF(C22&lt;&gt;"",C22&amp;"-"&amp;P22,"")</f>
        <v>HIV I-9a⁽ᴹ⁾ Porcentaje de HSH y viven con el VIH-6</v>
      </c>
      <c r="R22" s="89" t="str">
        <f t="array" aca="1" ref="R22" ca="1">IFERROR(IF(INDEX('Disaggregation Records'!$E$3:$E$66,MATCH(RIGHT(Q22,255),RIGHT('Disaggregation Records'!$D$3:$D$66,255),0))="","",INDEX('Disaggregation Records'!$E$3:$E$66,MATCH(RIGHT(Q22,255),RIGHT('Disaggregation Records'!$D$3:$D$66,255),0))),"")</f>
        <v/>
      </c>
      <c r="S22" s="89" t="str">
        <f t="array" aca="1" ref="S22" ca="1">IFERROR(IF(INDEX('Disaggregation Records'!$F$3:$F$66,MATCH(RIGHT(Q22,255),RIGHT('Disaggregation Records'!$D$3:$D$66,255),0))="","",INDEX('Disaggregation Records'!$F$3:$F$66,MATCH(RIGHT(Q22,255),RIGHT('Disaggregation Records'!$D$3:$D$66,255),0))),"")</f>
        <v/>
      </c>
      <c r="T22" s="89" t="str">
        <f t="array" aca="1" ref="T22" ca="1">IFERROR(IF(INDEX('Disaggregation Records'!$H$3:$H$66,MATCH(RIGHT(Q22,255),RIGHT('Disaggregation Records'!$D$3:$D$66,255),0))="","",INDEX('Disaggregation Records'!$H$3:$H$66,MATCH(RIGHT(Q22,255),RIGHT('Disaggregation Records'!$D$3:$D$66,255),0))),"")</f>
        <v/>
      </c>
      <c r="U22" s="89">
        <f>U20+1</f>
        <v>1197</v>
      </c>
      <c r="V22" s="89" t="str">
        <f t="array" aca="1" ref="V22" ca="1">IFERROR(IF(INDEX('Disaggregation Records'!$I$3:$I$66,MATCH(RIGHT(Q22,255),RIGHT('Disaggregation Records'!$D$3:$D$66,255),0))="","",INDEX('Disaggregation Records'!$I$3:$I$66,MATCH(RIGHT(Q22,255),RIGHT('Disaggregation Records'!$D$3:$D$66,255),0))),"")</f>
        <v/>
      </c>
      <c r="W22" s="89" t="str">
        <f ca="1">IFERROR(INDEX('Reference Records'!O$3:O$19,MATCH(LEFT(C22,255),'Reference Records'!J$3:J$19,0)),"")</f>
        <v>HIV I-9a⁽ᴹ⁾ Percentage of men who have sex with men who are living with HIV</v>
      </c>
    </row>
    <row r="23" spans="1:23" s="125" customFormat="1" ht="40.35" customHeight="1">
      <c r="A23" s="564"/>
      <c r="B23" s="799"/>
      <c r="C23" s="800"/>
      <c r="D23" s="801"/>
      <c r="E23" s="801"/>
      <c r="F23" s="128"/>
      <c r="G23" s="802"/>
      <c r="H23" s="781"/>
      <c r="I23" s="803"/>
      <c r="J23" s="779"/>
      <c r="K23" s="800"/>
      <c r="L23" s="800"/>
      <c r="M23" s="779"/>
      <c r="N23" s="779"/>
    </row>
    <row r="24" spans="1:23" s="89" customFormat="1" ht="40.35" customHeight="1">
      <c r="A24" s="564" t="str">
        <f t="shared" ca="1" si="0"/>
        <v>a1G3p000005dHaCEAU</v>
      </c>
      <c r="B24" s="794">
        <v>1</v>
      </c>
      <c r="C24" s="795" t="str">
        <f ca="1">IFERROR(VLOOKUP(B24,'Impact Indicators - Section B '!$A$9:$AF$52,32,FALSE),"")</f>
        <v>HIV I-9a⁽ᴹ⁾ Porcentaje de HSH y viven con el VIH</v>
      </c>
      <c r="D24" s="796" t="str">
        <f ca="1">R24</f>
        <v/>
      </c>
      <c r="E24" s="796" t="str">
        <f ca="1">S24</f>
        <v/>
      </c>
      <c r="F24" s="127"/>
      <c r="G24" s="797" t="str">
        <f ca="1">IF(OR(INDIRECT("'update Helper'!E"&amp;U24)="",F24&lt;&gt;0,F25&lt;&gt;0),IF(IFERROR((F24/F25),"")="","",(F24/F25)),INDIRECT("'update Helper'!E"&amp;U24)/100)</f>
        <v/>
      </c>
      <c r="H24" s="784"/>
      <c r="I24" s="798"/>
      <c r="J24" s="777"/>
      <c r="K24" s="795" t="str">
        <f ca="1">W24</f>
        <v>HIV I-9a⁽ᴹ⁾ Percentage of men who have sex with men who are living with HIV</v>
      </c>
      <c r="L24" s="795" t="str">
        <f ca="1">V24</f>
        <v/>
      </c>
      <c r="M24" s="777"/>
      <c r="N24" s="777"/>
      <c r="P24" s="89">
        <f ca="1">IF(AND(EXACT(C24,C22),C22&lt;&gt;0),P22+1,0)</f>
        <v>7</v>
      </c>
      <c r="Q24" s="89" t="str">
        <f ca="1">IF(C24&lt;&gt;"",C24&amp;"-"&amp;P24,"")</f>
        <v>HIV I-9a⁽ᴹ⁾ Porcentaje de HSH y viven con el VIH-7</v>
      </c>
      <c r="R24" s="89" t="str">
        <f t="array" aca="1" ref="R24" ca="1">IFERROR(IF(INDEX('Disaggregation Records'!$E$3:$E$66,MATCH(RIGHT(Q24,255),RIGHT('Disaggregation Records'!$D$3:$D$66,255),0))="","",INDEX('Disaggregation Records'!$E$3:$E$66,MATCH(RIGHT(Q24,255),RIGHT('Disaggregation Records'!$D$3:$D$66,255),0))),"")</f>
        <v/>
      </c>
      <c r="S24" s="89" t="str">
        <f t="array" aca="1" ref="S24" ca="1">IFERROR(IF(INDEX('Disaggregation Records'!$F$3:$F$66,MATCH(RIGHT(Q24,255),RIGHT('Disaggregation Records'!$D$3:$D$66,255),0))="","",INDEX('Disaggregation Records'!$F$3:$F$66,MATCH(RIGHT(Q24,255),RIGHT('Disaggregation Records'!$D$3:$D$66,255),0))),"")</f>
        <v/>
      </c>
      <c r="T24" s="89" t="str">
        <f t="array" aca="1" ref="T24" ca="1">IFERROR(IF(INDEX('Disaggregation Records'!$H$3:$H$66,MATCH(RIGHT(Q24,255),RIGHT('Disaggregation Records'!$D$3:$D$66,255),0))="","",INDEX('Disaggregation Records'!$H$3:$H$66,MATCH(RIGHT(Q24,255),RIGHT('Disaggregation Records'!$D$3:$D$66,255),0))),"")</f>
        <v/>
      </c>
      <c r="U24" s="89">
        <f>U22+1</f>
        <v>1198</v>
      </c>
      <c r="V24" s="89" t="str">
        <f t="array" aca="1" ref="V24" ca="1">IFERROR(IF(INDEX('Disaggregation Records'!$I$3:$I$66,MATCH(RIGHT(Q24,255),RIGHT('Disaggregation Records'!$D$3:$D$66,255),0))="","",INDEX('Disaggregation Records'!$I$3:$I$66,MATCH(RIGHT(Q24,255),RIGHT('Disaggregation Records'!$D$3:$D$66,255),0))),"")</f>
        <v/>
      </c>
      <c r="W24" s="89" t="str">
        <f ca="1">IFERROR(INDEX('Reference Records'!O$3:O$19,MATCH(LEFT(C24,255),'Reference Records'!J$3:J$19,0)),"")</f>
        <v>HIV I-9a⁽ᴹ⁾ Percentage of men who have sex with men who are living with HIV</v>
      </c>
    </row>
    <row r="25" spans="1:23" s="125" customFormat="1" ht="40.35" customHeight="1">
      <c r="A25" s="564"/>
      <c r="B25" s="799"/>
      <c r="C25" s="800"/>
      <c r="D25" s="801"/>
      <c r="E25" s="801"/>
      <c r="F25" s="128"/>
      <c r="G25" s="802"/>
      <c r="H25" s="781"/>
      <c r="I25" s="803"/>
      <c r="J25" s="779"/>
      <c r="K25" s="800"/>
      <c r="L25" s="800"/>
      <c r="M25" s="779"/>
      <c r="N25" s="779"/>
    </row>
    <row r="26" spans="1:23" s="89" customFormat="1" ht="40.35" customHeight="1">
      <c r="A26" s="564" t="str">
        <f t="shared" ca="1" si="0"/>
        <v>a1G3p000005dHaDEAU</v>
      </c>
      <c r="B26" s="794">
        <v>1</v>
      </c>
      <c r="C26" s="795" t="str">
        <f ca="1">IFERROR(VLOOKUP(B26,'Impact Indicators - Section B '!$A$9:$AF$52,32,FALSE),"")</f>
        <v>HIV I-9a⁽ᴹ⁾ Porcentaje de HSH y viven con el VIH</v>
      </c>
      <c r="D26" s="796" t="str">
        <f ca="1">R26</f>
        <v/>
      </c>
      <c r="E26" s="796" t="str">
        <f ca="1">S26</f>
        <v/>
      </c>
      <c r="F26" s="127"/>
      <c r="G26" s="797" t="str">
        <f ca="1">IF(OR(INDIRECT("'update Helper'!E"&amp;U26)="",F26&lt;&gt;0,F27&lt;&gt;0),IF(IFERROR((F26/F27),"")="","",(F26/F27)),INDIRECT("'update Helper'!E"&amp;U26)/100)</f>
        <v/>
      </c>
      <c r="H26" s="784"/>
      <c r="I26" s="798"/>
      <c r="J26" s="777"/>
      <c r="K26" s="795" t="str">
        <f ca="1">W26</f>
        <v>HIV I-9a⁽ᴹ⁾ Percentage of men who have sex with men who are living with HIV</v>
      </c>
      <c r="L26" s="795" t="str">
        <f ca="1">V26</f>
        <v/>
      </c>
      <c r="M26" s="777"/>
      <c r="N26" s="777"/>
      <c r="P26" s="89">
        <f ca="1">IF(AND(EXACT(C26,C24),C24&lt;&gt;0),P24+1,0)</f>
        <v>8</v>
      </c>
      <c r="Q26" s="89" t="str">
        <f ca="1">IF(C26&lt;&gt;"",C26&amp;"-"&amp;P26,"")</f>
        <v>HIV I-9a⁽ᴹ⁾ Porcentaje de HSH y viven con el VIH-8</v>
      </c>
      <c r="R26" s="89" t="str">
        <f t="array" aca="1" ref="R26" ca="1">IFERROR(IF(INDEX('Disaggregation Records'!$E$3:$E$66,MATCH(RIGHT(Q26,255),RIGHT('Disaggregation Records'!$D$3:$D$66,255),0))="","",INDEX('Disaggregation Records'!$E$3:$E$66,MATCH(RIGHT(Q26,255),RIGHT('Disaggregation Records'!$D$3:$D$66,255),0))),"")</f>
        <v/>
      </c>
      <c r="S26" s="89" t="str">
        <f t="array" aca="1" ref="S26" ca="1">IFERROR(IF(INDEX('Disaggregation Records'!$F$3:$F$66,MATCH(RIGHT(Q26,255),RIGHT('Disaggregation Records'!$D$3:$D$66,255),0))="","",INDEX('Disaggregation Records'!$F$3:$F$66,MATCH(RIGHT(Q26,255),RIGHT('Disaggregation Records'!$D$3:$D$66,255),0))),"")</f>
        <v/>
      </c>
      <c r="T26" s="89" t="str">
        <f t="array" aca="1" ref="T26" ca="1">IFERROR(IF(INDEX('Disaggregation Records'!$H$3:$H$66,MATCH(RIGHT(Q26,255),RIGHT('Disaggregation Records'!$D$3:$D$66,255),0))="","",INDEX('Disaggregation Records'!$H$3:$H$66,MATCH(RIGHT(Q26,255),RIGHT('Disaggregation Records'!$D$3:$D$66,255),0))),"")</f>
        <v/>
      </c>
      <c r="U26" s="89">
        <f>U24+1</f>
        <v>1199</v>
      </c>
      <c r="V26" s="89" t="str">
        <f t="array" aca="1" ref="V26" ca="1">IFERROR(IF(INDEX('Disaggregation Records'!$I$3:$I$66,MATCH(RIGHT(Q26,255),RIGHT('Disaggregation Records'!$D$3:$D$66,255),0))="","",INDEX('Disaggregation Records'!$I$3:$I$66,MATCH(RIGHT(Q26,255),RIGHT('Disaggregation Records'!$D$3:$D$66,255),0))),"")</f>
        <v/>
      </c>
      <c r="W26" s="89" t="str">
        <f ca="1">IFERROR(INDEX('Reference Records'!O$3:O$19,MATCH(LEFT(C26,255),'Reference Records'!J$3:J$19,0)),"")</f>
        <v>HIV I-9a⁽ᴹ⁾ Percentage of men who have sex with men who are living with HIV</v>
      </c>
    </row>
    <row r="27" spans="1:23" s="89" customFormat="1" ht="40.35" customHeight="1">
      <c r="A27" s="564"/>
      <c r="B27" s="799"/>
      <c r="C27" s="800"/>
      <c r="D27" s="801"/>
      <c r="E27" s="801"/>
      <c r="F27" s="128"/>
      <c r="G27" s="802"/>
      <c r="H27" s="781"/>
      <c r="I27" s="803"/>
      <c r="J27" s="779"/>
      <c r="K27" s="800"/>
      <c r="L27" s="800"/>
      <c r="M27" s="779"/>
      <c r="N27" s="779"/>
      <c r="P27" s="125"/>
      <c r="Q27" s="125"/>
      <c r="R27" s="125"/>
      <c r="S27" s="125"/>
      <c r="T27" s="125"/>
      <c r="U27" s="125"/>
      <c r="V27" s="125"/>
      <c r="W27" s="125"/>
    </row>
    <row r="28" spans="1:23" s="89" customFormat="1" ht="40.35" customHeight="1">
      <c r="A28" s="564" t="str">
        <f t="shared" ca="1" si="0"/>
        <v>a1G3p000005dHaEEAU</v>
      </c>
      <c r="B28" s="794">
        <v>1</v>
      </c>
      <c r="C28" s="795" t="str">
        <f ca="1">IFERROR(VLOOKUP(B28,'Impact Indicators - Section B '!$A$9:$AF$52,32,FALSE),"")</f>
        <v>HIV I-9a⁽ᴹ⁾ Porcentaje de HSH y viven con el VIH</v>
      </c>
      <c r="D28" s="796" t="str">
        <f ca="1">R28</f>
        <v/>
      </c>
      <c r="E28" s="796" t="str">
        <f ca="1">S28</f>
        <v/>
      </c>
      <c r="F28" s="127"/>
      <c r="G28" s="797" t="str">
        <f ca="1">IF(OR(INDIRECT("'update Helper'!E"&amp;U28)="",F28&lt;&gt;0,F29&lt;&gt;0),IF(IFERROR((F28/F29),"")="","",(F28/F29)),INDIRECT("'update Helper'!E"&amp;U28)/100)</f>
        <v/>
      </c>
      <c r="H28" s="784"/>
      <c r="I28" s="798"/>
      <c r="J28" s="777"/>
      <c r="K28" s="795" t="str">
        <f ca="1">W28</f>
        <v>HIV I-9a⁽ᴹ⁾ Percentage of men who have sex with men who are living with HIV</v>
      </c>
      <c r="L28" s="795" t="str">
        <f ca="1">V28</f>
        <v/>
      </c>
      <c r="M28" s="777"/>
      <c r="N28" s="777"/>
      <c r="P28" s="89">
        <f ca="1">IF(AND(EXACT(C28,C26),C26&lt;&gt;0),P26+1,0)</f>
        <v>9</v>
      </c>
      <c r="Q28" s="89" t="str">
        <f ca="1">IF(C28&lt;&gt;"",C28&amp;"-"&amp;P28,"")</f>
        <v>HIV I-9a⁽ᴹ⁾ Porcentaje de HSH y viven con el VIH-9</v>
      </c>
      <c r="R28" s="89" t="str">
        <f t="array" aca="1" ref="R28" ca="1">IFERROR(IF(INDEX('Disaggregation Records'!$E$3:$E$66,MATCH(RIGHT(Q28,255),RIGHT('Disaggregation Records'!$D$3:$D$66,255),0))="","",INDEX('Disaggregation Records'!$E$3:$E$66,MATCH(RIGHT(Q28,255),RIGHT('Disaggregation Records'!$D$3:$D$66,255),0))),"")</f>
        <v/>
      </c>
      <c r="S28" s="89" t="str">
        <f t="array" aca="1" ref="S28" ca="1">IFERROR(IF(INDEX('Disaggregation Records'!$F$3:$F$66,MATCH(RIGHT(Q28,255),RIGHT('Disaggregation Records'!$D$3:$D$66,255),0))="","",INDEX('Disaggregation Records'!$F$3:$F$66,MATCH(RIGHT(Q28,255),RIGHT('Disaggregation Records'!$D$3:$D$66,255),0))),"")</f>
        <v/>
      </c>
      <c r="T28" s="89" t="str">
        <f t="array" aca="1" ref="T28" ca="1">IFERROR(IF(INDEX('Disaggregation Records'!$H$3:$H$66,MATCH(RIGHT(Q28,255),RIGHT('Disaggregation Records'!$D$3:$D$66,255),0))="","",INDEX('Disaggregation Records'!$H$3:$H$66,MATCH(RIGHT(Q28,255),RIGHT('Disaggregation Records'!$D$3:$D$66,255),0))),"")</f>
        <v/>
      </c>
      <c r="U28" s="89">
        <f>U26+1</f>
        <v>1200</v>
      </c>
      <c r="V28" s="89" t="str">
        <f t="array" aca="1" ref="V28" ca="1">IFERROR(IF(INDEX('Disaggregation Records'!$I$3:$I$66,MATCH(RIGHT(Q28,255),RIGHT('Disaggregation Records'!$D$3:$D$66,255),0))="","",INDEX('Disaggregation Records'!$I$3:$I$66,MATCH(RIGHT(Q28,255),RIGHT('Disaggregation Records'!$D$3:$D$66,255),0))),"")</f>
        <v/>
      </c>
      <c r="W28" s="89" t="str">
        <f ca="1">IFERROR(INDEX('Reference Records'!O$3:O$19,MATCH(LEFT(C28,255),'Reference Records'!J$3:J$19,0)),"")</f>
        <v>HIV I-9a⁽ᴹ⁾ Percentage of men who have sex with men who are living with HIV</v>
      </c>
    </row>
    <row r="29" spans="1:23" s="125" customFormat="1" ht="40.35" customHeight="1">
      <c r="A29" s="564"/>
      <c r="B29" s="799"/>
      <c r="C29" s="800"/>
      <c r="D29" s="801"/>
      <c r="E29" s="801"/>
      <c r="F29" s="128"/>
      <c r="G29" s="802"/>
      <c r="H29" s="781"/>
      <c r="I29" s="803"/>
      <c r="J29" s="779"/>
      <c r="K29" s="800"/>
      <c r="L29" s="800"/>
      <c r="M29" s="779"/>
      <c r="N29" s="779"/>
    </row>
    <row r="30" spans="1:23" s="89" customFormat="1" ht="40.35" customHeight="1">
      <c r="A30" s="564" t="str">
        <f t="shared" ca="1" si="0"/>
        <v>a1G3p000005dHaFEAU</v>
      </c>
      <c r="B30" s="794">
        <v>2</v>
      </c>
      <c r="C30" s="795" t="str">
        <f ca="1">IFERROR(VLOOKUP(B30,'Impact Indicators - Section B '!$A$9:$AF$52,32,FALSE),"")</f>
        <v>HIV I-9b⁽ᴹ⁾ Porcentaje de personas transgénero que viven con el VIH</v>
      </c>
      <c r="D30" s="796" t="str">
        <f ca="1">R30</f>
        <v>Edad</v>
      </c>
      <c r="E30" s="796" t="str">
        <f ca="1">S30</f>
        <v>25+</v>
      </c>
      <c r="F30" s="127">
        <v>138</v>
      </c>
      <c r="G30" s="797">
        <f ca="1">IF(OR(INDIRECT("'update Helper'!E"&amp;U30)="",F30&lt;&gt;0,F31&lt;&gt;0),IF(IFERROR((F30/F31),"")="","",(F30/F31)),INDIRECT("'update Helper'!E"&amp;U30)/100)</f>
        <v>0.33093525179856115</v>
      </c>
      <c r="H30" s="804">
        <v>2021</v>
      </c>
      <c r="I30" s="798" t="s">
        <v>5495</v>
      </c>
      <c r="J30" s="777" t="s">
        <v>5496</v>
      </c>
      <c r="K30" s="795" t="str">
        <f ca="1">W30</f>
        <v>HIV I-9b⁽ᴹ⁾ Percentage of transgender people who are living with HIV</v>
      </c>
      <c r="L30" s="795" t="str">
        <f ca="1">V30</f>
        <v>Age</v>
      </c>
      <c r="M30" s="777"/>
      <c r="N30" s="777"/>
      <c r="P30" s="89">
        <f ca="1">IF(AND(EXACT(C30,C28),C28&lt;&gt;0),P28+1,0)</f>
        <v>0</v>
      </c>
      <c r="Q30" s="89" t="str">
        <f ca="1">IF(C30&lt;&gt;"",C30&amp;"-"&amp;P30,"")</f>
        <v>HIV I-9b⁽ᴹ⁾ Porcentaje de personas transgénero que viven con el VIH-0</v>
      </c>
      <c r="R30" s="89" t="str">
        <f t="array" aca="1" ref="R30" ca="1">IFERROR(IF(INDEX('Disaggregation Records'!$E$3:$E$66,MATCH(RIGHT(Q30,255),RIGHT('Disaggregation Records'!$D$3:$D$66,255),0))="","",INDEX('Disaggregation Records'!$E$3:$E$66,MATCH(RIGHT(Q30,255),RIGHT('Disaggregation Records'!$D$3:$D$66,255),0))),"")</f>
        <v>Edad</v>
      </c>
      <c r="S30" s="89" t="str">
        <f t="array" aca="1" ref="S30" ca="1">IFERROR(IF(INDEX('Disaggregation Records'!$F$3:$F$66,MATCH(RIGHT(Q30,255),RIGHT('Disaggregation Records'!$D$3:$D$66,255),0))="","",INDEX('Disaggregation Records'!$F$3:$F$66,MATCH(RIGHT(Q30,255),RIGHT('Disaggregation Records'!$D$3:$D$66,255),0))),"")</f>
        <v>25+</v>
      </c>
      <c r="T30" s="89" t="str">
        <f t="array" aca="1" ref="T30" ca="1">IFERROR(IF(INDEX('Disaggregation Records'!$H$3:$H$66,MATCH(RIGHT(Q30,255),RIGHT('Disaggregation Records'!$D$3:$D$66,255),0))="","",INDEX('Disaggregation Records'!$H$3:$H$66,MATCH(RIGHT(Q30,255),RIGHT('Disaggregation Records'!$D$3:$D$66,255),0))),"")</f>
        <v>IDR-00659</v>
      </c>
      <c r="U30" s="89">
        <f>U28+1</f>
        <v>1201</v>
      </c>
      <c r="V30" s="89" t="str">
        <f t="array" aca="1" ref="V30" ca="1">IFERROR(IF(INDEX('Disaggregation Records'!$I$3:$I$66,MATCH(RIGHT(Q30,255),RIGHT('Disaggregation Records'!$D$3:$D$66,255),0))="","",INDEX('Disaggregation Records'!$I$3:$I$66,MATCH(RIGHT(Q30,255),RIGHT('Disaggregation Records'!$D$3:$D$66,255),0))),"")</f>
        <v>Age</v>
      </c>
      <c r="W30" s="89" t="str">
        <f ca="1">IFERROR(INDEX('Reference Records'!O$3:O$19,MATCH(LEFT(C30,255),'Reference Records'!J$3:J$19,0)),"")</f>
        <v>HIV I-9b⁽ᴹ⁾ Percentage of transgender people who are living with HIV</v>
      </c>
    </row>
    <row r="31" spans="1:23" s="125" customFormat="1" ht="40.35" customHeight="1">
      <c r="A31" s="564"/>
      <c r="B31" s="799"/>
      <c r="C31" s="800"/>
      <c r="D31" s="801"/>
      <c r="E31" s="801"/>
      <c r="F31" s="128">
        <v>417</v>
      </c>
      <c r="G31" s="802"/>
      <c r="H31" s="805"/>
      <c r="I31" s="803"/>
      <c r="J31" s="779"/>
      <c r="K31" s="800"/>
      <c r="L31" s="800"/>
      <c r="M31" s="779"/>
      <c r="N31" s="779"/>
    </row>
    <row r="32" spans="1:23" s="89" customFormat="1" ht="40.35" customHeight="1">
      <c r="A32" s="564" t="str">
        <f t="shared" ca="1" si="0"/>
        <v>a1G3p000005dHaGEAU</v>
      </c>
      <c r="B32" s="794">
        <v>2</v>
      </c>
      <c r="C32" s="795" t="str">
        <f ca="1">IFERROR(VLOOKUP(B32,'Impact Indicators - Section B '!$A$9:$AF$52,32,FALSE),"")</f>
        <v>HIV I-9b⁽ᴹ⁾ Porcentaje de personas transgénero que viven con el VIH</v>
      </c>
      <c r="D32" s="796" t="str">
        <f ca="1">R32</f>
        <v>Edad</v>
      </c>
      <c r="E32" s="796" t="str">
        <f ca="1">S32</f>
        <v>&lt;25</v>
      </c>
      <c r="F32" s="127">
        <v>25</v>
      </c>
      <c r="G32" s="797">
        <f ca="1">IF(OR(INDIRECT("'update Helper'!E"&amp;U32)="",F32&lt;&gt;0,F33&lt;&gt;0),IF(IFERROR((F32/F33),"")="","",(F32/F33)),INDIRECT("'update Helper'!E"&amp;U32)/100)</f>
        <v>0.22321428571428573</v>
      </c>
      <c r="H32" s="804">
        <v>2021</v>
      </c>
      <c r="I32" s="798" t="s">
        <v>5495</v>
      </c>
      <c r="J32" s="777" t="s">
        <v>5496</v>
      </c>
      <c r="K32" s="795" t="str">
        <f ca="1">W32</f>
        <v>HIV I-9b⁽ᴹ⁾ Percentage of transgender people who are living with HIV</v>
      </c>
      <c r="L32" s="795" t="str">
        <f ca="1">V32</f>
        <v>Age</v>
      </c>
      <c r="M32" s="777"/>
      <c r="N32" s="777"/>
      <c r="P32" s="89">
        <f ca="1">IF(AND(EXACT(C32,C30),C30&lt;&gt;0),P30+1,0)</f>
        <v>1</v>
      </c>
      <c r="Q32" s="89" t="str">
        <f ca="1">IF(C32&lt;&gt;"",C32&amp;"-"&amp;P32,"")</f>
        <v>HIV I-9b⁽ᴹ⁾ Porcentaje de personas transgénero que viven con el VIH-1</v>
      </c>
      <c r="R32" s="89" t="str">
        <f t="array" aca="1" ref="R32" ca="1">IFERROR(IF(INDEX('Disaggregation Records'!$E$3:$E$66,MATCH(RIGHT(Q32,255),RIGHT('Disaggregation Records'!$D$3:$D$66,255),0))="","",INDEX('Disaggregation Records'!$E$3:$E$66,MATCH(RIGHT(Q32,255),RIGHT('Disaggregation Records'!$D$3:$D$66,255),0))),"")</f>
        <v>Edad</v>
      </c>
      <c r="S32" s="89" t="str">
        <f t="array" aca="1" ref="S32" ca="1">IFERROR(IF(INDEX('Disaggregation Records'!$F$3:$F$66,MATCH(RIGHT(Q32,255),RIGHT('Disaggregation Records'!$D$3:$D$66,255),0))="","",INDEX('Disaggregation Records'!$F$3:$F$66,MATCH(RIGHT(Q32,255),RIGHT('Disaggregation Records'!$D$3:$D$66,255),0))),"")</f>
        <v>&lt;25</v>
      </c>
      <c r="T32" s="89" t="str">
        <f t="array" aca="1" ref="T32" ca="1">IFERROR(IF(INDEX('Disaggregation Records'!$H$3:$H$66,MATCH(RIGHT(Q32,255),RIGHT('Disaggregation Records'!$D$3:$D$66,255),0))="","",INDEX('Disaggregation Records'!$H$3:$H$66,MATCH(RIGHT(Q32,255),RIGHT('Disaggregation Records'!$D$3:$D$66,255),0))),"")</f>
        <v>IDR-00658</v>
      </c>
      <c r="U32" s="89">
        <f>U30+1</f>
        <v>1202</v>
      </c>
      <c r="V32" s="89" t="str">
        <f t="array" aca="1" ref="V32" ca="1">IFERROR(IF(INDEX('Disaggregation Records'!$I$3:$I$66,MATCH(RIGHT(Q32,255),RIGHT('Disaggregation Records'!$D$3:$D$66,255),0))="","",INDEX('Disaggregation Records'!$I$3:$I$66,MATCH(RIGHT(Q32,255),RIGHT('Disaggregation Records'!$D$3:$D$66,255),0))),"")</f>
        <v>Age</v>
      </c>
      <c r="W32" s="89" t="str">
        <f ca="1">IFERROR(INDEX('Reference Records'!O$3:O$19,MATCH(LEFT(C32,255),'Reference Records'!J$3:J$19,0)),"")</f>
        <v>HIV I-9b⁽ᴹ⁾ Percentage of transgender people who are living with HIV</v>
      </c>
    </row>
    <row r="33" spans="1:23" s="89" customFormat="1" ht="40.35" customHeight="1">
      <c r="A33" s="564"/>
      <c r="B33" s="799"/>
      <c r="C33" s="800"/>
      <c r="D33" s="801"/>
      <c r="E33" s="801"/>
      <c r="F33" s="128">
        <v>112</v>
      </c>
      <c r="G33" s="802"/>
      <c r="H33" s="805"/>
      <c r="I33" s="803"/>
      <c r="J33" s="779"/>
      <c r="K33" s="800"/>
      <c r="L33" s="800"/>
      <c r="M33" s="779"/>
      <c r="N33" s="779"/>
      <c r="P33" s="125"/>
      <c r="Q33" s="125"/>
      <c r="R33" s="125"/>
      <c r="S33" s="125"/>
      <c r="T33" s="125"/>
      <c r="U33" s="125"/>
      <c r="V33" s="125"/>
      <c r="W33" s="125"/>
    </row>
    <row r="34" spans="1:23" s="89" customFormat="1" ht="40.35" customHeight="1">
      <c r="A34" s="564" t="str">
        <f t="shared" ca="1" si="0"/>
        <v>a1G3p000005dHaHEAU</v>
      </c>
      <c r="B34" s="794">
        <v>2</v>
      </c>
      <c r="C34" s="795" t="str">
        <f ca="1">IFERROR(VLOOKUP(B34,'Impact Indicators - Section B '!$A$9:$AF$52,32,FALSE),"")</f>
        <v>HIV I-9b⁽ᴹ⁾ Porcentaje de personas transgénero que viven con el VIH</v>
      </c>
      <c r="D34" s="796" t="str">
        <f ca="1">R34</f>
        <v/>
      </c>
      <c r="E34" s="796" t="str">
        <f ca="1">S34</f>
        <v/>
      </c>
      <c r="F34" s="127"/>
      <c r="G34" s="797" t="str">
        <f ca="1">IF(OR(INDIRECT("'update Helper'!E"&amp;U34)="",F34&lt;&gt;0,F35&lt;&gt;0),IF(IFERROR((F34/F35),"")="","",(F34/F35)),INDIRECT("'update Helper'!E"&amp;U34)/100)</f>
        <v/>
      </c>
      <c r="H34" s="784"/>
      <c r="I34" s="798"/>
      <c r="J34" s="777"/>
      <c r="K34" s="795" t="str">
        <f ca="1">W34</f>
        <v>HIV I-9b⁽ᴹ⁾ Percentage of transgender people who are living with HIV</v>
      </c>
      <c r="L34" s="795" t="str">
        <f ca="1">V34</f>
        <v/>
      </c>
      <c r="M34" s="777"/>
      <c r="N34" s="777"/>
      <c r="P34" s="89">
        <f ca="1">IF(AND(EXACT(C34,C32),C32&lt;&gt;0),P32+1,0)</f>
        <v>2</v>
      </c>
      <c r="Q34" s="89" t="str">
        <f ca="1">IF(C34&lt;&gt;"",C34&amp;"-"&amp;P34,"")</f>
        <v>HIV I-9b⁽ᴹ⁾ Porcentaje de personas transgénero que viven con el VIH-2</v>
      </c>
      <c r="R34" s="89" t="str">
        <f t="array" aca="1" ref="R34" ca="1">IFERROR(IF(INDEX('Disaggregation Records'!$E$3:$E$66,MATCH(RIGHT(Q34,255),RIGHT('Disaggregation Records'!$D$3:$D$66,255),0))="","",INDEX('Disaggregation Records'!$E$3:$E$66,MATCH(RIGHT(Q34,255),RIGHT('Disaggregation Records'!$D$3:$D$66,255),0))),"")</f>
        <v/>
      </c>
      <c r="S34" s="89" t="str">
        <f t="array" aca="1" ref="S34" ca="1">IFERROR(IF(INDEX('Disaggregation Records'!$F$3:$F$66,MATCH(RIGHT(Q34,255),RIGHT('Disaggregation Records'!$D$3:$D$66,255),0))="","",INDEX('Disaggregation Records'!$F$3:$F$66,MATCH(RIGHT(Q34,255),RIGHT('Disaggregation Records'!$D$3:$D$66,255),0))),"")</f>
        <v/>
      </c>
      <c r="T34" s="89" t="str">
        <f t="array" aca="1" ref="T34" ca="1">IFERROR(IF(INDEX('Disaggregation Records'!$H$3:$H$66,MATCH(RIGHT(Q34,255),RIGHT('Disaggregation Records'!$D$3:$D$66,255),0))="","",INDEX('Disaggregation Records'!$H$3:$H$66,MATCH(RIGHT(Q34,255),RIGHT('Disaggregation Records'!$D$3:$D$66,255),0))),"")</f>
        <v/>
      </c>
      <c r="U34" s="89">
        <f>U32+1</f>
        <v>1203</v>
      </c>
      <c r="V34" s="89" t="str">
        <f t="array" aca="1" ref="V34" ca="1">IFERROR(IF(INDEX('Disaggregation Records'!$I$3:$I$66,MATCH(RIGHT(Q34,255),RIGHT('Disaggregation Records'!$D$3:$D$66,255),0))="","",INDEX('Disaggregation Records'!$I$3:$I$66,MATCH(RIGHT(Q34,255),RIGHT('Disaggregation Records'!$D$3:$D$66,255),0))),"")</f>
        <v/>
      </c>
      <c r="W34" s="89" t="str">
        <f ca="1">IFERROR(INDEX('Reference Records'!O$3:O$19,MATCH(LEFT(C34,255),'Reference Records'!J$3:J$19,0)),"")</f>
        <v>HIV I-9b⁽ᴹ⁾ Percentage of transgender people who are living with HIV</v>
      </c>
    </row>
    <row r="35" spans="1:23" s="125" customFormat="1" ht="40.35" customHeight="1">
      <c r="A35" s="564"/>
      <c r="B35" s="799"/>
      <c r="C35" s="800"/>
      <c r="D35" s="801"/>
      <c r="E35" s="801"/>
      <c r="F35" s="128"/>
      <c r="G35" s="802"/>
      <c r="H35" s="781"/>
      <c r="I35" s="803"/>
      <c r="J35" s="779"/>
      <c r="K35" s="800"/>
      <c r="L35" s="800"/>
      <c r="M35" s="779"/>
      <c r="N35" s="779"/>
    </row>
    <row r="36" spans="1:23" s="89" customFormat="1" ht="40.35" customHeight="1">
      <c r="A36" s="564" t="str">
        <f t="shared" ca="1" si="0"/>
        <v>a1G3p000005dHaIEAU</v>
      </c>
      <c r="B36" s="794">
        <v>2</v>
      </c>
      <c r="C36" s="795" t="str">
        <f ca="1">IFERROR(VLOOKUP(B36,'Impact Indicators - Section B '!$A$9:$AF$52,32,FALSE),"")</f>
        <v>HIV I-9b⁽ᴹ⁾ Porcentaje de personas transgénero que viven con el VIH</v>
      </c>
      <c r="D36" s="796" t="str">
        <f ca="1">R36</f>
        <v/>
      </c>
      <c r="E36" s="796" t="str">
        <f ca="1">S36</f>
        <v/>
      </c>
      <c r="F36" s="127"/>
      <c r="G36" s="797" t="str">
        <f ca="1">IF(OR(INDIRECT("'update Helper'!E"&amp;U36)="",F36&lt;&gt;0,F37&lt;&gt;0),IF(IFERROR((F36/F37),"")="","",(F36/F37)),INDIRECT("'update Helper'!E"&amp;U36)/100)</f>
        <v/>
      </c>
      <c r="H36" s="784"/>
      <c r="I36" s="798"/>
      <c r="J36" s="777"/>
      <c r="K36" s="795" t="str">
        <f ca="1">W36</f>
        <v>HIV I-9b⁽ᴹ⁾ Percentage of transgender people who are living with HIV</v>
      </c>
      <c r="L36" s="795" t="str">
        <f ca="1">V36</f>
        <v/>
      </c>
      <c r="M36" s="777"/>
      <c r="N36" s="777"/>
      <c r="P36" s="89">
        <f ca="1">IF(AND(EXACT(C36,C34),C34&lt;&gt;0),P34+1,0)</f>
        <v>3</v>
      </c>
      <c r="Q36" s="89" t="str">
        <f ca="1">IF(C36&lt;&gt;"",C36&amp;"-"&amp;P36,"")</f>
        <v>HIV I-9b⁽ᴹ⁾ Porcentaje de personas transgénero que viven con el VIH-3</v>
      </c>
      <c r="R36" s="89" t="str">
        <f t="array" aca="1" ref="R36" ca="1">IFERROR(IF(INDEX('Disaggregation Records'!$E$3:$E$66,MATCH(RIGHT(Q36,255),RIGHT('Disaggregation Records'!$D$3:$D$66,255),0))="","",INDEX('Disaggregation Records'!$E$3:$E$66,MATCH(RIGHT(Q36,255),RIGHT('Disaggregation Records'!$D$3:$D$66,255),0))),"")</f>
        <v/>
      </c>
      <c r="S36" s="89" t="str">
        <f t="array" aca="1" ref="S36" ca="1">IFERROR(IF(INDEX('Disaggregation Records'!$F$3:$F$66,MATCH(RIGHT(Q36,255),RIGHT('Disaggregation Records'!$D$3:$D$66,255),0))="","",INDEX('Disaggregation Records'!$F$3:$F$66,MATCH(RIGHT(Q36,255),RIGHT('Disaggregation Records'!$D$3:$D$66,255),0))),"")</f>
        <v/>
      </c>
      <c r="T36" s="89" t="str">
        <f t="array" aca="1" ref="T36" ca="1">IFERROR(IF(INDEX('Disaggregation Records'!$H$3:$H$66,MATCH(RIGHT(Q36,255),RIGHT('Disaggregation Records'!$D$3:$D$66,255),0))="","",INDEX('Disaggregation Records'!$H$3:$H$66,MATCH(RIGHT(Q36,255),RIGHT('Disaggregation Records'!$D$3:$D$66,255),0))),"")</f>
        <v/>
      </c>
      <c r="U36" s="89">
        <f>U34+1</f>
        <v>1204</v>
      </c>
      <c r="V36" s="89" t="str">
        <f t="array" aca="1" ref="V36" ca="1">IFERROR(IF(INDEX('Disaggregation Records'!$I$3:$I$66,MATCH(RIGHT(Q36,255),RIGHT('Disaggregation Records'!$D$3:$D$66,255),0))="","",INDEX('Disaggregation Records'!$I$3:$I$66,MATCH(RIGHT(Q36,255),RIGHT('Disaggregation Records'!$D$3:$D$66,255),0))),"")</f>
        <v/>
      </c>
      <c r="W36" s="89" t="str">
        <f ca="1">IFERROR(INDEX('Reference Records'!O$3:O$19,MATCH(LEFT(C36,255),'Reference Records'!J$3:J$19,0)),"")</f>
        <v>HIV I-9b⁽ᴹ⁾ Percentage of transgender people who are living with HIV</v>
      </c>
    </row>
    <row r="37" spans="1:23" s="125" customFormat="1" ht="40.35" customHeight="1">
      <c r="A37" s="564"/>
      <c r="B37" s="799"/>
      <c r="C37" s="800"/>
      <c r="D37" s="801"/>
      <c r="E37" s="801"/>
      <c r="F37" s="128"/>
      <c r="G37" s="802"/>
      <c r="H37" s="781"/>
      <c r="I37" s="803"/>
      <c r="J37" s="779"/>
      <c r="K37" s="800"/>
      <c r="L37" s="800"/>
      <c r="M37" s="779"/>
      <c r="N37" s="779"/>
    </row>
    <row r="38" spans="1:23" s="89" customFormat="1" ht="40.35" customHeight="1">
      <c r="A38" s="564" t="str">
        <f t="shared" ca="1" si="0"/>
        <v>a1G3p000005dHaJEAU</v>
      </c>
      <c r="B38" s="794">
        <v>2</v>
      </c>
      <c r="C38" s="795" t="str">
        <f ca="1">IFERROR(VLOOKUP(B38,'Impact Indicators - Section B '!$A$9:$AF$52,32,FALSE),"")</f>
        <v>HIV I-9b⁽ᴹ⁾ Porcentaje de personas transgénero que viven con el VIH</v>
      </c>
      <c r="D38" s="796" t="str">
        <f ca="1">R38</f>
        <v/>
      </c>
      <c r="E38" s="796" t="str">
        <f ca="1">S38</f>
        <v/>
      </c>
      <c r="F38" s="127"/>
      <c r="G38" s="797" t="str">
        <f ca="1">IF(OR(INDIRECT("'update Helper'!E"&amp;U38)="",F38&lt;&gt;0,F39&lt;&gt;0),IF(IFERROR((F38/F39),"")="","",(F38/F39)),INDIRECT("'update Helper'!E"&amp;U38)/100)</f>
        <v/>
      </c>
      <c r="H38" s="784"/>
      <c r="I38" s="798"/>
      <c r="J38" s="777"/>
      <c r="K38" s="795" t="str">
        <f ca="1">W38</f>
        <v>HIV I-9b⁽ᴹ⁾ Percentage of transgender people who are living with HIV</v>
      </c>
      <c r="L38" s="795" t="str">
        <f ca="1">V38</f>
        <v/>
      </c>
      <c r="M38" s="777"/>
      <c r="N38" s="777"/>
      <c r="P38" s="89">
        <f ca="1">IF(AND(EXACT(C38,C36),C36&lt;&gt;0),P36+1,0)</f>
        <v>4</v>
      </c>
      <c r="Q38" s="89" t="str">
        <f ca="1">IF(C38&lt;&gt;"",C38&amp;"-"&amp;P38,"")</f>
        <v>HIV I-9b⁽ᴹ⁾ Porcentaje de personas transgénero que viven con el VIH-4</v>
      </c>
      <c r="R38" s="89" t="str">
        <f t="array" aca="1" ref="R38" ca="1">IFERROR(IF(INDEX('Disaggregation Records'!$E$3:$E$66,MATCH(RIGHT(Q38,255),RIGHT('Disaggregation Records'!$D$3:$D$66,255),0))="","",INDEX('Disaggregation Records'!$E$3:$E$66,MATCH(RIGHT(Q38,255),RIGHT('Disaggregation Records'!$D$3:$D$66,255),0))),"")</f>
        <v/>
      </c>
      <c r="S38" s="89" t="str">
        <f t="array" aca="1" ref="S38" ca="1">IFERROR(IF(INDEX('Disaggregation Records'!$F$3:$F$66,MATCH(RIGHT(Q38,255),RIGHT('Disaggregation Records'!$D$3:$D$66,255),0))="","",INDEX('Disaggregation Records'!$F$3:$F$66,MATCH(RIGHT(Q38,255),RIGHT('Disaggregation Records'!$D$3:$D$66,255),0))),"")</f>
        <v/>
      </c>
      <c r="T38" s="89" t="str">
        <f t="array" aca="1" ref="T38" ca="1">IFERROR(IF(INDEX('Disaggregation Records'!$H$3:$H$66,MATCH(RIGHT(Q38,255),RIGHT('Disaggregation Records'!$D$3:$D$66,255),0))="","",INDEX('Disaggregation Records'!$H$3:$H$66,MATCH(RIGHT(Q38,255),RIGHT('Disaggregation Records'!$D$3:$D$66,255),0))),"")</f>
        <v/>
      </c>
      <c r="U38" s="89">
        <f>U36+1</f>
        <v>1205</v>
      </c>
      <c r="V38" s="89" t="str">
        <f t="array" aca="1" ref="V38" ca="1">IFERROR(IF(INDEX('Disaggregation Records'!$I$3:$I$66,MATCH(RIGHT(Q38,255),RIGHT('Disaggregation Records'!$D$3:$D$66,255),0))="","",INDEX('Disaggregation Records'!$I$3:$I$66,MATCH(RIGHT(Q38,255),RIGHT('Disaggregation Records'!$D$3:$D$66,255),0))),"")</f>
        <v/>
      </c>
      <c r="W38" s="89" t="str">
        <f ca="1">IFERROR(INDEX('Reference Records'!O$3:O$19,MATCH(LEFT(C38,255),'Reference Records'!J$3:J$19,0)),"")</f>
        <v>HIV I-9b⁽ᴹ⁾ Percentage of transgender people who are living with HIV</v>
      </c>
    </row>
    <row r="39" spans="1:23" s="89" customFormat="1" ht="40.35" customHeight="1">
      <c r="A39" s="564"/>
      <c r="B39" s="799"/>
      <c r="C39" s="800"/>
      <c r="D39" s="801"/>
      <c r="E39" s="801"/>
      <c r="F39" s="128"/>
      <c r="G39" s="802"/>
      <c r="H39" s="781"/>
      <c r="I39" s="803"/>
      <c r="J39" s="779"/>
      <c r="K39" s="800"/>
      <c r="L39" s="800"/>
      <c r="M39" s="779"/>
      <c r="N39" s="779"/>
      <c r="P39" s="125"/>
      <c r="Q39" s="125"/>
      <c r="R39" s="125"/>
      <c r="S39" s="125"/>
      <c r="T39" s="125"/>
      <c r="U39" s="125"/>
      <c r="V39" s="125"/>
      <c r="W39" s="125"/>
    </row>
    <row r="40" spans="1:23" s="89" customFormat="1" ht="40.35" customHeight="1">
      <c r="A40" s="564" t="str">
        <f t="shared" ca="1" si="0"/>
        <v>a1G3p000005dHaKEAU</v>
      </c>
      <c r="B40" s="794">
        <v>2</v>
      </c>
      <c r="C40" s="795" t="str">
        <f ca="1">IFERROR(VLOOKUP(B40,'Impact Indicators - Section B '!$A$9:$AF$52,32,FALSE),"")</f>
        <v>HIV I-9b⁽ᴹ⁾ Porcentaje de personas transgénero que viven con el VIH</v>
      </c>
      <c r="D40" s="796" t="str">
        <f ca="1">R40</f>
        <v/>
      </c>
      <c r="E40" s="796" t="str">
        <f ca="1">S40</f>
        <v/>
      </c>
      <c r="F40" s="127"/>
      <c r="G40" s="797" t="str">
        <f ca="1">IF(OR(INDIRECT("'update Helper'!E"&amp;U40)="",F40&lt;&gt;0,F41&lt;&gt;0),IF(IFERROR((F40/F41),"")="","",(F40/F41)),INDIRECT("'update Helper'!E"&amp;U40)/100)</f>
        <v/>
      </c>
      <c r="H40" s="784"/>
      <c r="I40" s="798"/>
      <c r="J40" s="777"/>
      <c r="K40" s="795" t="str">
        <f ca="1">W40</f>
        <v>HIV I-9b⁽ᴹ⁾ Percentage of transgender people who are living with HIV</v>
      </c>
      <c r="L40" s="795" t="str">
        <f ca="1">V40</f>
        <v/>
      </c>
      <c r="M40" s="777"/>
      <c r="N40" s="777"/>
      <c r="P40" s="89">
        <f ca="1">IF(AND(EXACT(C40,C38),C38&lt;&gt;0),P38+1,0)</f>
        <v>5</v>
      </c>
      <c r="Q40" s="89" t="str">
        <f ca="1">IF(C40&lt;&gt;"",C40&amp;"-"&amp;P40,"")</f>
        <v>HIV I-9b⁽ᴹ⁾ Porcentaje de personas transgénero que viven con el VIH-5</v>
      </c>
      <c r="R40" s="89" t="str">
        <f t="array" aca="1" ref="R40" ca="1">IFERROR(IF(INDEX('Disaggregation Records'!$E$3:$E$66,MATCH(RIGHT(Q40,255),RIGHT('Disaggregation Records'!$D$3:$D$66,255),0))="","",INDEX('Disaggregation Records'!$E$3:$E$66,MATCH(RIGHT(Q40,255),RIGHT('Disaggregation Records'!$D$3:$D$66,255),0))),"")</f>
        <v/>
      </c>
      <c r="S40" s="89" t="str">
        <f t="array" aca="1" ref="S40" ca="1">IFERROR(IF(INDEX('Disaggregation Records'!$F$3:$F$66,MATCH(RIGHT(Q40,255),RIGHT('Disaggregation Records'!$D$3:$D$66,255),0))="","",INDEX('Disaggregation Records'!$F$3:$F$66,MATCH(RIGHT(Q40,255),RIGHT('Disaggregation Records'!$D$3:$D$66,255),0))),"")</f>
        <v/>
      </c>
      <c r="T40" s="89" t="str">
        <f t="array" aca="1" ref="T40" ca="1">IFERROR(IF(INDEX('Disaggregation Records'!$H$3:$H$66,MATCH(RIGHT(Q40,255),RIGHT('Disaggregation Records'!$D$3:$D$66,255),0))="","",INDEX('Disaggregation Records'!$H$3:$H$66,MATCH(RIGHT(Q40,255),RIGHT('Disaggregation Records'!$D$3:$D$66,255),0))),"")</f>
        <v/>
      </c>
      <c r="U40" s="89">
        <f>U38+1</f>
        <v>1206</v>
      </c>
      <c r="V40" s="89" t="str">
        <f t="array" aca="1" ref="V40" ca="1">IFERROR(IF(INDEX('Disaggregation Records'!$I$3:$I$66,MATCH(RIGHT(Q40,255),RIGHT('Disaggregation Records'!$D$3:$D$66,255),0))="","",INDEX('Disaggregation Records'!$I$3:$I$66,MATCH(RIGHT(Q40,255),RIGHT('Disaggregation Records'!$D$3:$D$66,255),0))),"")</f>
        <v/>
      </c>
      <c r="W40" s="89" t="str">
        <f ca="1">IFERROR(INDEX('Reference Records'!O$3:O$19,MATCH(LEFT(C40,255),'Reference Records'!J$3:J$19,0)),"")</f>
        <v>HIV I-9b⁽ᴹ⁾ Percentage of transgender people who are living with HIV</v>
      </c>
    </row>
    <row r="41" spans="1:23" s="125" customFormat="1" ht="40.35" customHeight="1">
      <c r="A41" s="564"/>
      <c r="B41" s="799"/>
      <c r="C41" s="800"/>
      <c r="D41" s="801"/>
      <c r="E41" s="801"/>
      <c r="F41" s="128"/>
      <c r="G41" s="802"/>
      <c r="H41" s="781"/>
      <c r="I41" s="803"/>
      <c r="J41" s="779"/>
      <c r="K41" s="800"/>
      <c r="L41" s="800"/>
      <c r="M41" s="779"/>
      <c r="N41" s="779"/>
    </row>
    <row r="42" spans="1:23" s="89" customFormat="1" ht="40.35" customHeight="1">
      <c r="A42" s="564" t="str">
        <f t="shared" ca="1" si="0"/>
        <v>a1G3p000005dHaLEAU</v>
      </c>
      <c r="B42" s="794">
        <v>2</v>
      </c>
      <c r="C42" s="795" t="str">
        <f ca="1">IFERROR(VLOOKUP(B42,'Impact Indicators - Section B '!$A$9:$AF$52,32,FALSE),"")</f>
        <v>HIV I-9b⁽ᴹ⁾ Porcentaje de personas transgénero que viven con el VIH</v>
      </c>
      <c r="D42" s="796" t="str">
        <f ca="1">R42</f>
        <v/>
      </c>
      <c r="E42" s="796" t="str">
        <f ca="1">S42</f>
        <v/>
      </c>
      <c r="F42" s="127"/>
      <c r="G42" s="797" t="str">
        <f ca="1">IF(OR(INDIRECT("'update Helper'!E"&amp;U42)="",F42&lt;&gt;0,F43&lt;&gt;0),IF(IFERROR((F42/F43),"")="","",(F42/F43)),INDIRECT("'update Helper'!E"&amp;U42)/100)</f>
        <v/>
      </c>
      <c r="H42" s="784"/>
      <c r="I42" s="798"/>
      <c r="J42" s="777"/>
      <c r="K42" s="795" t="str">
        <f ca="1">W42</f>
        <v>HIV I-9b⁽ᴹ⁾ Percentage of transgender people who are living with HIV</v>
      </c>
      <c r="L42" s="795" t="str">
        <f ca="1">V42</f>
        <v/>
      </c>
      <c r="M42" s="777"/>
      <c r="N42" s="777"/>
      <c r="P42" s="89">
        <f ca="1">IF(AND(EXACT(C42,C40),C40&lt;&gt;0),P40+1,0)</f>
        <v>6</v>
      </c>
      <c r="Q42" s="89" t="str">
        <f ca="1">IF(C42&lt;&gt;"",C42&amp;"-"&amp;P42,"")</f>
        <v>HIV I-9b⁽ᴹ⁾ Porcentaje de personas transgénero que viven con el VIH-6</v>
      </c>
      <c r="R42" s="89" t="str">
        <f t="array" aca="1" ref="R42" ca="1">IFERROR(IF(INDEX('Disaggregation Records'!$E$3:$E$66,MATCH(RIGHT(Q42,255),RIGHT('Disaggregation Records'!$D$3:$D$66,255),0))="","",INDEX('Disaggregation Records'!$E$3:$E$66,MATCH(RIGHT(Q42,255),RIGHT('Disaggregation Records'!$D$3:$D$66,255),0))),"")</f>
        <v/>
      </c>
      <c r="S42" s="89" t="str">
        <f t="array" aca="1" ref="S42" ca="1">IFERROR(IF(INDEX('Disaggregation Records'!$F$3:$F$66,MATCH(RIGHT(Q42,255),RIGHT('Disaggregation Records'!$D$3:$D$66,255),0))="","",INDEX('Disaggregation Records'!$F$3:$F$66,MATCH(RIGHT(Q42,255),RIGHT('Disaggregation Records'!$D$3:$D$66,255),0))),"")</f>
        <v/>
      </c>
      <c r="T42" s="89" t="str">
        <f t="array" aca="1" ref="T42" ca="1">IFERROR(IF(INDEX('Disaggregation Records'!$H$3:$H$66,MATCH(RIGHT(Q42,255),RIGHT('Disaggregation Records'!$D$3:$D$66,255),0))="","",INDEX('Disaggregation Records'!$H$3:$H$66,MATCH(RIGHT(Q42,255),RIGHT('Disaggregation Records'!$D$3:$D$66,255),0))),"")</f>
        <v/>
      </c>
      <c r="U42" s="89">
        <f>U40+1</f>
        <v>1207</v>
      </c>
      <c r="V42" s="89" t="str">
        <f t="array" aca="1" ref="V42" ca="1">IFERROR(IF(INDEX('Disaggregation Records'!$I$3:$I$66,MATCH(RIGHT(Q42,255),RIGHT('Disaggregation Records'!$D$3:$D$66,255),0))="","",INDEX('Disaggregation Records'!$I$3:$I$66,MATCH(RIGHT(Q42,255),RIGHT('Disaggregation Records'!$D$3:$D$66,255),0))),"")</f>
        <v/>
      </c>
      <c r="W42" s="89" t="str">
        <f ca="1">IFERROR(INDEX('Reference Records'!O$3:O$19,MATCH(LEFT(C42,255),'Reference Records'!J$3:J$19,0)),"")</f>
        <v>HIV I-9b⁽ᴹ⁾ Percentage of transgender people who are living with HIV</v>
      </c>
    </row>
    <row r="43" spans="1:23" s="125" customFormat="1" ht="40.35" customHeight="1">
      <c r="A43" s="564"/>
      <c r="B43" s="799"/>
      <c r="C43" s="800"/>
      <c r="D43" s="801"/>
      <c r="E43" s="801"/>
      <c r="F43" s="128"/>
      <c r="G43" s="802"/>
      <c r="H43" s="781"/>
      <c r="I43" s="803"/>
      <c r="J43" s="779"/>
      <c r="K43" s="800"/>
      <c r="L43" s="800"/>
      <c r="M43" s="779"/>
      <c r="N43" s="779"/>
    </row>
    <row r="44" spans="1:23" s="89" customFormat="1" ht="40.35" customHeight="1">
      <c r="A44" s="564" t="str">
        <f t="shared" ca="1" si="0"/>
        <v>a1G3p000005dHaMEAU</v>
      </c>
      <c r="B44" s="794">
        <v>2</v>
      </c>
      <c r="C44" s="795" t="str">
        <f ca="1">IFERROR(VLOOKUP(B44,'Impact Indicators - Section B '!$A$9:$AF$52,32,FALSE),"")</f>
        <v>HIV I-9b⁽ᴹ⁾ Porcentaje de personas transgénero que viven con el VIH</v>
      </c>
      <c r="D44" s="796" t="str">
        <f ca="1">R44</f>
        <v/>
      </c>
      <c r="E44" s="796" t="str">
        <f ca="1">S44</f>
        <v/>
      </c>
      <c r="F44" s="127"/>
      <c r="G44" s="797" t="str">
        <f ca="1">IF(OR(INDIRECT("'update Helper'!E"&amp;U44)="",F44&lt;&gt;0,F45&lt;&gt;0),IF(IFERROR((F44/F45),"")="","",(F44/F45)),INDIRECT("'update Helper'!E"&amp;U44)/100)</f>
        <v/>
      </c>
      <c r="H44" s="784"/>
      <c r="I44" s="798"/>
      <c r="J44" s="777"/>
      <c r="K44" s="795" t="str">
        <f ca="1">W44</f>
        <v>HIV I-9b⁽ᴹ⁾ Percentage of transgender people who are living with HIV</v>
      </c>
      <c r="L44" s="795" t="str">
        <f ca="1">V44</f>
        <v/>
      </c>
      <c r="M44" s="777"/>
      <c r="N44" s="777"/>
      <c r="P44" s="89">
        <f ca="1">IF(AND(EXACT(C44,C42),C42&lt;&gt;0),P42+1,0)</f>
        <v>7</v>
      </c>
      <c r="Q44" s="89" t="str">
        <f ca="1">IF(C44&lt;&gt;"",C44&amp;"-"&amp;P44,"")</f>
        <v>HIV I-9b⁽ᴹ⁾ Porcentaje de personas transgénero que viven con el VIH-7</v>
      </c>
      <c r="R44" s="89" t="str">
        <f t="array" aca="1" ref="R44" ca="1">IFERROR(IF(INDEX('Disaggregation Records'!$E$3:$E$66,MATCH(RIGHT(Q44,255),RIGHT('Disaggregation Records'!$D$3:$D$66,255),0))="","",INDEX('Disaggregation Records'!$E$3:$E$66,MATCH(RIGHT(Q44,255),RIGHT('Disaggregation Records'!$D$3:$D$66,255),0))),"")</f>
        <v/>
      </c>
      <c r="S44" s="89" t="str">
        <f t="array" aca="1" ref="S44" ca="1">IFERROR(IF(INDEX('Disaggregation Records'!$F$3:$F$66,MATCH(RIGHT(Q44,255),RIGHT('Disaggregation Records'!$D$3:$D$66,255),0))="","",INDEX('Disaggregation Records'!$F$3:$F$66,MATCH(RIGHT(Q44,255),RIGHT('Disaggregation Records'!$D$3:$D$66,255),0))),"")</f>
        <v/>
      </c>
      <c r="T44" s="89" t="str">
        <f t="array" aca="1" ref="T44" ca="1">IFERROR(IF(INDEX('Disaggregation Records'!$H$3:$H$66,MATCH(RIGHT(Q44,255),RIGHT('Disaggregation Records'!$D$3:$D$66,255),0))="","",INDEX('Disaggregation Records'!$H$3:$H$66,MATCH(RIGHT(Q44,255),RIGHT('Disaggregation Records'!$D$3:$D$66,255),0))),"")</f>
        <v/>
      </c>
      <c r="U44" s="89">
        <f>U42+1</f>
        <v>1208</v>
      </c>
      <c r="V44" s="89" t="str">
        <f t="array" aca="1" ref="V44" ca="1">IFERROR(IF(INDEX('Disaggregation Records'!$I$3:$I$66,MATCH(RIGHT(Q44,255),RIGHT('Disaggregation Records'!$D$3:$D$66,255),0))="","",INDEX('Disaggregation Records'!$I$3:$I$66,MATCH(RIGHT(Q44,255),RIGHT('Disaggregation Records'!$D$3:$D$66,255),0))),"")</f>
        <v/>
      </c>
      <c r="W44" s="89" t="str">
        <f ca="1">IFERROR(INDEX('Reference Records'!O$3:O$19,MATCH(LEFT(C44,255),'Reference Records'!J$3:J$19,0)),"")</f>
        <v>HIV I-9b⁽ᴹ⁾ Percentage of transgender people who are living with HIV</v>
      </c>
    </row>
    <row r="45" spans="1:23" s="89" customFormat="1" ht="40.35" customHeight="1">
      <c r="A45" s="564"/>
      <c r="B45" s="799"/>
      <c r="C45" s="800"/>
      <c r="D45" s="801"/>
      <c r="E45" s="801"/>
      <c r="F45" s="128"/>
      <c r="G45" s="802"/>
      <c r="H45" s="781"/>
      <c r="I45" s="803"/>
      <c r="J45" s="779"/>
      <c r="K45" s="800"/>
      <c r="L45" s="800"/>
      <c r="M45" s="779"/>
      <c r="N45" s="779"/>
      <c r="P45" s="125"/>
      <c r="Q45" s="125"/>
      <c r="R45" s="125"/>
      <c r="S45" s="125"/>
      <c r="T45" s="125"/>
      <c r="U45" s="125"/>
      <c r="V45" s="125"/>
      <c r="W45" s="125"/>
    </row>
    <row r="46" spans="1:23" s="89" customFormat="1" ht="40.35" customHeight="1">
      <c r="A46" s="564" t="str">
        <f t="shared" ca="1" si="0"/>
        <v>a1G3p000005dHaNEAU</v>
      </c>
      <c r="B46" s="794">
        <v>2</v>
      </c>
      <c r="C46" s="795" t="str">
        <f ca="1">IFERROR(VLOOKUP(B46,'Impact Indicators - Section B '!$A$9:$AF$52,32,FALSE),"")</f>
        <v>HIV I-9b⁽ᴹ⁾ Porcentaje de personas transgénero que viven con el VIH</v>
      </c>
      <c r="D46" s="796" t="str">
        <f ca="1">R46</f>
        <v/>
      </c>
      <c r="E46" s="796" t="str">
        <f ca="1">S46</f>
        <v/>
      </c>
      <c r="F46" s="127"/>
      <c r="G46" s="797" t="str">
        <f ca="1">IF(OR(INDIRECT("'update Helper'!E"&amp;U46)="",F46&lt;&gt;0,F47&lt;&gt;0),IF(IFERROR((F46/F47),"")="","",(F46/F47)),INDIRECT("'update Helper'!E"&amp;U46)/100)</f>
        <v/>
      </c>
      <c r="H46" s="784"/>
      <c r="I46" s="798"/>
      <c r="J46" s="777"/>
      <c r="K46" s="795" t="str">
        <f ca="1">W46</f>
        <v>HIV I-9b⁽ᴹ⁾ Percentage of transgender people who are living with HIV</v>
      </c>
      <c r="L46" s="795" t="str">
        <f ca="1">V46</f>
        <v/>
      </c>
      <c r="M46" s="777"/>
      <c r="N46" s="777"/>
      <c r="P46" s="89">
        <f ca="1">IF(AND(EXACT(C46,C44),C44&lt;&gt;0),P44+1,0)</f>
        <v>8</v>
      </c>
      <c r="Q46" s="89" t="str">
        <f ca="1">IF(C46&lt;&gt;"",C46&amp;"-"&amp;P46,"")</f>
        <v>HIV I-9b⁽ᴹ⁾ Porcentaje de personas transgénero que viven con el VIH-8</v>
      </c>
      <c r="R46" s="89" t="str">
        <f t="array" aca="1" ref="R46" ca="1">IFERROR(IF(INDEX('Disaggregation Records'!$E$3:$E$66,MATCH(RIGHT(Q46,255),RIGHT('Disaggregation Records'!$D$3:$D$66,255),0))="","",INDEX('Disaggregation Records'!$E$3:$E$66,MATCH(RIGHT(Q46,255),RIGHT('Disaggregation Records'!$D$3:$D$66,255),0))),"")</f>
        <v/>
      </c>
      <c r="S46" s="89" t="str">
        <f t="array" aca="1" ref="S46" ca="1">IFERROR(IF(INDEX('Disaggregation Records'!$F$3:$F$66,MATCH(RIGHT(Q46,255),RIGHT('Disaggregation Records'!$D$3:$D$66,255),0))="","",INDEX('Disaggregation Records'!$F$3:$F$66,MATCH(RIGHT(Q46,255),RIGHT('Disaggregation Records'!$D$3:$D$66,255),0))),"")</f>
        <v/>
      </c>
      <c r="T46" s="89" t="str">
        <f t="array" aca="1" ref="T46" ca="1">IFERROR(IF(INDEX('Disaggregation Records'!$H$3:$H$66,MATCH(RIGHT(Q46,255),RIGHT('Disaggregation Records'!$D$3:$D$66,255),0))="","",INDEX('Disaggregation Records'!$H$3:$H$66,MATCH(RIGHT(Q46,255),RIGHT('Disaggregation Records'!$D$3:$D$66,255),0))),"")</f>
        <v/>
      </c>
      <c r="U46" s="89">
        <f>U44+1</f>
        <v>1209</v>
      </c>
      <c r="V46" s="89" t="str">
        <f t="array" aca="1" ref="V46" ca="1">IFERROR(IF(INDEX('Disaggregation Records'!$I$3:$I$66,MATCH(RIGHT(Q46,255),RIGHT('Disaggregation Records'!$D$3:$D$66,255),0))="","",INDEX('Disaggregation Records'!$I$3:$I$66,MATCH(RIGHT(Q46,255),RIGHT('Disaggregation Records'!$D$3:$D$66,255),0))),"")</f>
        <v/>
      </c>
      <c r="W46" s="89" t="str">
        <f ca="1">IFERROR(INDEX('Reference Records'!O$3:O$19,MATCH(LEFT(C46,255),'Reference Records'!J$3:J$19,0)),"")</f>
        <v>HIV I-9b⁽ᴹ⁾ Percentage of transgender people who are living with HIV</v>
      </c>
    </row>
    <row r="47" spans="1:23" s="125" customFormat="1" ht="40.35" customHeight="1">
      <c r="A47" s="564"/>
      <c r="B47" s="799"/>
      <c r="C47" s="800"/>
      <c r="D47" s="801"/>
      <c r="E47" s="801"/>
      <c r="F47" s="128"/>
      <c r="G47" s="802"/>
      <c r="H47" s="781"/>
      <c r="I47" s="803"/>
      <c r="J47" s="779"/>
      <c r="K47" s="800"/>
      <c r="L47" s="800"/>
      <c r="M47" s="779"/>
      <c r="N47" s="779"/>
    </row>
    <row r="48" spans="1:23" s="89" customFormat="1" ht="40.35" customHeight="1">
      <c r="A48" s="564" t="str">
        <f t="shared" ca="1" si="0"/>
        <v>a1G3p000005dHaOEAU</v>
      </c>
      <c r="B48" s="794">
        <v>2</v>
      </c>
      <c r="C48" s="795" t="str">
        <f ca="1">IFERROR(VLOOKUP(B48,'Impact Indicators - Section B '!$A$9:$AF$52,32,FALSE),"")</f>
        <v>HIV I-9b⁽ᴹ⁾ Porcentaje de personas transgénero que viven con el VIH</v>
      </c>
      <c r="D48" s="796" t="str">
        <f ca="1">R48</f>
        <v/>
      </c>
      <c r="E48" s="796" t="str">
        <f ca="1">S48</f>
        <v/>
      </c>
      <c r="F48" s="127"/>
      <c r="G48" s="797" t="str">
        <f ca="1">IF(OR(INDIRECT("'update Helper'!E"&amp;U48)="",F48&lt;&gt;0,F49&lt;&gt;0),IF(IFERROR((F48/F49),"")="","",(F48/F49)),INDIRECT("'update Helper'!E"&amp;U48)/100)</f>
        <v/>
      </c>
      <c r="H48" s="784"/>
      <c r="I48" s="798"/>
      <c r="J48" s="777"/>
      <c r="K48" s="795" t="str">
        <f ca="1">W48</f>
        <v>HIV I-9b⁽ᴹ⁾ Percentage of transgender people who are living with HIV</v>
      </c>
      <c r="L48" s="795" t="str">
        <f ca="1">V48</f>
        <v/>
      </c>
      <c r="M48" s="777"/>
      <c r="N48" s="777"/>
      <c r="P48" s="89">
        <f ca="1">IF(AND(EXACT(C48,C46),C46&lt;&gt;0),P46+1,0)</f>
        <v>9</v>
      </c>
      <c r="Q48" s="89" t="str">
        <f ca="1">IF(C48&lt;&gt;"",C48&amp;"-"&amp;P48,"")</f>
        <v>HIV I-9b⁽ᴹ⁾ Porcentaje de personas transgénero que viven con el VIH-9</v>
      </c>
      <c r="R48" s="89" t="str">
        <f t="array" aca="1" ref="R48" ca="1">IFERROR(IF(INDEX('Disaggregation Records'!$E$3:$E$66,MATCH(RIGHT(Q48,255),RIGHT('Disaggregation Records'!$D$3:$D$66,255),0))="","",INDEX('Disaggregation Records'!$E$3:$E$66,MATCH(RIGHT(Q48,255),RIGHT('Disaggregation Records'!$D$3:$D$66,255),0))),"")</f>
        <v/>
      </c>
      <c r="S48" s="89" t="str">
        <f t="array" aca="1" ref="S48" ca="1">IFERROR(IF(INDEX('Disaggregation Records'!$F$3:$F$66,MATCH(RIGHT(Q48,255),RIGHT('Disaggregation Records'!$D$3:$D$66,255),0))="","",INDEX('Disaggregation Records'!$F$3:$F$66,MATCH(RIGHT(Q48,255),RIGHT('Disaggregation Records'!$D$3:$D$66,255),0))),"")</f>
        <v/>
      </c>
      <c r="T48" s="89" t="str">
        <f t="array" aca="1" ref="T48" ca="1">IFERROR(IF(INDEX('Disaggregation Records'!$H$3:$H$66,MATCH(RIGHT(Q48,255),RIGHT('Disaggregation Records'!$D$3:$D$66,255),0))="","",INDEX('Disaggregation Records'!$H$3:$H$66,MATCH(RIGHT(Q48,255),RIGHT('Disaggregation Records'!$D$3:$D$66,255),0))),"")</f>
        <v/>
      </c>
      <c r="U48" s="89">
        <f>U46+1</f>
        <v>1210</v>
      </c>
      <c r="V48" s="89" t="str">
        <f t="array" aca="1" ref="V48" ca="1">IFERROR(IF(INDEX('Disaggregation Records'!$I$3:$I$66,MATCH(RIGHT(Q48,255),RIGHT('Disaggregation Records'!$D$3:$D$66,255),0))="","",INDEX('Disaggregation Records'!$I$3:$I$66,MATCH(RIGHT(Q48,255),RIGHT('Disaggregation Records'!$D$3:$D$66,255),0))),"")</f>
        <v/>
      </c>
      <c r="W48" s="89" t="str">
        <f ca="1">IFERROR(INDEX('Reference Records'!O$3:O$19,MATCH(LEFT(C48,255),'Reference Records'!J$3:J$19,0)),"")</f>
        <v>HIV I-9b⁽ᴹ⁾ Percentage of transgender people who are living with HIV</v>
      </c>
    </row>
    <row r="49" spans="1:23" s="125" customFormat="1" ht="40.35" customHeight="1">
      <c r="A49" s="564"/>
      <c r="B49" s="799"/>
      <c r="C49" s="800"/>
      <c r="D49" s="801"/>
      <c r="E49" s="801"/>
      <c r="F49" s="128"/>
      <c r="G49" s="802"/>
      <c r="H49" s="781"/>
      <c r="I49" s="803"/>
      <c r="J49" s="779"/>
      <c r="K49" s="800"/>
      <c r="L49" s="800"/>
      <c r="M49" s="779"/>
      <c r="N49" s="779"/>
    </row>
    <row r="50" spans="1:23" s="89" customFormat="1" ht="40.35" customHeight="1">
      <c r="A50" s="564" t="str">
        <f t="shared" ca="1" si="0"/>
        <v>a1G3p000005dHaPEAU</v>
      </c>
      <c r="B50" s="794">
        <v>3</v>
      </c>
      <c r="C50" s="795" t="str">
        <f ca="1">IFERROR(VLOOKUP(B50,'Impact Indicators - Section B '!$A$9:$AF$52,32,FALSE),"")</f>
        <v/>
      </c>
      <c r="D50" s="796" t="str">
        <f ca="1">R50</f>
        <v/>
      </c>
      <c r="E50" s="796" t="str">
        <f ca="1">S50</f>
        <v/>
      </c>
      <c r="F50" s="127"/>
      <c r="G50" s="797" t="str">
        <f ca="1">IF(OR(INDIRECT("'update Helper'!E"&amp;U50)="",F50&lt;&gt;0,F51&lt;&gt;0),IF(IFERROR((F50/F51),"")="","",(F50/F51)),INDIRECT("'update Helper'!E"&amp;U50)/100)</f>
        <v/>
      </c>
      <c r="H50" s="784"/>
      <c r="I50" s="798"/>
      <c r="J50" s="777"/>
      <c r="K50" s="795" t="str">
        <f ca="1">W50</f>
        <v/>
      </c>
      <c r="L50" s="795" t="str">
        <f ca="1">V50</f>
        <v/>
      </c>
      <c r="M50" s="777"/>
      <c r="N50" s="777"/>
      <c r="P50" s="89">
        <f ca="1">IF(AND(EXACT(C50,C48),C48&lt;&gt;0),P48+1,0)</f>
        <v>0</v>
      </c>
      <c r="Q50" s="89" t="str">
        <f ca="1">IF(C50&lt;&gt;"",C50&amp;"-"&amp;P50,"")</f>
        <v/>
      </c>
      <c r="R50" s="89" t="str">
        <f t="array" aca="1" ref="R50" ca="1">IFERROR(IF(INDEX('Disaggregation Records'!$E$3:$E$66,MATCH(RIGHT(Q50,255),RIGHT('Disaggregation Records'!$D$3:$D$66,255),0))="","",INDEX('Disaggregation Records'!$E$3:$E$66,MATCH(RIGHT(Q50,255),RIGHT('Disaggregation Records'!$D$3:$D$66,255),0))),"")</f>
        <v/>
      </c>
      <c r="S50" s="89" t="str">
        <f t="array" aca="1" ref="S50" ca="1">IFERROR(IF(INDEX('Disaggregation Records'!$F$3:$F$66,MATCH(RIGHT(Q50,255),RIGHT('Disaggregation Records'!$D$3:$D$66,255),0))="","",INDEX('Disaggregation Records'!$F$3:$F$66,MATCH(RIGHT(Q50,255),RIGHT('Disaggregation Records'!$D$3:$D$66,255),0))),"")</f>
        <v/>
      </c>
      <c r="T50" s="89" t="str">
        <f t="array" aca="1" ref="T50" ca="1">IFERROR(IF(INDEX('Disaggregation Records'!$H$3:$H$66,MATCH(RIGHT(Q50,255),RIGHT('Disaggregation Records'!$D$3:$D$66,255),0))="","",INDEX('Disaggregation Records'!$H$3:$H$66,MATCH(RIGHT(Q50,255),RIGHT('Disaggregation Records'!$D$3:$D$66,255),0))),"")</f>
        <v/>
      </c>
      <c r="U50" s="89">
        <f>U48+1</f>
        <v>1211</v>
      </c>
      <c r="V50" s="89" t="str">
        <f t="array" aca="1" ref="V50" ca="1">IFERROR(IF(INDEX('Disaggregation Records'!$I$3:$I$66,MATCH(RIGHT(Q50,255),RIGHT('Disaggregation Records'!$D$3:$D$66,255),0))="","",INDEX('Disaggregation Records'!$I$3:$I$66,MATCH(RIGHT(Q50,255),RIGHT('Disaggregation Records'!$D$3:$D$66,255),0))),"")</f>
        <v/>
      </c>
      <c r="W50" s="89" t="str">
        <f ca="1">IFERROR(INDEX('Reference Records'!O$3:O$19,MATCH(LEFT(C50,255),'Reference Records'!J$3:J$19,0)),"")</f>
        <v/>
      </c>
    </row>
    <row r="51" spans="1:23" s="89" customFormat="1" ht="40.35" customHeight="1">
      <c r="A51" s="564"/>
      <c r="B51" s="799">
        <v>2.2894736842105301</v>
      </c>
      <c r="C51" s="800"/>
      <c r="D51" s="801"/>
      <c r="E51" s="801"/>
      <c r="F51" s="128"/>
      <c r="G51" s="802"/>
      <c r="H51" s="781"/>
      <c r="I51" s="803"/>
      <c r="J51" s="779"/>
      <c r="K51" s="800"/>
      <c r="L51" s="800"/>
      <c r="M51" s="779"/>
      <c r="N51" s="779"/>
      <c r="P51" s="125"/>
      <c r="Q51" s="125"/>
      <c r="R51" s="125"/>
      <c r="S51" s="125"/>
      <c r="T51" s="125"/>
      <c r="U51" s="125"/>
      <c r="V51" s="125"/>
      <c r="W51" s="125"/>
    </row>
    <row r="52" spans="1:23" s="89" customFormat="1" ht="40.35" customHeight="1">
      <c r="A52" s="564" t="str">
        <f t="shared" ca="1" si="0"/>
        <v>a1G3p000005dHaQEAU</v>
      </c>
      <c r="B52" s="794">
        <v>3</v>
      </c>
      <c r="C52" s="795" t="str">
        <f ca="1">IFERROR(VLOOKUP(B52,'Impact Indicators - Section B '!$A$9:$AF$52,32,FALSE),"")</f>
        <v/>
      </c>
      <c r="D52" s="796" t="str">
        <f ca="1">R52</f>
        <v/>
      </c>
      <c r="E52" s="796" t="str">
        <f ca="1">S52</f>
        <v/>
      </c>
      <c r="F52" s="127"/>
      <c r="G52" s="797" t="str">
        <f ca="1">IF(OR(INDIRECT("'update Helper'!E"&amp;U52)="",F52&lt;&gt;0,F53&lt;&gt;0),IF(IFERROR((F52/F53),"")="","",(F52/F53)),INDIRECT("'update Helper'!E"&amp;U52)/100)</f>
        <v/>
      </c>
      <c r="H52" s="784"/>
      <c r="I52" s="798"/>
      <c r="J52" s="777"/>
      <c r="K52" s="795" t="str">
        <f ca="1">W52</f>
        <v/>
      </c>
      <c r="L52" s="795" t="str">
        <f ca="1">V52</f>
        <v/>
      </c>
      <c r="M52" s="777"/>
      <c r="N52" s="777"/>
      <c r="P52" s="89">
        <f ca="1">IF(AND(EXACT(C52,C50),C50&lt;&gt;0),P50+1,0)</f>
        <v>1</v>
      </c>
      <c r="Q52" s="89" t="str">
        <f ca="1">IF(C52&lt;&gt;"",C52&amp;"-"&amp;P52,"")</f>
        <v/>
      </c>
      <c r="R52" s="89" t="str">
        <f t="array" aca="1" ref="R52" ca="1">IFERROR(IF(INDEX('Disaggregation Records'!$E$3:$E$66,MATCH(RIGHT(Q52,255),RIGHT('Disaggregation Records'!$D$3:$D$66,255),0))="","",INDEX('Disaggregation Records'!$E$3:$E$66,MATCH(RIGHT(Q52,255),RIGHT('Disaggregation Records'!$D$3:$D$66,255),0))),"")</f>
        <v/>
      </c>
      <c r="S52" s="89" t="str">
        <f t="array" aca="1" ref="S52" ca="1">IFERROR(IF(INDEX('Disaggregation Records'!$F$3:$F$66,MATCH(RIGHT(Q52,255),RIGHT('Disaggregation Records'!$D$3:$D$66,255),0))="","",INDEX('Disaggregation Records'!$F$3:$F$66,MATCH(RIGHT(Q52,255),RIGHT('Disaggregation Records'!$D$3:$D$66,255),0))),"")</f>
        <v/>
      </c>
      <c r="T52" s="89" t="str">
        <f t="array" aca="1" ref="T52" ca="1">IFERROR(IF(INDEX('Disaggregation Records'!$H$3:$H$66,MATCH(RIGHT(Q52,255),RIGHT('Disaggregation Records'!$D$3:$D$66,255),0))="","",INDEX('Disaggregation Records'!$H$3:$H$66,MATCH(RIGHT(Q52,255),RIGHT('Disaggregation Records'!$D$3:$D$66,255),0))),"")</f>
        <v/>
      </c>
      <c r="U52" s="89">
        <f>U50+1</f>
        <v>1212</v>
      </c>
      <c r="V52" s="89" t="str">
        <f t="array" aca="1" ref="V52" ca="1">IFERROR(IF(INDEX('Disaggregation Records'!$I$3:$I$66,MATCH(RIGHT(Q52,255),RIGHT('Disaggregation Records'!$D$3:$D$66,255),0))="","",INDEX('Disaggregation Records'!$I$3:$I$66,MATCH(RIGHT(Q52,255),RIGHT('Disaggregation Records'!$D$3:$D$66,255),0))),"")</f>
        <v/>
      </c>
      <c r="W52" s="89" t="str">
        <f ca="1">IFERROR(INDEX('Reference Records'!O$3:O$19,MATCH(LEFT(C52,255),'Reference Records'!J$3:J$19,0)),"")</f>
        <v/>
      </c>
    </row>
    <row r="53" spans="1:23" s="125" customFormat="1" ht="40.35" customHeight="1">
      <c r="A53" s="564"/>
      <c r="B53" s="799">
        <v>2.2894736842105301</v>
      </c>
      <c r="C53" s="800"/>
      <c r="D53" s="801"/>
      <c r="E53" s="801"/>
      <c r="F53" s="128"/>
      <c r="G53" s="802"/>
      <c r="H53" s="781"/>
      <c r="I53" s="803"/>
      <c r="J53" s="779"/>
      <c r="K53" s="800"/>
      <c r="L53" s="800"/>
      <c r="M53" s="779"/>
      <c r="N53" s="779"/>
    </row>
    <row r="54" spans="1:23" s="89" customFormat="1" ht="40.35" customHeight="1">
      <c r="A54" s="564" t="str">
        <f t="shared" ca="1" si="0"/>
        <v>a1G3p000005dHaREAU</v>
      </c>
      <c r="B54" s="794">
        <v>3</v>
      </c>
      <c r="C54" s="795" t="str">
        <f ca="1">IFERROR(VLOOKUP(B54,'Impact Indicators - Section B '!$A$9:$AF$52,32,FALSE),"")</f>
        <v/>
      </c>
      <c r="D54" s="796" t="str">
        <f ca="1">R54</f>
        <v/>
      </c>
      <c r="E54" s="796" t="str">
        <f ca="1">S54</f>
        <v/>
      </c>
      <c r="F54" s="127"/>
      <c r="G54" s="797" t="str">
        <f ca="1">IF(OR(INDIRECT("'update Helper'!E"&amp;U54)="",F54&lt;&gt;0,F55&lt;&gt;0),IF(IFERROR((F54/F55),"")="","",(F54/F55)),INDIRECT("'update Helper'!E"&amp;U54)/100)</f>
        <v/>
      </c>
      <c r="H54" s="784"/>
      <c r="I54" s="798"/>
      <c r="J54" s="777"/>
      <c r="K54" s="795" t="str">
        <f ca="1">W54</f>
        <v/>
      </c>
      <c r="L54" s="795" t="str">
        <f ca="1">V54</f>
        <v/>
      </c>
      <c r="M54" s="777"/>
      <c r="N54" s="777"/>
      <c r="P54" s="89">
        <f ca="1">IF(AND(EXACT(C54,C52),C52&lt;&gt;0),P52+1,0)</f>
        <v>2</v>
      </c>
      <c r="Q54" s="89" t="str">
        <f ca="1">IF(C54&lt;&gt;"",C54&amp;"-"&amp;P54,"")</f>
        <v/>
      </c>
      <c r="R54" s="89" t="str">
        <f t="array" aca="1" ref="R54" ca="1">IFERROR(IF(INDEX('Disaggregation Records'!$E$3:$E$66,MATCH(RIGHT(Q54,255),RIGHT('Disaggregation Records'!$D$3:$D$66,255),0))="","",INDEX('Disaggregation Records'!$E$3:$E$66,MATCH(RIGHT(Q54,255),RIGHT('Disaggregation Records'!$D$3:$D$66,255),0))),"")</f>
        <v/>
      </c>
      <c r="S54" s="89" t="str">
        <f t="array" aca="1" ref="S54" ca="1">IFERROR(IF(INDEX('Disaggregation Records'!$F$3:$F$66,MATCH(RIGHT(Q54,255),RIGHT('Disaggregation Records'!$D$3:$D$66,255),0))="","",INDEX('Disaggregation Records'!$F$3:$F$66,MATCH(RIGHT(Q54,255),RIGHT('Disaggregation Records'!$D$3:$D$66,255),0))),"")</f>
        <v/>
      </c>
      <c r="T54" s="89" t="str">
        <f t="array" aca="1" ref="T54" ca="1">IFERROR(IF(INDEX('Disaggregation Records'!$H$3:$H$66,MATCH(RIGHT(Q54,255),RIGHT('Disaggregation Records'!$D$3:$D$66,255),0))="","",INDEX('Disaggregation Records'!$H$3:$H$66,MATCH(RIGHT(Q54,255),RIGHT('Disaggregation Records'!$D$3:$D$66,255),0))),"")</f>
        <v/>
      </c>
      <c r="U54" s="89">
        <f>U52+1</f>
        <v>1213</v>
      </c>
      <c r="V54" s="89" t="str">
        <f t="array" aca="1" ref="V54" ca="1">IFERROR(IF(INDEX('Disaggregation Records'!$I$3:$I$66,MATCH(RIGHT(Q54,255),RIGHT('Disaggregation Records'!$D$3:$D$66,255),0))="","",INDEX('Disaggregation Records'!$I$3:$I$66,MATCH(RIGHT(Q54,255),RIGHT('Disaggregation Records'!$D$3:$D$66,255),0))),"")</f>
        <v/>
      </c>
      <c r="W54" s="89" t="str">
        <f ca="1">IFERROR(INDEX('Reference Records'!O$3:O$19,MATCH(LEFT(C54,255),'Reference Records'!J$3:J$19,0)),"")</f>
        <v/>
      </c>
    </row>
    <row r="55" spans="1:23" s="125" customFormat="1" ht="40.35" customHeight="1">
      <c r="A55" s="564"/>
      <c r="B55" s="799">
        <v>2.2894736842105301</v>
      </c>
      <c r="C55" s="800"/>
      <c r="D55" s="801"/>
      <c r="E55" s="801"/>
      <c r="F55" s="128"/>
      <c r="G55" s="802"/>
      <c r="H55" s="781"/>
      <c r="I55" s="803"/>
      <c r="J55" s="779"/>
      <c r="K55" s="800"/>
      <c r="L55" s="800"/>
      <c r="M55" s="779"/>
      <c r="N55" s="779"/>
    </row>
    <row r="56" spans="1:23" s="89" customFormat="1" ht="40.35" customHeight="1">
      <c r="A56" s="564" t="str">
        <f t="shared" ca="1" si="0"/>
        <v>a1G3p000005dHaSEAU</v>
      </c>
      <c r="B56" s="794">
        <v>3</v>
      </c>
      <c r="C56" s="795" t="str">
        <f ca="1">IFERROR(VLOOKUP(B56,'Impact Indicators - Section B '!$A$9:$AF$52,32,FALSE),"")</f>
        <v/>
      </c>
      <c r="D56" s="796" t="str">
        <f ca="1">R56</f>
        <v/>
      </c>
      <c r="E56" s="796" t="str">
        <f ca="1">S56</f>
        <v/>
      </c>
      <c r="F56" s="127"/>
      <c r="G56" s="797" t="str">
        <f ca="1">IF(OR(INDIRECT("'update Helper'!E"&amp;U56)="",F56&lt;&gt;0,F57&lt;&gt;0),IF(IFERROR((F56/F57),"")="","",(F56/F57)),INDIRECT("'update Helper'!E"&amp;U56)/100)</f>
        <v/>
      </c>
      <c r="H56" s="784"/>
      <c r="I56" s="798"/>
      <c r="J56" s="777"/>
      <c r="K56" s="795" t="str">
        <f ca="1">W56</f>
        <v/>
      </c>
      <c r="L56" s="795" t="str">
        <f ca="1">V56</f>
        <v/>
      </c>
      <c r="M56" s="777"/>
      <c r="N56" s="777"/>
      <c r="P56" s="89">
        <f ca="1">IF(AND(EXACT(C56,C54),C54&lt;&gt;0),P54+1,0)</f>
        <v>3</v>
      </c>
      <c r="Q56" s="89" t="str">
        <f ca="1">IF(C56&lt;&gt;"",C56&amp;"-"&amp;P56,"")</f>
        <v/>
      </c>
      <c r="R56" s="89" t="str">
        <f t="array" aca="1" ref="R56" ca="1">IFERROR(IF(INDEX('Disaggregation Records'!$E$3:$E$66,MATCH(RIGHT(Q56,255),RIGHT('Disaggregation Records'!$D$3:$D$66,255),0))="","",INDEX('Disaggregation Records'!$E$3:$E$66,MATCH(RIGHT(Q56,255),RIGHT('Disaggregation Records'!$D$3:$D$66,255),0))),"")</f>
        <v/>
      </c>
      <c r="S56" s="89" t="str">
        <f t="array" aca="1" ref="S56" ca="1">IFERROR(IF(INDEX('Disaggregation Records'!$F$3:$F$66,MATCH(RIGHT(Q56,255),RIGHT('Disaggregation Records'!$D$3:$D$66,255),0))="","",INDEX('Disaggregation Records'!$F$3:$F$66,MATCH(RIGHT(Q56,255),RIGHT('Disaggregation Records'!$D$3:$D$66,255),0))),"")</f>
        <v/>
      </c>
      <c r="T56" s="89" t="str">
        <f t="array" aca="1" ref="T56" ca="1">IFERROR(IF(INDEX('Disaggregation Records'!$H$3:$H$66,MATCH(RIGHT(Q56,255),RIGHT('Disaggregation Records'!$D$3:$D$66,255),0))="","",INDEX('Disaggregation Records'!$H$3:$H$66,MATCH(RIGHT(Q56,255),RIGHT('Disaggregation Records'!$D$3:$D$66,255),0))),"")</f>
        <v/>
      </c>
      <c r="U56" s="89">
        <f>U54+1</f>
        <v>1214</v>
      </c>
      <c r="V56" s="89" t="str">
        <f t="array" aca="1" ref="V56" ca="1">IFERROR(IF(INDEX('Disaggregation Records'!$I$3:$I$66,MATCH(RIGHT(Q56,255),RIGHT('Disaggregation Records'!$D$3:$D$66,255),0))="","",INDEX('Disaggregation Records'!$I$3:$I$66,MATCH(RIGHT(Q56,255),RIGHT('Disaggregation Records'!$D$3:$D$66,255),0))),"")</f>
        <v/>
      </c>
      <c r="W56" s="89" t="str">
        <f ca="1">IFERROR(INDEX('Reference Records'!O$3:O$19,MATCH(LEFT(C56,255),'Reference Records'!J$3:J$19,0)),"")</f>
        <v/>
      </c>
    </row>
    <row r="57" spans="1:23" s="89" customFormat="1" ht="40.35" customHeight="1">
      <c r="A57" s="564"/>
      <c r="B57" s="799">
        <v>2.2894736842105301</v>
      </c>
      <c r="C57" s="800"/>
      <c r="D57" s="801"/>
      <c r="E57" s="801"/>
      <c r="F57" s="128"/>
      <c r="G57" s="802"/>
      <c r="H57" s="781"/>
      <c r="I57" s="803"/>
      <c r="J57" s="779"/>
      <c r="K57" s="800"/>
      <c r="L57" s="800"/>
      <c r="M57" s="779"/>
      <c r="N57" s="779"/>
      <c r="P57" s="125"/>
      <c r="Q57" s="125"/>
      <c r="R57" s="125"/>
      <c r="S57" s="125"/>
      <c r="T57" s="125"/>
      <c r="U57" s="125"/>
      <c r="V57" s="125"/>
      <c r="W57" s="125"/>
    </row>
    <row r="58" spans="1:23" s="89" customFormat="1" ht="40.35" customHeight="1">
      <c r="A58" s="564" t="str">
        <f t="shared" ca="1" si="0"/>
        <v>a1G3p000005dHaTEAU</v>
      </c>
      <c r="B58" s="794">
        <v>3</v>
      </c>
      <c r="C58" s="795" t="str">
        <f ca="1">IFERROR(VLOOKUP(B58,'Impact Indicators - Section B '!$A$9:$AF$52,32,FALSE),"")</f>
        <v/>
      </c>
      <c r="D58" s="796" t="str">
        <f ca="1">R58</f>
        <v/>
      </c>
      <c r="E58" s="796" t="str">
        <f ca="1">S58</f>
        <v/>
      </c>
      <c r="F58" s="127"/>
      <c r="G58" s="797" t="str">
        <f ca="1">IF(OR(INDIRECT("'update Helper'!E"&amp;U58)="",F58&lt;&gt;0,F59&lt;&gt;0),IF(IFERROR((F58/F59),"")="","",(F58/F59)),INDIRECT("'update Helper'!E"&amp;U58)/100)</f>
        <v/>
      </c>
      <c r="H58" s="784"/>
      <c r="I58" s="798"/>
      <c r="J58" s="777"/>
      <c r="K58" s="795" t="str">
        <f ca="1">W58</f>
        <v/>
      </c>
      <c r="L58" s="795" t="str">
        <f ca="1">V58</f>
        <v/>
      </c>
      <c r="M58" s="777"/>
      <c r="N58" s="777"/>
      <c r="P58" s="89">
        <f ca="1">IF(AND(EXACT(C58,C56),C56&lt;&gt;0),P56+1,0)</f>
        <v>4</v>
      </c>
      <c r="Q58" s="89" t="str">
        <f ca="1">IF(C58&lt;&gt;"",C58&amp;"-"&amp;P58,"")</f>
        <v/>
      </c>
      <c r="R58" s="89" t="str">
        <f t="array" aca="1" ref="R58" ca="1">IFERROR(IF(INDEX('Disaggregation Records'!$E$3:$E$66,MATCH(RIGHT(Q58,255),RIGHT('Disaggregation Records'!$D$3:$D$66,255),0))="","",INDEX('Disaggregation Records'!$E$3:$E$66,MATCH(RIGHT(Q58,255),RIGHT('Disaggregation Records'!$D$3:$D$66,255),0))),"")</f>
        <v/>
      </c>
      <c r="S58" s="89" t="str">
        <f t="array" aca="1" ref="S58" ca="1">IFERROR(IF(INDEX('Disaggregation Records'!$F$3:$F$66,MATCH(RIGHT(Q58,255),RIGHT('Disaggregation Records'!$D$3:$D$66,255),0))="","",INDEX('Disaggregation Records'!$F$3:$F$66,MATCH(RIGHT(Q58,255),RIGHT('Disaggregation Records'!$D$3:$D$66,255),0))),"")</f>
        <v/>
      </c>
      <c r="T58" s="89" t="str">
        <f t="array" aca="1" ref="T58" ca="1">IFERROR(IF(INDEX('Disaggregation Records'!$H$3:$H$66,MATCH(RIGHT(Q58,255),RIGHT('Disaggregation Records'!$D$3:$D$66,255),0))="","",INDEX('Disaggregation Records'!$H$3:$H$66,MATCH(RIGHT(Q58,255),RIGHT('Disaggregation Records'!$D$3:$D$66,255),0))),"")</f>
        <v/>
      </c>
      <c r="U58" s="89">
        <f>U56+1</f>
        <v>1215</v>
      </c>
      <c r="V58" s="89" t="str">
        <f t="array" aca="1" ref="V58" ca="1">IFERROR(IF(INDEX('Disaggregation Records'!$I$3:$I$66,MATCH(RIGHT(Q58,255),RIGHT('Disaggregation Records'!$D$3:$D$66,255),0))="","",INDEX('Disaggregation Records'!$I$3:$I$66,MATCH(RIGHT(Q58,255),RIGHT('Disaggregation Records'!$D$3:$D$66,255),0))),"")</f>
        <v/>
      </c>
      <c r="W58" s="89" t="str">
        <f ca="1">IFERROR(INDEX('Reference Records'!O$3:O$19,MATCH(LEFT(C58,255),'Reference Records'!J$3:J$19,0)),"")</f>
        <v/>
      </c>
    </row>
    <row r="59" spans="1:23" s="89" customFormat="1" ht="40.35" customHeight="1">
      <c r="A59" s="564"/>
      <c r="B59" s="799">
        <v>2.2894736842105301</v>
      </c>
      <c r="C59" s="800"/>
      <c r="D59" s="801"/>
      <c r="E59" s="801"/>
      <c r="F59" s="128"/>
      <c r="G59" s="802"/>
      <c r="H59" s="781"/>
      <c r="I59" s="803"/>
      <c r="J59" s="779"/>
      <c r="K59" s="800"/>
      <c r="L59" s="800"/>
      <c r="M59" s="779"/>
      <c r="N59" s="779"/>
      <c r="P59" s="125"/>
      <c r="Q59" s="125"/>
      <c r="R59" s="125"/>
      <c r="S59" s="125"/>
      <c r="T59" s="125"/>
      <c r="U59" s="125"/>
      <c r="V59" s="125"/>
      <c r="W59" s="125"/>
    </row>
    <row r="60" spans="1:23" s="89" customFormat="1" ht="40.35" customHeight="1">
      <c r="A60" s="564" t="str">
        <f t="shared" ca="1" si="0"/>
        <v>a1G3p000005dHaUEAU</v>
      </c>
      <c r="B60" s="794">
        <v>3</v>
      </c>
      <c r="C60" s="795" t="str">
        <f ca="1">IFERROR(VLOOKUP(B60,'Impact Indicators - Section B '!$A$9:$AF$52,32,FALSE),"")</f>
        <v/>
      </c>
      <c r="D60" s="796" t="str">
        <f ca="1">R60</f>
        <v/>
      </c>
      <c r="E60" s="796" t="str">
        <f ca="1">S60</f>
        <v/>
      </c>
      <c r="F60" s="127"/>
      <c r="G60" s="797" t="str">
        <f ca="1">IF(OR(INDIRECT("'update Helper'!E"&amp;U60)="",F60&lt;&gt;0,F61&lt;&gt;0),IF(IFERROR((F60/F61),"")="","",(F60/F61)),INDIRECT("'update Helper'!E"&amp;U60)/100)</f>
        <v/>
      </c>
      <c r="H60" s="784"/>
      <c r="I60" s="798"/>
      <c r="J60" s="777"/>
      <c r="K60" s="795" t="str">
        <f ca="1">W60</f>
        <v/>
      </c>
      <c r="L60" s="795" t="str">
        <f ca="1">V60</f>
        <v/>
      </c>
      <c r="M60" s="777"/>
      <c r="N60" s="777"/>
      <c r="P60" s="89">
        <f ca="1">IF(AND(EXACT(C60,C58),C58&lt;&gt;0),P58+1,0)</f>
        <v>5</v>
      </c>
      <c r="Q60" s="89" t="str">
        <f ca="1">IF(C60&lt;&gt;"",C60&amp;"-"&amp;P60,"")</f>
        <v/>
      </c>
      <c r="R60" s="89" t="str">
        <f t="array" aca="1" ref="R60" ca="1">IFERROR(IF(INDEX('Disaggregation Records'!$E$3:$E$66,MATCH(RIGHT(Q60,255),RIGHT('Disaggregation Records'!$D$3:$D$66,255),0))="","",INDEX('Disaggregation Records'!$E$3:$E$66,MATCH(RIGHT(Q60,255),RIGHT('Disaggregation Records'!$D$3:$D$66,255),0))),"")</f>
        <v/>
      </c>
      <c r="S60" s="89" t="str">
        <f t="array" aca="1" ref="S60" ca="1">IFERROR(IF(INDEX('Disaggregation Records'!$F$3:$F$66,MATCH(RIGHT(Q60,255),RIGHT('Disaggregation Records'!$D$3:$D$66,255),0))="","",INDEX('Disaggregation Records'!$F$3:$F$66,MATCH(RIGHT(Q60,255),RIGHT('Disaggregation Records'!$D$3:$D$66,255),0))),"")</f>
        <v/>
      </c>
      <c r="T60" s="89" t="str">
        <f t="array" aca="1" ref="T60" ca="1">IFERROR(IF(INDEX('Disaggregation Records'!$H$3:$H$66,MATCH(RIGHT(Q60,255),RIGHT('Disaggregation Records'!$D$3:$D$66,255),0))="","",INDEX('Disaggregation Records'!$H$3:$H$66,MATCH(RIGHT(Q60,255),RIGHT('Disaggregation Records'!$D$3:$D$66,255),0))),"")</f>
        <v/>
      </c>
      <c r="U60" s="89">
        <f>U58+1</f>
        <v>1216</v>
      </c>
      <c r="V60" s="89" t="str">
        <f t="array" aca="1" ref="V60" ca="1">IFERROR(IF(INDEX('Disaggregation Records'!$I$3:$I$66,MATCH(RIGHT(Q60,255),RIGHT('Disaggregation Records'!$D$3:$D$66,255),0))="","",INDEX('Disaggregation Records'!$I$3:$I$66,MATCH(RIGHT(Q60,255),RIGHT('Disaggregation Records'!$D$3:$D$66,255),0))),"")</f>
        <v/>
      </c>
      <c r="W60" s="89" t="str">
        <f ca="1">IFERROR(INDEX('Reference Records'!O$3:O$19,MATCH(LEFT(C60,255),'Reference Records'!J$3:J$19,0)),"")</f>
        <v/>
      </c>
    </row>
    <row r="61" spans="1:23" s="125" customFormat="1" ht="40.35" customHeight="1">
      <c r="A61" s="564"/>
      <c r="B61" s="799">
        <v>2.2894736842105301</v>
      </c>
      <c r="C61" s="800"/>
      <c r="D61" s="801"/>
      <c r="E61" s="801"/>
      <c r="F61" s="128"/>
      <c r="G61" s="802"/>
      <c r="H61" s="781"/>
      <c r="I61" s="803"/>
      <c r="J61" s="779"/>
      <c r="K61" s="800"/>
      <c r="L61" s="800"/>
      <c r="M61" s="779"/>
      <c r="N61" s="779"/>
    </row>
    <row r="62" spans="1:23" s="89" customFormat="1" ht="40.35" customHeight="1">
      <c r="A62" s="564" t="str">
        <f t="shared" ca="1" si="0"/>
        <v>a1G3p000005dHaVEAU</v>
      </c>
      <c r="B62" s="794">
        <v>3</v>
      </c>
      <c r="C62" s="795" t="str">
        <f ca="1">IFERROR(VLOOKUP(B62,'Impact Indicators - Section B '!$A$9:$AF$52,32,FALSE),"")</f>
        <v/>
      </c>
      <c r="D62" s="796" t="str">
        <f ca="1">R62</f>
        <v/>
      </c>
      <c r="E62" s="796" t="str">
        <f ca="1">S62</f>
        <v/>
      </c>
      <c r="F62" s="127"/>
      <c r="G62" s="797" t="str">
        <f ca="1">IF(OR(INDIRECT("'update Helper'!E"&amp;U62)="",F62&lt;&gt;0,F63&lt;&gt;0),IF(IFERROR((F62/F63),"")="","",(F62/F63)),INDIRECT("'update Helper'!E"&amp;U62)/100)</f>
        <v/>
      </c>
      <c r="H62" s="784"/>
      <c r="I62" s="798"/>
      <c r="J62" s="777"/>
      <c r="K62" s="795" t="str">
        <f ca="1">W62</f>
        <v/>
      </c>
      <c r="L62" s="795" t="str">
        <f ca="1">V62</f>
        <v/>
      </c>
      <c r="M62" s="777"/>
      <c r="N62" s="777"/>
      <c r="P62" s="89">
        <f ca="1">IF(AND(EXACT(C62,C60),C60&lt;&gt;0),P60+1,0)</f>
        <v>6</v>
      </c>
      <c r="Q62" s="89" t="str">
        <f ca="1">IF(C62&lt;&gt;"",C62&amp;"-"&amp;P62,"")</f>
        <v/>
      </c>
      <c r="R62" s="89" t="str">
        <f t="array" aca="1" ref="R62" ca="1">IFERROR(IF(INDEX('Disaggregation Records'!$E$3:$E$66,MATCH(RIGHT(Q62,255),RIGHT('Disaggregation Records'!$D$3:$D$66,255),0))="","",INDEX('Disaggregation Records'!$E$3:$E$66,MATCH(RIGHT(Q62,255),RIGHT('Disaggregation Records'!$D$3:$D$66,255),0))),"")</f>
        <v/>
      </c>
      <c r="S62" s="89" t="str">
        <f t="array" aca="1" ref="S62" ca="1">IFERROR(IF(INDEX('Disaggregation Records'!$F$3:$F$66,MATCH(RIGHT(Q62,255),RIGHT('Disaggregation Records'!$D$3:$D$66,255),0))="","",INDEX('Disaggregation Records'!$F$3:$F$66,MATCH(RIGHT(Q62,255),RIGHT('Disaggregation Records'!$D$3:$D$66,255),0))),"")</f>
        <v/>
      </c>
      <c r="T62" s="89" t="str">
        <f t="array" aca="1" ref="T62" ca="1">IFERROR(IF(INDEX('Disaggregation Records'!$H$3:$H$66,MATCH(RIGHT(Q62,255),RIGHT('Disaggregation Records'!$D$3:$D$66,255),0))="","",INDEX('Disaggregation Records'!$H$3:$H$66,MATCH(RIGHT(Q62,255),RIGHT('Disaggregation Records'!$D$3:$D$66,255),0))),"")</f>
        <v/>
      </c>
      <c r="U62" s="89">
        <f>U60+1</f>
        <v>1217</v>
      </c>
      <c r="V62" s="89" t="str">
        <f t="array" aca="1" ref="V62" ca="1">IFERROR(IF(INDEX('Disaggregation Records'!$I$3:$I$66,MATCH(RIGHT(Q62,255),RIGHT('Disaggregation Records'!$D$3:$D$66,255),0))="","",INDEX('Disaggregation Records'!$I$3:$I$66,MATCH(RIGHT(Q62,255),RIGHT('Disaggregation Records'!$D$3:$D$66,255),0))),"")</f>
        <v/>
      </c>
      <c r="W62" s="89" t="str">
        <f ca="1">IFERROR(INDEX('Reference Records'!O$3:O$19,MATCH(LEFT(C62,255),'Reference Records'!J$3:J$19,0)),"")</f>
        <v/>
      </c>
    </row>
    <row r="63" spans="1:23" s="125" customFormat="1" ht="40.35" customHeight="1">
      <c r="A63" s="564"/>
      <c r="B63" s="799">
        <v>2.2894736842105301</v>
      </c>
      <c r="C63" s="800"/>
      <c r="D63" s="801"/>
      <c r="E63" s="801"/>
      <c r="F63" s="128"/>
      <c r="G63" s="802"/>
      <c r="H63" s="781"/>
      <c r="I63" s="803"/>
      <c r="J63" s="779"/>
      <c r="K63" s="800"/>
      <c r="L63" s="800"/>
      <c r="M63" s="779"/>
      <c r="N63" s="779"/>
    </row>
    <row r="64" spans="1:23" s="89" customFormat="1" ht="40.35" customHeight="1">
      <c r="A64" s="564" t="str">
        <f t="shared" ca="1" si="0"/>
        <v>a1G3p000005dHaWEAU</v>
      </c>
      <c r="B64" s="794">
        <v>3</v>
      </c>
      <c r="C64" s="795" t="str">
        <f ca="1">IFERROR(VLOOKUP(B64,'Impact Indicators - Section B '!$A$9:$AF$52,32,FALSE),"")</f>
        <v/>
      </c>
      <c r="D64" s="796" t="str">
        <f ca="1">R64</f>
        <v/>
      </c>
      <c r="E64" s="796" t="str">
        <f ca="1">S64</f>
        <v/>
      </c>
      <c r="F64" s="127"/>
      <c r="G64" s="797" t="str">
        <f ca="1">IF(OR(INDIRECT("'update Helper'!E"&amp;U64)="",F64&lt;&gt;0,F65&lt;&gt;0),IF(IFERROR((F64/F65),"")="","",(F64/F65)),INDIRECT("'update Helper'!E"&amp;U64)/100)</f>
        <v/>
      </c>
      <c r="H64" s="784"/>
      <c r="I64" s="798"/>
      <c r="J64" s="777"/>
      <c r="K64" s="795" t="str">
        <f ca="1">W64</f>
        <v/>
      </c>
      <c r="L64" s="795" t="str">
        <f ca="1">V64</f>
        <v/>
      </c>
      <c r="M64" s="777"/>
      <c r="N64" s="777"/>
      <c r="P64" s="89">
        <f ca="1">IF(AND(EXACT(C64,C62),C62&lt;&gt;0),P62+1,0)</f>
        <v>7</v>
      </c>
      <c r="Q64" s="89" t="str">
        <f ca="1">IF(C64&lt;&gt;"",C64&amp;"-"&amp;P64,"")</f>
        <v/>
      </c>
      <c r="R64" s="89" t="str">
        <f t="array" aca="1" ref="R64" ca="1">IFERROR(IF(INDEX('Disaggregation Records'!$E$3:$E$66,MATCH(RIGHT(Q64,255),RIGHT('Disaggregation Records'!$D$3:$D$66,255),0))="","",INDEX('Disaggregation Records'!$E$3:$E$66,MATCH(RIGHT(Q64,255),RIGHT('Disaggregation Records'!$D$3:$D$66,255),0))),"")</f>
        <v/>
      </c>
      <c r="S64" s="89" t="str">
        <f t="array" aca="1" ref="S64" ca="1">IFERROR(IF(INDEX('Disaggregation Records'!$F$3:$F$66,MATCH(RIGHT(Q64,255),RIGHT('Disaggregation Records'!$D$3:$D$66,255),0))="","",INDEX('Disaggregation Records'!$F$3:$F$66,MATCH(RIGHT(Q64,255),RIGHT('Disaggregation Records'!$D$3:$D$66,255),0))),"")</f>
        <v/>
      </c>
      <c r="T64" s="89" t="str">
        <f t="array" aca="1" ref="T64" ca="1">IFERROR(IF(INDEX('Disaggregation Records'!$H$3:$H$66,MATCH(RIGHT(Q64,255),RIGHT('Disaggregation Records'!$D$3:$D$66,255),0))="","",INDEX('Disaggregation Records'!$H$3:$H$66,MATCH(RIGHT(Q64,255),RIGHT('Disaggregation Records'!$D$3:$D$66,255),0))),"")</f>
        <v/>
      </c>
      <c r="U64" s="89">
        <f>U62+1</f>
        <v>1218</v>
      </c>
      <c r="V64" s="89" t="str">
        <f t="array" aca="1" ref="V64" ca="1">IFERROR(IF(INDEX('Disaggregation Records'!$I$3:$I$66,MATCH(RIGHT(Q64,255),RIGHT('Disaggregation Records'!$D$3:$D$66,255),0))="","",INDEX('Disaggregation Records'!$I$3:$I$66,MATCH(RIGHT(Q64,255),RIGHT('Disaggregation Records'!$D$3:$D$66,255),0))),"")</f>
        <v/>
      </c>
      <c r="W64" s="89" t="str">
        <f ca="1">IFERROR(INDEX('Reference Records'!O$3:O$19,MATCH(LEFT(C64,255),'Reference Records'!J$3:J$19,0)),"")</f>
        <v/>
      </c>
    </row>
    <row r="65" spans="1:23" s="89" customFormat="1" ht="40.35" customHeight="1">
      <c r="A65" s="564"/>
      <c r="B65" s="799">
        <v>2.2894736842105301</v>
      </c>
      <c r="C65" s="800"/>
      <c r="D65" s="801"/>
      <c r="E65" s="801"/>
      <c r="F65" s="128"/>
      <c r="G65" s="802"/>
      <c r="H65" s="781"/>
      <c r="I65" s="803"/>
      <c r="J65" s="779"/>
      <c r="K65" s="800"/>
      <c r="L65" s="800"/>
      <c r="M65" s="779"/>
      <c r="N65" s="779"/>
      <c r="P65" s="125"/>
      <c r="Q65" s="125"/>
      <c r="R65" s="125"/>
      <c r="S65" s="125"/>
      <c r="T65" s="125"/>
      <c r="U65" s="125"/>
      <c r="V65" s="125"/>
      <c r="W65" s="125"/>
    </row>
    <row r="66" spans="1:23" s="89" customFormat="1" ht="40.35" customHeight="1">
      <c r="A66" s="564" t="str">
        <f t="shared" ca="1" si="0"/>
        <v>a1G3p000005dHaXEAU</v>
      </c>
      <c r="B66" s="794">
        <v>3</v>
      </c>
      <c r="C66" s="795" t="str">
        <f ca="1">IFERROR(VLOOKUP(B66,'Impact Indicators - Section B '!$A$9:$AF$52,32,FALSE),"")</f>
        <v/>
      </c>
      <c r="D66" s="796" t="str">
        <f ca="1">R66</f>
        <v/>
      </c>
      <c r="E66" s="796" t="str">
        <f ca="1">S66</f>
        <v/>
      </c>
      <c r="F66" s="127"/>
      <c r="G66" s="797" t="str">
        <f ca="1">IF(OR(INDIRECT("'update Helper'!E"&amp;U66)="",F66&lt;&gt;0,F67&lt;&gt;0),IF(IFERROR((F66/F67),"")="","",(F66/F67)),INDIRECT("'update Helper'!E"&amp;U66)/100)</f>
        <v/>
      </c>
      <c r="H66" s="784"/>
      <c r="I66" s="798"/>
      <c r="J66" s="777"/>
      <c r="K66" s="795" t="str">
        <f ca="1">W66</f>
        <v/>
      </c>
      <c r="L66" s="795" t="str">
        <f ca="1">V66</f>
        <v/>
      </c>
      <c r="M66" s="777"/>
      <c r="N66" s="777"/>
      <c r="P66" s="89">
        <f ca="1">IF(AND(EXACT(C66,C64),C64&lt;&gt;0),P64+1,0)</f>
        <v>8</v>
      </c>
      <c r="Q66" s="89" t="str">
        <f ca="1">IF(C66&lt;&gt;"",C66&amp;"-"&amp;P66,"")</f>
        <v/>
      </c>
      <c r="R66" s="89" t="str">
        <f t="array" aca="1" ref="R66" ca="1">IFERROR(IF(INDEX('Disaggregation Records'!$E$3:$E$66,MATCH(RIGHT(Q66,255),RIGHT('Disaggregation Records'!$D$3:$D$66,255),0))="","",INDEX('Disaggregation Records'!$E$3:$E$66,MATCH(RIGHT(Q66,255),RIGHT('Disaggregation Records'!$D$3:$D$66,255),0))),"")</f>
        <v/>
      </c>
      <c r="S66" s="89" t="str">
        <f t="array" aca="1" ref="S66" ca="1">IFERROR(IF(INDEX('Disaggregation Records'!$F$3:$F$66,MATCH(RIGHT(Q66,255),RIGHT('Disaggregation Records'!$D$3:$D$66,255),0))="","",INDEX('Disaggregation Records'!$F$3:$F$66,MATCH(RIGHT(Q66,255),RIGHT('Disaggregation Records'!$D$3:$D$66,255),0))),"")</f>
        <v/>
      </c>
      <c r="T66" s="89" t="str">
        <f t="array" aca="1" ref="T66" ca="1">IFERROR(IF(INDEX('Disaggregation Records'!$H$3:$H$66,MATCH(RIGHT(Q66,255),RIGHT('Disaggregation Records'!$D$3:$D$66,255),0))="","",INDEX('Disaggregation Records'!$H$3:$H$66,MATCH(RIGHT(Q66,255),RIGHT('Disaggregation Records'!$D$3:$D$66,255),0))),"")</f>
        <v/>
      </c>
      <c r="U66" s="89">
        <f>U64+1</f>
        <v>1219</v>
      </c>
      <c r="V66" s="89" t="str">
        <f t="array" aca="1" ref="V66" ca="1">IFERROR(IF(INDEX('Disaggregation Records'!$I$3:$I$66,MATCH(RIGHT(Q66,255),RIGHT('Disaggregation Records'!$D$3:$D$66,255),0))="","",INDEX('Disaggregation Records'!$I$3:$I$66,MATCH(RIGHT(Q66,255),RIGHT('Disaggregation Records'!$D$3:$D$66,255),0))),"")</f>
        <v/>
      </c>
      <c r="W66" s="89" t="str">
        <f ca="1">IFERROR(INDEX('Reference Records'!O$3:O$19,MATCH(LEFT(C66,255),'Reference Records'!J$3:J$19,0)),"")</f>
        <v/>
      </c>
    </row>
    <row r="67" spans="1:23" s="125" customFormat="1" ht="40.35" customHeight="1">
      <c r="A67" s="564"/>
      <c r="B67" s="799">
        <v>2.2894736842105301</v>
      </c>
      <c r="C67" s="800"/>
      <c r="D67" s="801"/>
      <c r="E67" s="801"/>
      <c r="F67" s="128"/>
      <c r="G67" s="802"/>
      <c r="H67" s="781"/>
      <c r="I67" s="803"/>
      <c r="J67" s="779"/>
      <c r="K67" s="800"/>
      <c r="L67" s="800"/>
      <c r="M67" s="779"/>
      <c r="N67" s="779"/>
    </row>
    <row r="68" spans="1:23" s="89" customFormat="1" ht="40.35" customHeight="1">
      <c r="A68" s="564" t="str">
        <f t="shared" ca="1" si="0"/>
        <v>a1G3p000005dHaYEAU</v>
      </c>
      <c r="B68" s="794">
        <v>3</v>
      </c>
      <c r="C68" s="795" t="str">
        <f ca="1">IFERROR(VLOOKUP(B68,'Impact Indicators - Section B '!$A$9:$AF$52,32,FALSE),"")</f>
        <v/>
      </c>
      <c r="D68" s="796" t="str">
        <f ca="1">R68</f>
        <v/>
      </c>
      <c r="E68" s="796" t="str">
        <f ca="1">S68</f>
        <v/>
      </c>
      <c r="F68" s="127"/>
      <c r="G68" s="797" t="str">
        <f ca="1">IF(OR(INDIRECT("'update Helper'!E"&amp;U68)="",F68&lt;&gt;0,F69&lt;&gt;0),IF(IFERROR((F68/F69),"")="","",(F68/F69)),INDIRECT("'update Helper'!E"&amp;U68)/100)</f>
        <v/>
      </c>
      <c r="H68" s="784"/>
      <c r="I68" s="798"/>
      <c r="J68" s="777"/>
      <c r="K68" s="795" t="str">
        <f ca="1">W68</f>
        <v/>
      </c>
      <c r="L68" s="795" t="str">
        <f ca="1">V68</f>
        <v/>
      </c>
      <c r="M68" s="777"/>
      <c r="N68" s="777"/>
      <c r="P68" s="89">
        <f ca="1">IF(AND(EXACT(C68,C66),C66&lt;&gt;0),P66+1,0)</f>
        <v>9</v>
      </c>
      <c r="Q68" s="89" t="str">
        <f ca="1">IF(C68&lt;&gt;"",C68&amp;"-"&amp;P68,"")</f>
        <v/>
      </c>
      <c r="R68" s="89" t="str">
        <f t="array" aca="1" ref="R68" ca="1">IFERROR(IF(INDEX('Disaggregation Records'!$E$3:$E$66,MATCH(RIGHT(Q68,255),RIGHT('Disaggregation Records'!$D$3:$D$66,255),0))="","",INDEX('Disaggregation Records'!$E$3:$E$66,MATCH(RIGHT(Q68,255),RIGHT('Disaggregation Records'!$D$3:$D$66,255),0))),"")</f>
        <v/>
      </c>
      <c r="S68" s="89" t="str">
        <f t="array" aca="1" ref="S68" ca="1">IFERROR(IF(INDEX('Disaggregation Records'!$F$3:$F$66,MATCH(RIGHT(Q68,255),RIGHT('Disaggregation Records'!$D$3:$D$66,255),0))="","",INDEX('Disaggregation Records'!$F$3:$F$66,MATCH(RIGHT(Q68,255),RIGHT('Disaggregation Records'!$D$3:$D$66,255),0))),"")</f>
        <v/>
      </c>
      <c r="T68" s="89" t="str">
        <f t="array" aca="1" ref="T68" ca="1">IFERROR(IF(INDEX('Disaggregation Records'!$H$3:$H$66,MATCH(RIGHT(Q68,255),RIGHT('Disaggregation Records'!$D$3:$D$66,255),0))="","",INDEX('Disaggregation Records'!$H$3:$H$66,MATCH(RIGHT(Q68,255),RIGHT('Disaggregation Records'!$D$3:$D$66,255),0))),"")</f>
        <v/>
      </c>
      <c r="U68" s="89">
        <f>U66+1</f>
        <v>1220</v>
      </c>
      <c r="V68" s="89" t="str">
        <f t="array" aca="1" ref="V68" ca="1">IFERROR(IF(INDEX('Disaggregation Records'!$I$3:$I$66,MATCH(RIGHT(Q68,255),RIGHT('Disaggregation Records'!$D$3:$D$66,255),0))="","",INDEX('Disaggregation Records'!$I$3:$I$66,MATCH(RIGHT(Q68,255),RIGHT('Disaggregation Records'!$D$3:$D$66,255),0))),"")</f>
        <v/>
      </c>
      <c r="W68" s="89" t="str">
        <f ca="1">IFERROR(INDEX('Reference Records'!O$3:O$19,MATCH(LEFT(C68,255),'Reference Records'!J$3:J$19,0)),"")</f>
        <v/>
      </c>
    </row>
    <row r="69" spans="1:23" s="125" customFormat="1" ht="40.35" customHeight="1">
      <c r="A69" s="564"/>
      <c r="B69" s="799">
        <v>2.2894736842105301</v>
      </c>
      <c r="C69" s="800"/>
      <c r="D69" s="801"/>
      <c r="E69" s="801"/>
      <c r="F69" s="128"/>
      <c r="G69" s="802"/>
      <c r="H69" s="781"/>
      <c r="I69" s="803"/>
      <c r="J69" s="779"/>
      <c r="K69" s="800"/>
      <c r="L69" s="800"/>
      <c r="M69" s="779"/>
      <c r="N69" s="779"/>
    </row>
    <row r="70" spans="1:23" s="89" customFormat="1" ht="40.35" customHeight="1">
      <c r="A70" s="564" t="str">
        <f t="shared" ca="1" si="0"/>
        <v>a1G3p000005dHaZEAU</v>
      </c>
      <c r="B70" s="794">
        <v>4</v>
      </c>
      <c r="C70" s="795" t="str">
        <f ca="1">IFERROR(VLOOKUP(B70,'Impact Indicators - Section B '!$A$9:$AF$52,32,FALSE),"")</f>
        <v>HIV I-10⁽ᴹ⁾ Porcentaje de trabajadores sexuales que viven con el VIH</v>
      </c>
      <c r="D70" s="796" t="str">
        <f ca="1">R70</f>
        <v>Género</v>
      </c>
      <c r="E70" s="796" t="str">
        <f ca="1">S70</f>
        <v>Transgénero</v>
      </c>
      <c r="F70" s="127"/>
      <c r="G70" s="797" t="str">
        <f ca="1">IF(OR(INDIRECT("'update Helper'!E"&amp;U70)="",F70&lt;&gt;0,F71&lt;&gt;0),IF(IFERROR((F70/F71),"")="","",(F70/F71)),INDIRECT("'update Helper'!E"&amp;U70)/100)</f>
        <v/>
      </c>
      <c r="H70" s="784"/>
      <c r="I70" s="798"/>
      <c r="J70" s="777"/>
      <c r="K70" s="795" t="str">
        <f ca="1">W70</f>
        <v>HIV I-10⁽ᴹ⁾ Percentage of sex workers who are living with HIV</v>
      </c>
      <c r="L70" s="795" t="str">
        <f ca="1">V70</f>
        <v>Gender</v>
      </c>
      <c r="M70" s="777"/>
      <c r="N70" s="777"/>
      <c r="P70" s="89">
        <f ca="1">IF(AND(EXACT(C70,C68),C68&lt;&gt;0),P68+1,0)</f>
        <v>0</v>
      </c>
      <c r="Q70" s="89" t="str">
        <f ca="1">IF(C70&lt;&gt;"",C70&amp;"-"&amp;P70,"")</f>
        <v>HIV I-10⁽ᴹ⁾ Porcentaje de trabajadores sexuales que viven con el VIH-0</v>
      </c>
      <c r="R70" s="89" t="str">
        <f t="array" aca="1" ref="R70" ca="1">IFERROR(IF(INDEX('Disaggregation Records'!$E$3:$E$66,MATCH(RIGHT(Q70,255),RIGHT('Disaggregation Records'!$D$3:$D$66,255),0))="","",INDEX('Disaggregation Records'!$E$3:$E$66,MATCH(RIGHT(Q70,255),RIGHT('Disaggregation Records'!$D$3:$D$66,255),0))),"")</f>
        <v>Género</v>
      </c>
      <c r="S70" s="89" t="str">
        <f t="array" aca="1" ref="S70" ca="1">IFERROR(IF(INDEX('Disaggregation Records'!$F$3:$F$66,MATCH(RIGHT(Q70,255),RIGHT('Disaggregation Records'!$D$3:$D$66,255),0))="","",INDEX('Disaggregation Records'!$F$3:$F$66,MATCH(RIGHT(Q70,255),RIGHT('Disaggregation Records'!$D$3:$D$66,255),0))),"")</f>
        <v>Transgénero</v>
      </c>
      <c r="T70" s="89" t="str">
        <f t="array" aca="1" ref="T70" ca="1">IFERROR(IF(INDEX('Disaggregation Records'!$H$3:$H$66,MATCH(RIGHT(Q70,255),RIGHT('Disaggregation Records'!$D$3:$D$66,255),0))="","",INDEX('Disaggregation Records'!$H$3:$H$66,MATCH(RIGHT(Q70,255),RIGHT('Disaggregation Records'!$D$3:$D$66,255),0))),"")</f>
        <v>IDR-00776</v>
      </c>
      <c r="U70" s="89">
        <f>U68+1</f>
        <v>1221</v>
      </c>
      <c r="V70" s="89" t="str">
        <f t="array" aca="1" ref="V70" ca="1">IFERROR(IF(INDEX('Disaggregation Records'!$I$3:$I$66,MATCH(RIGHT(Q70,255),RIGHT('Disaggregation Records'!$D$3:$D$66,255),0))="","",INDEX('Disaggregation Records'!$I$3:$I$66,MATCH(RIGHT(Q70,255),RIGHT('Disaggregation Records'!$D$3:$D$66,255),0))),"")</f>
        <v>Gender</v>
      </c>
      <c r="W70" s="89" t="str">
        <f ca="1">IFERROR(INDEX('Reference Records'!O$3:O$19,MATCH(LEFT(C70,255),'Reference Records'!J$3:J$19,0)),"")</f>
        <v>HIV I-10⁽ᴹ⁾ Percentage of sex workers who are living with HIV</v>
      </c>
    </row>
    <row r="71" spans="1:23" s="89" customFormat="1" ht="40.35" customHeight="1">
      <c r="A71" s="564"/>
      <c r="B71" s="799"/>
      <c r="C71" s="800"/>
      <c r="D71" s="801"/>
      <c r="E71" s="801"/>
      <c r="F71" s="128"/>
      <c r="G71" s="802"/>
      <c r="H71" s="781"/>
      <c r="I71" s="803"/>
      <c r="J71" s="779"/>
      <c r="K71" s="800"/>
      <c r="L71" s="800"/>
      <c r="M71" s="779"/>
      <c r="N71" s="779"/>
      <c r="P71" s="125"/>
      <c r="Q71" s="125"/>
      <c r="R71" s="125"/>
      <c r="S71" s="125"/>
      <c r="T71" s="125"/>
      <c r="U71" s="125"/>
      <c r="V71" s="125"/>
      <c r="W71" s="125"/>
    </row>
    <row r="72" spans="1:23" s="89" customFormat="1" ht="40.35" customHeight="1">
      <c r="A72" s="564" t="str">
        <f t="shared" ca="1" si="0"/>
        <v>a1G3p000005dHaaEAE</v>
      </c>
      <c r="B72" s="794">
        <v>4</v>
      </c>
      <c r="C72" s="795" t="str">
        <f ca="1">IFERROR(VLOOKUP(B72,'Impact Indicators - Section B '!$A$9:$AF$52,32,FALSE),"")</f>
        <v>HIV I-10⁽ᴹ⁾ Porcentaje de trabajadores sexuales que viven con el VIH</v>
      </c>
      <c r="D72" s="796" t="str">
        <f ca="1">R72</f>
        <v>Género</v>
      </c>
      <c r="E72" s="796" t="str">
        <f ca="1">S72</f>
        <v>Mujeres</v>
      </c>
      <c r="F72" s="127"/>
      <c r="G72" s="797" t="str">
        <f ca="1">IF(OR(INDIRECT("'update Helper'!E"&amp;U72)="",F72&lt;&gt;0,F73&lt;&gt;0),IF(IFERROR((F72/F73),"")="","",(F72/F73)),INDIRECT("'update Helper'!E"&amp;U72)/100)</f>
        <v/>
      </c>
      <c r="H72" s="784"/>
      <c r="I72" s="798"/>
      <c r="J72" s="777"/>
      <c r="K72" s="795" t="str">
        <f ca="1">W72</f>
        <v>HIV I-10⁽ᴹ⁾ Percentage of sex workers who are living with HIV</v>
      </c>
      <c r="L72" s="795" t="str">
        <f ca="1">V72</f>
        <v>Gender</v>
      </c>
      <c r="M72" s="777"/>
      <c r="N72" s="777"/>
      <c r="P72" s="89">
        <f ca="1">IF(AND(EXACT(C72,C70),C70&lt;&gt;0),P70+1,0)</f>
        <v>1</v>
      </c>
      <c r="Q72" s="89" t="str">
        <f ca="1">IF(C72&lt;&gt;"",C72&amp;"-"&amp;P72,"")</f>
        <v>HIV I-10⁽ᴹ⁾ Porcentaje de trabajadores sexuales que viven con el VIH-1</v>
      </c>
      <c r="R72" s="89" t="str">
        <f t="array" aca="1" ref="R72" ca="1">IFERROR(IF(INDEX('Disaggregation Records'!$E$3:$E$66,MATCH(RIGHT(Q72,255),RIGHT('Disaggregation Records'!$D$3:$D$66,255),0))="","",INDEX('Disaggregation Records'!$E$3:$E$66,MATCH(RIGHT(Q72,255),RIGHT('Disaggregation Records'!$D$3:$D$66,255),0))),"")</f>
        <v>Género</v>
      </c>
      <c r="S72" s="89" t="str">
        <f t="array" aca="1" ref="S72" ca="1">IFERROR(IF(INDEX('Disaggregation Records'!$F$3:$F$66,MATCH(RIGHT(Q72,255),RIGHT('Disaggregation Records'!$D$3:$D$66,255),0))="","",INDEX('Disaggregation Records'!$F$3:$F$66,MATCH(RIGHT(Q72,255),RIGHT('Disaggregation Records'!$D$3:$D$66,255),0))),"")</f>
        <v>Mujeres</v>
      </c>
      <c r="T72" s="89" t="str">
        <f t="array" aca="1" ref="T72" ca="1">IFERROR(IF(INDEX('Disaggregation Records'!$H$3:$H$66,MATCH(RIGHT(Q72,255),RIGHT('Disaggregation Records'!$D$3:$D$66,255),0))="","",INDEX('Disaggregation Records'!$H$3:$H$66,MATCH(RIGHT(Q72,255),RIGHT('Disaggregation Records'!$D$3:$D$66,255),0))),"")</f>
        <v>IDR-00775</v>
      </c>
      <c r="U72" s="89">
        <f>U70+1</f>
        <v>1222</v>
      </c>
      <c r="V72" s="89" t="str">
        <f t="array" aca="1" ref="V72" ca="1">IFERROR(IF(INDEX('Disaggregation Records'!$I$3:$I$66,MATCH(RIGHT(Q72,255),RIGHT('Disaggregation Records'!$D$3:$D$66,255),0))="","",INDEX('Disaggregation Records'!$I$3:$I$66,MATCH(RIGHT(Q72,255),RIGHT('Disaggregation Records'!$D$3:$D$66,255),0))),"")</f>
        <v>Gender</v>
      </c>
      <c r="W72" s="89" t="str">
        <f ca="1">IFERROR(INDEX('Reference Records'!O$3:O$19,MATCH(LEFT(C72,255),'Reference Records'!J$3:J$19,0)),"")</f>
        <v>HIV I-10⁽ᴹ⁾ Percentage of sex workers who are living with HIV</v>
      </c>
    </row>
    <row r="73" spans="1:23" s="125" customFormat="1" ht="40.35" customHeight="1">
      <c r="A73" s="564"/>
      <c r="B73" s="799"/>
      <c r="C73" s="800"/>
      <c r="D73" s="801"/>
      <c r="E73" s="801"/>
      <c r="F73" s="128"/>
      <c r="G73" s="802"/>
      <c r="H73" s="781"/>
      <c r="I73" s="803"/>
      <c r="J73" s="779"/>
      <c r="K73" s="800"/>
      <c r="L73" s="800"/>
      <c r="M73" s="779"/>
      <c r="N73" s="779"/>
    </row>
    <row r="74" spans="1:23" s="89" customFormat="1" ht="40.35" customHeight="1">
      <c r="A74" s="564" t="str">
        <f t="shared" ca="1" si="0"/>
        <v>a1G3p000005dHabEAE</v>
      </c>
      <c r="B74" s="794">
        <v>4</v>
      </c>
      <c r="C74" s="795" t="str">
        <f ca="1">IFERROR(VLOOKUP(B74,'Impact Indicators - Section B '!$A$9:$AF$52,32,FALSE),"")</f>
        <v>HIV I-10⁽ᴹ⁾ Porcentaje de trabajadores sexuales que viven con el VIH</v>
      </c>
      <c r="D74" s="796" t="str">
        <f ca="1">R74</f>
        <v>Género</v>
      </c>
      <c r="E74" s="796" t="str">
        <f ca="1">S74</f>
        <v>Hombres</v>
      </c>
      <c r="F74" s="127"/>
      <c r="G74" s="797" t="str">
        <f ca="1">IF(OR(INDIRECT("'update Helper'!E"&amp;U74)="",F74&lt;&gt;0,F75&lt;&gt;0),IF(IFERROR((F74/F75),"")="","",(F74/F75)),INDIRECT("'update Helper'!E"&amp;U74)/100)</f>
        <v/>
      </c>
      <c r="H74" s="784"/>
      <c r="I74" s="798"/>
      <c r="J74" s="777"/>
      <c r="K74" s="795" t="str">
        <f ca="1">W74</f>
        <v>HIV I-10⁽ᴹ⁾ Percentage of sex workers who are living with HIV</v>
      </c>
      <c r="L74" s="795" t="str">
        <f ca="1">V74</f>
        <v>Gender</v>
      </c>
      <c r="M74" s="777"/>
      <c r="N74" s="777"/>
      <c r="P74" s="89">
        <f ca="1">IF(AND(EXACT(C74,C72),C72&lt;&gt;0),P72+1,0)</f>
        <v>2</v>
      </c>
      <c r="Q74" s="89" t="str">
        <f ca="1">IF(C74&lt;&gt;"",C74&amp;"-"&amp;P74,"")</f>
        <v>HIV I-10⁽ᴹ⁾ Porcentaje de trabajadores sexuales que viven con el VIH-2</v>
      </c>
      <c r="R74" s="89" t="str">
        <f t="array" aca="1" ref="R74" ca="1">IFERROR(IF(INDEX('Disaggregation Records'!$E$3:$E$66,MATCH(RIGHT(Q74,255),RIGHT('Disaggregation Records'!$D$3:$D$66,255),0))="","",INDEX('Disaggregation Records'!$E$3:$E$66,MATCH(RIGHT(Q74,255),RIGHT('Disaggregation Records'!$D$3:$D$66,255),0))),"")</f>
        <v>Género</v>
      </c>
      <c r="S74" s="89" t="str">
        <f t="array" aca="1" ref="S74" ca="1">IFERROR(IF(INDEX('Disaggregation Records'!$F$3:$F$66,MATCH(RIGHT(Q74,255),RIGHT('Disaggregation Records'!$D$3:$D$66,255),0))="","",INDEX('Disaggregation Records'!$F$3:$F$66,MATCH(RIGHT(Q74,255),RIGHT('Disaggregation Records'!$D$3:$D$66,255),0))),"")</f>
        <v>Hombres</v>
      </c>
      <c r="T74" s="89" t="str">
        <f t="array" aca="1" ref="T74" ca="1">IFERROR(IF(INDEX('Disaggregation Records'!$H$3:$H$66,MATCH(RIGHT(Q74,255),RIGHT('Disaggregation Records'!$D$3:$D$66,255),0))="","",INDEX('Disaggregation Records'!$H$3:$H$66,MATCH(RIGHT(Q74,255),RIGHT('Disaggregation Records'!$D$3:$D$66,255),0))),"")</f>
        <v>IDR-00774</v>
      </c>
      <c r="U74" s="89">
        <f>U72+1</f>
        <v>1223</v>
      </c>
      <c r="V74" s="89" t="str">
        <f t="array" aca="1" ref="V74" ca="1">IFERROR(IF(INDEX('Disaggregation Records'!$I$3:$I$66,MATCH(RIGHT(Q74,255),RIGHT('Disaggregation Records'!$D$3:$D$66,255),0))="","",INDEX('Disaggregation Records'!$I$3:$I$66,MATCH(RIGHT(Q74,255),RIGHT('Disaggregation Records'!$D$3:$D$66,255),0))),"")</f>
        <v>Gender</v>
      </c>
      <c r="W74" s="89" t="str">
        <f ca="1">IFERROR(INDEX('Reference Records'!O$3:O$19,MATCH(LEFT(C74,255),'Reference Records'!J$3:J$19,0)),"")</f>
        <v>HIV I-10⁽ᴹ⁾ Percentage of sex workers who are living with HIV</v>
      </c>
    </row>
    <row r="75" spans="1:23" s="125" customFormat="1" ht="40.35" customHeight="1">
      <c r="A75" s="564"/>
      <c r="B75" s="799"/>
      <c r="C75" s="800"/>
      <c r="D75" s="801"/>
      <c r="E75" s="801"/>
      <c r="F75" s="128"/>
      <c r="G75" s="802"/>
      <c r="H75" s="781"/>
      <c r="I75" s="803"/>
      <c r="J75" s="779"/>
      <c r="K75" s="800"/>
      <c r="L75" s="800"/>
      <c r="M75" s="779"/>
      <c r="N75" s="779"/>
    </row>
    <row r="76" spans="1:23" s="89" customFormat="1" ht="40.35" customHeight="1">
      <c r="A76" s="564" t="str">
        <f t="shared" ca="1" si="0"/>
        <v>a1G3p000005dHacEAE</v>
      </c>
      <c r="B76" s="794">
        <v>4</v>
      </c>
      <c r="C76" s="795" t="str">
        <f ca="1">IFERROR(VLOOKUP(B76,'Impact Indicators - Section B '!$A$9:$AF$52,32,FALSE),"")</f>
        <v>HIV I-10⁽ᴹ⁾ Porcentaje de trabajadores sexuales que viven con el VIH</v>
      </c>
      <c r="D76" s="796" t="str">
        <f ca="1">R76</f>
        <v>Edad</v>
      </c>
      <c r="E76" s="796" t="str">
        <f ca="1">S76</f>
        <v>25+</v>
      </c>
      <c r="F76" s="127"/>
      <c r="G76" s="797" t="str">
        <f ca="1">IF(OR(INDIRECT("'update Helper'!E"&amp;U76)="",F76&lt;&gt;0,F77&lt;&gt;0),IF(IFERROR((F76/F77),"")="","",(F76/F77)),INDIRECT("'update Helper'!E"&amp;U76)/100)</f>
        <v/>
      </c>
      <c r="H76" s="784"/>
      <c r="I76" s="798"/>
      <c r="J76" s="777"/>
      <c r="K76" s="795" t="str">
        <f ca="1">W76</f>
        <v>HIV I-10⁽ᴹ⁾ Percentage of sex workers who are living with HIV</v>
      </c>
      <c r="L76" s="795" t="str">
        <f ca="1">V76</f>
        <v>Age</v>
      </c>
      <c r="M76" s="777"/>
      <c r="N76" s="777"/>
      <c r="P76" s="89">
        <f ca="1">IF(AND(EXACT(C76,C74),C74&lt;&gt;0),P74+1,0)</f>
        <v>3</v>
      </c>
      <c r="Q76" s="89" t="str">
        <f ca="1">IF(C76&lt;&gt;"",C76&amp;"-"&amp;P76,"")</f>
        <v>HIV I-10⁽ᴹ⁾ Porcentaje de trabajadores sexuales que viven con el VIH-3</v>
      </c>
      <c r="R76" s="89" t="str">
        <f t="array" aca="1" ref="R76" ca="1">IFERROR(IF(INDEX('Disaggregation Records'!$E$3:$E$66,MATCH(RIGHT(Q76,255),RIGHT('Disaggregation Records'!$D$3:$D$66,255),0))="","",INDEX('Disaggregation Records'!$E$3:$E$66,MATCH(RIGHT(Q76,255),RIGHT('Disaggregation Records'!$D$3:$D$66,255),0))),"")</f>
        <v>Edad</v>
      </c>
      <c r="S76" s="89" t="str">
        <f t="array" aca="1" ref="S76" ca="1">IFERROR(IF(INDEX('Disaggregation Records'!$F$3:$F$66,MATCH(RIGHT(Q76,255),RIGHT('Disaggregation Records'!$D$3:$D$66,255),0))="","",INDEX('Disaggregation Records'!$F$3:$F$66,MATCH(RIGHT(Q76,255),RIGHT('Disaggregation Records'!$D$3:$D$66,255),0))),"")</f>
        <v>25+</v>
      </c>
      <c r="T76" s="89" t="str">
        <f t="array" aca="1" ref="T76" ca="1">IFERROR(IF(INDEX('Disaggregation Records'!$H$3:$H$66,MATCH(RIGHT(Q76,255),RIGHT('Disaggregation Records'!$D$3:$D$66,255),0))="","",INDEX('Disaggregation Records'!$H$3:$H$66,MATCH(RIGHT(Q76,255),RIGHT('Disaggregation Records'!$D$3:$D$66,255),0))),"")</f>
        <v>IDR-00661</v>
      </c>
      <c r="U76" s="89">
        <f>U74+1</f>
        <v>1224</v>
      </c>
      <c r="V76" s="89" t="str">
        <f t="array" aca="1" ref="V76" ca="1">IFERROR(IF(INDEX('Disaggregation Records'!$I$3:$I$66,MATCH(RIGHT(Q76,255),RIGHT('Disaggregation Records'!$D$3:$D$66,255),0))="","",INDEX('Disaggregation Records'!$I$3:$I$66,MATCH(RIGHT(Q76,255),RIGHT('Disaggregation Records'!$D$3:$D$66,255),0))),"")</f>
        <v>Age</v>
      </c>
      <c r="W76" s="89" t="str">
        <f ca="1">IFERROR(INDEX('Reference Records'!O$3:O$19,MATCH(LEFT(C76,255),'Reference Records'!J$3:J$19,0)),"")</f>
        <v>HIV I-10⁽ᴹ⁾ Percentage of sex workers who are living with HIV</v>
      </c>
    </row>
    <row r="77" spans="1:23" s="89" customFormat="1" ht="40.35" customHeight="1">
      <c r="A77" s="564"/>
      <c r="B77" s="799"/>
      <c r="C77" s="800"/>
      <c r="D77" s="801"/>
      <c r="E77" s="801"/>
      <c r="F77" s="128"/>
      <c r="G77" s="802"/>
      <c r="H77" s="781"/>
      <c r="I77" s="803"/>
      <c r="J77" s="779"/>
      <c r="K77" s="800"/>
      <c r="L77" s="800"/>
      <c r="M77" s="779"/>
      <c r="N77" s="779"/>
      <c r="P77" s="125"/>
      <c r="Q77" s="125"/>
      <c r="R77" s="125"/>
      <c r="S77" s="125"/>
      <c r="T77" s="125"/>
      <c r="U77" s="125"/>
      <c r="V77" s="125"/>
      <c r="W77" s="125"/>
    </row>
    <row r="78" spans="1:23" s="89" customFormat="1" ht="40.35" customHeight="1">
      <c r="A78" s="564" t="str">
        <f t="shared" ref="A78:A140" ca="1" si="1">INDIRECT("'update Helper'!C"&amp;U78)</f>
        <v>a1G3p000005dHadEAE</v>
      </c>
      <c r="B78" s="794">
        <v>4</v>
      </c>
      <c r="C78" s="795" t="str">
        <f ca="1">IFERROR(VLOOKUP(B78,'Impact Indicators - Section B '!$A$9:$AF$52,32,FALSE),"")</f>
        <v>HIV I-10⁽ᴹ⁾ Porcentaje de trabajadores sexuales que viven con el VIH</v>
      </c>
      <c r="D78" s="796" t="str">
        <f ca="1">R78</f>
        <v>Edad</v>
      </c>
      <c r="E78" s="796" t="str">
        <f ca="1">S78</f>
        <v>&lt;25</v>
      </c>
      <c r="F78" s="127"/>
      <c r="G78" s="797" t="str">
        <f ca="1">IF(OR(INDIRECT("'update Helper'!E"&amp;U78)="",F78&lt;&gt;0,F79&lt;&gt;0),IF(IFERROR((F78/F79),"")="","",(F78/F79)),INDIRECT("'update Helper'!E"&amp;U78)/100)</f>
        <v/>
      </c>
      <c r="H78" s="784"/>
      <c r="I78" s="798"/>
      <c r="J78" s="777"/>
      <c r="K78" s="795" t="str">
        <f ca="1">W78</f>
        <v>HIV I-10⁽ᴹ⁾ Percentage of sex workers who are living with HIV</v>
      </c>
      <c r="L78" s="795" t="str">
        <f ca="1">V78</f>
        <v>Age</v>
      </c>
      <c r="M78" s="777"/>
      <c r="N78" s="777"/>
      <c r="P78" s="89">
        <f ca="1">IF(AND(EXACT(C78,C76),C76&lt;&gt;0),P76+1,0)</f>
        <v>4</v>
      </c>
      <c r="Q78" s="89" t="str">
        <f ca="1">IF(C78&lt;&gt;"",C78&amp;"-"&amp;P78,"")</f>
        <v>HIV I-10⁽ᴹ⁾ Porcentaje de trabajadores sexuales que viven con el VIH-4</v>
      </c>
      <c r="R78" s="89" t="str">
        <f t="array" aca="1" ref="R78" ca="1">IFERROR(IF(INDEX('Disaggregation Records'!$E$3:$E$66,MATCH(RIGHT(Q78,255),RIGHT('Disaggregation Records'!$D$3:$D$66,255),0))="","",INDEX('Disaggregation Records'!$E$3:$E$66,MATCH(RIGHT(Q78,255),RIGHT('Disaggregation Records'!$D$3:$D$66,255),0))),"")</f>
        <v>Edad</v>
      </c>
      <c r="S78" s="89" t="str">
        <f t="array" aca="1" ref="S78" ca="1">IFERROR(IF(INDEX('Disaggregation Records'!$F$3:$F$66,MATCH(RIGHT(Q78,255),RIGHT('Disaggregation Records'!$D$3:$D$66,255),0))="","",INDEX('Disaggregation Records'!$F$3:$F$66,MATCH(RIGHT(Q78,255),RIGHT('Disaggregation Records'!$D$3:$D$66,255),0))),"")</f>
        <v>&lt;25</v>
      </c>
      <c r="T78" s="89" t="str">
        <f t="array" aca="1" ref="T78" ca="1">IFERROR(IF(INDEX('Disaggregation Records'!$H$3:$H$66,MATCH(RIGHT(Q78,255),RIGHT('Disaggregation Records'!$D$3:$D$66,255),0))="","",INDEX('Disaggregation Records'!$H$3:$H$66,MATCH(RIGHT(Q78,255),RIGHT('Disaggregation Records'!$D$3:$D$66,255),0))),"")</f>
        <v>IDR-00660</v>
      </c>
      <c r="U78" s="89">
        <f>U76+1</f>
        <v>1225</v>
      </c>
      <c r="V78" s="89" t="str">
        <f t="array" aca="1" ref="V78" ca="1">IFERROR(IF(INDEX('Disaggregation Records'!$I$3:$I$66,MATCH(RIGHT(Q78,255),RIGHT('Disaggregation Records'!$D$3:$D$66,255),0))="","",INDEX('Disaggregation Records'!$I$3:$I$66,MATCH(RIGHT(Q78,255),RIGHT('Disaggregation Records'!$D$3:$D$66,255),0))),"")</f>
        <v>Age</v>
      </c>
      <c r="W78" s="89" t="str">
        <f ca="1">IFERROR(INDEX('Reference Records'!O$3:O$19,MATCH(LEFT(C78,255),'Reference Records'!J$3:J$19,0)),"")</f>
        <v>HIV I-10⁽ᴹ⁾ Percentage of sex workers who are living with HIV</v>
      </c>
    </row>
    <row r="79" spans="1:23" s="125" customFormat="1" ht="40.35" customHeight="1">
      <c r="A79" s="564"/>
      <c r="B79" s="799"/>
      <c r="C79" s="800"/>
      <c r="D79" s="801"/>
      <c r="E79" s="801"/>
      <c r="F79" s="128"/>
      <c r="G79" s="802"/>
      <c r="H79" s="781"/>
      <c r="I79" s="803"/>
      <c r="J79" s="779"/>
      <c r="K79" s="800"/>
      <c r="L79" s="800"/>
      <c r="M79" s="779"/>
      <c r="N79" s="779"/>
    </row>
    <row r="80" spans="1:23" s="89" customFormat="1" ht="40.35" customHeight="1">
      <c r="A80" s="564" t="str">
        <f t="shared" ca="1" si="1"/>
        <v>a1G3p000005dHaeEAE</v>
      </c>
      <c r="B80" s="794">
        <v>4</v>
      </c>
      <c r="C80" s="795" t="str">
        <f ca="1">IFERROR(VLOOKUP(B80,'Impact Indicators - Section B '!$A$9:$AF$52,32,FALSE),"")</f>
        <v>HIV I-10⁽ᴹ⁾ Porcentaje de trabajadores sexuales que viven con el VIH</v>
      </c>
      <c r="D80" s="796" t="str">
        <f ca="1">R80</f>
        <v/>
      </c>
      <c r="E80" s="796" t="str">
        <f ca="1">S80</f>
        <v/>
      </c>
      <c r="F80" s="127"/>
      <c r="G80" s="797" t="str">
        <f ca="1">IF(OR(INDIRECT("'update Helper'!E"&amp;U80)="",F80&lt;&gt;0,F81&lt;&gt;0),IF(IFERROR((F80/F81),"")="","",(F80/F81)),INDIRECT("'update Helper'!E"&amp;U80)/100)</f>
        <v/>
      </c>
      <c r="H80" s="784"/>
      <c r="I80" s="798"/>
      <c r="J80" s="777"/>
      <c r="K80" s="795" t="str">
        <f ca="1">W80</f>
        <v>HIV I-10⁽ᴹ⁾ Percentage of sex workers who are living with HIV</v>
      </c>
      <c r="L80" s="795" t="str">
        <f ca="1">V80</f>
        <v/>
      </c>
      <c r="M80" s="777"/>
      <c r="N80" s="777"/>
      <c r="P80" s="89">
        <f ca="1">IF(AND(EXACT(C80,C78),C78&lt;&gt;0),P78+1,0)</f>
        <v>5</v>
      </c>
      <c r="Q80" s="89" t="str">
        <f ca="1">IF(C80&lt;&gt;"",C80&amp;"-"&amp;P80,"")</f>
        <v>HIV I-10⁽ᴹ⁾ Porcentaje de trabajadores sexuales que viven con el VIH-5</v>
      </c>
      <c r="R80" s="89" t="str">
        <f t="array" aca="1" ref="R80" ca="1">IFERROR(IF(INDEX('Disaggregation Records'!$E$3:$E$66,MATCH(RIGHT(Q80,255),RIGHT('Disaggregation Records'!$D$3:$D$66,255),0))="","",INDEX('Disaggregation Records'!$E$3:$E$66,MATCH(RIGHT(Q80,255),RIGHT('Disaggregation Records'!$D$3:$D$66,255),0))),"")</f>
        <v/>
      </c>
      <c r="S80" s="89" t="str">
        <f t="array" aca="1" ref="S80" ca="1">IFERROR(IF(INDEX('Disaggregation Records'!$F$3:$F$66,MATCH(RIGHT(Q80,255),RIGHT('Disaggregation Records'!$D$3:$D$66,255),0))="","",INDEX('Disaggregation Records'!$F$3:$F$66,MATCH(RIGHT(Q80,255),RIGHT('Disaggregation Records'!$D$3:$D$66,255),0))),"")</f>
        <v/>
      </c>
      <c r="T80" s="89" t="str">
        <f t="array" aca="1" ref="T80" ca="1">IFERROR(IF(INDEX('Disaggregation Records'!$H$3:$H$66,MATCH(RIGHT(Q80,255),RIGHT('Disaggregation Records'!$D$3:$D$66,255),0))="","",INDEX('Disaggregation Records'!$H$3:$H$66,MATCH(RIGHT(Q80,255),RIGHT('Disaggregation Records'!$D$3:$D$66,255),0))),"")</f>
        <v/>
      </c>
      <c r="U80" s="89">
        <f>U78+1</f>
        <v>1226</v>
      </c>
      <c r="V80" s="89" t="str">
        <f t="array" aca="1" ref="V80" ca="1">IFERROR(IF(INDEX('Disaggregation Records'!$I$3:$I$66,MATCH(RIGHT(Q80,255),RIGHT('Disaggregation Records'!$D$3:$D$66,255),0))="","",INDEX('Disaggregation Records'!$I$3:$I$66,MATCH(RIGHT(Q80,255),RIGHT('Disaggregation Records'!$D$3:$D$66,255),0))),"")</f>
        <v/>
      </c>
      <c r="W80" s="89" t="str">
        <f ca="1">IFERROR(INDEX('Reference Records'!O$3:O$19,MATCH(LEFT(C80,255),'Reference Records'!J$3:J$19,0)),"")</f>
        <v>HIV I-10⁽ᴹ⁾ Percentage of sex workers who are living with HIV</v>
      </c>
    </row>
    <row r="81" spans="1:23" s="125" customFormat="1" ht="40.35" customHeight="1">
      <c r="A81" s="564"/>
      <c r="B81" s="799"/>
      <c r="C81" s="800"/>
      <c r="D81" s="801"/>
      <c r="E81" s="801"/>
      <c r="F81" s="128"/>
      <c r="G81" s="802"/>
      <c r="H81" s="781"/>
      <c r="I81" s="803"/>
      <c r="J81" s="779"/>
      <c r="K81" s="800"/>
      <c r="L81" s="800"/>
      <c r="M81" s="779"/>
      <c r="N81" s="779"/>
    </row>
    <row r="82" spans="1:23" s="89" customFormat="1" ht="40.35" customHeight="1">
      <c r="A82" s="564" t="str">
        <f t="shared" ca="1" si="1"/>
        <v>a1G3p000005dHafEAE</v>
      </c>
      <c r="B82" s="794">
        <v>4</v>
      </c>
      <c r="C82" s="795" t="str">
        <f ca="1">IFERROR(VLOOKUP(B82,'Impact Indicators - Section B '!$A$9:$AF$52,32,FALSE),"")</f>
        <v>HIV I-10⁽ᴹ⁾ Porcentaje de trabajadores sexuales que viven con el VIH</v>
      </c>
      <c r="D82" s="796" t="str">
        <f ca="1">R82</f>
        <v/>
      </c>
      <c r="E82" s="796" t="str">
        <f ca="1">S82</f>
        <v/>
      </c>
      <c r="F82" s="127"/>
      <c r="G82" s="797" t="str">
        <f ca="1">IF(OR(INDIRECT("'update Helper'!E"&amp;U82)="",F82&lt;&gt;0,F83&lt;&gt;0),IF(IFERROR((F82/F83),"")="","",(F82/F83)),INDIRECT("'update Helper'!E"&amp;U82)/100)</f>
        <v/>
      </c>
      <c r="H82" s="784"/>
      <c r="I82" s="798"/>
      <c r="J82" s="777"/>
      <c r="K82" s="795" t="str">
        <f ca="1">W82</f>
        <v>HIV I-10⁽ᴹ⁾ Percentage of sex workers who are living with HIV</v>
      </c>
      <c r="L82" s="795" t="str">
        <f ca="1">V82</f>
        <v/>
      </c>
      <c r="M82" s="777"/>
      <c r="N82" s="777"/>
      <c r="P82" s="89">
        <f ca="1">IF(AND(EXACT(C82,C80),C80&lt;&gt;0),P80+1,0)</f>
        <v>6</v>
      </c>
      <c r="Q82" s="89" t="str">
        <f ca="1">IF(C82&lt;&gt;"",C82&amp;"-"&amp;P82,"")</f>
        <v>HIV I-10⁽ᴹ⁾ Porcentaje de trabajadores sexuales que viven con el VIH-6</v>
      </c>
      <c r="R82" s="89" t="str">
        <f t="array" aca="1" ref="R82" ca="1">IFERROR(IF(INDEX('Disaggregation Records'!$E$3:$E$66,MATCH(RIGHT(Q82,255),RIGHT('Disaggregation Records'!$D$3:$D$66,255),0))="","",INDEX('Disaggregation Records'!$E$3:$E$66,MATCH(RIGHT(Q82,255),RIGHT('Disaggregation Records'!$D$3:$D$66,255),0))),"")</f>
        <v/>
      </c>
      <c r="S82" s="89" t="str">
        <f t="array" aca="1" ref="S82" ca="1">IFERROR(IF(INDEX('Disaggregation Records'!$F$3:$F$66,MATCH(RIGHT(Q82,255),RIGHT('Disaggregation Records'!$D$3:$D$66,255),0))="","",INDEX('Disaggregation Records'!$F$3:$F$66,MATCH(RIGHT(Q82,255),RIGHT('Disaggregation Records'!$D$3:$D$66,255),0))),"")</f>
        <v/>
      </c>
      <c r="T82" s="89" t="str">
        <f t="array" aca="1" ref="T82" ca="1">IFERROR(IF(INDEX('Disaggregation Records'!$H$3:$H$66,MATCH(RIGHT(Q82,255),RIGHT('Disaggregation Records'!$D$3:$D$66,255),0))="","",INDEX('Disaggregation Records'!$H$3:$H$66,MATCH(RIGHT(Q82,255),RIGHT('Disaggregation Records'!$D$3:$D$66,255),0))),"")</f>
        <v/>
      </c>
      <c r="U82" s="89">
        <f>U80+1</f>
        <v>1227</v>
      </c>
      <c r="V82" s="89" t="str">
        <f t="array" aca="1" ref="V82" ca="1">IFERROR(IF(INDEX('Disaggregation Records'!$I$3:$I$66,MATCH(RIGHT(Q82,255),RIGHT('Disaggregation Records'!$D$3:$D$66,255),0))="","",INDEX('Disaggregation Records'!$I$3:$I$66,MATCH(RIGHT(Q82,255),RIGHT('Disaggregation Records'!$D$3:$D$66,255),0))),"")</f>
        <v/>
      </c>
      <c r="W82" s="89" t="str">
        <f ca="1">IFERROR(INDEX('Reference Records'!O$3:O$19,MATCH(LEFT(C82,255),'Reference Records'!J$3:J$19,0)),"")</f>
        <v>HIV I-10⁽ᴹ⁾ Percentage of sex workers who are living with HIV</v>
      </c>
    </row>
    <row r="83" spans="1:23" s="89" customFormat="1" ht="40.35" customHeight="1">
      <c r="A83" s="564"/>
      <c r="B83" s="799"/>
      <c r="C83" s="800"/>
      <c r="D83" s="801"/>
      <c r="E83" s="801"/>
      <c r="F83" s="128"/>
      <c r="G83" s="802"/>
      <c r="H83" s="781"/>
      <c r="I83" s="803"/>
      <c r="J83" s="779"/>
      <c r="K83" s="800"/>
      <c r="L83" s="800"/>
      <c r="M83" s="779"/>
      <c r="N83" s="779"/>
      <c r="P83" s="125"/>
      <c r="Q83" s="125"/>
      <c r="R83" s="125"/>
      <c r="S83" s="125"/>
      <c r="T83" s="125"/>
      <c r="U83" s="125"/>
      <c r="V83" s="125"/>
      <c r="W83" s="125"/>
    </row>
    <row r="84" spans="1:23" s="89" customFormat="1" ht="40.35" customHeight="1">
      <c r="A84" s="564" t="str">
        <f t="shared" ca="1" si="1"/>
        <v>a1G3p000005dHagEAE</v>
      </c>
      <c r="B84" s="794">
        <v>4</v>
      </c>
      <c r="C84" s="795" t="str">
        <f ca="1">IFERROR(VLOOKUP(B84,'Impact Indicators - Section B '!$A$9:$AF$52,32,FALSE),"")</f>
        <v>HIV I-10⁽ᴹ⁾ Porcentaje de trabajadores sexuales que viven con el VIH</v>
      </c>
      <c r="D84" s="796" t="str">
        <f ca="1">R84</f>
        <v/>
      </c>
      <c r="E84" s="796" t="str">
        <f ca="1">S84</f>
        <v/>
      </c>
      <c r="F84" s="127"/>
      <c r="G84" s="797" t="str">
        <f ca="1">IF(OR(INDIRECT("'update Helper'!E"&amp;U84)="",F84&lt;&gt;0,F85&lt;&gt;0),IF(IFERROR((F84/F85),"")="","",(F84/F85)),INDIRECT("'update Helper'!E"&amp;U84)/100)</f>
        <v/>
      </c>
      <c r="H84" s="784"/>
      <c r="I84" s="798"/>
      <c r="J84" s="777"/>
      <c r="K84" s="795" t="str">
        <f ca="1">W84</f>
        <v>HIV I-10⁽ᴹ⁾ Percentage of sex workers who are living with HIV</v>
      </c>
      <c r="L84" s="795" t="str">
        <f ca="1">V84</f>
        <v/>
      </c>
      <c r="M84" s="777"/>
      <c r="N84" s="777"/>
      <c r="P84" s="89">
        <f ca="1">IF(AND(EXACT(C84,C82),C82&lt;&gt;0),P82+1,0)</f>
        <v>7</v>
      </c>
      <c r="Q84" s="89" t="str">
        <f ca="1">IF(C84&lt;&gt;"",C84&amp;"-"&amp;P84,"")</f>
        <v>HIV I-10⁽ᴹ⁾ Porcentaje de trabajadores sexuales que viven con el VIH-7</v>
      </c>
      <c r="R84" s="89" t="str">
        <f t="array" aca="1" ref="R84" ca="1">IFERROR(IF(INDEX('Disaggregation Records'!$E$3:$E$66,MATCH(RIGHT(Q84,255),RIGHT('Disaggregation Records'!$D$3:$D$66,255),0))="","",INDEX('Disaggregation Records'!$E$3:$E$66,MATCH(RIGHT(Q84,255),RIGHT('Disaggregation Records'!$D$3:$D$66,255),0))),"")</f>
        <v/>
      </c>
      <c r="S84" s="89" t="str">
        <f t="array" aca="1" ref="S84" ca="1">IFERROR(IF(INDEX('Disaggregation Records'!$F$3:$F$66,MATCH(RIGHT(Q84,255),RIGHT('Disaggregation Records'!$D$3:$D$66,255),0))="","",INDEX('Disaggregation Records'!$F$3:$F$66,MATCH(RIGHT(Q84,255),RIGHT('Disaggregation Records'!$D$3:$D$66,255),0))),"")</f>
        <v/>
      </c>
      <c r="T84" s="89" t="str">
        <f t="array" aca="1" ref="T84" ca="1">IFERROR(IF(INDEX('Disaggregation Records'!$H$3:$H$66,MATCH(RIGHT(Q84,255),RIGHT('Disaggregation Records'!$D$3:$D$66,255),0))="","",INDEX('Disaggregation Records'!$H$3:$H$66,MATCH(RIGHT(Q84,255),RIGHT('Disaggregation Records'!$D$3:$D$66,255),0))),"")</f>
        <v/>
      </c>
      <c r="U84" s="89">
        <f>U82+1</f>
        <v>1228</v>
      </c>
      <c r="V84" s="89" t="str">
        <f t="array" aca="1" ref="V84" ca="1">IFERROR(IF(INDEX('Disaggregation Records'!$I$3:$I$66,MATCH(RIGHT(Q84,255),RIGHT('Disaggregation Records'!$D$3:$D$66,255),0))="","",INDEX('Disaggregation Records'!$I$3:$I$66,MATCH(RIGHT(Q84,255),RIGHT('Disaggregation Records'!$D$3:$D$66,255),0))),"")</f>
        <v/>
      </c>
      <c r="W84" s="89" t="str">
        <f ca="1">IFERROR(INDEX('Reference Records'!O$3:O$19,MATCH(LEFT(C84,255),'Reference Records'!J$3:J$19,0)),"")</f>
        <v>HIV I-10⁽ᴹ⁾ Percentage of sex workers who are living with HIV</v>
      </c>
    </row>
    <row r="85" spans="1:23" s="125" customFormat="1" ht="40.35" customHeight="1">
      <c r="A85" s="564"/>
      <c r="B85" s="799"/>
      <c r="C85" s="800"/>
      <c r="D85" s="801"/>
      <c r="E85" s="801"/>
      <c r="F85" s="128"/>
      <c r="G85" s="802"/>
      <c r="H85" s="781"/>
      <c r="I85" s="803"/>
      <c r="J85" s="779"/>
      <c r="K85" s="800"/>
      <c r="L85" s="800"/>
      <c r="M85" s="779"/>
      <c r="N85" s="779"/>
    </row>
    <row r="86" spans="1:23" s="89" customFormat="1" ht="40.35" customHeight="1">
      <c r="A86" s="564" t="str">
        <f t="shared" ca="1" si="1"/>
        <v>a1G3p000005dHahEAE</v>
      </c>
      <c r="B86" s="794">
        <v>4</v>
      </c>
      <c r="C86" s="795" t="str">
        <f ca="1">IFERROR(VLOOKUP(B86,'Impact Indicators - Section B '!$A$9:$AF$52,32,FALSE),"")</f>
        <v>HIV I-10⁽ᴹ⁾ Porcentaje de trabajadores sexuales que viven con el VIH</v>
      </c>
      <c r="D86" s="796" t="str">
        <f ca="1">R86</f>
        <v/>
      </c>
      <c r="E86" s="796" t="str">
        <f ca="1">S86</f>
        <v/>
      </c>
      <c r="F86" s="127"/>
      <c r="G86" s="797" t="str">
        <f ca="1">IF(OR(INDIRECT("'update Helper'!E"&amp;U86)="",F86&lt;&gt;0,F87&lt;&gt;0),IF(IFERROR((F86/F87),"")="","",(F86/F87)),INDIRECT("'update Helper'!E"&amp;U86)/100)</f>
        <v/>
      </c>
      <c r="H86" s="784"/>
      <c r="I86" s="798"/>
      <c r="J86" s="777"/>
      <c r="K86" s="795" t="str">
        <f ca="1">W86</f>
        <v>HIV I-10⁽ᴹ⁾ Percentage of sex workers who are living with HIV</v>
      </c>
      <c r="L86" s="795" t="str">
        <f ca="1">V86</f>
        <v/>
      </c>
      <c r="M86" s="777"/>
      <c r="N86" s="777"/>
      <c r="P86" s="89">
        <f ca="1">IF(AND(EXACT(C86,C84),C84&lt;&gt;0),P84+1,0)</f>
        <v>8</v>
      </c>
      <c r="Q86" s="89" t="str">
        <f ca="1">IF(C86&lt;&gt;"",C86&amp;"-"&amp;P86,"")</f>
        <v>HIV I-10⁽ᴹ⁾ Porcentaje de trabajadores sexuales que viven con el VIH-8</v>
      </c>
      <c r="R86" s="89" t="str">
        <f t="array" aca="1" ref="R86" ca="1">IFERROR(IF(INDEX('Disaggregation Records'!$E$3:$E$66,MATCH(RIGHT(Q86,255),RIGHT('Disaggregation Records'!$D$3:$D$66,255),0))="","",INDEX('Disaggregation Records'!$E$3:$E$66,MATCH(RIGHT(Q86,255),RIGHT('Disaggregation Records'!$D$3:$D$66,255),0))),"")</f>
        <v/>
      </c>
      <c r="S86" s="89" t="str">
        <f t="array" aca="1" ref="S86" ca="1">IFERROR(IF(INDEX('Disaggregation Records'!$F$3:$F$66,MATCH(RIGHT(Q86,255),RIGHT('Disaggregation Records'!$D$3:$D$66,255),0))="","",INDEX('Disaggregation Records'!$F$3:$F$66,MATCH(RIGHT(Q86,255),RIGHT('Disaggregation Records'!$D$3:$D$66,255),0))),"")</f>
        <v/>
      </c>
      <c r="T86" s="89" t="str">
        <f t="array" aca="1" ref="T86" ca="1">IFERROR(IF(INDEX('Disaggregation Records'!$H$3:$H$66,MATCH(RIGHT(Q86,255),RIGHT('Disaggregation Records'!$D$3:$D$66,255),0))="","",INDEX('Disaggregation Records'!$H$3:$H$66,MATCH(RIGHT(Q86,255),RIGHT('Disaggregation Records'!$D$3:$D$66,255),0))),"")</f>
        <v/>
      </c>
      <c r="U86" s="89">
        <f>U84+1</f>
        <v>1229</v>
      </c>
      <c r="V86" s="89" t="str">
        <f t="array" aca="1" ref="V86" ca="1">IFERROR(IF(INDEX('Disaggregation Records'!$I$3:$I$66,MATCH(RIGHT(Q86,255),RIGHT('Disaggregation Records'!$D$3:$D$66,255),0))="","",INDEX('Disaggregation Records'!$I$3:$I$66,MATCH(RIGHT(Q86,255),RIGHT('Disaggregation Records'!$D$3:$D$66,255),0))),"")</f>
        <v/>
      </c>
      <c r="W86" s="89" t="str">
        <f ca="1">IFERROR(INDEX('Reference Records'!O$3:O$19,MATCH(LEFT(C86,255),'Reference Records'!J$3:J$19,0)),"")</f>
        <v>HIV I-10⁽ᴹ⁾ Percentage of sex workers who are living with HIV</v>
      </c>
    </row>
    <row r="87" spans="1:23" s="125" customFormat="1" ht="40.35" customHeight="1">
      <c r="A87" s="564"/>
      <c r="B87" s="799"/>
      <c r="C87" s="800"/>
      <c r="D87" s="801"/>
      <c r="E87" s="801"/>
      <c r="F87" s="128"/>
      <c r="G87" s="802"/>
      <c r="H87" s="781"/>
      <c r="I87" s="803"/>
      <c r="J87" s="779"/>
      <c r="K87" s="800"/>
      <c r="L87" s="800"/>
      <c r="M87" s="779"/>
      <c r="N87" s="779"/>
    </row>
    <row r="88" spans="1:23" s="89" customFormat="1" ht="40.35" customHeight="1">
      <c r="A88" s="564" t="str">
        <f t="shared" ca="1" si="1"/>
        <v>a1G3p000005dHaiEAE</v>
      </c>
      <c r="B88" s="794">
        <v>4</v>
      </c>
      <c r="C88" s="795" t="str">
        <f ca="1">IFERROR(VLOOKUP(B88,'Impact Indicators - Section B '!$A$9:$AF$52,32,FALSE),"")</f>
        <v>HIV I-10⁽ᴹ⁾ Porcentaje de trabajadores sexuales que viven con el VIH</v>
      </c>
      <c r="D88" s="796" t="str">
        <f ca="1">R88</f>
        <v/>
      </c>
      <c r="E88" s="796" t="str">
        <f ca="1">S88</f>
        <v/>
      </c>
      <c r="F88" s="127"/>
      <c r="G88" s="797" t="str">
        <f ca="1">IF(OR(INDIRECT("'update Helper'!E"&amp;U88)="",F88&lt;&gt;0,F89&lt;&gt;0),IF(IFERROR((F88/F89),"")="","",(F88/F89)),INDIRECT("'update Helper'!E"&amp;U88)/100)</f>
        <v/>
      </c>
      <c r="H88" s="784"/>
      <c r="I88" s="798"/>
      <c r="J88" s="777"/>
      <c r="K88" s="795" t="str">
        <f ca="1">W88</f>
        <v>HIV I-10⁽ᴹ⁾ Percentage of sex workers who are living with HIV</v>
      </c>
      <c r="L88" s="795" t="str">
        <f ca="1">V88</f>
        <v/>
      </c>
      <c r="M88" s="777"/>
      <c r="N88" s="777"/>
      <c r="P88" s="89">
        <f ca="1">IF(AND(EXACT(C88,C86),C86&lt;&gt;0),P86+1,0)</f>
        <v>9</v>
      </c>
      <c r="Q88" s="89" t="str">
        <f ca="1">IF(C88&lt;&gt;"",C88&amp;"-"&amp;P88,"")</f>
        <v>HIV I-10⁽ᴹ⁾ Porcentaje de trabajadores sexuales que viven con el VIH-9</v>
      </c>
      <c r="R88" s="89" t="str">
        <f t="array" aca="1" ref="R88" ca="1">IFERROR(IF(INDEX('Disaggregation Records'!$E$3:$E$66,MATCH(RIGHT(Q88,255),RIGHT('Disaggregation Records'!$D$3:$D$66,255),0))="","",INDEX('Disaggregation Records'!$E$3:$E$66,MATCH(RIGHT(Q88,255),RIGHT('Disaggregation Records'!$D$3:$D$66,255),0))),"")</f>
        <v/>
      </c>
      <c r="S88" s="89" t="str">
        <f t="array" aca="1" ref="S88" ca="1">IFERROR(IF(INDEX('Disaggregation Records'!$F$3:$F$66,MATCH(RIGHT(Q88,255),RIGHT('Disaggregation Records'!$D$3:$D$66,255),0))="","",INDEX('Disaggregation Records'!$F$3:$F$66,MATCH(RIGHT(Q88,255),RIGHT('Disaggregation Records'!$D$3:$D$66,255),0))),"")</f>
        <v/>
      </c>
      <c r="T88" s="89" t="str">
        <f t="array" aca="1" ref="T88" ca="1">IFERROR(IF(INDEX('Disaggregation Records'!$H$3:$H$66,MATCH(RIGHT(Q88,255),RIGHT('Disaggregation Records'!$D$3:$D$66,255),0))="","",INDEX('Disaggregation Records'!$H$3:$H$66,MATCH(RIGHT(Q88,255),RIGHT('Disaggregation Records'!$D$3:$D$66,255),0))),"")</f>
        <v/>
      </c>
      <c r="U88" s="89">
        <f>U86+1</f>
        <v>1230</v>
      </c>
      <c r="V88" s="89" t="str">
        <f t="array" aca="1" ref="V88" ca="1">IFERROR(IF(INDEX('Disaggregation Records'!$I$3:$I$66,MATCH(RIGHT(Q88,255),RIGHT('Disaggregation Records'!$D$3:$D$66,255),0))="","",INDEX('Disaggregation Records'!$I$3:$I$66,MATCH(RIGHT(Q88,255),RIGHT('Disaggregation Records'!$D$3:$D$66,255),0))),"")</f>
        <v/>
      </c>
      <c r="W88" s="89" t="str">
        <f ca="1">IFERROR(INDEX('Reference Records'!O$3:O$19,MATCH(LEFT(C88,255),'Reference Records'!J$3:J$19,0)),"")</f>
        <v>HIV I-10⁽ᴹ⁾ Percentage of sex workers who are living with HIV</v>
      </c>
    </row>
    <row r="89" spans="1:23" s="89" customFormat="1" ht="40.35" customHeight="1">
      <c r="A89" s="564"/>
      <c r="B89" s="799"/>
      <c r="C89" s="800"/>
      <c r="D89" s="801"/>
      <c r="E89" s="801"/>
      <c r="F89" s="128"/>
      <c r="G89" s="802"/>
      <c r="H89" s="781"/>
      <c r="I89" s="803"/>
      <c r="J89" s="779"/>
      <c r="K89" s="800"/>
      <c r="L89" s="800"/>
      <c r="M89" s="779"/>
      <c r="N89" s="779"/>
      <c r="P89" s="125"/>
      <c r="Q89" s="125"/>
      <c r="R89" s="125"/>
      <c r="S89" s="125"/>
      <c r="T89" s="125"/>
      <c r="U89" s="125"/>
      <c r="V89" s="125"/>
      <c r="W89" s="125"/>
    </row>
    <row r="90" spans="1:23" s="89" customFormat="1" ht="40.35" customHeight="1">
      <c r="A90" s="564" t="str">
        <f t="shared" ca="1" si="1"/>
        <v>a1G3p000005dHajEAE</v>
      </c>
      <c r="B90" s="794">
        <v>5</v>
      </c>
      <c r="C90" s="795" t="str">
        <f ca="1">IFERROR(VLOOKUP(B90,'Impact Indicators - Section B '!$A$9:$AF$52,32,FALSE),"")</f>
        <v/>
      </c>
      <c r="D90" s="796" t="str">
        <f ca="1">R90</f>
        <v/>
      </c>
      <c r="E90" s="796" t="str">
        <f ca="1">S90</f>
        <v/>
      </c>
      <c r="F90" s="127"/>
      <c r="G90" s="797" t="str">
        <f ca="1">IF(OR(INDIRECT("'update Helper'!E"&amp;U90)="",F90&lt;&gt;0,F91&lt;&gt;0),IF(IFERROR((F90/F91),"")="","",(F90/F91)),INDIRECT("'update Helper'!E"&amp;U90)/100)</f>
        <v/>
      </c>
      <c r="H90" s="784"/>
      <c r="I90" s="798"/>
      <c r="J90" s="777"/>
      <c r="K90" s="795" t="str">
        <f ca="1">W90</f>
        <v/>
      </c>
      <c r="L90" s="795" t="str">
        <f ca="1">V90</f>
        <v/>
      </c>
      <c r="M90" s="777"/>
      <c r="N90" s="777"/>
      <c r="P90" s="89">
        <f ca="1">IF(AND(EXACT(C90,C88),C88&lt;&gt;0),P88+1,0)</f>
        <v>0</v>
      </c>
      <c r="Q90" s="89" t="str">
        <f ca="1">IF(C90&lt;&gt;"",C90&amp;"-"&amp;P90,"")</f>
        <v/>
      </c>
      <c r="R90" s="89" t="str">
        <f t="array" aca="1" ref="R90" ca="1">IFERROR(IF(INDEX('Disaggregation Records'!$E$3:$E$66,MATCH(RIGHT(Q90,255),RIGHT('Disaggregation Records'!$D$3:$D$66,255),0))="","",INDEX('Disaggregation Records'!$E$3:$E$66,MATCH(RIGHT(Q90,255),RIGHT('Disaggregation Records'!$D$3:$D$66,255),0))),"")</f>
        <v/>
      </c>
      <c r="S90" s="89" t="str">
        <f t="array" aca="1" ref="S90" ca="1">IFERROR(IF(INDEX('Disaggregation Records'!$F$3:$F$66,MATCH(RIGHT(Q90,255),RIGHT('Disaggregation Records'!$D$3:$D$66,255),0))="","",INDEX('Disaggregation Records'!$F$3:$F$66,MATCH(RIGHT(Q90,255),RIGHT('Disaggregation Records'!$D$3:$D$66,255),0))),"")</f>
        <v/>
      </c>
      <c r="T90" s="89" t="str">
        <f t="array" aca="1" ref="T90" ca="1">IFERROR(IF(INDEX('Disaggregation Records'!$H$3:$H$66,MATCH(RIGHT(Q90,255),RIGHT('Disaggregation Records'!$D$3:$D$66,255),0))="","",INDEX('Disaggregation Records'!$H$3:$H$66,MATCH(RIGHT(Q90,255),RIGHT('Disaggregation Records'!$D$3:$D$66,255),0))),"")</f>
        <v/>
      </c>
      <c r="U90" s="89">
        <f>U88+1</f>
        <v>1231</v>
      </c>
      <c r="V90" s="89" t="str">
        <f t="array" aca="1" ref="V90" ca="1">IFERROR(IF(INDEX('Disaggregation Records'!$I$3:$I$66,MATCH(RIGHT(Q90,255),RIGHT('Disaggregation Records'!$D$3:$D$66,255),0))="","",INDEX('Disaggregation Records'!$I$3:$I$66,MATCH(RIGHT(Q90,255),RIGHT('Disaggregation Records'!$D$3:$D$66,255),0))),"")</f>
        <v/>
      </c>
      <c r="W90" s="89" t="str">
        <f ca="1">IFERROR(INDEX('Reference Records'!O$3:O$19,MATCH(LEFT(C90,255),'Reference Records'!J$3:J$19,0)),"")</f>
        <v/>
      </c>
    </row>
    <row r="91" spans="1:23" s="125" customFormat="1" ht="40.35" customHeight="1">
      <c r="A91" s="564"/>
      <c r="B91" s="799">
        <v>3.7556390977443699</v>
      </c>
      <c r="C91" s="800"/>
      <c r="D91" s="801"/>
      <c r="E91" s="801"/>
      <c r="F91" s="128"/>
      <c r="G91" s="802"/>
      <c r="H91" s="781"/>
      <c r="I91" s="803"/>
      <c r="J91" s="779"/>
      <c r="K91" s="800"/>
      <c r="L91" s="800"/>
      <c r="M91" s="779"/>
      <c r="N91" s="779"/>
    </row>
    <row r="92" spans="1:23" s="89" customFormat="1" ht="40.35" customHeight="1">
      <c r="A92" s="564" t="str">
        <f t="shared" ca="1" si="1"/>
        <v>a1G3p000005dHakEAE</v>
      </c>
      <c r="B92" s="794">
        <v>5</v>
      </c>
      <c r="C92" s="795" t="str">
        <f ca="1">IFERROR(VLOOKUP(B92,'Impact Indicators - Section B '!$A$9:$AF$52,32,FALSE),"")</f>
        <v/>
      </c>
      <c r="D92" s="796" t="str">
        <f ca="1">R92</f>
        <v/>
      </c>
      <c r="E92" s="796" t="str">
        <f ca="1">S92</f>
        <v/>
      </c>
      <c r="F92" s="127"/>
      <c r="G92" s="797" t="str">
        <f ca="1">IF(OR(INDIRECT("'update Helper'!E"&amp;U92)="",F92&lt;&gt;0,F93&lt;&gt;0),IF(IFERROR((F92/F93),"")="","",(F92/F93)),INDIRECT("'update Helper'!E"&amp;U92)/100)</f>
        <v/>
      </c>
      <c r="H92" s="784"/>
      <c r="I92" s="798"/>
      <c r="J92" s="777"/>
      <c r="K92" s="795" t="str">
        <f ca="1">W92</f>
        <v/>
      </c>
      <c r="L92" s="795" t="str">
        <f ca="1">V92</f>
        <v/>
      </c>
      <c r="M92" s="777"/>
      <c r="N92" s="777"/>
      <c r="P92" s="89">
        <f ca="1">IF(AND(EXACT(C92,C90),C90&lt;&gt;0),P90+1,0)</f>
        <v>1</v>
      </c>
      <c r="Q92" s="89" t="str">
        <f ca="1">IF(C92&lt;&gt;"",C92&amp;"-"&amp;P92,"")</f>
        <v/>
      </c>
      <c r="R92" s="89" t="str">
        <f t="array" aca="1" ref="R92" ca="1">IFERROR(IF(INDEX('Disaggregation Records'!$E$3:$E$66,MATCH(RIGHT(Q92,255),RIGHT('Disaggregation Records'!$D$3:$D$66,255),0))="","",INDEX('Disaggregation Records'!$E$3:$E$66,MATCH(RIGHT(Q92,255),RIGHT('Disaggregation Records'!$D$3:$D$66,255),0))),"")</f>
        <v/>
      </c>
      <c r="S92" s="89" t="str">
        <f t="array" aca="1" ref="S92" ca="1">IFERROR(IF(INDEX('Disaggregation Records'!$F$3:$F$66,MATCH(RIGHT(Q92,255),RIGHT('Disaggregation Records'!$D$3:$D$66,255),0))="","",INDEX('Disaggregation Records'!$F$3:$F$66,MATCH(RIGHT(Q92,255),RIGHT('Disaggregation Records'!$D$3:$D$66,255),0))),"")</f>
        <v/>
      </c>
      <c r="T92" s="89" t="str">
        <f t="array" aca="1" ref="T92" ca="1">IFERROR(IF(INDEX('Disaggregation Records'!$H$3:$H$66,MATCH(RIGHT(Q92,255),RIGHT('Disaggregation Records'!$D$3:$D$66,255),0))="","",INDEX('Disaggregation Records'!$H$3:$H$66,MATCH(RIGHT(Q92,255),RIGHT('Disaggregation Records'!$D$3:$D$66,255),0))),"")</f>
        <v/>
      </c>
      <c r="U92" s="89">
        <f>U90+1</f>
        <v>1232</v>
      </c>
      <c r="V92" s="89" t="str">
        <f t="array" aca="1" ref="V92" ca="1">IFERROR(IF(INDEX('Disaggregation Records'!$I$3:$I$66,MATCH(RIGHT(Q92,255),RIGHT('Disaggregation Records'!$D$3:$D$66,255),0))="","",INDEX('Disaggregation Records'!$I$3:$I$66,MATCH(RIGHT(Q92,255),RIGHT('Disaggregation Records'!$D$3:$D$66,255),0))),"")</f>
        <v/>
      </c>
      <c r="W92" s="89" t="str">
        <f ca="1">IFERROR(INDEX('Reference Records'!O$3:O$19,MATCH(LEFT(C92,255),'Reference Records'!J$3:J$19,0)),"")</f>
        <v/>
      </c>
    </row>
    <row r="93" spans="1:23" s="125" customFormat="1" ht="40.35" customHeight="1">
      <c r="A93" s="564"/>
      <c r="B93" s="799">
        <v>3.7556390977443699</v>
      </c>
      <c r="C93" s="800"/>
      <c r="D93" s="801"/>
      <c r="E93" s="801"/>
      <c r="F93" s="128"/>
      <c r="G93" s="802"/>
      <c r="H93" s="781"/>
      <c r="I93" s="803"/>
      <c r="J93" s="779"/>
      <c r="K93" s="800"/>
      <c r="L93" s="800"/>
      <c r="M93" s="779"/>
      <c r="N93" s="779"/>
    </row>
    <row r="94" spans="1:23" s="89" customFormat="1" ht="40.35" customHeight="1">
      <c r="A94" s="564" t="str">
        <f t="shared" ca="1" si="1"/>
        <v>a1G3p000005dHalEAE</v>
      </c>
      <c r="B94" s="794">
        <v>5</v>
      </c>
      <c r="C94" s="795" t="str">
        <f ca="1">IFERROR(VLOOKUP(B94,'Impact Indicators - Section B '!$A$9:$AF$52,32,FALSE),"")</f>
        <v/>
      </c>
      <c r="D94" s="796" t="str">
        <f ca="1">R94</f>
        <v/>
      </c>
      <c r="E94" s="796" t="str">
        <f ca="1">S94</f>
        <v/>
      </c>
      <c r="F94" s="127"/>
      <c r="G94" s="797" t="str">
        <f ca="1">IF(OR(INDIRECT("'update Helper'!E"&amp;U94)="",F94&lt;&gt;0,F95&lt;&gt;0),IF(IFERROR((F94/F95),"")="","",(F94/F95)),INDIRECT("'update Helper'!E"&amp;U94)/100)</f>
        <v/>
      </c>
      <c r="H94" s="784"/>
      <c r="I94" s="798"/>
      <c r="J94" s="777"/>
      <c r="K94" s="795" t="str">
        <f ca="1">W94</f>
        <v/>
      </c>
      <c r="L94" s="795" t="str">
        <f ca="1">V94</f>
        <v/>
      </c>
      <c r="M94" s="777"/>
      <c r="N94" s="777"/>
      <c r="P94" s="89">
        <f ca="1">IF(AND(EXACT(C94,C92),C92&lt;&gt;0),P92+1,0)</f>
        <v>2</v>
      </c>
      <c r="Q94" s="89" t="str">
        <f ca="1">IF(C94&lt;&gt;"",C94&amp;"-"&amp;P94,"")</f>
        <v/>
      </c>
      <c r="R94" s="89" t="str">
        <f t="array" aca="1" ref="R94" ca="1">IFERROR(IF(INDEX('Disaggregation Records'!$E$3:$E$66,MATCH(RIGHT(Q94,255),RIGHT('Disaggregation Records'!$D$3:$D$66,255),0))="","",INDEX('Disaggregation Records'!$E$3:$E$66,MATCH(RIGHT(Q94,255),RIGHT('Disaggregation Records'!$D$3:$D$66,255),0))),"")</f>
        <v/>
      </c>
      <c r="S94" s="89" t="str">
        <f t="array" aca="1" ref="S94" ca="1">IFERROR(IF(INDEX('Disaggregation Records'!$F$3:$F$66,MATCH(RIGHT(Q94,255),RIGHT('Disaggregation Records'!$D$3:$D$66,255),0))="","",INDEX('Disaggregation Records'!$F$3:$F$66,MATCH(RIGHT(Q94,255),RIGHT('Disaggregation Records'!$D$3:$D$66,255),0))),"")</f>
        <v/>
      </c>
      <c r="T94" s="89" t="str">
        <f t="array" aca="1" ref="T94" ca="1">IFERROR(IF(INDEX('Disaggregation Records'!$H$3:$H$66,MATCH(RIGHT(Q94,255),RIGHT('Disaggregation Records'!$D$3:$D$66,255),0))="","",INDEX('Disaggregation Records'!$H$3:$H$66,MATCH(RIGHT(Q94,255),RIGHT('Disaggregation Records'!$D$3:$D$66,255),0))),"")</f>
        <v/>
      </c>
      <c r="U94" s="89">
        <f>U92+1</f>
        <v>1233</v>
      </c>
      <c r="V94" s="89" t="str">
        <f t="array" aca="1" ref="V94" ca="1">IFERROR(IF(INDEX('Disaggregation Records'!$I$3:$I$66,MATCH(RIGHT(Q94,255),RIGHT('Disaggregation Records'!$D$3:$D$66,255),0))="","",INDEX('Disaggregation Records'!$I$3:$I$66,MATCH(RIGHT(Q94,255),RIGHT('Disaggregation Records'!$D$3:$D$66,255),0))),"")</f>
        <v/>
      </c>
      <c r="W94" s="89" t="str">
        <f ca="1">IFERROR(INDEX('Reference Records'!O$3:O$19,MATCH(LEFT(C94,255),'Reference Records'!J$3:J$19,0)),"")</f>
        <v/>
      </c>
    </row>
    <row r="95" spans="1:23" s="89" customFormat="1" ht="40.35" customHeight="1">
      <c r="A95" s="564"/>
      <c r="B95" s="799">
        <v>3.7556390977443699</v>
      </c>
      <c r="C95" s="800"/>
      <c r="D95" s="801"/>
      <c r="E95" s="801"/>
      <c r="F95" s="128"/>
      <c r="G95" s="802"/>
      <c r="H95" s="781"/>
      <c r="I95" s="803"/>
      <c r="J95" s="779"/>
      <c r="K95" s="800"/>
      <c r="L95" s="800"/>
      <c r="M95" s="779"/>
      <c r="N95" s="779"/>
      <c r="P95" s="125"/>
      <c r="Q95" s="125"/>
      <c r="R95" s="125"/>
      <c r="S95" s="125"/>
      <c r="T95" s="125"/>
      <c r="U95" s="125"/>
      <c r="V95" s="125"/>
      <c r="W95" s="125"/>
    </row>
    <row r="96" spans="1:23" s="89" customFormat="1" ht="40.35" customHeight="1">
      <c r="A96" s="564" t="str">
        <f t="shared" ca="1" si="1"/>
        <v>a1G3p000005dHamEAE</v>
      </c>
      <c r="B96" s="794">
        <v>5</v>
      </c>
      <c r="C96" s="795" t="str">
        <f ca="1">IFERROR(VLOOKUP(B96,'Impact Indicators - Section B '!$A$9:$AF$52,32,FALSE),"")</f>
        <v/>
      </c>
      <c r="D96" s="796" t="str">
        <f ca="1">R96</f>
        <v/>
      </c>
      <c r="E96" s="796" t="str">
        <f ca="1">S96</f>
        <v/>
      </c>
      <c r="F96" s="127"/>
      <c r="G96" s="797" t="str">
        <f ca="1">IF(OR(INDIRECT("'update Helper'!E"&amp;U96)="",F96&lt;&gt;0,F97&lt;&gt;0),IF(IFERROR((F96/F97),"")="","",(F96/F97)),INDIRECT("'update Helper'!E"&amp;U96)/100)</f>
        <v/>
      </c>
      <c r="H96" s="784"/>
      <c r="I96" s="798"/>
      <c r="J96" s="777"/>
      <c r="K96" s="795" t="str">
        <f ca="1">W96</f>
        <v/>
      </c>
      <c r="L96" s="795" t="str">
        <f ca="1">V96</f>
        <v/>
      </c>
      <c r="M96" s="777"/>
      <c r="N96" s="777"/>
      <c r="P96" s="89">
        <f ca="1">IF(AND(EXACT(C96,C94),C94&lt;&gt;0),P94+1,0)</f>
        <v>3</v>
      </c>
      <c r="Q96" s="89" t="str">
        <f ca="1">IF(C96&lt;&gt;"",C96&amp;"-"&amp;P96,"")</f>
        <v/>
      </c>
      <c r="R96" s="89" t="str">
        <f t="array" aca="1" ref="R96" ca="1">IFERROR(IF(INDEX('Disaggregation Records'!$E$3:$E$66,MATCH(RIGHT(Q96,255),RIGHT('Disaggregation Records'!$D$3:$D$66,255),0))="","",INDEX('Disaggregation Records'!$E$3:$E$66,MATCH(RIGHT(Q96,255),RIGHT('Disaggregation Records'!$D$3:$D$66,255),0))),"")</f>
        <v/>
      </c>
      <c r="S96" s="89" t="str">
        <f t="array" aca="1" ref="S96" ca="1">IFERROR(IF(INDEX('Disaggregation Records'!$F$3:$F$66,MATCH(RIGHT(Q96,255),RIGHT('Disaggregation Records'!$D$3:$D$66,255),0))="","",INDEX('Disaggregation Records'!$F$3:$F$66,MATCH(RIGHT(Q96,255),RIGHT('Disaggregation Records'!$D$3:$D$66,255),0))),"")</f>
        <v/>
      </c>
      <c r="T96" s="89" t="str">
        <f t="array" aca="1" ref="T96" ca="1">IFERROR(IF(INDEX('Disaggregation Records'!$H$3:$H$66,MATCH(RIGHT(Q96,255),RIGHT('Disaggregation Records'!$D$3:$D$66,255),0))="","",INDEX('Disaggregation Records'!$H$3:$H$66,MATCH(RIGHT(Q96,255),RIGHT('Disaggregation Records'!$D$3:$D$66,255),0))),"")</f>
        <v/>
      </c>
      <c r="U96" s="89">
        <f>U94+1</f>
        <v>1234</v>
      </c>
      <c r="V96" s="89" t="str">
        <f t="array" aca="1" ref="V96" ca="1">IFERROR(IF(INDEX('Disaggregation Records'!$I$3:$I$66,MATCH(RIGHT(Q96,255),RIGHT('Disaggregation Records'!$D$3:$D$66,255),0))="","",INDEX('Disaggregation Records'!$I$3:$I$66,MATCH(RIGHT(Q96,255),RIGHT('Disaggregation Records'!$D$3:$D$66,255),0))),"")</f>
        <v/>
      </c>
      <c r="W96" s="89" t="str">
        <f ca="1">IFERROR(INDEX('Reference Records'!O$3:O$19,MATCH(LEFT(C96,255),'Reference Records'!J$3:J$19,0)),"")</f>
        <v/>
      </c>
    </row>
    <row r="97" spans="1:23" s="125" customFormat="1" ht="40.35" customHeight="1">
      <c r="A97" s="564"/>
      <c r="B97" s="799">
        <v>3.7556390977443699</v>
      </c>
      <c r="C97" s="800"/>
      <c r="D97" s="801"/>
      <c r="E97" s="801"/>
      <c r="F97" s="128"/>
      <c r="G97" s="802"/>
      <c r="H97" s="781"/>
      <c r="I97" s="803"/>
      <c r="J97" s="779"/>
      <c r="K97" s="800"/>
      <c r="L97" s="800"/>
      <c r="M97" s="779"/>
      <c r="N97" s="779"/>
    </row>
    <row r="98" spans="1:23" s="89" customFormat="1" ht="40.35" customHeight="1">
      <c r="A98" s="564" t="str">
        <f t="shared" ca="1" si="1"/>
        <v>a1G3p000005dHanEAE</v>
      </c>
      <c r="B98" s="794">
        <v>5</v>
      </c>
      <c r="C98" s="795" t="str">
        <f ca="1">IFERROR(VLOOKUP(B98,'Impact Indicators - Section B '!$A$9:$AF$52,32,FALSE),"")</f>
        <v/>
      </c>
      <c r="D98" s="796" t="str">
        <f ca="1">R98</f>
        <v/>
      </c>
      <c r="E98" s="796" t="str">
        <f ca="1">S98</f>
        <v/>
      </c>
      <c r="F98" s="127"/>
      <c r="G98" s="797" t="str">
        <f ca="1">IF(OR(INDIRECT("'update Helper'!E"&amp;U98)="",F98&lt;&gt;0,F99&lt;&gt;0),IF(IFERROR((F98/F99),"")="","",(F98/F99)),INDIRECT("'update Helper'!E"&amp;U98)/100)</f>
        <v/>
      </c>
      <c r="H98" s="784"/>
      <c r="I98" s="798"/>
      <c r="J98" s="777"/>
      <c r="K98" s="795" t="str">
        <f ca="1">W98</f>
        <v/>
      </c>
      <c r="L98" s="795" t="str">
        <f ca="1">V98</f>
        <v/>
      </c>
      <c r="M98" s="777"/>
      <c r="N98" s="777"/>
      <c r="P98" s="89">
        <f ca="1">IF(AND(EXACT(C98,C96),C96&lt;&gt;0),P96+1,0)</f>
        <v>4</v>
      </c>
      <c r="Q98" s="89" t="str">
        <f ca="1">IF(C98&lt;&gt;"",C98&amp;"-"&amp;P98,"")</f>
        <v/>
      </c>
      <c r="R98" s="89" t="str">
        <f t="array" aca="1" ref="R98" ca="1">IFERROR(IF(INDEX('Disaggregation Records'!$E$3:$E$66,MATCH(RIGHT(Q98,255),RIGHT('Disaggregation Records'!$D$3:$D$66,255),0))="","",INDEX('Disaggregation Records'!$E$3:$E$66,MATCH(RIGHT(Q98,255),RIGHT('Disaggregation Records'!$D$3:$D$66,255),0))),"")</f>
        <v/>
      </c>
      <c r="S98" s="89" t="str">
        <f t="array" aca="1" ref="S98" ca="1">IFERROR(IF(INDEX('Disaggregation Records'!$F$3:$F$66,MATCH(RIGHT(Q98,255),RIGHT('Disaggregation Records'!$D$3:$D$66,255),0))="","",INDEX('Disaggregation Records'!$F$3:$F$66,MATCH(RIGHT(Q98,255),RIGHT('Disaggregation Records'!$D$3:$D$66,255),0))),"")</f>
        <v/>
      </c>
      <c r="T98" s="89" t="str">
        <f t="array" aca="1" ref="T98" ca="1">IFERROR(IF(INDEX('Disaggregation Records'!$H$3:$H$66,MATCH(RIGHT(Q98,255),RIGHT('Disaggregation Records'!$D$3:$D$66,255),0))="","",INDEX('Disaggregation Records'!$H$3:$H$66,MATCH(RIGHT(Q98,255),RIGHT('Disaggregation Records'!$D$3:$D$66,255),0))),"")</f>
        <v/>
      </c>
      <c r="U98" s="89">
        <f>U96+1</f>
        <v>1235</v>
      </c>
      <c r="V98" s="89" t="str">
        <f t="array" aca="1" ref="V98" ca="1">IFERROR(IF(INDEX('Disaggregation Records'!$I$3:$I$66,MATCH(RIGHT(Q98,255),RIGHT('Disaggregation Records'!$D$3:$D$66,255),0))="","",INDEX('Disaggregation Records'!$I$3:$I$66,MATCH(RIGHT(Q98,255),RIGHT('Disaggregation Records'!$D$3:$D$66,255),0))),"")</f>
        <v/>
      </c>
      <c r="W98" s="89" t="str">
        <f ca="1">IFERROR(INDEX('Reference Records'!O$3:O$19,MATCH(LEFT(C98,255),'Reference Records'!J$3:J$19,0)),"")</f>
        <v/>
      </c>
    </row>
    <row r="99" spans="1:23" s="125" customFormat="1" ht="40.35" customHeight="1">
      <c r="A99" s="564"/>
      <c r="B99" s="799">
        <v>3.7556390977443699</v>
      </c>
      <c r="C99" s="800"/>
      <c r="D99" s="801"/>
      <c r="E99" s="801"/>
      <c r="F99" s="128"/>
      <c r="G99" s="802"/>
      <c r="H99" s="781"/>
      <c r="I99" s="803"/>
      <c r="J99" s="779"/>
      <c r="K99" s="800"/>
      <c r="L99" s="800"/>
      <c r="M99" s="779"/>
      <c r="N99" s="779"/>
    </row>
    <row r="100" spans="1:23" s="89" customFormat="1" ht="40.35" customHeight="1">
      <c r="A100" s="564" t="str">
        <f t="shared" ca="1" si="1"/>
        <v>a1G3p000005dHaoEAE</v>
      </c>
      <c r="B100" s="794">
        <v>5</v>
      </c>
      <c r="C100" s="795" t="str">
        <f ca="1">IFERROR(VLOOKUP(B100,'Impact Indicators - Section B '!$A$9:$AF$52,32,FALSE),"")</f>
        <v/>
      </c>
      <c r="D100" s="796" t="str">
        <f ca="1">R100</f>
        <v/>
      </c>
      <c r="E100" s="796" t="str">
        <f ca="1">S100</f>
        <v/>
      </c>
      <c r="F100" s="127"/>
      <c r="G100" s="797" t="str">
        <f ca="1">IF(OR(INDIRECT("'update Helper'!E"&amp;U100)="",F100&lt;&gt;0,F101&lt;&gt;0),IF(IFERROR((F100/F101),"")="","",(F100/F101)),INDIRECT("'update Helper'!E"&amp;U100)/100)</f>
        <v/>
      </c>
      <c r="H100" s="784"/>
      <c r="I100" s="798"/>
      <c r="J100" s="777"/>
      <c r="K100" s="795" t="str">
        <f ca="1">W100</f>
        <v/>
      </c>
      <c r="L100" s="795" t="str">
        <f ca="1">V100</f>
        <v/>
      </c>
      <c r="M100" s="777"/>
      <c r="N100" s="777"/>
      <c r="P100" s="89">
        <f ca="1">IF(AND(EXACT(C100,C98),C98&lt;&gt;0),P98+1,0)</f>
        <v>5</v>
      </c>
      <c r="Q100" s="89" t="str">
        <f ca="1">IF(C100&lt;&gt;"",C100&amp;"-"&amp;P100,"")</f>
        <v/>
      </c>
      <c r="R100" s="89" t="str">
        <f t="array" aca="1" ref="R100" ca="1">IFERROR(IF(INDEX('Disaggregation Records'!$E$3:$E$66,MATCH(RIGHT(Q100,255),RIGHT('Disaggregation Records'!$D$3:$D$66,255),0))="","",INDEX('Disaggregation Records'!$E$3:$E$66,MATCH(RIGHT(Q100,255),RIGHT('Disaggregation Records'!$D$3:$D$66,255),0))),"")</f>
        <v/>
      </c>
      <c r="S100" s="89" t="str">
        <f t="array" aca="1" ref="S100" ca="1">IFERROR(IF(INDEX('Disaggregation Records'!$F$3:$F$66,MATCH(RIGHT(Q100,255),RIGHT('Disaggregation Records'!$D$3:$D$66,255),0))="","",INDEX('Disaggregation Records'!$F$3:$F$66,MATCH(RIGHT(Q100,255),RIGHT('Disaggregation Records'!$D$3:$D$66,255),0))),"")</f>
        <v/>
      </c>
      <c r="T100" s="89" t="str">
        <f t="array" aca="1" ref="T100" ca="1">IFERROR(IF(INDEX('Disaggregation Records'!$H$3:$H$66,MATCH(RIGHT(Q100,255),RIGHT('Disaggregation Records'!$D$3:$D$66,255),0))="","",INDEX('Disaggregation Records'!$H$3:$H$66,MATCH(RIGHT(Q100,255),RIGHT('Disaggregation Records'!$D$3:$D$66,255),0))),"")</f>
        <v/>
      </c>
      <c r="U100" s="89">
        <f>U98+1</f>
        <v>1236</v>
      </c>
      <c r="V100" s="89" t="str">
        <f t="array" aca="1" ref="V100" ca="1">IFERROR(IF(INDEX('Disaggregation Records'!$I$3:$I$66,MATCH(RIGHT(Q100,255),RIGHT('Disaggregation Records'!$D$3:$D$66,255),0))="","",INDEX('Disaggregation Records'!$I$3:$I$66,MATCH(RIGHT(Q100,255),RIGHT('Disaggregation Records'!$D$3:$D$66,255),0))),"")</f>
        <v/>
      </c>
      <c r="W100" s="89" t="str">
        <f ca="1">IFERROR(INDEX('Reference Records'!O$3:O$19,MATCH(LEFT(C100,255),'Reference Records'!J$3:J$19,0)),"")</f>
        <v/>
      </c>
    </row>
    <row r="101" spans="1:23" s="89" customFormat="1" ht="40.35" customHeight="1">
      <c r="A101" s="564"/>
      <c r="B101" s="799">
        <v>3.7556390977443699</v>
      </c>
      <c r="C101" s="800"/>
      <c r="D101" s="801"/>
      <c r="E101" s="801"/>
      <c r="F101" s="128"/>
      <c r="G101" s="802"/>
      <c r="H101" s="781"/>
      <c r="I101" s="803"/>
      <c r="J101" s="779"/>
      <c r="K101" s="800"/>
      <c r="L101" s="800"/>
      <c r="M101" s="779"/>
      <c r="N101" s="779"/>
      <c r="P101" s="125"/>
      <c r="Q101" s="125"/>
      <c r="R101" s="125"/>
      <c r="S101" s="125"/>
      <c r="T101" s="125"/>
      <c r="U101" s="125"/>
      <c r="V101" s="125"/>
      <c r="W101" s="125"/>
    </row>
    <row r="102" spans="1:23" s="89" customFormat="1" ht="40.35" customHeight="1">
      <c r="A102" s="564" t="str">
        <f t="shared" ca="1" si="1"/>
        <v>a1G3p000005dHapEAE</v>
      </c>
      <c r="B102" s="794">
        <v>5</v>
      </c>
      <c r="C102" s="795" t="str">
        <f ca="1">IFERROR(VLOOKUP(B102,'Impact Indicators - Section B '!$A$9:$AF$52,32,FALSE),"")</f>
        <v/>
      </c>
      <c r="D102" s="796" t="str">
        <f ca="1">R102</f>
        <v/>
      </c>
      <c r="E102" s="796" t="str">
        <f ca="1">S102</f>
        <v/>
      </c>
      <c r="F102" s="127"/>
      <c r="G102" s="797" t="str">
        <f ca="1">IF(OR(INDIRECT("'update Helper'!E"&amp;U102)="",F102&lt;&gt;0,F103&lt;&gt;0),IF(IFERROR((F102/F103),"")="","",(F102/F103)),INDIRECT("'update Helper'!E"&amp;U102)/100)</f>
        <v/>
      </c>
      <c r="H102" s="784"/>
      <c r="I102" s="798"/>
      <c r="J102" s="777"/>
      <c r="K102" s="795" t="str">
        <f ca="1">W102</f>
        <v/>
      </c>
      <c r="L102" s="795" t="str">
        <f ca="1">V102</f>
        <v/>
      </c>
      <c r="M102" s="777"/>
      <c r="N102" s="777"/>
      <c r="P102" s="89">
        <f ca="1">IF(AND(EXACT(C102,C100),C100&lt;&gt;0),P100+1,0)</f>
        <v>6</v>
      </c>
      <c r="Q102" s="89" t="str">
        <f ca="1">IF(C102&lt;&gt;"",C102&amp;"-"&amp;P102,"")</f>
        <v/>
      </c>
      <c r="R102" s="89" t="str">
        <f t="array" aca="1" ref="R102" ca="1">IFERROR(IF(INDEX('Disaggregation Records'!$E$3:$E$66,MATCH(RIGHT(Q102,255),RIGHT('Disaggregation Records'!$D$3:$D$66,255),0))="","",INDEX('Disaggregation Records'!$E$3:$E$66,MATCH(RIGHT(Q102,255),RIGHT('Disaggregation Records'!$D$3:$D$66,255),0))),"")</f>
        <v/>
      </c>
      <c r="S102" s="89" t="str">
        <f t="array" aca="1" ref="S102" ca="1">IFERROR(IF(INDEX('Disaggregation Records'!$F$3:$F$66,MATCH(RIGHT(Q102,255),RIGHT('Disaggregation Records'!$D$3:$D$66,255),0))="","",INDEX('Disaggregation Records'!$F$3:$F$66,MATCH(RIGHT(Q102,255),RIGHT('Disaggregation Records'!$D$3:$D$66,255),0))),"")</f>
        <v/>
      </c>
      <c r="T102" s="89" t="str">
        <f t="array" aca="1" ref="T102" ca="1">IFERROR(IF(INDEX('Disaggregation Records'!$H$3:$H$66,MATCH(RIGHT(Q102,255),RIGHT('Disaggregation Records'!$D$3:$D$66,255),0))="","",INDEX('Disaggregation Records'!$H$3:$H$66,MATCH(RIGHT(Q102,255),RIGHT('Disaggregation Records'!$D$3:$D$66,255),0))),"")</f>
        <v/>
      </c>
      <c r="U102" s="89">
        <f>U100+1</f>
        <v>1237</v>
      </c>
      <c r="V102" s="89" t="str">
        <f t="array" aca="1" ref="V102" ca="1">IFERROR(IF(INDEX('Disaggregation Records'!$I$3:$I$66,MATCH(RIGHT(Q102,255),RIGHT('Disaggregation Records'!$D$3:$D$66,255),0))="","",INDEX('Disaggregation Records'!$I$3:$I$66,MATCH(RIGHT(Q102,255),RIGHT('Disaggregation Records'!$D$3:$D$66,255),0))),"")</f>
        <v/>
      </c>
      <c r="W102" s="89" t="str">
        <f ca="1">IFERROR(INDEX('Reference Records'!O$3:O$19,MATCH(LEFT(C102,255),'Reference Records'!J$3:J$19,0)),"")</f>
        <v/>
      </c>
    </row>
    <row r="103" spans="1:23" s="125" customFormat="1" ht="40.35" customHeight="1">
      <c r="A103" s="564"/>
      <c r="B103" s="799">
        <v>3.7556390977443699</v>
      </c>
      <c r="C103" s="800"/>
      <c r="D103" s="801"/>
      <c r="E103" s="801"/>
      <c r="F103" s="128"/>
      <c r="G103" s="802"/>
      <c r="H103" s="781"/>
      <c r="I103" s="803"/>
      <c r="J103" s="779"/>
      <c r="K103" s="800"/>
      <c r="L103" s="800"/>
      <c r="M103" s="779"/>
      <c r="N103" s="779"/>
    </row>
    <row r="104" spans="1:23" s="89" customFormat="1" ht="40.35" customHeight="1">
      <c r="A104" s="564" t="str">
        <f t="shared" ca="1" si="1"/>
        <v>a1G3p000005dHaqEAE</v>
      </c>
      <c r="B104" s="794">
        <v>5</v>
      </c>
      <c r="C104" s="795" t="str">
        <f ca="1">IFERROR(VLOOKUP(B104,'Impact Indicators - Section B '!$A$9:$AF$52,32,FALSE),"")</f>
        <v/>
      </c>
      <c r="D104" s="796" t="str">
        <f ca="1">R104</f>
        <v/>
      </c>
      <c r="E104" s="796" t="str">
        <f ca="1">S104</f>
        <v/>
      </c>
      <c r="F104" s="127"/>
      <c r="G104" s="797" t="str">
        <f ca="1">IF(OR(INDIRECT("'update Helper'!E"&amp;U104)="",F104&lt;&gt;0,F105&lt;&gt;0),IF(IFERROR((F104/F105),"")="","",(F104/F105)),INDIRECT("'update Helper'!E"&amp;U104)/100)</f>
        <v/>
      </c>
      <c r="H104" s="784"/>
      <c r="I104" s="798"/>
      <c r="J104" s="777"/>
      <c r="K104" s="795" t="str">
        <f ca="1">W104</f>
        <v/>
      </c>
      <c r="L104" s="795" t="str">
        <f ca="1">V104</f>
        <v/>
      </c>
      <c r="M104" s="777"/>
      <c r="N104" s="777"/>
      <c r="P104" s="89">
        <f ca="1">IF(AND(EXACT(C104,C102),C102&lt;&gt;0),P102+1,0)</f>
        <v>7</v>
      </c>
      <c r="Q104" s="89" t="str">
        <f ca="1">IF(C104&lt;&gt;"",C104&amp;"-"&amp;P104,"")</f>
        <v/>
      </c>
      <c r="R104" s="89" t="str">
        <f t="array" aca="1" ref="R104" ca="1">IFERROR(IF(INDEX('Disaggregation Records'!$E$3:$E$66,MATCH(RIGHT(Q104,255),RIGHT('Disaggregation Records'!$D$3:$D$66,255),0))="","",INDEX('Disaggregation Records'!$E$3:$E$66,MATCH(RIGHT(Q104,255),RIGHT('Disaggregation Records'!$D$3:$D$66,255),0))),"")</f>
        <v/>
      </c>
      <c r="S104" s="89" t="str">
        <f t="array" aca="1" ref="S104" ca="1">IFERROR(IF(INDEX('Disaggregation Records'!$F$3:$F$66,MATCH(RIGHT(Q104,255),RIGHT('Disaggregation Records'!$D$3:$D$66,255),0))="","",INDEX('Disaggregation Records'!$F$3:$F$66,MATCH(RIGHT(Q104,255),RIGHT('Disaggregation Records'!$D$3:$D$66,255),0))),"")</f>
        <v/>
      </c>
      <c r="T104" s="89" t="str">
        <f t="array" aca="1" ref="T104" ca="1">IFERROR(IF(INDEX('Disaggregation Records'!$H$3:$H$66,MATCH(RIGHT(Q104,255),RIGHT('Disaggregation Records'!$D$3:$D$66,255),0))="","",INDEX('Disaggregation Records'!$H$3:$H$66,MATCH(RIGHT(Q104,255),RIGHT('Disaggregation Records'!$D$3:$D$66,255),0))),"")</f>
        <v/>
      </c>
      <c r="U104" s="89">
        <f>U102+1</f>
        <v>1238</v>
      </c>
      <c r="V104" s="89" t="str">
        <f t="array" aca="1" ref="V104" ca="1">IFERROR(IF(INDEX('Disaggregation Records'!$I$3:$I$66,MATCH(RIGHT(Q104,255),RIGHT('Disaggregation Records'!$D$3:$D$66,255),0))="","",INDEX('Disaggregation Records'!$I$3:$I$66,MATCH(RIGHT(Q104,255),RIGHT('Disaggregation Records'!$D$3:$D$66,255),0))),"")</f>
        <v/>
      </c>
      <c r="W104" s="89" t="str">
        <f ca="1">IFERROR(INDEX('Reference Records'!O$3:O$19,MATCH(LEFT(C104,255),'Reference Records'!J$3:J$19,0)),"")</f>
        <v/>
      </c>
    </row>
    <row r="105" spans="1:23" s="125" customFormat="1" ht="40.35" customHeight="1">
      <c r="A105" s="564"/>
      <c r="B105" s="799">
        <v>3.7556390977443699</v>
      </c>
      <c r="C105" s="800"/>
      <c r="D105" s="801"/>
      <c r="E105" s="801"/>
      <c r="F105" s="128"/>
      <c r="G105" s="802"/>
      <c r="H105" s="781"/>
      <c r="I105" s="803"/>
      <c r="J105" s="779"/>
      <c r="K105" s="800"/>
      <c r="L105" s="800"/>
      <c r="M105" s="779"/>
      <c r="N105" s="779"/>
    </row>
    <row r="106" spans="1:23" s="89" customFormat="1" ht="40.35" customHeight="1">
      <c r="A106" s="564" t="str">
        <f t="shared" ca="1" si="1"/>
        <v>a1G3p000005dHarEAE</v>
      </c>
      <c r="B106" s="794">
        <v>5</v>
      </c>
      <c r="C106" s="795" t="str">
        <f ca="1">IFERROR(VLOOKUP(B106,'Impact Indicators - Section B '!$A$9:$AF$52,32,FALSE),"")</f>
        <v/>
      </c>
      <c r="D106" s="796" t="str">
        <f ca="1">R106</f>
        <v/>
      </c>
      <c r="E106" s="796" t="str">
        <f ca="1">S106</f>
        <v/>
      </c>
      <c r="F106" s="127"/>
      <c r="G106" s="797" t="str">
        <f ca="1">IF(OR(INDIRECT("'update Helper'!E"&amp;U106)="",F106&lt;&gt;0,F107&lt;&gt;0),IF(IFERROR((F106/F107),"")="","",(F106/F107)),INDIRECT("'update Helper'!E"&amp;U106)/100)</f>
        <v/>
      </c>
      <c r="H106" s="784"/>
      <c r="I106" s="798"/>
      <c r="J106" s="777"/>
      <c r="K106" s="795" t="str">
        <f ca="1">W106</f>
        <v/>
      </c>
      <c r="L106" s="795" t="str">
        <f ca="1">V106</f>
        <v/>
      </c>
      <c r="M106" s="777"/>
      <c r="N106" s="777"/>
      <c r="P106" s="89">
        <f ca="1">IF(AND(EXACT(C106,C104),C104&lt;&gt;0),P104+1,0)</f>
        <v>8</v>
      </c>
      <c r="Q106" s="89" t="str">
        <f ca="1">IF(C106&lt;&gt;"",C106&amp;"-"&amp;P106,"")</f>
        <v/>
      </c>
      <c r="R106" s="89" t="str">
        <f t="array" aca="1" ref="R106" ca="1">IFERROR(IF(INDEX('Disaggregation Records'!$E$3:$E$66,MATCH(RIGHT(Q106,255),RIGHT('Disaggregation Records'!$D$3:$D$66,255),0))="","",INDEX('Disaggregation Records'!$E$3:$E$66,MATCH(RIGHT(Q106,255),RIGHT('Disaggregation Records'!$D$3:$D$66,255),0))),"")</f>
        <v/>
      </c>
      <c r="S106" s="89" t="str">
        <f t="array" aca="1" ref="S106" ca="1">IFERROR(IF(INDEX('Disaggregation Records'!$F$3:$F$66,MATCH(RIGHT(Q106,255),RIGHT('Disaggregation Records'!$D$3:$D$66,255),0))="","",INDEX('Disaggregation Records'!$F$3:$F$66,MATCH(RIGHT(Q106,255),RIGHT('Disaggregation Records'!$D$3:$D$66,255),0))),"")</f>
        <v/>
      </c>
      <c r="T106" s="89" t="str">
        <f t="array" aca="1" ref="T106" ca="1">IFERROR(IF(INDEX('Disaggregation Records'!$H$3:$H$66,MATCH(RIGHT(Q106,255),RIGHT('Disaggregation Records'!$D$3:$D$66,255),0))="","",INDEX('Disaggregation Records'!$H$3:$H$66,MATCH(RIGHT(Q106,255),RIGHT('Disaggregation Records'!$D$3:$D$66,255),0))),"")</f>
        <v/>
      </c>
      <c r="U106" s="89">
        <f>U104+1</f>
        <v>1239</v>
      </c>
      <c r="V106" s="89" t="str">
        <f t="array" aca="1" ref="V106" ca="1">IFERROR(IF(INDEX('Disaggregation Records'!$I$3:$I$66,MATCH(RIGHT(Q106,255),RIGHT('Disaggregation Records'!$D$3:$D$66,255),0))="","",INDEX('Disaggregation Records'!$I$3:$I$66,MATCH(RIGHT(Q106,255),RIGHT('Disaggregation Records'!$D$3:$D$66,255),0))),"")</f>
        <v/>
      </c>
      <c r="W106" s="89" t="str">
        <f ca="1">IFERROR(INDEX('Reference Records'!O$3:O$19,MATCH(LEFT(C106,255),'Reference Records'!J$3:J$19,0)),"")</f>
        <v/>
      </c>
    </row>
    <row r="107" spans="1:23" s="89" customFormat="1" ht="40.35" customHeight="1">
      <c r="A107" s="564"/>
      <c r="B107" s="799">
        <v>3.7556390977443699</v>
      </c>
      <c r="C107" s="800"/>
      <c r="D107" s="801"/>
      <c r="E107" s="801"/>
      <c r="F107" s="128"/>
      <c r="G107" s="802"/>
      <c r="H107" s="781"/>
      <c r="I107" s="803"/>
      <c r="J107" s="779"/>
      <c r="K107" s="800"/>
      <c r="L107" s="800"/>
      <c r="M107" s="779"/>
      <c r="N107" s="779"/>
      <c r="P107" s="125"/>
      <c r="Q107" s="125"/>
      <c r="R107" s="125"/>
      <c r="S107" s="125"/>
      <c r="T107" s="125"/>
      <c r="U107" s="125"/>
      <c r="V107" s="125"/>
      <c r="W107" s="125"/>
    </row>
    <row r="108" spans="1:23" s="89" customFormat="1" ht="40.35" customHeight="1">
      <c r="A108" s="564" t="str">
        <f t="shared" ca="1" si="1"/>
        <v>a1G3p000005dHasEAE</v>
      </c>
      <c r="B108" s="794">
        <v>5</v>
      </c>
      <c r="C108" s="795" t="str">
        <f ca="1">IFERROR(VLOOKUP(B108,'Impact Indicators - Section B '!$A$9:$AF$52,32,FALSE),"")</f>
        <v/>
      </c>
      <c r="D108" s="796" t="str">
        <f ca="1">R108</f>
        <v/>
      </c>
      <c r="E108" s="796" t="str">
        <f ca="1">S108</f>
        <v/>
      </c>
      <c r="F108" s="127"/>
      <c r="G108" s="797" t="str">
        <f ca="1">IF(OR(INDIRECT("'update Helper'!E"&amp;U108)="",F108&lt;&gt;0,F109&lt;&gt;0),IF(IFERROR((F108/F109),"")="","",(F108/F109)),INDIRECT("'update Helper'!E"&amp;U108)/100)</f>
        <v/>
      </c>
      <c r="H108" s="784"/>
      <c r="I108" s="798"/>
      <c r="J108" s="777"/>
      <c r="K108" s="795" t="str">
        <f ca="1">W108</f>
        <v/>
      </c>
      <c r="L108" s="795" t="str">
        <f ca="1">V108</f>
        <v/>
      </c>
      <c r="M108" s="777"/>
      <c r="N108" s="777"/>
      <c r="P108" s="89">
        <f ca="1">IF(AND(EXACT(C108,C106),C106&lt;&gt;0),P106+1,0)</f>
        <v>9</v>
      </c>
      <c r="Q108" s="89" t="str">
        <f ca="1">IF(C108&lt;&gt;"",C108&amp;"-"&amp;P108,"")</f>
        <v/>
      </c>
      <c r="R108" s="89" t="str">
        <f t="array" aca="1" ref="R108" ca="1">IFERROR(IF(INDEX('Disaggregation Records'!$E$3:$E$66,MATCH(RIGHT(Q108,255),RIGHT('Disaggregation Records'!$D$3:$D$66,255),0))="","",INDEX('Disaggregation Records'!$E$3:$E$66,MATCH(RIGHT(Q108,255),RIGHT('Disaggregation Records'!$D$3:$D$66,255),0))),"")</f>
        <v/>
      </c>
      <c r="S108" s="89" t="str">
        <f t="array" aca="1" ref="S108" ca="1">IFERROR(IF(INDEX('Disaggregation Records'!$F$3:$F$66,MATCH(RIGHT(Q108,255),RIGHT('Disaggregation Records'!$D$3:$D$66,255),0))="","",INDEX('Disaggregation Records'!$F$3:$F$66,MATCH(RIGHT(Q108,255),RIGHT('Disaggregation Records'!$D$3:$D$66,255),0))),"")</f>
        <v/>
      </c>
      <c r="T108" s="89" t="str">
        <f t="array" aca="1" ref="T108" ca="1">IFERROR(IF(INDEX('Disaggregation Records'!$H$3:$H$66,MATCH(RIGHT(Q108,255),RIGHT('Disaggregation Records'!$D$3:$D$66,255),0))="","",INDEX('Disaggregation Records'!$H$3:$H$66,MATCH(RIGHT(Q108,255),RIGHT('Disaggregation Records'!$D$3:$D$66,255),0))),"")</f>
        <v/>
      </c>
      <c r="U108" s="89">
        <f>U106+1</f>
        <v>1240</v>
      </c>
      <c r="V108" s="89" t="str">
        <f t="array" aca="1" ref="V108" ca="1">IFERROR(IF(INDEX('Disaggregation Records'!$I$3:$I$66,MATCH(RIGHT(Q108,255),RIGHT('Disaggregation Records'!$D$3:$D$66,255),0))="","",INDEX('Disaggregation Records'!$I$3:$I$66,MATCH(RIGHT(Q108,255),RIGHT('Disaggregation Records'!$D$3:$D$66,255),0))),"")</f>
        <v/>
      </c>
      <c r="W108" s="89" t="str">
        <f ca="1">IFERROR(INDEX('Reference Records'!O$3:O$19,MATCH(LEFT(C108,255),'Reference Records'!J$3:J$19,0)),"")</f>
        <v/>
      </c>
    </row>
    <row r="109" spans="1:23" s="89" customFormat="1" ht="40.35" customHeight="1">
      <c r="A109" s="564"/>
      <c r="B109" s="799">
        <v>3.7556390977443699</v>
      </c>
      <c r="C109" s="800"/>
      <c r="D109" s="801"/>
      <c r="E109" s="801"/>
      <c r="F109" s="128"/>
      <c r="G109" s="802"/>
      <c r="H109" s="781"/>
      <c r="I109" s="803"/>
      <c r="J109" s="779"/>
      <c r="K109" s="800"/>
      <c r="L109" s="800"/>
      <c r="M109" s="779"/>
      <c r="N109" s="779"/>
      <c r="P109" s="125"/>
      <c r="Q109" s="125"/>
      <c r="R109" s="125"/>
      <c r="S109" s="125"/>
      <c r="T109" s="125"/>
      <c r="U109" s="125"/>
      <c r="V109" s="125"/>
      <c r="W109" s="125"/>
    </row>
    <row r="110" spans="1:23" s="89" customFormat="1" ht="40.35" customHeight="1">
      <c r="A110" s="564" t="str">
        <f t="shared" ca="1" si="1"/>
        <v>a1G3p000005dHatEAE</v>
      </c>
      <c r="B110" s="794">
        <v>6</v>
      </c>
      <c r="C110" s="795" t="str">
        <f ca="1">IFERROR(VLOOKUP(B110,'Impact Indicators - Section B '!$A$9:$AF$52,32,FALSE),"")</f>
        <v/>
      </c>
      <c r="D110" s="796" t="str">
        <f ca="1">R110</f>
        <v/>
      </c>
      <c r="E110" s="796" t="str">
        <f ca="1">S110</f>
        <v/>
      </c>
      <c r="F110" s="127"/>
      <c r="G110" s="797" t="str">
        <f ca="1">IF(OR(INDIRECT("'update Helper'!E"&amp;U110)="",F110&lt;&gt;0,F111&lt;&gt;0),IF(IFERROR((F110/F111),"")="","",(F110/F111)),INDIRECT("'update Helper'!E"&amp;U110)/100)</f>
        <v/>
      </c>
      <c r="H110" s="784"/>
      <c r="I110" s="798"/>
      <c r="J110" s="777"/>
      <c r="K110" s="795" t="str">
        <f ca="1">W110</f>
        <v/>
      </c>
      <c r="L110" s="795" t="str">
        <f ca="1">V110</f>
        <v/>
      </c>
      <c r="M110" s="777"/>
      <c r="N110" s="777"/>
      <c r="P110" s="89">
        <f ca="1">IF(AND(EXACT(C110,C108),C108&lt;&gt;0),P108+1,0)</f>
        <v>10</v>
      </c>
      <c r="Q110" s="89" t="str">
        <f ca="1">IF(C110&lt;&gt;"",C110&amp;"-"&amp;P110,"")</f>
        <v/>
      </c>
      <c r="R110" s="89" t="str">
        <f t="array" aca="1" ref="R110" ca="1">IFERROR(IF(INDEX('Disaggregation Records'!$E$3:$E$66,MATCH(RIGHT(Q110,255),RIGHT('Disaggregation Records'!$D$3:$D$66,255),0))="","",INDEX('Disaggregation Records'!$E$3:$E$66,MATCH(RIGHT(Q110,255),RIGHT('Disaggregation Records'!$D$3:$D$66,255),0))),"")</f>
        <v/>
      </c>
      <c r="S110" s="89" t="str">
        <f t="array" aca="1" ref="S110" ca="1">IFERROR(IF(INDEX('Disaggregation Records'!$F$3:$F$66,MATCH(RIGHT(Q110,255),RIGHT('Disaggregation Records'!$D$3:$D$66,255),0))="","",INDEX('Disaggregation Records'!$F$3:$F$66,MATCH(RIGHT(Q110,255),RIGHT('Disaggregation Records'!$D$3:$D$66,255),0))),"")</f>
        <v/>
      </c>
      <c r="T110" s="89" t="str">
        <f t="array" aca="1" ref="T110" ca="1">IFERROR(IF(INDEX('Disaggregation Records'!$H$3:$H$66,MATCH(RIGHT(Q110,255),RIGHT('Disaggregation Records'!$D$3:$D$66,255),0))="","",INDEX('Disaggregation Records'!$H$3:$H$66,MATCH(RIGHT(Q110,255),RIGHT('Disaggregation Records'!$D$3:$D$66,255),0))),"")</f>
        <v/>
      </c>
      <c r="U110" s="89">
        <f>U108+1</f>
        <v>1241</v>
      </c>
      <c r="V110" s="89" t="str">
        <f t="array" aca="1" ref="V110" ca="1">IFERROR(IF(INDEX('Disaggregation Records'!$I$3:$I$66,MATCH(RIGHT(Q110,255),RIGHT('Disaggregation Records'!$D$3:$D$66,255),0))="","",INDEX('Disaggregation Records'!$I$3:$I$66,MATCH(RIGHT(Q110,255),RIGHT('Disaggregation Records'!$D$3:$D$66,255),0))),"")</f>
        <v/>
      </c>
      <c r="W110" s="89" t="str">
        <f ca="1">IFERROR(INDEX('Reference Records'!O$3:O$19,MATCH(LEFT(C110,255),'Reference Records'!J$3:J$19,0)),"")</f>
        <v/>
      </c>
    </row>
    <row r="111" spans="1:23" s="125" customFormat="1" ht="40.35" customHeight="1">
      <c r="A111" s="564"/>
      <c r="B111" s="799">
        <v>4.5075187969924899</v>
      </c>
      <c r="C111" s="800"/>
      <c r="D111" s="801"/>
      <c r="E111" s="801"/>
      <c r="F111" s="128"/>
      <c r="G111" s="802"/>
      <c r="H111" s="781"/>
      <c r="I111" s="803"/>
      <c r="J111" s="779"/>
      <c r="K111" s="800"/>
      <c r="L111" s="800"/>
      <c r="M111" s="779"/>
      <c r="N111" s="779"/>
    </row>
    <row r="112" spans="1:23" s="89" customFormat="1" ht="40.35" customHeight="1">
      <c r="A112" s="564" t="str">
        <f t="shared" ca="1" si="1"/>
        <v>a1G3p000005dHauEAE</v>
      </c>
      <c r="B112" s="794">
        <v>6</v>
      </c>
      <c r="C112" s="795" t="str">
        <f ca="1">IFERROR(VLOOKUP(B112,'Impact Indicators - Section B '!$A$9:$AF$52,32,FALSE),"")</f>
        <v/>
      </c>
      <c r="D112" s="796" t="str">
        <f ca="1">R112</f>
        <v/>
      </c>
      <c r="E112" s="796" t="str">
        <f ca="1">S112</f>
        <v/>
      </c>
      <c r="F112" s="127"/>
      <c r="G112" s="797" t="str">
        <f ca="1">IF(OR(INDIRECT("'update Helper'!E"&amp;U112)="",F112&lt;&gt;0,F113&lt;&gt;0),IF(IFERROR((F112/F113),"")="","",(F112/F113)),INDIRECT("'update Helper'!E"&amp;U112)/100)</f>
        <v/>
      </c>
      <c r="H112" s="784"/>
      <c r="I112" s="798"/>
      <c r="J112" s="777"/>
      <c r="K112" s="795" t="str">
        <f ca="1">W112</f>
        <v/>
      </c>
      <c r="L112" s="795" t="str">
        <f ca="1">V112</f>
        <v/>
      </c>
      <c r="M112" s="777"/>
      <c r="N112" s="777"/>
      <c r="P112" s="89">
        <f ca="1">IF(AND(EXACT(C112,C110),C110&lt;&gt;0),P110+1,0)</f>
        <v>11</v>
      </c>
      <c r="Q112" s="89" t="str">
        <f ca="1">IF(C112&lt;&gt;"",C112&amp;"-"&amp;P112,"")</f>
        <v/>
      </c>
      <c r="R112" s="89" t="str">
        <f t="array" aca="1" ref="R112" ca="1">IFERROR(IF(INDEX('Disaggregation Records'!$E$3:$E$66,MATCH(RIGHT(Q112,255),RIGHT('Disaggregation Records'!$D$3:$D$66,255),0))="","",INDEX('Disaggregation Records'!$E$3:$E$66,MATCH(RIGHT(Q112,255),RIGHT('Disaggregation Records'!$D$3:$D$66,255),0))),"")</f>
        <v/>
      </c>
      <c r="S112" s="89" t="str">
        <f t="array" aca="1" ref="S112" ca="1">IFERROR(IF(INDEX('Disaggregation Records'!$F$3:$F$66,MATCH(RIGHT(Q112,255),RIGHT('Disaggregation Records'!$D$3:$D$66,255),0))="","",INDEX('Disaggregation Records'!$F$3:$F$66,MATCH(RIGHT(Q112,255),RIGHT('Disaggregation Records'!$D$3:$D$66,255),0))),"")</f>
        <v/>
      </c>
      <c r="T112" s="89" t="str">
        <f t="array" aca="1" ref="T112" ca="1">IFERROR(IF(INDEX('Disaggregation Records'!$H$3:$H$66,MATCH(RIGHT(Q112,255),RIGHT('Disaggregation Records'!$D$3:$D$66,255),0))="","",INDEX('Disaggregation Records'!$H$3:$H$66,MATCH(RIGHT(Q112,255),RIGHT('Disaggregation Records'!$D$3:$D$66,255),0))),"")</f>
        <v/>
      </c>
      <c r="U112" s="89">
        <f>U110+1</f>
        <v>1242</v>
      </c>
      <c r="V112" s="89" t="str">
        <f t="array" aca="1" ref="V112" ca="1">IFERROR(IF(INDEX('Disaggregation Records'!$I$3:$I$66,MATCH(RIGHT(Q112,255),RIGHT('Disaggregation Records'!$D$3:$D$66,255),0))="","",INDEX('Disaggregation Records'!$I$3:$I$66,MATCH(RIGHT(Q112,255),RIGHT('Disaggregation Records'!$D$3:$D$66,255),0))),"")</f>
        <v/>
      </c>
      <c r="W112" s="89" t="str">
        <f ca="1">IFERROR(INDEX('Reference Records'!O$3:O$19,MATCH(LEFT(C112,255),'Reference Records'!J$3:J$19,0)),"")</f>
        <v/>
      </c>
    </row>
    <row r="113" spans="1:23" s="125" customFormat="1" ht="40.35" customHeight="1">
      <c r="A113" s="564"/>
      <c r="B113" s="799">
        <v>4.5075187969924899</v>
      </c>
      <c r="C113" s="800"/>
      <c r="D113" s="801"/>
      <c r="E113" s="801"/>
      <c r="F113" s="128"/>
      <c r="G113" s="802"/>
      <c r="H113" s="781"/>
      <c r="I113" s="803"/>
      <c r="J113" s="779"/>
      <c r="K113" s="800"/>
      <c r="L113" s="800"/>
      <c r="M113" s="779"/>
      <c r="N113" s="779"/>
    </row>
    <row r="114" spans="1:23" s="89" customFormat="1" ht="40.35" customHeight="1">
      <c r="A114" s="564" t="str">
        <f t="shared" ca="1" si="1"/>
        <v>a1G3p000005dHavEAE</v>
      </c>
      <c r="B114" s="794">
        <v>6</v>
      </c>
      <c r="C114" s="795" t="str">
        <f ca="1">IFERROR(VLOOKUP(B114,'Impact Indicators - Section B '!$A$9:$AF$52,32,FALSE),"")</f>
        <v/>
      </c>
      <c r="D114" s="796" t="str">
        <f ca="1">R114</f>
        <v/>
      </c>
      <c r="E114" s="796" t="str">
        <f ca="1">S114</f>
        <v/>
      </c>
      <c r="F114" s="127"/>
      <c r="G114" s="797" t="str">
        <f ca="1">IF(OR(INDIRECT("'update Helper'!E"&amp;U114)="",F114&lt;&gt;0,F115&lt;&gt;0),IF(IFERROR((F114/F115),"")="","",(F114/F115)),INDIRECT("'update Helper'!E"&amp;U114)/100)</f>
        <v/>
      </c>
      <c r="H114" s="784"/>
      <c r="I114" s="798"/>
      <c r="J114" s="777"/>
      <c r="K114" s="795" t="str">
        <f ca="1">W114</f>
        <v/>
      </c>
      <c r="L114" s="795" t="str">
        <f ca="1">V114</f>
        <v/>
      </c>
      <c r="M114" s="777"/>
      <c r="N114" s="777"/>
      <c r="P114" s="89">
        <f ca="1">IF(AND(EXACT(C114,C112),C112&lt;&gt;0),P112+1,0)</f>
        <v>12</v>
      </c>
      <c r="Q114" s="89" t="str">
        <f ca="1">IF(C114&lt;&gt;"",C114&amp;"-"&amp;P114,"")</f>
        <v/>
      </c>
      <c r="R114" s="89" t="str">
        <f t="array" aca="1" ref="R114" ca="1">IFERROR(IF(INDEX('Disaggregation Records'!$E$3:$E$66,MATCH(RIGHT(Q114,255),RIGHT('Disaggregation Records'!$D$3:$D$66,255),0))="","",INDEX('Disaggregation Records'!$E$3:$E$66,MATCH(RIGHT(Q114,255),RIGHT('Disaggregation Records'!$D$3:$D$66,255),0))),"")</f>
        <v/>
      </c>
      <c r="S114" s="89" t="str">
        <f t="array" aca="1" ref="S114" ca="1">IFERROR(IF(INDEX('Disaggregation Records'!$F$3:$F$66,MATCH(RIGHT(Q114,255),RIGHT('Disaggregation Records'!$D$3:$D$66,255),0))="","",INDEX('Disaggregation Records'!$F$3:$F$66,MATCH(RIGHT(Q114,255),RIGHT('Disaggregation Records'!$D$3:$D$66,255),0))),"")</f>
        <v/>
      </c>
      <c r="T114" s="89" t="str">
        <f t="array" aca="1" ref="T114" ca="1">IFERROR(IF(INDEX('Disaggregation Records'!$H$3:$H$66,MATCH(RIGHT(Q114,255),RIGHT('Disaggregation Records'!$D$3:$D$66,255),0))="","",INDEX('Disaggregation Records'!$H$3:$H$66,MATCH(RIGHT(Q114,255),RIGHT('Disaggregation Records'!$D$3:$D$66,255),0))),"")</f>
        <v/>
      </c>
      <c r="U114" s="89">
        <f>U112+1</f>
        <v>1243</v>
      </c>
      <c r="V114" s="89" t="str">
        <f t="array" aca="1" ref="V114" ca="1">IFERROR(IF(INDEX('Disaggregation Records'!$I$3:$I$66,MATCH(RIGHT(Q114,255),RIGHT('Disaggregation Records'!$D$3:$D$66,255),0))="","",INDEX('Disaggregation Records'!$I$3:$I$66,MATCH(RIGHT(Q114,255),RIGHT('Disaggregation Records'!$D$3:$D$66,255),0))),"")</f>
        <v/>
      </c>
      <c r="W114" s="89" t="str">
        <f ca="1">IFERROR(INDEX('Reference Records'!O$3:O$19,MATCH(LEFT(C114,255),'Reference Records'!J$3:J$19,0)),"")</f>
        <v/>
      </c>
    </row>
    <row r="115" spans="1:23" s="89" customFormat="1" ht="40.35" customHeight="1">
      <c r="A115" s="564"/>
      <c r="B115" s="799">
        <v>4.5075187969924899</v>
      </c>
      <c r="C115" s="800"/>
      <c r="D115" s="801"/>
      <c r="E115" s="801"/>
      <c r="F115" s="128"/>
      <c r="G115" s="802"/>
      <c r="H115" s="781"/>
      <c r="I115" s="803"/>
      <c r="J115" s="779"/>
      <c r="K115" s="800"/>
      <c r="L115" s="800"/>
      <c r="M115" s="779"/>
      <c r="N115" s="779"/>
      <c r="P115" s="125"/>
      <c r="Q115" s="125"/>
      <c r="R115" s="125"/>
      <c r="S115" s="125"/>
      <c r="T115" s="125"/>
      <c r="U115" s="125"/>
      <c r="V115" s="125"/>
      <c r="W115" s="125"/>
    </row>
    <row r="116" spans="1:23" s="89" customFormat="1" ht="40.35" customHeight="1">
      <c r="A116" s="564" t="str">
        <f t="shared" ca="1" si="1"/>
        <v>a1G3p000005dHawEAE</v>
      </c>
      <c r="B116" s="794">
        <v>6</v>
      </c>
      <c r="C116" s="795" t="str">
        <f ca="1">IFERROR(VLOOKUP(B116,'Impact Indicators - Section B '!$A$9:$AF$52,32,FALSE),"")</f>
        <v/>
      </c>
      <c r="D116" s="796" t="str">
        <f ca="1">R116</f>
        <v/>
      </c>
      <c r="E116" s="796" t="str">
        <f ca="1">S116</f>
        <v/>
      </c>
      <c r="F116" s="127"/>
      <c r="G116" s="797" t="str">
        <f ca="1">IF(OR(INDIRECT("'update Helper'!E"&amp;U116)="",F116&lt;&gt;0,F117&lt;&gt;0),IF(IFERROR((F116/F117),"")="","",(F116/F117)),INDIRECT("'update Helper'!E"&amp;U116)/100)</f>
        <v/>
      </c>
      <c r="H116" s="784"/>
      <c r="I116" s="798"/>
      <c r="J116" s="777"/>
      <c r="K116" s="795" t="str">
        <f ca="1">W116</f>
        <v/>
      </c>
      <c r="L116" s="795" t="str">
        <f ca="1">V116</f>
        <v/>
      </c>
      <c r="M116" s="777"/>
      <c r="N116" s="777"/>
      <c r="P116" s="89">
        <f ca="1">IF(AND(EXACT(C116,C114),C114&lt;&gt;0),P114+1,0)</f>
        <v>13</v>
      </c>
      <c r="Q116" s="89" t="str">
        <f ca="1">IF(C116&lt;&gt;"",C116&amp;"-"&amp;P116,"")</f>
        <v/>
      </c>
      <c r="R116" s="89" t="str">
        <f t="array" aca="1" ref="R116" ca="1">IFERROR(IF(INDEX('Disaggregation Records'!$E$3:$E$66,MATCH(RIGHT(Q116,255),RIGHT('Disaggregation Records'!$D$3:$D$66,255),0))="","",INDEX('Disaggregation Records'!$E$3:$E$66,MATCH(RIGHT(Q116,255),RIGHT('Disaggregation Records'!$D$3:$D$66,255),0))),"")</f>
        <v/>
      </c>
      <c r="S116" s="89" t="str">
        <f t="array" aca="1" ref="S116" ca="1">IFERROR(IF(INDEX('Disaggregation Records'!$F$3:$F$66,MATCH(RIGHT(Q116,255),RIGHT('Disaggregation Records'!$D$3:$D$66,255),0))="","",INDEX('Disaggregation Records'!$F$3:$F$66,MATCH(RIGHT(Q116,255),RIGHT('Disaggregation Records'!$D$3:$D$66,255),0))),"")</f>
        <v/>
      </c>
      <c r="T116" s="89" t="str">
        <f t="array" aca="1" ref="T116" ca="1">IFERROR(IF(INDEX('Disaggregation Records'!$H$3:$H$66,MATCH(RIGHT(Q116,255),RIGHT('Disaggregation Records'!$D$3:$D$66,255),0))="","",INDEX('Disaggregation Records'!$H$3:$H$66,MATCH(RIGHT(Q116,255),RIGHT('Disaggregation Records'!$D$3:$D$66,255),0))),"")</f>
        <v/>
      </c>
      <c r="U116" s="89">
        <f>U114+1</f>
        <v>1244</v>
      </c>
      <c r="V116" s="89" t="str">
        <f t="array" aca="1" ref="V116" ca="1">IFERROR(IF(INDEX('Disaggregation Records'!$I$3:$I$66,MATCH(RIGHT(Q116,255),RIGHT('Disaggregation Records'!$D$3:$D$66,255),0))="","",INDEX('Disaggregation Records'!$I$3:$I$66,MATCH(RIGHT(Q116,255),RIGHT('Disaggregation Records'!$D$3:$D$66,255),0))),"")</f>
        <v/>
      </c>
      <c r="W116" s="89" t="str">
        <f ca="1">IFERROR(INDEX('Reference Records'!O$3:O$19,MATCH(LEFT(C116,255),'Reference Records'!J$3:J$19,0)),"")</f>
        <v/>
      </c>
    </row>
    <row r="117" spans="1:23" s="125" customFormat="1" ht="40.35" customHeight="1">
      <c r="A117" s="564"/>
      <c r="B117" s="799">
        <v>4.5075187969924899</v>
      </c>
      <c r="C117" s="800"/>
      <c r="D117" s="801"/>
      <c r="E117" s="801"/>
      <c r="F117" s="128"/>
      <c r="G117" s="802"/>
      <c r="H117" s="781"/>
      <c r="I117" s="803"/>
      <c r="J117" s="779"/>
      <c r="K117" s="800"/>
      <c r="L117" s="800"/>
      <c r="M117" s="779"/>
      <c r="N117" s="779"/>
    </row>
    <row r="118" spans="1:23" s="89" customFormat="1" ht="40.35" customHeight="1">
      <c r="A118" s="564" t="str">
        <f t="shared" ca="1" si="1"/>
        <v>a1G3p000005dHaxEAE</v>
      </c>
      <c r="B118" s="794">
        <v>6</v>
      </c>
      <c r="C118" s="795" t="str">
        <f ca="1">IFERROR(VLOOKUP(B118,'Impact Indicators - Section B '!$A$9:$AF$52,32,FALSE),"")</f>
        <v/>
      </c>
      <c r="D118" s="796" t="str">
        <f ca="1">R118</f>
        <v/>
      </c>
      <c r="E118" s="796" t="str">
        <f ca="1">S118</f>
        <v/>
      </c>
      <c r="F118" s="127"/>
      <c r="G118" s="797" t="str">
        <f ca="1">IF(OR(INDIRECT("'update Helper'!E"&amp;U118)="",F118&lt;&gt;0,F119&lt;&gt;0),IF(IFERROR((F118/F119),"")="","",(F118/F119)),INDIRECT("'update Helper'!E"&amp;U118)/100)</f>
        <v/>
      </c>
      <c r="H118" s="784"/>
      <c r="I118" s="798"/>
      <c r="J118" s="777"/>
      <c r="K118" s="795" t="str">
        <f ca="1">W118</f>
        <v/>
      </c>
      <c r="L118" s="795" t="str">
        <f ca="1">V118</f>
        <v/>
      </c>
      <c r="M118" s="777"/>
      <c r="N118" s="777"/>
      <c r="P118" s="89">
        <f ca="1">IF(AND(EXACT(C118,C116),C116&lt;&gt;0),P116+1,0)</f>
        <v>14</v>
      </c>
      <c r="Q118" s="89" t="str">
        <f ca="1">IF(C118&lt;&gt;"",C118&amp;"-"&amp;P118,"")</f>
        <v/>
      </c>
      <c r="R118" s="89" t="str">
        <f t="array" aca="1" ref="R118" ca="1">IFERROR(IF(INDEX('Disaggregation Records'!$E$3:$E$66,MATCH(RIGHT(Q118,255),RIGHT('Disaggregation Records'!$D$3:$D$66,255),0))="","",INDEX('Disaggregation Records'!$E$3:$E$66,MATCH(RIGHT(Q118,255),RIGHT('Disaggregation Records'!$D$3:$D$66,255),0))),"")</f>
        <v/>
      </c>
      <c r="S118" s="89" t="str">
        <f t="array" aca="1" ref="S118" ca="1">IFERROR(IF(INDEX('Disaggregation Records'!$F$3:$F$66,MATCH(RIGHT(Q118,255),RIGHT('Disaggregation Records'!$D$3:$D$66,255),0))="","",INDEX('Disaggregation Records'!$F$3:$F$66,MATCH(RIGHT(Q118,255),RIGHT('Disaggregation Records'!$D$3:$D$66,255),0))),"")</f>
        <v/>
      </c>
      <c r="T118" s="89" t="str">
        <f t="array" aca="1" ref="T118" ca="1">IFERROR(IF(INDEX('Disaggregation Records'!$H$3:$H$66,MATCH(RIGHT(Q118,255),RIGHT('Disaggregation Records'!$D$3:$D$66,255),0))="","",INDEX('Disaggregation Records'!$H$3:$H$66,MATCH(RIGHT(Q118,255),RIGHT('Disaggregation Records'!$D$3:$D$66,255),0))),"")</f>
        <v/>
      </c>
      <c r="U118" s="89">
        <f>U116+1</f>
        <v>1245</v>
      </c>
      <c r="V118" s="89" t="str">
        <f t="array" aca="1" ref="V118" ca="1">IFERROR(IF(INDEX('Disaggregation Records'!$I$3:$I$66,MATCH(RIGHT(Q118,255),RIGHT('Disaggregation Records'!$D$3:$D$66,255),0))="","",INDEX('Disaggregation Records'!$I$3:$I$66,MATCH(RIGHT(Q118,255),RIGHT('Disaggregation Records'!$D$3:$D$66,255),0))),"")</f>
        <v/>
      </c>
      <c r="W118" s="89" t="str">
        <f ca="1">IFERROR(INDEX('Reference Records'!O$3:O$19,MATCH(LEFT(C118,255),'Reference Records'!J$3:J$19,0)),"")</f>
        <v/>
      </c>
    </row>
    <row r="119" spans="1:23" s="125" customFormat="1" ht="40.35" customHeight="1">
      <c r="A119" s="564"/>
      <c r="B119" s="799">
        <v>4.5075187969924899</v>
      </c>
      <c r="C119" s="800"/>
      <c r="D119" s="801"/>
      <c r="E119" s="801"/>
      <c r="F119" s="128"/>
      <c r="G119" s="802"/>
      <c r="H119" s="781"/>
      <c r="I119" s="803"/>
      <c r="J119" s="779"/>
      <c r="K119" s="800"/>
      <c r="L119" s="800"/>
      <c r="M119" s="779"/>
      <c r="N119" s="779"/>
    </row>
    <row r="120" spans="1:23" s="89" customFormat="1" ht="40.35" customHeight="1">
      <c r="A120" s="564" t="str">
        <f t="shared" ca="1" si="1"/>
        <v>a1G3p000005dHayEAE</v>
      </c>
      <c r="B120" s="794">
        <v>6</v>
      </c>
      <c r="C120" s="795" t="str">
        <f ca="1">IFERROR(VLOOKUP(B120,'Impact Indicators - Section B '!$A$9:$AF$52,32,FALSE),"")</f>
        <v/>
      </c>
      <c r="D120" s="796" t="str">
        <f ca="1">R120</f>
        <v/>
      </c>
      <c r="E120" s="796" t="str">
        <f ca="1">S120</f>
        <v/>
      </c>
      <c r="F120" s="127"/>
      <c r="G120" s="797" t="str">
        <f ca="1">IF(OR(INDIRECT("'update Helper'!E"&amp;U120)="",F120&lt;&gt;0,F121&lt;&gt;0),IF(IFERROR((F120/F121),"")="","",(F120/F121)),INDIRECT("'update Helper'!E"&amp;U120)/100)</f>
        <v/>
      </c>
      <c r="H120" s="784"/>
      <c r="I120" s="798"/>
      <c r="J120" s="777"/>
      <c r="K120" s="795" t="str">
        <f ca="1">W120</f>
        <v/>
      </c>
      <c r="L120" s="795" t="str">
        <f ca="1">V120</f>
        <v/>
      </c>
      <c r="M120" s="777"/>
      <c r="N120" s="777"/>
      <c r="P120" s="89">
        <f ca="1">IF(AND(EXACT(C120,C118),C118&lt;&gt;0),P118+1,0)</f>
        <v>15</v>
      </c>
      <c r="Q120" s="89" t="str">
        <f ca="1">IF(C120&lt;&gt;"",C120&amp;"-"&amp;P120,"")</f>
        <v/>
      </c>
      <c r="R120" s="89" t="str">
        <f t="array" aca="1" ref="R120" ca="1">IFERROR(IF(INDEX('Disaggregation Records'!$E$3:$E$66,MATCH(RIGHT(Q120,255),RIGHT('Disaggregation Records'!$D$3:$D$66,255),0))="","",INDEX('Disaggregation Records'!$E$3:$E$66,MATCH(RIGHT(Q120,255),RIGHT('Disaggregation Records'!$D$3:$D$66,255),0))),"")</f>
        <v/>
      </c>
      <c r="S120" s="89" t="str">
        <f t="array" aca="1" ref="S120" ca="1">IFERROR(IF(INDEX('Disaggregation Records'!$F$3:$F$66,MATCH(RIGHT(Q120,255),RIGHT('Disaggregation Records'!$D$3:$D$66,255),0))="","",INDEX('Disaggregation Records'!$F$3:$F$66,MATCH(RIGHT(Q120,255),RIGHT('Disaggregation Records'!$D$3:$D$66,255),0))),"")</f>
        <v/>
      </c>
      <c r="T120" s="89" t="str">
        <f t="array" aca="1" ref="T120" ca="1">IFERROR(IF(INDEX('Disaggregation Records'!$H$3:$H$66,MATCH(RIGHT(Q120,255),RIGHT('Disaggregation Records'!$D$3:$D$66,255),0))="","",INDEX('Disaggregation Records'!$H$3:$H$66,MATCH(RIGHT(Q120,255),RIGHT('Disaggregation Records'!$D$3:$D$66,255),0))),"")</f>
        <v/>
      </c>
      <c r="U120" s="89">
        <f>U118+1</f>
        <v>1246</v>
      </c>
      <c r="V120" s="89" t="str">
        <f t="array" aca="1" ref="V120" ca="1">IFERROR(IF(INDEX('Disaggregation Records'!$I$3:$I$66,MATCH(RIGHT(Q120,255),RIGHT('Disaggregation Records'!$D$3:$D$66,255),0))="","",INDEX('Disaggregation Records'!$I$3:$I$66,MATCH(RIGHT(Q120,255),RIGHT('Disaggregation Records'!$D$3:$D$66,255),0))),"")</f>
        <v/>
      </c>
      <c r="W120" s="89" t="str">
        <f ca="1">IFERROR(INDEX('Reference Records'!O$3:O$19,MATCH(LEFT(C120,255),'Reference Records'!J$3:J$19,0)),"")</f>
        <v/>
      </c>
    </row>
    <row r="121" spans="1:23" s="89" customFormat="1" ht="40.35" customHeight="1">
      <c r="A121" s="564"/>
      <c r="B121" s="799">
        <v>4.5075187969924899</v>
      </c>
      <c r="C121" s="800"/>
      <c r="D121" s="801"/>
      <c r="E121" s="801"/>
      <c r="F121" s="128"/>
      <c r="G121" s="802"/>
      <c r="H121" s="781"/>
      <c r="I121" s="803"/>
      <c r="J121" s="779"/>
      <c r="K121" s="800"/>
      <c r="L121" s="800"/>
      <c r="M121" s="779"/>
      <c r="N121" s="779"/>
      <c r="P121" s="125"/>
      <c r="Q121" s="125"/>
      <c r="R121" s="125"/>
      <c r="S121" s="125"/>
      <c r="T121" s="125"/>
      <c r="U121" s="125"/>
      <c r="V121" s="125"/>
      <c r="W121" s="125"/>
    </row>
    <row r="122" spans="1:23" s="89" customFormat="1" ht="40.35" customHeight="1">
      <c r="A122" s="564" t="str">
        <f t="shared" ca="1" si="1"/>
        <v>a1G3p000005dHazEAE</v>
      </c>
      <c r="B122" s="794">
        <v>6</v>
      </c>
      <c r="C122" s="795" t="str">
        <f ca="1">IFERROR(VLOOKUP(B122,'Impact Indicators - Section B '!$A$9:$AF$52,32,FALSE),"")</f>
        <v/>
      </c>
      <c r="D122" s="796" t="str">
        <f ca="1">R122</f>
        <v/>
      </c>
      <c r="E122" s="796" t="str">
        <f ca="1">S122</f>
        <v/>
      </c>
      <c r="F122" s="127"/>
      <c r="G122" s="797" t="str">
        <f ca="1">IF(OR(INDIRECT("'update Helper'!E"&amp;U122)="",F122&lt;&gt;0,F123&lt;&gt;0),IF(IFERROR((F122/F123),"")="","",(F122/F123)),INDIRECT("'update Helper'!E"&amp;U122)/100)</f>
        <v/>
      </c>
      <c r="H122" s="784"/>
      <c r="I122" s="798"/>
      <c r="J122" s="777"/>
      <c r="K122" s="795" t="str">
        <f ca="1">W122</f>
        <v/>
      </c>
      <c r="L122" s="795" t="str">
        <f ca="1">V122</f>
        <v/>
      </c>
      <c r="M122" s="777"/>
      <c r="N122" s="777"/>
      <c r="P122" s="89">
        <f ca="1">IF(AND(EXACT(C122,C120),C120&lt;&gt;0),P120+1,0)</f>
        <v>16</v>
      </c>
      <c r="Q122" s="89" t="str">
        <f ca="1">IF(C122&lt;&gt;"",C122&amp;"-"&amp;P122,"")</f>
        <v/>
      </c>
      <c r="R122" s="89" t="str">
        <f t="array" aca="1" ref="R122" ca="1">IFERROR(IF(INDEX('Disaggregation Records'!$E$3:$E$66,MATCH(RIGHT(Q122,255),RIGHT('Disaggregation Records'!$D$3:$D$66,255),0))="","",INDEX('Disaggregation Records'!$E$3:$E$66,MATCH(RIGHT(Q122,255),RIGHT('Disaggregation Records'!$D$3:$D$66,255),0))),"")</f>
        <v/>
      </c>
      <c r="S122" s="89" t="str">
        <f t="array" aca="1" ref="S122" ca="1">IFERROR(IF(INDEX('Disaggregation Records'!$F$3:$F$66,MATCH(RIGHT(Q122,255),RIGHT('Disaggregation Records'!$D$3:$D$66,255),0))="","",INDEX('Disaggregation Records'!$F$3:$F$66,MATCH(RIGHT(Q122,255),RIGHT('Disaggregation Records'!$D$3:$D$66,255),0))),"")</f>
        <v/>
      </c>
      <c r="T122" s="89" t="str">
        <f t="array" aca="1" ref="T122" ca="1">IFERROR(IF(INDEX('Disaggregation Records'!$H$3:$H$66,MATCH(RIGHT(Q122,255),RIGHT('Disaggregation Records'!$D$3:$D$66,255),0))="","",INDEX('Disaggregation Records'!$H$3:$H$66,MATCH(RIGHT(Q122,255),RIGHT('Disaggregation Records'!$D$3:$D$66,255),0))),"")</f>
        <v/>
      </c>
      <c r="U122" s="89">
        <f>U120+1</f>
        <v>1247</v>
      </c>
      <c r="V122" s="89" t="str">
        <f t="array" aca="1" ref="V122" ca="1">IFERROR(IF(INDEX('Disaggregation Records'!$I$3:$I$66,MATCH(RIGHT(Q122,255),RIGHT('Disaggregation Records'!$D$3:$D$66,255),0))="","",INDEX('Disaggregation Records'!$I$3:$I$66,MATCH(RIGHT(Q122,255),RIGHT('Disaggregation Records'!$D$3:$D$66,255),0))),"")</f>
        <v/>
      </c>
      <c r="W122" s="89" t="str">
        <f ca="1">IFERROR(INDEX('Reference Records'!O$3:O$19,MATCH(LEFT(C122,255),'Reference Records'!J$3:J$19,0)),"")</f>
        <v/>
      </c>
    </row>
    <row r="123" spans="1:23" s="125" customFormat="1" ht="40.35" customHeight="1">
      <c r="A123" s="564"/>
      <c r="B123" s="799">
        <v>4.5075187969924899</v>
      </c>
      <c r="C123" s="800"/>
      <c r="D123" s="801"/>
      <c r="E123" s="801"/>
      <c r="F123" s="128"/>
      <c r="G123" s="802"/>
      <c r="H123" s="781"/>
      <c r="I123" s="803"/>
      <c r="J123" s="779"/>
      <c r="K123" s="800"/>
      <c r="L123" s="800"/>
      <c r="M123" s="779"/>
      <c r="N123" s="779"/>
    </row>
    <row r="124" spans="1:23" s="89" customFormat="1" ht="40.35" customHeight="1">
      <c r="A124" s="564" t="str">
        <f t="shared" ca="1" si="1"/>
        <v>a1G3p000005dHb0EAE</v>
      </c>
      <c r="B124" s="794">
        <v>6</v>
      </c>
      <c r="C124" s="795" t="str">
        <f ca="1">IFERROR(VLOOKUP(B124,'Impact Indicators - Section B '!$A$9:$AF$52,32,FALSE),"")</f>
        <v/>
      </c>
      <c r="D124" s="796" t="str">
        <f ca="1">R124</f>
        <v/>
      </c>
      <c r="E124" s="796" t="str">
        <f ca="1">S124</f>
        <v/>
      </c>
      <c r="F124" s="127"/>
      <c r="G124" s="797" t="str">
        <f ca="1">IF(OR(INDIRECT("'update Helper'!E"&amp;U124)="",F124&lt;&gt;0,F125&lt;&gt;0),IF(IFERROR((F124/F125),"")="","",(F124/F125)),INDIRECT("'update Helper'!E"&amp;U124)/100)</f>
        <v/>
      </c>
      <c r="H124" s="784"/>
      <c r="I124" s="798"/>
      <c r="J124" s="777"/>
      <c r="K124" s="795" t="str">
        <f ca="1">W124</f>
        <v/>
      </c>
      <c r="L124" s="795" t="str">
        <f ca="1">V124</f>
        <v/>
      </c>
      <c r="M124" s="777"/>
      <c r="N124" s="777"/>
      <c r="P124" s="89">
        <f ca="1">IF(AND(EXACT(C124,C122),C122&lt;&gt;0),P122+1,0)</f>
        <v>17</v>
      </c>
      <c r="Q124" s="89" t="str">
        <f ca="1">IF(C124&lt;&gt;"",C124&amp;"-"&amp;P124,"")</f>
        <v/>
      </c>
      <c r="R124" s="89" t="str">
        <f t="array" aca="1" ref="R124" ca="1">IFERROR(IF(INDEX('Disaggregation Records'!$E$3:$E$66,MATCH(RIGHT(Q124,255),RIGHT('Disaggregation Records'!$D$3:$D$66,255),0))="","",INDEX('Disaggregation Records'!$E$3:$E$66,MATCH(RIGHT(Q124,255),RIGHT('Disaggregation Records'!$D$3:$D$66,255),0))),"")</f>
        <v/>
      </c>
      <c r="S124" s="89" t="str">
        <f t="array" aca="1" ref="S124" ca="1">IFERROR(IF(INDEX('Disaggregation Records'!$F$3:$F$66,MATCH(RIGHT(Q124,255),RIGHT('Disaggregation Records'!$D$3:$D$66,255),0))="","",INDEX('Disaggregation Records'!$F$3:$F$66,MATCH(RIGHT(Q124,255),RIGHT('Disaggregation Records'!$D$3:$D$66,255),0))),"")</f>
        <v/>
      </c>
      <c r="T124" s="89" t="str">
        <f t="array" aca="1" ref="T124" ca="1">IFERROR(IF(INDEX('Disaggregation Records'!$H$3:$H$66,MATCH(RIGHT(Q124,255),RIGHT('Disaggregation Records'!$D$3:$D$66,255),0))="","",INDEX('Disaggregation Records'!$H$3:$H$66,MATCH(RIGHT(Q124,255),RIGHT('Disaggregation Records'!$D$3:$D$66,255),0))),"")</f>
        <v/>
      </c>
      <c r="U124" s="89">
        <f>U122+1</f>
        <v>1248</v>
      </c>
      <c r="V124" s="89" t="str">
        <f t="array" aca="1" ref="V124" ca="1">IFERROR(IF(INDEX('Disaggregation Records'!$I$3:$I$66,MATCH(RIGHT(Q124,255),RIGHT('Disaggregation Records'!$D$3:$D$66,255),0))="","",INDEX('Disaggregation Records'!$I$3:$I$66,MATCH(RIGHT(Q124,255),RIGHT('Disaggregation Records'!$D$3:$D$66,255),0))),"")</f>
        <v/>
      </c>
      <c r="W124" s="89" t="str">
        <f ca="1">IFERROR(INDEX('Reference Records'!O$3:O$19,MATCH(LEFT(C124,255),'Reference Records'!J$3:J$19,0)),"")</f>
        <v/>
      </c>
    </row>
    <row r="125" spans="1:23" s="125" customFormat="1" ht="40.35" customHeight="1">
      <c r="A125" s="564"/>
      <c r="B125" s="799">
        <v>4.5075187969924899</v>
      </c>
      <c r="C125" s="800"/>
      <c r="D125" s="801"/>
      <c r="E125" s="801"/>
      <c r="F125" s="128"/>
      <c r="G125" s="802"/>
      <c r="H125" s="781"/>
      <c r="I125" s="803"/>
      <c r="J125" s="779"/>
      <c r="K125" s="800"/>
      <c r="L125" s="800"/>
      <c r="M125" s="779"/>
      <c r="N125" s="779"/>
    </row>
    <row r="126" spans="1:23" s="89" customFormat="1" ht="40.35" customHeight="1">
      <c r="A126" s="564" t="str">
        <f t="shared" ca="1" si="1"/>
        <v>a1G3p000005dHb1EAE</v>
      </c>
      <c r="B126" s="794">
        <v>6</v>
      </c>
      <c r="C126" s="795" t="str">
        <f ca="1">IFERROR(VLOOKUP(B126,'Impact Indicators - Section B '!$A$9:$AF$52,32,FALSE),"")</f>
        <v/>
      </c>
      <c r="D126" s="796" t="str">
        <f ca="1">R126</f>
        <v/>
      </c>
      <c r="E126" s="796" t="str">
        <f ca="1">S126</f>
        <v/>
      </c>
      <c r="F126" s="127"/>
      <c r="G126" s="797" t="str">
        <f ca="1">IF(OR(INDIRECT("'update Helper'!E"&amp;U126)="",F126&lt;&gt;0,F127&lt;&gt;0),IF(IFERROR((F126/F127),"")="","",(F126/F127)),INDIRECT("'update Helper'!E"&amp;U126)/100)</f>
        <v/>
      </c>
      <c r="H126" s="784"/>
      <c r="I126" s="798"/>
      <c r="J126" s="777"/>
      <c r="K126" s="795" t="str">
        <f ca="1">W126</f>
        <v/>
      </c>
      <c r="L126" s="795" t="str">
        <f ca="1">V126</f>
        <v/>
      </c>
      <c r="M126" s="777"/>
      <c r="N126" s="777"/>
      <c r="P126" s="89">
        <f ca="1">IF(AND(EXACT(C126,C124),C124&lt;&gt;0),P124+1,0)</f>
        <v>18</v>
      </c>
      <c r="Q126" s="89" t="str">
        <f ca="1">IF(C126&lt;&gt;"",C126&amp;"-"&amp;P126,"")</f>
        <v/>
      </c>
      <c r="R126" s="89" t="str">
        <f t="array" aca="1" ref="R126" ca="1">IFERROR(IF(INDEX('Disaggregation Records'!$E$3:$E$66,MATCH(RIGHT(Q126,255),RIGHT('Disaggregation Records'!$D$3:$D$66,255),0))="","",INDEX('Disaggregation Records'!$E$3:$E$66,MATCH(RIGHT(Q126,255),RIGHT('Disaggregation Records'!$D$3:$D$66,255),0))),"")</f>
        <v/>
      </c>
      <c r="S126" s="89" t="str">
        <f t="array" aca="1" ref="S126" ca="1">IFERROR(IF(INDEX('Disaggregation Records'!$F$3:$F$66,MATCH(RIGHT(Q126,255),RIGHT('Disaggregation Records'!$D$3:$D$66,255),0))="","",INDEX('Disaggregation Records'!$F$3:$F$66,MATCH(RIGHT(Q126,255),RIGHT('Disaggregation Records'!$D$3:$D$66,255),0))),"")</f>
        <v/>
      </c>
      <c r="T126" s="89" t="str">
        <f t="array" aca="1" ref="T126" ca="1">IFERROR(IF(INDEX('Disaggregation Records'!$H$3:$H$66,MATCH(RIGHT(Q126,255),RIGHT('Disaggregation Records'!$D$3:$D$66,255),0))="","",INDEX('Disaggregation Records'!$H$3:$H$66,MATCH(RIGHT(Q126,255),RIGHT('Disaggregation Records'!$D$3:$D$66,255),0))),"")</f>
        <v/>
      </c>
      <c r="U126" s="89">
        <f>U124+1</f>
        <v>1249</v>
      </c>
      <c r="V126" s="89" t="str">
        <f t="array" aca="1" ref="V126" ca="1">IFERROR(IF(INDEX('Disaggregation Records'!$I$3:$I$66,MATCH(RIGHT(Q126,255),RIGHT('Disaggregation Records'!$D$3:$D$66,255),0))="","",INDEX('Disaggregation Records'!$I$3:$I$66,MATCH(RIGHT(Q126,255),RIGHT('Disaggregation Records'!$D$3:$D$66,255),0))),"")</f>
        <v/>
      </c>
      <c r="W126" s="89" t="str">
        <f ca="1">IFERROR(INDEX('Reference Records'!O$3:O$19,MATCH(LEFT(C126,255),'Reference Records'!J$3:J$19,0)),"")</f>
        <v/>
      </c>
    </row>
    <row r="127" spans="1:23" s="89" customFormat="1" ht="40.35" customHeight="1">
      <c r="A127" s="564"/>
      <c r="B127" s="799">
        <v>4.5075187969924899</v>
      </c>
      <c r="C127" s="800"/>
      <c r="D127" s="801"/>
      <c r="E127" s="801"/>
      <c r="F127" s="128"/>
      <c r="G127" s="802"/>
      <c r="H127" s="781"/>
      <c r="I127" s="803"/>
      <c r="J127" s="779"/>
      <c r="K127" s="800"/>
      <c r="L127" s="800"/>
      <c r="M127" s="779"/>
      <c r="N127" s="779"/>
      <c r="P127" s="125"/>
      <c r="Q127" s="125"/>
      <c r="R127" s="125"/>
      <c r="S127" s="125"/>
      <c r="T127" s="125"/>
      <c r="U127" s="125"/>
      <c r="V127" s="125"/>
      <c r="W127" s="125"/>
    </row>
    <row r="128" spans="1:23" s="89" customFormat="1" ht="40.35" customHeight="1">
      <c r="A128" s="564" t="str">
        <f t="shared" ca="1" si="1"/>
        <v>a1G3p000005dHb2EAE</v>
      </c>
      <c r="B128" s="794">
        <v>6</v>
      </c>
      <c r="C128" s="795" t="str">
        <f ca="1">IFERROR(VLOOKUP(B128,'Impact Indicators - Section B '!$A$9:$AF$52,32,FALSE),"")</f>
        <v/>
      </c>
      <c r="D128" s="796" t="str">
        <f ca="1">R128</f>
        <v/>
      </c>
      <c r="E128" s="796" t="str">
        <f ca="1">S128</f>
        <v/>
      </c>
      <c r="F128" s="127"/>
      <c r="G128" s="797" t="str">
        <f ca="1">IF(OR(INDIRECT("'update Helper'!E"&amp;U128)="",F128&lt;&gt;0,F129&lt;&gt;0),IF(IFERROR((F128/F129),"")="","",(F128/F129)),INDIRECT("'update Helper'!E"&amp;U128)/100)</f>
        <v/>
      </c>
      <c r="H128" s="784"/>
      <c r="I128" s="798"/>
      <c r="J128" s="777"/>
      <c r="K128" s="795" t="str">
        <f ca="1">W128</f>
        <v/>
      </c>
      <c r="L128" s="795" t="str">
        <f ca="1">V128</f>
        <v/>
      </c>
      <c r="M128" s="777"/>
      <c r="N128" s="777"/>
      <c r="P128" s="89">
        <f ca="1">IF(AND(EXACT(C128,C126),C126&lt;&gt;0),P126+1,0)</f>
        <v>19</v>
      </c>
      <c r="Q128" s="89" t="str">
        <f ca="1">IF(C128&lt;&gt;"",C128&amp;"-"&amp;P128,"")</f>
        <v/>
      </c>
      <c r="R128" s="89" t="str">
        <f t="array" aca="1" ref="R128" ca="1">IFERROR(IF(INDEX('Disaggregation Records'!$E$3:$E$66,MATCH(RIGHT(Q128,255),RIGHT('Disaggregation Records'!$D$3:$D$66,255),0))="","",INDEX('Disaggregation Records'!$E$3:$E$66,MATCH(RIGHT(Q128,255),RIGHT('Disaggregation Records'!$D$3:$D$66,255),0))),"")</f>
        <v/>
      </c>
      <c r="S128" s="89" t="str">
        <f t="array" aca="1" ref="S128" ca="1">IFERROR(IF(INDEX('Disaggregation Records'!$F$3:$F$66,MATCH(RIGHT(Q128,255),RIGHT('Disaggregation Records'!$D$3:$D$66,255),0))="","",INDEX('Disaggregation Records'!$F$3:$F$66,MATCH(RIGHT(Q128,255),RIGHT('Disaggregation Records'!$D$3:$D$66,255),0))),"")</f>
        <v/>
      </c>
      <c r="T128" s="89" t="str">
        <f t="array" aca="1" ref="T128" ca="1">IFERROR(IF(INDEX('Disaggregation Records'!$H$3:$H$66,MATCH(RIGHT(Q128,255),RIGHT('Disaggregation Records'!$D$3:$D$66,255),0))="","",INDEX('Disaggregation Records'!$H$3:$H$66,MATCH(RIGHT(Q128,255),RIGHT('Disaggregation Records'!$D$3:$D$66,255),0))),"")</f>
        <v/>
      </c>
      <c r="U128" s="89">
        <f>U126+1</f>
        <v>1250</v>
      </c>
      <c r="V128" s="89" t="str">
        <f t="array" aca="1" ref="V128" ca="1">IFERROR(IF(INDEX('Disaggregation Records'!$I$3:$I$66,MATCH(RIGHT(Q128,255),RIGHT('Disaggregation Records'!$D$3:$D$66,255),0))="","",INDEX('Disaggregation Records'!$I$3:$I$66,MATCH(RIGHT(Q128,255),RIGHT('Disaggregation Records'!$D$3:$D$66,255),0))),"")</f>
        <v/>
      </c>
      <c r="W128" s="89" t="str">
        <f ca="1">IFERROR(INDEX('Reference Records'!O$3:O$19,MATCH(LEFT(C128,255),'Reference Records'!J$3:J$19,0)),"")</f>
        <v/>
      </c>
    </row>
    <row r="129" spans="1:23" s="125" customFormat="1" ht="40.35" customHeight="1">
      <c r="A129" s="564"/>
      <c r="B129" s="799">
        <v>4.5075187969924899</v>
      </c>
      <c r="C129" s="800"/>
      <c r="D129" s="801"/>
      <c r="E129" s="801"/>
      <c r="F129" s="128"/>
      <c r="G129" s="802"/>
      <c r="H129" s="781"/>
      <c r="I129" s="803"/>
      <c r="J129" s="779"/>
      <c r="K129" s="800"/>
      <c r="L129" s="800"/>
      <c r="M129" s="779"/>
      <c r="N129" s="779"/>
    </row>
    <row r="130" spans="1:23" s="89" customFormat="1" ht="40.35" customHeight="1">
      <c r="A130" s="564" t="str">
        <f t="shared" ca="1" si="1"/>
        <v>a1G3p000005dHb3EAE</v>
      </c>
      <c r="B130" s="794">
        <v>7</v>
      </c>
      <c r="C130" s="795" t="str">
        <f ca="1">IFERROR(VLOOKUP(B130,'Impact Indicators - Section B '!$A$9:$AF$52,32,FALSE),"")</f>
        <v/>
      </c>
      <c r="D130" s="796" t="str">
        <f ca="1">R130</f>
        <v/>
      </c>
      <c r="E130" s="796" t="str">
        <f ca="1">S130</f>
        <v/>
      </c>
      <c r="F130" s="127"/>
      <c r="G130" s="797" t="str">
        <f ca="1">IF(OR(INDIRECT("'update Helper'!E"&amp;U130)="",F130&lt;&gt;0,F131&lt;&gt;0),IF(IFERROR((F130/F131),"")="","",(F130/F131)),INDIRECT("'update Helper'!E"&amp;U130)/100)</f>
        <v/>
      </c>
      <c r="H130" s="784"/>
      <c r="I130" s="798"/>
      <c r="J130" s="777"/>
      <c r="K130" s="795" t="str">
        <f ca="1">W130</f>
        <v/>
      </c>
      <c r="L130" s="795" t="str">
        <f ca="1">V130</f>
        <v/>
      </c>
      <c r="M130" s="777"/>
      <c r="N130" s="777"/>
      <c r="P130" s="89">
        <f ca="1">IF(AND(EXACT(C130,C128),C128&lt;&gt;0),P128+1,0)</f>
        <v>20</v>
      </c>
      <c r="Q130" s="89" t="str">
        <f ca="1">IF(C130&lt;&gt;"",C130&amp;"-"&amp;P130,"")</f>
        <v/>
      </c>
      <c r="R130" s="89" t="str">
        <f t="array" aca="1" ref="R130" ca="1">IFERROR(IF(INDEX('Disaggregation Records'!$E$3:$E$66,MATCH(RIGHT(Q130,255),RIGHT('Disaggregation Records'!$D$3:$D$66,255),0))="","",INDEX('Disaggregation Records'!$E$3:$E$66,MATCH(RIGHT(Q130,255),RIGHT('Disaggregation Records'!$D$3:$D$66,255),0))),"")</f>
        <v/>
      </c>
      <c r="S130" s="89" t="str">
        <f t="array" aca="1" ref="S130" ca="1">IFERROR(IF(INDEX('Disaggregation Records'!$F$3:$F$66,MATCH(RIGHT(Q130,255),RIGHT('Disaggregation Records'!$D$3:$D$66,255),0))="","",INDEX('Disaggregation Records'!$F$3:$F$66,MATCH(RIGHT(Q130,255),RIGHT('Disaggregation Records'!$D$3:$D$66,255),0))),"")</f>
        <v/>
      </c>
      <c r="T130" s="89" t="str">
        <f t="array" aca="1" ref="T130" ca="1">IFERROR(IF(INDEX('Disaggregation Records'!$H$3:$H$66,MATCH(RIGHT(Q130,255),RIGHT('Disaggregation Records'!$D$3:$D$66,255),0))="","",INDEX('Disaggregation Records'!$H$3:$H$66,MATCH(RIGHT(Q130,255),RIGHT('Disaggregation Records'!$D$3:$D$66,255),0))),"")</f>
        <v/>
      </c>
      <c r="U130" s="89">
        <f>U128+1</f>
        <v>1251</v>
      </c>
      <c r="V130" s="89" t="str">
        <f t="array" aca="1" ref="V130" ca="1">IFERROR(IF(INDEX('Disaggregation Records'!$I$3:$I$66,MATCH(RIGHT(Q130,255),RIGHT('Disaggregation Records'!$D$3:$D$66,255),0))="","",INDEX('Disaggregation Records'!$I$3:$I$66,MATCH(RIGHT(Q130,255),RIGHT('Disaggregation Records'!$D$3:$D$66,255),0))),"")</f>
        <v/>
      </c>
      <c r="W130" s="89" t="str">
        <f ca="1">IFERROR(INDEX('Reference Records'!O$3:O$19,MATCH(LEFT(C130,255),'Reference Records'!J$3:J$19,0)),"")</f>
        <v/>
      </c>
    </row>
    <row r="131" spans="1:23" s="125" customFormat="1" ht="40.35" customHeight="1">
      <c r="A131" s="564"/>
      <c r="B131" s="799">
        <v>5.2218045112781999</v>
      </c>
      <c r="C131" s="800"/>
      <c r="D131" s="801"/>
      <c r="E131" s="801"/>
      <c r="F131" s="128"/>
      <c r="G131" s="802"/>
      <c r="H131" s="781"/>
      <c r="I131" s="803"/>
      <c r="J131" s="779"/>
      <c r="K131" s="800"/>
      <c r="L131" s="800"/>
      <c r="M131" s="779"/>
      <c r="N131" s="779"/>
    </row>
    <row r="132" spans="1:23" s="89" customFormat="1" ht="40.35" customHeight="1">
      <c r="A132" s="564" t="str">
        <f t="shared" ca="1" si="1"/>
        <v>a1G3p000005dHb4EAE</v>
      </c>
      <c r="B132" s="794">
        <v>7</v>
      </c>
      <c r="C132" s="795" t="str">
        <f ca="1">IFERROR(VLOOKUP(B132,'Impact Indicators - Section B '!$A$9:$AF$52,32,FALSE),"")</f>
        <v/>
      </c>
      <c r="D132" s="796" t="str">
        <f ca="1">R132</f>
        <v/>
      </c>
      <c r="E132" s="796" t="str">
        <f ca="1">S132</f>
        <v/>
      </c>
      <c r="F132" s="127"/>
      <c r="G132" s="797" t="str">
        <f ca="1">IF(OR(INDIRECT("'update Helper'!E"&amp;U132)="",F132&lt;&gt;0,F133&lt;&gt;0),IF(IFERROR((F132/F133),"")="","",(F132/F133)),INDIRECT("'update Helper'!E"&amp;U132)/100)</f>
        <v/>
      </c>
      <c r="H132" s="784"/>
      <c r="I132" s="798"/>
      <c r="J132" s="777"/>
      <c r="K132" s="795" t="str">
        <f ca="1">W132</f>
        <v/>
      </c>
      <c r="L132" s="795" t="str">
        <f ca="1">V132</f>
        <v/>
      </c>
      <c r="M132" s="777"/>
      <c r="N132" s="777"/>
      <c r="P132" s="89">
        <f ca="1">IF(AND(EXACT(C132,C130),C130&lt;&gt;0),P130+1,0)</f>
        <v>21</v>
      </c>
      <c r="Q132" s="89" t="str">
        <f ca="1">IF(C132&lt;&gt;"",C132&amp;"-"&amp;P132,"")</f>
        <v/>
      </c>
      <c r="R132" s="89" t="str">
        <f t="array" aca="1" ref="R132" ca="1">IFERROR(IF(INDEX('Disaggregation Records'!$E$3:$E$66,MATCH(RIGHT(Q132,255),RIGHT('Disaggregation Records'!$D$3:$D$66,255),0))="","",INDEX('Disaggregation Records'!$E$3:$E$66,MATCH(RIGHT(Q132,255),RIGHT('Disaggregation Records'!$D$3:$D$66,255),0))),"")</f>
        <v/>
      </c>
      <c r="S132" s="89" t="str">
        <f t="array" aca="1" ref="S132" ca="1">IFERROR(IF(INDEX('Disaggregation Records'!$F$3:$F$66,MATCH(RIGHT(Q132,255),RIGHT('Disaggregation Records'!$D$3:$D$66,255),0))="","",INDEX('Disaggregation Records'!$F$3:$F$66,MATCH(RIGHT(Q132,255),RIGHT('Disaggregation Records'!$D$3:$D$66,255),0))),"")</f>
        <v/>
      </c>
      <c r="T132" s="89" t="str">
        <f t="array" aca="1" ref="T132" ca="1">IFERROR(IF(INDEX('Disaggregation Records'!$H$3:$H$66,MATCH(RIGHT(Q132,255),RIGHT('Disaggregation Records'!$D$3:$D$66,255),0))="","",INDEX('Disaggregation Records'!$H$3:$H$66,MATCH(RIGHT(Q132,255),RIGHT('Disaggregation Records'!$D$3:$D$66,255),0))),"")</f>
        <v/>
      </c>
      <c r="U132" s="89">
        <f>U130+1</f>
        <v>1252</v>
      </c>
      <c r="V132" s="89" t="str">
        <f t="array" aca="1" ref="V132" ca="1">IFERROR(IF(INDEX('Disaggregation Records'!$I$3:$I$66,MATCH(RIGHT(Q132,255),RIGHT('Disaggregation Records'!$D$3:$D$66,255),0))="","",INDEX('Disaggregation Records'!$I$3:$I$66,MATCH(RIGHT(Q132,255),RIGHT('Disaggregation Records'!$D$3:$D$66,255),0))),"")</f>
        <v/>
      </c>
      <c r="W132" s="89" t="str">
        <f ca="1">IFERROR(INDEX('Reference Records'!O$3:O$19,MATCH(LEFT(C132,255),'Reference Records'!J$3:J$19,0)),"")</f>
        <v/>
      </c>
    </row>
    <row r="133" spans="1:23" s="89" customFormat="1" ht="40.35" customHeight="1">
      <c r="A133" s="564"/>
      <c r="B133" s="799">
        <v>5.2218045112781999</v>
      </c>
      <c r="C133" s="800"/>
      <c r="D133" s="801"/>
      <c r="E133" s="801"/>
      <c r="F133" s="128"/>
      <c r="G133" s="802"/>
      <c r="H133" s="781"/>
      <c r="I133" s="803"/>
      <c r="J133" s="779"/>
      <c r="K133" s="800"/>
      <c r="L133" s="800"/>
      <c r="M133" s="779"/>
      <c r="N133" s="779"/>
      <c r="P133" s="125"/>
      <c r="Q133" s="125"/>
      <c r="R133" s="125"/>
      <c r="S133" s="125"/>
      <c r="T133" s="125"/>
      <c r="U133" s="125"/>
      <c r="V133" s="125"/>
      <c r="W133" s="125"/>
    </row>
    <row r="134" spans="1:23" s="89" customFormat="1" ht="40.35" customHeight="1">
      <c r="A134" s="564" t="str">
        <f t="shared" ca="1" si="1"/>
        <v>a1G3p000005dHb5EAE</v>
      </c>
      <c r="B134" s="794">
        <v>7</v>
      </c>
      <c r="C134" s="795" t="str">
        <f ca="1">IFERROR(VLOOKUP(B134,'Impact Indicators - Section B '!$A$9:$AF$52,32,FALSE),"")</f>
        <v/>
      </c>
      <c r="D134" s="796" t="str">
        <f ca="1">R134</f>
        <v/>
      </c>
      <c r="E134" s="796" t="str">
        <f ca="1">S134</f>
        <v/>
      </c>
      <c r="F134" s="127"/>
      <c r="G134" s="797" t="str">
        <f ca="1">IF(OR(INDIRECT("'update Helper'!E"&amp;U134)="",F134&lt;&gt;0,F135&lt;&gt;0),IF(IFERROR((F134/F135),"")="","",(F134/F135)),INDIRECT("'update Helper'!E"&amp;U134)/100)</f>
        <v/>
      </c>
      <c r="H134" s="784"/>
      <c r="I134" s="798"/>
      <c r="J134" s="777"/>
      <c r="K134" s="795" t="str">
        <f ca="1">W134</f>
        <v/>
      </c>
      <c r="L134" s="795" t="str">
        <f ca="1">V134</f>
        <v/>
      </c>
      <c r="M134" s="777"/>
      <c r="N134" s="777"/>
      <c r="P134" s="89">
        <f ca="1">IF(AND(EXACT(C134,C132),C132&lt;&gt;0),P132+1,0)</f>
        <v>22</v>
      </c>
      <c r="Q134" s="89" t="str">
        <f ca="1">IF(C134&lt;&gt;"",C134&amp;"-"&amp;P134,"")</f>
        <v/>
      </c>
      <c r="R134" s="89" t="str">
        <f t="array" aca="1" ref="R134" ca="1">IFERROR(IF(INDEX('Disaggregation Records'!$E$3:$E$66,MATCH(RIGHT(Q134,255),RIGHT('Disaggregation Records'!$D$3:$D$66,255),0))="","",INDEX('Disaggregation Records'!$E$3:$E$66,MATCH(RIGHT(Q134,255),RIGHT('Disaggregation Records'!$D$3:$D$66,255),0))),"")</f>
        <v/>
      </c>
      <c r="S134" s="89" t="str">
        <f t="array" aca="1" ref="S134" ca="1">IFERROR(IF(INDEX('Disaggregation Records'!$F$3:$F$66,MATCH(RIGHT(Q134,255),RIGHT('Disaggregation Records'!$D$3:$D$66,255),0))="","",INDEX('Disaggregation Records'!$F$3:$F$66,MATCH(RIGHT(Q134,255),RIGHT('Disaggregation Records'!$D$3:$D$66,255),0))),"")</f>
        <v/>
      </c>
      <c r="T134" s="89" t="str">
        <f t="array" aca="1" ref="T134" ca="1">IFERROR(IF(INDEX('Disaggregation Records'!$H$3:$H$66,MATCH(RIGHT(Q134,255),RIGHT('Disaggregation Records'!$D$3:$D$66,255),0))="","",INDEX('Disaggregation Records'!$H$3:$H$66,MATCH(RIGHT(Q134,255),RIGHT('Disaggregation Records'!$D$3:$D$66,255),0))),"")</f>
        <v/>
      </c>
      <c r="U134" s="89">
        <f>U132+1</f>
        <v>1253</v>
      </c>
      <c r="V134" s="89" t="str">
        <f t="array" aca="1" ref="V134" ca="1">IFERROR(IF(INDEX('Disaggregation Records'!$I$3:$I$66,MATCH(RIGHT(Q134,255),RIGHT('Disaggregation Records'!$D$3:$D$66,255),0))="","",INDEX('Disaggregation Records'!$I$3:$I$66,MATCH(RIGHT(Q134,255),RIGHT('Disaggregation Records'!$D$3:$D$66,255),0))),"")</f>
        <v/>
      </c>
      <c r="W134" s="89" t="str">
        <f ca="1">IFERROR(INDEX('Reference Records'!O$3:O$19,MATCH(LEFT(C134,255),'Reference Records'!J$3:J$19,0)),"")</f>
        <v/>
      </c>
    </row>
    <row r="135" spans="1:23" s="125" customFormat="1" ht="40.35" customHeight="1">
      <c r="A135" s="564"/>
      <c r="B135" s="799">
        <v>5.2218045112781999</v>
      </c>
      <c r="C135" s="800"/>
      <c r="D135" s="801"/>
      <c r="E135" s="801"/>
      <c r="F135" s="128"/>
      <c r="G135" s="802"/>
      <c r="H135" s="781"/>
      <c r="I135" s="803"/>
      <c r="J135" s="779"/>
      <c r="K135" s="800"/>
      <c r="L135" s="800"/>
      <c r="M135" s="779"/>
      <c r="N135" s="779"/>
    </row>
    <row r="136" spans="1:23" s="89" customFormat="1" ht="40.35" customHeight="1">
      <c r="A136" s="564" t="str">
        <f t="shared" ca="1" si="1"/>
        <v>a1G3p000005dHb6EAE</v>
      </c>
      <c r="B136" s="794">
        <v>7</v>
      </c>
      <c r="C136" s="795" t="str">
        <f ca="1">IFERROR(VLOOKUP(B136,'Impact Indicators - Section B '!$A$9:$AF$52,32,FALSE),"")</f>
        <v/>
      </c>
      <c r="D136" s="796" t="str">
        <f ca="1">R136</f>
        <v/>
      </c>
      <c r="E136" s="796" t="str">
        <f ca="1">S136</f>
        <v/>
      </c>
      <c r="F136" s="127"/>
      <c r="G136" s="797" t="str">
        <f ca="1">IF(OR(INDIRECT("'update Helper'!E"&amp;U136)="",F136&lt;&gt;0,F137&lt;&gt;0),IF(IFERROR((F136/F137),"")="","",(F136/F137)),INDIRECT("'update Helper'!E"&amp;U136)/100)</f>
        <v/>
      </c>
      <c r="H136" s="784"/>
      <c r="I136" s="798"/>
      <c r="J136" s="777"/>
      <c r="K136" s="795" t="str">
        <f ca="1">W136</f>
        <v/>
      </c>
      <c r="L136" s="795" t="str">
        <f ca="1">V136</f>
        <v/>
      </c>
      <c r="M136" s="777"/>
      <c r="N136" s="777"/>
      <c r="P136" s="89">
        <f ca="1">IF(AND(EXACT(C136,C134),C134&lt;&gt;0),P134+1,0)</f>
        <v>23</v>
      </c>
      <c r="Q136" s="89" t="str">
        <f ca="1">IF(C136&lt;&gt;"",C136&amp;"-"&amp;P136,"")</f>
        <v/>
      </c>
      <c r="R136" s="89" t="str">
        <f t="array" aca="1" ref="R136" ca="1">IFERROR(IF(INDEX('Disaggregation Records'!$E$3:$E$66,MATCH(RIGHT(Q136,255),RIGHT('Disaggregation Records'!$D$3:$D$66,255),0))="","",INDEX('Disaggregation Records'!$E$3:$E$66,MATCH(RIGHT(Q136,255),RIGHT('Disaggregation Records'!$D$3:$D$66,255),0))),"")</f>
        <v/>
      </c>
      <c r="S136" s="89" t="str">
        <f t="array" aca="1" ref="S136" ca="1">IFERROR(IF(INDEX('Disaggregation Records'!$F$3:$F$66,MATCH(RIGHT(Q136,255),RIGHT('Disaggregation Records'!$D$3:$D$66,255),0))="","",INDEX('Disaggregation Records'!$F$3:$F$66,MATCH(RIGHT(Q136,255),RIGHT('Disaggregation Records'!$D$3:$D$66,255),0))),"")</f>
        <v/>
      </c>
      <c r="T136" s="89" t="str">
        <f t="array" aca="1" ref="T136" ca="1">IFERROR(IF(INDEX('Disaggregation Records'!$H$3:$H$66,MATCH(RIGHT(Q136,255),RIGHT('Disaggregation Records'!$D$3:$D$66,255),0))="","",INDEX('Disaggregation Records'!$H$3:$H$66,MATCH(RIGHT(Q136,255),RIGHT('Disaggregation Records'!$D$3:$D$66,255),0))),"")</f>
        <v/>
      </c>
      <c r="U136" s="89">
        <f>U134+1</f>
        <v>1254</v>
      </c>
      <c r="V136" s="89" t="str">
        <f t="array" aca="1" ref="V136" ca="1">IFERROR(IF(INDEX('Disaggregation Records'!$I$3:$I$66,MATCH(RIGHT(Q136,255),RIGHT('Disaggregation Records'!$D$3:$D$66,255),0))="","",INDEX('Disaggregation Records'!$I$3:$I$66,MATCH(RIGHT(Q136,255),RIGHT('Disaggregation Records'!$D$3:$D$66,255),0))),"")</f>
        <v/>
      </c>
      <c r="W136" s="89" t="str">
        <f ca="1">IFERROR(INDEX('Reference Records'!O$3:O$19,MATCH(LEFT(C136,255),'Reference Records'!J$3:J$19,0)),"")</f>
        <v/>
      </c>
    </row>
    <row r="137" spans="1:23" s="125" customFormat="1" ht="40.35" customHeight="1">
      <c r="A137" s="564"/>
      <c r="B137" s="799">
        <v>5.2218045112781999</v>
      </c>
      <c r="C137" s="800"/>
      <c r="D137" s="801"/>
      <c r="E137" s="801"/>
      <c r="F137" s="128"/>
      <c r="G137" s="802"/>
      <c r="H137" s="781"/>
      <c r="I137" s="803"/>
      <c r="J137" s="779"/>
      <c r="K137" s="800"/>
      <c r="L137" s="800"/>
      <c r="M137" s="779"/>
      <c r="N137" s="779"/>
    </row>
    <row r="138" spans="1:23" s="89" customFormat="1" ht="40.35" customHeight="1">
      <c r="A138" s="564" t="str">
        <f t="shared" ca="1" si="1"/>
        <v>a1G3p000005dHb7EAE</v>
      </c>
      <c r="B138" s="794">
        <v>7</v>
      </c>
      <c r="C138" s="795" t="str">
        <f ca="1">IFERROR(VLOOKUP(B138,'Impact Indicators - Section B '!$A$9:$AF$52,32,FALSE),"")</f>
        <v/>
      </c>
      <c r="D138" s="796" t="str">
        <f ca="1">R138</f>
        <v/>
      </c>
      <c r="E138" s="796" t="str">
        <f ca="1">S138</f>
        <v/>
      </c>
      <c r="F138" s="127"/>
      <c r="G138" s="797" t="str">
        <f ca="1">IF(OR(INDIRECT("'update Helper'!E"&amp;U138)="",F138&lt;&gt;0,F139&lt;&gt;0),IF(IFERROR((F138/F139),"")="","",(F138/F139)),INDIRECT("'update Helper'!E"&amp;U138)/100)</f>
        <v/>
      </c>
      <c r="H138" s="784"/>
      <c r="I138" s="798"/>
      <c r="J138" s="777"/>
      <c r="K138" s="795" t="str">
        <f ca="1">W138</f>
        <v/>
      </c>
      <c r="L138" s="795" t="str">
        <f ca="1">V138</f>
        <v/>
      </c>
      <c r="M138" s="777"/>
      <c r="N138" s="777"/>
      <c r="P138" s="89">
        <f ca="1">IF(AND(EXACT(C138,C136),C136&lt;&gt;0),P136+1,0)</f>
        <v>24</v>
      </c>
      <c r="Q138" s="89" t="str">
        <f ca="1">IF(C138&lt;&gt;"",C138&amp;"-"&amp;P138,"")</f>
        <v/>
      </c>
      <c r="R138" s="89" t="str">
        <f t="array" aca="1" ref="R138" ca="1">IFERROR(IF(INDEX('Disaggregation Records'!$E$3:$E$66,MATCH(RIGHT(Q138,255),RIGHT('Disaggregation Records'!$D$3:$D$66,255),0))="","",INDEX('Disaggregation Records'!$E$3:$E$66,MATCH(RIGHT(Q138,255),RIGHT('Disaggregation Records'!$D$3:$D$66,255),0))),"")</f>
        <v/>
      </c>
      <c r="S138" s="89" t="str">
        <f t="array" aca="1" ref="S138" ca="1">IFERROR(IF(INDEX('Disaggregation Records'!$F$3:$F$66,MATCH(RIGHT(Q138,255),RIGHT('Disaggregation Records'!$D$3:$D$66,255),0))="","",INDEX('Disaggregation Records'!$F$3:$F$66,MATCH(RIGHT(Q138,255),RIGHT('Disaggregation Records'!$D$3:$D$66,255),0))),"")</f>
        <v/>
      </c>
      <c r="T138" s="89" t="str">
        <f t="array" aca="1" ref="T138" ca="1">IFERROR(IF(INDEX('Disaggregation Records'!$H$3:$H$66,MATCH(RIGHT(Q138,255),RIGHT('Disaggregation Records'!$D$3:$D$66,255),0))="","",INDEX('Disaggregation Records'!$H$3:$H$66,MATCH(RIGHT(Q138,255),RIGHT('Disaggregation Records'!$D$3:$D$66,255),0))),"")</f>
        <v/>
      </c>
      <c r="U138" s="89">
        <f>U136+1</f>
        <v>1255</v>
      </c>
      <c r="V138" s="89" t="str">
        <f t="array" aca="1" ref="V138" ca="1">IFERROR(IF(INDEX('Disaggregation Records'!$I$3:$I$66,MATCH(RIGHT(Q138,255),RIGHT('Disaggregation Records'!$D$3:$D$66,255),0))="","",INDEX('Disaggregation Records'!$I$3:$I$66,MATCH(RIGHT(Q138,255),RIGHT('Disaggregation Records'!$D$3:$D$66,255),0))),"")</f>
        <v/>
      </c>
      <c r="W138" s="89" t="str">
        <f ca="1">IFERROR(INDEX('Reference Records'!O$3:O$19,MATCH(LEFT(C138,255),'Reference Records'!J$3:J$19,0)),"")</f>
        <v/>
      </c>
    </row>
    <row r="139" spans="1:23" s="89" customFormat="1" ht="40.35" customHeight="1">
      <c r="A139" s="564"/>
      <c r="B139" s="799">
        <v>5.2218045112781999</v>
      </c>
      <c r="C139" s="800"/>
      <c r="D139" s="801"/>
      <c r="E139" s="801"/>
      <c r="F139" s="128"/>
      <c r="G139" s="802"/>
      <c r="H139" s="781"/>
      <c r="I139" s="803"/>
      <c r="J139" s="779"/>
      <c r="K139" s="800"/>
      <c r="L139" s="800"/>
      <c r="M139" s="779"/>
      <c r="N139" s="779"/>
      <c r="P139" s="125"/>
      <c r="Q139" s="125"/>
      <c r="R139" s="125"/>
      <c r="S139" s="125"/>
      <c r="T139" s="125"/>
      <c r="U139" s="125"/>
      <c r="V139" s="125"/>
      <c r="W139" s="125"/>
    </row>
    <row r="140" spans="1:23" s="89" customFormat="1" ht="40.35" customHeight="1">
      <c r="A140" s="564" t="str">
        <f t="shared" ca="1" si="1"/>
        <v>a1G3p000005dHb8EAE</v>
      </c>
      <c r="B140" s="794">
        <v>7</v>
      </c>
      <c r="C140" s="795" t="str">
        <f ca="1">IFERROR(VLOOKUP(B140,'Impact Indicators - Section B '!$A$9:$AF$52,32,FALSE),"")</f>
        <v/>
      </c>
      <c r="D140" s="796" t="str">
        <f ca="1">R140</f>
        <v/>
      </c>
      <c r="E140" s="796" t="str">
        <f ca="1">S140</f>
        <v/>
      </c>
      <c r="F140" s="127"/>
      <c r="G140" s="797" t="str">
        <f ca="1">IF(OR(INDIRECT("'update Helper'!E"&amp;U140)="",F140&lt;&gt;0,F141&lt;&gt;0),IF(IFERROR((F140/F141),"")="","",(F140/F141)),INDIRECT("'update Helper'!E"&amp;U140)/100)</f>
        <v/>
      </c>
      <c r="H140" s="784"/>
      <c r="I140" s="798"/>
      <c r="J140" s="777"/>
      <c r="K140" s="795" t="str">
        <f ca="1">W140</f>
        <v/>
      </c>
      <c r="L140" s="795" t="str">
        <f ca="1">V140</f>
        <v/>
      </c>
      <c r="M140" s="777"/>
      <c r="N140" s="777"/>
      <c r="P140" s="89">
        <f ca="1">IF(AND(EXACT(C140,C138),C138&lt;&gt;0),P138+1,0)</f>
        <v>25</v>
      </c>
      <c r="Q140" s="89" t="str">
        <f ca="1">IF(C140&lt;&gt;"",C140&amp;"-"&amp;P140,"")</f>
        <v/>
      </c>
      <c r="R140" s="89" t="str">
        <f t="array" aca="1" ref="R140" ca="1">IFERROR(IF(INDEX('Disaggregation Records'!$E$3:$E$66,MATCH(RIGHT(Q140,255),RIGHT('Disaggregation Records'!$D$3:$D$66,255),0))="","",INDEX('Disaggregation Records'!$E$3:$E$66,MATCH(RIGHT(Q140,255),RIGHT('Disaggregation Records'!$D$3:$D$66,255),0))),"")</f>
        <v/>
      </c>
      <c r="S140" s="89" t="str">
        <f t="array" aca="1" ref="S140" ca="1">IFERROR(IF(INDEX('Disaggregation Records'!$F$3:$F$66,MATCH(RIGHT(Q140,255),RIGHT('Disaggregation Records'!$D$3:$D$66,255),0))="","",INDEX('Disaggregation Records'!$F$3:$F$66,MATCH(RIGHT(Q140,255),RIGHT('Disaggregation Records'!$D$3:$D$66,255),0))),"")</f>
        <v/>
      </c>
      <c r="T140" s="89" t="str">
        <f t="array" aca="1" ref="T140" ca="1">IFERROR(IF(INDEX('Disaggregation Records'!$H$3:$H$66,MATCH(RIGHT(Q140,255),RIGHT('Disaggregation Records'!$D$3:$D$66,255),0))="","",INDEX('Disaggregation Records'!$H$3:$H$66,MATCH(RIGHT(Q140,255),RIGHT('Disaggregation Records'!$D$3:$D$66,255),0))),"")</f>
        <v/>
      </c>
      <c r="U140" s="89">
        <f>U138+1</f>
        <v>1256</v>
      </c>
      <c r="V140" s="89" t="str">
        <f t="array" aca="1" ref="V140" ca="1">IFERROR(IF(INDEX('Disaggregation Records'!$I$3:$I$66,MATCH(RIGHT(Q140,255),RIGHT('Disaggregation Records'!$D$3:$D$66,255),0))="","",INDEX('Disaggregation Records'!$I$3:$I$66,MATCH(RIGHT(Q140,255),RIGHT('Disaggregation Records'!$D$3:$D$66,255),0))),"")</f>
        <v/>
      </c>
      <c r="W140" s="89" t="str">
        <f ca="1">IFERROR(INDEX('Reference Records'!O$3:O$19,MATCH(LEFT(C140,255),'Reference Records'!J$3:J$19,0)),"")</f>
        <v/>
      </c>
    </row>
    <row r="141" spans="1:23" s="125" customFormat="1" ht="40.35" customHeight="1">
      <c r="A141" s="564"/>
      <c r="B141" s="799">
        <v>5.2218045112781999</v>
      </c>
      <c r="C141" s="800"/>
      <c r="D141" s="801"/>
      <c r="E141" s="801"/>
      <c r="F141" s="128"/>
      <c r="G141" s="802"/>
      <c r="H141" s="781"/>
      <c r="I141" s="803"/>
      <c r="J141" s="779"/>
      <c r="K141" s="800"/>
      <c r="L141" s="800"/>
      <c r="M141" s="779"/>
      <c r="N141" s="779"/>
    </row>
    <row r="142" spans="1:23" s="89" customFormat="1" ht="40.35" customHeight="1">
      <c r="A142" s="564" t="str">
        <f t="shared" ref="A142:A204" ca="1" si="2">INDIRECT("'update Helper'!C"&amp;U142)</f>
        <v>a1G3p000005dHb9EAE</v>
      </c>
      <c r="B142" s="794">
        <v>7</v>
      </c>
      <c r="C142" s="795" t="str">
        <f ca="1">IFERROR(VLOOKUP(B142,'Impact Indicators - Section B '!$A$9:$AF$52,32,FALSE),"")</f>
        <v/>
      </c>
      <c r="D142" s="796" t="str">
        <f ca="1">R142</f>
        <v/>
      </c>
      <c r="E142" s="796" t="str">
        <f ca="1">S142</f>
        <v/>
      </c>
      <c r="F142" s="127"/>
      <c r="G142" s="797" t="str">
        <f ca="1">IF(OR(INDIRECT("'update Helper'!E"&amp;U142)="",F142&lt;&gt;0,F143&lt;&gt;0),IF(IFERROR((F142/F143),"")="","",(F142/F143)),INDIRECT("'update Helper'!E"&amp;U142)/100)</f>
        <v/>
      </c>
      <c r="H142" s="784"/>
      <c r="I142" s="798"/>
      <c r="J142" s="777"/>
      <c r="K142" s="795" t="str">
        <f ca="1">W142</f>
        <v/>
      </c>
      <c r="L142" s="795" t="str">
        <f ca="1">V142</f>
        <v/>
      </c>
      <c r="M142" s="777"/>
      <c r="N142" s="777"/>
      <c r="P142" s="89">
        <f ca="1">IF(AND(EXACT(C142,C140),C140&lt;&gt;0),P140+1,0)</f>
        <v>26</v>
      </c>
      <c r="Q142" s="89" t="str">
        <f ca="1">IF(C142&lt;&gt;"",C142&amp;"-"&amp;P142,"")</f>
        <v/>
      </c>
      <c r="R142" s="89" t="str">
        <f t="array" aca="1" ref="R142" ca="1">IFERROR(IF(INDEX('Disaggregation Records'!$E$3:$E$66,MATCH(RIGHT(Q142,255),RIGHT('Disaggregation Records'!$D$3:$D$66,255),0))="","",INDEX('Disaggregation Records'!$E$3:$E$66,MATCH(RIGHT(Q142,255),RIGHT('Disaggregation Records'!$D$3:$D$66,255),0))),"")</f>
        <v/>
      </c>
      <c r="S142" s="89" t="str">
        <f t="array" aca="1" ref="S142" ca="1">IFERROR(IF(INDEX('Disaggregation Records'!$F$3:$F$66,MATCH(RIGHT(Q142,255),RIGHT('Disaggregation Records'!$D$3:$D$66,255),0))="","",INDEX('Disaggregation Records'!$F$3:$F$66,MATCH(RIGHT(Q142,255),RIGHT('Disaggregation Records'!$D$3:$D$66,255),0))),"")</f>
        <v/>
      </c>
      <c r="T142" s="89" t="str">
        <f t="array" aca="1" ref="T142" ca="1">IFERROR(IF(INDEX('Disaggregation Records'!$H$3:$H$66,MATCH(RIGHT(Q142,255),RIGHT('Disaggregation Records'!$D$3:$D$66,255),0))="","",INDEX('Disaggregation Records'!$H$3:$H$66,MATCH(RIGHT(Q142,255),RIGHT('Disaggregation Records'!$D$3:$D$66,255),0))),"")</f>
        <v/>
      </c>
      <c r="U142" s="89">
        <f>U140+1</f>
        <v>1257</v>
      </c>
      <c r="V142" s="89" t="str">
        <f t="array" aca="1" ref="V142" ca="1">IFERROR(IF(INDEX('Disaggregation Records'!$I$3:$I$66,MATCH(RIGHT(Q142,255),RIGHT('Disaggregation Records'!$D$3:$D$66,255),0))="","",INDEX('Disaggregation Records'!$I$3:$I$66,MATCH(RIGHT(Q142,255),RIGHT('Disaggregation Records'!$D$3:$D$66,255),0))),"")</f>
        <v/>
      </c>
      <c r="W142" s="89" t="str">
        <f ca="1">IFERROR(INDEX('Reference Records'!O$3:O$19,MATCH(LEFT(C142,255),'Reference Records'!J$3:J$19,0)),"")</f>
        <v/>
      </c>
    </row>
    <row r="143" spans="1:23" s="125" customFormat="1" ht="40.35" customHeight="1">
      <c r="A143" s="564"/>
      <c r="B143" s="799">
        <v>5.2218045112781999</v>
      </c>
      <c r="C143" s="800"/>
      <c r="D143" s="801"/>
      <c r="E143" s="801"/>
      <c r="F143" s="128"/>
      <c r="G143" s="802"/>
      <c r="H143" s="781"/>
      <c r="I143" s="803"/>
      <c r="J143" s="779"/>
      <c r="K143" s="800"/>
      <c r="L143" s="800"/>
      <c r="M143" s="779"/>
      <c r="N143" s="779"/>
    </row>
    <row r="144" spans="1:23" s="89" customFormat="1" ht="40.35" customHeight="1">
      <c r="A144" s="564" t="str">
        <f t="shared" ca="1" si="2"/>
        <v>a1G3p000005dHbAEAU</v>
      </c>
      <c r="B144" s="794">
        <v>7</v>
      </c>
      <c r="C144" s="795" t="str">
        <f ca="1">IFERROR(VLOOKUP(B144,'Impact Indicators - Section B '!$A$9:$AF$52,32,FALSE),"")</f>
        <v/>
      </c>
      <c r="D144" s="796" t="str">
        <f ca="1">R144</f>
        <v/>
      </c>
      <c r="E144" s="796" t="str">
        <f ca="1">S144</f>
        <v/>
      </c>
      <c r="F144" s="127"/>
      <c r="G144" s="797" t="str">
        <f ca="1">IF(OR(INDIRECT("'update Helper'!E"&amp;U144)="",F144&lt;&gt;0,F145&lt;&gt;0),IF(IFERROR((F144/F145),"")="","",(F144/F145)),INDIRECT("'update Helper'!E"&amp;U144)/100)</f>
        <v/>
      </c>
      <c r="H144" s="784"/>
      <c r="I144" s="798"/>
      <c r="J144" s="777"/>
      <c r="K144" s="795" t="str">
        <f ca="1">W144</f>
        <v/>
      </c>
      <c r="L144" s="795" t="str">
        <f ca="1">V144</f>
        <v/>
      </c>
      <c r="M144" s="777"/>
      <c r="N144" s="777"/>
      <c r="P144" s="89">
        <f ca="1">IF(AND(EXACT(C144,C142),C142&lt;&gt;0),P142+1,0)</f>
        <v>27</v>
      </c>
      <c r="Q144" s="89" t="str">
        <f ca="1">IF(C144&lt;&gt;"",C144&amp;"-"&amp;P144,"")</f>
        <v/>
      </c>
      <c r="R144" s="89" t="str">
        <f t="array" aca="1" ref="R144" ca="1">IFERROR(IF(INDEX('Disaggregation Records'!$E$3:$E$66,MATCH(RIGHT(Q144,255),RIGHT('Disaggregation Records'!$D$3:$D$66,255),0))="","",INDEX('Disaggregation Records'!$E$3:$E$66,MATCH(RIGHT(Q144,255),RIGHT('Disaggregation Records'!$D$3:$D$66,255),0))),"")</f>
        <v/>
      </c>
      <c r="S144" s="89" t="str">
        <f t="array" aca="1" ref="S144" ca="1">IFERROR(IF(INDEX('Disaggregation Records'!$F$3:$F$66,MATCH(RIGHT(Q144,255),RIGHT('Disaggregation Records'!$D$3:$D$66,255),0))="","",INDEX('Disaggregation Records'!$F$3:$F$66,MATCH(RIGHT(Q144,255),RIGHT('Disaggregation Records'!$D$3:$D$66,255),0))),"")</f>
        <v/>
      </c>
      <c r="T144" s="89" t="str">
        <f t="array" aca="1" ref="T144" ca="1">IFERROR(IF(INDEX('Disaggregation Records'!$H$3:$H$66,MATCH(RIGHT(Q144,255),RIGHT('Disaggregation Records'!$D$3:$D$66,255),0))="","",INDEX('Disaggregation Records'!$H$3:$H$66,MATCH(RIGHT(Q144,255),RIGHT('Disaggregation Records'!$D$3:$D$66,255),0))),"")</f>
        <v/>
      </c>
      <c r="U144" s="89">
        <f>U142+1</f>
        <v>1258</v>
      </c>
      <c r="V144" s="89" t="str">
        <f t="array" aca="1" ref="V144" ca="1">IFERROR(IF(INDEX('Disaggregation Records'!$I$3:$I$66,MATCH(RIGHT(Q144,255),RIGHT('Disaggregation Records'!$D$3:$D$66,255),0))="","",INDEX('Disaggregation Records'!$I$3:$I$66,MATCH(RIGHT(Q144,255),RIGHT('Disaggregation Records'!$D$3:$D$66,255),0))),"")</f>
        <v/>
      </c>
      <c r="W144" s="89" t="str">
        <f ca="1">IFERROR(INDEX('Reference Records'!O$3:O$19,MATCH(LEFT(C144,255),'Reference Records'!J$3:J$19,0)),"")</f>
        <v/>
      </c>
    </row>
    <row r="145" spans="1:23" s="89" customFormat="1" ht="40.35" customHeight="1">
      <c r="A145" s="564"/>
      <c r="B145" s="799">
        <v>5.2218045112781999</v>
      </c>
      <c r="C145" s="800"/>
      <c r="D145" s="801"/>
      <c r="E145" s="801"/>
      <c r="F145" s="128"/>
      <c r="G145" s="802"/>
      <c r="H145" s="781"/>
      <c r="I145" s="803"/>
      <c r="J145" s="779"/>
      <c r="K145" s="800"/>
      <c r="L145" s="800"/>
      <c r="M145" s="779"/>
      <c r="N145" s="779"/>
      <c r="P145" s="125"/>
      <c r="Q145" s="125"/>
      <c r="R145" s="125"/>
      <c r="S145" s="125"/>
      <c r="T145" s="125"/>
      <c r="U145" s="125"/>
      <c r="V145" s="125"/>
      <c r="W145" s="125"/>
    </row>
    <row r="146" spans="1:23" s="89" customFormat="1" ht="40.35" customHeight="1">
      <c r="A146" s="564" t="str">
        <f t="shared" ca="1" si="2"/>
        <v>a1G3p000005dHbBEAU</v>
      </c>
      <c r="B146" s="794">
        <v>7</v>
      </c>
      <c r="C146" s="795" t="str">
        <f ca="1">IFERROR(VLOOKUP(B146,'Impact Indicators - Section B '!$A$9:$AF$52,32,FALSE),"")</f>
        <v/>
      </c>
      <c r="D146" s="796" t="str">
        <f ca="1">R146</f>
        <v/>
      </c>
      <c r="E146" s="796" t="str">
        <f ca="1">S146</f>
        <v/>
      </c>
      <c r="F146" s="127"/>
      <c r="G146" s="797" t="str">
        <f ca="1">IF(OR(INDIRECT("'update Helper'!E"&amp;U146)="",F146&lt;&gt;0,F147&lt;&gt;0),IF(IFERROR((F146/F147),"")="","",(F146/F147)),INDIRECT("'update Helper'!E"&amp;U146)/100)</f>
        <v/>
      </c>
      <c r="H146" s="784"/>
      <c r="I146" s="798"/>
      <c r="J146" s="777"/>
      <c r="K146" s="795" t="str">
        <f ca="1">W146</f>
        <v/>
      </c>
      <c r="L146" s="795" t="str">
        <f ca="1">V146</f>
        <v/>
      </c>
      <c r="M146" s="777"/>
      <c r="N146" s="777"/>
      <c r="P146" s="89">
        <f ca="1">IF(AND(EXACT(C146,C144),C144&lt;&gt;0),P144+1,0)</f>
        <v>28</v>
      </c>
      <c r="Q146" s="89" t="str">
        <f ca="1">IF(C146&lt;&gt;"",C146&amp;"-"&amp;P146,"")</f>
        <v/>
      </c>
      <c r="R146" s="89" t="str">
        <f t="array" aca="1" ref="R146" ca="1">IFERROR(IF(INDEX('Disaggregation Records'!$E$3:$E$66,MATCH(RIGHT(Q146,255),RIGHT('Disaggregation Records'!$D$3:$D$66,255),0))="","",INDEX('Disaggregation Records'!$E$3:$E$66,MATCH(RIGHT(Q146,255),RIGHT('Disaggregation Records'!$D$3:$D$66,255),0))),"")</f>
        <v/>
      </c>
      <c r="S146" s="89" t="str">
        <f t="array" aca="1" ref="S146" ca="1">IFERROR(IF(INDEX('Disaggregation Records'!$F$3:$F$66,MATCH(RIGHT(Q146,255),RIGHT('Disaggregation Records'!$D$3:$D$66,255),0))="","",INDEX('Disaggregation Records'!$F$3:$F$66,MATCH(RIGHT(Q146,255),RIGHT('Disaggregation Records'!$D$3:$D$66,255),0))),"")</f>
        <v/>
      </c>
      <c r="T146" s="89" t="str">
        <f t="array" aca="1" ref="T146" ca="1">IFERROR(IF(INDEX('Disaggregation Records'!$H$3:$H$66,MATCH(RIGHT(Q146,255),RIGHT('Disaggregation Records'!$D$3:$D$66,255),0))="","",INDEX('Disaggregation Records'!$H$3:$H$66,MATCH(RIGHT(Q146,255),RIGHT('Disaggregation Records'!$D$3:$D$66,255),0))),"")</f>
        <v/>
      </c>
      <c r="U146" s="89">
        <f>U144+1</f>
        <v>1259</v>
      </c>
      <c r="V146" s="89" t="str">
        <f t="array" aca="1" ref="V146" ca="1">IFERROR(IF(INDEX('Disaggregation Records'!$I$3:$I$66,MATCH(RIGHT(Q146,255),RIGHT('Disaggregation Records'!$D$3:$D$66,255),0))="","",INDEX('Disaggregation Records'!$I$3:$I$66,MATCH(RIGHT(Q146,255),RIGHT('Disaggregation Records'!$D$3:$D$66,255),0))),"")</f>
        <v/>
      </c>
      <c r="W146" s="89" t="str">
        <f ca="1">IFERROR(INDEX('Reference Records'!O$3:O$19,MATCH(LEFT(C146,255),'Reference Records'!J$3:J$19,0)),"")</f>
        <v/>
      </c>
    </row>
    <row r="147" spans="1:23" s="125" customFormat="1" ht="40.35" customHeight="1">
      <c r="A147" s="564"/>
      <c r="B147" s="799">
        <v>5.2218045112781999</v>
      </c>
      <c r="C147" s="800"/>
      <c r="D147" s="801"/>
      <c r="E147" s="801"/>
      <c r="F147" s="128"/>
      <c r="G147" s="802"/>
      <c r="H147" s="781"/>
      <c r="I147" s="803"/>
      <c r="J147" s="779"/>
      <c r="K147" s="800"/>
      <c r="L147" s="800"/>
      <c r="M147" s="779"/>
      <c r="N147" s="779"/>
    </row>
    <row r="148" spans="1:23" s="89" customFormat="1" ht="40.35" customHeight="1">
      <c r="A148" s="564" t="str">
        <f t="shared" ca="1" si="2"/>
        <v>a1G3p000005dHbCEAU</v>
      </c>
      <c r="B148" s="794">
        <v>7</v>
      </c>
      <c r="C148" s="795" t="str">
        <f ca="1">IFERROR(VLOOKUP(B148,'Impact Indicators - Section B '!$A$9:$AF$52,32,FALSE),"")</f>
        <v/>
      </c>
      <c r="D148" s="796" t="str">
        <f ca="1">R148</f>
        <v/>
      </c>
      <c r="E148" s="796" t="str">
        <f ca="1">S148</f>
        <v/>
      </c>
      <c r="F148" s="127"/>
      <c r="G148" s="797" t="str">
        <f ca="1">IF(OR(INDIRECT("'update Helper'!E"&amp;U148)="",F148&lt;&gt;0,F149&lt;&gt;0),IF(IFERROR((F148/F149),"")="","",(F148/F149)),INDIRECT("'update Helper'!E"&amp;U148)/100)</f>
        <v/>
      </c>
      <c r="H148" s="784"/>
      <c r="I148" s="798"/>
      <c r="J148" s="777"/>
      <c r="K148" s="795" t="str">
        <f ca="1">W148</f>
        <v/>
      </c>
      <c r="L148" s="795" t="str">
        <f ca="1">V148</f>
        <v/>
      </c>
      <c r="M148" s="777"/>
      <c r="N148" s="777"/>
      <c r="P148" s="89">
        <f ca="1">IF(AND(EXACT(C148,C146),C146&lt;&gt;0),P146+1,0)</f>
        <v>29</v>
      </c>
      <c r="Q148" s="89" t="str">
        <f ca="1">IF(C148&lt;&gt;"",C148&amp;"-"&amp;P148,"")</f>
        <v/>
      </c>
      <c r="R148" s="89" t="str">
        <f t="array" aca="1" ref="R148" ca="1">IFERROR(IF(INDEX('Disaggregation Records'!$E$3:$E$66,MATCH(RIGHT(Q148,255),RIGHT('Disaggregation Records'!$D$3:$D$66,255),0))="","",INDEX('Disaggregation Records'!$E$3:$E$66,MATCH(RIGHT(Q148,255),RIGHT('Disaggregation Records'!$D$3:$D$66,255),0))),"")</f>
        <v/>
      </c>
      <c r="S148" s="89" t="str">
        <f t="array" aca="1" ref="S148" ca="1">IFERROR(IF(INDEX('Disaggregation Records'!$F$3:$F$66,MATCH(RIGHT(Q148,255),RIGHT('Disaggregation Records'!$D$3:$D$66,255),0))="","",INDEX('Disaggregation Records'!$F$3:$F$66,MATCH(RIGHT(Q148,255),RIGHT('Disaggregation Records'!$D$3:$D$66,255),0))),"")</f>
        <v/>
      </c>
      <c r="T148" s="89" t="str">
        <f t="array" aca="1" ref="T148" ca="1">IFERROR(IF(INDEX('Disaggregation Records'!$H$3:$H$66,MATCH(RIGHT(Q148,255),RIGHT('Disaggregation Records'!$D$3:$D$66,255),0))="","",INDEX('Disaggregation Records'!$H$3:$H$66,MATCH(RIGHT(Q148,255),RIGHT('Disaggregation Records'!$D$3:$D$66,255),0))),"")</f>
        <v/>
      </c>
      <c r="U148" s="89">
        <f>U146+1</f>
        <v>1260</v>
      </c>
      <c r="V148" s="89" t="str">
        <f t="array" aca="1" ref="V148" ca="1">IFERROR(IF(INDEX('Disaggregation Records'!$I$3:$I$66,MATCH(RIGHT(Q148,255),RIGHT('Disaggregation Records'!$D$3:$D$66,255),0))="","",INDEX('Disaggregation Records'!$I$3:$I$66,MATCH(RIGHT(Q148,255),RIGHT('Disaggregation Records'!$D$3:$D$66,255),0))),"")</f>
        <v/>
      </c>
      <c r="W148" s="89" t="str">
        <f ca="1">IFERROR(INDEX('Reference Records'!O$3:O$19,MATCH(LEFT(C148,255),'Reference Records'!J$3:J$19,0)),"")</f>
        <v/>
      </c>
    </row>
    <row r="149" spans="1:23" s="125" customFormat="1" ht="40.35" customHeight="1">
      <c r="A149" s="564"/>
      <c r="B149" s="799">
        <v>5.2218045112781999</v>
      </c>
      <c r="C149" s="800"/>
      <c r="D149" s="801"/>
      <c r="E149" s="801"/>
      <c r="F149" s="128"/>
      <c r="G149" s="802"/>
      <c r="H149" s="781"/>
      <c r="I149" s="803"/>
      <c r="J149" s="779"/>
      <c r="K149" s="800"/>
      <c r="L149" s="800"/>
      <c r="M149" s="779"/>
      <c r="N149" s="779"/>
    </row>
    <row r="150" spans="1:23" s="89" customFormat="1" ht="40.35" customHeight="1">
      <c r="A150" s="564" t="str">
        <f t="shared" ca="1" si="2"/>
        <v>a1G3p000005dHbDEAU</v>
      </c>
      <c r="B150" s="794">
        <v>8</v>
      </c>
      <c r="C150" s="795" t="str">
        <f ca="1">IFERROR(VLOOKUP(B150,'Impact Indicators - Section B '!$A$9:$AF$52,32,FALSE),"")</f>
        <v/>
      </c>
      <c r="D150" s="796" t="str">
        <f ca="1">R150</f>
        <v/>
      </c>
      <c r="E150" s="796" t="str">
        <f ca="1">S150</f>
        <v/>
      </c>
      <c r="F150" s="127"/>
      <c r="G150" s="797" t="str">
        <f ca="1">IF(OR(INDIRECT("'update Helper'!E"&amp;U150)="",F150&lt;&gt;0,F151&lt;&gt;0),IF(IFERROR((F150/F151),"")="","",(F150/F151)),INDIRECT("'update Helper'!E"&amp;U150)/100)</f>
        <v/>
      </c>
      <c r="H150" s="784"/>
      <c r="I150" s="798"/>
      <c r="J150" s="777"/>
      <c r="K150" s="795" t="str">
        <f ca="1">W150</f>
        <v/>
      </c>
      <c r="L150" s="795" t="str">
        <f ca="1">V150</f>
        <v/>
      </c>
      <c r="M150" s="777"/>
      <c r="N150" s="777"/>
      <c r="P150" s="89">
        <f ca="1">IF(AND(EXACT(C150,C148),C148&lt;&gt;0),P148+1,0)</f>
        <v>30</v>
      </c>
      <c r="Q150" s="89" t="str">
        <f ca="1">IF(C150&lt;&gt;"",C150&amp;"-"&amp;P150,"")</f>
        <v/>
      </c>
      <c r="R150" s="89" t="str">
        <f t="array" aca="1" ref="R150" ca="1">IFERROR(IF(INDEX('Disaggregation Records'!$E$3:$E$66,MATCH(RIGHT(Q150,255),RIGHT('Disaggregation Records'!$D$3:$D$66,255),0))="","",INDEX('Disaggregation Records'!$E$3:$E$66,MATCH(RIGHT(Q150,255),RIGHT('Disaggregation Records'!$D$3:$D$66,255),0))),"")</f>
        <v/>
      </c>
      <c r="S150" s="89" t="str">
        <f t="array" aca="1" ref="S150" ca="1">IFERROR(IF(INDEX('Disaggregation Records'!$F$3:$F$66,MATCH(RIGHT(Q150,255),RIGHT('Disaggregation Records'!$D$3:$D$66,255),0))="","",INDEX('Disaggregation Records'!$F$3:$F$66,MATCH(RIGHT(Q150,255),RIGHT('Disaggregation Records'!$D$3:$D$66,255),0))),"")</f>
        <v/>
      </c>
      <c r="T150" s="89" t="str">
        <f t="array" aca="1" ref="T150" ca="1">IFERROR(IF(INDEX('Disaggregation Records'!$H$3:$H$66,MATCH(RIGHT(Q150,255),RIGHT('Disaggregation Records'!$D$3:$D$66,255),0))="","",INDEX('Disaggregation Records'!$H$3:$H$66,MATCH(RIGHT(Q150,255),RIGHT('Disaggregation Records'!$D$3:$D$66,255),0))),"")</f>
        <v/>
      </c>
      <c r="U150" s="89">
        <f>U148+1</f>
        <v>1261</v>
      </c>
      <c r="V150" s="89" t="str">
        <f t="array" aca="1" ref="V150" ca="1">IFERROR(IF(INDEX('Disaggregation Records'!$I$3:$I$66,MATCH(RIGHT(Q150,255),RIGHT('Disaggregation Records'!$D$3:$D$66,255),0))="","",INDEX('Disaggregation Records'!$I$3:$I$66,MATCH(RIGHT(Q150,255),RIGHT('Disaggregation Records'!$D$3:$D$66,255),0))),"")</f>
        <v/>
      </c>
      <c r="W150" s="89" t="str">
        <f ca="1">IFERROR(INDEX('Reference Records'!O$3:O$19,MATCH(LEFT(C150,255),'Reference Records'!J$3:J$19,0)),"")</f>
        <v/>
      </c>
    </row>
    <row r="151" spans="1:23" s="89" customFormat="1" ht="40.35" customHeight="1">
      <c r="A151" s="564"/>
      <c r="B151" s="799">
        <v>5.9736842105263204</v>
      </c>
      <c r="C151" s="800"/>
      <c r="D151" s="801"/>
      <c r="E151" s="801"/>
      <c r="F151" s="128"/>
      <c r="G151" s="802"/>
      <c r="H151" s="781"/>
      <c r="I151" s="803"/>
      <c r="J151" s="779"/>
      <c r="K151" s="800"/>
      <c r="L151" s="800"/>
      <c r="M151" s="779"/>
      <c r="N151" s="779"/>
      <c r="P151" s="125"/>
      <c r="Q151" s="125"/>
      <c r="R151" s="125"/>
      <c r="S151" s="125"/>
      <c r="T151" s="125"/>
      <c r="U151" s="125"/>
      <c r="V151" s="125"/>
      <c r="W151" s="125"/>
    </row>
    <row r="152" spans="1:23" s="89" customFormat="1" ht="40.35" customHeight="1">
      <c r="A152" s="564" t="str">
        <f t="shared" ca="1" si="2"/>
        <v>a1G3p000005dHbEEAU</v>
      </c>
      <c r="B152" s="794">
        <v>8</v>
      </c>
      <c r="C152" s="795" t="str">
        <f ca="1">IFERROR(VLOOKUP(B152,'Impact Indicators - Section B '!$A$9:$AF$52,32,FALSE),"")</f>
        <v/>
      </c>
      <c r="D152" s="796" t="str">
        <f ca="1">R152</f>
        <v/>
      </c>
      <c r="E152" s="796" t="str">
        <f ca="1">S152</f>
        <v/>
      </c>
      <c r="F152" s="127"/>
      <c r="G152" s="797" t="str">
        <f ca="1">IF(OR(INDIRECT("'update Helper'!E"&amp;U152)="",F152&lt;&gt;0,F153&lt;&gt;0),IF(IFERROR((F152/F153),"")="","",(F152/F153)),INDIRECT("'update Helper'!E"&amp;U152)/100)</f>
        <v/>
      </c>
      <c r="H152" s="784"/>
      <c r="I152" s="798"/>
      <c r="J152" s="777"/>
      <c r="K152" s="795" t="str">
        <f ca="1">W152</f>
        <v/>
      </c>
      <c r="L152" s="795" t="str">
        <f ca="1">V152</f>
        <v/>
      </c>
      <c r="M152" s="777"/>
      <c r="N152" s="777"/>
      <c r="P152" s="89">
        <f ca="1">IF(AND(EXACT(C152,C150),C150&lt;&gt;0),P150+1,0)</f>
        <v>31</v>
      </c>
      <c r="Q152" s="89" t="str">
        <f ca="1">IF(C152&lt;&gt;"",C152&amp;"-"&amp;P152,"")</f>
        <v/>
      </c>
      <c r="R152" s="89" t="str">
        <f t="array" aca="1" ref="R152" ca="1">IFERROR(IF(INDEX('Disaggregation Records'!$E$3:$E$66,MATCH(RIGHT(Q152,255),RIGHT('Disaggregation Records'!$D$3:$D$66,255),0))="","",INDEX('Disaggregation Records'!$E$3:$E$66,MATCH(RIGHT(Q152,255),RIGHT('Disaggregation Records'!$D$3:$D$66,255),0))),"")</f>
        <v/>
      </c>
      <c r="S152" s="89" t="str">
        <f t="array" aca="1" ref="S152" ca="1">IFERROR(IF(INDEX('Disaggregation Records'!$F$3:$F$66,MATCH(RIGHT(Q152,255),RIGHT('Disaggregation Records'!$D$3:$D$66,255),0))="","",INDEX('Disaggregation Records'!$F$3:$F$66,MATCH(RIGHT(Q152,255),RIGHT('Disaggregation Records'!$D$3:$D$66,255),0))),"")</f>
        <v/>
      </c>
      <c r="T152" s="89" t="str">
        <f t="array" aca="1" ref="T152" ca="1">IFERROR(IF(INDEX('Disaggregation Records'!$H$3:$H$66,MATCH(RIGHT(Q152,255),RIGHT('Disaggregation Records'!$D$3:$D$66,255),0))="","",INDEX('Disaggregation Records'!$H$3:$H$66,MATCH(RIGHT(Q152,255),RIGHT('Disaggregation Records'!$D$3:$D$66,255),0))),"")</f>
        <v/>
      </c>
      <c r="U152" s="89">
        <f>U150+1</f>
        <v>1262</v>
      </c>
      <c r="V152" s="89" t="str">
        <f t="array" aca="1" ref="V152" ca="1">IFERROR(IF(INDEX('Disaggregation Records'!$I$3:$I$66,MATCH(RIGHT(Q152,255),RIGHT('Disaggregation Records'!$D$3:$D$66,255),0))="","",INDEX('Disaggregation Records'!$I$3:$I$66,MATCH(RIGHT(Q152,255),RIGHT('Disaggregation Records'!$D$3:$D$66,255),0))),"")</f>
        <v/>
      </c>
      <c r="W152" s="89" t="str">
        <f ca="1">IFERROR(INDEX('Reference Records'!O$3:O$19,MATCH(LEFT(C152,255),'Reference Records'!J$3:J$19,0)),"")</f>
        <v/>
      </c>
    </row>
    <row r="153" spans="1:23" s="125" customFormat="1" ht="40.35" customHeight="1">
      <c r="A153" s="564"/>
      <c r="B153" s="799">
        <v>5.9736842105263204</v>
      </c>
      <c r="C153" s="800"/>
      <c r="D153" s="801"/>
      <c r="E153" s="801"/>
      <c r="F153" s="128"/>
      <c r="G153" s="802"/>
      <c r="H153" s="781"/>
      <c r="I153" s="803"/>
      <c r="J153" s="779"/>
      <c r="K153" s="800"/>
      <c r="L153" s="800"/>
      <c r="M153" s="779"/>
      <c r="N153" s="779"/>
    </row>
    <row r="154" spans="1:23" s="89" customFormat="1" ht="40.35" customHeight="1">
      <c r="A154" s="564" t="str">
        <f t="shared" ca="1" si="2"/>
        <v>a1G3p000005dHbFEAU</v>
      </c>
      <c r="B154" s="794">
        <v>8</v>
      </c>
      <c r="C154" s="795" t="str">
        <f ca="1">IFERROR(VLOOKUP(B154,'Impact Indicators - Section B '!$A$9:$AF$52,32,FALSE),"")</f>
        <v/>
      </c>
      <c r="D154" s="796" t="str">
        <f ca="1">R154</f>
        <v/>
      </c>
      <c r="E154" s="796" t="str">
        <f ca="1">S154</f>
        <v/>
      </c>
      <c r="F154" s="127"/>
      <c r="G154" s="797" t="str">
        <f ca="1">IF(OR(INDIRECT("'update Helper'!E"&amp;U154)="",F154&lt;&gt;0,F155&lt;&gt;0),IF(IFERROR((F154/F155),"")="","",(F154/F155)),INDIRECT("'update Helper'!E"&amp;U154)/100)</f>
        <v/>
      </c>
      <c r="H154" s="784"/>
      <c r="I154" s="798"/>
      <c r="J154" s="777"/>
      <c r="K154" s="795" t="str">
        <f ca="1">W154</f>
        <v/>
      </c>
      <c r="L154" s="795" t="str">
        <f ca="1">V154</f>
        <v/>
      </c>
      <c r="M154" s="777"/>
      <c r="N154" s="777"/>
      <c r="P154" s="89">
        <f ca="1">IF(AND(EXACT(C154,C152),C152&lt;&gt;0),P152+1,0)</f>
        <v>32</v>
      </c>
      <c r="Q154" s="89" t="str">
        <f ca="1">IF(C154&lt;&gt;"",C154&amp;"-"&amp;P154,"")</f>
        <v/>
      </c>
      <c r="R154" s="89" t="str">
        <f t="array" aca="1" ref="R154" ca="1">IFERROR(IF(INDEX('Disaggregation Records'!$E$3:$E$66,MATCH(RIGHT(Q154,255),RIGHT('Disaggregation Records'!$D$3:$D$66,255),0))="","",INDEX('Disaggregation Records'!$E$3:$E$66,MATCH(RIGHT(Q154,255),RIGHT('Disaggregation Records'!$D$3:$D$66,255),0))),"")</f>
        <v/>
      </c>
      <c r="S154" s="89" t="str">
        <f t="array" aca="1" ref="S154" ca="1">IFERROR(IF(INDEX('Disaggregation Records'!$F$3:$F$66,MATCH(RIGHT(Q154,255),RIGHT('Disaggregation Records'!$D$3:$D$66,255),0))="","",INDEX('Disaggregation Records'!$F$3:$F$66,MATCH(RIGHT(Q154,255),RIGHT('Disaggregation Records'!$D$3:$D$66,255),0))),"")</f>
        <v/>
      </c>
      <c r="T154" s="89" t="str">
        <f t="array" aca="1" ref="T154" ca="1">IFERROR(IF(INDEX('Disaggregation Records'!$H$3:$H$66,MATCH(RIGHT(Q154,255),RIGHT('Disaggregation Records'!$D$3:$D$66,255),0))="","",INDEX('Disaggregation Records'!$H$3:$H$66,MATCH(RIGHT(Q154,255),RIGHT('Disaggregation Records'!$D$3:$D$66,255),0))),"")</f>
        <v/>
      </c>
      <c r="U154" s="89">
        <f>U152+1</f>
        <v>1263</v>
      </c>
      <c r="V154" s="89" t="str">
        <f t="array" aca="1" ref="V154" ca="1">IFERROR(IF(INDEX('Disaggregation Records'!$I$3:$I$66,MATCH(RIGHT(Q154,255),RIGHT('Disaggregation Records'!$D$3:$D$66,255),0))="","",INDEX('Disaggregation Records'!$I$3:$I$66,MATCH(RIGHT(Q154,255),RIGHT('Disaggregation Records'!$D$3:$D$66,255),0))),"")</f>
        <v/>
      </c>
      <c r="W154" s="89" t="str">
        <f ca="1">IFERROR(INDEX('Reference Records'!O$3:O$19,MATCH(LEFT(C154,255),'Reference Records'!J$3:J$19,0)),"")</f>
        <v/>
      </c>
    </row>
    <row r="155" spans="1:23" s="125" customFormat="1" ht="40.35" customHeight="1">
      <c r="A155" s="564"/>
      <c r="B155" s="799">
        <v>5.9736842105263204</v>
      </c>
      <c r="C155" s="800"/>
      <c r="D155" s="801"/>
      <c r="E155" s="801"/>
      <c r="F155" s="128"/>
      <c r="G155" s="802"/>
      <c r="H155" s="781"/>
      <c r="I155" s="803"/>
      <c r="J155" s="779"/>
      <c r="K155" s="800"/>
      <c r="L155" s="800"/>
      <c r="M155" s="779"/>
      <c r="N155" s="779"/>
    </row>
    <row r="156" spans="1:23" s="89" customFormat="1" ht="40.35" customHeight="1">
      <c r="A156" s="564" t="str">
        <f t="shared" ca="1" si="2"/>
        <v>a1G3p000005dHbGEAU</v>
      </c>
      <c r="B156" s="794">
        <v>8</v>
      </c>
      <c r="C156" s="795" t="str">
        <f ca="1">IFERROR(VLOOKUP(B156,'Impact Indicators - Section B '!$A$9:$AF$52,32,FALSE),"")</f>
        <v/>
      </c>
      <c r="D156" s="796" t="str">
        <f ca="1">R156</f>
        <v/>
      </c>
      <c r="E156" s="796" t="str">
        <f ca="1">S156</f>
        <v/>
      </c>
      <c r="F156" s="127"/>
      <c r="G156" s="797" t="str">
        <f ca="1">IF(OR(INDIRECT("'update Helper'!E"&amp;U156)="",F156&lt;&gt;0,F157&lt;&gt;0),IF(IFERROR((F156/F157),"")="","",(F156/F157)),INDIRECT("'update Helper'!E"&amp;U156)/100)</f>
        <v/>
      </c>
      <c r="H156" s="784"/>
      <c r="I156" s="798"/>
      <c r="J156" s="777"/>
      <c r="K156" s="795" t="str">
        <f ca="1">W156</f>
        <v/>
      </c>
      <c r="L156" s="795" t="str">
        <f ca="1">V156</f>
        <v/>
      </c>
      <c r="M156" s="777"/>
      <c r="N156" s="777"/>
      <c r="P156" s="89">
        <f ca="1">IF(AND(EXACT(C156,C154),C154&lt;&gt;0),P154+1,0)</f>
        <v>33</v>
      </c>
      <c r="Q156" s="89" t="str">
        <f ca="1">IF(C156&lt;&gt;"",C156&amp;"-"&amp;P156,"")</f>
        <v/>
      </c>
      <c r="R156" s="89" t="str">
        <f t="array" aca="1" ref="R156" ca="1">IFERROR(IF(INDEX('Disaggregation Records'!$E$3:$E$66,MATCH(RIGHT(Q156,255),RIGHT('Disaggregation Records'!$D$3:$D$66,255),0))="","",INDEX('Disaggregation Records'!$E$3:$E$66,MATCH(RIGHT(Q156,255),RIGHT('Disaggregation Records'!$D$3:$D$66,255),0))),"")</f>
        <v/>
      </c>
      <c r="S156" s="89" t="str">
        <f t="array" aca="1" ref="S156" ca="1">IFERROR(IF(INDEX('Disaggregation Records'!$F$3:$F$66,MATCH(RIGHT(Q156,255),RIGHT('Disaggregation Records'!$D$3:$D$66,255),0))="","",INDEX('Disaggregation Records'!$F$3:$F$66,MATCH(RIGHT(Q156,255),RIGHT('Disaggregation Records'!$D$3:$D$66,255),0))),"")</f>
        <v/>
      </c>
      <c r="T156" s="89" t="str">
        <f t="array" aca="1" ref="T156" ca="1">IFERROR(IF(INDEX('Disaggregation Records'!$H$3:$H$66,MATCH(RIGHT(Q156,255),RIGHT('Disaggregation Records'!$D$3:$D$66,255),0))="","",INDEX('Disaggregation Records'!$H$3:$H$66,MATCH(RIGHT(Q156,255),RIGHT('Disaggregation Records'!$D$3:$D$66,255),0))),"")</f>
        <v/>
      </c>
      <c r="U156" s="89">
        <f>U154+1</f>
        <v>1264</v>
      </c>
      <c r="V156" s="89" t="str">
        <f t="array" aca="1" ref="V156" ca="1">IFERROR(IF(INDEX('Disaggregation Records'!$I$3:$I$66,MATCH(RIGHT(Q156,255),RIGHT('Disaggregation Records'!$D$3:$D$66,255),0))="","",INDEX('Disaggregation Records'!$I$3:$I$66,MATCH(RIGHT(Q156,255),RIGHT('Disaggregation Records'!$D$3:$D$66,255),0))),"")</f>
        <v/>
      </c>
      <c r="W156" s="89" t="str">
        <f ca="1">IFERROR(INDEX('Reference Records'!O$3:O$19,MATCH(LEFT(C156,255),'Reference Records'!J$3:J$19,0)),"")</f>
        <v/>
      </c>
    </row>
    <row r="157" spans="1:23" s="89" customFormat="1" ht="40.35" customHeight="1">
      <c r="A157" s="564"/>
      <c r="B157" s="799">
        <v>5.9736842105263204</v>
      </c>
      <c r="C157" s="800"/>
      <c r="D157" s="801"/>
      <c r="E157" s="801"/>
      <c r="F157" s="128"/>
      <c r="G157" s="802"/>
      <c r="H157" s="781"/>
      <c r="I157" s="803"/>
      <c r="J157" s="779"/>
      <c r="K157" s="800"/>
      <c r="L157" s="800"/>
      <c r="M157" s="779"/>
      <c r="N157" s="779"/>
      <c r="P157" s="125"/>
      <c r="Q157" s="125"/>
      <c r="R157" s="125"/>
      <c r="S157" s="125"/>
      <c r="T157" s="125"/>
      <c r="U157" s="125"/>
      <c r="V157" s="125"/>
      <c r="W157" s="125"/>
    </row>
    <row r="158" spans="1:23" s="89" customFormat="1" ht="40.35" customHeight="1">
      <c r="A158" s="564" t="str">
        <f t="shared" ca="1" si="2"/>
        <v>a1G3p000005dHbHEAU</v>
      </c>
      <c r="B158" s="794">
        <v>8</v>
      </c>
      <c r="C158" s="795" t="str">
        <f ca="1">IFERROR(VLOOKUP(B158,'Impact Indicators - Section B '!$A$9:$AF$52,32,FALSE),"")</f>
        <v/>
      </c>
      <c r="D158" s="796" t="str">
        <f ca="1">R158</f>
        <v/>
      </c>
      <c r="E158" s="796" t="str">
        <f ca="1">S158</f>
        <v/>
      </c>
      <c r="F158" s="127"/>
      <c r="G158" s="797" t="str">
        <f ca="1">IF(OR(INDIRECT("'update Helper'!E"&amp;U158)="",F158&lt;&gt;0,F159&lt;&gt;0),IF(IFERROR((F158/F159),"")="","",(F158/F159)),INDIRECT("'update Helper'!E"&amp;U158)/100)</f>
        <v/>
      </c>
      <c r="H158" s="784"/>
      <c r="I158" s="798"/>
      <c r="J158" s="777"/>
      <c r="K158" s="795" t="str">
        <f ca="1">W158</f>
        <v/>
      </c>
      <c r="L158" s="795" t="str">
        <f ca="1">V158</f>
        <v/>
      </c>
      <c r="M158" s="777"/>
      <c r="N158" s="777"/>
      <c r="P158" s="89">
        <f ca="1">IF(AND(EXACT(C158,C156),C156&lt;&gt;0),P156+1,0)</f>
        <v>34</v>
      </c>
      <c r="Q158" s="89" t="str">
        <f ca="1">IF(C158&lt;&gt;"",C158&amp;"-"&amp;P158,"")</f>
        <v/>
      </c>
      <c r="R158" s="89" t="str">
        <f t="array" aca="1" ref="R158" ca="1">IFERROR(IF(INDEX('Disaggregation Records'!$E$3:$E$66,MATCH(RIGHT(Q158,255),RIGHT('Disaggregation Records'!$D$3:$D$66,255),0))="","",INDEX('Disaggregation Records'!$E$3:$E$66,MATCH(RIGHT(Q158,255),RIGHT('Disaggregation Records'!$D$3:$D$66,255),0))),"")</f>
        <v/>
      </c>
      <c r="S158" s="89" t="str">
        <f t="array" aca="1" ref="S158" ca="1">IFERROR(IF(INDEX('Disaggregation Records'!$F$3:$F$66,MATCH(RIGHT(Q158,255),RIGHT('Disaggregation Records'!$D$3:$D$66,255),0))="","",INDEX('Disaggregation Records'!$F$3:$F$66,MATCH(RIGHT(Q158,255),RIGHT('Disaggregation Records'!$D$3:$D$66,255),0))),"")</f>
        <v/>
      </c>
      <c r="T158" s="89" t="str">
        <f t="array" aca="1" ref="T158" ca="1">IFERROR(IF(INDEX('Disaggregation Records'!$H$3:$H$66,MATCH(RIGHT(Q158,255),RIGHT('Disaggregation Records'!$D$3:$D$66,255),0))="","",INDEX('Disaggregation Records'!$H$3:$H$66,MATCH(RIGHT(Q158,255),RIGHT('Disaggregation Records'!$D$3:$D$66,255),0))),"")</f>
        <v/>
      </c>
      <c r="U158" s="89">
        <f>U156+1</f>
        <v>1265</v>
      </c>
      <c r="V158" s="89" t="str">
        <f t="array" aca="1" ref="V158" ca="1">IFERROR(IF(INDEX('Disaggregation Records'!$I$3:$I$66,MATCH(RIGHT(Q158,255),RIGHT('Disaggregation Records'!$D$3:$D$66,255),0))="","",INDEX('Disaggregation Records'!$I$3:$I$66,MATCH(RIGHT(Q158,255),RIGHT('Disaggregation Records'!$D$3:$D$66,255),0))),"")</f>
        <v/>
      </c>
      <c r="W158" s="89" t="str">
        <f ca="1">IFERROR(INDEX('Reference Records'!O$3:O$19,MATCH(LEFT(C158,255),'Reference Records'!J$3:J$19,0)),"")</f>
        <v/>
      </c>
    </row>
    <row r="159" spans="1:23" s="89" customFormat="1" ht="40.35" customHeight="1">
      <c r="A159" s="564"/>
      <c r="B159" s="799">
        <v>5.9736842105263204</v>
      </c>
      <c r="C159" s="800"/>
      <c r="D159" s="801"/>
      <c r="E159" s="801"/>
      <c r="F159" s="128"/>
      <c r="G159" s="802"/>
      <c r="H159" s="781"/>
      <c r="I159" s="803"/>
      <c r="J159" s="779"/>
      <c r="K159" s="800"/>
      <c r="L159" s="800"/>
      <c r="M159" s="779"/>
      <c r="N159" s="779"/>
      <c r="P159" s="125"/>
      <c r="Q159" s="125"/>
      <c r="R159" s="125"/>
      <c r="S159" s="125"/>
      <c r="T159" s="125"/>
      <c r="U159" s="125"/>
      <c r="V159" s="125"/>
      <c r="W159" s="125"/>
    </row>
    <row r="160" spans="1:23" s="89" customFormat="1" ht="40.35" customHeight="1">
      <c r="A160" s="564" t="str">
        <f t="shared" ca="1" si="2"/>
        <v>a1G3p000005dHbIEAU</v>
      </c>
      <c r="B160" s="794">
        <v>8</v>
      </c>
      <c r="C160" s="795" t="str">
        <f ca="1">IFERROR(VLOOKUP(B160,'Impact Indicators - Section B '!$A$9:$AF$52,32,FALSE),"")</f>
        <v/>
      </c>
      <c r="D160" s="796" t="str">
        <f ca="1">R160</f>
        <v/>
      </c>
      <c r="E160" s="796" t="str">
        <f ca="1">S160</f>
        <v/>
      </c>
      <c r="F160" s="127"/>
      <c r="G160" s="797" t="str">
        <f ca="1">IF(OR(INDIRECT("'update Helper'!E"&amp;U160)="",F160&lt;&gt;0,F161&lt;&gt;0),IF(IFERROR((F160/F161),"")="","",(F160/F161)),INDIRECT("'update Helper'!E"&amp;U160)/100)</f>
        <v/>
      </c>
      <c r="H160" s="784"/>
      <c r="I160" s="798"/>
      <c r="J160" s="777"/>
      <c r="K160" s="795" t="str">
        <f ca="1">W160</f>
        <v/>
      </c>
      <c r="L160" s="795" t="str">
        <f ca="1">V160</f>
        <v/>
      </c>
      <c r="M160" s="777"/>
      <c r="N160" s="777"/>
      <c r="P160" s="89">
        <f ca="1">IF(AND(EXACT(C160,C158),C158&lt;&gt;0),P158+1,0)</f>
        <v>35</v>
      </c>
      <c r="Q160" s="89" t="str">
        <f ca="1">IF(C160&lt;&gt;"",C160&amp;"-"&amp;P160,"")</f>
        <v/>
      </c>
      <c r="R160" s="89" t="str">
        <f t="array" aca="1" ref="R160" ca="1">IFERROR(IF(INDEX('Disaggregation Records'!$E$3:$E$66,MATCH(RIGHT(Q160,255),RIGHT('Disaggregation Records'!$D$3:$D$66,255),0))="","",INDEX('Disaggregation Records'!$E$3:$E$66,MATCH(RIGHT(Q160,255),RIGHT('Disaggregation Records'!$D$3:$D$66,255),0))),"")</f>
        <v/>
      </c>
      <c r="S160" s="89" t="str">
        <f t="array" aca="1" ref="S160" ca="1">IFERROR(IF(INDEX('Disaggregation Records'!$F$3:$F$66,MATCH(RIGHT(Q160,255),RIGHT('Disaggregation Records'!$D$3:$D$66,255),0))="","",INDEX('Disaggregation Records'!$F$3:$F$66,MATCH(RIGHT(Q160,255),RIGHT('Disaggregation Records'!$D$3:$D$66,255),0))),"")</f>
        <v/>
      </c>
      <c r="T160" s="89" t="str">
        <f t="array" aca="1" ref="T160" ca="1">IFERROR(IF(INDEX('Disaggregation Records'!$H$3:$H$66,MATCH(RIGHT(Q160,255),RIGHT('Disaggregation Records'!$D$3:$D$66,255),0))="","",INDEX('Disaggregation Records'!$H$3:$H$66,MATCH(RIGHT(Q160,255),RIGHT('Disaggregation Records'!$D$3:$D$66,255),0))),"")</f>
        <v/>
      </c>
      <c r="U160" s="89">
        <f>U158+1</f>
        <v>1266</v>
      </c>
      <c r="V160" s="89" t="str">
        <f t="array" aca="1" ref="V160" ca="1">IFERROR(IF(INDEX('Disaggregation Records'!$I$3:$I$66,MATCH(RIGHT(Q160,255),RIGHT('Disaggregation Records'!$D$3:$D$66,255),0))="","",INDEX('Disaggregation Records'!$I$3:$I$66,MATCH(RIGHT(Q160,255),RIGHT('Disaggregation Records'!$D$3:$D$66,255),0))),"")</f>
        <v/>
      </c>
      <c r="W160" s="89" t="str">
        <f ca="1">IFERROR(INDEX('Reference Records'!O$3:O$19,MATCH(LEFT(C160,255),'Reference Records'!J$3:J$19,0)),"")</f>
        <v/>
      </c>
    </row>
    <row r="161" spans="1:23" s="125" customFormat="1" ht="40.35" customHeight="1">
      <c r="A161" s="564"/>
      <c r="B161" s="799">
        <v>5.9736842105263204</v>
      </c>
      <c r="C161" s="800"/>
      <c r="D161" s="801"/>
      <c r="E161" s="801"/>
      <c r="F161" s="128"/>
      <c r="G161" s="802"/>
      <c r="H161" s="781"/>
      <c r="I161" s="803"/>
      <c r="J161" s="779"/>
      <c r="K161" s="800"/>
      <c r="L161" s="800"/>
      <c r="M161" s="779"/>
      <c r="N161" s="779"/>
    </row>
    <row r="162" spans="1:23" s="89" customFormat="1" ht="40.35" customHeight="1">
      <c r="A162" s="564" t="str">
        <f t="shared" ca="1" si="2"/>
        <v>a1G3p000005dHbJEAU</v>
      </c>
      <c r="B162" s="794">
        <v>8</v>
      </c>
      <c r="C162" s="795" t="str">
        <f ca="1">IFERROR(VLOOKUP(B162,'Impact Indicators - Section B '!$A$9:$AF$52,32,FALSE),"")</f>
        <v/>
      </c>
      <c r="D162" s="796" t="str">
        <f ca="1">R162</f>
        <v/>
      </c>
      <c r="E162" s="796" t="str">
        <f ca="1">S162</f>
        <v/>
      </c>
      <c r="F162" s="127"/>
      <c r="G162" s="797" t="str">
        <f ca="1">IF(OR(INDIRECT("'update Helper'!E"&amp;U162)="",F162&lt;&gt;0,F163&lt;&gt;0),IF(IFERROR((F162/F163),"")="","",(F162/F163)),INDIRECT("'update Helper'!E"&amp;U162)/100)</f>
        <v/>
      </c>
      <c r="H162" s="784"/>
      <c r="I162" s="798"/>
      <c r="J162" s="777"/>
      <c r="K162" s="795" t="str">
        <f ca="1">W162</f>
        <v/>
      </c>
      <c r="L162" s="795" t="str">
        <f ca="1">V162</f>
        <v/>
      </c>
      <c r="M162" s="777"/>
      <c r="N162" s="777"/>
      <c r="P162" s="89">
        <f ca="1">IF(AND(EXACT(C162,C160),C160&lt;&gt;0),P160+1,0)</f>
        <v>36</v>
      </c>
      <c r="Q162" s="89" t="str">
        <f ca="1">IF(C162&lt;&gt;"",C162&amp;"-"&amp;P162,"")</f>
        <v/>
      </c>
      <c r="R162" s="89" t="str">
        <f t="array" aca="1" ref="R162" ca="1">IFERROR(IF(INDEX('Disaggregation Records'!$E$3:$E$66,MATCH(RIGHT(Q162,255),RIGHT('Disaggregation Records'!$D$3:$D$66,255),0))="","",INDEX('Disaggregation Records'!$E$3:$E$66,MATCH(RIGHT(Q162,255),RIGHT('Disaggregation Records'!$D$3:$D$66,255),0))),"")</f>
        <v/>
      </c>
      <c r="S162" s="89" t="str">
        <f t="array" aca="1" ref="S162" ca="1">IFERROR(IF(INDEX('Disaggregation Records'!$F$3:$F$66,MATCH(RIGHT(Q162,255),RIGHT('Disaggregation Records'!$D$3:$D$66,255),0))="","",INDEX('Disaggregation Records'!$F$3:$F$66,MATCH(RIGHT(Q162,255),RIGHT('Disaggregation Records'!$D$3:$D$66,255),0))),"")</f>
        <v/>
      </c>
      <c r="T162" s="89" t="str">
        <f t="array" aca="1" ref="T162" ca="1">IFERROR(IF(INDEX('Disaggregation Records'!$H$3:$H$66,MATCH(RIGHT(Q162,255),RIGHT('Disaggregation Records'!$D$3:$D$66,255),0))="","",INDEX('Disaggregation Records'!$H$3:$H$66,MATCH(RIGHT(Q162,255),RIGHT('Disaggregation Records'!$D$3:$D$66,255),0))),"")</f>
        <v/>
      </c>
      <c r="U162" s="89">
        <f>U160+1</f>
        <v>1267</v>
      </c>
      <c r="V162" s="89" t="str">
        <f t="array" aca="1" ref="V162" ca="1">IFERROR(IF(INDEX('Disaggregation Records'!$I$3:$I$66,MATCH(RIGHT(Q162,255),RIGHT('Disaggregation Records'!$D$3:$D$66,255),0))="","",INDEX('Disaggregation Records'!$I$3:$I$66,MATCH(RIGHT(Q162,255),RIGHT('Disaggregation Records'!$D$3:$D$66,255),0))),"")</f>
        <v/>
      </c>
      <c r="W162" s="89" t="str">
        <f ca="1">IFERROR(INDEX('Reference Records'!O$3:O$19,MATCH(LEFT(C162,255),'Reference Records'!J$3:J$19,0)),"")</f>
        <v/>
      </c>
    </row>
    <row r="163" spans="1:23" s="125" customFormat="1" ht="40.35" customHeight="1">
      <c r="A163" s="564"/>
      <c r="B163" s="799">
        <v>5.9736842105263204</v>
      </c>
      <c r="C163" s="800"/>
      <c r="D163" s="801"/>
      <c r="E163" s="801"/>
      <c r="F163" s="128"/>
      <c r="G163" s="802"/>
      <c r="H163" s="781"/>
      <c r="I163" s="803"/>
      <c r="J163" s="779"/>
      <c r="K163" s="800"/>
      <c r="L163" s="800"/>
      <c r="M163" s="779"/>
      <c r="N163" s="779"/>
    </row>
    <row r="164" spans="1:23" s="89" customFormat="1" ht="40.35" customHeight="1">
      <c r="A164" s="564" t="str">
        <f t="shared" ca="1" si="2"/>
        <v>a1G3p000005dHbKEAU</v>
      </c>
      <c r="B164" s="794">
        <v>8</v>
      </c>
      <c r="C164" s="795" t="str">
        <f ca="1">IFERROR(VLOOKUP(B164,'Impact Indicators - Section B '!$A$9:$AF$52,32,FALSE),"")</f>
        <v/>
      </c>
      <c r="D164" s="796" t="str">
        <f ca="1">R164</f>
        <v/>
      </c>
      <c r="E164" s="796" t="str">
        <f ca="1">S164</f>
        <v/>
      </c>
      <c r="F164" s="127"/>
      <c r="G164" s="797" t="str">
        <f ca="1">IF(OR(INDIRECT("'update Helper'!E"&amp;U164)="",F164&lt;&gt;0,F165&lt;&gt;0),IF(IFERROR((F164/F165),"")="","",(F164/F165)),INDIRECT("'update Helper'!E"&amp;U164)/100)</f>
        <v/>
      </c>
      <c r="H164" s="784"/>
      <c r="I164" s="798"/>
      <c r="J164" s="777"/>
      <c r="K164" s="795" t="str">
        <f ca="1">W164</f>
        <v/>
      </c>
      <c r="L164" s="795" t="str">
        <f ca="1">V164</f>
        <v/>
      </c>
      <c r="M164" s="777"/>
      <c r="N164" s="777"/>
      <c r="P164" s="89">
        <f ca="1">IF(AND(EXACT(C164,C162),C162&lt;&gt;0),P162+1,0)</f>
        <v>37</v>
      </c>
      <c r="Q164" s="89" t="str">
        <f ca="1">IF(C164&lt;&gt;"",C164&amp;"-"&amp;P164,"")</f>
        <v/>
      </c>
      <c r="R164" s="89" t="str">
        <f t="array" aca="1" ref="R164" ca="1">IFERROR(IF(INDEX('Disaggregation Records'!$E$3:$E$66,MATCH(RIGHT(Q164,255),RIGHT('Disaggregation Records'!$D$3:$D$66,255),0))="","",INDEX('Disaggregation Records'!$E$3:$E$66,MATCH(RIGHT(Q164,255),RIGHT('Disaggregation Records'!$D$3:$D$66,255),0))),"")</f>
        <v/>
      </c>
      <c r="S164" s="89" t="str">
        <f t="array" aca="1" ref="S164" ca="1">IFERROR(IF(INDEX('Disaggregation Records'!$F$3:$F$66,MATCH(RIGHT(Q164,255),RIGHT('Disaggregation Records'!$D$3:$D$66,255),0))="","",INDEX('Disaggregation Records'!$F$3:$F$66,MATCH(RIGHT(Q164,255),RIGHT('Disaggregation Records'!$D$3:$D$66,255),0))),"")</f>
        <v/>
      </c>
      <c r="T164" s="89" t="str">
        <f t="array" aca="1" ref="T164" ca="1">IFERROR(IF(INDEX('Disaggregation Records'!$H$3:$H$66,MATCH(RIGHT(Q164,255),RIGHT('Disaggregation Records'!$D$3:$D$66,255),0))="","",INDEX('Disaggregation Records'!$H$3:$H$66,MATCH(RIGHT(Q164,255),RIGHT('Disaggregation Records'!$D$3:$D$66,255),0))),"")</f>
        <v/>
      </c>
      <c r="U164" s="89">
        <f>U162+1</f>
        <v>1268</v>
      </c>
      <c r="V164" s="89" t="str">
        <f t="array" aca="1" ref="V164" ca="1">IFERROR(IF(INDEX('Disaggregation Records'!$I$3:$I$66,MATCH(RIGHT(Q164,255),RIGHT('Disaggregation Records'!$D$3:$D$66,255),0))="","",INDEX('Disaggregation Records'!$I$3:$I$66,MATCH(RIGHT(Q164,255),RIGHT('Disaggregation Records'!$D$3:$D$66,255),0))),"")</f>
        <v/>
      </c>
      <c r="W164" s="89" t="str">
        <f ca="1">IFERROR(INDEX('Reference Records'!O$3:O$19,MATCH(LEFT(C164,255),'Reference Records'!J$3:J$19,0)),"")</f>
        <v/>
      </c>
    </row>
    <row r="165" spans="1:23" s="89" customFormat="1" ht="40.35" customHeight="1">
      <c r="A165" s="564"/>
      <c r="B165" s="799">
        <v>5.9736842105263204</v>
      </c>
      <c r="C165" s="800"/>
      <c r="D165" s="801"/>
      <c r="E165" s="801"/>
      <c r="F165" s="128"/>
      <c r="G165" s="802"/>
      <c r="H165" s="781"/>
      <c r="I165" s="803"/>
      <c r="J165" s="779"/>
      <c r="K165" s="800"/>
      <c r="L165" s="800"/>
      <c r="M165" s="779"/>
      <c r="N165" s="779"/>
      <c r="P165" s="125"/>
      <c r="Q165" s="125"/>
      <c r="R165" s="125"/>
      <c r="S165" s="125"/>
      <c r="T165" s="125"/>
      <c r="U165" s="125"/>
      <c r="V165" s="125"/>
      <c r="W165" s="125"/>
    </row>
    <row r="166" spans="1:23" s="89" customFormat="1" ht="40.35" customHeight="1">
      <c r="A166" s="564" t="str">
        <f t="shared" ca="1" si="2"/>
        <v>a1G3p000005dHbLEAU</v>
      </c>
      <c r="B166" s="794">
        <v>8</v>
      </c>
      <c r="C166" s="795" t="str">
        <f ca="1">IFERROR(VLOOKUP(B166,'Impact Indicators - Section B '!$A$9:$AF$52,32,FALSE),"")</f>
        <v/>
      </c>
      <c r="D166" s="796" t="str">
        <f ca="1">R166</f>
        <v/>
      </c>
      <c r="E166" s="796" t="str">
        <f ca="1">S166</f>
        <v/>
      </c>
      <c r="F166" s="127"/>
      <c r="G166" s="797" t="str">
        <f ca="1">IF(OR(INDIRECT("'update Helper'!E"&amp;U166)="",F166&lt;&gt;0,F167&lt;&gt;0),IF(IFERROR((F166/F167),"")="","",(F166/F167)),INDIRECT("'update Helper'!E"&amp;U166)/100)</f>
        <v/>
      </c>
      <c r="H166" s="784"/>
      <c r="I166" s="798"/>
      <c r="J166" s="777"/>
      <c r="K166" s="795" t="str">
        <f ca="1">W166</f>
        <v/>
      </c>
      <c r="L166" s="795" t="str">
        <f ca="1">V166</f>
        <v/>
      </c>
      <c r="M166" s="777"/>
      <c r="N166" s="777"/>
      <c r="P166" s="89">
        <f ca="1">IF(AND(EXACT(C166,C164),C164&lt;&gt;0),P164+1,0)</f>
        <v>38</v>
      </c>
      <c r="Q166" s="89" t="str">
        <f ca="1">IF(C166&lt;&gt;"",C166&amp;"-"&amp;P166,"")</f>
        <v/>
      </c>
      <c r="R166" s="89" t="str">
        <f t="array" aca="1" ref="R166" ca="1">IFERROR(IF(INDEX('Disaggregation Records'!$E$3:$E$66,MATCH(RIGHT(Q166,255),RIGHT('Disaggregation Records'!$D$3:$D$66,255),0))="","",INDEX('Disaggregation Records'!$E$3:$E$66,MATCH(RIGHT(Q166,255),RIGHT('Disaggregation Records'!$D$3:$D$66,255),0))),"")</f>
        <v/>
      </c>
      <c r="S166" s="89" t="str">
        <f t="array" aca="1" ref="S166" ca="1">IFERROR(IF(INDEX('Disaggregation Records'!$F$3:$F$66,MATCH(RIGHT(Q166,255),RIGHT('Disaggregation Records'!$D$3:$D$66,255),0))="","",INDEX('Disaggregation Records'!$F$3:$F$66,MATCH(RIGHT(Q166,255),RIGHT('Disaggregation Records'!$D$3:$D$66,255),0))),"")</f>
        <v/>
      </c>
      <c r="T166" s="89" t="str">
        <f t="array" aca="1" ref="T166" ca="1">IFERROR(IF(INDEX('Disaggregation Records'!$H$3:$H$66,MATCH(RIGHT(Q166,255),RIGHT('Disaggregation Records'!$D$3:$D$66,255),0))="","",INDEX('Disaggregation Records'!$H$3:$H$66,MATCH(RIGHT(Q166,255),RIGHT('Disaggregation Records'!$D$3:$D$66,255),0))),"")</f>
        <v/>
      </c>
      <c r="U166" s="89">
        <f>U164+1</f>
        <v>1269</v>
      </c>
      <c r="V166" s="89" t="str">
        <f t="array" aca="1" ref="V166" ca="1">IFERROR(IF(INDEX('Disaggregation Records'!$I$3:$I$66,MATCH(RIGHT(Q166,255),RIGHT('Disaggregation Records'!$D$3:$D$66,255),0))="","",INDEX('Disaggregation Records'!$I$3:$I$66,MATCH(RIGHT(Q166,255),RIGHT('Disaggregation Records'!$D$3:$D$66,255),0))),"")</f>
        <v/>
      </c>
      <c r="W166" s="89" t="str">
        <f ca="1">IFERROR(INDEX('Reference Records'!O$3:O$19,MATCH(LEFT(C166,255),'Reference Records'!J$3:J$19,0)),"")</f>
        <v/>
      </c>
    </row>
    <row r="167" spans="1:23" s="125" customFormat="1" ht="40.35" customHeight="1">
      <c r="A167" s="564"/>
      <c r="B167" s="799">
        <v>5.9736842105263204</v>
      </c>
      <c r="C167" s="800"/>
      <c r="D167" s="801"/>
      <c r="E167" s="801"/>
      <c r="F167" s="128"/>
      <c r="G167" s="802"/>
      <c r="H167" s="781"/>
      <c r="I167" s="803"/>
      <c r="J167" s="779"/>
      <c r="K167" s="800"/>
      <c r="L167" s="800"/>
      <c r="M167" s="779"/>
      <c r="N167" s="779"/>
    </row>
    <row r="168" spans="1:23" s="89" customFormat="1" ht="40.35" customHeight="1">
      <c r="A168" s="564" t="str">
        <f t="shared" ca="1" si="2"/>
        <v>a1G3p000005dHbMEAU</v>
      </c>
      <c r="B168" s="794">
        <v>8</v>
      </c>
      <c r="C168" s="795" t="str">
        <f ca="1">IFERROR(VLOOKUP(B168,'Impact Indicators - Section B '!$A$9:$AF$52,32,FALSE),"")</f>
        <v/>
      </c>
      <c r="D168" s="796" t="str">
        <f ca="1">R168</f>
        <v/>
      </c>
      <c r="E168" s="796" t="str">
        <f ca="1">S168</f>
        <v/>
      </c>
      <c r="F168" s="127"/>
      <c r="G168" s="797" t="str">
        <f ca="1">IF(OR(INDIRECT("'update Helper'!E"&amp;U168)="",F168&lt;&gt;0,F169&lt;&gt;0),IF(IFERROR((F168/F169),"")="","",(F168/F169)),INDIRECT("'update Helper'!E"&amp;U168)/100)</f>
        <v/>
      </c>
      <c r="H168" s="784"/>
      <c r="I168" s="798"/>
      <c r="J168" s="777"/>
      <c r="K168" s="795" t="str">
        <f ca="1">W168</f>
        <v/>
      </c>
      <c r="L168" s="795" t="str">
        <f ca="1">V168</f>
        <v/>
      </c>
      <c r="M168" s="777"/>
      <c r="N168" s="777"/>
      <c r="P168" s="89">
        <f ca="1">IF(AND(EXACT(C168,C166),C166&lt;&gt;0),P166+1,0)</f>
        <v>39</v>
      </c>
      <c r="Q168" s="89" t="str">
        <f ca="1">IF(C168&lt;&gt;"",C168&amp;"-"&amp;P168,"")</f>
        <v/>
      </c>
      <c r="R168" s="89" t="str">
        <f t="array" aca="1" ref="R168" ca="1">IFERROR(IF(INDEX('Disaggregation Records'!$E$3:$E$66,MATCH(RIGHT(Q168,255),RIGHT('Disaggregation Records'!$D$3:$D$66,255),0))="","",INDEX('Disaggregation Records'!$E$3:$E$66,MATCH(RIGHT(Q168,255),RIGHT('Disaggregation Records'!$D$3:$D$66,255),0))),"")</f>
        <v/>
      </c>
      <c r="S168" s="89" t="str">
        <f t="array" aca="1" ref="S168" ca="1">IFERROR(IF(INDEX('Disaggregation Records'!$F$3:$F$66,MATCH(RIGHT(Q168,255),RIGHT('Disaggregation Records'!$D$3:$D$66,255),0))="","",INDEX('Disaggregation Records'!$F$3:$F$66,MATCH(RIGHT(Q168,255),RIGHT('Disaggregation Records'!$D$3:$D$66,255),0))),"")</f>
        <v/>
      </c>
      <c r="T168" s="89" t="str">
        <f t="array" aca="1" ref="T168" ca="1">IFERROR(IF(INDEX('Disaggregation Records'!$H$3:$H$66,MATCH(RIGHT(Q168,255),RIGHT('Disaggregation Records'!$D$3:$D$66,255),0))="","",INDEX('Disaggregation Records'!$H$3:$H$66,MATCH(RIGHT(Q168,255),RIGHT('Disaggregation Records'!$D$3:$D$66,255),0))),"")</f>
        <v/>
      </c>
      <c r="U168" s="89">
        <f>U166+1</f>
        <v>1270</v>
      </c>
      <c r="V168" s="89" t="str">
        <f t="array" aca="1" ref="V168" ca="1">IFERROR(IF(INDEX('Disaggregation Records'!$I$3:$I$66,MATCH(RIGHT(Q168,255),RIGHT('Disaggregation Records'!$D$3:$D$66,255),0))="","",INDEX('Disaggregation Records'!$I$3:$I$66,MATCH(RIGHT(Q168,255),RIGHT('Disaggregation Records'!$D$3:$D$66,255),0))),"")</f>
        <v/>
      </c>
      <c r="W168" s="89" t="str">
        <f ca="1">IFERROR(INDEX('Reference Records'!O$3:O$19,MATCH(LEFT(C168,255),'Reference Records'!J$3:J$19,0)),"")</f>
        <v/>
      </c>
    </row>
    <row r="169" spans="1:23" s="125" customFormat="1" ht="40.35" customHeight="1">
      <c r="A169" s="564"/>
      <c r="B169" s="799">
        <v>5.9736842105263204</v>
      </c>
      <c r="C169" s="800"/>
      <c r="D169" s="801"/>
      <c r="E169" s="801"/>
      <c r="F169" s="128"/>
      <c r="G169" s="802"/>
      <c r="H169" s="781"/>
      <c r="I169" s="803"/>
      <c r="J169" s="779"/>
      <c r="K169" s="800"/>
      <c r="L169" s="800"/>
      <c r="M169" s="779"/>
      <c r="N169" s="779"/>
    </row>
    <row r="170" spans="1:23" s="89" customFormat="1" ht="40.35" customHeight="1">
      <c r="A170" s="564" t="str">
        <f t="shared" ca="1" si="2"/>
        <v>a1G3p000005dHbNEAU</v>
      </c>
      <c r="B170" s="794">
        <v>9</v>
      </c>
      <c r="C170" s="795" t="str">
        <f ca="1">IFERROR(VLOOKUP(B170,'Impact Indicators - Section B '!$A$9:$AF$52,32,FALSE),"")</f>
        <v/>
      </c>
      <c r="D170" s="796" t="str">
        <f ca="1">R170</f>
        <v/>
      </c>
      <c r="E170" s="796" t="str">
        <f ca="1">S170</f>
        <v/>
      </c>
      <c r="F170" s="127"/>
      <c r="G170" s="797" t="str">
        <f ca="1">IF(OR(INDIRECT("'update Helper'!E"&amp;U170)="",F170&lt;&gt;0,F171&lt;&gt;0),IF(IFERROR((F170/F171),"")="","",(F170/F171)),INDIRECT("'update Helper'!E"&amp;U170)/100)</f>
        <v/>
      </c>
      <c r="H170" s="784"/>
      <c r="I170" s="798"/>
      <c r="J170" s="777"/>
      <c r="K170" s="795" t="str">
        <f ca="1">W170</f>
        <v/>
      </c>
      <c r="L170" s="795" t="str">
        <f ca="1">V170</f>
        <v/>
      </c>
      <c r="M170" s="777"/>
      <c r="N170" s="777"/>
      <c r="P170" s="89">
        <f ca="1">IF(AND(EXACT(C170,C168),C168&lt;&gt;0),P168+1,0)</f>
        <v>40</v>
      </c>
      <c r="Q170" s="89" t="str">
        <f ca="1">IF(C170&lt;&gt;"",C170&amp;"-"&amp;P170,"")</f>
        <v/>
      </c>
      <c r="R170" s="89" t="str">
        <f t="array" aca="1" ref="R170" ca="1">IFERROR(IF(INDEX('Disaggregation Records'!$E$3:$E$66,MATCH(RIGHT(Q170,255),RIGHT('Disaggregation Records'!$D$3:$D$66,255),0))="","",INDEX('Disaggregation Records'!$E$3:$E$66,MATCH(RIGHT(Q170,255),RIGHT('Disaggregation Records'!$D$3:$D$66,255),0))),"")</f>
        <v/>
      </c>
      <c r="S170" s="89" t="str">
        <f t="array" aca="1" ref="S170" ca="1">IFERROR(IF(INDEX('Disaggregation Records'!$F$3:$F$66,MATCH(RIGHT(Q170,255),RIGHT('Disaggregation Records'!$D$3:$D$66,255),0))="","",INDEX('Disaggregation Records'!$F$3:$F$66,MATCH(RIGHT(Q170,255),RIGHT('Disaggregation Records'!$D$3:$D$66,255),0))),"")</f>
        <v/>
      </c>
      <c r="T170" s="89" t="str">
        <f t="array" aca="1" ref="T170" ca="1">IFERROR(IF(INDEX('Disaggregation Records'!$H$3:$H$66,MATCH(RIGHT(Q170,255),RIGHT('Disaggregation Records'!$D$3:$D$66,255),0))="","",INDEX('Disaggregation Records'!$H$3:$H$66,MATCH(RIGHT(Q170,255),RIGHT('Disaggregation Records'!$D$3:$D$66,255),0))),"")</f>
        <v/>
      </c>
      <c r="U170" s="89">
        <f>U168+1</f>
        <v>1271</v>
      </c>
      <c r="V170" s="89" t="str">
        <f t="array" aca="1" ref="V170" ca="1">IFERROR(IF(INDEX('Disaggregation Records'!$I$3:$I$66,MATCH(RIGHT(Q170,255),RIGHT('Disaggregation Records'!$D$3:$D$66,255),0))="","",INDEX('Disaggregation Records'!$I$3:$I$66,MATCH(RIGHT(Q170,255),RIGHT('Disaggregation Records'!$D$3:$D$66,255),0))),"")</f>
        <v/>
      </c>
      <c r="W170" s="89" t="str">
        <f ca="1">IFERROR(INDEX('Reference Records'!O$3:O$19,MATCH(LEFT(C170,255),'Reference Records'!J$3:J$19,0)),"")</f>
        <v/>
      </c>
    </row>
    <row r="171" spans="1:23" s="89" customFormat="1" ht="40.35" customHeight="1">
      <c r="A171" s="564"/>
      <c r="B171" s="799">
        <v>6.6879699248120303</v>
      </c>
      <c r="C171" s="800"/>
      <c r="D171" s="801"/>
      <c r="E171" s="801"/>
      <c r="F171" s="128"/>
      <c r="G171" s="802"/>
      <c r="H171" s="781"/>
      <c r="I171" s="803"/>
      <c r="J171" s="779"/>
      <c r="K171" s="800"/>
      <c r="L171" s="800"/>
      <c r="M171" s="779"/>
      <c r="N171" s="779"/>
      <c r="P171" s="125"/>
      <c r="Q171" s="125"/>
      <c r="R171" s="125"/>
      <c r="S171" s="125"/>
      <c r="T171" s="125"/>
      <c r="U171" s="125"/>
      <c r="V171" s="125"/>
      <c r="W171" s="125"/>
    </row>
    <row r="172" spans="1:23" s="89" customFormat="1" ht="40.35" customHeight="1">
      <c r="A172" s="564" t="str">
        <f t="shared" ca="1" si="2"/>
        <v>a1G3p000005dHbOEAU</v>
      </c>
      <c r="B172" s="794">
        <v>9</v>
      </c>
      <c r="C172" s="795" t="str">
        <f ca="1">IFERROR(VLOOKUP(B172,'Impact Indicators - Section B '!$A$9:$AF$52,32,FALSE),"")</f>
        <v/>
      </c>
      <c r="D172" s="796" t="str">
        <f ca="1">R172</f>
        <v/>
      </c>
      <c r="E172" s="796" t="str">
        <f ca="1">S172</f>
        <v/>
      </c>
      <c r="F172" s="127"/>
      <c r="G172" s="797" t="str">
        <f ca="1">IF(OR(INDIRECT("'update Helper'!E"&amp;U172)="",F172&lt;&gt;0,F173&lt;&gt;0),IF(IFERROR((F172/F173),"")="","",(F172/F173)),INDIRECT("'update Helper'!E"&amp;U172)/100)</f>
        <v/>
      </c>
      <c r="H172" s="784"/>
      <c r="I172" s="798"/>
      <c r="J172" s="777"/>
      <c r="K172" s="795" t="str">
        <f ca="1">W172</f>
        <v/>
      </c>
      <c r="L172" s="795" t="str">
        <f ca="1">V172</f>
        <v/>
      </c>
      <c r="M172" s="777"/>
      <c r="N172" s="777"/>
      <c r="P172" s="89">
        <f ca="1">IF(AND(EXACT(C172,C170),C170&lt;&gt;0),P170+1,0)</f>
        <v>41</v>
      </c>
      <c r="Q172" s="89" t="str">
        <f ca="1">IF(C172&lt;&gt;"",C172&amp;"-"&amp;P172,"")</f>
        <v/>
      </c>
      <c r="R172" s="89" t="str">
        <f t="array" aca="1" ref="R172" ca="1">IFERROR(IF(INDEX('Disaggregation Records'!$E$3:$E$66,MATCH(RIGHT(Q172,255),RIGHT('Disaggregation Records'!$D$3:$D$66,255),0))="","",INDEX('Disaggregation Records'!$E$3:$E$66,MATCH(RIGHT(Q172,255),RIGHT('Disaggregation Records'!$D$3:$D$66,255),0))),"")</f>
        <v/>
      </c>
      <c r="S172" s="89" t="str">
        <f t="array" aca="1" ref="S172" ca="1">IFERROR(IF(INDEX('Disaggregation Records'!$F$3:$F$66,MATCH(RIGHT(Q172,255),RIGHT('Disaggregation Records'!$D$3:$D$66,255),0))="","",INDEX('Disaggregation Records'!$F$3:$F$66,MATCH(RIGHT(Q172,255),RIGHT('Disaggregation Records'!$D$3:$D$66,255),0))),"")</f>
        <v/>
      </c>
      <c r="T172" s="89" t="str">
        <f t="array" aca="1" ref="T172" ca="1">IFERROR(IF(INDEX('Disaggregation Records'!$H$3:$H$66,MATCH(RIGHT(Q172,255),RIGHT('Disaggregation Records'!$D$3:$D$66,255),0))="","",INDEX('Disaggregation Records'!$H$3:$H$66,MATCH(RIGHT(Q172,255),RIGHT('Disaggregation Records'!$D$3:$D$66,255),0))),"")</f>
        <v/>
      </c>
      <c r="U172" s="89">
        <f>U170+1</f>
        <v>1272</v>
      </c>
      <c r="V172" s="89" t="str">
        <f t="array" aca="1" ref="V172" ca="1">IFERROR(IF(INDEX('Disaggregation Records'!$I$3:$I$66,MATCH(RIGHT(Q172,255),RIGHT('Disaggregation Records'!$D$3:$D$66,255),0))="","",INDEX('Disaggregation Records'!$I$3:$I$66,MATCH(RIGHT(Q172,255),RIGHT('Disaggregation Records'!$D$3:$D$66,255),0))),"")</f>
        <v/>
      </c>
      <c r="W172" s="89" t="str">
        <f ca="1">IFERROR(INDEX('Reference Records'!O$3:O$19,MATCH(LEFT(C172,255),'Reference Records'!J$3:J$19,0)),"")</f>
        <v/>
      </c>
    </row>
    <row r="173" spans="1:23" s="125" customFormat="1" ht="40.35" customHeight="1">
      <c r="A173" s="564"/>
      <c r="B173" s="799">
        <v>6.6879699248120303</v>
      </c>
      <c r="C173" s="800"/>
      <c r="D173" s="801"/>
      <c r="E173" s="801"/>
      <c r="F173" s="128"/>
      <c r="G173" s="802"/>
      <c r="H173" s="781"/>
      <c r="I173" s="803"/>
      <c r="J173" s="779"/>
      <c r="K173" s="800"/>
      <c r="L173" s="800"/>
      <c r="M173" s="779"/>
      <c r="N173" s="779"/>
    </row>
    <row r="174" spans="1:23" s="89" customFormat="1" ht="40.35" customHeight="1">
      <c r="A174" s="564" t="str">
        <f t="shared" ca="1" si="2"/>
        <v>a1G3p000005dHbPEAU</v>
      </c>
      <c r="B174" s="794">
        <v>9</v>
      </c>
      <c r="C174" s="795" t="str">
        <f ca="1">IFERROR(VLOOKUP(B174,'Impact Indicators - Section B '!$A$9:$AF$52,32,FALSE),"")</f>
        <v/>
      </c>
      <c r="D174" s="796" t="str">
        <f ca="1">R174</f>
        <v/>
      </c>
      <c r="E174" s="796" t="str">
        <f ca="1">S174</f>
        <v/>
      </c>
      <c r="F174" s="127"/>
      <c r="G174" s="797" t="str">
        <f ca="1">IF(OR(INDIRECT("'update Helper'!E"&amp;U174)="",F174&lt;&gt;0,F175&lt;&gt;0),IF(IFERROR((F174/F175),"")="","",(F174/F175)),INDIRECT("'update Helper'!E"&amp;U174)/100)</f>
        <v/>
      </c>
      <c r="H174" s="784"/>
      <c r="I174" s="798"/>
      <c r="J174" s="777"/>
      <c r="K174" s="795" t="str">
        <f ca="1">W174</f>
        <v/>
      </c>
      <c r="L174" s="795" t="str">
        <f ca="1">V174</f>
        <v/>
      </c>
      <c r="M174" s="777"/>
      <c r="N174" s="777"/>
      <c r="P174" s="89">
        <f ca="1">IF(AND(EXACT(C174,C172),C172&lt;&gt;0),P172+1,0)</f>
        <v>42</v>
      </c>
      <c r="Q174" s="89" t="str">
        <f ca="1">IF(C174&lt;&gt;"",C174&amp;"-"&amp;P174,"")</f>
        <v/>
      </c>
      <c r="R174" s="89" t="str">
        <f t="array" aca="1" ref="R174" ca="1">IFERROR(IF(INDEX('Disaggregation Records'!$E$3:$E$66,MATCH(RIGHT(Q174,255),RIGHT('Disaggregation Records'!$D$3:$D$66,255),0))="","",INDEX('Disaggregation Records'!$E$3:$E$66,MATCH(RIGHT(Q174,255),RIGHT('Disaggregation Records'!$D$3:$D$66,255),0))),"")</f>
        <v/>
      </c>
      <c r="S174" s="89" t="str">
        <f t="array" aca="1" ref="S174" ca="1">IFERROR(IF(INDEX('Disaggregation Records'!$F$3:$F$66,MATCH(RIGHT(Q174,255),RIGHT('Disaggregation Records'!$D$3:$D$66,255),0))="","",INDEX('Disaggregation Records'!$F$3:$F$66,MATCH(RIGHT(Q174,255),RIGHT('Disaggregation Records'!$D$3:$D$66,255),0))),"")</f>
        <v/>
      </c>
      <c r="T174" s="89" t="str">
        <f t="array" aca="1" ref="T174" ca="1">IFERROR(IF(INDEX('Disaggregation Records'!$H$3:$H$66,MATCH(RIGHT(Q174,255),RIGHT('Disaggregation Records'!$D$3:$D$66,255),0))="","",INDEX('Disaggregation Records'!$H$3:$H$66,MATCH(RIGHT(Q174,255),RIGHT('Disaggregation Records'!$D$3:$D$66,255),0))),"")</f>
        <v/>
      </c>
      <c r="U174" s="89">
        <f>U172+1</f>
        <v>1273</v>
      </c>
      <c r="V174" s="89" t="str">
        <f t="array" aca="1" ref="V174" ca="1">IFERROR(IF(INDEX('Disaggregation Records'!$I$3:$I$66,MATCH(RIGHT(Q174,255),RIGHT('Disaggregation Records'!$D$3:$D$66,255),0))="","",INDEX('Disaggregation Records'!$I$3:$I$66,MATCH(RIGHT(Q174,255),RIGHT('Disaggregation Records'!$D$3:$D$66,255),0))),"")</f>
        <v/>
      </c>
      <c r="W174" s="89" t="str">
        <f ca="1">IFERROR(INDEX('Reference Records'!O$3:O$19,MATCH(LEFT(C174,255),'Reference Records'!J$3:J$19,0)),"")</f>
        <v/>
      </c>
    </row>
    <row r="175" spans="1:23" s="125" customFormat="1" ht="40.35" customHeight="1">
      <c r="A175" s="564"/>
      <c r="B175" s="799">
        <v>6.6879699248120303</v>
      </c>
      <c r="C175" s="800"/>
      <c r="D175" s="801"/>
      <c r="E175" s="801"/>
      <c r="F175" s="128"/>
      <c r="G175" s="802"/>
      <c r="H175" s="781"/>
      <c r="I175" s="803"/>
      <c r="J175" s="779"/>
      <c r="K175" s="800"/>
      <c r="L175" s="800"/>
      <c r="M175" s="779"/>
      <c r="N175" s="779"/>
    </row>
    <row r="176" spans="1:23" s="89" customFormat="1" ht="40.35" customHeight="1">
      <c r="A176" s="564" t="str">
        <f t="shared" ca="1" si="2"/>
        <v>a1G3p000005dHbQEAU</v>
      </c>
      <c r="B176" s="794">
        <v>9</v>
      </c>
      <c r="C176" s="795" t="str">
        <f ca="1">IFERROR(VLOOKUP(B176,'Impact Indicators - Section B '!$A$9:$AF$52,32,FALSE),"")</f>
        <v/>
      </c>
      <c r="D176" s="796" t="str">
        <f ca="1">R176</f>
        <v/>
      </c>
      <c r="E176" s="796" t="str">
        <f ca="1">S176</f>
        <v/>
      </c>
      <c r="F176" s="127"/>
      <c r="G176" s="797" t="str">
        <f ca="1">IF(OR(INDIRECT("'update Helper'!E"&amp;U176)="",F176&lt;&gt;0,F177&lt;&gt;0),IF(IFERROR((F176/F177),"")="","",(F176/F177)),INDIRECT("'update Helper'!E"&amp;U176)/100)</f>
        <v/>
      </c>
      <c r="H176" s="784"/>
      <c r="I176" s="798"/>
      <c r="J176" s="777"/>
      <c r="K176" s="795" t="str">
        <f ca="1">W176</f>
        <v/>
      </c>
      <c r="L176" s="795" t="str">
        <f ca="1">V176</f>
        <v/>
      </c>
      <c r="M176" s="777"/>
      <c r="N176" s="777"/>
      <c r="P176" s="89">
        <f ca="1">IF(AND(EXACT(C176,C174),C174&lt;&gt;0),P174+1,0)</f>
        <v>43</v>
      </c>
      <c r="Q176" s="89" t="str">
        <f ca="1">IF(C176&lt;&gt;"",C176&amp;"-"&amp;P176,"")</f>
        <v/>
      </c>
      <c r="R176" s="89" t="str">
        <f t="array" aca="1" ref="R176" ca="1">IFERROR(IF(INDEX('Disaggregation Records'!$E$3:$E$66,MATCH(RIGHT(Q176,255),RIGHT('Disaggregation Records'!$D$3:$D$66,255),0))="","",INDEX('Disaggregation Records'!$E$3:$E$66,MATCH(RIGHT(Q176,255),RIGHT('Disaggregation Records'!$D$3:$D$66,255),0))),"")</f>
        <v/>
      </c>
      <c r="S176" s="89" t="str">
        <f t="array" aca="1" ref="S176" ca="1">IFERROR(IF(INDEX('Disaggregation Records'!$F$3:$F$66,MATCH(RIGHT(Q176,255),RIGHT('Disaggregation Records'!$D$3:$D$66,255),0))="","",INDEX('Disaggregation Records'!$F$3:$F$66,MATCH(RIGHT(Q176,255),RIGHT('Disaggregation Records'!$D$3:$D$66,255),0))),"")</f>
        <v/>
      </c>
      <c r="T176" s="89" t="str">
        <f t="array" aca="1" ref="T176" ca="1">IFERROR(IF(INDEX('Disaggregation Records'!$H$3:$H$66,MATCH(RIGHT(Q176,255),RIGHT('Disaggregation Records'!$D$3:$D$66,255),0))="","",INDEX('Disaggregation Records'!$H$3:$H$66,MATCH(RIGHT(Q176,255),RIGHT('Disaggregation Records'!$D$3:$D$66,255),0))),"")</f>
        <v/>
      </c>
      <c r="U176" s="89">
        <f>U174+1</f>
        <v>1274</v>
      </c>
      <c r="V176" s="89" t="str">
        <f t="array" aca="1" ref="V176" ca="1">IFERROR(IF(INDEX('Disaggregation Records'!$I$3:$I$66,MATCH(RIGHT(Q176,255),RIGHT('Disaggregation Records'!$D$3:$D$66,255),0))="","",INDEX('Disaggregation Records'!$I$3:$I$66,MATCH(RIGHT(Q176,255),RIGHT('Disaggregation Records'!$D$3:$D$66,255),0))),"")</f>
        <v/>
      </c>
      <c r="W176" s="89" t="str">
        <f ca="1">IFERROR(INDEX('Reference Records'!O$3:O$19,MATCH(LEFT(C176,255),'Reference Records'!J$3:J$19,0)),"")</f>
        <v/>
      </c>
    </row>
    <row r="177" spans="1:23" s="89" customFormat="1" ht="40.35" customHeight="1">
      <c r="A177" s="564"/>
      <c r="B177" s="799">
        <v>6.6879699248120303</v>
      </c>
      <c r="C177" s="800"/>
      <c r="D177" s="801"/>
      <c r="E177" s="801"/>
      <c r="F177" s="128"/>
      <c r="G177" s="802"/>
      <c r="H177" s="781"/>
      <c r="I177" s="803"/>
      <c r="J177" s="779"/>
      <c r="K177" s="800"/>
      <c r="L177" s="800"/>
      <c r="M177" s="779"/>
      <c r="N177" s="779"/>
      <c r="P177" s="125"/>
      <c r="Q177" s="125"/>
      <c r="R177" s="125"/>
      <c r="S177" s="125"/>
      <c r="T177" s="125"/>
      <c r="U177" s="125"/>
      <c r="V177" s="125"/>
      <c r="W177" s="125"/>
    </row>
    <row r="178" spans="1:23" s="89" customFormat="1" ht="40.35" customHeight="1">
      <c r="A178" s="564" t="str">
        <f t="shared" ca="1" si="2"/>
        <v>a1G3p000005dHbREAU</v>
      </c>
      <c r="B178" s="794">
        <v>9</v>
      </c>
      <c r="C178" s="795" t="str">
        <f ca="1">IFERROR(VLOOKUP(B178,'Impact Indicators - Section B '!$A$9:$AF$52,32,FALSE),"")</f>
        <v/>
      </c>
      <c r="D178" s="796" t="str">
        <f ca="1">R178</f>
        <v/>
      </c>
      <c r="E178" s="796" t="str">
        <f ca="1">S178</f>
        <v/>
      </c>
      <c r="F178" s="127"/>
      <c r="G178" s="797" t="str">
        <f ca="1">IF(OR(INDIRECT("'update Helper'!E"&amp;U178)="",F178&lt;&gt;0,F179&lt;&gt;0),IF(IFERROR((F178/F179),"")="","",(F178/F179)),INDIRECT("'update Helper'!E"&amp;U178)/100)</f>
        <v/>
      </c>
      <c r="H178" s="784"/>
      <c r="I178" s="798"/>
      <c r="J178" s="777"/>
      <c r="K178" s="795" t="str">
        <f ca="1">W178</f>
        <v/>
      </c>
      <c r="L178" s="795" t="str">
        <f ca="1">V178</f>
        <v/>
      </c>
      <c r="M178" s="777"/>
      <c r="N178" s="777"/>
      <c r="P178" s="89">
        <f ca="1">IF(AND(EXACT(C178,C176),C176&lt;&gt;0),P176+1,0)</f>
        <v>44</v>
      </c>
      <c r="Q178" s="89" t="str">
        <f ca="1">IF(C178&lt;&gt;"",C178&amp;"-"&amp;P178,"")</f>
        <v/>
      </c>
      <c r="R178" s="89" t="str">
        <f t="array" aca="1" ref="R178" ca="1">IFERROR(IF(INDEX('Disaggregation Records'!$E$3:$E$66,MATCH(RIGHT(Q178,255),RIGHT('Disaggregation Records'!$D$3:$D$66,255),0))="","",INDEX('Disaggregation Records'!$E$3:$E$66,MATCH(RIGHT(Q178,255),RIGHT('Disaggregation Records'!$D$3:$D$66,255),0))),"")</f>
        <v/>
      </c>
      <c r="S178" s="89" t="str">
        <f t="array" aca="1" ref="S178" ca="1">IFERROR(IF(INDEX('Disaggregation Records'!$F$3:$F$66,MATCH(RIGHT(Q178,255),RIGHT('Disaggregation Records'!$D$3:$D$66,255),0))="","",INDEX('Disaggregation Records'!$F$3:$F$66,MATCH(RIGHT(Q178,255),RIGHT('Disaggregation Records'!$D$3:$D$66,255),0))),"")</f>
        <v/>
      </c>
      <c r="T178" s="89" t="str">
        <f t="array" aca="1" ref="T178" ca="1">IFERROR(IF(INDEX('Disaggregation Records'!$H$3:$H$66,MATCH(RIGHT(Q178,255),RIGHT('Disaggregation Records'!$D$3:$D$66,255),0))="","",INDEX('Disaggregation Records'!$H$3:$H$66,MATCH(RIGHT(Q178,255),RIGHT('Disaggregation Records'!$D$3:$D$66,255),0))),"")</f>
        <v/>
      </c>
      <c r="U178" s="89">
        <f>U176+1</f>
        <v>1275</v>
      </c>
      <c r="V178" s="89" t="str">
        <f t="array" aca="1" ref="V178" ca="1">IFERROR(IF(INDEX('Disaggregation Records'!$I$3:$I$66,MATCH(RIGHT(Q178,255),RIGHT('Disaggregation Records'!$D$3:$D$66,255),0))="","",INDEX('Disaggregation Records'!$I$3:$I$66,MATCH(RIGHT(Q178,255),RIGHT('Disaggregation Records'!$D$3:$D$66,255),0))),"")</f>
        <v/>
      </c>
      <c r="W178" s="89" t="str">
        <f ca="1">IFERROR(INDEX('Reference Records'!O$3:O$19,MATCH(LEFT(C178,255),'Reference Records'!J$3:J$19,0)),"")</f>
        <v/>
      </c>
    </row>
    <row r="179" spans="1:23" s="125" customFormat="1" ht="40.35" customHeight="1">
      <c r="A179" s="564"/>
      <c r="B179" s="799">
        <v>6.6879699248120303</v>
      </c>
      <c r="C179" s="800"/>
      <c r="D179" s="801"/>
      <c r="E179" s="801"/>
      <c r="F179" s="128"/>
      <c r="G179" s="802"/>
      <c r="H179" s="781"/>
      <c r="I179" s="803"/>
      <c r="J179" s="779"/>
      <c r="K179" s="800"/>
      <c r="L179" s="800"/>
      <c r="M179" s="779"/>
      <c r="N179" s="779"/>
    </row>
    <row r="180" spans="1:23" s="89" customFormat="1" ht="40.35" customHeight="1">
      <c r="A180" s="564" t="str">
        <f t="shared" ca="1" si="2"/>
        <v>a1G3p000005dHbSEAU</v>
      </c>
      <c r="B180" s="794">
        <v>9</v>
      </c>
      <c r="C180" s="795" t="str">
        <f ca="1">IFERROR(VLOOKUP(B180,'Impact Indicators - Section B '!$A$9:$AF$52,32,FALSE),"")</f>
        <v/>
      </c>
      <c r="D180" s="796" t="str">
        <f ca="1">R180</f>
        <v/>
      </c>
      <c r="E180" s="796" t="str">
        <f ca="1">S180</f>
        <v/>
      </c>
      <c r="F180" s="127"/>
      <c r="G180" s="797" t="str">
        <f ca="1">IF(OR(INDIRECT("'update Helper'!E"&amp;U180)="",F180&lt;&gt;0,F181&lt;&gt;0),IF(IFERROR((F180/F181),"")="","",(F180/F181)),INDIRECT("'update Helper'!E"&amp;U180)/100)</f>
        <v/>
      </c>
      <c r="H180" s="784"/>
      <c r="I180" s="798"/>
      <c r="J180" s="777"/>
      <c r="K180" s="795" t="str">
        <f ca="1">W180</f>
        <v/>
      </c>
      <c r="L180" s="795" t="str">
        <f ca="1">V180</f>
        <v/>
      </c>
      <c r="M180" s="777"/>
      <c r="N180" s="777"/>
      <c r="P180" s="89">
        <f ca="1">IF(AND(EXACT(C180,C178),C178&lt;&gt;0),P178+1,0)</f>
        <v>45</v>
      </c>
      <c r="Q180" s="89" t="str">
        <f ca="1">IF(C180&lt;&gt;"",C180&amp;"-"&amp;P180,"")</f>
        <v/>
      </c>
      <c r="R180" s="89" t="str">
        <f t="array" aca="1" ref="R180" ca="1">IFERROR(IF(INDEX('Disaggregation Records'!$E$3:$E$66,MATCH(RIGHT(Q180,255),RIGHT('Disaggregation Records'!$D$3:$D$66,255),0))="","",INDEX('Disaggregation Records'!$E$3:$E$66,MATCH(RIGHT(Q180,255),RIGHT('Disaggregation Records'!$D$3:$D$66,255),0))),"")</f>
        <v/>
      </c>
      <c r="S180" s="89" t="str">
        <f t="array" aca="1" ref="S180" ca="1">IFERROR(IF(INDEX('Disaggregation Records'!$F$3:$F$66,MATCH(RIGHT(Q180,255),RIGHT('Disaggregation Records'!$D$3:$D$66,255),0))="","",INDEX('Disaggregation Records'!$F$3:$F$66,MATCH(RIGHT(Q180,255),RIGHT('Disaggregation Records'!$D$3:$D$66,255),0))),"")</f>
        <v/>
      </c>
      <c r="T180" s="89" t="str">
        <f t="array" aca="1" ref="T180" ca="1">IFERROR(IF(INDEX('Disaggregation Records'!$H$3:$H$66,MATCH(RIGHT(Q180,255),RIGHT('Disaggregation Records'!$D$3:$D$66,255),0))="","",INDEX('Disaggregation Records'!$H$3:$H$66,MATCH(RIGHT(Q180,255),RIGHT('Disaggregation Records'!$D$3:$D$66,255),0))),"")</f>
        <v/>
      </c>
      <c r="U180" s="89">
        <f>U178+1</f>
        <v>1276</v>
      </c>
      <c r="V180" s="89" t="str">
        <f t="array" aca="1" ref="V180" ca="1">IFERROR(IF(INDEX('Disaggregation Records'!$I$3:$I$66,MATCH(RIGHT(Q180,255),RIGHT('Disaggregation Records'!$D$3:$D$66,255),0))="","",INDEX('Disaggregation Records'!$I$3:$I$66,MATCH(RIGHT(Q180,255),RIGHT('Disaggregation Records'!$D$3:$D$66,255),0))),"")</f>
        <v/>
      </c>
      <c r="W180" s="89" t="str">
        <f ca="1">IFERROR(INDEX('Reference Records'!O$3:O$19,MATCH(LEFT(C180,255),'Reference Records'!J$3:J$19,0)),"")</f>
        <v/>
      </c>
    </row>
    <row r="181" spans="1:23" s="125" customFormat="1" ht="40.35" customHeight="1">
      <c r="A181" s="564"/>
      <c r="B181" s="799">
        <v>6.6879699248120303</v>
      </c>
      <c r="C181" s="800"/>
      <c r="D181" s="801"/>
      <c r="E181" s="801"/>
      <c r="F181" s="128"/>
      <c r="G181" s="802"/>
      <c r="H181" s="781"/>
      <c r="I181" s="803"/>
      <c r="J181" s="779"/>
      <c r="K181" s="800"/>
      <c r="L181" s="800"/>
      <c r="M181" s="779"/>
      <c r="N181" s="779"/>
    </row>
    <row r="182" spans="1:23" s="89" customFormat="1" ht="40.35" customHeight="1">
      <c r="A182" s="564" t="str">
        <f t="shared" ca="1" si="2"/>
        <v>a1G3p000005dHbTEAU</v>
      </c>
      <c r="B182" s="794">
        <v>9</v>
      </c>
      <c r="C182" s="795" t="str">
        <f ca="1">IFERROR(VLOOKUP(B182,'Impact Indicators - Section B '!$A$9:$AF$52,32,FALSE),"")</f>
        <v/>
      </c>
      <c r="D182" s="796" t="str">
        <f ca="1">R182</f>
        <v/>
      </c>
      <c r="E182" s="796" t="str">
        <f ca="1">S182</f>
        <v/>
      </c>
      <c r="F182" s="127"/>
      <c r="G182" s="797" t="str">
        <f ca="1">IF(OR(INDIRECT("'update Helper'!E"&amp;U182)="",F182&lt;&gt;0,F183&lt;&gt;0),IF(IFERROR((F182/F183),"")="","",(F182/F183)),INDIRECT("'update Helper'!E"&amp;U182)/100)</f>
        <v/>
      </c>
      <c r="H182" s="784"/>
      <c r="I182" s="798"/>
      <c r="J182" s="777"/>
      <c r="K182" s="795" t="str">
        <f ca="1">W182</f>
        <v/>
      </c>
      <c r="L182" s="795" t="str">
        <f ca="1">V182</f>
        <v/>
      </c>
      <c r="M182" s="777"/>
      <c r="N182" s="777"/>
      <c r="P182" s="89">
        <f ca="1">IF(AND(EXACT(C182,C180),C180&lt;&gt;0),P180+1,0)</f>
        <v>46</v>
      </c>
      <c r="Q182" s="89" t="str">
        <f ca="1">IF(C182&lt;&gt;"",C182&amp;"-"&amp;P182,"")</f>
        <v/>
      </c>
      <c r="R182" s="89" t="str">
        <f t="array" aca="1" ref="R182" ca="1">IFERROR(IF(INDEX('Disaggregation Records'!$E$3:$E$66,MATCH(RIGHT(Q182,255),RIGHT('Disaggregation Records'!$D$3:$D$66,255),0))="","",INDEX('Disaggregation Records'!$E$3:$E$66,MATCH(RIGHT(Q182,255),RIGHT('Disaggregation Records'!$D$3:$D$66,255),0))),"")</f>
        <v/>
      </c>
      <c r="S182" s="89" t="str">
        <f t="array" aca="1" ref="S182" ca="1">IFERROR(IF(INDEX('Disaggregation Records'!$F$3:$F$66,MATCH(RIGHT(Q182,255),RIGHT('Disaggregation Records'!$D$3:$D$66,255),0))="","",INDEX('Disaggregation Records'!$F$3:$F$66,MATCH(RIGHT(Q182,255),RIGHT('Disaggregation Records'!$D$3:$D$66,255),0))),"")</f>
        <v/>
      </c>
      <c r="T182" s="89" t="str">
        <f t="array" aca="1" ref="T182" ca="1">IFERROR(IF(INDEX('Disaggregation Records'!$H$3:$H$66,MATCH(RIGHT(Q182,255),RIGHT('Disaggregation Records'!$D$3:$D$66,255),0))="","",INDEX('Disaggregation Records'!$H$3:$H$66,MATCH(RIGHT(Q182,255),RIGHT('Disaggregation Records'!$D$3:$D$66,255),0))),"")</f>
        <v/>
      </c>
      <c r="U182" s="89">
        <f>U180+1</f>
        <v>1277</v>
      </c>
      <c r="V182" s="89" t="str">
        <f t="array" aca="1" ref="V182" ca="1">IFERROR(IF(INDEX('Disaggregation Records'!$I$3:$I$66,MATCH(RIGHT(Q182,255),RIGHT('Disaggregation Records'!$D$3:$D$66,255),0))="","",INDEX('Disaggregation Records'!$I$3:$I$66,MATCH(RIGHT(Q182,255),RIGHT('Disaggregation Records'!$D$3:$D$66,255),0))),"")</f>
        <v/>
      </c>
      <c r="W182" s="89" t="str">
        <f ca="1">IFERROR(INDEX('Reference Records'!O$3:O$19,MATCH(LEFT(C182,255),'Reference Records'!J$3:J$19,0)),"")</f>
        <v/>
      </c>
    </row>
    <row r="183" spans="1:23" s="89" customFormat="1" ht="40.35" customHeight="1">
      <c r="A183" s="564"/>
      <c r="B183" s="799">
        <v>6.6879699248120303</v>
      </c>
      <c r="C183" s="800"/>
      <c r="D183" s="801"/>
      <c r="E183" s="801"/>
      <c r="F183" s="128"/>
      <c r="G183" s="802"/>
      <c r="H183" s="781"/>
      <c r="I183" s="803"/>
      <c r="J183" s="779"/>
      <c r="K183" s="800"/>
      <c r="L183" s="800"/>
      <c r="M183" s="779"/>
      <c r="N183" s="779"/>
      <c r="P183" s="125"/>
      <c r="Q183" s="125"/>
      <c r="R183" s="125"/>
      <c r="S183" s="125"/>
      <c r="T183" s="125"/>
      <c r="U183" s="125"/>
      <c r="V183" s="125"/>
      <c r="W183" s="125"/>
    </row>
    <row r="184" spans="1:23" s="89" customFormat="1" ht="40.35" customHeight="1">
      <c r="A184" s="564" t="str">
        <f t="shared" ca="1" si="2"/>
        <v>a1G3p000005dHbUEAU</v>
      </c>
      <c r="B184" s="794">
        <v>9</v>
      </c>
      <c r="C184" s="795" t="str">
        <f ca="1">IFERROR(VLOOKUP(B184,'Impact Indicators - Section B '!$A$9:$AF$52,32,FALSE),"")</f>
        <v/>
      </c>
      <c r="D184" s="796" t="str">
        <f ca="1">R184</f>
        <v/>
      </c>
      <c r="E184" s="796" t="str">
        <f ca="1">S184</f>
        <v/>
      </c>
      <c r="F184" s="127"/>
      <c r="G184" s="797" t="str">
        <f ca="1">IF(OR(INDIRECT("'update Helper'!E"&amp;U184)="",F184&lt;&gt;0,F185&lt;&gt;0),IF(IFERROR((F184/F185),"")="","",(F184/F185)),INDIRECT("'update Helper'!E"&amp;U184)/100)</f>
        <v/>
      </c>
      <c r="H184" s="784"/>
      <c r="I184" s="798"/>
      <c r="J184" s="777"/>
      <c r="K184" s="795" t="str">
        <f ca="1">W184</f>
        <v/>
      </c>
      <c r="L184" s="795" t="str">
        <f ca="1">V184</f>
        <v/>
      </c>
      <c r="M184" s="777"/>
      <c r="N184" s="777"/>
      <c r="P184" s="89">
        <f ca="1">IF(AND(EXACT(C184,C182),C182&lt;&gt;0),P182+1,0)</f>
        <v>47</v>
      </c>
      <c r="Q184" s="89" t="str">
        <f ca="1">IF(C184&lt;&gt;"",C184&amp;"-"&amp;P184,"")</f>
        <v/>
      </c>
      <c r="R184" s="89" t="str">
        <f t="array" aca="1" ref="R184" ca="1">IFERROR(IF(INDEX('Disaggregation Records'!$E$3:$E$66,MATCH(RIGHT(Q184,255),RIGHT('Disaggregation Records'!$D$3:$D$66,255),0))="","",INDEX('Disaggregation Records'!$E$3:$E$66,MATCH(RIGHT(Q184,255),RIGHT('Disaggregation Records'!$D$3:$D$66,255),0))),"")</f>
        <v/>
      </c>
      <c r="S184" s="89" t="str">
        <f t="array" aca="1" ref="S184" ca="1">IFERROR(IF(INDEX('Disaggregation Records'!$F$3:$F$66,MATCH(RIGHT(Q184,255),RIGHT('Disaggregation Records'!$D$3:$D$66,255),0))="","",INDEX('Disaggregation Records'!$F$3:$F$66,MATCH(RIGHT(Q184,255),RIGHT('Disaggregation Records'!$D$3:$D$66,255),0))),"")</f>
        <v/>
      </c>
      <c r="T184" s="89" t="str">
        <f t="array" aca="1" ref="T184" ca="1">IFERROR(IF(INDEX('Disaggregation Records'!$H$3:$H$66,MATCH(RIGHT(Q184,255),RIGHT('Disaggregation Records'!$D$3:$D$66,255),0))="","",INDEX('Disaggregation Records'!$H$3:$H$66,MATCH(RIGHT(Q184,255),RIGHT('Disaggregation Records'!$D$3:$D$66,255),0))),"")</f>
        <v/>
      </c>
      <c r="U184" s="89">
        <f>U182+1</f>
        <v>1278</v>
      </c>
      <c r="V184" s="89" t="str">
        <f t="array" aca="1" ref="V184" ca="1">IFERROR(IF(INDEX('Disaggregation Records'!$I$3:$I$66,MATCH(RIGHT(Q184,255),RIGHT('Disaggregation Records'!$D$3:$D$66,255),0))="","",INDEX('Disaggregation Records'!$I$3:$I$66,MATCH(RIGHT(Q184,255),RIGHT('Disaggregation Records'!$D$3:$D$66,255),0))),"")</f>
        <v/>
      </c>
      <c r="W184" s="89" t="str">
        <f ca="1">IFERROR(INDEX('Reference Records'!O$3:O$19,MATCH(LEFT(C184,255),'Reference Records'!J$3:J$19,0)),"")</f>
        <v/>
      </c>
    </row>
    <row r="185" spans="1:23" s="125" customFormat="1" ht="40.35" customHeight="1">
      <c r="A185" s="564"/>
      <c r="B185" s="799">
        <v>6.6879699248120303</v>
      </c>
      <c r="C185" s="800"/>
      <c r="D185" s="801"/>
      <c r="E185" s="801"/>
      <c r="F185" s="128"/>
      <c r="G185" s="802"/>
      <c r="H185" s="781"/>
      <c r="I185" s="803"/>
      <c r="J185" s="779"/>
      <c r="K185" s="800"/>
      <c r="L185" s="800"/>
      <c r="M185" s="779"/>
      <c r="N185" s="779"/>
    </row>
    <row r="186" spans="1:23" s="89" customFormat="1" ht="40.35" customHeight="1">
      <c r="A186" s="564" t="str">
        <f t="shared" ca="1" si="2"/>
        <v>a1G3p000005dHbVEAU</v>
      </c>
      <c r="B186" s="794">
        <v>9</v>
      </c>
      <c r="C186" s="795" t="str">
        <f ca="1">IFERROR(VLOOKUP(B186,'Impact Indicators - Section B '!$A$9:$AF$52,32,FALSE),"")</f>
        <v/>
      </c>
      <c r="D186" s="796" t="str">
        <f ca="1">R186</f>
        <v/>
      </c>
      <c r="E186" s="796" t="str">
        <f ca="1">S186</f>
        <v/>
      </c>
      <c r="F186" s="127"/>
      <c r="G186" s="797" t="str">
        <f ca="1">IF(OR(INDIRECT("'update Helper'!E"&amp;U186)="",F186&lt;&gt;0,F187&lt;&gt;0),IF(IFERROR((F186/F187),"")="","",(F186/F187)),INDIRECT("'update Helper'!E"&amp;U186)/100)</f>
        <v/>
      </c>
      <c r="H186" s="784"/>
      <c r="I186" s="798"/>
      <c r="J186" s="777"/>
      <c r="K186" s="795" t="str">
        <f ca="1">W186</f>
        <v/>
      </c>
      <c r="L186" s="795" t="str">
        <f ca="1">V186</f>
        <v/>
      </c>
      <c r="M186" s="777"/>
      <c r="N186" s="777"/>
      <c r="P186" s="89">
        <f ca="1">IF(AND(EXACT(C186,C184),C184&lt;&gt;0),P184+1,0)</f>
        <v>48</v>
      </c>
      <c r="Q186" s="89" t="str">
        <f ca="1">IF(C186&lt;&gt;"",C186&amp;"-"&amp;P186,"")</f>
        <v/>
      </c>
      <c r="R186" s="89" t="str">
        <f t="array" aca="1" ref="R186" ca="1">IFERROR(IF(INDEX('Disaggregation Records'!$E$3:$E$66,MATCH(RIGHT(Q186,255),RIGHT('Disaggregation Records'!$D$3:$D$66,255),0))="","",INDEX('Disaggregation Records'!$E$3:$E$66,MATCH(RIGHT(Q186,255),RIGHT('Disaggregation Records'!$D$3:$D$66,255),0))),"")</f>
        <v/>
      </c>
      <c r="S186" s="89" t="str">
        <f t="array" aca="1" ref="S186" ca="1">IFERROR(IF(INDEX('Disaggregation Records'!$F$3:$F$66,MATCH(RIGHT(Q186,255),RIGHT('Disaggregation Records'!$D$3:$D$66,255),0))="","",INDEX('Disaggregation Records'!$F$3:$F$66,MATCH(RIGHT(Q186,255),RIGHT('Disaggregation Records'!$D$3:$D$66,255),0))),"")</f>
        <v/>
      </c>
      <c r="T186" s="89" t="str">
        <f t="array" aca="1" ref="T186" ca="1">IFERROR(IF(INDEX('Disaggregation Records'!$H$3:$H$66,MATCH(RIGHT(Q186,255),RIGHT('Disaggregation Records'!$D$3:$D$66,255),0))="","",INDEX('Disaggregation Records'!$H$3:$H$66,MATCH(RIGHT(Q186,255),RIGHT('Disaggregation Records'!$D$3:$D$66,255),0))),"")</f>
        <v/>
      </c>
      <c r="U186" s="89">
        <f>U184+1</f>
        <v>1279</v>
      </c>
      <c r="V186" s="89" t="str">
        <f t="array" aca="1" ref="V186" ca="1">IFERROR(IF(INDEX('Disaggregation Records'!$I$3:$I$66,MATCH(RIGHT(Q186,255),RIGHT('Disaggregation Records'!$D$3:$D$66,255),0))="","",INDEX('Disaggregation Records'!$I$3:$I$66,MATCH(RIGHT(Q186,255),RIGHT('Disaggregation Records'!$D$3:$D$66,255),0))),"")</f>
        <v/>
      </c>
      <c r="W186" s="89" t="str">
        <f ca="1">IFERROR(INDEX('Reference Records'!O$3:O$19,MATCH(LEFT(C186,255),'Reference Records'!J$3:J$19,0)),"")</f>
        <v/>
      </c>
    </row>
    <row r="187" spans="1:23" s="125" customFormat="1" ht="40.35" customHeight="1">
      <c r="A187" s="564"/>
      <c r="B187" s="799">
        <v>6.6879699248120303</v>
      </c>
      <c r="C187" s="800"/>
      <c r="D187" s="801"/>
      <c r="E187" s="801"/>
      <c r="F187" s="128"/>
      <c r="G187" s="802"/>
      <c r="H187" s="781"/>
      <c r="I187" s="803"/>
      <c r="J187" s="779"/>
      <c r="K187" s="800"/>
      <c r="L187" s="800"/>
      <c r="M187" s="779"/>
      <c r="N187" s="779"/>
    </row>
    <row r="188" spans="1:23" s="89" customFormat="1" ht="40.35" customHeight="1">
      <c r="A188" s="564" t="str">
        <f t="shared" ca="1" si="2"/>
        <v>a1G3p000005dHbWEAU</v>
      </c>
      <c r="B188" s="794">
        <v>9</v>
      </c>
      <c r="C188" s="795" t="str">
        <f ca="1">IFERROR(VLOOKUP(B188,'Impact Indicators - Section B '!$A$9:$AF$52,32,FALSE),"")</f>
        <v/>
      </c>
      <c r="D188" s="796" t="str">
        <f ca="1">R188</f>
        <v/>
      </c>
      <c r="E188" s="796" t="str">
        <f ca="1">S188</f>
        <v/>
      </c>
      <c r="F188" s="127"/>
      <c r="G188" s="797" t="str">
        <f ca="1">IF(OR(INDIRECT("'update Helper'!E"&amp;U188)="",F188&lt;&gt;0,F189&lt;&gt;0),IF(IFERROR((F188/F189),"")="","",(F188/F189)),INDIRECT("'update Helper'!E"&amp;U188)/100)</f>
        <v/>
      </c>
      <c r="H188" s="784"/>
      <c r="I188" s="798"/>
      <c r="J188" s="777"/>
      <c r="K188" s="795" t="str">
        <f ca="1">W188</f>
        <v/>
      </c>
      <c r="L188" s="795" t="str">
        <f ca="1">V188</f>
        <v/>
      </c>
      <c r="M188" s="777"/>
      <c r="N188" s="777"/>
      <c r="P188" s="89">
        <f ca="1">IF(AND(EXACT(C188,C186),C186&lt;&gt;0),P186+1,0)</f>
        <v>49</v>
      </c>
      <c r="Q188" s="89" t="str">
        <f ca="1">IF(C188&lt;&gt;"",C188&amp;"-"&amp;P188,"")</f>
        <v/>
      </c>
      <c r="R188" s="89" t="str">
        <f t="array" aca="1" ref="R188" ca="1">IFERROR(IF(INDEX('Disaggregation Records'!$E$3:$E$66,MATCH(RIGHT(Q188,255),RIGHT('Disaggregation Records'!$D$3:$D$66,255),0))="","",INDEX('Disaggregation Records'!$E$3:$E$66,MATCH(RIGHT(Q188,255),RIGHT('Disaggregation Records'!$D$3:$D$66,255),0))),"")</f>
        <v/>
      </c>
      <c r="S188" s="89" t="str">
        <f t="array" aca="1" ref="S188" ca="1">IFERROR(IF(INDEX('Disaggregation Records'!$F$3:$F$66,MATCH(RIGHT(Q188,255),RIGHT('Disaggregation Records'!$D$3:$D$66,255),0))="","",INDEX('Disaggregation Records'!$F$3:$F$66,MATCH(RIGHT(Q188,255),RIGHT('Disaggregation Records'!$D$3:$D$66,255),0))),"")</f>
        <v/>
      </c>
      <c r="T188" s="89" t="str">
        <f t="array" aca="1" ref="T188" ca="1">IFERROR(IF(INDEX('Disaggregation Records'!$H$3:$H$66,MATCH(RIGHT(Q188,255),RIGHT('Disaggregation Records'!$D$3:$D$66,255),0))="","",INDEX('Disaggregation Records'!$H$3:$H$66,MATCH(RIGHT(Q188,255),RIGHT('Disaggregation Records'!$D$3:$D$66,255),0))),"")</f>
        <v/>
      </c>
      <c r="U188" s="89">
        <f>U186+1</f>
        <v>1280</v>
      </c>
      <c r="V188" s="89" t="str">
        <f t="array" aca="1" ref="V188" ca="1">IFERROR(IF(INDEX('Disaggregation Records'!$I$3:$I$66,MATCH(RIGHT(Q188,255),RIGHT('Disaggregation Records'!$D$3:$D$66,255),0))="","",INDEX('Disaggregation Records'!$I$3:$I$66,MATCH(RIGHT(Q188,255),RIGHT('Disaggregation Records'!$D$3:$D$66,255),0))),"")</f>
        <v/>
      </c>
      <c r="W188" s="89" t="str">
        <f ca="1">IFERROR(INDEX('Reference Records'!O$3:O$19,MATCH(LEFT(C188,255),'Reference Records'!J$3:J$19,0)),"")</f>
        <v/>
      </c>
    </row>
    <row r="189" spans="1:23" s="89" customFormat="1" ht="40.35" customHeight="1">
      <c r="A189" s="564"/>
      <c r="B189" s="799">
        <v>6.6879699248120303</v>
      </c>
      <c r="C189" s="800"/>
      <c r="D189" s="801"/>
      <c r="E189" s="801"/>
      <c r="F189" s="128"/>
      <c r="G189" s="802"/>
      <c r="H189" s="781"/>
      <c r="I189" s="803"/>
      <c r="J189" s="779"/>
      <c r="K189" s="800"/>
      <c r="L189" s="800"/>
      <c r="M189" s="779"/>
      <c r="N189" s="779"/>
      <c r="P189" s="125"/>
      <c r="Q189" s="125"/>
      <c r="R189" s="125"/>
      <c r="S189" s="125"/>
      <c r="T189" s="125"/>
      <c r="U189" s="125"/>
      <c r="V189" s="125"/>
      <c r="W189" s="125"/>
    </row>
    <row r="190" spans="1:23" s="89" customFormat="1" ht="40.35" customHeight="1">
      <c r="A190" s="564" t="str">
        <f t="shared" ca="1" si="2"/>
        <v>a1G3p000005dHbXEAU</v>
      </c>
      <c r="B190" s="794">
        <v>10</v>
      </c>
      <c r="C190" s="795" t="str">
        <f ca="1">IFERROR(VLOOKUP(B190,'Impact Indicators - Section B '!$A$9:$AF$52,32,FALSE),"")</f>
        <v/>
      </c>
      <c r="D190" s="796" t="str">
        <f ca="1">R190</f>
        <v/>
      </c>
      <c r="E190" s="796" t="str">
        <f ca="1">S190</f>
        <v/>
      </c>
      <c r="F190" s="127"/>
      <c r="G190" s="797" t="str">
        <f ca="1">IF(OR(INDIRECT("'update Helper'!E"&amp;U190)="",F190&lt;&gt;0,F191&lt;&gt;0),IF(IFERROR((F190/F191),"")="","",(F190/F191)),INDIRECT("'update Helper'!E"&amp;U190)/100)</f>
        <v/>
      </c>
      <c r="H190" s="784"/>
      <c r="I190" s="798"/>
      <c r="J190" s="777"/>
      <c r="K190" s="795" t="str">
        <f ca="1">W190</f>
        <v/>
      </c>
      <c r="L190" s="795" t="str">
        <f ca="1">V190</f>
        <v/>
      </c>
      <c r="M190" s="777"/>
      <c r="N190" s="777"/>
      <c r="P190" s="89">
        <f ca="1">IF(AND(EXACT(C190,C188),C188&lt;&gt;0),P188+1,0)</f>
        <v>50</v>
      </c>
      <c r="Q190" s="89" t="str">
        <f ca="1">IF(C190&lt;&gt;"",C190&amp;"-"&amp;P190,"")</f>
        <v/>
      </c>
      <c r="R190" s="89" t="str">
        <f t="array" aca="1" ref="R190" ca="1">IFERROR(IF(INDEX('Disaggregation Records'!$E$3:$E$66,MATCH(RIGHT(Q190,255),RIGHT('Disaggregation Records'!$D$3:$D$66,255),0))="","",INDEX('Disaggregation Records'!$E$3:$E$66,MATCH(RIGHT(Q190,255),RIGHT('Disaggregation Records'!$D$3:$D$66,255),0))),"")</f>
        <v/>
      </c>
      <c r="S190" s="89" t="str">
        <f t="array" aca="1" ref="S190" ca="1">IFERROR(IF(INDEX('Disaggregation Records'!$F$3:$F$66,MATCH(RIGHT(Q190,255),RIGHT('Disaggregation Records'!$D$3:$D$66,255),0))="","",INDEX('Disaggregation Records'!$F$3:$F$66,MATCH(RIGHT(Q190,255),RIGHT('Disaggregation Records'!$D$3:$D$66,255),0))),"")</f>
        <v/>
      </c>
      <c r="T190" s="89" t="str">
        <f t="array" aca="1" ref="T190" ca="1">IFERROR(IF(INDEX('Disaggregation Records'!$H$3:$H$66,MATCH(RIGHT(Q190,255),RIGHT('Disaggregation Records'!$D$3:$D$66,255),0))="","",INDEX('Disaggregation Records'!$H$3:$H$66,MATCH(RIGHT(Q190,255),RIGHT('Disaggregation Records'!$D$3:$D$66,255),0))),"")</f>
        <v/>
      </c>
      <c r="U190" s="89">
        <f>U188+1</f>
        <v>1281</v>
      </c>
      <c r="V190" s="89" t="str">
        <f t="array" aca="1" ref="V190" ca="1">IFERROR(IF(INDEX('Disaggregation Records'!$I$3:$I$66,MATCH(RIGHT(Q190,255),RIGHT('Disaggregation Records'!$D$3:$D$66,255),0))="","",INDEX('Disaggregation Records'!$I$3:$I$66,MATCH(RIGHT(Q190,255),RIGHT('Disaggregation Records'!$D$3:$D$66,255),0))),"")</f>
        <v/>
      </c>
      <c r="W190" s="89" t="str">
        <f ca="1">IFERROR(INDEX('Reference Records'!O$3:O$19,MATCH(LEFT(C190,255),'Reference Records'!J$3:J$19,0)),"")</f>
        <v/>
      </c>
    </row>
    <row r="191" spans="1:23" s="125" customFormat="1" ht="40.35" customHeight="1">
      <c r="A191" s="564"/>
      <c r="B191" s="799">
        <v>7.4398496240601597</v>
      </c>
      <c r="C191" s="800"/>
      <c r="D191" s="801"/>
      <c r="E191" s="801"/>
      <c r="F191" s="128"/>
      <c r="G191" s="802"/>
      <c r="H191" s="781"/>
      <c r="I191" s="803"/>
      <c r="J191" s="779"/>
      <c r="K191" s="800"/>
      <c r="L191" s="800"/>
      <c r="M191" s="779"/>
      <c r="N191" s="779"/>
    </row>
    <row r="192" spans="1:23" s="89" customFormat="1" ht="40.35" customHeight="1">
      <c r="A192" s="564" t="str">
        <f t="shared" ca="1" si="2"/>
        <v>a1G3p000005dHbYEAU</v>
      </c>
      <c r="B192" s="794">
        <v>10</v>
      </c>
      <c r="C192" s="795" t="str">
        <f ca="1">IFERROR(VLOOKUP(B192,'Impact Indicators - Section B '!$A$9:$AF$52,32,FALSE),"")</f>
        <v/>
      </c>
      <c r="D192" s="796" t="str">
        <f ca="1">R192</f>
        <v/>
      </c>
      <c r="E192" s="796" t="str">
        <f ca="1">S192</f>
        <v/>
      </c>
      <c r="F192" s="127"/>
      <c r="G192" s="797" t="str">
        <f ca="1">IF(OR(INDIRECT("'update Helper'!E"&amp;U192)="",F192&lt;&gt;0,F193&lt;&gt;0),IF(IFERROR((F192/F193),"")="","",(F192/F193)),INDIRECT("'update Helper'!E"&amp;U192)/100)</f>
        <v/>
      </c>
      <c r="H192" s="784"/>
      <c r="I192" s="798"/>
      <c r="J192" s="777"/>
      <c r="K192" s="795" t="str">
        <f ca="1">W192</f>
        <v/>
      </c>
      <c r="L192" s="795" t="str">
        <f ca="1">V192</f>
        <v/>
      </c>
      <c r="M192" s="777"/>
      <c r="N192" s="777"/>
      <c r="P192" s="89">
        <f ca="1">IF(AND(EXACT(C192,C190),C190&lt;&gt;0),P190+1,0)</f>
        <v>51</v>
      </c>
      <c r="Q192" s="89" t="str">
        <f ca="1">IF(C192&lt;&gt;"",C192&amp;"-"&amp;P192,"")</f>
        <v/>
      </c>
      <c r="R192" s="89" t="str">
        <f t="array" aca="1" ref="R192" ca="1">IFERROR(IF(INDEX('Disaggregation Records'!$E$3:$E$66,MATCH(RIGHT(Q192,255),RIGHT('Disaggregation Records'!$D$3:$D$66,255),0))="","",INDEX('Disaggregation Records'!$E$3:$E$66,MATCH(RIGHT(Q192,255),RIGHT('Disaggregation Records'!$D$3:$D$66,255),0))),"")</f>
        <v/>
      </c>
      <c r="S192" s="89" t="str">
        <f t="array" aca="1" ref="S192" ca="1">IFERROR(IF(INDEX('Disaggregation Records'!$F$3:$F$66,MATCH(RIGHT(Q192,255),RIGHT('Disaggregation Records'!$D$3:$D$66,255),0))="","",INDEX('Disaggregation Records'!$F$3:$F$66,MATCH(RIGHT(Q192,255),RIGHT('Disaggregation Records'!$D$3:$D$66,255),0))),"")</f>
        <v/>
      </c>
      <c r="T192" s="89" t="str">
        <f t="array" aca="1" ref="T192" ca="1">IFERROR(IF(INDEX('Disaggregation Records'!$H$3:$H$66,MATCH(RIGHT(Q192,255),RIGHT('Disaggregation Records'!$D$3:$D$66,255),0))="","",INDEX('Disaggregation Records'!$H$3:$H$66,MATCH(RIGHT(Q192,255),RIGHT('Disaggregation Records'!$D$3:$D$66,255),0))),"")</f>
        <v/>
      </c>
      <c r="U192" s="89">
        <f>U190+1</f>
        <v>1282</v>
      </c>
      <c r="V192" s="89" t="str">
        <f t="array" aca="1" ref="V192" ca="1">IFERROR(IF(INDEX('Disaggregation Records'!$I$3:$I$66,MATCH(RIGHT(Q192,255),RIGHT('Disaggregation Records'!$D$3:$D$66,255),0))="","",INDEX('Disaggregation Records'!$I$3:$I$66,MATCH(RIGHT(Q192,255),RIGHT('Disaggregation Records'!$D$3:$D$66,255),0))),"")</f>
        <v/>
      </c>
      <c r="W192" s="89" t="str">
        <f ca="1">IFERROR(INDEX('Reference Records'!O$3:O$19,MATCH(LEFT(C192,255),'Reference Records'!J$3:J$19,0)),"")</f>
        <v/>
      </c>
    </row>
    <row r="193" spans="1:23" s="125" customFormat="1" ht="40.35" customHeight="1">
      <c r="A193" s="564"/>
      <c r="B193" s="799">
        <v>7.4398496240601597</v>
      </c>
      <c r="C193" s="800"/>
      <c r="D193" s="801"/>
      <c r="E193" s="801"/>
      <c r="F193" s="128"/>
      <c r="G193" s="802"/>
      <c r="H193" s="781"/>
      <c r="I193" s="803"/>
      <c r="J193" s="779"/>
      <c r="K193" s="800"/>
      <c r="L193" s="800"/>
      <c r="M193" s="779"/>
      <c r="N193" s="779"/>
    </row>
    <row r="194" spans="1:23" s="89" customFormat="1" ht="40.35" customHeight="1">
      <c r="A194" s="564" t="str">
        <f t="shared" ca="1" si="2"/>
        <v>a1G3p000005dHbZEAU</v>
      </c>
      <c r="B194" s="794">
        <v>10</v>
      </c>
      <c r="C194" s="795" t="str">
        <f ca="1">IFERROR(VLOOKUP(B194,'Impact Indicators - Section B '!$A$9:$AF$52,32,FALSE),"")</f>
        <v/>
      </c>
      <c r="D194" s="796" t="str">
        <f ca="1">R194</f>
        <v/>
      </c>
      <c r="E194" s="796" t="str">
        <f ca="1">S194</f>
        <v/>
      </c>
      <c r="F194" s="127"/>
      <c r="G194" s="797" t="str">
        <f ca="1">IF(OR(INDIRECT("'update Helper'!E"&amp;U194)="",F194&lt;&gt;0,F195&lt;&gt;0),IF(IFERROR((F194/F195),"")="","",(F194/F195)),INDIRECT("'update Helper'!E"&amp;U194)/100)</f>
        <v/>
      </c>
      <c r="H194" s="784"/>
      <c r="I194" s="798"/>
      <c r="J194" s="777"/>
      <c r="K194" s="795" t="str">
        <f ca="1">W194</f>
        <v/>
      </c>
      <c r="L194" s="795" t="str">
        <f ca="1">V194</f>
        <v/>
      </c>
      <c r="M194" s="777"/>
      <c r="N194" s="777"/>
      <c r="P194" s="89">
        <f ca="1">IF(AND(EXACT(C194,C192),C192&lt;&gt;0),P192+1,0)</f>
        <v>52</v>
      </c>
      <c r="Q194" s="89" t="str">
        <f ca="1">IF(C194&lt;&gt;"",C194&amp;"-"&amp;P194,"")</f>
        <v/>
      </c>
      <c r="R194" s="89" t="str">
        <f t="array" aca="1" ref="R194" ca="1">IFERROR(IF(INDEX('Disaggregation Records'!$E$3:$E$66,MATCH(RIGHT(Q194,255),RIGHT('Disaggregation Records'!$D$3:$D$66,255),0))="","",INDEX('Disaggregation Records'!$E$3:$E$66,MATCH(RIGHT(Q194,255),RIGHT('Disaggregation Records'!$D$3:$D$66,255),0))),"")</f>
        <v/>
      </c>
      <c r="S194" s="89" t="str">
        <f t="array" aca="1" ref="S194" ca="1">IFERROR(IF(INDEX('Disaggregation Records'!$F$3:$F$66,MATCH(RIGHT(Q194,255),RIGHT('Disaggregation Records'!$D$3:$D$66,255),0))="","",INDEX('Disaggregation Records'!$F$3:$F$66,MATCH(RIGHT(Q194,255),RIGHT('Disaggregation Records'!$D$3:$D$66,255),0))),"")</f>
        <v/>
      </c>
      <c r="T194" s="89" t="str">
        <f t="array" aca="1" ref="T194" ca="1">IFERROR(IF(INDEX('Disaggregation Records'!$H$3:$H$66,MATCH(RIGHT(Q194,255),RIGHT('Disaggregation Records'!$D$3:$D$66,255),0))="","",INDEX('Disaggregation Records'!$H$3:$H$66,MATCH(RIGHT(Q194,255),RIGHT('Disaggregation Records'!$D$3:$D$66,255),0))),"")</f>
        <v/>
      </c>
      <c r="U194" s="89">
        <f>U192+1</f>
        <v>1283</v>
      </c>
      <c r="V194" s="89" t="str">
        <f t="array" aca="1" ref="V194" ca="1">IFERROR(IF(INDEX('Disaggregation Records'!$I$3:$I$66,MATCH(RIGHT(Q194,255),RIGHT('Disaggregation Records'!$D$3:$D$66,255),0))="","",INDEX('Disaggregation Records'!$I$3:$I$66,MATCH(RIGHT(Q194,255),RIGHT('Disaggregation Records'!$D$3:$D$66,255),0))),"")</f>
        <v/>
      </c>
      <c r="W194" s="89" t="str">
        <f ca="1">IFERROR(INDEX('Reference Records'!O$3:O$19,MATCH(LEFT(C194,255),'Reference Records'!J$3:J$19,0)),"")</f>
        <v/>
      </c>
    </row>
    <row r="195" spans="1:23" s="89" customFormat="1" ht="40.35" customHeight="1">
      <c r="A195" s="564"/>
      <c r="B195" s="799">
        <v>7.4398496240601597</v>
      </c>
      <c r="C195" s="800"/>
      <c r="D195" s="801"/>
      <c r="E195" s="801"/>
      <c r="F195" s="128"/>
      <c r="G195" s="802"/>
      <c r="H195" s="781"/>
      <c r="I195" s="803"/>
      <c r="J195" s="779"/>
      <c r="K195" s="800"/>
      <c r="L195" s="800"/>
      <c r="M195" s="779"/>
      <c r="N195" s="779"/>
      <c r="P195" s="125"/>
      <c r="Q195" s="125"/>
      <c r="R195" s="125"/>
      <c r="S195" s="125"/>
      <c r="T195" s="125"/>
      <c r="U195" s="125"/>
      <c r="V195" s="125"/>
      <c r="W195" s="125"/>
    </row>
    <row r="196" spans="1:23" s="89" customFormat="1" ht="40.35" customHeight="1">
      <c r="A196" s="564" t="str">
        <f t="shared" ca="1" si="2"/>
        <v>a1G3p000005dHbaEAE</v>
      </c>
      <c r="B196" s="794">
        <v>10</v>
      </c>
      <c r="C196" s="795" t="str">
        <f ca="1">IFERROR(VLOOKUP(B196,'Impact Indicators - Section B '!$A$9:$AF$52,32,FALSE),"")</f>
        <v/>
      </c>
      <c r="D196" s="796" t="str">
        <f ca="1">R196</f>
        <v/>
      </c>
      <c r="E196" s="796" t="str">
        <f ca="1">S196</f>
        <v/>
      </c>
      <c r="F196" s="127"/>
      <c r="G196" s="797" t="str">
        <f ca="1">IF(OR(INDIRECT("'update Helper'!E"&amp;U196)="",F196&lt;&gt;0,F197&lt;&gt;0),IF(IFERROR((F196/F197),"")="","",(F196/F197)),INDIRECT("'update Helper'!E"&amp;U196)/100)</f>
        <v/>
      </c>
      <c r="H196" s="784"/>
      <c r="I196" s="798"/>
      <c r="J196" s="777"/>
      <c r="K196" s="795" t="str">
        <f ca="1">W196</f>
        <v/>
      </c>
      <c r="L196" s="795" t="str">
        <f ca="1">V196</f>
        <v/>
      </c>
      <c r="M196" s="777"/>
      <c r="N196" s="777"/>
      <c r="P196" s="89">
        <f ca="1">IF(AND(EXACT(C196,C194),C194&lt;&gt;0),P194+1,0)</f>
        <v>53</v>
      </c>
      <c r="Q196" s="89" t="str">
        <f ca="1">IF(C196&lt;&gt;"",C196&amp;"-"&amp;P196,"")</f>
        <v/>
      </c>
      <c r="R196" s="89" t="str">
        <f t="array" aca="1" ref="R196" ca="1">IFERROR(IF(INDEX('Disaggregation Records'!$E$3:$E$66,MATCH(RIGHT(Q196,255),RIGHT('Disaggregation Records'!$D$3:$D$66,255),0))="","",INDEX('Disaggregation Records'!$E$3:$E$66,MATCH(RIGHT(Q196,255),RIGHT('Disaggregation Records'!$D$3:$D$66,255),0))),"")</f>
        <v/>
      </c>
      <c r="S196" s="89" t="str">
        <f t="array" aca="1" ref="S196" ca="1">IFERROR(IF(INDEX('Disaggregation Records'!$F$3:$F$66,MATCH(RIGHT(Q196,255),RIGHT('Disaggregation Records'!$D$3:$D$66,255),0))="","",INDEX('Disaggregation Records'!$F$3:$F$66,MATCH(RIGHT(Q196,255),RIGHT('Disaggregation Records'!$D$3:$D$66,255),0))),"")</f>
        <v/>
      </c>
      <c r="T196" s="89" t="str">
        <f t="array" aca="1" ref="T196" ca="1">IFERROR(IF(INDEX('Disaggregation Records'!$H$3:$H$66,MATCH(RIGHT(Q196,255),RIGHT('Disaggregation Records'!$D$3:$D$66,255),0))="","",INDEX('Disaggregation Records'!$H$3:$H$66,MATCH(RIGHT(Q196,255),RIGHT('Disaggregation Records'!$D$3:$D$66,255),0))),"")</f>
        <v/>
      </c>
      <c r="U196" s="89">
        <f>U194+1</f>
        <v>1284</v>
      </c>
      <c r="V196" s="89" t="str">
        <f t="array" aca="1" ref="V196" ca="1">IFERROR(IF(INDEX('Disaggregation Records'!$I$3:$I$66,MATCH(RIGHT(Q196,255),RIGHT('Disaggregation Records'!$D$3:$D$66,255),0))="","",INDEX('Disaggregation Records'!$I$3:$I$66,MATCH(RIGHT(Q196,255),RIGHT('Disaggregation Records'!$D$3:$D$66,255),0))),"")</f>
        <v/>
      </c>
      <c r="W196" s="89" t="str">
        <f ca="1">IFERROR(INDEX('Reference Records'!O$3:O$19,MATCH(LEFT(C196,255),'Reference Records'!J$3:J$19,0)),"")</f>
        <v/>
      </c>
    </row>
    <row r="197" spans="1:23" s="125" customFormat="1" ht="40.35" customHeight="1">
      <c r="A197" s="564"/>
      <c r="B197" s="799">
        <v>7.4398496240601597</v>
      </c>
      <c r="C197" s="800"/>
      <c r="D197" s="801"/>
      <c r="E197" s="801"/>
      <c r="F197" s="128"/>
      <c r="G197" s="802"/>
      <c r="H197" s="781"/>
      <c r="I197" s="803"/>
      <c r="J197" s="779"/>
      <c r="K197" s="800"/>
      <c r="L197" s="800"/>
      <c r="M197" s="779"/>
      <c r="N197" s="779"/>
    </row>
    <row r="198" spans="1:23" s="89" customFormat="1" ht="40.35" customHeight="1">
      <c r="A198" s="564" t="str">
        <f t="shared" ca="1" si="2"/>
        <v>a1G3p000005dHbbEAE</v>
      </c>
      <c r="B198" s="794">
        <v>10</v>
      </c>
      <c r="C198" s="795" t="str">
        <f ca="1">IFERROR(VLOOKUP(B198,'Impact Indicators - Section B '!$A$9:$AF$52,32,FALSE),"")</f>
        <v/>
      </c>
      <c r="D198" s="796" t="str">
        <f ca="1">R198</f>
        <v/>
      </c>
      <c r="E198" s="796" t="str">
        <f ca="1">S198</f>
        <v/>
      </c>
      <c r="F198" s="127"/>
      <c r="G198" s="797" t="str">
        <f ca="1">IF(OR(INDIRECT("'update Helper'!E"&amp;U198)="",F198&lt;&gt;0,F199&lt;&gt;0),IF(IFERROR((F198/F199),"")="","",(F198/F199)),INDIRECT("'update Helper'!E"&amp;U198)/100)</f>
        <v/>
      </c>
      <c r="H198" s="784"/>
      <c r="I198" s="798"/>
      <c r="J198" s="777"/>
      <c r="K198" s="795" t="str">
        <f ca="1">W198</f>
        <v/>
      </c>
      <c r="L198" s="795" t="str">
        <f ca="1">V198</f>
        <v/>
      </c>
      <c r="M198" s="777"/>
      <c r="N198" s="777"/>
      <c r="P198" s="89">
        <f ca="1">IF(AND(EXACT(C198,C196),C196&lt;&gt;0),P196+1,0)</f>
        <v>54</v>
      </c>
      <c r="Q198" s="89" t="str">
        <f ca="1">IF(C198&lt;&gt;"",C198&amp;"-"&amp;P198,"")</f>
        <v/>
      </c>
      <c r="R198" s="89" t="str">
        <f t="array" aca="1" ref="R198" ca="1">IFERROR(IF(INDEX('Disaggregation Records'!$E$3:$E$66,MATCH(RIGHT(Q198,255),RIGHT('Disaggregation Records'!$D$3:$D$66,255),0))="","",INDEX('Disaggregation Records'!$E$3:$E$66,MATCH(RIGHT(Q198,255),RIGHT('Disaggregation Records'!$D$3:$D$66,255),0))),"")</f>
        <v/>
      </c>
      <c r="S198" s="89" t="str">
        <f t="array" aca="1" ref="S198" ca="1">IFERROR(IF(INDEX('Disaggregation Records'!$F$3:$F$66,MATCH(RIGHT(Q198,255),RIGHT('Disaggregation Records'!$D$3:$D$66,255),0))="","",INDEX('Disaggregation Records'!$F$3:$F$66,MATCH(RIGHT(Q198,255),RIGHT('Disaggregation Records'!$D$3:$D$66,255),0))),"")</f>
        <v/>
      </c>
      <c r="T198" s="89" t="str">
        <f t="array" aca="1" ref="T198" ca="1">IFERROR(IF(INDEX('Disaggregation Records'!$H$3:$H$66,MATCH(RIGHT(Q198,255),RIGHT('Disaggregation Records'!$D$3:$D$66,255),0))="","",INDEX('Disaggregation Records'!$H$3:$H$66,MATCH(RIGHT(Q198,255),RIGHT('Disaggregation Records'!$D$3:$D$66,255),0))),"")</f>
        <v/>
      </c>
      <c r="U198" s="89">
        <f>U196+1</f>
        <v>1285</v>
      </c>
      <c r="V198" s="89" t="str">
        <f t="array" aca="1" ref="V198" ca="1">IFERROR(IF(INDEX('Disaggregation Records'!$I$3:$I$66,MATCH(RIGHT(Q198,255),RIGHT('Disaggregation Records'!$D$3:$D$66,255),0))="","",INDEX('Disaggregation Records'!$I$3:$I$66,MATCH(RIGHT(Q198,255),RIGHT('Disaggregation Records'!$D$3:$D$66,255),0))),"")</f>
        <v/>
      </c>
      <c r="W198" s="89" t="str">
        <f ca="1">IFERROR(INDEX('Reference Records'!O$3:O$19,MATCH(LEFT(C198,255),'Reference Records'!J$3:J$19,0)),"")</f>
        <v/>
      </c>
    </row>
    <row r="199" spans="1:23" s="125" customFormat="1" ht="40.35" customHeight="1">
      <c r="A199" s="564"/>
      <c r="B199" s="799">
        <v>7.4398496240601597</v>
      </c>
      <c r="C199" s="800"/>
      <c r="D199" s="801"/>
      <c r="E199" s="801"/>
      <c r="F199" s="128"/>
      <c r="G199" s="802"/>
      <c r="H199" s="781"/>
      <c r="I199" s="803"/>
      <c r="J199" s="779"/>
      <c r="K199" s="800"/>
      <c r="L199" s="800"/>
      <c r="M199" s="779"/>
      <c r="N199" s="779"/>
    </row>
    <row r="200" spans="1:23" s="89" customFormat="1" ht="40.35" customHeight="1">
      <c r="A200" s="564" t="str">
        <f t="shared" ca="1" si="2"/>
        <v>a1G3p000005dHbcEAE</v>
      </c>
      <c r="B200" s="794">
        <v>10</v>
      </c>
      <c r="C200" s="795" t="str">
        <f ca="1">IFERROR(VLOOKUP(B200,'Impact Indicators - Section B '!$A$9:$AF$52,32,FALSE),"")</f>
        <v/>
      </c>
      <c r="D200" s="796" t="str">
        <f ca="1">R200</f>
        <v/>
      </c>
      <c r="E200" s="796" t="str">
        <f ca="1">S200</f>
        <v/>
      </c>
      <c r="F200" s="127"/>
      <c r="G200" s="797" t="str">
        <f ca="1">IF(OR(INDIRECT("'update Helper'!E"&amp;U200)="",F200&lt;&gt;0,F201&lt;&gt;0),IF(IFERROR((F200/F201),"")="","",(F200/F201)),INDIRECT("'update Helper'!E"&amp;U200)/100)</f>
        <v/>
      </c>
      <c r="H200" s="784"/>
      <c r="I200" s="798"/>
      <c r="J200" s="777"/>
      <c r="K200" s="795" t="str">
        <f ca="1">W200</f>
        <v/>
      </c>
      <c r="L200" s="795" t="str">
        <f ca="1">V200</f>
        <v/>
      </c>
      <c r="M200" s="777"/>
      <c r="N200" s="777"/>
      <c r="P200" s="89">
        <f ca="1">IF(AND(EXACT(C200,C198),C198&lt;&gt;0),P198+1,0)</f>
        <v>55</v>
      </c>
      <c r="Q200" s="89" t="str">
        <f ca="1">IF(C200&lt;&gt;"",C200&amp;"-"&amp;P200,"")</f>
        <v/>
      </c>
      <c r="R200" s="89" t="str">
        <f t="array" aca="1" ref="R200" ca="1">IFERROR(IF(INDEX('Disaggregation Records'!$E$3:$E$66,MATCH(RIGHT(Q200,255),RIGHT('Disaggregation Records'!$D$3:$D$66,255),0))="","",INDEX('Disaggregation Records'!$E$3:$E$66,MATCH(RIGHT(Q200,255),RIGHT('Disaggregation Records'!$D$3:$D$66,255),0))),"")</f>
        <v/>
      </c>
      <c r="S200" s="89" t="str">
        <f t="array" aca="1" ref="S200" ca="1">IFERROR(IF(INDEX('Disaggregation Records'!$F$3:$F$66,MATCH(RIGHT(Q200,255),RIGHT('Disaggregation Records'!$D$3:$D$66,255),0))="","",INDEX('Disaggregation Records'!$F$3:$F$66,MATCH(RIGHT(Q200,255),RIGHT('Disaggregation Records'!$D$3:$D$66,255),0))),"")</f>
        <v/>
      </c>
      <c r="T200" s="89" t="str">
        <f t="array" aca="1" ref="T200" ca="1">IFERROR(IF(INDEX('Disaggregation Records'!$H$3:$H$66,MATCH(RIGHT(Q200,255),RIGHT('Disaggregation Records'!$D$3:$D$66,255),0))="","",INDEX('Disaggregation Records'!$H$3:$H$66,MATCH(RIGHT(Q200,255),RIGHT('Disaggregation Records'!$D$3:$D$66,255),0))),"")</f>
        <v/>
      </c>
      <c r="U200" s="89">
        <f>U198+1</f>
        <v>1286</v>
      </c>
      <c r="V200" s="89" t="str">
        <f t="array" aca="1" ref="V200" ca="1">IFERROR(IF(INDEX('Disaggregation Records'!$I$3:$I$66,MATCH(RIGHT(Q200,255),RIGHT('Disaggregation Records'!$D$3:$D$66,255),0))="","",INDEX('Disaggregation Records'!$I$3:$I$66,MATCH(RIGHT(Q200,255),RIGHT('Disaggregation Records'!$D$3:$D$66,255),0))),"")</f>
        <v/>
      </c>
      <c r="W200" s="89" t="str">
        <f ca="1">IFERROR(INDEX('Reference Records'!O$3:O$19,MATCH(LEFT(C200,255),'Reference Records'!J$3:J$19,0)),"")</f>
        <v/>
      </c>
    </row>
    <row r="201" spans="1:23" s="89" customFormat="1" ht="40.35" customHeight="1">
      <c r="A201" s="564"/>
      <c r="B201" s="799">
        <v>7.4398496240601597</v>
      </c>
      <c r="C201" s="800"/>
      <c r="D201" s="801"/>
      <c r="E201" s="801"/>
      <c r="F201" s="128"/>
      <c r="G201" s="802"/>
      <c r="H201" s="781"/>
      <c r="I201" s="803"/>
      <c r="J201" s="779"/>
      <c r="K201" s="800"/>
      <c r="L201" s="800"/>
      <c r="M201" s="779"/>
      <c r="N201" s="779"/>
      <c r="P201" s="125"/>
      <c r="Q201" s="125"/>
      <c r="R201" s="125"/>
      <c r="S201" s="125"/>
      <c r="T201" s="125"/>
      <c r="U201" s="125"/>
      <c r="V201" s="125"/>
      <c r="W201" s="125"/>
    </row>
    <row r="202" spans="1:23" s="89" customFormat="1" ht="40.35" customHeight="1">
      <c r="A202" s="564" t="str">
        <f t="shared" ca="1" si="2"/>
        <v>a1G3p000005dHbdEAE</v>
      </c>
      <c r="B202" s="794">
        <v>10</v>
      </c>
      <c r="C202" s="795" t="str">
        <f ca="1">IFERROR(VLOOKUP(B202,'Impact Indicators - Section B '!$A$9:$AF$52,32,FALSE),"")</f>
        <v/>
      </c>
      <c r="D202" s="796" t="str">
        <f ca="1">R202</f>
        <v/>
      </c>
      <c r="E202" s="796" t="str">
        <f ca="1">S202</f>
        <v/>
      </c>
      <c r="F202" s="127"/>
      <c r="G202" s="797" t="str">
        <f ca="1">IF(OR(INDIRECT("'update Helper'!E"&amp;U202)="",F202&lt;&gt;0,F203&lt;&gt;0),IF(IFERROR((F202/F203),"")="","",(F202/F203)),INDIRECT("'update Helper'!E"&amp;U202)/100)</f>
        <v/>
      </c>
      <c r="H202" s="784"/>
      <c r="I202" s="798"/>
      <c r="J202" s="777"/>
      <c r="K202" s="795" t="str">
        <f ca="1">W202</f>
        <v/>
      </c>
      <c r="L202" s="795" t="str">
        <f ca="1">V202</f>
        <v/>
      </c>
      <c r="M202" s="777"/>
      <c r="N202" s="777"/>
      <c r="P202" s="89">
        <f ca="1">IF(AND(EXACT(C202,C200),C200&lt;&gt;0),P200+1,0)</f>
        <v>56</v>
      </c>
      <c r="Q202" s="89" t="str">
        <f ca="1">IF(C202&lt;&gt;"",C202&amp;"-"&amp;P202,"")</f>
        <v/>
      </c>
      <c r="R202" s="89" t="str">
        <f t="array" aca="1" ref="R202" ca="1">IFERROR(IF(INDEX('Disaggregation Records'!$E$3:$E$66,MATCH(RIGHT(Q202,255),RIGHT('Disaggregation Records'!$D$3:$D$66,255),0))="","",INDEX('Disaggregation Records'!$E$3:$E$66,MATCH(RIGHT(Q202,255),RIGHT('Disaggregation Records'!$D$3:$D$66,255),0))),"")</f>
        <v/>
      </c>
      <c r="S202" s="89" t="str">
        <f t="array" aca="1" ref="S202" ca="1">IFERROR(IF(INDEX('Disaggregation Records'!$F$3:$F$66,MATCH(RIGHT(Q202,255),RIGHT('Disaggregation Records'!$D$3:$D$66,255),0))="","",INDEX('Disaggregation Records'!$F$3:$F$66,MATCH(RIGHT(Q202,255),RIGHT('Disaggregation Records'!$D$3:$D$66,255),0))),"")</f>
        <v/>
      </c>
      <c r="T202" s="89" t="str">
        <f t="array" aca="1" ref="T202" ca="1">IFERROR(IF(INDEX('Disaggregation Records'!$H$3:$H$66,MATCH(RIGHT(Q202,255),RIGHT('Disaggregation Records'!$D$3:$D$66,255),0))="","",INDEX('Disaggregation Records'!$H$3:$H$66,MATCH(RIGHT(Q202,255),RIGHT('Disaggregation Records'!$D$3:$D$66,255),0))),"")</f>
        <v/>
      </c>
      <c r="U202" s="89">
        <f>U200+1</f>
        <v>1287</v>
      </c>
      <c r="V202" s="89" t="str">
        <f t="array" aca="1" ref="V202" ca="1">IFERROR(IF(INDEX('Disaggregation Records'!$I$3:$I$66,MATCH(RIGHT(Q202,255),RIGHT('Disaggregation Records'!$D$3:$D$66,255),0))="","",INDEX('Disaggregation Records'!$I$3:$I$66,MATCH(RIGHT(Q202,255),RIGHT('Disaggregation Records'!$D$3:$D$66,255),0))),"")</f>
        <v/>
      </c>
      <c r="W202" s="89" t="str">
        <f ca="1">IFERROR(INDEX('Reference Records'!O$3:O$19,MATCH(LEFT(C202,255),'Reference Records'!J$3:J$19,0)),"")</f>
        <v/>
      </c>
    </row>
    <row r="203" spans="1:23" s="125" customFormat="1" ht="40.35" customHeight="1">
      <c r="A203" s="564"/>
      <c r="B203" s="799">
        <v>7.4398496240601597</v>
      </c>
      <c r="C203" s="800"/>
      <c r="D203" s="801"/>
      <c r="E203" s="801"/>
      <c r="F203" s="128"/>
      <c r="G203" s="802"/>
      <c r="H203" s="781"/>
      <c r="I203" s="803"/>
      <c r="J203" s="779"/>
      <c r="K203" s="800"/>
      <c r="L203" s="800"/>
      <c r="M203" s="779"/>
      <c r="N203" s="779"/>
    </row>
    <row r="204" spans="1:23" s="89" customFormat="1" ht="40.35" customHeight="1">
      <c r="A204" s="564" t="str">
        <f t="shared" ca="1" si="2"/>
        <v>a1G3p000005dHbeEAE</v>
      </c>
      <c r="B204" s="794">
        <v>10</v>
      </c>
      <c r="C204" s="795" t="str">
        <f ca="1">IFERROR(VLOOKUP(B204,'Impact Indicators - Section B '!$A$9:$AF$52,32,FALSE),"")</f>
        <v/>
      </c>
      <c r="D204" s="796" t="str">
        <f ca="1">R204</f>
        <v/>
      </c>
      <c r="E204" s="796" t="str">
        <f ca="1">S204</f>
        <v/>
      </c>
      <c r="F204" s="127"/>
      <c r="G204" s="797" t="str">
        <f ca="1">IF(OR(INDIRECT("'update Helper'!E"&amp;U204)="",F204&lt;&gt;0,F205&lt;&gt;0),IF(IFERROR((F204/F205),"")="","",(F204/F205)),INDIRECT("'update Helper'!E"&amp;U204)/100)</f>
        <v/>
      </c>
      <c r="H204" s="784"/>
      <c r="I204" s="798"/>
      <c r="J204" s="777"/>
      <c r="K204" s="795" t="str">
        <f ca="1">W204</f>
        <v/>
      </c>
      <c r="L204" s="795" t="str">
        <f ca="1">V204</f>
        <v/>
      </c>
      <c r="M204" s="777"/>
      <c r="N204" s="777"/>
      <c r="P204" s="89">
        <f ca="1">IF(AND(EXACT(C204,C202),C202&lt;&gt;0),P202+1,0)</f>
        <v>57</v>
      </c>
      <c r="Q204" s="89" t="str">
        <f ca="1">IF(C204&lt;&gt;"",C204&amp;"-"&amp;P204,"")</f>
        <v/>
      </c>
      <c r="R204" s="89" t="str">
        <f t="array" aca="1" ref="R204" ca="1">IFERROR(IF(INDEX('Disaggregation Records'!$E$3:$E$66,MATCH(RIGHT(Q204,255),RIGHT('Disaggregation Records'!$D$3:$D$66,255),0))="","",INDEX('Disaggregation Records'!$E$3:$E$66,MATCH(RIGHT(Q204,255),RIGHT('Disaggregation Records'!$D$3:$D$66,255),0))),"")</f>
        <v/>
      </c>
      <c r="S204" s="89" t="str">
        <f t="array" aca="1" ref="S204" ca="1">IFERROR(IF(INDEX('Disaggregation Records'!$F$3:$F$66,MATCH(RIGHT(Q204,255),RIGHT('Disaggregation Records'!$D$3:$D$66,255),0))="","",INDEX('Disaggregation Records'!$F$3:$F$66,MATCH(RIGHT(Q204,255),RIGHT('Disaggregation Records'!$D$3:$D$66,255),0))),"")</f>
        <v/>
      </c>
      <c r="T204" s="89" t="str">
        <f t="array" aca="1" ref="T204" ca="1">IFERROR(IF(INDEX('Disaggregation Records'!$H$3:$H$66,MATCH(RIGHT(Q204,255),RIGHT('Disaggregation Records'!$D$3:$D$66,255),0))="","",INDEX('Disaggregation Records'!$H$3:$H$66,MATCH(RIGHT(Q204,255),RIGHT('Disaggregation Records'!$D$3:$D$66,255),0))),"")</f>
        <v/>
      </c>
      <c r="U204" s="89">
        <f>U202+1</f>
        <v>1288</v>
      </c>
      <c r="V204" s="89" t="str">
        <f t="array" aca="1" ref="V204" ca="1">IFERROR(IF(INDEX('Disaggregation Records'!$I$3:$I$66,MATCH(RIGHT(Q204,255),RIGHT('Disaggregation Records'!$D$3:$D$66,255),0))="","",INDEX('Disaggregation Records'!$I$3:$I$66,MATCH(RIGHT(Q204,255),RIGHT('Disaggregation Records'!$D$3:$D$66,255),0))),"")</f>
        <v/>
      </c>
      <c r="W204" s="89" t="str">
        <f ca="1">IFERROR(INDEX('Reference Records'!O$3:O$19,MATCH(LEFT(C204,255),'Reference Records'!J$3:J$19,0)),"")</f>
        <v/>
      </c>
    </row>
    <row r="205" spans="1:23" s="125" customFormat="1" ht="40.35" customHeight="1">
      <c r="A205" s="564"/>
      <c r="B205" s="799">
        <v>7.4398496240601597</v>
      </c>
      <c r="C205" s="800"/>
      <c r="D205" s="801"/>
      <c r="E205" s="801"/>
      <c r="F205" s="128"/>
      <c r="G205" s="802"/>
      <c r="H205" s="781"/>
      <c r="I205" s="803"/>
      <c r="J205" s="779"/>
      <c r="K205" s="800"/>
      <c r="L205" s="800"/>
      <c r="M205" s="779"/>
      <c r="N205" s="779"/>
    </row>
    <row r="206" spans="1:23" s="89" customFormat="1" ht="40.35" customHeight="1">
      <c r="A206" s="564" t="str">
        <f t="shared" ref="A206:A268" ca="1" si="3">INDIRECT("'update Helper'!C"&amp;U206)</f>
        <v>a1G3p000005dHbfEAE</v>
      </c>
      <c r="B206" s="794">
        <v>10</v>
      </c>
      <c r="C206" s="795" t="str">
        <f ca="1">IFERROR(VLOOKUP(B206,'Impact Indicators - Section B '!$A$9:$AF$52,32,FALSE),"")</f>
        <v/>
      </c>
      <c r="D206" s="796" t="str">
        <f ca="1">R206</f>
        <v/>
      </c>
      <c r="E206" s="796" t="str">
        <f ca="1">S206</f>
        <v/>
      </c>
      <c r="F206" s="127"/>
      <c r="G206" s="797" t="str">
        <f ca="1">IF(OR(INDIRECT("'update Helper'!E"&amp;U206)="",F206&lt;&gt;0,F207&lt;&gt;0),IF(IFERROR((F206/F207),"")="","",(F206/F207)),INDIRECT("'update Helper'!E"&amp;U206)/100)</f>
        <v/>
      </c>
      <c r="H206" s="784"/>
      <c r="I206" s="798"/>
      <c r="J206" s="777"/>
      <c r="K206" s="795" t="str">
        <f ca="1">W206</f>
        <v/>
      </c>
      <c r="L206" s="795" t="str">
        <f ca="1">V206</f>
        <v/>
      </c>
      <c r="M206" s="777"/>
      <c r="N206" s="777"/>
      <c r="P206" s="89">
        <f ca="1">IF(AND(EXACT(C206,C204),C204&lt;&gt;0),P204+1,0)</f>
        <v>58</v>
      </c>
      <c r="Q206" s="89" t="str">
        <f ca="1">IF(C206&lt;&gt;"",C206&amp;"-"&amp;P206,"")</f>
        <v/>
      </c>
      <c r="R206" s="89" t="str">
        <f t="array" aca="1" ref="R206" ca="1">IFERROR(IF(INDEX('Disaggregation Records'!$E$3:$E$66,MATCH(RIGHT(Q206,255),RIGHT('Disaggregation Records'!$D$3:$D$66,255),0))="","",INDEX('Disaggregation Records'!$E$3:$E$66,MATCH(RIGHT(Q206,255),RIGHT('Disaggregation Records'!$D$3:$D$66,255),0))),"")</f>
        <v/>
      </c>
      <c r="S206" s="89" t="str">
        <f t="array" aca="1" ref="S206" ca="1">IFERROR(IF(INDEX('Disaggregation Records'!$F$3:$F$66,MATCH(RIGHT(Q206,255),RIGHT('Disaggregation Records'!$D$3:$D$66,255),0))="","",INDEX('Disaggregation Records'!$F$3:$F$66,MATCH(RIGHT(Q206,255),RIGHT('Disaggregation Records'!$D$3:$D$66,255),0))),"")</f>
        <v/>
      </c>
      <c r="T206" s="89" t="str">
        <f t="array" aca="1" ref="T206" ca="1">IFERROR(IF(INDEX('Disaggregation Records'!$H$3:$H$66,MATCH(RIGHT(Q206,255),RIGHT('Disaggregation Records'!$D$3:$D$66,255),0))="","",INDEX('Disaggregation Records'!$H$3:$H$66,MATCH(RIGHT(Q206,255),RIGHT('Disaggregation Records'!$D$3:$D$66,255),0))),"")</f>
        <v/>
      </c>
      <c r="U206" s="89">
        <f>U204+1</f>
        <v>1289</v>
      </c>
      <c r="V206" s="89" t="str">
        <f t="array" aca="1" ref="V206" ca="1">IFERROR(IF(INDEX('Disaggregation Records'!$I$3:$I$66,MATCH(RIGHT(Q206,255),RIGHT('Disaggregation Records'!$D$3:$D$66,255),0))="","",INDEX('Disaggregation Records'!$I$3:$I$66,MATCH(RIGHT(Q206,255),RIGHT('Disaggregation Records'!$D$3:$D$66,255),0))),"")</f>
        <v/>
      </c>
      <c r="W206" s="89" t="str">
        <f ca="1">IFERROR(INDEX('Reference Records'!O$3:O$19,MATCH(LEFT(C206,255),'Reference Records'!J$3:J$19,0)),"")</f>
        <v/>
      </c>
    </row>
    <row r="207" spans="1:23" s="89" customFormat="1" ht="40.35" customHeight="1">
      <c r="A207" s="564"/>
      <c r="B207" s="799">
        <v>7.4398496240601597</v>
      </c>
      <c r="C207" s="800"/>
      <c r="D207" s="801"/>
      <c r="E207" s="801"/>
      <c r="F207" s="128"/>
      <c r="G207" s="802"/>
      <c r="H207" s="781"/>
      <c r="I207" s="803"/>
      <c r="J207" s="779"/>
      <c r="K207" s="800"/>
      <c r="L207" s="800"/>
      <c r="M207" s="779"/>
      <c r="N207" s="779"/>
      <c r="P207" s="125"/>
      <c r="Q207" s="125"/>
      <c r="R207" s="125"/>
      <c r="S207" s="125"/>
      <c r="T207" s="125"/>
      <c r="U207" s="125"/>
      <c r="V207" s="125"/>
      <c r="W207" s="125"/>
    </row>
    <row r="208" spans="1:23" s="89" customFormat="1" ht="40.35" customHeight="1">
      <c r="A208" s="564" t="str">
        <f t="shared" ca="1" si="3"/>
        <v>a1G3p000005dHbgEAE</v>
      </c>
      <c r="B208" s="794">
        <v>10</v>
      </c>
      <c r="C208" s="795" t="str">
        <f ca="1">IFERROR(VLOOKUP(B208,'Impact Indicators - Section B '!$A$9:$AF$52,32,FALSE),"")</f>
        <v/>
      </c>
      <c r="D208" s="796" t="str">
        <f ca="1">R208</f>
        <v/>
      </c>
      <c r="E208" s="796" t="str">
        <f ca="1">S208</f>
        <v/>
      </c>
      <c r="F208" s="127"/>
      <c r="G208" s="797" t="str">
        <f ca="1">IF(OR(INDIRECT("'update Helper'!E"&amp;U208)="",F208&lt;&gt;0,F209&lt;&gt;0),IF(IFERROR((F208/F209),"")="","",(F208/F209)),INDIRECT("'update Helper'!E"&amp;U208)/100)</f>
        <v/>
      </c>
      <c r="H208" s="784"/>
      <c r="I208" s="798"/>
      <c r="J208" s="777"/>
      <c r="K208" s="795" t="str">
        <f ca="1">W208</f>
        <v/>
      </c>
      <c r="L208" s="795" t="str">
        <f ca="1">V208</f>
        <v/>
      </c>
      <c r="M208" s="777"/>
      <c r="N208" s="777"/>
      <c r="P208" s="89">
        <f ca="1">IF(AND(EXACT(C208,C206),C206&lt;&gt;0),P206+1,0)</f>
        <v>59</v>
      </c>
      <c r="Q208" s="89" t="str">
        <f ca="1">IF(C208&lt;&gt;"",C208&amp;"-"&amp;P208,"")</f>
        <v/>
      </c>
      <c r="R208" s="89" t="str">
        <f t="array" aca="1" ref="R208" ca="1">IFERROR(IF(INDEX('Disaggregation Records'!$E$3:$E$66,MATCH(RIGHT(Q208,255),RIGHT('Disaggregation Records'!$D$3:$D$66,255),0))="","",INDEX('Disaggregation Records'!$E$3:$E$66,MATCH(RIGHT(Q208,255),RIGHT('Disaggregation Records'!$D$3:$D$66,255),0))),"")</f>
        <v/>
      </c>
      <c r="S208" s="89" t="str">
        <f t="array" aca="1" ref="S208" ca="1">IFERROR(IF(INDEX('Disaggregation Records'!$F$3:$F$66,MATCH(RIGHT(Q208,255),RIGHT('Disaggregation Records'!$D$3:$D$66,255),0))="","",INDEX('Disaggregation Records'!$F$3:$F$66,MATCH(RIGHT(Q208,255),RIGHT('Disaggregation Records'!$D$3:$D$66,255),0))),"")</f>
        <v/>
      </c>
      <c r="T208" s="89" t="str">
        <f t="array" aca="1" ref="T208" ca="1">IFERROR(IF(INDEX('Disaggregation Records'!$H$3:$H$66,MATCH(RIGHT(Q208,255),RIGHT('Disaggregation Records'!$D$3:$D$66,255),0))="","",INDEX('Disaggregation Records'!$H$3:$H$66,MATCH(RIGHT(Q208,255),RIGHT('Disaggregation Records'!$D$3:$D$66,255),0))),"")</f>
        <v/>
      </c>
      <c r="U208" s="89">
        <f>U206+1</f>
        <v>1290</v>
      </c>
      <c r="V208" s="89" t="str">
        <f t="array" aca="1" ref="V208" ca="1">IFERROR(IF(INDEX('Disaggregation Records'!$I$3:$I$66,MATCH(RIGHT(Q208,255),RIGHT('Disaggregation Records'!$D$3:$D$66,255),0))="","",INDEX('Disaggregation Records'!$I$3:$I$66,MATCH(RIGHT(Q208,255),RIGHT('Disaggregation Records'!$D$3:$D$66,255),0))),"")</f>
        <v/>
      </c>
      <c r="W208" s="89" t="str">
        <f ca="1">IFERROR(INDEX('Reference Records'!O$3:O$19,MATCH(LEFT(C208,255),'Reference Records'!J$3:J$19,0)),"")</f>
        <v/>
      </c>
    </row>
    <row r="209" spans="1:23" s="89" customFormat="1" ht="40.35" customHeight="1">
      <c r="A209" s="564"/>
      <c r="B209" s="799">
        <v>7.4398496240601597</v>
      </c>
      <c r="C209" s="800"/>
      <c r="D209" s="801"/>
      <c r="E209" s="801"/>
      <c r="F209" s="128"/>
      <c r="G209" s="802"/>
      <c r="H209" s="781"/>
      <c r="I209" s="803"/>
      <c r="J209" s="779"/>
      <c r="K209" s="800"/>
      <c r="L209" s="800"/>
      <c r="M209" s="779"/>
      <c r="N209" s="779"/>
      <c r="P209" s="125"/>
      <c r="Q209" s="125"/>
      <c r="R209" s="125"/>
      <c r="S209" s="125"/>
      <c r="T209" s="125"/>
      <c r="U209" s="125"/>
      <c r="V209" s="125"/>
      <c r="W209" s="125"/>
    </row>
    <row r="210" spans="1:23" s="89" customFormat="1" ht="40.35" customHeight="1">
      <c r="A210" s="564" t="str">
        <f t="shared" ca="1" si="3"/>
        <v>a1G3p000005dHbhEAE</v>
      </c>
      <c r="B210" s="794">
        <v>11</v>
      </c>
      <c r="C210" s="795" t="str">
        <f ca="1">IFERROR(VLOOKUP(B210,'Impact Indicators - Section B '!$A$9:$AF$52,32,FALSE),"")</f>
        <v/>
      </c>
      <c r="D210" s="796" t="str">
        <f ca="1">R210</f>
        <v/>
      </c>
      <c r="E210" s="796" t="str">
        <f ca="1">S210</f>
        <v/>
      </c>
      <c r="F210" s="127"/>
      <c r="G210" s="797" t="str">
        <f ca="1">IF(OR(INDIRECT("'update Helper'!E"&amp;U210)="",F210&lt;&gt;0,F211&lt;&gt;0),IF(IFERROR((F210/F211),"")="","",(F210/F211)),INDIRECT("'update Helper'!E"&amp;U210)/100)</f>
        <v/>
      </c>
      <c r="H210" s="784"/>
      <c r="I210" s="798"/>
      <c r="J210" s="777"/>
      <c r="K210" s="795" t="str">
        <f ca="1">W210</f>
        <v/>
      </c>
      <c r="L210" s="795" t="str">
        <f ca="1">V210</f>
        <v/>
      </c>
      <c r="M210" s="777"/>
      <c r="N210" s="777"/>
      <c r="P210" s="89">
        <f ca="1">IF(AND(EXACT(C210,C208),C208&lt;&gt;0),P208+1,0)</f>
        <v>60</v>
      </c>
      <c r="Q210" s="89" t="str">
        <f ca="1">IF(C210&lt;&gt;"",C210&amp;"-"&amp;P210,"")</f>
        <v/>
      </c>
      <c r="R210" s="89" t="str">
        <f t="array" aca="1" ref="R210" ca="1">IFERROR(IF(INDEX('Disaggregation Records'!$E$3:$E$66,MATCH(RIGHT(Q210,255),RIGHT('Disaggregation Records'!$D$3:$D$66,255),0))="","",INDEX('Disaggregation Records'!$E$3:$E$66,MATCH(RIGHT(Q210,255),RIGHT('Disaggregation Records'!$D$3:$D$66,255),0))),"")</f>
        <v/>
      </c>
      <c r="S210" s="89" t="str">
        <f t="array" aca="1" ref="S210" ca="1">IFERROR(IF(INDEX('Disaggregation Records'!$F$3:$F$66,MATCH(RIGHT(Q210,255),RIGHT('Disaggregation Records'!$D$3:$D$66,255),0))="","",INDEX('Disaggregation Records'!$F$3:$F$66,MATCH(RIGHT(Q210,255),RIGHT('Disaggregation Records'!$D$3:$D$66,255),0))),"")</f>
        <v/>
      </c>
      <c r="T210" s="89" t="str">
        <f t="array" aca="1" ref="T210" ca="1">IFERROR(IF(INDEX('Disaggregation Records'!$H$3:$H$66,MATCH(RIGHT(Q210,255),RIGHT('Disaggregation Records'!$D$3:$D$66,255),0))="","",INDEX('Disaggregation Records'!$H$3:$H$66,MATCH(RIGHT(Q210,255),RIGHT('Disaggregation Records'!$D$3:$D$66,255),0))),"")</f>
        <v/>
      </c>
      <c r="U210" s="89">
        <f>U208+1</f>
        <v>1291</v>
      </c>
      <c r="V210" s="89" t="str">
        <f t="array" aca="1" ref="V210" ca="1">IFERROR(IF(INDEX('Disaggregation Records'!$I$3:$I$66,MATCH(RIGHT(Q210,255),RIGHT('Disaggregation Records'!$D$3:$D$66,255),0))="","",INDEX('Disaggregation Records'!$I$3:$I$66,MATCH(RIGHT(Q210,255),RIGHT('Disaggregation Records'!$D$3:$D$66,255),0))),"")</f>
        <v/>
      </c>
      <c r="W210" s="89" t="str">
        <f ca="1">IFERROR(INDEX('Reference Records'!O$3:O$19,MATCH(LEFT(C210,255),'Reference Records'!J$3:J$19,0)),"")</f>
        <v/>
      </c>
    </row>
    <row r="211" spans="1:23" s="125" customFormat="1" ht="40.35" customHeight="1">
      <c r="A211" s="564"/>
      <c r="B211" s="799">
        <v>8.1541353383458706</v>
      </c>
      <c r="C211" s="800"/>
      <c r="D211" s="801"/>
      <c r="E211" s="801"/>
      <c r="F211" s="128"/>
      <c r="G211" s="802"/>
      <c r="H211" s="781"/>
      <c r="I211" s="803"/>
      <c r="J211" s="779"/>
      <c r="K211" s="800"/>
      <c r="L211" s="800"/>
      <c r="M211" s="779"/>
      <c r="N211" s="779"/>
    </row>
    <row r="212" spans="1:23" s="89" customFormat="1" ht="40.35" customHeight="1">
      <c r="A212" s="564" t="str">
        <f t="shared" ca="1" si="3"/>
        <v>a1G3p000005dHbiEAE</v>
      </c>
      <c r="B212" s="794">
        <v>11</v>
      </c>
      <c r="C212" s="795" t="str">
        <f ca="1">IFERROR(VLOOKUP(B212,'Impact Indicators - Section B '!$A$9:$AF$52,32,FALSE),"")</f>
        <v/>
      </c>
      <c r="D212" s="796" t="str">
        <f ca="1">R212</f>
        <v/>
      </c>
      <c r="E212" s="796" t="str">
        <f ca="1">S212</f>
        <v/>
      </c>
      <c r="F212" s="127"/>
      <c r="G212" s="797" t="str">
        <f ca="1">IF(OR(INDIRECT("'update Helper'!E"&amp;U212)="",F212&lt;&gt;0,F213&lt;&gt;0),IF(IFERROR((F212/F213),"")="","",(F212/F213)),INDIRECT("'update Helper'!E"&amp;U212)/100)</f>
        <v/>
      </c>
      <c r="H212" s="784"/>
      <c r="I212" s="798"/>
      <c r="J212" s="777"/>
      <c r="K212" s="795" t="str">
        <f ca="1">W212</f>
        <v/>
      </c>
      <c r="L212" s="795" t="str">
        <f ca="1">V212</f>
        <v/>
      </c>
      <c r="M212" s="777"/>
      <c r="N212" s="777"/>
      <c r="P212" s="89">
        <f ca="1">IF(AND(EXACT(C212,C210),C210&lt;&gt;0),P210+1,0)</f>
        <v>61</v>
      </c>
      <c r="Q212" s="89" t="str">
        <f ca="1">IF(C212&lt;&gt;"",C212&amp;"-"&amp;P212,"")</f>
        <v/>
      </c>
      <c r="R212" s="89" t="str">
        <f t="array" aca="1" ref="R212" ca="1">IFERROR(IF(INDEX('Disaggregation Records'!$E$3:$E$66,MATCH(RIGHT(Q212,255),RIGHT('Disaggregation Records'!$D$3:$D$66,255),0))="","",INDEX('Disaggregation Records'!$E$3:$E$66,MATCH(RIGHT(Q212,255),RIGHT('Disaggregation Records'!$D$3:$D$66,255),0))),"")</f>
        <v/>
      </c>
      <c r="S212" s="89" t="str">
        <f t="array" aca="1" ref="S212" ca="1">IFERROR(IF(INDEX('Disaggregation Records'!$F$3:$F$66,MATCH(RIGHT(Q212,255),RIGHT('Disaggregation Records'!$D$3:$D$66,255),0))="","",INDEX('Disaggregation Records'!$F$3:$F$66,MATCH(RIGHT(Q212,255),RIGHT('Disaggregation Records'!$D$3:$D$66,255),0))),"")</f>
        <v/>
      </c>
      <c r="T212" s="89" t="str">
        <f t="array" aca="1" ref="T212" ca="1">IFERROR(IF(INDEX('Disaggregation Records'!$H$3:$H$66,MATCH(RIGHT(Q212,255),RIGHT('Disaggregation Records'!$D$3:$D$66,255),0))="","",INDEX('Disaggregation Records'!$H$3:$H$66,MATCH(RIGHT(Q212,255),RIGHT('Disaggregation Records'!$D$3:$D$66,255),0))),"")</f>
        <v/>
      </c>
      <c r="U212" s="89">
        <f>U210+1</f>
        <v>1292</v>
      </c>
      <c r="V212" s="89" t="str">
        <f t="array" aca="1" ref="V212" ca="1">IFERROR(IF(INDEX('Disaggregation Records'!$I$3:$I$66,MATCH(RIGHT(Q212,255),RIGHT('Disaggregation Records'!$D$3:$D$66,255),0))="","",INDEX('Disaggregation Records'!$I$3:$I$66,MATCH(RIGHT(Q212,255),RIGHT('Disaggregation Records'!$D$3:$D$66,255),0))),"")</f>
        <v/>
      </c>
      <c r="W212" s="89" t="str">
        <f ca="1">IFERROR(INDEX('Reference Records'!O$3:O$19,MATCH(LEFT(C212,255),'Reference Records'!J$3:J$19,0)),"")</f>
        <v/>
      </c>
    </row>
    <row r="213" spans="1:23" s="125" customFormat="1" ht="40.35" customHeight="1">
      <c r="A213" s="564"/>
      <c r="B213" s="799">
        <v>8.1541353383458706</v>
      </c>
      <c r="C213" s="800"/>
      <c r="D213" s="801"/>
      <c r="E213" s="801"/>
      <c r="F213" s="128"/>
      <c r="G213" s="802"/>
      <c r="H213" s="781"/>
      <c r="I213" s="803"/>
      <c r="J213" s="779"/>
      <c r="K213" s="800"/>
      <c r="L213" s="800"/>
      <c r="M213" s="779"/>
      <c r="N213" s="779"/>
    </row>
    <row r="214" spans="1:23" s="89" customFormat="1" ht="40.35" customHeight="1">
      <c r="A214" s="564" t="str">
        <f t="shared" ca="1" si="3"/>
        <v>a1G3p000005dHbjEAE</v>
      </c>
      <c r="B214" s="794">
        <v>11</v>
      </c>
      <c r="C214" s="795" t="str">
        <f ca="1">IFERROR(VLOOKUP(B214,'Impact Indicators - Section B '!$A$9:$AF$52,32,FALSE),"")</f>
        <v/>
      </c>
      <c r="D214" s="796" t="str">
        <f ca="1">R214</f>
        <v/>
      </c>
      <c r="E214" s="796" t="str">
        <f ca="1">S214</f>
        <v/>
      </c>
      <c r="F214" s="127"/>
      <c r="G214" s="797" t="str">
        <f ca="1">IF(OR(INDIRECT("'update Helper'!E"&amp;U214)="",F214&lt;&gt;0,F215&lt;&gt;0),IF(IFERROR((F214/F215),"")="","",(F214/F215)),INDIRECT("'update Helper'!E"&amp;U214)/100)</f>
        <v/>
      </c>
      <c r="H214" s="784"/>
      <c r="I214" s="798"/>
      <c r="J214" s="777"/>
      <c r="K214" s="795" t="str">
        <f ca="1">W214</f>
        <v/>
      </c>
      <c r="L214" s="795" t="str">
        <f ca="1">V214</f>
        <v/>
      </c>
      <c r="M214" s="777"/>
      <c r="N214" s="777"/>
      <c r="P214" s="89">
        <f ca="1">IF(AND(EXACT(C214,C212),C212&lt;&gt;0),P212+1,0)</f>
        <v>62</v>
      </c>
      <c r="Q214" s="89" t="str">
        <f ca="1">IF(C214&lt;&gt;"",C214&amp;"-"&amp;P214,"")</f>
        <v/>
      </c>
      <c r="R214" s="89" t="str">
        <f t="array" aca="1" ref="R214" ca="1">IFERROR(IF(INDEX('Disaggregation Records'!$E$3:$E$66,MATCH(RIGHT(Q214,255),RIGHT('Disaggregation Records'!$D$3:$D$66,255),0))="","",INDEX('Disaggregation Records'!$E$3:$E$66,MATCH(RIGHT(Q214,255),RIGHT('Disaggregation Records'!$D$3:$D$66,255),0))),"")</f>
        <v/>
      </c>
      <c r="S214" s="89" t="str">
        <f t="array" aca="1" ref="S214" ca="1">IFERROR(IF(INDEX('Disaggregation Records'!$F$3:$F$66,MATCH(RIGHT(Q214,255),RIGHT('Disaggregation Records'!$D$3:$D$66,255),0))="","",INDEX('Disaggregation Records'!$F$3:$F$66,MATCH(RIGHT(Q214,255),RIGHT('Disaggregation Records'!$D$3:$D$66,255),0))),"")</f>
        <v/>
      </c>
      <c r="T214" s="89" t="str">
        <f t="array" aca="1" ref="T214" ca="1">IFERROR(IF(INDEX('Disaggregation Records'!$H$3:$H$66,MATCH(RIGHT(Q214,255),RIGHT('Disaggregation Records'!$D$3:$D$66,255),0))="","",INDEX('Disaggregation Records'!$H$3:$H$66,MATCH(RIGHT(Q214,255),RIGHT('Disaggregation Records'!$D$3:$D$66,255),0))),"")</f>
        <v/>
      </c>
      <c r="U214" s="89">
        <f>U212+1</f>
        <v>1293</v>
      </c>
      <c r="V214" s="89" t="str">
        <f t="array" aca="1" ref="V214" ca="1">IFERROR(IF(INDEX('Disaggregation Records'!$I$3:$I$66,MATCH(RIGHT(Q214,255),RIGHT('Disaggregation Records'!$D$3:$D$66,255),0))="","",INDEX('Disaggregation Records'!$I$3:$I$66,MATCH(RIGHT(Q214,255),RIGHT('Disaggregation Records'!$D$3:$D$66,255),0))),"")</f>
        <v/>
      </c>
      <c r="W214" s="89" t="str">
        <f ca="1">IFERROR(INDEX('Reference Records'!O$3:O$19,MATCH(LEFT(C214,255),'Reference Records'!J$3:J$19,0)),"")</f>
        <v/>
      </c>
    </row>
    <row r="215" spans="1:23" s="89" customFormat="1" ht="40.35" customHeight="1">
      <c r="A215" s="564"/>
      <c r="B215" s="799">
        <v>8.1541353383458706</v>
      </c>
      <c r="C215" s="800"/>
      <c r="D215" s="801"/>
      <c r="E215" s="801"/>
      <c r="F215" s="128"/>
      <c r="G215" s="802"/>
      <c r="H215" s="781"/>
      <c r="I215" s="803"/>
      <c r="J215" s="779"/>
      <c r="K215" s="800"/>
      <c r="L215" s="800"/>
      <c r="M215" s="779"/>
      <c r="N215" s="779"/>
      <c r="P215" s="125"/>
      <c r="Q215" s="125"/>
      <c r="R215" s="125"/>
      <c r="S215" s="125"/>
      <c r="T215" s="125"/>
      <c r="U215" s="125"/>
      <c r="V215" s="125"/>
      <c r="W215" s="125"/>
    </row>
    <row r="216" spans="1:23" s="89" customFormat="1" ht="40.35" customHeight="1">
      <c r="A216" s="564" t="str">
        <f t="shared" ca="1" si="3"/>
        <v>a1G3p000005dHbkEAE</v>
      </c>
      <c r="B216" s="794">
        <v>11</v>
      </c>
      <c r="C216" s="795" t="str">
        <f ca="1">IFERROR(VLOOKUP(B216,'Impact Indicators - Section B '!$A$9:$AF$52,32,FALSE),"")</f>
        <v/>
      </c>
      <c r="D216" s="796" t="str">
        <f ca="1">R216</f>
        <v/>
      </c>
      <c r="E216" s="796" t="str">
        <f ca="1">S216</f>
        <v/>
      </c>
      <c r="F216" s="127"/>
      <c r="G216" s="797" t="str">
        <f ca="1">IF(OR(INDIRECT("'update Helper'!E"&amp;U216)="",F216&lt;&gt;0,F217&lt;&gt;0),IF(IFERROR((F216/F217),"")="","",(F216/F217)),INDIRECT("'update Helper'!E"&amp;U216)/100)</f>
        <v/>
      </c>
      <c r="H216" s="784"/>
      <c r="I216" s="798"/>
      <c r="J216" s="777"/>
      <c r="K216" s="795" t="str">
        <f ca="1">W216</f>
        <v/>
      </c>
      <c r="L216" s="795" t="str">
        <f ca="1">V216</f>
        <v/>
      </c>
      <c r="M216" s="777"/>
      <c r="N216" s="777"/>
      <c r="P216" s="89">
        <f ca="1">IF(AND(EXACT(C216,C214),C214&lt;&gt;0),P214+1,0)</f>
        <v>63</v>
      </c>
      <c r="Q216" s="89" t="str">
        <f ca="1">IF(C216&lt;&gt;"",C216&amp;"-"&amp;P216,"")</f>
        <v/>
      </c>
      <c r="R216" s="89" t="str">
        <f t="array" aca="1" ref="R216" ca="1">IFERROR(IF(INDEX('Disaggregation Records'!$E$3:$E$66,MATCH(RIGHT(Q216,255),RIGHT('Disaggregation Records'!$D$3:$D$66,255),0))="","",INDEX('Disaggregation Records'!$E$3:$E$66,MATCH(RIGHT(Q216,255),RIGHT('Disaggregation Records'!$D$3:$D$66,255),0))),"")</f>
        <v/>
      </c>
      <c r="S216" s="89" t="str">
        <f t="array" aca="1" ref="S216" ca="1">IFERROR(IF(INDEX('Disaggregation Records'!$F$3:$F$66,MATCH(RIGHT(Q216,255),RIGHT('Disaggregation Records'!$D$3:$D$66,255),0))="","",INDEX('Disaggregation Records'!$F$3:$F$66,MATCH(RIGHT(Q216,255),RIGHT('Disaggregation Records'!$D$3:$D$66,255),0))),"")</f>
        <v/>
      </c>
      <c r="T216" s="89" t="str">
        <f t="array" aca="1" ref="T216" ca="1">IFERROR(IF(INDEX('Disaggregation Records'!$H$3:$H$66,MATCH(RIGHT(Q216,255),RIGHT('Disaggregation Records'!$D$3:$D$66,255),0))="","",INDEX('Disaggregation Records'!$H$3:$H$66,MATCH(RIGHT(Q216,255),RIGHT('Disaggregation Records'!$D$3:$D$66,255),0))),"")</f>
        <v/>
      </c>
      <c r="U216" s="89">
        <f>U214+1</f>
        <v>1294</v>
      </c>
      <c r="V216" s="89" t="str">
        <f t="array" aca="1" ref="V216" ca="1">IFERROR(IF(INDEX('Disaggregation Records'!$I$3:$I$66,MATCH(RIGHT(Q216,255),RIGHT('Disaggregation Records'!$D$3:$D$66,255),0))="","",INDEX('Disaggregation Records'!$I$3:$I$66,MATCH(RIGHT(Q216,255),RIGHT('Disaggregation Records'!$D$3:$D$66,255),0))),"")</f>
        <v/>
      </c>
      <c r="W216" s="89" t="str">
        <f ca="1">IFERROR(INDEX('Reference Records'!O$3:O$19,MATCH(LEFT(C216,255),'Reference Records'!J$3:J$19,0)),"")</f>
        <v/>
      </c>
    </row>
    <row r="217" spans="1:23" s="125" customFormat="1" ht="40.35" customHeight="1">
      <c r="A217" s="564"/>
      <c r="B217" s="799">
        <v>8.1541353383458706</v>
      </c>
      <c r="C217" s="800"/>
      <c r="D217" s="801"/>
      <c r="E217" s="801"/>
      <c r="F217" s="128"/>
      <c r="G217" s="802"/>
      <c r="H217" s="781"/>
      <c r="I217" s="803"/>
      <c r="J217" s="779"/>
      <c r="K217" s="800"/>
      <c r="L217" s="800"/>
      <c r="M217" s="779"/>
      <c r="N217" s="779"/>
    </row>
    <row r="218" spans="1:23" s="89" customFormat="1" ht="40.35" customHeight="1">
      <c r="A218" s="564" t="str">
        <f t="shared" ca="1" si="3"/>
        <v>a1G3p000005dHblEAE</v>
      </c>
      <c r="B218" s="794">
        <v>11</v>
      </c>
      <c r="C218" s="795" t="str">
        <f ca="1">IFERROR(VLOOKUP(B218,'Impact Indicators - Section B '!$A$9:$AF$52,32,FALSE),"")</f>
        <v/>
      </c>
      <c r="D218" s="796" t="str">
        <f ca="1">R218</f>
        <v/>
      </c>
      <c r="E218" s="796" t="str">
        <f ca="1">S218</f>
        <v/>
      </c>
      <c r="F218" s="127"/>
      <c r="G218" s="797" t="str">
        <f ca="1">IF(OR(INDIRECT("'update Helper'!E"&amp;U218)="",F218&lt;&gt;0,F219&lt;&gt;0),IF(IFERROR((F218/F219),"")="","",(F218/F219)),INDIRECT("'update Helper'!E"&amp;U218)/100)</f>
        <v/>
      </c>
      <c r="H218" s="784"/>
      <c r="I218" s="798"/>
      <c r="J218" s="777"/>
      <c r="K218" s="795" t="str">
        <f ca="1">W218</f>
        <v/>
      </c>
      <c r="L218" s="795" t="str">
        <f ca="1">V218</f>
        <v/>
      </c>
      <c r="M218" s="777"/>
      <c r="N218" s="777"/>
      <c r="P218" s="89">
        <f ca="1">IF(AND(EXACT(C218,C216),C216&lt;&gt;0),P216+1,0)</f>
        <v>64</v>
      </c>
      <c r="Q218" s="89" t="str">
        <f ca="1">IF(C218&lt;&gt;"",C218&amp;"-"&amp;P218,"")</f>
        <v/>
      </c>
      <c r="R218" s="89" t="str">
        <f t="array" aca="1" ref="R218" ca="1">IFERROR(IF(INDEX('Disaggregation Records'!$E$3:$E$66,MATCH(RIGHT(Q218,255),RIGHT('Disaggregation Records'!$D$3:$D$66,255),0))="","",INDEX('Disaggregation Records'!$E$3:$E$66,MATCH(RIGHT(Q218,255),RIGHT('Disaggregation Records'!$D$3:$D$66,255),0))),"")</f>
        <v/>
      </c>
      <c r="S218" s="89" t="str">
        <f t="array" aca="1" ref="S218" ca="1">IFERROR(IF(INDEX('Disaggregation Records'!$F$3:$F$66,MATCH(RIGHT(Q218,255),RIGHT('Disaggregation Records'!$D$3:$D$66,255),0))="","",INDEX('Disaggregation Records'!$F$3:$F$66,MATCH(RIGHT(Q218,255),RIGHT('Disaggregation Records'!$D$3:$D$66,255),0))),"")</f>
        <v/>
      </c>
      <c r="T218" s="89" t="str">
        <f t="array" aca="1" ref="T218" ca="1">IFERROR(IF(INDEX('Disaggregation Records'!$H$3:$H$66,MATCH(RIGHT(Q218,255),RIGHT('Disaggregation Records'!$D$3:$D$66,255),0))="","",INDEX('Disaggregation Records'!$H$3:$H$66,MATCH(RIGHT(Q218,255),RIGHT('Disaggregation Records'!$D$3:$D$66,255),0))),"")</f>
        <v/>
      </c>
      <c r="U218" s="89">
        <f>U216+1</f>
        <v>1295</v>
      </c>
      <c r="V218" s="89" t="str">
        <f t="array" aca="1" ref="V218" ca="1">IFERROR(IF(INDEX('Disaggregation Records'!$I$3:$I$66,MATCH(RIGHT(Q218,255),RIGHT('Disaggregation Records'!$D$3:$D$66,255),0))="","",INDEX('Disaggregation Records'!$I$3:$I$66,MATCH(RIGHT(Q218,255),RIGHT('Disaggregation Records'!$D$3:$D$66,255),0))),"")</f>
        <v/>
      </c>
      <c r="W218" s="89" t="str">
        <f ca="1">IFERROR(INDEX('Reference Records'!O$3:O$19,MATCH(LEFT(C218,255),'Reference Records'!J$3:J$19,0)),"")</f>
        <v/>
      </c>
    </row>
    <row r="219" spans="1:23" s="125" customFormat="1" ht="40.35" customHeight="1">
      <c r="A219" s="564"/>
      <c r="B219" s="799">
        <v>8.1541353383458706</v>
      </c>
      <c r="C219" s="800"/>
      <c r="D219" s="801"/>
      <c r="E219" s="801"/>
      <c r="F219" s="128"/>
      <c r="G219" s="802"/>
      <c r="H219" s="781"/>
      <c r="I219" s="803"/>
      <c r="J219" s="779"/>
      <c r="K219" s="800"/>
      <c r="L219" s="800"/>
      <c r="M219" s="779"/>
      <c r="N219" s="779"/>
    </row>
    <row r="220" spans="1:23" s="89" customFormat="1" ht="40.35" customHeight="1">
      <c r="A220" s="564" t="str">
        <f t="shared" ca="1" si="3"/>
        <v>a1G3p000005dHbmEAE</v>
      </c>
      <c r="B220" s="794">
        <v>11</v>
      </c>
      <c r="C220" s="795" t="str">
        <f ca="1">IFERROR(VLOOKUP(B220,'Impact Indicators - Section B '!$A$9:$AF$52,32,FALSE),"")</f>
        <v/>
      </c>
      <c r="D220" s="796" t="str">
        <f ca="1">R220</f>
        <v/>
      </c>
      <c r="E220" s="796" t="str">
        <f ca="1">S220</f>
        <v/>
      </c>
      <c r="F220" s="127"/>
      <c r="G220" s="797" t="str">
        <f ca="1">IF(OR(INDIRECT("'update Helper'!E"&amp;U220)="",F220&lt;&gt;0,F221&lt;&gt;0),IF(IFERROR((F220/F221),"")="","",(F220/F221)),INDIRECT("'update Helper'!E"&amp;U220)/100)</f>
        <v/>
      </c>
      <c r="H220" s="784"/>
      <c r="I220" s="798"/>
      <c r="J220" s="777"/>
      <c r="K220" s="795" t="str">
        <f ca="1">W220</f>
        <v/>
      </c>
      <c r="L220" s="795" t="str">
        <f ca="1">V220</f>
        <v/>
      </c>
      <c r="M220" s="777"/>
      <c r="N220" s="777"/>
      <c r="P220" s="89">
        <f ca="1">IF(AND(EXACT(C220,C218),C218&lt;&gt;0),P218+1,0)</f>
        <v>65</v>
      </c>
      <c r="Q220" s="89" t="str">
        <f ca="1">IF(C220&lt;&gt;"",C220&amp;"-"&amp;P220,"")</f>
        <v/>
      </c>
      <c r="R220" s="89" t="str">
        <f t="array" aca="1" ref="R220" ca="1">IFERROR(IF(INDEX('Disaggregation Records'!$E$3:$E$66,MATCH(RIGHT(Q220,255),RIGHT('Disaggregation Records'!$D$3:$D$66,255),0))="","",INDEX('Disaggregation Records'!$E$3:$E$66,MATCH(RIGHT(Q220,255),RIGHT('Disaggregation Records'!$D$3:$D$66,255),0))),"")</f>
        <v/>
      </c>
      <c r="S220" s="89" t="str">
        <f t="array" aca="1" ref="S220" ca="1">IFERROR(IF(INDEX('Disaggregation Records'!$F$3:$F$66,MATCH(RIGHT(Q220,255),RIGHT('Disaggregation Records'!$D$3:$D$66,255),0))="","",INDEX('Disaggregation Records'!$F$3:$F$66,MATCH(RIGHT(Q220,255),RIGHT('Disaggregation Records'!$D$3:$D$66,255),0))),"")</f>
        <v/>
      </c>
      <c r="T220" s="89" t="str">
        <f t="array" aca="1" ref="T220" ca="1">IFERROR(IF(INDEX('Disaggregation Records'!$H$3:$H$66,MATCH(RIGHT(Q220,255),RIGHT('Disaggregation Records'!$D$3:$D$66,255),0))="","",INDEX('Disaggregation Records'!$H$3:$H$66,MATCH(RIGHT(Q220,255),RIGHT('Disaggregation Records'!$D$3:$D$66,255),0))),"")</f>
        <v/>
      </c>
      <c r="U220" s="89">
        <f>U218+1</f>
        <v>1296</v>
      </c>
      <c r="V220" s="89" t="str">
        <f t="array" aca="1" ref="V220" ca="1">IFERROR(IF(INDEX('Disaggregation Records'!$I$3:$I$66,MATCH(RIGHT(Q220,255),RIGHT('Disaggregation Records'!$D$3:$D$66,255),0))="","",INDEX('Disaggregation Records'!$I$3:$I$66,MATCH(RIGHT(Q220,255),RIGHT('Disaggregation Records'!$D$3:$D$66,255),0))),"")</f>
        <v/>
      </c>
      <c r="W220" s="89" t="str">
        <f ca="1">IFERROR(INDEX('Reference Records'!O$3:O$19,MATCH(LEFT(C220,255),'Reference Records'!J$3:J$19,0)),"")</f>
        <v/>
      </c>
    </row>
    <row r="221" spans="1:23" s="89" customFormat="1" ht="40.35" customHeight="1">
      <c r="A221" s="564"/>
      <c r="B221" s="799">
        <v>8.1541353383458706</v>
      </c>
      <c r="C221" s="800"/>
      <c r="D221" s="801"/>
      <c r="E221" s="801"/>
      <c r="F221" s="128"/>
      <c r="G221" s="802"/>
      <c r="H221" s="781"/>
      <c r="I221" s="803"/>
      <c r="J221" s="779"/>
      <c r="K221" s="800"/>
      <c r="L221" s="800"/>
      <c r="M221" s="779"/>
      <c r="N221" s="779"/>
      <c r="P221" s="125"/>
      <c r="Q221" s="125"/>
      <c r="R221" s="125"/>
      <c r="S221" s="125"/>
      <c r="T221" s="125"/>
      <c r="U221" s="125"/>
      <c r="V221" s="125"/>
      <c r="W221" s="125"/>
    </row>
    <row r="222" spans="1:23" s="89" customFormat="1" ht="40.35" customHeight="1">
      <c r="A222" s="564" t="str">
        <f t="shared" ca="1" si="3"/>
        <v>a1G3p000005dHbnEAE</v>
      </c>
      <c r="B222" s="794">
        <v>11</v>
      </c>
      <c r="C222" s="795" t="str">
        <f ca="1">IFERROR(VLOOKUP(B222,'Impact Indicators - Section B '!$A$9:$AF$52,32,FALSE),"")</f>
        <v/>
      </c>
      <c r="D222" s="796" t="str">
        <f ca="1">R222</f>
        <v/>
      </c>
      <c r="E222" s="796" t="str">
        <f ca="1">S222</f>
        <v/>
      </c>
      <c r="F222" s="127"/>
      <c r="G222" s="797" t="str">
        <f ca="1">IF(OR(INDIRECT("'update Helper'!E"&amp;U222)="",F222&lt;&gt;0,F223&lt;&gt;0),IF(IFERROR((F222/F223),"")="","",(F222/F223)),INDIRECT("'update Helper'!E"&amp;U222)/100)</f>
        <v/>
      </c>
      <c r="H222" s="784"/>
      <c r="I222" s="798"/>
      <c r="J222" s="777"/>
      <c r="K222" s="795" t="str">
        <f ca="1">W222</f>
        <v/>
      </c>
      <c r="L222" s="795" t="str">
        <f ca="1">V222</f>
        <v/>
      </c>
      <c r="M222" s="777"/>
      <c r="N222" s="777"/>
      <c r="P222" s="89">
        <f ca="1">IF(AND(EXACT(C222,C220),C220&lt;&gt;0),P220+1,0)</f>
        <v>66</v>
      </c>
      <c r="Q222" s="89" t="str">
        <f ca="1">IF(C222&lt;&gt;"",C222&amp;"-"&amp;P222,"")</f>
        <v/>
      </c>
      <c r="R222" s="89" t="str">
        <f t="array" aca="1" ref="R222" ca="1">IFERROR(IF(INDEX('Disaggregation Records'!$E$3:$E$66,MATCH(RIGHT(Q222,255),RIGHT('Disaggregation Records'!$D$3:$D$66,255),0))="","",INDEX('Disaggregation Records'!$E$3:$E$66,MATCH(RIGHT(Q222,255),RIGHT('Disaggregation Records'!$D$3:$D$66,255),0))),"")</f>
        <v/>
      </c>
      <c r="S222" s="89" t="str">
        <f t="array" aca="1" ref="S222" ca="1">IFERROR(IF(INDEX('Disaggregation Records'!$F$3:$F$66,MATCH(RIGHT(Q222,255),RIGHT('Disaggregation Records'!$D$3:$D$66,255),0))="","",INDEX('Disaggregation Records'!$F$3:$F$66,MATCH(RIGHT(Q222,255),RIGHT('Disaggregation Records'!$D$3:$D$66,255),0))),"")</f>
        <v/>
      </c>
      <c r="T222" s="89" t="str">
        <f t="array" aca="1" ref="T222" ca="1">IFERROR(IF(INDEX('Disaggregation Records'!$H$3:$H$66,MATCH(RIGHT(Q222,255),RIGHT('Disaggregation Records'!$D$3:$D$66,255),0))="","",INDEX('Disaggregation Records'!$H$3:$H$66,MATCH(RIGHT(Q222,255),RIGHT('Disaggregation Records'!$D$3:$D$66,255),0))),"")</f>
        <v/>
      </c>
      <c r="U222" s="89">
        <f>U220+1</f>
        <v>1297</v>
      </c>
      <c r="V222" s="89" t="str">
        <f t="array" aca="1" ref="V222" ca="1">IFERROR(IF(INDEX('Disaggregation Records'!$I$3:$I$66,MATCH(RIGHT(Q222,255),RIGHT('Disaggregation Records'!$D$3:$D$66,255),0))="","",INDEX('Disaggregation Records'!$I$3:$I$66,MATCH(RIGHT(Q222,255),RIGHT('Disaggregation Records'!$D$3:$D$66,255),0))),"")</f>
        <v/>
      </c>
      <c r="W222" s="89" t="str">
        <f ca="1">IFERROR(INDEX('Reference Records'!O$3:O$19,MATCH(LEFT(C222,255),'Reference Records'!J$3:J$19,0)),"")</f>
        <v/>
      </c>
    </row>
    <row r="223" spans="1:23" s="125" customFormat="1" ht="40.35" customHeight="1">
      <c r="A223" s="564"/>
      <c r="B223" s="799">
        <v>8.1541353383458706</v>
      </c>
      <c r="C223" s="800"/>
      <c r="D223" s="801"/>
      <c r="E223" s="801"/>
      <c r="F223" s="128"/>
      <c r="G223" s="802"/>
      <c r="H223" s="781"/>
      <c r="I223" s="803"/>
      <c r="J223" s="779"/>
      <c r="K223" s="800"/>
      <c r="L223" s="800"/>
      <c r="M223" s="779"/>
      <c r="N223" s="779"/>
    </row>
    <row r="224" spans="1:23" s="89" customFormat="1" ht="40.35" customHeight="1">
      <c r="A224" s="564" t="str">
        <f t="shared" ca="1" si="3"/>
        <v>a1G3p000005dHboEAE</v>
      </c>
      <c r="B224" s="794">
        <v>11</v>
      </c>
      <c r="C224" s="795" t="str">
        <f ca="1">IFERROR(VLOOKUP(B224,'Impact Indicators - Section B '!$A$9:$AF$52,32,FALSE),"")</f>
        <v/>
      </c>
      <c r="D224" s="796" t="str">
        <f ca="1">R224</f>
        <v/>
      </c>
      <c r="E224" s="796" t="str">
        <f ca="1">S224</f>
        <v/>
      </c>
      <c r="F224" s="127"/>
      <c r="G224" s="797" t="str">
        <f ca="1">IF(OR(INDIRECT("'update Helper'!E"&amp;U224)="",F224&lt;&gt;0,F225&lt;&gt;0),IF(IFERROR((F224/F225),"")="","",(F224/F225)),INDIRECT("'update Helper'!E"&amp;U224)/100)</f>
        <v/>
      </c>
      <c r="H224" s="784"/>
      <c r="I224" s="798"/>
      <c r="J224" s="777"/>
      <c r="K224" s="795" t="str">
        <f ca="1">W224</f>
        <v/>
      </c>
      <c r="L224" s="795" t="str">
        <f ca="1">V224</f>
        <v/>
      </c>
      <c r="M224" s="777"/>
      <c r="N224" s="777"/>
      <c r="P224" s="89">
        <f ca="1">IF(AND(EXACT(C224,C222),C222&lt;&gt;0),P222+1,0)</f>
        <v>67</v>
      </c>
      <c r="Q224" s="89" t="str">
        <f ca="1">IF(C224&lt;&gt;"",C224&amp;"-"&amp;P224,"")</f>
        <v/>
      </c>
      <c r="R224" s="89" t="str">
        <f t="array" aca="1" ref="R224" ca="1">IFERROR(IF(INDEX('Disaggregation Records'!$E$3:$E$66,MATCH(RIGHT(Q224,255),RIGHT('Disaggregation Records'!$D$3:$D$66,255),0))="","",INDEX('Disaggregation Records'!$E$3:$E$66,MATCH(RIGHT(Q224,255),RIGHT('Disaggregation Records'!$D$3:$D$66,255),0))),"")</f>
        <v/>
      </c>
      <c r="S224" s="89" t="str">
        <f t="array" aca="1" ref="S224" ca="1">IFERROR(IF(INDEX('Disaggregation Records'!$F$3:$F$66,MATCH(RIGHT(Q224,255),RIGHT('Disaggregation Records'!$D$3:$D$66,255),0))="","",INDEX('Disaggregation Records'!$F$3:$F$66,MATCH(RIGHT(Q224,255),RIGHT('Disaggregation Records'!$D$3:$D$66,255),0))),"")</f>
        <v/>
      </c>
      <c r="T224" s="89" t="str">
        <f t="array" aca="1" ref="T224" ca="1">IFERROR(IF(INDEX('Disaggregation Records'!$H$3:$H$66,MATCH(RIGHT(Q224,255),RIGHT('Disaggregation Records'!$D$3:$D$66,255),0))="","",INDEX('Disaggregation Records'!$H$3:$H$66,MATCH(RIGHT(Q224,255),RIGHT('Disaggregation Records'!$D$3:$D$66,255),0))),"")</f>
        <v/>
      </c>
      <c r="U224" s="89">
        <f>U222+1</f>
        <v>1298</v>
      </c>
      <c r="V224" s="89" t="str">
        <f t="array" aca="1" ref="V224" ca="1">IFERROR(IF(INDEX('Disaggregation Records'!$I$3:$I$66,MATCH(RIGHT(Q224,255),RIGHT('Disaggregation Records'!$D$3:$D$66,255),0))="","",INDEX('Disaggregation Records'!$I$3:$I$66,MATCH(RIGHT(Q224,255),RIGHT('Disaggregation Records'!$D$3:$D$66,255),0))),"")</f>
        <v/>
      </c>
      <c r="W224" s="89" t="str">
        <f ca="1">IFERROR(INDEX('Reference Records'!O$3:O$19,MATCH(LEFT(C224,255),'Reference Records'!J$3:J$19,0)),"")</f>
        <v/>
      </c>
    </row>
    <row r="225" spans="1:23" s="125" customFormat="1" ht="40.35" customHeight="1">
      <c r="A225" s="564"/>
      <c r="B225" s="799">
        <v>8.1541353383458706</v>
      </c>
      <c r="C225" s="800"/>
      <c r="D225" s="801"/>
      <c r="E225" s="801"/>
      <c r="F225" s="128"/>
      <c r="G225" s="802"/>
      <c r="H225" s="781"/>
      <c r="I225" s="803"/>
      <c r="J225" s="779"/>
      <c r="K225" s="800"/>
      <c r="L225" s="800"/>
      <c r="M225" s="779"/>
      <c r="N225" s="779"/>
    </row>
    <row r="226" spans="1:23" s="89" customFormat="1" ht="40.35" customHeight="1">
      <c r="A226" s="564" t="str">
        <f t="shared" ca="1" si="3"/>
        <v>a1G3p000005dHbpEAE</v>
      </c>
      <c r="B226" s="794">
        <v>11</v>
      </c>
      <c r="C226" s="795" t="str">
        <f ca="1">IFERROR(VLOOKUP(B226,'Impact Indicators - Section B '!$A$9:$AF$52,32,FALSE),"")</f>
        <v/>
      </c>
      <c r="D226" s="796" t="str">
        <f ca="1">R226</f>
        <v/>
      </c>
      <c r="E226" s="796" t="str">
        <f ca="1">S226</f>
        <v/>
      </c>
      <c r="F226" s="127"/>
      <c r="G226" s="797" t="str">
        <f ca="1">IF(OR(INDIRECT("'update Helper'!E"&amp;U226)="",F226&lt;&gt;0,F227&lt;&gt;0),IF(IFERROR((F226/F227),"")="","",(F226/F227)),INDIRECT("'update Helper'!E"&amp;U226)/100)</f>
        <v/>
      </c>
      <c r="H226" s="784"/>
      <c r="I226" s="798"/>
      <c r="J226" s="777"/>
      <c r="K226" s="795" t="str">
        <f ca="1">W226</f>
        <v/>
      </c>
      <c r="L226" s="795" t="str">
        <f ca="1">V226</f>
        <v/>
      </c>
      <c r="M226" s="777"/>
      <c r="N226" s="777"/>
      <c r="P226" s="89">
        <f ca="1">IF(AND(EXACT(C226,C224),C224&lt;&gt;0),P224+1,0)</f>
        <v>68</v>
      </c>
      <c r="Q226" s="89" t="str">
        <f ca="1">IF(C226&lt;&gt;"",C226&amp;"-"&amp;P226,"")</f>
        <v/>
      </c>
      <c r="R226" s="89" t="str">
        <f t="array" aca="1" ref="R226" ca="1">IFERROR(IF(INDEX('Disaggregation Records'!$E$3:$E$66,MATCH(RIGHT(Q226,255),RIGHT('Disaggregation Records'!$D$3:$D$66,255),0))="","",INDEX('Disaggregation Records'!$E$3:$E$66,MATCH(RIGHT(Q226,255),RIGHT('Disaggregation Records'!$D$3:$D$66,255),0))),"")</f>
        <v/>
      </c>
      <c r="S226" s="89" t="str">
        <f t="array" aca="1" ref="S226" ca="1">IFERROR(IF(INDEX('Disaggregation Records'!$F$3:$F$66,MATCH(RIGHT(Q226,255),RIGHT('Disaggregation Records'!$D$3:$D$66,255),0))="","",INDEX('Disaggregation Records'!$F$3:$F$66,MATCH(RIGHT(Q226,255),RIGHT('Disaggregation Records'!$D$3:$D$66,255),0))),"")</f>
        <v/>
      </c>
      <c r="T226" s="89" t="str">
        <f t="array" aca="1" ref="T226" ca="1">IFERROR(IF(INDEX('Disaggregation Records'!$H$3:$H$66,MATCH(RIGHT(Q226,255),RIGHT('Disaggregation Records'!$D$3:$D$66,255),0))="","",INDEX('Disaggregation Records'!$H$3:$H$66,MATCH(RIGHT(Q226,255),RIGHT('Disaggregation Records'!$D$3:$D$66,255),0))),"")</f>
        <v/>
      </c>
      <c r="U226" s="89">
        <f>U224+1</f>
        <v>1299</v>
      </c>
      <c r="V226" s="89" t="str">
        <f t="array" aca="1" ref="V226" ca="1">IFERROR(IF(INDEX('Disaggregation Records'!$I$3:$I$66,MATCH(RIGHT(Q226,255),RIGHT('Disaggregation Records'!$D$3:$D$66,255),0))="","",INDEX('Disaggregation Records'!$I$3:$I$66,MATCH(RIGHT(Q226,255),RIGHT('Disaggregation Records'!$D$3:$D$66,255),0))),"")</f>
        <v/>
      </c>
      <c r="W226" s="89" t="str">
        <f ca="1">IFERROR(INDEX('Reference Records'!O$3:O$19,MATCH(LEFT(C226,255),'Reference Records'!J$3:J$19,0)),"")</f>
        <v/>
      </c>
    </row>
    <row r="227" spans="1:23" s="89" customFormat="1" ht="40.35" customHeight="1">
      <c r="A227" s="564"/>
      <c r="B227" s="799">
        <v>8.1541353383458706</v>
      </c>
      <c r="C227" s="800"/>
      <c r="D227" s="801"/>
      <c r="E227" s="801"/>
      <c r="F227" s="128"/>
      <c r="G227" s="802"/>
      <c r="H227" s="781"/>
      <c r="I227" s="803"/>
      <c r="J227" s="779"/>
      <c r="K227" s="800"/>
      <c r="L227" s="800"/>
      <c r="M227" s="779"/>
      <c r="N227" s="779"/>
      <c r="P227" s="125"/>
      <c r="Q227" s="125"/>
      <c r="R227" s="125"/>
      <c r="S227" s="125"/>
      <c r="T227" s="125"/>
      <c r="U227" s="125"/>
      <c r="V227" s="125"/>
      <c r="W227" s="125"/>
    </row>
    <row r="228" spans="1:23" s="89" customFormat="1" ht="40.35" customHeight="1">
      <c r="A228" s="564" t="str">
        <f t="shared" ca="1" si="3"/>
        <v>a1G3p000005dHbqEAE</v>
      </c>
      <c r="B228" s="794">
        <v>11</v>
      </c>
      <c r="C228" s="795" t="str">
        <f ca="1">IFERROR(VLOOKUP(B228,'Impact Indicators - Section B '!$A$9:$AF$52,32,FALSE),"")</f>
        <v/>
      </c>
      <c r="D228" s="796" t="str">
        <f ca="1">R228</f>
        <v/>
      </c>
      <c r="E228" s="796" t="str">
        <f ca="1">S228</f>
        <v/>
      </c>
      <c r="F228" s="127"/>
      <c r="G228" s="797" t="str">
        <f ca="1">IF(OR(INDIRECT("'update Helper'!E"&amp;U228)="",F228&lt;&gt;0,F229&lt;&gt;0),IF(IFERROR((F228/F229),"")="","",(F228/F229)),INDIRECT("'update Helper'!E"&amp;U228)/100)</f>
        <v/>
      </c>
      <c r="H228" s="784"/>
      <c r="I228" s="798"/>
      <c r="J228" s="777"/>
      <c r="K228" s="795" t="str">
        <f ca="1">W228</f>
        <v/>
      </c>
      <c r="L228" s="795" t="str">
        <f ca="1">V228</f>
        <v/>
      </c>
      <c r="M228" s="777"/>
      <c r="N228" s="777"/>
      <c r="P228" s="89">
        <f ca="1">IF(AND(EXACT(C228,C226),C226&lt;&gt;0),P226+1,0)</f>
        <v>69</v>
      </c>
      <c r="Q228" s="89" t="str">
        <f ca="1">IF(C228&lt;&gt;"",C228&amp;"-"&amp;P228,"")</f>
        <v/>
      </c>
      <c r="R228" s="89" t="str">
        <f t="array" aca="1" ref="R228" ca="1">IFERROR(IF(INDEX('Disaggregation Records'!$E$3:$E$66,MATCH(RIGHT(Q228,255),RIGHT('Disaggregation Records'!$D$3:$D$66,255),0))="","",INDEX('Disaggregation Records'!$E$3:$E$66,MATCH(RIGHT(Q228,255),RIGHT('Disaggregation Records'!$D$3:$D$66,255),0))),"")</f>
        <v/>
      </c>
      <c r="S228" s="89" t="str">
        <f t="array" aca="1" ref="S228" ca="1">IFERROR(IF(INDEX('Disaggregation Records'!$F$3:$F$66,MATCH(RIGHT(Q228,255),RIGHT('Disaggregation Records'!$D$3:$D$66,255),0))="","",INDEX('Disaggregation Records'!$F$3:$F$66,MATCH(RIGHT(Q228,255),RIGHT('Disaggregation Records'!$D$3:$D$66,255),0))),"")</f>
        <v/>
      </c>
      <c r="T228" s="89" t="str">
        <f t="array" aca="1" ref="T228" ca="1">IFERROR(IF(INDEX('Disaggregation Records'!$H$3:$H$66,MATCH(RIGHT(Q228,255),RIGHT('Disaggregation Records'!$D$3:$D$66,255),0))="","",INDEX('Disaggregation Records'!$H$3:$H$66,MATCH(RIGHT(Q228,255),RIGHT('Disaggregation Records'!$D$3:$D$66,255),0))),"")</f>
        <v/>
      </c>
      <c r="U228" s="89">
        <f>U226+1</f>
        <v>1300</v>
      </c>
      <c r="V228" s="89" t="str">
        <f t="array" aca="1" ref="V228" ca="1">IFERROR(IF(INDEX('Disaggregation Records'!$I$3:$I$66,MATCH(RIGHT(Q228,255),RIGHT('Disaggregation Records'!$D$3:$D$66,255),0))="","",INDEX('Disaggregation Records'!$I$3:$I$66,MATCH(RIGHT(Q228,255),RIGHT('Disaggregation Records'!$D$3:$D$66,255),0))),"")</f>
        <v/>
      </c>
      <c r="W228" s="89" t="str">
        <f ca="1">IFERROR(INDEX('Reference Records'!O$3:O$19,MATCH(LEFT(C228,255),'Reference Records'!J$3:J$19,0)),"")</f>
        <v/>
      </c>
    </row>
    <row r="229" spans="1:23" s="125" customFormat="1" ht="40.35" customHeight="1">
      <c r="A229" s="564"/>
      <c r="B229" s="799">
        <v>8.1541353383458706</v>
      </c>
      <c r="C229" s="800"/>
      <c r="D229" s="801"/>
      <c r="E229" s="801"/>
      <c r="F229" s="128"/>
      <c r="G229" s="802"/>
      <c r="H229" s="781"/>
      <c r="I229" s="803"/>
      <c r="J229" s="779"/>
      <c r="K229" s="800"/>
      <c r="L229" s="800"/>
      <c r="M229" s="779"/>
      <c r="N229" s="779"/>
    </row>
    <row r="230" spans="1:23" s="89" customFormat="1" ht="40.35" customHeight="1">
      <c r="A230" s="564" t="str">
        <f t="shared" ca="1" si="3"/>
        <v>a1G3p000005dHbrEAE</v>
      </c>
      <c r="B230" s="794">
        <v>12</v>
      </c>
      <c r="C230" s="795" t="str">
        <f ca="1">IFERROR(VLOOKUP(B230,'Impact Indicators - Section B '!$A$9:$AF$52,32,FALSE),"")</f>
        <v/>
      </c>
      <c r="D230" s="796" t="str">
        <f ca="1">R230</f>
        <v/>
      </c>
      <c r="E230" s="796" t="str">
        <f ca="1">S230</f>
        <v/>
      </c>
      <c r="F230" s="127"/>
      <c r="G230" s="797" t="str">
        <f ca="1">IF(OR(INDIRECT("'update Helper'!E"&amp;U230)="",F230&lt;&gt;0,F231&lt;&gt;0),IF(IFERROR((F230/F231),"")="","",(F230/F231)),INDIRECT("'update Helper'!E"&amp;U230)/100)</f>
        <v/>
      </c>
      <c r="H230" s="784"/>
      <c r="I230" s="798"/>
      <c r="J230" s="777"/>
      <c r="K230" s="795" t="str">
        <f ca="1">W230</f>
        <v/>
      </c>
      <c r="L230" s="795" t="str">
        <f ca="1">V230</f>
        <v/>
      </c>
      <c r="M230" s="777"/>
      <c r="N230" s="777"/>
      <c r="P230" s="89">
        <f ca="1">IF(AND(EXACT(C230,C228),C228&lt;&gt;0),P228+1,0)</f>
        <v>70</v>
      </c>
      <c r="Q230" s="89" t="str">
        <f ca="1">IF(C230&lt;&gt;"",C230&amp;"-"&amp;P230,"")</f>
        <v/>
      </c>
      <c r="R230" s="89" t="str">
        <f t="array" aca="1" ref="R230" ca="1">IFERROR(IF(INDEX('Disaggregation Records'!$E$3:$E$66,MATCH(RIGHT(Q230,255),RIGHT('Disaggregation Records'!$D$3:$D$66,255),0))="","",INDEX('Disaggregation Records'!$E$3:$E$66,MATCH(RIGHT(Q230,255),RIGHT('Disaggregation Records'!$D$3:$D$66,255),0))),"")</f>
        <v/>
      </c>
      <c r="S230" s="89" t="str">
        <f t="array" aca="1" ref="S230" ca="1">IFERROR(IF(INDEX('Disaggregation Records'!$F$3:$F$66,MATCH(RIGHT(Q230,255),RIGHT('Disaggregation Records'!$D$3:$D$66,255),0))="","",INDEX('Disaggregation Records'!$F$3:$F$66,MATCH(RIGHT(Q230,255),RIGHT('Disaggregation Records'!$D$3:$D$66,255),0))),"")</f>
        <v/>
      </c>
      <c r="T230" s="89" t="str">
        <f t="array" aca="1" ref="T230" ca="1">IFERROR(IF(INDEX('Disaggregation Records'!$H$3:$H$66,MATCH(RIGHT(Q230,255),RIGHT('Disaggregation Records'!$D$3:$D$66,255),0))="","",INDEX('Disaggregation Records'!$H$3:$H$66,MATCH(RIGHT(Q230,255),RIGHT('Disaggregation Records'!$D$3:$D$66,255),0))),"")</f>
        <v/>
      </c>
      <c r="U230" s="89">
        <f>U228+1</f>
        <v>1301</v>
      </c>
      <c r="V230" s="89" t="str">
        <f t="array" aca="1" ref="V230" ca="1">IFERROR(IF(INDEX('Disaggregation Records'!$I$3:$I$66,MATCH(RIGHT(Q230,255),RIGHT('Disaggregation Records'!$D$3:$D$66,255),0))="","",INDEX('Disaggregation Records'!$I$3:$I$66,MATCH(RIGHT(Q230,255),RIGHT('Disaggregation Records'!$D$3:$D$66,255),0))),"")</f>
        <v/>
      </c>
      <c r="W230" s="89" t="str">
        <f ca="1">IFERROR(INDEX('Reference Records'!O$3:O$19,MATCH(LEFT(C230,255),'Reference Records'!J$3:J$19,0)),"")</f>
        <v/>
      </c>
    </row>
    <row r="231" spans="1:23" s="125" customFormat="1" ht="40.35" customHeight="1">
      <c r="A231" s="564"/>
      <c r="B231" s="799">
        <v>8.9060150375939902</v>
      </c>
      <c r="C231" s="800"/>
      <c r="D231" s="801"/>
      <c r="E231" s="801"/>
      <c r="F231" s="128"/>
      <c r="G231" s="802"/>
      <c r="H231" s="781"/>
      <c r="I231" s="803"/>
      <c r="J231" s="779"/>
      <c r="K231" s="800"/>
      <c r="L231" s="800"/>
      <c r="M231" s="779"/>
      <c r="N231" s="779"/>
    </row>
    <row r="232" spans="1:23" s="89" customFormat="1" ht="40.35" customHeight="1">
      <c r="A232" s="564" t="str">
        <f t="shared" ca="1" si="3"/>
        <v>a1G3p000005dHbsEAE</v>
      </c>
      <c r="B232" s="794">
        <v>12</v>
      </c>
      <c r="C232" s="795" t="str">
        <f ca="1">IFERROR(VLOOKUP(B232,'Impact Indicators - Section B '!$A$9:$AF$52,32,FALSE),"")</f>
        <v/>
      </c>
      <c r="D232" s="796" t="str">
        <f ca="1">R232</f>
        <v/>
      </c>
      <c r="E232" s="796" t="str">
        <f ca="1">S232</f>
        <v/>
      </c>
      <c r="F232" s="127"/>
      <c r="G232" s="797" t="str">
        <f ca="1">IF(OR(INDIRECT("'update Helper'!E"&amp;U232)="",F232&lt;&gt;0,F233&lt;&gt;0),IF(IFERROR((F232/F233),"")="","",(F232/F233)),INDIRECT("'update Helper'!E"&amp;U232)/100)</f>
        <v/>
      </c>
      <c r="H232" s="784"/>
      <c r="I232" s="798"/>
      <c r="J232" s="777"/>
      <c r="K232" s="795" t="str">
        <f ca="1">W232</f>
        <v/>
      </c>
      <c r="L232" s="795" t="str">
        <f ca="1">V232</f>
        <v/>
      </c>
      <c r="M232" s="777"/>
      <c r="N232" s="777"/>
      <c r="P232" s="89">
        <f ca="1">IF(AND(EXACT(C232,C230),C230&lt;&gt;0),P230+1,0)</f>
        <v>71</v>
      </c>
      <c r="Q232" s="89" t="str">
        <f ca="1">IF(C232&lt;&gt;"",C232&amp;"-"&amp;P232,"")</f>
        <v/>
      </c>
      <c r="R232" s="89" t="str">
        <f t="array" aca="1" ref="R232" ca="1">IFERROR(IF(INDEX('Disaggregation Records'!$E$3:$E$66,MATCH(RIGHT(Q232,255),RIGHT('Disaggregation Records'!$D$3:$D$66,255),0))="","",INDEX('Disaggregation Records'!$E$3:$E$66,MATCH(RIGHT(Q232,255),RIGHT('Disaggregation Records'!$D$3:$D$66,255),0))),"")</f>
        <v/>
      </c>
      <c r="S232" s="89" t="str">
        <f t="array" aca="1" ref="S232" ca="1">IFERROR(IF(INDEX('Disaggregation Records'!$F$3:$F$66,MATCH(RIGHT(Q232,255),RIGHT('Disaggregation Records'!$D$3:$D$66,255),0))="","",INDEX('Disaggregation Records'!$F$3:$F$66,MATCH(RIGHT(Q232,255),RIGHT('Disaggregation Records'!$D$3:$D$66,255),0))),"")</f>
        <v/>
      </c>
      <c r="T232" s="89" t="str">
        <f t="array" aca="1" ref="T232" ca="1">IFERROR(IF(INDEX('Disaggregation Records'!$H$3:$H$66,MATCH(RIGHT(Q232,255),RIGHT('Disaggregation Records'!$D$3:$D$66,255),0))="","",INDEX('Disaggregation Records'!$H$3:$H$66,MATCH(RIGHT(Q232,255),RIGHT('Disaggregation Records'!$D$3:$D$66,255),0))),"")</f>
        <v/>
      </c>
      <c r="U232" s="89">
        <f>U230+1</f>
        <v>1302</v>
      </c>
      <c r="V232" s="89" t="str">
        <f t="array" aca="1" ref="V232" ca="1">IFERROR(IF(INDEX('Disaggregation Records'!$I$3:$I$66,MATCH(RIGHT(Q232,255),RIGHT('Disaggregation Records'!$D$3:$D$66,255),0))="","",INDEX('Disaggregation Records'!$I$3:$I$66,MATCH(RIGHT(Q232,255),RIGHT('Disaggregation Records'!$D$3:$D$66,255),0))),"")</f>
        <v/>
      </c>
      <c r="W232" s="89" t="str">
        <f ca="1">IFERROR(INDEX('Reference Records'!O$3:O$19,MATCH(LEFT(C232,255),'Reference Records'!J$3:J$19,0)),"")</f>
        <v/>
      </c>
    </row>
    <row r="233" spans="1:23" s="89" customFormat="1" ht="40.35" customHeight="1">
      <c r="A233" s="564"/>
      <c r="B233" s="799">
        <v>8.9060150375939902</v>
      </c>
      <c r="C233" s="800"/>
      <c r="D233" s="801"/>
      <c r="E233" s="801"/>
      <c r="F233" s="128"/>
      <c r="G233" s="802"/>
      <c r="H233" s="781"/>
      <c r="I233" s="803"/>
      <c r="J233" s="779"/>
      <c r="K233" s="800"/>
      <c r="L233" s="800"/>
      <c r="M233" s="779"/>
      <c r="N233" s="779"/>
      <c r="P233" s="125"/>
      <c r="Q233" s="125"/>
      <c r="R233" s="125"/>
      <c r="S233" s="125"/>
      <c r="T233" s="125"/>
      <c r="U233" s="125"/>
      <c r="V233" s="125"/>
      <c r="W233" s="125"/>
    </row>
    <row r="234" spans="1:23" s="89" customFormat="1" ht="40.35" customHeight="1">
      <c r="A234" s="564" t="str">
        <f t="shared" ca="1" si="3"/>
        <v>a1G3p000005dHbtEAE</v>
      </c>
      <c r="B234" s="794">
        <v>12</v>
      </c>
      <c r="C234" s="795" t="str">
        <f ca="1">IFERROR(VLOOKUP(B234,'Impact Indicators - Section B '!$A$9:$AF$52,32,FALSE),"")</f>
        <v/>
      </c>
      <c r="D234" s="796" t="str">
        <f ca="1">R234</f>
        <v/>
      </c>
      <c r="E234" s="796" t="str">
        <f ca="1">S234</f>
        <v/>
      </c>
      <c r="F234" s="127"/>
      <c r="G234" s="797" t="str">
        <f ca="1">IF(OR(INDIRECT("'update Helper'!E"&amp;U234)="",F234&lt;&gt;0,F235&lt;&gt;0),IF(IFERROR((F234/F235),"")="","",(F234/F235)),INDIRECT("'update Helper'!E"&amp;U234)/100)</f>
        <v/>
      </c>
      <c r="H234" s="784"/>
      <c r="I234" s="798"/>
      <c r="J234" s="777"/>
      <c r="K234" s="795" t="str">
        <f ca="1">W234</f>
        <v/>
      </c>
      <c r="L234" s="795" t="str">
        <f ca="1">V234</f>
        <v/>
      </c>
      <c r="M234" s="777"/>
      <c r="N234" s="777"/>
      <c r="P234" s="89">
        <f ca="1">IF(AND(EXACT(C234,C232),C232&lt;&gt;0),P232+1,0)</f>
        <v>72</v>
      </c>
      <c r="Q234" s="89" t="str">
        <f ca="1">IF(C234&lt;&gt;"",C234&amp;"-"&amp;P234,"")</f>
        <v/>
      </c>
      <c r="R234" s="89" t="str">
        <f t="array" aca="1" ref="R234" ca="1">IFERROR(IF(INDEX('Disaggregation Records'!$E$3:$E$66,MATCH(RIGHT(Q234,255),RIGHT('Disaggregation Records'!$D$3:$D$66,255),0))="","",INDEX('Disaggregation Records'!$E$3:$E$66,MATCH(RIGHT(Q234,255),RIGHT('Disaggregation Records'!$D$3:$D$66,255),0))),"")</f>
        <v/>
      </c>
      <c r="S234" s="89" t="str">
        <f t="array" aca="1" ref="S234" ca="1">IFERROR(IF(INDEX('Disaggregation Records'!$F$3:$F$66,MATCH(RIGHT(Q234,255),RIGHT('Disaggregation Records'!$D$3:$D$66,255),0))="","",INDEX('Disaggregation Records'!$F$3:$F$66,MATCH(RIGHT(Q234,255),RIGHT('Disaggregation Records'!$D$3:$D$66,255),0))),"")</f>
        <v/>
      </c>
      <c r="T234" s="89" t="str">
        <f t="array" aca="1" ref="T234" ca="1">IFERROR(IF(INDEX('Disaggregation Records'!$H$3:$H$66,MATCH(RIGHT(Q234,255),RIGHT('Disaggregation Records'!$D$3:$D$66,255),0))="","",INDEX('Disaggregation Records'!$H$3:$H$66,MATCH(RIGHT(Q234,255),RIGHT('Disaggregation Records'!$D$3:$D$66,255),0))),"")</f>
        <v/>
      </c>
      <c r="U234" s="89">
        <f>U232+1</f>
        <v>1303</v>
      </c>
      <c r="V234" s="89" t="str">
        <f t="array" aca="1" ref="V234" ca="1">IFERROR(IF(INDEX('Disaggregation Records'!$I$3:$I$66,MATCH(RIGHT(Q234,255),RIGHT('Disaggregation Records'!$D$3:$D$66,255),0))="","",INDEX('Disaggregation Records'!$I$3:$I$66,MATCH(RIGHT(Q234,255),RIGHT('Disaggregation Records'!$D$3:$D$66,255),0))),"")</f>
        <v/>
      </c>
      <c r="W234" s="89" t="str">
        <f ca="1">IFERROR(INDEX('Reference Records'!O$3:O$19,MATCH(LEFT(C234,255),'Reference Records'!J$3:J$19,0)),"")</f>
        <v/>
      </c>
    </row>
    <row r="235" spans="1:23" s="125" customFormat="1" ht="40.35" customHeight="1">
      <c r="A235" s="564"/>
      <c r="B235" s="799">
        <v>8.9060150375939902</v>
      </c>
      <c r="C235" s="800"/>
      <c r="D235" s="801"/>
      <c r="E235" s="801"/>
      <c r="F235" s="128"/>
      <c r="G235" s="802"/>
      <c r="H235" s="781"/>
      <c r="I235" s="803"/>
      <c r="J235" s="779"/>
      <c r="K235" s="800"/>
      <c r="L235" s="800"/>
      <c r="M235" s="779"/>
      <c r="N235" s="779"/>
    </row>
    <row r="236" spans="1:23" s="89" customFormat="1" ht="40.35" customHeight="1">
      <c r="A236" s="564" t="str">
        <f t="shared" ca="1" si="3"/>
        <v>a1G3p000005dHbuEAE</v>
      </c>
      <c r="B236" s="794">
        <v>12</v>
      </c>
      <c r="C236" s="795" t="str">
        <f ca="1">IFERROR(VLOOKUP(B236,'Impact Indicators - Section B '!$A$9:$AF$52,32,FALSE),"")</f>
        <v/>
      </c>
      <c r="D236" s="796" t="str">
        <f ca="1">R236</f>
        <v/>
      </c>
      <c r="E236" s="796" t="str">
        <f ca="1">S236</f>
        <v/>
      </c>
      <c r="F236" s="127"/>
      <c r="G236" s="797" t="str">
        <f ca="1">IF(OR(INDIRECT("'update Helper'!E"&amp;U236)="",F236&lt;&gt;0,F237&lt;&gt;0),IF(IFERROR((F236/F237),"")="","",(F236/F237)),INDIRECT("'update Helper'!E"&amp;U236)/100)</f>
        <v/>
      </c>
      <c r="H236" s="784"/>
      <c r="I236" s="798"/>
      <c r="J236" s="777"/>
      <c r="K236" s="795" t="str">
        <f ca="1">W236</f>
        <v/>
      </c>
      <c r="L236" s="795" t="str">
        <f ca="1">V236</f>
        <v/>
      </c>
      <c r="M236" s="777"/>
      <c r="N236" s="777"/>
      <c r="P236" s="89">
        <f ca="1">IF(AND(EXACT(C236,C234),C234&lt;&gt;0),P234+1,0)</f>
        <v>73</v>
      </c>
      <c r="Q236" s="89" t="str">
        <f ca="1">IF(C236&lt;&gt;"",C236&amp;"-"&amp;P236,"")</f>
        <v/>
      </c>
      <c r="R236" s="89" t="str">
        <f t="array" aca="1" ref="R236" ca="1">IFERROR(IF(INDEX('Disaggregation Records'!$E$3:$E$66,MATCH(RIGHT(Q236,255),RIGHT('Disaggregation Records'!$D$3:$D$66,255),0))="","",INDEX('Disaggregation Records'!$E$3:$E$66,MATCH(RIGHT(Q236,255),RIGHT('Disaggregation Records'!$D$3:$D$66,255),0))),"")</f>
        <v/>
      </c>
      <c r="S236" s="89" t="str">
        <f t="array" aca="1" ref="S236" ca="1">IFERROR(IF(INDEX('Disaggregation Records'!$F$3:$F$66,MATCH(RIGHT(Q236,255),RIGHT('Disaggregation Records'!$D$3:$D$66,255),0))="","",INDEX('Disaggregation Records'!$F$3:$F$66,MATCH(RIGHT(Q236,255),RIGHT('Disaggregation Records'!$D$3:$D$66,255),0))),"")</f>
        <v/>
      </c>
      <c r="T236" s="89" t="str">
        <f t="array" aca="1" ref="T236" ca="1">IFERROR(IF(INDEX('Disaggregation Records'!$H$3:$H$66,MATCH(RIGHT(Q236,255),RIGHT('Disaggregation Records'!$D$3:$D$66,255),0))="","",INDEX('Disaggregation Records'!$H$3:$H$66,MATCH(RIGHT(Q236,255),RIGHT('Disaggregation Records'!$D$3:$D$66,255),0))),"")</f>
        <v/>
      </c>
      <c r="U236" s="89">
        <f>U234+1</f>
        <v>1304</v>
      </c>
      <c r="V236" s="89" t="str">
        <f t="array" aca="1" ref="V236" ca="1">IFERROR(IF(INDEX('Disaggregation Records'!$I$3:$I$66,MATCH(RIGHT(Q236,255),RIGHT('Disaggregation Records'!$D$3:$D$66,255),0))="","",INDEX('Disaggregation Records'!$I$3:$I$66,MATCH(RIGHT(Q236,255),RIGHT('Disaggregation Records'!$D$3:$D$66,255),0))),"")</f>
        <v/>
      </c>
      <c r="W236" s="89" t="str">
        <f ca="1">IFERROR(INDEX('Reference Records'!O$3:O$19,MATCH(LEFT(C236,255),'Reference Records'!J$3:J$19,0)),"")</f>
        <v/>
      </c>
    </row>
    <row r="237" spans="1:23" s="125" customFormat="1" ht="40.35" customHeight="1">
      <c r="A237" s="564"/>
      <c r="B237" s="799">
        <v>8.9060150375939902</v>
      </c>
      <c r="C237" s="800"/>
      <c r="D237" s="801"/>
      <c r="E237" s="801"/>
      <c r="F237" s="128"/>
      <c r="G237" s="802"/>
      <c r="H237" s="781"/>
      <c r="I237" s="803"/>
      <c r="J237" s="779"/>
      <c r="K237" s="800"/>
      <c r="L237" s="800"/>
      <c r="M237" s="779"/>
      <c r="N237" s="779"/>
    </row>
    <row r="238" spans="1:23" s="89" customFormat="1" ht="40.35" customHeight="1">
      <c r="A238" s="564" t="str">
        <f t="shared" ca="1" si="3"/>
        <v>a1G3p000005dHbvEAE</v>
      </c>
      <c r="B238" s="794">
        <v>12</v>
      </c>
      <c r="C238" s="795" t="str">
        <f ca="1">IFERROR(VLOOKUP(B238,'Impact Indicators - Section B '!$A$9:$AF$52,32,FALSE),"")</f>
        <v/>
      </c>
      <c r="D238" s="796" t="str">
        <f ca="1">R238</f>
        <v/>
      </c>
      <c r="E238" s="796" t="str">
        <f ca="1">S238</f>
        <v/>
      </c>
      <c r="F238" s="127"/>
      <c r="G238" s="797" t="str">
        <f ca="1">IF(OR(INDIRECT("'update Helper'!E"&amp;U238)="",F238&lt;&gt;0,F239&lt;&gt;0),IF(IFERROR((F238/F239),"")="","",(F238/F239)),INDIRECT("'update Helper'!E"&amp;U238)/100)</f>
        <v/>
      </c>
      <c r="H238" s="784"/>
      <c r="I238" s="798"/>
      <c r="J238" s="777"/>
      <c r="K238" s="795" t="str">
        <f ca="1">W238</f>
        <v/>
      </c>
      <c r="L238" s="795" t="str">
        <f ca="1">V238</f>
        <v/>
      </c>
      <c r="M238" s="777"/>
      <c r="N238" s="777"/>
      <c r="P238" s="89">
        <f ca="1">IF(AND(EXACT(C238,C236),C236&lt;&gt;0),P236+1,0)</f>
        <v>74</v>
      </c>
      <c r="Q238" s="89" t="str">
        <f ca="1">IF(C238&lt;&gt;"",C238&amp;"-"&amp;P238,"")</f>
        <v/>
      </c>
      <c r="R238" s="89" t="str">
        <f t="array" aca="1" ref="R238" ca="1">IFERROR(IF(INDEX('Disaggregation Records'!$E$3:$E$66,MATCH(RIGHT(Q238,255),RIGHT('Disaggregation Records'!$D$3:$D$66,255),0))="","",INDEX('Disaggregation Records'!$E$3:$E$66,MATCH(RIGHT(Q238,255),RIGHT('Disaggregation Records'!$D$3:$D$66,255),0))),"")</f>
        <v/>
      </c>
      <c r="S238" s="89" t="str">
        <f t="array" aca="1" ref="S238" ca="1">IFERROR(IF(INDEX('Disaggregation Records'!$F$3:$F$66,MATCH(RIGHT(Q238,255),RIGHT('Disaggregation Records'!$D$3:$D$66,255),0))="","",INDEX('Disaggregation Records'!$F$3:$F$66,MATCH(RIGHT(Q238,255),RIGHT('Disaggregation Records'!$D$3:$D$66,255),0))),"")</f>
        <v/>
      </c>
      <c r="T238" s="89" t="str">
        <f t="array" aca="1" ref="T238" ca="1">IFERROR(IF(INDEX('Disaggregation Records'!$H$3:$H$66,MATCH(RIGHT(Q238,255),RIGHT('Disaggregation Records'!$D$3:$D$66,255),0))="","",INDEX('Disaggregation Records'!$H$3:$H$66,MATCH(RIGHT(Q238,255),RIGHT('Disaggregation Records'!$D$3:$D$66,255),0))),"")</f>
        <v/>
      </c>
      <c r="U238" s="89">
        <f>U236+1</f>
        <v>1305</v>
      </c>
      <c r="V238" s="89" t="str">
        <f t="array" aca="1" ref="V238" ca="1">IFERROR(IF(INDEX('Disaggregation Records'!$I$3:$I$66,MATCH(RIGHT(Q238,255),RIGHT('Disaggregation Records'!$D$3:$D$66,255),0))="","",INDEX('Disaggregation Records'!$I$3:$I$66,MATCH(RIGHT(Q238,255),RIGHT('Disaggregation Records'!$D$3:$D$66,255),0))),"")</f>
        <v/>
      </c>
      <c r="W238" s="89" t="str">
        <f ca="1">IFERROR(INDEX('Reference Records'!O$3:O$19,MATCH(LEFT(C238,255),'Reference Records'!J$3:J$19,0)),"")</f>
        <v/>
      </c>
    </row>
    <row r="239" spans="1:23" s="89" customFormat="1" ht="40.35" customHeight="1">
      <c r="A239" s="564"/>
      <c r="B239" s="799">
        <v>8.9060150375939902</v>
      </c>
      <c r="C239" s="800"/>
      <c r="D239" s="801"/>
      <c r="E239" s="801"/>
      <c r="F239" s="128"/>
      <c r="G239" s="802"/>
      <c r="H239" s="781"/>
      <c r="I239" s="803"/>
      <c r="J239" s="779"/>
      <c r="K239" s="800"/>
      <c r="L239" s="800"/>
      <c r="M239" s="779"/>
      <c r="N239" s="779"/>
      <c r="P239" s="125"/>
      <c r="Q239" s="125"/>
      <c r="R239" s="125"/>
      <c r="S239" s="125"/>
      <c r="T239" s="125"/>
      <c r="U239" s="125"/>
      <c r="V239" s="125"/>
      <c r="W239" s="125"/>
    </row>
    <row r="240" spans="1:23" s="89" customFormat="1" ht="40.35" customHeight="1">
      <c r="A240" s="564" t="str">
        <f t="shared" ca="1" si="3"/>
        <v>a1G3p000005dHbwEAE</v>
      </c>
      <c r="B240" s="794">
        <v>12</v>
      </c>
      <c r="C240" s="795" t="str">
        <f ca="1">IFERROR(VLOOKUP(B240,'Impact Indicators - Section B '!$A$9:$AF$52,32,FALSE),"")</f>
        <v/>
      </c>
      <c r="D240" s="796" t="str">
        <f ca="1">R240</f>
        <v/>
      </c>
      <c r="E240" s="796" t="str">
        <f ca="1">S240</f>
        <v/>
      </c>
      <c r="F240" s="127"/>
      <c r="G240" s="797" t="str">
        <f ca="1">IF(OR(INDIRECT("'update Helper'!E"&amp;U240)="",F240&lt;&gt;0,F241&lt;&gt;0),IF(IFERROR((F240/F241),"")="","",(F240/F241)),INDIRECT("'update Helper'!E"&amp;U240)/100)</f>
        <v/>
      </c>
      <c r="H240" s="784"/>
      <c r="I240" s="798"/>
      <c r="J240" s="777"/>
      <c r="K240" s="795" t="str">
        <f ca="1">W240</f>
        <v/>
      </c>
      <c r="L240" s="795" t="str">
        <f ca="1">V240</f>
        <v/>
      </c>
      <c r="M240" s="777"/>
      <c r="N240" s="777"/>
      <c r="P240" s="89">
        <f ca="1">IF(AND(EXACT(C240,C238),C238&lt;&gt;0),P238+1,0)</f>
        <v>75</v>
      </c>
      <c r="Q240" s="89" t="str">
        <f ca="1">IF(C240&lt;&gt;"",C240&amp;"-"&amp;P240,"")</f>
        <v/>
      </c>
      <c r="R240" s="89" t="str">
        <f t="array" aca="1" ref="R240" ca="1">IFERROR(IF(INDEX('Disaggregation Records'!$E$3:$E$66,MATCH(RIGHT(Q240,255),RIGHT('Disaggregation Records'!$D$3:$D$66,255),0))="","",INDEX('Disaggregation Records'!$E$3:$E$66,MATCH(RIGHT(Q240,255),RIGHT('Disaggregation Records'!$D$3:$D$66,255),0))),"")</f>
        <v/>
      </c>
      <c r="S240" s="89" t="str">
        <f t="array" aca="1" ref="S240" ca="1">IFERROR(IF(INDEX('Disaggregation Records'!$F$3:$F$66,MATCH(RIGHT(Q240,255),RIGHT('Disaggregation Records'!$D$3:$D$66,255),0))="","",INDEX('Disaggregation Records'!$F$3:$F$66,MATCH(RIGHT(Q240,255),RIGHT('Disaggregation Records'!$D$3:$D$66,255),0))),"")</f>
        <v/>
      </c>
      <c r="T240" s="89" t="str">
        <f t="array" aca="1" ref="T240" ca="1">IFERROR(IF(INDEX('Disaggregation Records'!$H$3:$H$66,MATCH(RIGHT(Q240,255),RIGHT('Disaggregation Records'!$D$3:$D$66,255),0))="","",INDEX('Disaggregation Records'!$H$3:$H$66,MATCH(RIGHT(Q240,255),RIGHT('Disaggregation Records'!$D$3:$D$66,255),0))),"")</f>
        <v/>
      </c>
      <c r="U240" s="89">
        <f>U238+1</f>
        <v>1306</v>
      </c>
      <c r="V240" s="89" t="str">
        <f t="array" aca="1" ref="V240" ca="1">IFERROR(IF(INDEX('Disaggregation Records'!$I$3:$I$66,MATCH(RIGHT(Q240,255),RIGHT('Disaggregation Records'!$D$3:$D$66,255),0))="","",INDEX('Disaggregation Records'!$I$3:$I$66,MATCH(RIGHT(Q240,255),RIGHT('Disaggregation Records'!$D$3:$D$66,255),0))),"")</f>
        <v/>
      </c>
      <c r="W240" s="89" t="str">
        <f ca="1">IFERROR(INDEX('Reference Records'!O$3:O$19,MATCH(LEFT(C240,255),'Reference Records'!J$3:J$19,0)),"")</f>
        <v/>
      </c>
    </row>
    <row r="241" spans="1:23" s="125" customFormat="1" ht="40.35" customHeight="1">
      <c r="A241" s="564"/>
      <c r="B241" s="799">
        <v>8.9060150375939902</v>
      </c>
      <c r="C241" s="800"/>
      <c r="D241" s="801"/>
      <c r="E241" s="801"/>
      <c r="F241" s="128"/>
      <c r="G241" s="802"/>
      <c r="H241" s="781"/>
      <c r="I241" s="803"/>
      <c r="J241" s="779"/>
      <c r="K241" s="800"/>
      <c r="L241" s="800"/>
      <c r="M241" s="779"/>
      <c r="N241" s="779"/>
    </row>
    <row r="242" spans="1:23" s="89" customFormat="1" ht="40.35" customHeight="1">
      <c r="A242" s="564" t="str">
        <f t="shared" ca="1" si="3"/>
        <v>a1G3p000005dHbxEAE</v>
      </c>
      <c r="B242" s="794">
        <v>12</v>
      </c>
      <c r="C242" s="795" t="str">
        <f ca="1">IFERROR(VLOOKUP(B242,'Impact Indicators - Section B '!$A$9:$AF$52,32,FALSE),"")</f>
        <v/>
      </c>
      <c r="D242" s="796" t="str">
        <f ca="1">R242</f>
        <v/>
      </c>
      <c r="E242" s="796" t="str">
        <f ca="1">S242</f>
        <v/>
      </c>
      <c r="F242" s="127"/>
      <c r="G242" s="797" t="str">
        <f ca="1">IF(OR(INDIRECT("'update Helper'!E"&amp;U242)="",F242&lt;&gt;0,F243&lt;&gt;0),IF(IFERROR((F242/F243),"")="","",(F242/F243)),INDIRECT("'update Helper'!E"&amp;U242)/100)</f>
        <v/>
      </c>
      <c r="H242" s="784"/>
      <c r="I242" s="798"/>
      <c r="J242" s="777"/>
      <c r="K242" s="795" t="str">
        <f ca="1">W242</f>
        <v/>
      </c>
      <c r="L242" s="795" t="str">
        <f ca="1">V242</f>
        <v/>
      </c>
      <c r="M242" s="777"/>
      <c r="N242" s="777"/>
      <c r="P242" s="89">
        <f ca="1">IF(AND(EXACT(C242,C240),C240&lt;&gt;0),P240+1,0)</f>
        <v>76</v>
      </c>
      <c r="Q242" s="89" t="str">
        <f ca="1">IF(C242&lt;&gt;"",C242&amp;"-"&amp;P242,"")</f>
        <v/>
      </c>
      <c r="R242" s="89" t="str">
        <f t="array" aca="1" ref="R242" ca="1">IFERROR(IF(INDEX('Disaggregation Records'!$E$3:$E$66,MATCH(RIGHT(Q242,255),RIGHT('Disaggregation Records'!$D$3:$D$66,255),0))="","",INDEX('Disaggregation Records'!$E$3:$E$66,MATCH(RIGHT(Q242,255),RIGHT('Disaggregation Records'!$D$3:$D$66,255),0))),"")</f>
        <v/>
      </c>
      <c r="S242" s="89" t="str">
        <f t="array" aca="1" ref="S242" ca="1">IFERROR(IF(INDEX('Disaggregation Records'!$F$3:$F$66,MATCH(RIGHT(Q242,255),RIGHT('Disaggregation Records'!$D$3:$D$66,255),0))="","",INDEX('Disaggregation Records'!$F$3:$F$66,MATCH(RIGHT(Q242,255),RIGHT('Disaggregation Records'!$D$3:$D$66,255),0))),"")</f>
        <v/>
      </c>
      <c r="T242" s="89" t="str">
        <f t="array" aca="1" ref="T242" ca="1">IFERROR(IF(INDEX('Disaggregation Records'!$H$3:$H$66,MATCH(RIGHT(Q242,255),RIGHT('Disaggregation Records'!$D$3:$D$66,255),0))="","",INDEX('Disaggregation Records'!$H$3:$H$66,MATCH(RIGHT(Q242,255),RIGHT('Disaggregation Records'!$D$3:$D$66,255),0))),"")</f>
        <v/>
      </c>
      <c r="U242" s="89">
        <f>U240+1</f>
        <v>1307</v>
      </c>
      <c r="V242" s="89" t="str">
        <f t="array" aca="1" ref="V242" ca="1">IFERROR(IF(INDEX('Disaggregation Records'!$I$3:$I$66,MATCH(RIGHT(Q242,255),RIGHT('Disaggregation Records'!$D$3:$D$66,255),0))="","",INDEX('Disaggregation Records'!$I$3:$I$66,MATCH(RIGHT(Q242,255),RIGHT('Disaggregation Records'!$D$3:$D$66,255),0))),"")</f>
        <v/>
      </c>
      <c r="W242" s="89" t="str">
        <f ca="1">IFERROR(INDEX('Reference Records'!O$3:O$19,MATCH(LEFT(C242,255),'Reference Records'!J$3:J$19,0)),"")</f>
        <v/>
      </c>
    </row>
    <row r="243" spans="1:23" s="125" customFormat="1" ht="40.35" customHeight="1">
      <c r="A243" s="564"/>
      <c r="B243" s="799">
        <v>8.9060150375939902</v>
      </c>
      <c r="C243" s="800"/>
      <c r="D243" s="801"/>
      <c r="E243" s="801"/>
      <c r="F243" s="128"/>
      <c r="G243" s="802"/>
      <c r="H243" s="781"/>
      <c r="I243" s="803"/>
      <c r="J243" s="779"/>
      <c r="K243" s="800"/>
      <c r="L243" s="800"/>
      <c r="M243" s="779"/>
      <c r="N243" s="779"/>
    </row>
    <row r="244" spans="1:23" s="89" customFormat="1" ht="40.35" customHeight="1">
      <c r="A244" s="564" t="str">
        <f t="shared" ca="1" si="3"/>
        <v>a1G3p000005dHbyEAE</v>
      </c>
      <c r="B244" s="794">
        <v>12</v>
      </c>
      <c r="C244" s="795" t="str">
        <f ca="1">IFERROR(VLOOKUP(B244,'Impact Indicators - Section B '!$A$9:$AF$52,32,FALSE),"")</f>
        <v/>
      </c>
      <c r="D244" s="796" t="str">
        <f ca="1">R244</f>
        <v/>
      </c>
      <c r="E244" s="796" t="str">
        <f ca="1">S244</f>
        <v/>
      </c>
      <c r="F244" s="127"/>
      <c r="G244" s="797" t="str">
        <f ca="1">IF(OR(INDIRECT("'update Helper'!E"&amp;U244)="",F244&lt;&gt;0,F245&lt;&gt;0),IF(IFERROR((F244/F245),"")="","",(F244/F245)),INDIRECT("'update Helper'!E"&amp;U244)/100)</f>
        <v/>
      </c>
      <c r="H244" s="784"/>
      <c r="I244" s="798"/>
      <c r="J244" s="777"/>
      <c r="K244" s="795" t="str">
        <f ca="1">W244</f>
        <v/>
      </c>
      <c r="L244" s="795" t="str">
        <f ca="1">V244</f>
        <v/>
      </c>
      <c r="M244" s="777"/>
      <c r="N244" s="777"/>
      <c r="P244" s="89">
        <f ca="1">IF(AND(EXACT(C244,C242),C242&lt;&gt;0),P242+1,0)</f>
        <v>77</v>
      </c>
      <c r="Q244" s="89" t="str">
        <f ca="1">IF(C244&lt;&gt;"",C244&amp;"-"&amp;P244,"")</f>
        <v/>
      </c>
      <c r="R244" s="89" t="str">
        <f t="array" aca="1" ref="R244" ca="1">IFERROR(IF(INDEX('Disaggregation Records'!$E$3:$E$66,MATCH(RIGHT(Q244,255),RIGHT('Disaggregation Records'!$D$3:$D$66,255),0))="","",INDEX('Disaggregation Records'!$E$3:$E$66,MATCH(RIGHT(Q244,255),RIGHT('Disaggregation Records'!$D$3:$D$66,255),0))),"")</f>
        <v/>
      </c>
      <c r="S244" s="89" t="str">
        <f t="array" aca="1" ref="S244" ca="1">IFERROR(IF(INDEX('Disaggregation Records'!$F$3:$F$66,MATCH(RIGHT(Q244,255),RIGHT('Disaggregation Records'!$D$3:$D$66,255),0))="","",INDEX('Disaggregation Records'!$F$3:$F$66,MATCH(RIGHT(Q244,255),RIGHT('Disaggregation Records'!$D$3:$D$66,255),0))),"")</f>
        <v/>
      </c>
      <c r="T244" s="89" t="str">
        <f t="array" aca="1" ref="T244" ca="1">IFERROR(IF(INDEX('Disaggregation Records'!$H$3:$H$66,MATCH(RIGHT(Q244,255),RIGHT('Disaggregation Records'!$D$3:$D$66,255),0))="","",INDEX('Disaggregation Records'!$H$3:$H$66,MATCH(RIGHT(Q244,255),RIGHT('Disaggregation Records'!$D$3:$D$66,255),0))),"")</f>
        <v/>
      </c>
      <c r="U244" s="89">
        <f>U242+1</f>
        <v>1308</v>
      </c>
      <c r="V244" s="89" t="str">
        <f t="array" aca="1" ref="V244" ca="1">IFERROR(IF(INDEX('Disaggregation Records'!$I$3:$I$66,MATCH(RIGHT(Q244,255),RIGHT('Disaggregation Records'!$D$3:$D$66,255),0))="","",INDEX('Disaggregation Records'!$I$3:$I$66,MATCH(RIGHT(Q244,255),RIGHT('Disaggregation Records'!$D$3:$D$66,255),0))),"")</f>
        <v/>
      </c>
      <c r="W244" s="89" t="str">
        <f ca="1">IFERROR(INDEX('Reference Records'!O$3:O$19,MATCH(LEFT(C244,255),'Reference Records'!J$3:J$19,0)),"")</f>
        <v/>
      </c>
    </row>
    <row r="245" spans="1:23" s="89" customFormat="1" ht="40.35" customHeight="1">
      <c r="A245" s="564"/>
      <c r="B245" s="799">
        <v>8.9060150375939902</v>
      </c>
      <c r="C245" s="800"/>
      <c r="D245" s="801"/>
      <c r="E245" s="801"/>
      <c r="F245" s="128"/>
      <c r="G245" s="802"/>
      <c r="H245" s="781"/>
      <c r="I245" s="803"/>
      <c r="J245" s="779"/>
      <c r="K245" s="800"/>
      <c r="L245" s="800"/>
      <c r="M245" s="779"/>
      <c r="N245" s="779"/>
      <c r="P245" s="125"/>
      <c r="Q245" s="125"/>
      <c r="R245" s="125"/>
      <c r="S245" s="125"/>
      <c r="T245" s="125"/>
      <c r="U245" s="125"/>
      <c r="V245" s="125"/>
      <c r="W245" s="125"/>
    </row>
    <row r="246" spans="1:23" s="89" customFormat="1" ht="40.35" customHeight="1">
      <c r="A246" s="564" t="str">
        <f t="shared" ca="1" si="3"/>
        <v>a1G3p000005dHbzEAE</v>
      </c>
      <c r="B246" s="794">
        <v>12</v>
      </c>
      <c r="C246" s="795" t="str">
        <f ca="1">IFERROR(VLOOKUP(B246,'Impact Indicators - Section B '!$A$9:$AF$52,32,FALSE),"")</f>
        <v/>
      </c>
      <c r="D246" s="796" t="str">
        <f ca="1">R246</f>
        <v/>
      </c>
      <c r="E246" s="796" t="str">
        <f ca="1">S246</f>
        <v/>
      </c>
      <c r="F246" s="127"/>
      <c r="G246" s="797" t="str">
        <f ca="1">IF(OR(INDIRECT("'update Helper'!E"&amp;U246)="",F246&lt;&gt;0,F247&lt;&gt;0),IF(IFERROR((F246/F247),"")="","",(F246/F247)),INDIRECT("'update Helper'!E"&amp;U246)/100)</f>
        <v/>
      </c>
      <c r="H246" s="784"/>
      <c r="I246" s="798"/>
      <c r="J246" s="777"/>
      <c r="K246" s="795" t="str">
        <f ca="1">W246</f>
        <v/>
      </c>
      <c r="L246" s="795" t="str">
        <f ca="1">V246</f>
        <v/>
      </c>
      <c r="M246" s="777"/>
      <c r="N246" s="777"/>
      <c r="P246" s="89">
        <f ca="1">IF(AND(EXACT(C246,C244),C244&lt;&gt;0),P244+1,0)</f>
        <v>78</v>
      </c>
      <c r="Q246" s="89" t="str">
        <f ca="1">IF(C246&lt;&gt;"",C246&amp;"-"&amp;P246,"")</f>
        <v/>
      </c>
      <c r="R246" s="89" t="str">
        <f t="array" aca="1" ref="R246" ca="1">IFERROR(IF(INDEX('Disaggregation Records'!$E$3:$E$66,MATCH(RIGHT(Q246,255),RIGHT('Disaggregation Records'!$D$3:$D$66,255),0))="","",INDEX('Disaggregation Records'!$E$3:$E$66,MATCH(RIGHT(Q246,255),RIGHT('Disaggregation Records'!$D$3:$D$66,255),0))),"")</f>
        <v/>
      </c>
      <c r="S246" s="89" t="str">
        <f t="array" aca="1" ref="S246" ca="1">IFERROR(IF(INDEX('Disaggregation Records'!$F$3:$F$66,MATCH(RIGHT(Q246,255),RIGHT('Disaggregation Records'!$D$3:$D$66,255),0))="","",INDEX('Disaggregation Records'!$F$3:$F$66,MATCH(RIGHT(Q246,255),RIGHT('Disaggregation Records'!$D$3:$D$66,255),0))),"")</f>
        <v/>
      </c>
      <c r="T246" s="89" t="str">
        <f t="array" aca="1" ref="T246" ca="1">IFERROR(IF(INDEX('Disaggregation Records'!$H$3:$H$66,MATCH(RIGHT(Q246,255),RIGHT('Disaggregation Records'!$D$3:$D$66,255),0))="","",INDEX('Disaggregation Records'!$H$3:$H$66,MATCH(RIGHT(Q246,255),RIGHT('Disaggregation Records'!$D$3:$D$66,255),0))),"")</f>
        <v/>
      </c>
      <c r="U246" s="89">
        <f>U244+1</f>
        <v>1309</v>
      </c>
      <c r="V246" s="89" t="str">
        <f t="array" aca="1" ref="V246" ca="1">IFERROR(IF(INDEX('Disaggregation Records'!$I$3:$I$66,MATCH(RIGHT(Q246,255),RIGHT('Disaggregation Records'!$D$3:$D$66,255),0))="","",INDEX('Disaggregation Records'!$I$3:$I$66,MATCH(RIGHT(Q246,255),RIGHT('Disaggregation Records'!$D$3:$D$66,255),0))),"")</f>
        <v/>
      </c>
      <c r="W246" s="89" t="str">
        <f ca="1">IFERROR(INDEX('Reference Records'!O$3:O$19,MATCH(LEFT(C246,255),'Reference Records'!J$3:J$19,0)),"")</f>
        <v/>
      </c>
    </row>
    <row r="247" spans="1:23" s="125" customFormat="1" ht="40.35" customHeight="1">
      <c r="A247" s="564"/>
      <c r="B247" s="799">
        <v>8.9060150375939902</v>
      </c>
      <c r="C247" s="800"/>
      <c r="D247" s="801"/>
      <c r="E247" s="801"/>
      <c r="F247" s="128"/>
      <c r="G247" s="802"/>
      <c r="H247" s="781"/>
      <c r="I247" s="803"/>
      <c r="J247" s="779"/>
      <c r="K247" s="800"/>
      <c r="L247" s="800"/>
      <c r="M247" s="779"/>
      <c r="N247" s="779"/>
    </row>
    <row r="248" spans="1:23" s="89" customFormat="1" ht="40.35" customHeight="1">
      <c r="A248" s="564" t="str">
        <f t="shared" ca="1" si="3"/>
        <v>a1G3p000005dHc0EAE</v>
      </c>
      <c r="B248" s="794">
        <v>12</v>
      </c>
      <c r="C248" s="795" t="str">
        <f ca="1">IFERROR(VLOOKUP(B248,'Impact Indicators - Section B '!$A$9:$AF$52,32,FALSE),"")</f>
        <v/>
      </c>
      <c r="D248" s="796" t="str">
        <f ca="1">R248</f>
        <v/>
      </c>
      <c r="E248" s="796" t="str">
        <f ca="1">S248</f>
        <v/>
      </c>
      <c r="F248" s="127"/>
      <c r="G248" s="797" t="str">
        <f ca="1">IF(OR(INDIRECT("'update Helper'!E"&amp;U248)="",F248&lt;&gt;0,F249&lt;&gt;0),IF(IFERROR((F248/F249),"")="","",(F248/F249)),INDIRECT("'update Helper'!E"&amp;U248)/100)</f>
        <v/>
      </c>
      <c r="H248" s="784"/>
      <c r="I248" s="798"/>
      <c r="J248" s="777"/>
      <c r="K248" s="795" t="str">
        <f ca="1">W248</f>
        <v/>
      </c>
      <c r="L248" s="795" t="str">
        <f ca="1">V248</f>
        <v/>
      </c>
      <c r="M248" s="777"/>
      <c r="N248" s="777"/>
      <c r="P248" s="89">
        <f ca="1">IF(AND(EXACT(C248,C246),C246&lt;&gt;0),P246+1,0)</f>
        <v>79</v>
      </c>
      <c r="Q248" s="89" t="str">
        <f ca="1">IF(C248&lt;&gt;"",C248&amp;"-"&amp;P248,"")</f>
        <v/>
      </c>
      <c r="R248" s="89" t="str">
        <f t="array" aca="1" ref="R248" ca="1">IFERROR(IF(INDEX('Disaggregation Records'!$E$3:$E$66,MATCH(RIGHT(Q248,255),RIGHT('Disaggregation Records'!$D$3:$D$66,255),0))="","",INDEX('Disaggregation Records'!$E$3:$E$66,MATCH(RIGHT(Q248,255),RIGHT('Disaggregation Records'!$D$3:$D$66,255),0))),"")</f>
        <v/>
      </c>
      <c r="S248" s="89" t="str">
        <f t="array" aca="1" ref="S248" ca="1">IFERROR(IF(INDEX('Disaggregation Records'!$F$3:$F$66,MATCH(RIGHT(Q248,255),RIGHT('Disaggregation Records'!$D$3:$D$66,255),0))="","",INDEX('Disaggregation Records'!$F$3:$F$66,MATCH(RIGHT(Q248,255),RIGHT('Disaggregation Records'!$D$3:$D$66,255),0))),"")</f>
        <v/>
      </c>
      <c r="T248" s="89" t="str">
        <f t="array" aca="1" ref="T248" ca="1">IFERROR(IF(INDEX('Disaggregation Records'!$H$3:$H$66,MATCH(RIGHT(Q248,255),RIGHT('Disaggregation Records'!$D$3:$D$66,255),0))="","",INDEX('Disaggregation Records'!$H$3:$H$66,MATCH(RIGHT(Q248,255),RIGHT('Disaggregation Records'!$D$3:$D$66,255),0))),"")</f>
        <v/>
      </c>
      <c r="U248" s="89">
        <f>U246+1</f>
        <v>1310</v>
      </c>
      <c r="V248" s="89" t="str">
        <f t="array" aca="1" ref="V248" ca="1">IFERROR(IF(INDEX('Disaggregation Records'!$I$3:$I$66,MATCH(RIGHT(Q248,255),RIGHT('Disaggregation Records'!$D$3:$D$66,255),0))="","",INDEX('Disaggregation Records'!$I$3:$I$66,MATCH(RIGHT(Q248,255),RIGHT('Disaggregation Records'!$D$3:$D$66,255),0))),"")</f>
        <v/>
      </c>
      <c r="W248" s="89" t="str">
        <f ca="1">IFERROR(INDEX('Reference Records'!O$3:O$19,MATCH(LEFT(C248,255),'Reference Records'!J$3:J$19,0)),"")</f>
        <v/>
      </c>
    </row>
    <row r="249" spans="1:23" s="125" customFormat="1" ht="40.35" customHeight="1">
      <c r="A249" s="564"/>
      <c r="B249" s="799">
        <v>8.9060150375939902</v>
      </c>
      <c r="C249" s="800"/>
      <c r="D249" s="801"/>
      <c r="E249" s="801"/>
      <c r="F249" s="128"/>
      <c r="G249" s="802"/>
      <c r="H249" s="781"/>
      <c r="I249" s="803"/>
      <c r="J249" s="779"/>
      <c r="K249" s="800"/>
      <c r="L249" s="800"/>
      <c r="M249" s="779"/>
      <c r="N249" s="779"/>
    </row>
    <row r="250" spans="1:23" s="89" customFormat="1" ht="40.35" customHeight="1">
      <c r="A250" s="564" t="str">
        <f t="shared" ca="1" si="3"/>
        <v>a1G3p000005dHc1EAE</v>
      </c>
      <c r="B250" s="794">
        <v>13</v>
      </c>
      <c r="C250" s="795" t="str">
        <f ca="1">IFERROR(VLOOKUP(B250,'Impact Indicators - Section B '!$A$9:$AF$52,32,FALSE),"")</f>
        <v/>
      </c>
      <c r="D250" s="796" t="str">
        <f ca="1">R250</f>
        <v/>
      </c>
      <c r="E250" s="796" t="str">
        <f ca="1">S250</f>
        <v/>
      </c>
      <c r="F250" s="127"/>
      <c r="G250" s="797" t="str">
        <f ca="1">IF(OR(INDIRECT("'update Helper'!E"&amp;U250)="",F250&lt;&gt;0,F251&lt;&gt;0),IF(IFERROR((F250/F251),"")="","",(F250/F251)),INDIRECT("'update Helper'!E"&amp;U250)/100)</f>
        <v/>
      </c>
      <c r="H250" s="784"/>
      <c r="I250" s="798"/>
      <c r="J250" s="777"/>
      <c r="K250" s="795" t="str">
        <f ca="1">W250</f>
        <v/>
      </c>
      <c r="L250" s="795" t="str">
        <f ca="1">V250</f>
        <v/>
      </c>
      <c r="M250" s="777"/>
      <c r="N250" s="777"/>
      <c r="P250" s="89">
        <f ca="1">IF(AND(EXACT(C250,C248),C248&lt;&gt;0),P248+1,0)</f>
        <v>80</v>
      </c>
      <c r="Q250" s="89" t="str">
        <f ca="1">IF(C250&lt;&gt;"",C250&amp;"-"&amp;P250,"")</f>
        <v/>
      </c>
      <c r="R250" s="89" t="str">
        <f t="array" aca="1" ref="R250" ca="1">IFERROR(IF(INDEX('Disaggregation Records'!$E$3:$E$66,MATCH(RIGHT(Q250,255),RIGHT('Disaggregation Records'!$D$3:$D$66,255),0))="","",INDEX('Disaggregation Records'!$E$3:$E$66,MATCH(RIGHT(Q250,255),RIGHT('Disaggregation Records'!$D$3:$D$66,255),0))),"")</f>
        <v/>
      </c>
      <c r="S250" s="89" t="str">
        <f t="array" aca="1" ref="S250" ca="1">IFERROR(IF(INDEX('Disaggregation Records'!$F$3:$F$66,MATCH(RIGHT(Q250,255),RIGHT('Disaggregation Records'!$D$3:$D$66,255),0))="","",INDEX('Disaggregation Records'!$F$3:$F$66,MATCH(RIGHT(Q250,255),RIGHT('Disaggregation Records'!$D$3:$D$66,255),0))),"")</f>
        <v/>
      </c>
      <c r="T250" s="89" t="str">
        <f t="array" aca="1" ref="T250" ca="1">IFERROR(IF(INDEX('Disaggregation Records'!$H$3:$H$66,MATCH(RIGHT(Q250,255),RIGHT('Disaggregation Records'!$D$3:$D$66,255),0))="","",INDEX('Disaggregation Records'!$H$3:$H$66,MATCH(RIGHT(Q250,255),RIGHT('Disaggregation Records'!$D$3:$D$66,255),0))),"")</f>
        <v/>
      </c>
      <c r="U250" s="89">
        <f>U248+1</f>
        <v>1311</v>
      </c>
      <c r="V250" s="89" t="str">
        <f t="array" aca="1" ref="V250" ca="1">IFERROR(IF(INDEX('Disaggregation Records'!$I$3:$I$66,MATCH(RIGHT(Q250,255),RIGHT('Disaggregation Records'!$D$3:$D$66,255),0))="","",INDEX('Disaggregation Records'!$I$3:$I$66,MATCH(RIGHT(Q250,255),RIGHT('Disaggregation Records'!$D$3:$D$66,255),0))),"")</f>
        <v/>
      </c>
      <c r="W250" s="89" t="str">
        <f ca="1">IFERROR(INDEX('Reference Records'!O$3:O$19,MATCH(LEFT(C250,255),'Reference Records'!J$3:J$19,0)),"")</f>
        <v/>
      </c>
    </row>
    <row r="251" spans="1:23" s="89" customFormat="1" ht="40.35" customHeight="1">
      <c r="A251" s="564"/>
      <c r="B251" s="799">
        <v>9.6203007518797108</v>
      </c>
      <c r="C251" s="800"/>
      <c r="D251" s="801"/>
      <c r="E251" s="801"/>
      <c r="F251" s="128"/>
      <c r="G251" s="802"/>
      <c r="H251" s="781"/>
      <c r="I251" s="803"/>
      <c r="J251" s="779"/>
      <c r="K251" s="800"/>
      <c r="L251" s="800"/>
      <c r="M251" s="779"/>
      <c r="N251" s="779"/>
      <c r="P251" s="125"/>
      <c r="Q251" s="125"/>
      <c r="R251" s="125"/>
      <c r="S251" s="125"/>
      <c r="T251" s="125"/>
      <c r="U251" s="125"/>
      <c r="V251" s="125"/>
      <c r="W251" s="125"/>
    </row>
    <row r="252" spans="1:23" s="89" customFormat="1" ht="40.35" customHeight="1">
      <c r="A252" s="564" t="str">
        <f t="shared" ca="1" si="3"/>
        <v>a1G3p000005dHc2EAE</v>
      </c>
      <c r="B252" s="794">
        <v>13</v>
      </c>
      <c r="C252" s="795" t="str">
        <f ca="1">IFERROR(VLOOKUP(B252,'Impact Indicators - Section B '!$A$9:$AF$52,32,FALSE),"")</f>
        <v/>
      </c>
      <c r="D252" s="796" t="str">
        <f ca="1">R252</f>
        <v/>
      </c>
      <c r="E252" s="796" t="str">
        <f ca="1">S252</f>
        <v/>
      </c>
      <c r="F252" s="127"/>
      <c r="G252" s="797" t="str">
        <f ca="1">IF(OR(INDIRECT("'update Helper'!E"&amp;U252)="",F252&lt;&gt;0,F253&lt;&gt;0),IF(IFERROR((F252/F253),"")="","",(F252/F253)),INDIRECT("'update Helper'!E"&amp;U252)/100)</f>
        <v/>
      </c>
      <c r="H252" s="784"/>
      <c r="I252" s="798"/>
      <c r="J252" s="777"/>
      <c r="K252" s="795" t="str">
        <f ca="1">W252</f>
        <v/>
      </c>
      <c r="L252" s="795" t="str">
        <f ca="1">V252</f>
        <v/>
      </c>
      <c r="M252" s="777"/>
      <c r="N252" s="777"/>
      <c r="P252" s="89">
        <f ca="1">IF(AND(EXACT(C252,C250),C250&lt;&gt;0),P250+1,0)</f>
        <v>81</v>
      </c>
      <c r="Q252" s="89" t="str">
        <f ca="1">IF(C252&lt;&gt;"",C252&amp;"-"&amp;P252,"")</f>
        <v/>
      </c>
      <c r="R252" s="89" t="str">
        <f t="array" aca="1" ref="R252" ca="1">IFERROR(IF(INDEX('Disaggregation Records'!$E$3:$E$66,MATCH(RIGHT(Q252,255),RIGHT('Disaggregation Records'!$D$3:$D$66,255),0))="","",INDEX('Disaggregation Records'!$E$3:$E$66,MATCH(RIGHT(Q252,255),RIGHT('Disaggregation Records'!$D$3:$D$66,255),0))),"")</f>
        <v/>
      </c>
      <c r="S252" s="89" t="str">
        <f t="array" aca="1" ref="S252" ca="1">IFERROR(IF(INDEX('Disaggregation Records'!$F$3:$F$66,MATCH(RIGHT(Q252,255),RIGHT('Disaggregation Records'!$D$3:$D$66,255),0))="","",INDEX('Disaggregation Records'!$F$3:$F$66,MATCH(RIGHT(Q252,255),RIGHT('Disaggregation Records'!$D$3:$D$66,255),0))),"")</f>
        <v/>
      </c>
      <c r="T252" s="89" t="str">
        <f t="array" aca="1" ref="T252" ca="1">IFERROR(IF(INDEX('Disaggregation Records'!$H$3:$H$66,MATCH(RIGHT(Q252,255),RIGHT('Disaggregation Records'!$D$3:$D$66,255),0))="","",INDEX('Disaggregation Records'!$H$3:$H$66,MATCH(RIGHT(Q252,255),RIGHT('Disaggregation Records'!$D$3:$D$66,255),0))),"")</f>
        <v/>
      </c>
      <c r="U252" s="89">
        <f>U250+1</f>
        <v>1312</v>
      </c>
      <c r="V252" s="89" t="str">
        <f t="array" aca="1" ref="V252" ca="1">IFERROR(IF(INDEX('Disaggregation Records'!$I$3:$I$66,MATCH(RIGHT(Q252,255),RIGHT('Disaggregation Records'!$D$3:$D$66,255),0))="","",INDEX('Disaggregation Records'!$I$3:$I$66,MATCH(RIGHT(Q252,255),RIGHT('Disaggregation Records'!$D$3:$D$66,255),0))),"")</f>
        <v/>
      </c>
      <c r="W252" s="89" t="str">
        <f ca="1">IFERROR(INDEX('Reference Records'!O$3:O$19,MATCH(LEFT(C252,255),'Reference Records'!J$3:J$19,0)),"")</f>
        <v/>
      </c>
    </row>
    <row r="253" spans="1:23" s="125" customFormat="1" ht="40.35" customHeight="1">
      <c r="A253" s="564"/>
      <c r="B253" s="799">
        <v>9.6203007518797108</v>
      </c>
      <c r="C253" s="800"/>
      <c r="D253" s="801"/>
      <c r="E253" s="801"/>
      <c r="F253" s="128"/>
      <c r="G253" s="802"/>
      <c r="H253" s="781"/>
      <c r="I253" s="803"/>
      <c r="J253" s="779"/>
      <c r="K253" s="800"/>
      <c r="L253" s="800"/>
      <c r="M253" s="779"/>
      <c r="N253" s="779"/>
    </row>
    <row r="254" spans="1:23" s="89" customFormat="1" ht="40.35" customHeight="1">
      <c r="A254" s="564" t="str">
        <f t="shared" ca="1" si="3"/>
        <v>a1G3p000005dHc3EAE</v>
      </c>
      <c r="B254" s="794">
        <v>13</v>
      </c>
      <c r="C254" s="795" t="str">
        <f ca="1">IFERROR(VLOOKUP(B254,'Impact Indicators - Section B '!$A$9:$AF$52,32,FALSE),"")</f>
        <v/>
      </c>
      <c r="D254" s="796" t="str">
        <f ca="1">R254</f>
        <v/>
      </c>
      <c r="E254" s="796" t="str">
        <f ca="1">S254</f>
        <v/>
      </c>
      <c r="F254" s="127"/>
      <c r="G254" s="797" t="str">
        <f ca="1">IF(OR(INDIRECT("'update Helper'!E"&amp;U254)="",F254&lt;&gt;0,F255&lt;&gt;0),IF(IFERROR((F254/F255),"")="","",(F254/F255)),INDIRECT("'update Helper'!E"&amp;U254)/100)</f>
        <v/>
      </c>
      <c r="H254" s="784"/>
      <c r="I254" s="798"/>
      <c r="J254" s="777"/>
      <c r="K254" s="795" t="str">
        <f ca="1">W254</f>
        <v/>
      </c>
      <c r="L254" s="795" t="str">
        <f ca="1">V254</f>
        <v/>
      </c>
      <c r="M254" s="777"/>
      <c r="N254" s="777"/>
      <c r="P254" s="89">
        <f ca="1">IF(AND(EXACT(C254,C252),C252&lt;&gt;0),P252+1,0)</f>
        <v>82</v>
      </c>
      <c r="Q254" s="89" t="str">
        <f ca="1">IF(C254&lt;&gt;"",C254&amp;"-"&amp;P254,"")</f>
        <v/>
      </c>
      <c r="R254" s="89" t="str">
        <f t="array" aca="1" ref="R254" ca="1">IFERROR(IF(INDEX('Disaggregation Records'!$E$3:$E$66,MATCH(RIGHT(Q254,255),RIGHT('Disaggregation Records'!$D$3:$D$66,255),0))="","",INDEX('Disaggregation Records'!$E$3:$E$66,MATCH(RIGHT(Q254,255),RIGHT('Disaggregation Records'!$D$3:$D$66,255),0))),"")</f>
        <v/>
      </c>
      <c r="S254" s="89" t="str">
        <f t="array" aca="1" ref="S254" ca="1">IFERROR(IF(INDEX('Disaggregation Records'!$F$3:$F$66,MATCH(RIGHT(Q254,255),RIGHT('Disaggregation Records'!$D$3:$D$66,255),0))="","",INDEX('Disaggregation Records'!$F$3:$F$66,MATCH(RIGHT(Q254,255),RIGHT('Disaggregation Records'!$D$3:$D$66,255),0))),"")</f>
        <v/>
      </c>
      <c r="T254" s="89" t="str">
        <f t="array" aca="1" ref="T254" ca="1">IFERROR(IF(INDEX('Disaggregation Records'!$H$3:$H$66,MATCH(RIGHT(Q254,255),RIGHT('Disaggregation Records'!$D$3:$D$66,255),0))="","",INDEX('Disaggregation Records'!$H$3:$H$66,MATCH(RIGHT(Q254,255),RIGHT('Disaggregation Records'!$D$3:$D$66,255),0))),"")</f>
        <v/>
      </c>
      <c r="U254" s="89">
        <f>U252+1</f>
        <v>1313</v>
      </c>
      <c r="V254" s="89" t="str">
        <f t="array" aca="1" ref="V254" ca="1">IFERROR(IF(INDEX('Disaggregation Records'!$I$3:$I$66,MATCH(RIGHT(Q254,255),RIGHT('Disaggregation Records'!$D$3:$D$66,255),0))="","",INDEX('Disaggregation Records'!$I$3:$I$66,MATCH(RIGHT(Q254,255),RIGHT('Disaggregation Records'!$D$3:$D$66,255),0))),"")</f>
        <v/>
      </c>
      <c r="W254" s="89" t="str">
        <f ca="1">IFERROR(INDEX('Reference Records'!O$3:O$19,MATCH(LEFT(C254,255),'Reference Records'!J$3:J$19,0)),"")</f>
        <v/>
      </c>
    </row>
    <row r="255" spans="1:23" s="125" customFormat="1" ht="40.35" customHeight="1">
      <c r="A255" s="564"/>
      <c r="B255" s="799">
        <v>9.6203007518797108</v>
      </c>
      <c r="C255" s="800"/>
      <c r="D255" s="801"/>
      <c r="E255" s="801"/>
      <c r="F255" s="128"/>
      <c r="G255" s="802"/>
      <c r="H255" s="781"/>
      <c r="I255" s="803"/>
      <c r="J255" s="779"/>
      <c r="K255" s="800"/>
      <c r="L255" s="800"/>
      <c r="M255" s="779"/>
      <c r="N255" s="779"/>
    </row>
    <row r="256" spans="1:23" s="89" customFormat="1" ht="40.35" customHeight="1">
      <c r="A256" s="564" t="str">
        <f t="shared" ca="1" si="3"/>
        <v>a1G3p000005dHc4EAE</v>
      </c>
      <c r="B256" s="794">
        <v>13</v>
      </c>
      <c r="C256" s="795" t="str">
        <f ca="1">IFERROR(VLOOKUP(B256,'Impact Indicators - Section B '!$A$9:$AF$52,32,FALSE),"")</f>
        <v/>
      </c>
      <c r="D256" s="796" t="str">
        <f ca="1">R256</f>
        <v/>
      </c>
      <c r="E256" s="796" t="str">
        <f ca="1">S256</f>
        <v/>
      </c>
      <c r="F256" s="127"/>
      <c r="G256" s="797" t="str">
        <f ca="1">IF(OR(INDIRECT("'update Helper'!E"&amp;U256)="",F256&lt;&gt;0,F257&lt;&gt;0),IF(IFERROR((F256/F257),"")="","",(F256/F257)),INDIRECT("'update Helper'!E"&amp;U256)/100)</f>
        <v/>
      </c>
      <c r="H256" s="784"/>
      <c r="I256" s="798"/>
      <c r="J256" s="777"/>
      <c r="K256" s="795" t="str">
        <f ca="1">W256</f>
        <v/>
      </c>
      <c r="L256" s="795" t="str">
        <f ca="1">V256</f>
        <v/>
      </c>
      <c r="M256" s="777"/>
      <c r="N256" s="777"/>
      <c r="P256" s="89">
        <f ca="1">IF(AND(EXACT(C256,C254),C254&lt;&gt;0),P254+1,0)</f>
        <v>83</v>
      </c>
      <c r="Q256" s="89" t="str">
        <f ca="1">IF(C256&lt;&gt;"",C256&amp;"-"&amp;P256,"")</f>
        <v/>
      </c>
      <c r="R256" s="89" t="str">
        <f t="array" aca="1" ref="R256" ca="1">IFERROR(IF(INDEX('Disaggregation Records'!$E$3:$E$66,MATCH(RIGHT(Q256,255),RIGHT('Disaggregation Records'!$D$3:$D$66,255),0))="","",INDEX('Disaggregation Records'!$E$3:$E$66,MATCH(RIGHT(Q256,255),RIGHT('Disaggregation Records'!$D$3:$D$66,255),0))),"")</f>
        <v/>
      </c>
      <c r="S256" s="89" t="str">
        <f t="array" aca="1" ref="S256" ca="1">IFERROR(IF(INDEX('Disaggregation Records'!$F$3:$F$66,MATCH(RIGHT(Q256,255),RIGHT('Disaggregation Records'!$D$3:$D$66,255),0))="","",INDEX('Disaggregation Records'!$F$3:$F$66,MATCH(RIGHT(Q256,255),RIGHT('Disaggregation Records'!$D$3:$D$66,255),0))),"")</f>
        <v/>
      </c>
      <c r="T256" s="89" t="str">
        <f t="array" aca="1" ref="T256" ca="1">IFERROR(IF(INDEX('Disaggregation Records'!$H$3:$H$66,MATCH(RIGHT(Q256,255),RIGHT('Disaggregation Records'!$D$3:$D$66,255),0))="","",INDEX('Disaggregation Records'!$H$3:$H$66,MATCH(RIGHT(Q256,255),RIGHT('Disaggregation Records'!$D$3:$D$66,255),0))),"")</f>
        <v/>
      </c>
      <c r="U256" s="89">
        <f>U254+1</f>
        <v>1314</v>
      </c>
      <c r="V256" s="89" t="str">
        <f t="array" aca="1" ref="V256" ca="1">IFERROR(IF(INDEX('Disaggregation Records'!$I$3:$I$66,MATCH(RIGHT(Q256,255),RIGHT('Disaggregation Records'!$D$3:$D$66,255),0))="","",INDEX('Disaggregation Records'!$I$3:$I$66,MATCH(RIGHT(Q256,255),RIGHT('Disaggregation Records'!$D$3:$D$66,255),0))),"")</f>
        <v/>
      </c>
      <c r="W256" s="89" t="str">
        <f ca="1">IFERROR(INDEX('Reference Records'!O$3:O$19,MATCH(LEFT(C256,255),'Reference Records'!J$3:J$19,0)),"")</f>
        <v/>
      </c>
    </row>
    <row r="257" spans="1:23" s="89" customFormat="1" ht="40.35" customHeight="1">
      <c r="A257" s="564"/>
      <c r="B257" s="799">
        <v>9.6203007518797108</v>
      </c>
      <c r="C257" s="800"/>
      <c r="D257" s="801"/>
      <c r="E257" s="801"/>
      <c r="F257" s="128"/>
      <c r="G257" s="802"/>
      <c r="H257" s="781"/>
      <c r="I257" s="803"/>
      <c r="J257" s="779"/>
      <c r="K257" s="800"/>
      <c r="L257" s="800"/>
      <c r="M257" s="779"/>
      <c r="N257" s="779"/>
      <c r="P257" s="125"/>
      <c r="Q257" s="125"/>
      <c r="R257" s="125"/>
      <c r="S257" s="125"/>
      <c r="T257" s="125"/>
      <c r="U257" s="125"/>
      <c r="V257" s="125"/>
      <c r="W257" s="125"/>
    </row>
    <row r="258" spans="1:23" s="89" customFormat="1" ht="40.35" customHeight="1">
      <c r="A258" s="564" t="str">
        <f t="shared" ca="1" si="3"/>
        <v>a1G3p000005dHc5EAE</v>
      </c>
      <c r="B258" s="794">
        <v>13</v>
      </c>
      <c r="C258" s="795" t="str">
        <f ca="1">IFERROR(VLOOKUP(B258,'Impact Indicators - Section B '!$A$9:$AF$52,32,FALSE),"")</f>
        <v/>
      </c>
      <c r="D258" s="796" t="str">
        <f ca="1">R258</f>
        <v/>
      </c>
      <c r="E258" s="796" t="str">
        <f ca="1">S258</f>
        <v/>
      </c>
      <c r="F258" s="127"/>
      <c r="G258" s="797" t="str">
        <f ca="1">IF(OR(INDIRECT("'update Helper'!E"&amp;U258)="",F258&lt;&gt;0,F259&lt;&gt;0),IF(IFERROR((F258/F259),"")="","",(F258/F259)),INDIRECT("'update Helper'!E"&amp;U258)/100)</f>
        <v/>
      </c>
      <c r="H258" s="784"/>
      <c r="I258" s="798"/>
      <c r="J258" s="777"/>
      <c r="K258" s="795" t="str">
        <f ca="1">W258</f>
        <v/>
      </c>
      <c r="L258" s="795" t="str">
        <f ca="1">V258</f>
        <v/>
      </c>
      <c r="M258" s="777"/>
      <c r="N258" s="777"/>
      <c r="P258" s="89">
        <f ca="1">IF(AND(EXACT(C258,C256),C256&lt;&gt;0),P256+1,0)</f>
        <v>84</v>
      </c>
      <c r="Q258" s="89" t="str">
        <f ca="1">IF(C258&lt;&gt;"",C258&amp;"-"&amp;P258,"")</f>
        <v/>
      </c>
      <c r="R258" s="89" t="str">
        <f t="array" aca="1" ref="R258" ca="1">IFERROR(IF(INDEX('Disaggregation Records'!$E$3:$E$66,MATCH(RIGHT(Q258,255),RIGHT('Disaggregation Records'!$D$3:$D$66,255),0))="","",INDEX('Disaggregation Records'!$E$3:$E$66,MATCH(RIGHT(Q258,255),RIGHT('Disaggregation Records'!$D$3:$D$66,255),0))),"")</f>
        <v/>
      </c>
      <c r="S258" s="89" t="str">
        <f t="array" aca="1" ref="S258" ca="1">IFERROR(IF(INDEX('Disaggregation Records'!$F$3:$F$66,MATCH(RIGHT(Q258,255),RIGHT('Disaggregation Records'!$D$3:$D$66,255),0))="","",INDEX('Disaggregation Records'!$F$3:$F$66,MATCH(RIGHT(Q258,255),RIGHT('Disaggregation Records'!$D$3:$D$66,255),0))),"")</f>
        <v/>
      </c>
      <c r="T258" s="89" t="str">
        <f t="array" aca="1" ref="T258" ca="1">IFERROR(IF(INDEX('Disaggregation Records'!$H$3:$H$66,MATCH(RIGHT(Q258,255),RIGHT('Disaggregation Records'!$D$3:$D$66,255),0))="","",INDEX('Disaggregation Records'!$H$3:$H$66,MATCH(RIGHT(Q258,255),RIGHT('Disaggregation Records'!$D$3:$D$66,255),0))),"")</f>
        <v/>
      </c>
      <c r="U258" s="89">
        <f>U256+1</f>
        <v>1315</v>
      </c>
      <c r="V258" s="89" t="str">
        <f t="array" aca="1" ref="V258" ca="1">IFERROR(IF(INDEX('Disaggregation Records'!$I$3:$I$66,MATCH(RIGHT(Q258,255),RIGHT('Disaggregation Records'!$D$3:$D$66,255),0))="","",INDEX('Disaggregation Records'!$I$3:$I$66,MATCH(RIGHT(Q258,255),RIGHT('Disaggregation Records'!$D$3:$D$66,255),0))),"")</f>
        <v/>
      </c>
      <c r="W258" s="89" t="str">
        <f ca="1">IFERROR(INDEX('Reference Records'!O$3:O$19,MATCH(LEFT(C258,255),'Reference Records'!J$3:J$19,0)),"")</f>
        <v/>
      </c>
    </row>
    <row r="259" spans="1:23" s="89" customFormat="1" ht="40.35" customHeight="1">
      <c r="A259" s="564"/>
      <c r="B259" s="799">
        <v>9.6203007518797108</v>
      </c>
      <c r="C259" s="800"/>
      <c r="D259" s="801"/>
      <c r="E259" s="801"/>
      <c r="F259" s="128"/>
      <c r="G259" s="802"/>
      <c r="H259" s="781"/>
      <c r="I259" s="803"/>
      <c r="J259" s="779"/>
      <c r="K259" s="800"/>
      <c r="L259" s="800"/>
      <c r="M259" s="779"/>
      <c r="N259" s="779"/>
      <c r="P259" s="125"/>
      <c r="Q259" s="125"/>
      <c r="R259" s="125"/>
      <c r="S259" s="125"/>
      <c r="T259" s="125"/>
      <c r="U259" s="125"/>
      <c r="V259" s="125"/>
      <c r="W259" s="125"/>
    </row>
    <row r="260" spans="1:23" s="89" customFormat="1" ht="40.35" customHeight="1">
      <c r="A260" s="564" t="str">
        <f t="shared" ca="1" si="3"/>
        <v>a1G3p000005dHc6EAE</v>
      </c>
      <c r="B260" s="794">
        <v>13</v>
      </c>
      <c r="C260" s="795" t="str">
        <f ca="1">IFERROR(VLOOKUP(B260,'Impact Indicators - Section B '!$A$9:$AF$52,32,FALSE),"")</f>
        <v/>
      </c>
      <c r="D260" s="796" t="str">
        <f ca="1">R260</f>
        <v/>
      </c>
      <c r="E260" s="796" t="str">
        <f ca="1">S260</f>
        <v/>
      </c>
      <c r="F260" s="127"/>
      <c r="G260" s="797" t="str">
        <f ca="1">IF(OR(INDIRECT("'update Helper'!E"&amp;U260)="",F260&lt;&gt;0,F261&lt;&gt;0),IF(IFERROR((F260/F261),"")="","",(F260/F261)),INDIRECT("'update Helper'!E"&amp;U260)/100)</f>
        <v/>
      </c>
      <c r="H260" s="784"/>
      <c r="I260" s="798"/>
      <c r="J260" s="777"/>
      <c r="K260" s="795" t="str">
        <f ca="1">W260</f>
        <v/>
      </c>
      <c r="L260" s="795" t="str">
        <f ca="1">V260</f>
        <v/>
      </c>
      <c r="M260" s="777"/>
      <c r="N260" s="777"/>
      <c r="P260" s="89">
        <f ca="1">IF(AND(EXACT(C260,C258),C258&lt;&gt;0),P258+1,0)</f>
        <v>85</v>
      </c>
      <c r="Q260" s="89" t="str">
        <f ca="1">IF(C260&lt;&gt;"",C260&amp;"-"&amp;P260,"")</f>
        <v/>
      </c>
      <c r="R260" s="89" t="str">
        <f t="array" aca="1" ref="R260" ca="1">IFERROR(IF(INDEX('Disaggregation Records'!$E$3:$E$66,MATCH(RIGHT(Q260,255),RIGHT('Disaggregation Records'!$D$3:$D$66,255),0))="","",INDEX('Disaggregation Records'!$E$3:$E$66,MATCH(RIGHT(Q260,255),RIGHT('Disaggregation Records'!$D$3:$D$66,255),0))),"")</f>
        <v/>
      </c>
      <c r="S260" s="89" t="str">
        <f t="array" aca="1" ref="S260" ca="1">IFERROR(IF(INDEX('Disaggregation Records'!$F$3:$F$66,MATCH(RIGHT(Q260,255),RIGHT('Disaggregation Records'!$D$3:$D$66,255),0))="","",INDEX('Disaggregation Records'!$F$3:$F$66,MATCH(RIGHT(Q260,255),RIGHT('Disaggregation Records'!$D$3:$D$66,255),0))),"")</f>
        <v/>
      </c>
      <c r="T260" s="89" t="str">
        <f t="array" aca="1" ref="T260" ca="1">IFERROR(IF(INDEX('Disaggregation Records'!$H$3:$H$66,MATCH(RIGHT(Q260,255),RIGHT('Disaggregation Records'!$D$3:$D$66,255),0))="","",INDEX('Disaggregation Records'!$H$3:$H$66,MATCH(RIGHT(Q260,255),RIGHT('Disaggregation Records'!$D$3:$D$66,255),0))),"")</f>
        <v/>
      </c>
      <c r="U260" s="89">
        <f>U258+1</f>
        <v>1316</v>
      </c>
      <c r="V260" s="89" t="str">
        <f t="array" aca="1" ref="V260" ca="1">IFERROR(IF(INDEX('Disaggregation Records'!$I$3:$I$66,MATCH(RIGHT(Q260,255),RIGHT('Disaggregation Records'!$D$3:$D$66,255),0))="","",INDEX('Disaggregation Records'!$I$3:$I$66,MATCH(RIGHT(Q260,255),RIGHT('Disaggregation Records'!$D$3:$D$66,255),0))),"")</f>
        <v/>
      </c>
      <c r="W260" s="89" t="str">
        <f ca="1">IFERROR(INDEX('Reference Records'!O$3:O$19,MATCH(LEFT(C260,255),'Reference Records'!J$3:J$19,0)),"")</f>
        <v/>
      </c>
    </row>
    <row r="261" spans="1:23" s="89" customFormat="1" ht="40.35" customHeight="1">
      <c r="A261" s="564"/>
      <c r="B261" s="799">
        <v>9.6203007518797108</v>
      </c>
      <c r="C261" s="800"/>
      <c r="D261" s="801"/>
      <c r="E261" s="801"/>
      <c r="F261" s="128"/>
      <c r="G261" s="802"/>
      <c r="H261" s="781"/>
      <c r="I261" s="803"/>
      <c r="J261" s="779"/>
      <c r="K261" s="800"/>
      <c r="L261" s="800"/>
      <c r="M261" s="779"/>
      <c r="N261" s="779"/>
      <c r="P261" s="125"/>
      <c r="Q261" s="125"/>
      <c r="R261" s="125"/>
      <c r="S261" s="125"/>
      <c r="T261" s="125"/>
      <c r="U261" s="125"/>
      <c r="V261" s="125"/>
      <c r="W261" s="125"/>
    </row>
    <row r="262" spans="1:23" s="89" customFormat="1" ht="40.35" customHeight="1">
      <c r="A262" s="564" t="str">
        <f t="shared" ca="1" si="3"/>
        <v>a1G3p000005dHc7EAE</v>
      </c>
      <c r="B262" s="794">
        <v>13</v>
      </c>
      <c r="C262" s="795" t="str">
        <f ca="1">IFERROR(VLOOKUP(B262,'Impact Indicators - Section B '!$A$9:$AF$52,32,FALSE),"")</f>
        <v/>
      </c>
      <c r="D262" s="796" t="str">
        <f ca="1">R262</f>
        <v/>
      </c>
      <c r="E262" s="796" t="str">
        <f ca="1">S262</f>
        <v/>
      </c>
      <c r="F262" s="127"/>
      <c r="G262" s="797" t="str">
        <f ca="1">IF(OR(INDIRECT("'update Helper'!E"&amp;U262)="",F262&lt;&gt;0,F263&lt;&gt;0),IF(IFERROR((F262/F263),"")="","",(F262/F263)),INDIRECT("'update Helper'!E"&amp;U262)/100)</f>
        <v/>
      </c>
      <c r="H262" s="784"/>
      <c r="I262" s="798"/>
      <c r="J262" s="777"/>
      <c r="K262" s="795" t="str">
        <f ca="1">W262</f>
        <v/>
      </c>
      <c r="L262" s="795" t="str">
        <f ca="1">V262</f>
        <v/>
      </c>
      <c r="M262" s="777"/>
      <c r="N262" s="777"/>
      <c r="P262" s="89">
        <f ca="1">IF(AND(EXACT(C262,C260),C260&lt;&gt;0),P260+1,0)</f>
        <v>86</v>
      </c>
      <c r="Q262" s="89" t="str">
        <f ca="1">IF(C262&lt;&gt;"",C262&amp;"-"&amp;P262,"")</f>
        <v/>
      </c>
      <c r="R262" s="89" t="str">
        <f t="array" aca="1" ref="R262" ca="1">IFERROR(IF(INDEX('Disaggregation Records'!$E$3:$E$66,MATCH(RIGHT(Q262,255),RIGHT('Disaggregation Records'!$D$3:$D$66,255),0))="","",INDEX('Disaggregation Records'!$E$3:$E$66,MATCH(RIGHT(Q262,255),RIGHT('Disaggregation Records'!$D$3:$D$66,255),0))),"")</f>
        <v/>
      </c>
      <c r="S262" s="89" t="str">
        <f t="array" aca="1" ref="S262" ca="1">IFERROR(IF(INDEX('Disaggregation Records'!$F$3:$F$66,MATCH(RIGHT(Q262,255),RIGHT('Disaggregation Records'!$D$3:$D$66,255),0))="","",INDEX('Disaggregation Records'!$F$3:$F$66,MATCH(RIGHT(Q262,255),RIGHT('Disaggregation Records'!$D$3:$D$66,255),0))),"")</f>
        <v/>
      </c>
      <c r="T262" s="89" t="str">
        <f t="array" aca="1" ref="T262" ca="1">IFERROR(IF(INDEX('Disaggregation Records'!$H$3:$H$66,MATCH(RIGHT(Q262,255),RIGHT('Disaggregation Records'!$D$3:$D$66,255),0))="","",INDEX('Disaggregation Records'!$H$3:$H$66,MATCH(RIGHT(Q262,255),RIGHT('Disaggregation Records'!$D$3:$D$66,255),0))),"")</f>
        <v/>
      </c>
      <c r="U262" s="89">
        <f>U260+1</f>
        <v>1317</v>
      </c>
      <c r="V262" s="89" t="str">
        <f t="array" aca="1" ref="V262" ca="1">IFERROR(IF(INDEX('Disaggregation Records'!$I$3:$I$66,MATCH(RIGHT(Q262,255),RIGHT('Disaggregation Records'!$D$3:$D$66,255),0))="","",INDEX('Disaggregation Records'!$I$3:$I$66,MATCH(RIGHT(Q262,255),RIGHT('Disaggregation Records'!$D$3:$D$66,255),0))),"")</f>
        <v/>
      </c>
      <c r="W262" s="89" t="str">
        <f ca="1">IFERROR(INDEX('Reference Records'!O$3:O$19,MATCH(LEFT(C262,255),'Reference Records'!J$3:J$19,0)),"")</f>
        <v/>
      </c>
    </row>
    <row r="263" spans="1:23" s="89" customFormat="1" ht="40.35" customHeight="1">
      <c r="A263" s="564"/>
      <c r="B263" s="799">
        <v>9.6203007518797108</v>
      </c>
      <c r="C263" s="800"/>
      <c r="D263" s="801"/>
      <c r="E263" s="801"/>
      <c r="F263" s="128"/>
      <c r="G263" s="802"/>
      <c r="H263" s="781"/>
      <c r="I263" s="803"/>
      <c r="J263" s="779"/>
      <c r="K263" s="800"/>
      <c r="L263" s="800"/>
      <c r="M263" s="779"/>
      <c r="N263" s="779"/>
      <c r="P263" s="125"/>
      <c r="Q263" s="125"/>
      <c r="R263" s="125"/>
      <c r="S263" s="125"/>
      <c r="T263" s="125"/>
      <c r="U263" s="125"/>
      <c r="V263" s="125"/>
      <c r="W263" s="125"/>
    </row>
    <row r="264" spans="1:23" s="89" customFormat="1" ht="40.35" customHeight="1">
      <c r="A264" s="564" t="str">
        <f t="shared" ca="1" si="3"/>
        <v>a1G3p000005dHc8EAE</v>
      </c>
      <c r="B264" s="794">
        <v>13</v>
      </c>
      <c r="C264" s="795" t="str">
        <f ca="1">IFERROR(VLOOKUP(B264,'Impact Indicators - Section B '!$A$9:$AF$52,32,FALSE),"")</f>
        <v/>
      </c>
      <c r="D264" s="796" t="str">
        <f ca="1">R264</f>
        <v/>
      </c>
      <c r="E264" s="796" t="str">
        <f ca="1">S264</f>
        <v/>
      </c>
      <c r="F264" s="127"/>
      <c r="G264" s="797" t="str">
        <f ca="1">IF(OR(INDIRECT("'update Helper'!E"&amp;U264)="",F264&lt;&gt;0,F265&lt;&gt;0),IF(IFERROR((F264/F265),"")="","",(F264/F265)),INDIRECT("'update Helper'!E"&amp;U264)/100)</f>
        <v/>
      </c>
      <c r="H264" s="784"/>
      <c r="I264" s="798"/>
      <c r="J264" s="777"/>
      <c r="K264" s="795" t="str">
        <f ca="1">W264</f>
        <v/>
      </c>
      <c r="L264" s="795" t="str">
        <f ca="1">V264</f>
        <v/>
      </c>
      <c r="M264" s="777"/>
      <c r="N264" s="777"/>
      <c r="P264" s="89">
        <f ca="1">IF(AND(EXACT(C264,C262),C262&lt;&gt;0),P262+1,0)</f>
        <v>87</v>
      </c>
      <c r="Q264" s="89" t="str">
        <f ca="1">IF(C264&lt;&gt;"",C264&amp;"-"&amp;P264,"")</f>
        <v/>
      </c>
      <c r="R264" s="89" t="str">
        <f t="array" aca="1" ref="R264" ca="1">IFERROR(IF(INDEX('Disaggregation Records'!$E$3:$E$66,MATCH(RIGHT(Q264,255),RIGHT('Disaggregation Records'!$D$3:$D$66,255),0))="","",INDEX('Disaggregation Records'!$E$3:$E$66,MATCH(RIGHT(Q264,255),RIGHT('Disaggregation Records'!$D$3:$D$66,255),0))),"")</f>
        <v/>
      </c>
      <c r="S264" s="89" t="str">
        <f t="array" aca="1" ref="S264" ca="1">IFERROR(IF(INDEX('Disaggregation Records'!$F$3:$F$66,MATCH(RIGHT(Q264,255),RIGHT('Disaggregation Records'!$D$3:$D$66,255),0))="","",INDEX('Disaggregation Records'!$F$3:$F$66,MATCH(RIGHT(Q264,255),RIGHT('Disaggregation Records'!$D$3:$D$66,255),0))),"")</f>
        <v/>
      </c>
      <c r="T264" s="89" t="str">
        <f t="array" aca="1" ref="T264" ca="1">IFERROR(IF(INDEX('Disaggregation Records'!$H$3:$H$66,MATCH(RIGHT(Q264,255),RIGHT('Disaggregation Records'!$D$3:$D$66,255),0))="","",INDEX('Disaggregation Records'!$H$3:$H$66,MATCH(RIGHT(Q264,255),RIGHT('Disaggregation Records'!$D$3:$D$66,255),0))),"")</f>
        <v/>
      </c>
      <c r="U264" s="89">
        <f>U262+1</f>
        <v>1318</v>
      </c>
      <c r="V264" s="89" t="str">
        <f t="array" aca="1" ref="V264" ca="1">IFERROR(IF(INDEX('Disaggregation Records'!$I$3:$I$66,MATCH(RIGHT(Q264,255),RIGHT('Disaggregation Records'!$D$3:$D$66,255),0))="","",INDEX('Disaggregation Records'!$I$3:$I$66,MATCH(RIGHT(Q264,255),RIGHT('Disaggregation Records'!$D$3:$D$66,255),0))),"")</f>
        <v/>
      </c>
      <c r="W264" s="89" t="str">
        <f ca="1">IFERROR(INDEX('Reference Records'!O$3:O$19,MATCH(LEFT(C264,255),'Reference Records'!J$3:J$19,0)),"")</f>
        <v/>
      </c>
    </row>
    <row r="265" spans="1:23" s="89" customFormat="1" ht="40.35" customHeight="1">
      <c r="A265" s="564"/>
      <c r="B265" s="799">
        <v>9.6203007518797108</v>
      </c>
      <c r="C265" s="800"/>
      <c r="D265" s="801"/>
      <c r="E265" s="801"/>
      <c r="F265" s="128"/>
      <c r="G265" s="802"/>
      <c r="H265" s="781"/>
      <c r="I265" s="803"/>
      <c r="J265" s="779"/>
      <c r="K265" s="800"/>
      <c r="L265" s="800"/>
      <c r="M265" s="779"/>
      <c r="N265" s="779"/>
      <c r="P265" s="125"/>
      <c r="Q265" s="125"/>
      <c r="R265" s="125"/>
      <c r="S265" s="125"/>
      <c r="T265" s="125"/>
      <c r="U265" s="125"/>
      <c r="V265" s="125"/>
      <c r="W265" s="125"/>
    </row>
    <row r="266" spans="1:23" s="89" customFormat="1" ht="40.35" customHeight="1">
      <c r="A266" s="564" t="str">
        <f t="shared" ca="1" si="3"/>
        <v>a1G3p000005dHc9EAE</v>
      </c>
      <c r="B266" s="794">
        <v>13</v>
      </c>
      <c r="C266" s="795" t="str">
        <f ca="1">IFERROR(VLOOKUP(B266,'Impact Indicators - Section B '!$A$9:$AF$52,32,FALSE),"")</f>
        <v/>
      </c>
      <c r="D266" s="796" t="str">
        <f ca="1">R266</f>
        <v/>
      </c>
      <c r="E266" s="796" t="str">
        <f ca="1">S266</f>
        <v/>
      </c>
      <c r="F266" s="127"/>
      <c r="G266" s="797" t="str">
        <f ca="1">IF(OR(INDIRECT("'update Helper'!E"&amp;U266)="",F266&lt;&gt;0,F267&lt;&gt;0),IF(IFERROR((F266/F267),"")="","",(F266/F267)),INDIRECT("'update Helper'!E"&amp;U266)/100)</f>
        <v/>
      </c>
      <c r="H266" s="784"/>
      <c r="I266" s="798"/>
      <c r="J266" s="777"/>
      <c r="K266" s="795" t="str">
        <f ca="1">W266</f>
        <v/>
      </c>
      <c r="L266" s="795" t="str">
        <f ca="1">V266</f>
        <v/>
      </c>
      <c r="M266" s="777"/>
      <c r="N266" s="777"/>
      <c r="P266" s="89">
        <f ca="1">IF(AND(EXACT(C266,C264),C264&lt;&gt;0),P264+1,0)</f>
        <v>88</v>
      </c>
      <c r="Q266" s="89" t="str">
        <f ca="1">IF(C266&lt;&gt;"",C266&amp;"-"&amp;P266,"")</f>
        <v/>
      </c>
      <c r="R266" s="89" t="str">
        <f t="array" aca="1" ref="R266" ca="1">IFERROR(IF(INDEX('Disaggregation Records'!$E$3:$E$66,MATCH(RIGHT(Q266,255),RIGHT('Disaggregation Records'!$D$3:$D$66,255),0))="","",INDEX('Disaggregation Records'!$E$3:$E$66,MATCH(RIGHT(Q266,255),RIGHT('Disaggregation Records'!$D$3:$D$66,255),0))),"")</f>
        <v/>
      </c>
      <c r="S266" s="89" t="str">
        <f t="array" aca="1" ref="S266" ca="1">IFERROR(IF(INDEX('Disaggregation Records'!$F$3:$F$66,MATCH(RIGHT(Q266,255),RIGHT('Disaggregation Records'!$D$3:$D$66,255),0))="","",INDEX('Disaggregation Records'!$F$3:$F$66,MATCH(RIGHT(Q266,255),RIGHT('Disaggregation Records'!$D$3:$D$66,255),0))),"")</f>
        <v/>
      </c>
      <c r="T266" s="89" t="str">
        <f t="array" aca="1" ref="T266" ca="1">IFERROR(IF(INDEX('Disaggregation Records'!$H$3:$H$66,MATCH(RIGHT(Q266,255),RIGHT('Disaggregation Records'!$D$3:$D$66,255),0))="","",INDEX('Disaggregation Records'!$H$3:$H$66,MATCH(RIGHT(Q266,255),RIGHT('Disaggregation Records'!$D$3:$D$66,255),0))),"")</f>
        <v/>
      </c>
      <c r="U266" s="89">
        <f>U264+1</f>
        <v>1319</v>
      </c>
      <c r="V266" s="89" t="str">
        <f t="array" aca="1" ref="V266" ca="1">IFERROR(IF(INDEX('Disaggregation Records'!$I$3:$I$66,MATCH(RIGHT(Q266,255),RIGHT('Disaggregation Records'!$D$3:$D$66,255),0))="","",INDEX('Disaggregation Records'!$I$3:$I$66,MATCH(RIGHT(Q266,255),RIGHT('Disaggregation Records'!$D$3:$D$66,255),0))),"")</f>
        <v/>
      </c>
      <c r="W266" s="89" t="str">
        <f ca="1">IFERROR(INDEX('Reference Records'!O$3:O$19,MATCH(LEFT(C266,255),'Reference Records'!J$3:J$19,0)),"")</f>
        <v/>
      </c>
    </row>
    <row r="267" spans="1:23" s="89" customFormat="1" ht="40.35" customHeight="1">
      <c r="A267" s="564"/>
      <c r="B267" s="799">
        <v>9.6203007518797108</v>
      </c>
      <c r="C267" s="800"/>
      <c r="D267" s="801"/>
      <c r="E267" s="801"/>
      <c r="F267" s="128"/>
      <c r="G267" s="802"/>
      <c r="H267" s="781"/>
      <c r="I267" s="803"/>
      <c r="J267" s="779"/>
      <c r="K267" s="800"/>
      <c r="L267" s="800"/>
      <c r="M267" s="779"/>
      <c r="N267" s="779"/>
      <c r="P267" s="125"/>
      <c r="Q267" s="125"/>
      <c r="R267" s="125"/>
      <c r="S267" s="125"/>
      <c r="T267" s="125"/>
      <c r="U267" s="125"/>
      <c r="V267" s="125"/>
      <c r="W267" s="125"/>
    </row>
    <row r="268" spans="1:23" s="89" customFormat="1" ht="40.35" customHeight="1">
      <c r="A268" s="564" t="str">
        <f t="shared" ca="1" si="3"/>
        <v>a1G3p000005dHcAEAU</v>
      </c>
      <c r="B268" s="794">
        <v>13</v>
      </c>
      <c r="C268" s="795" t="str">
        <f ca="1">IFERROR(VLOOKUP(B268,'Impact Indicators - Section B '!$A$9:$AF$52,32,FALSE),"")</f>
        <v/>
      </c>
      <c r="D268" s="796" t="str">
        <f ca="1">R268</f>
        <v/>
      </c>
      <c r="E268" s="796" t="str">
        <f ca="1">S268</f>
        <v/>
      </c>
      <c r="F268" s="127"/>
      <c r="G268" s="797" t="str">
        <f ca="1">IF(OR(INDIRECT("'update Helper'!E"&amp;U268)="",F268&lt;&gt;0,F269&lt;&gt;0),IF(IFERROR((F268/F269),"")="","",(F268/F269)),INDIRECT("'update Helper'!E"&amp;U268)/100)</f>
        <v/>
      </c>
      <c r="H268" s="784"/>
      <c r="I268" s="798"/>
      <c r="J268" s="777"/>
      <c r="K268" s="795" t="str">
        <f ca="1">W268</f>
        <v/>
      </c>
      <c r="L268" s="795" t="str">
        <f ca="1">V268</f>
        <v/>
      </c>
      <c r="M268" s="777"/>
      <c r="N268" s="777"/>
      <c r="P268" s="89">
        <f ca="1">IF(AND(EXACT(C268,C266),C266&lt;&gt;0),P266+1,0)</f>
        <v>89</v>
      </c>
      <c r="Q268" s="89" t="str">
        <f ca="1">IF(C268&lt;&gt;"",C268&amp;"-"&amp;P268,"")</f>
        <v/>
      </c>
      <c r="R268" s="89" t="str">
        <f t="array" aca="1" ref="R268" ca="1">IFERROR(IF(INDEX('Disaggregation Records'!$E$3:$E$66,MATCH(RIGHT(Q268,255),RIGHT('Disaggregation Records'!$D$3:$D$66,255),0))="","",INDEX('Disaggregation Records'!$E$3:$E$66,MATCH(RIGHT(Q268,255),RIGHT('Disaggregation Records'!$D$3:$D$66,255),0))),"")</f>
        <v/>
      </c>
      <c r="S268" s="89" t="str">
        <f t="array" aca="1" ref="S268" ca="1">IFERROR(IF(INDEX('Disaggregation Records'!$F$3:$F$66,MATCH(RIGHT(Q268,255),RIGHT('Disaggregation Records'!$D$3:$D$66,255),0))="","",INDEX('Disaggregation Records'!$F$3:$F$66,MATCH(RIGHT(Q268,255),RIGHT('Disaggregation Records'!$D$3:$D$66,255),0))),"")</f>
        <v/>
      </c>
      <c r="T268" s="89" t="str">
        <f t="array" aca="1" ref="T268" ca="1">IFERROR(IF(INDEX('Disaggregation Records'!$H$3:$H$66,MATCH(RIGHT(Q268,255),RIGHT('Disaggregation Records'!$D$3:$D$66,255),0))="","",INDEX('Disaggregation Records'!$H$3:$H$66,MATCH(RIGHT(Q268,255),RIGHT('Disaggregation Records'!$D$3:$D$66,255),0))),"")</f>
        <v/>
      </c>
      <c r="U268" s="89">
        <f>U266+1</f>
        <v>1320</v>
      </c>
      <c r="V268" s="89" t="str">
        <f t="array" aca="1" ref="V268" ca="1">IFERROR(IF(INDEX('Disaggregation Records'!$I$3:$I$66,MATCH(RIGHT(Q268,255),RIGHT('Disaggregation Records'!$D$3:$D$66,255),0))="","",INDEX('Disaggregation Records'!$I$3:$I$66,MATCH(RIGHT(Q268,255),RIGHT('Disaggregation Records'!$D$3:$D$66,255),0))),"")</f>
        <v/>
      </c>
      <c r="W268" s="89" t="str">
        <f ca="1">IFERROR(INDEX('Reference Records'!O$3:O$19,MATCH(LEFT(C268,255),'Reference Records'!J$3:J$19,0)),"")</f>
        <v/>
      </c>
    </row>
    <row r="269" spans="1:23" s="89" customFormat="1" ht="40.35" customHeight="1">
      <c r="A269" s="564"/>
      <c r="B269" s="799">
        <v>9.6203007518797108</v>
      </c>
      <c r="C269" s="800"/>
      <c r="D269" s="801"/>
      <c r="E269" s="801"/>
      <c r="F269" s="128"/>
      <c r="G269" s="802"/>
      <c r="H269" s="781"/>
      <c r="I269" s="803"/>
      <c r="J269" s="779"/>
      <c r="K269" s="800"/>
      <c r="L269" s="800"/>
      <c r="M269" s="779"/>
      <c r="N269" s="779"/>
      <c r="P269" s="125"/>
      <c r="Q269" s="125"/>
      <c r="R269" s="125"/>
      <c r="S269" s="125"/>
      <c r="T269" s="125"/>
      <c r="U269" s="125"/>
      <c r="V269" s="125"/>
      <c r="W269" s="125"/>
    </row>
    <row r="270" spans="1:23" s="89" customFormat="1" ht="40.35" customHeight="1">
      <c r="A270" s="564" t="str">
        <f t="shared" ref="A270:A308" ca="1" si="4">INDIRECT("'update Helper'!C"&amp;U270)</f>
        <v>a1G3p000005dHcBEAU</v>
      </c>
      <c r="B270" s="794">
        <v>14</v>
      </c>
      <c r="C270" s="795" t="str">
        <f ca="1">IFERROR(VLOOKUP(B270,'Impact Indicators - Section B '!$A$9:$AF$52,32,FALSE),"")</f>
        <v/>
      </c>
      <c r="D270" s="796" t="str">
        <f ca="1">R270</f>
        <v/>
      </c>
      <c r="E270" s="796" t="str">
        <f ca="1">S270</f>
        <v/>
      </c>
      <c r="F270" s="127"/>
      <c r="G270" s="797" t="str">
        <f ca="1">IF(OR(INDIRECT("'update Helper'!E"&amp;U270)="",F270&lt;&gt;0,F271&lt;&gt;0),IF(IFERROR((F270/F271),"")="","",(F270/F271)),INDIRECT("'update Helper'!E"&amp;U270)/100)</f>
        <v/>
      </c>
      <c r="H270" s="784"/>
      <c r="I270" s="798"/>
      <c r="J270" s="777"/>
      <c r="K270" s="795" t="str">
        <f ca="1">W270</f>
        <v/>
      </c>
      <c r="L270" s="795" t="str">
        <f ca="1">V270</f>
        <v/>
      </c>
      <c r="M270" s="777"/>
      <c r="N270" s="777"/>
      <c r="P270" s="89">
        <f ca="1">IF(AND(EXACT(C270,C268),C268&lt;&gt;0),P268+1,0)</f>
        <v>90</v>
      </c>
      <c r="Q270" s="89" t="str">
        <f ca="1">IF(C270&lt;&gt;"",C270&amp;"-"&amp;P270,"")</f>
        <v/>
      </c>
      <c r="R270" s="89" t="str">
        <f t="array" aca="1" ref="R270" ca="1">IFERROR(IF(INDEX('Disaggregation Records'!$E$3:$E$66,MATCH(RIGHT(Q270,255),RIGHT('Disaggregation Records'!$D$3:$D$66,255),0))="","",INDEX('Disaggregation Records'!$E$3:$E$66,MATCH(RIGHT(Q270,255),RIGHT('Disaggregation Records'!$D$3:$D$66,255),0))),"")</f>
        <v/>
      </c>
      <c r="S270" s="89" t="str">
        <f t="array" aca="1" ref="S270" ca="1">IFERROR(IF(INDEX('Disaggregation Records'!$F$3:$F$66,MATCH(RIGHT(Q270,255),RIGHT('Disaggregation Records'!$D$3:$D$66,255),0))="","",INDEX('Disaggregation Records'!$F$3:$F$66,MATCH(RIGHT(Q270,255),RIGHT('Disaggregation Records'!$D$3:$D$66,255),0))),"")</f>
        <v/>
      </c>
      <c r="T270" s="89" t="str">
        <f t="array" aca="1" ref="T270" ca="1">IFERROR(IF(INDEX('Disaggregation Records'!$H$3:$H$66,MATCH(RIGHT(Q270,255),RIGHT('Disaggregation Records'!$D$3:$D$66,255),0))="","",INDEX('Disaggregation Records'!$H$3:$H$66,MATCH(RIGHT(Q270,255),RIGHT('Disaggregation Records'!$D$3:$D$66,255),0))),"")</f>
        <v/>
      </c>
      <c r="U270" s="89">
        <f>U268+1</f>
        <v>1321</v>
      </c>
      <c r="V270" s="89" t="str">
        <f t="array" aca="1" ref="V270" ca="1">IFERROR(IF(INDEX('Disaggregation Records'!$I$3:$I$66,MATCH(RIGHT(Q270,255),RIGHT('Disaggregation Records'!$D$3:$D$66,255),0))="","",INDEX('Disaggregation Records'!$I$3:$I$66,MATCH(RIGHT(Q270,255),RIGHT('Disaggregation Records'!$D$3:$D$66,255),0))),"")</f>
        <v/>
      </c>
      <c r="W270" s="89" t="str">
        <f ca="1">IFERROR(INDEX('Reference Records'!O$3:O$19,MATCH(LEFT(C270,255),'Reference Records'!J$3:J$19,0)),"")</f>
        <v/>
      </c>
    </row>
    <row r="271" spans="1:23" s="89" customFormat="1" ht="40.35" customHeight="1">
      <c r="A271" s="564"/>
      <c r="B271" s="799">
        <v>10.3721804511278</v>
      </c>
      <c r="C271" s="800"/>
      <c r="D271" s="801"/>
      <c r="E271" s="801"/>
      <c r="F271" s="128"/>
      <c r="G271" s="802"/>
      <c r="H271" s="781"/>
      <c r="I271" s="803"/>
      <c r="J271" s="779"/>
      <c r="K271" s="800"/>
      <c r="L271" s="800"/>
      <c r="M271" s="779"/>
      <c r="N271" s="779"/>
      <c r="P271" s="125"/>
      <c r="Q271" s="125"/>
      <c r="R271" s="125"/>
      <c r="S271" s="125"/>
      <c r="T271" s="125"/>
      <c r="U271" s="125"/>
      <c r="V271" s="125"/>
      <c r="W271" s="125"/>
    </row>
    <row r="272" spans="1:23" s="89" customFormat="1" ht="40.35" customHeight="1">
      <c r="A272" s="564" t="str">
        <f t="shared" ca="1" si="4"/>
        <v>a1G3p000005dHcCEAU</v>
      </c>
      <c r="B272" s="794">
        <v>14</v>
      </c>
      <c r="C272" s="795" t="str">
        <f ca="1">IFERROR(VLOOKUP(B272,'Impact Indicators - Section B '!$A$9:$AF$52,32,FALSE),"")</f>
        <v/>
      </c>
      <c r="D272" s="796" t="str">
        <f ca="1">R272</f>
        <v/>
      </c>
      <c r="E272" s="796" t="str">
        <f ca="1">S272</f>
        <v/>
      </c>
      <c r="F272" s="127"/>
      <c r="G272" s="797" t="str">
        <f ca="1">IF(OR(INDIRECT("'update Helper'!E"&amp;U272)="",F272&lt;&gt;0,F273&lt;&gt;0),IF(IFERROR((F272/F273),"")="","",(F272/F273)),INDIRECT("'update Helper'!E"&amp;U272)/100)</f>
        <v/>
      </c>
      <c r="H272" s="784"/>
      <c r="I272" s="798"/>
      <c r="J272" s="777"/>
      <c r="K272" s="795" t="str">
        <f ca="1">W272</f>
        <v/>
      </c>
      <c r="L272" s="795" t="str">
        <f ca="1">V272</f>
        <v/>
      </c>
      <c r="M272" s="777"/>
      <c r="N272" s="777"/>
      <c r="P272" s="89">
        <f ca="1">IF(AND(EXACT(C272,C270),C270&lt;&gt;0),P270+1,0)</f>
        <v>91</v>
      </c>
      <c r="Q272" s="89" t="str">
        <f ca="1">IF(C272&lt;&gt;"",C272&amp;"-"&amp;P272,"")</f>
        <v/>
      </c>
      <c r="R272" s="89" t="str">
        <f t="array" aca="1" ref="R272" ca="1">IFERROR(IF(INDEX('Disaggregation Records'!$E$3:$E$66,MATCH(RIGHT(Q272,255),RIGHT('Disaggregation Records'!$D$3:$D$66,255),0))="","",INDEX('Disaggregation Records'!$E$3:$E$66,MATCH(RIGHT(Q272,255),RIGHT('Disaggregation Records'!$D$3:$D$66,255),0))),"")</f>
        <v/>
      </c>
      <c r="S272" s="89" t="str">
        <f t="array" aca="1" ref="S272" ca="1">IFERROR(IF(INDEX('Disaggregation Records'!$F$3:$F$66,MATCH(RIGHT(Q272,255),RIGHT('Disaggregation Records'!$D$3:$D$66,255),0))="","",INDEX('Disaggregation Records'!$F$3:$F$66,MATCH(RIGHT(Q272,255),RIGHT('Disaggregation Records'!$D$3:$D$66,255),0))),"")</f>
        <v/>
      </c>
      <c r="T272" s="89" t="str">
        <f t="array" aca="1" ref="T272" ca="1">IFERROR(IF(INDEX('Disaggregation Records'!$H$3:$H$66,MATCH(RIGHT(Q272,255),RIGHT('Disaggregation Records'!$D$3:$D$66,255),0))="","",INDEX('Disaggregation Records'!$H$3:$H$66,MATCH(RIGHT(Q272,255),RIGHT('Disaggregation Records'!$D$3:$D$66,255),0))),"")</f>
        <v/>
      </c>
      <c r="U272" s="89">
        <f>U270+1</f>
        <v>1322</v>
      </c>
      <c r="V272" s="89" t="str">
        <f t="array" aca="1" ref="V272" ca="1">IFERROR(IF(INDEX('Disaggregation Records'!$I$3:$I$66,MATCH(RIGHT(Q272,255),RIGHT('Disaggregation Records'!$D$3:$D$66,255),0))="","",INDEX('Disaggregation Records'!$I$3:$I$66,MATCH(RIGHT(Q272,255),RIGHT('Disaggregation Records'!$D$3:$D$66,255),0))),"")</f>
        <v/>
      </c>
      <c r="W272" s="89" t="str">
        <f ca="1">IFERROR(INDEX('Reference Records'!O$3:O$19,MATCH(LEFT(C272,255),'Reference Records'!J$3:J$19,0)),"")</f>
        <v/>
      </c>
    </row>
    <row r="273" spans="1:23" s="89" customFormat="1" ht="40.35" customHeight="1">
      <c r="A273" s="564"/>
      <c r="B273" s="799">
        <v>10.3721804511278</v>
      </c>
      <c r="C273" s="800"/>
      <c r="D273" s="801"/>
      <c r="E273" s="801"/>
      <c r="F273" s="128"/>
      <c r="G273" s="802"/>
      <c r="H273" s="781"/>
      <c r="I273" s="803"/>
      <c r="J273" s="779"/>
      <c r="K273" s="800"/>
      <c r="L273" s="800"/>
      <c r="M273" s="779"/>
      <c r="N273" s="779"/>
      <c r="P273" s="125"/>
      <c r="Q273" s="125"/>
      <c r="R273" s="125"/>
      <c r="S273" s="125"/>
      <c r="T273" s="125"/>
      <c r="U273" s="125"/>
      <c r="V273" s="125"/>
      <c r="W273" s="125"/>
    </row>
    <row r="274" spans="1:23" s="89" customFormat="1" ht="40.35" customHeight="1">
      <c r="A274" s="564" t="str">
        <f t="shared" ca="1" si="4"/>
        <v>a1G3p000005dHcDEAU</v>
      </c>
      <c r="B274" s="794">
        <v>14</v>
      </c>
      <c r="C274" s="795" t="str">
        <f ca="1">IFERROR(VLOOKUP(B274,'Impact Indicators - Section B '!$A$9:$AF$52,32,FALSE),"")</f>
        <v/>
      </c>
      <c r="D274" s="796" t="str">
        <f ca="1">R274</f>
        <v/>
      </c>
      <c r="E274" s="796" t="str">
        <f ca="1">S274</f>
        <v/>
      </c>
      <c r="F274" s="127"/>
      <c r="G274" s="797" t="str">
        <f ca="1">IF(OR(INDIRECT("'update Helper'!E"&amp;U274)="",F274&lt;&gt;0,F275&lt;&gt;0),IF(IFERROR((F274/F275),"")="","",(F274/F275)),INDIRECT("'update Helper'!E"&amp;U274)/100)</f>
        <v/>
      </c>
      <c r="H274" s="784"/>
      <c r="I274" s="798"/>
      <c r="J274" s="777"/>
      <c r="K274" s="795" t="str">
        <f ca="1">W274</f>
        <v/>
      </c>
      <c r="L274" s="795" t="str">
        <f ca="1">V274</f>
        <v/>
      </c>
      <c r="M274" s="777"/>
      <c r="N274" s="777"/>
      <c r="P274" s="89">
        <f ca="1">IF(AND(EXACT(C274,C272),C272&lt;&gt;0),P272+1,0)</f>
        <v>92</v>
      </c>
      <c r="Q274" s="89" t="str">
        <f ca="1">IF(C274&lt;&gt;"",C274&amp;"-"&amp;P274,"")</f>
        <v/>
      </c>
      <c r="R274" s="89" t="str">
        <f t="array" aca="1" ref="R274" ca="1">IFERROR(IF(INDEX('Disaggregation Records'!$E$3:$E$66,MATCH(RIGHT(Q274,255),RIGHT('Disaggregation Records'!$D$3:$D$66,255),0))="","",INDEX('Disaggregation Records'!$E$3:$E$66,MATCH(RIGHT(Q274,255),RIGHT('Disaggregation Records'!$D$3:$D$66,255),0))),"")</f>
        <v/>
      </c>
      <c r="S274" s="89" t="str">
        <f t="array" aca="1" ref="S274" ca="1">IFERROR(IF(INDEX('Disaggregation Records'!$F$3:$F$66,MATCH(RIGHT(Q274,255),RIGHT('Disaggregation Records'!$D$3:$D$66,255),0))="","",INDEX('Disaggregation Records'!$F$3:$F$66,MATCH(RIGHT(Q274,255),RIGHT('Disaggregation Records'!$D$3:$D$66,255),0))),"")</f>
        <v/>
      </c>
      <c r="T274" s="89" t="str">
        <f t="array" aca="1" ref="T274" ca="1">IFERROR(IF(INDEX('Disaggregation Records'!$H$3:$H$66,MATCH(RIGHT(Q274,255),RIGHT('Disaggregation Records'!$D$3:$D$66,255),0))="","",INDEX('Disaggregation Records'!$H$3:$H$66,MATCH(RIGHT(Q274,255),RIGHT('Disaggregation Records'!$D$3:$D$66,255),0))),"")</f>
        <v/>
      </c>
      <c r="U274" s="89">
        <f>U272+1</f>
        <v>1323</v>
      </c>
      <c r="V274" s="89" t="str">
        <f t="array" aca="1" ref="V274" ca="1">IFERROR(IF(INDEX('Disaggregation Records'!$I$3:$I$66,MATCH(RIGHT(Q274,255),RIGHT('Disaggregation Records'!$D$3:$D$66,255),0))="","",INDEX('Disaggregation Records'!$I$3:$I$66,MATCH(RIGHT(Q274,255),RIGHT('Disaggregation Records'!$D$3:$D$66,255),0))),"")</f>
        <v/>
      </c>
      <c r="W274" s="89" t="str">
        <f ca="1">IFERROR(INDEX('Reference Records'!O$3:O$19,MATCH(LEFT(C274,255),'Reference Records'!J$3:J$19,0)),"")</f>
        <v/>
      </c>
    </row>
    <row r="275" spans="1:23" s="89" customFormat="1" ht="40.35" customHeight="1">
      <c r="A275" s="564"/>
      <c r="B275" s="799">
        <v>10.3721804511278</v>
      </c>
      <c r="C275" s="800"/>
      <c r="D275" s="801"/>
      <c r="E275" s="801"/>
      <c r="F275" s="128"/>
      <c r="G275" s="802"/>
      <c r="H275" s="781"/>
      <c r="I275" s="803"/>
      <c r="J275" s="779"/>
      <c r="K275" s="800"/>
      <c r="L275" s="800"/>
      <c r="M275" s="779"/>
      <c r="N275" s="779"/>
      <c r="P275" s="125"/>
      <c r="Q275" s="125"/>
      <c r="R275" s="125"/>
      <c r="S275" s="125"/>
      <c r="T275" s="125"/>
      <c r="U275" s="125"/>
      <c r="V275" s="125"/>
      <c r="W275" s="125"/>
    </row>
    <row r="276" spans="1:23" s="89" customFormat="1" ht="40.35" customHeight="1">
      <c r="A276" s="564" t="str">
        <f t="shared" ca="1" si="4"/>
        <v>a1G3p000005dHcEEAU</v>
      </c>
      <c r="B276" s="794">
        <v>14</v>
      </c>
      <c r="C276" s="795" t="str">
        <f ca="1">IFERROR(VLOOKUP(B276,'Impact Indicators - Section B '!$A$9:$AF$52,32,FALSE),"")</f>
        <v/>
      </c>
      <c r="D276" s="796" t="str">
        <f ca="1">R276</f>
        <v/>
      </c>
      <c r="E276" s="796" t="str">
        <f ca="1">S276</f>
        <v/>
      </c>
      <c r="F276" s="127"/>
      <c r="G276" s="797" t="str">
        <f ca="1">IF(OR(INDIRECT("'update Helper'!E"&amp;U276)="",F276&lt;&gt;0,F277&lt;&gt;0),IF(IFERROR((F276/F277),"")="","",(F276/F277)),INDIRECT("'update Helper'!E"&amp;U276)/100)</f>
        <v/>
      </c>
      <c r="H276" s="784"/>
      <c r="I276" s="798"/>
      <c r="J276" s="777"/>
      <c r="K276" s="795" t="str">
        <f ca="1">W276</f>
        <v/>
      </c>
      <c r="L276" s="795" t="str">
        <f ca="1">V276</f>
        <v/>
      </c>
      <c r="M276" s="777"/>
      <c r="N276" s="777"/>
      <c r="P276" s="89">
        <f ca="1">IF(AND(EXACT(C276,C274),C274&lt;&gt;0),P274+1,0)</f>
        <v>93</v>
      </c>
      <c r="Q276" s="89" t="str">
        <f ca="1">IF(C276&lt;&gt;"",C276&amp;"-"&amp;P276,"")</f>
        <v/>
      </c>
      <c r="R276" s="89" t="str">
        <f t="array" aca="1" ref="R276" ca="1">IFERROR(IF(INDEX('Disaggregation Records'!$E$3:$E$66,MATCH(RIGHT(Q276,255),RIGHT('Disaggregation Records'!$D$3:$D$66,255),0))="","",INDEX('Disaggregation Records'!$E$3:$E$66,MATCH(RIGHT(Q276,255),RIGHT('Disaggregation Records'!$D$3:$D$66,255),0))),"")</f>
        <v/>
      </c>
      <c r="S276" s="89" t="str">
        <f t="array" aca="1" ref="S276" ca="1">IFERROR(IF(INDEX('Disaggregation Records'!$F$3:$F$66,MATCH(RIGHT(Q276,255),RIGHT('Disaggregation Records'!$D$3:$D$66,255),0))="","",INDEX('Disaggregation Records'!$F$3:$F$66,MATCH(RIGHT(Q276,255),RIGHT('Disaggregation Records'!$D$3:$D$66,255),0))),"")</f>
        <v/>
      </c>
      <c r="T276" s="89" t="str">
        <f t="array" aca="1" ref="T276" ca="1">IFERROR(IF(INDEX('Disaggregation Records'!$H$3:$H$66,MATCH(RIGHT(Q276,255),RIGHT('Disaggregation Records'!$D$3:$D$66,255),0))="","",INDEX('Disaggregation Records'!$H$3:$H$66,MATCH(RIGHT(Q276,255),RIGHT('Disaggregation Records'!$D$3:$D$66,255),0))),"")</f>
        <v/>
      </c>
      <c r="U276" s="89">
        <f>U274+1</f>
        <v>1324</v>
      </c>
      <c r="V276" s="89" t="str">
        <f t="array" aca="1" ref="V276" ca="1">IFERROR(IF(INDEX('Disaggregation Records'!$I$3:$I$66,MATCH(RIGHT(Q276,255),RIGHT('Disaggregation Records'!$D$3:$D$66,255),0))="","",INDEX('Disaggregation Records'!$I$3:$I$66,MATCH(RIGHT(Q276,255),RIGHT('Disaggregation Records'!$D$3:$D$66,255),0))),"")</f>
        <v/>
      </c>
      <c r="W276" s="89" t="str">
        <f ca="1">IFERROR(INDEX('Reference Records'!O$3:O$19,MATCH(LEFT(C276,255),'Reference Records'!J$3:J$19,0)),"")</f>
        <v/>
      </c>
    </row>
    <row r="277" spans="1:23" s="89" customFormat="1" ht="40.35" customHeight="1">
      <c r="A277" s="564"/>
      <c r="B277" s="799">
        <v>10.3721804511278</v>
      </c>
      <c r="C277" s="800"/>
      <c r="D277" s="801"/>
      <c r="E277" s="801"/>
      <c r="F277" s="128"/>
      <c r="G277" s="802"/>
      <c r="H277" s="781"/>
      <c r="I277" s="803"/>
      <c r="J277" s="779"/>
      <c r="K277" s="800"/>
      <c r="L277" s="800"/>
      <c r="M277" s="779"/>
      <c r="N277" s="779"/>
      <c r="P277" s="125"/>
      <c r="Q277" s="125"/>
      <c r="R277" s="125"/>
      <c r="S277" s="125"/>
      <c r="T277" s="125"/>
      <c r="U277" s="125"/>
      <c r="V277" s="125"/>
      <c r="W277" s="125"/>
    </row>
    <row r="278" spans="1:23" s="89" customFormat="1" ht="40.35" customHeight="1">
      <c r="A278" s="564" t="str">
        <f t="shared" ca="1" si="4"/>
        <v>a1G3p000005dHcFEAU</v>
      </c>
      <c r="B278" s="794">
        <v>14</v>
      </c>
      <c r="C278" s="795" t="str">
        <f ca="1">IFERROR(VLOOKUP(B278,'Impact Indicators - Section B '!$A$9:$AF$52,32,FALSE),"")</f>
        <v/>
      </c>
      <c r="D278" s="796" t="str">
        <f ca="1">R278</f>
        <v/>
      </c>
      <c r="E278" s="796" t="str">
        <f ca="1">S278</f>
        <v/>
      </c>
      <c r="F278" s="127"/>
      <c r="G278" s="797" t="str">
        <f ca="1">IF(OR(INDIRECT("'update Helper'!E"&amp;U278)="",F278&lt;&gt;0,F279&lt;&gt;0),IF(IFERROR((F278/F279),"")="","",(F278/F279)),INDIRECT("'update Helper'!E"&amp;U278)/100)</f>
        <v/>
      </c>
      <c r="H278" s="784"/>
      <c r="I278" s="798"/>
      <c r="J278" s="777"/>
      <c r="K278" s="795" t="str">
        <f ca="1">W278</f>
        <v/>
      </c>
      <c r="L278" s="795" t="str">
        <f ca="1">V278</f>
        <v/>
      </c>
      <c r="M278" s="777"/>
      <c r="N278" s="777"/>
      <c r="P278" s="89">
        <f ca="1">IF(AND(EXACT(C278,C276),C276&lt;&gt;0),P276+1,0)</f>
        <v>94</v>
      </c>
      <c r="Q278" s="89" t="str">
        <f ca="1">IF(C278&lt;&gt;"",C278&amp;"-"&amp;P278,"")</f>
        <v/>
      </c>
      <c r="R278" s="89" t="str">
        <f t="array" aca="1" ref="R278" ca="1">IFERROR(IF(INDEX('Disaggregation Records'!$E$3:$E$66,MATCH(RIGHT(Q278,255),RIGHT('Disaggregation Records'!$D$3:$D$66,255),0))="","",INDEX('Disaggregation Records'!$E$3:$E$66,MATCH(RIGHT(Q278,255),RIGHT('Disaggregation Records'!$D$3:$D$66,255),0))),"")</f>
        <v/>
      </c>
      <c r="S278" s="89" t="str">
        <f t="array" aca="1" ref="S278" ca="1">IFERROR(IF(INDEX('Disaggregation Records'!$F$3:$F$66,MATCH(RIGHT(Q278,255),RIGHT('Disaggregation Records'!$D$3:$D$66,255),0))="","",INDEX('Disaggregation Records'!$F$3:$F$66,MATCH(RIGHT(Q278,255),RIGHT('Disaggregation Records'!$D$3:$D$66,255),0))),"")</f>
        <v/>
      </c>
      <c r="T278" s="89" t="str">
        <f t="array" aca="1" ref="T278" ca="1">IFERROR(IF(INDEX('Disaggregation Records'!$H$3:$H$66,MATCH(RIGHT(Q278,255),RIGHT('Disaggregation Records'!$D$3:$D$66,255),0))="","",INDEX('Disaggregation Records'!$H$3:$H$66,MATCH(RIGHT(Q278,255),RIGHT('Disaggregation Records'!$D$3:$D$66,255),0))),"")</f>
        <v/>
      </c>
      <c r="U278" s="89">
        <f>U276+1</f>
        <v>1325</v>
      </c>
      <c r="V278" s="89" t="str">
        <f t="array" aca="1" ref="V278" ca="1">IFERROR(IF(INDEX('Disaggregation Records'!$I$3:$I$66,MATCH(RIGHT(Q278,255),RIGHT('Disaggregation Records'!$D$3:$D$66,255),0))="","",INDEX('Disaggregation Records'!$I$3:$I$66,MATCH(RIGHT(Q278,255),RIGHT('Disaggregation Records'!$D$3:$D$66,255),0))),"")</f>
        <v/>
      </c>
      <c r="W278" s="89" t="str">
        <f ca="1">IFERROR(INDEX('Reference Records'!O$3:O$19,MATCH(LEFT(C278,255),'Reference Records'!J$3:J$19,0)),"")</f>
        <v/>
      </c>
    </row>
    <row r="279" spans="1:23" s="89" customFormat="1" ht="40.35" customHeight="1">
      <c r="A279" s="564"/>
      <c r="B279" s="799">
        <v>10.3721804511278</v>
      </c>
      <c r="C279" s="800"/>
      <c r="D279" s="801"/>
      <c r="E279" s="801"/>
      <c r="F279" s="128"/>
      <c r="G279" s="802"/>
      <c r="H279" s="781"/>
      <c r="I279" s="803"/>
      <c r="J279" s="779"/>
      <c r="K279" s="800"/>
      <c r="L279" s="800"/>
      <c r="M279" s="779"/>
      <c r="N279" s="779"/>
      <c r="P279" s="125"/>
      <c r="Q279" s="125"/>
      <c r="R279" s="125"/>
      <c r="S279" s="125"/>
      <c r="T279" s="125"/>
      <c r="U279" s="125"/>
      <c r="V279" s="125"/>
      <c r="W279" s="125"/>
    </row>
    <row r="280" spans="1:23" s="89" customFormat="1" ht="40.35" customHeight="1">
      <c r="A280" s="564" t="str">
        <f t="shared" ca="1" si="4"/>
        <v>a1G3p000005dHcGEAU</v>
      </c>
      <c r="B280" s="794">
        <v>14</v>
      </c>
      <c r="C280" s="795" t="str">
        <f ca="1">IFERROR(VLOOKUP(B280,'Impact Indicators - Section B '!$A$9:$AF$52,32,FALSE),"")</f>
        <v/>
      </c>
      <c r="D280" s="796" t="str">
        <f ca="1">R280</f>
        <v/>
      </c>
      <c r="E280" s="796" t="str">
        <f ca="1">S280</f>
        <v/>
      </c>
      <c r="F280" s="127"/>
      <c r="G280" s="797" t="str">
        <f ca="1">IF(OR(INDIRECT("'update Helper'!E"&amp;U280)="",F280&lt;&gt;0,F281&lt;&gt;0),IF(IFERROR((F280/F281),"")="","",(F280/F281)),INDIRECT("'update Helper'!E"&amp;U280)/100)</f>
        <v/>
      </c>
      <c r="H280" s="784"/>
      <c r="I280" s="798"/>
      <c r="J280" s="777"/>
      <c r="K280" s="795" t="str">
        <f ca="1">W280</f>
        <v/>
      </c>
      <c r="L280" s="795" t="str">
        <f ca="1">V280</f>
        <v/>
      </c>
      <c r="M280" s="777"/>
      <c r="N280" s="777"/>
      <c r="P280" s="89">
        <f ca="1">IF(AND(EXACT(C280,C278),C278&lt;&gt;0),P278+1,0)</f>
        <v>95</v>
      </c>
      <c r="Q280" s="89" t="str">
        <f ca="1">IF(C280&lt;&gt;"",C280&amp;"-"&amp;P280,"")</f>
        <v/>
      </c>
      <c r="R280" s="89" t="str">
        <f t="array" aca="1" ref="R280" ca="1">IFERROR(IF(INDEX('Disaggregation Records'!$E$3:$E$66,MATCH(RIGHT(Q280,255),RIGHT('Disaggregation Records'!$D$3:$D$66,255),0))="","",INDEX('Disaggregation Records'!$E$3:$E$66,MATCH(RIGHT(Q280,255),RIGHT('Disaggregation Records'!$D$3:$D$66,255),0))),"")</f>
        <v/>
      </c>
      <c r="S280" s="89" t="str">
        <f t="array" aca="1" ref="S280" ca="1">IFERROR(IF(INDEX('Disaggregation Records'!$F$3:$F$66,MATCH(RIGHT(Q280,255),RIGHT('Disaggregation Records'!$D$3:$D$66,255),0))="","",INDEX('Disaggregation Records'!$F$3:$F$66,MATCH(RIGHT(Q280,255),RIGHT('Disaggregation Records'!$D$3:$D$66,255),0))),"")</f>
        <v/>
      </c>
      <c r="T280" s="89" t="str">
        <f t="array" aca="1" ref="T280" ca="1">IFERROR(IF(INDEX('Disaggregation Records'!$H$3:$H$66,MATCH(RIGHT(Q280,255),RIGHT('Disaggregation Records'!$D$3:$D$66,255),0))="","",INDEX('Disaggregation Records'!$H$3:$H$66,MATCH(RIGHT(Q280,255),RIGHT('Disaggregation Records'!$D$3:$D$66,255),0))),"")</f>
        <v/>
      </c>
      <c r="U280" s="89">
        <f>U278+1</f>
        <v>1326</v>
      </c>
      <c r="V280" s="89" t="str">
        <f t="array" aca="1" ref="V280" ca="1">IFERROR(IF(INDEX('Disaggregation Records'!$I$3:$I$66,MATCH(RIGHT(Q280,255),RIGHT('Disaggregation Records'!$D$3:$D$66,255),0))="","",INDEX('Disaggregation Records'!$I$3:$I$66,MATCH(RIGHT(Q280,255),RIGHT('Disaggregation Records'!$D$3:$D$66,255),0))),"")</f>
        <v/>
      </c>
      <c r="W280" s="89" t="str">
        <f ca="1">IFERROR(INDEX('Reference Records'!O$3:O$19,MATCH(LEFT(C280,255),'Reference Records'!J$3:J$19,0)),"")</f>
        <v/>
      </c>
    </row>
    <row r="281" spans="1:23" s="89" customFormat="1" ht="40.35" customHeight="1">
      <c r="A281" s="564"/>
      <c r="B281" s="799">
        <v>10.3721804511278</v>
      </c>
      <c r="C281" s="800"/>
      <c r="D281" s="801"/>
      <c r="E281" s="801"/>
      <c r="F281" s="128"/>
      <c r="G281" s="802"/>
      <c r="H281" s="781"/>
      <c r="I281" s="803"/>
      <c r="J281" s="779"/>
      <c r="K281" s="800"/>
      <c r="L281" s="800"/>
      <c r="M281" s="779"/>
      <c r="N281" s="779"/>
      <c r="P281" s="125"/>
      <c r="Q281" s="125"/>
      <c r="R281" s="125"/>
      <c r="S281" s="125"/>
      <c r="T281" s="125"/>
      <c r="U281" s="125"/>
      <c r="V281" s="125"/>
      <c r="W281" s="125"/>
    </row>
    <row r="282" spans="1:23" s="89" customFormat="1" ht="40.35" customHeight="1">
      <c r="A282" s="564" t="str">
        <f t="shared" ca="1" si="4"/>
        <v>a1G3p000005dHcHEAU</v>
      </c>
      <c r="B282" s="794">
        <v>14</v>
      </c>
      <c r="C282" s="795" t="str">
        <f ca="1">IFERROR(VLOOKUP(B282,'Impact Indicators - Section B '!$A$9:$AF$52,32,FALSE),"")</f>
        <v/>
      </c>
      <c r="D282" s="796" t="str">
        <f ca="1">R282</f>
        <v/>
      </c>
      <c r="E282" s="796" t="str">
        <f ca="1">S282</f>
        <v/>
      </c>
      <c r="F282" s="127"/>
      <c r="G282" s="797" t="str">
        <f ca="1">IF(OR(INDIRECT("'update Helper'!E"&amp;U282)="",F282&lt;&gt;0,F283&lt;&gt;0),IF(IFERROR((F282/F283),"")="","",(F282/F283)),INDIRECT("'update Helper'!E"&amp;U282)/100)</f>
        <v/>
      </c>
      <c r="H282" s="784"/>
      <c r="I282" s="798"/>
      <c r="J282" s="777"/>
      <c r="K282" s="795" t="str">
        <f ca="1">W282</f>
        <v/>
      </c>
      <c r="L282" s="795" t="str">
        <f ca="1">V282</f>
        <v/>
      </c>
      <c r="M282" s="777"/>
      <c r="N282" s="777"/>
      <c r="P282" s="89">
        <f ca="1">IF(AND(EXACT(C282,C280),C280&lt;&gt;0),P280+1,0)</f>
        <v>96</v>
      </c>
      <c r="Q282" s="89" t="str">
        <f ca="1">IF(C282&lt;&gt;"",C282&amp;"-"&amp;P282,"")</f>
        <v/>
      </c>
      <c r="R282" s="89" t="str">
        <f t="array" aca="1" ref="R282" ca="1">IFERROR(IF(INDEX('Disaggregation Records'!$E$3:$E$66,MATCH(RIGHT(Q282,255),RIGHT('Disaggregation Records'!$D$3:$D$66,255),0))="","",INDEX('Disaggregation Records'!$E$3:$E$66,MATCH(RIGHT(Q282,255),RIGHT('Disaggregation Records'!$D$3:$D$66,255),0))),"")</f>
        <v/>
      </c>
      <c r="S282" s="89" t="str">
        <f t="array" aca="1" ref="S282" ca="1">IFERROR(IF(INDEX('Disaggregation Records'!$F$3:$F$66,MATCH(RIGHT(Q282,255),RIGHT('Disaggregation Records'!$D$3:$D$66,255),0))="","",INDEX('Disaggregation Records'!$F$3:$F$66,MATCH(RIGHT(Q282,255),RIGHT('Disaggregation Records'!$D$3:$D$66,255),0))),"")</f>
        <v/>
      </c>
      <c r="T282" s="89" t="str">
        <f t="array" aca="1" ref="T282" ca="1">IFERROR(IF(INDEX('Disaggregation Records'!$H$3:$H$66,MATCH(RIGHT(Q282,255),RIGHT('Disaggregation Records'!$D$3:$D$66,255),0))="","",INDEX('Disaggregation Records'!$H$3:$H$66,MATCH(RIGHT(Q282,255),RIGHT('Disaggregation Records'!$D$3:$D$66,255),0))),"")</f>
        <v/>
      </c>
      <c r="U282" s="89">
        <f>U280+1</f>
        <v>1327</v>
      </c>
      <c r="V282" s="89" t="str">
        <f t="array" aca="1" ref="V282" ca="1">IFERROR(IF(INDEX('Disaggregation Records'!$I$3:$I$66,MATCH(RIGHT(Q282,255),RIGHT('Disaggregation Records'!$D$3:$D$66,255),0))="","",INDEX('Disaggregation Records'!$I$3:$I$66,MATCH(RIGHT(Q282,255),RIGHT('Disaggregation Records'!$D$3:$D$66,255),0))),"")</f>
        <v/>
      </c>
      <c r="W282" s="89" t="str">
        <f ca="1">IFERROR(INDEX('Reference Records'!O$3:O$19,MATCH(LEFT(C282,255),'Reference Records'!J$3:J$19,0)),"")</f>
        <v/>
      </c>
    </row>
    <row r="283" spans="1:23" s="89" customFormat="1" ht="40.35" customHeight="1">
      <c r="A283" s="564"/>
      <c r="B283" s="799">
        <v>10.3721804511278</v>
      </c>
      <c r="C283" s="800"/>
      <c r="D283" s="801"/>
      <c r="E283" s="801"/>
      <c r="F283" s="128"/>
      <c r="G283" s="802"/>
      <c r="H283" s="781"/>
      <c r="I283" s="803"/>
      <c r="J283" s="779"/>
      <c r="K283" s="800"/>
      <c r="L283" s="800"/>
      <c r="M283" s="779"/>
      <c r="N283" s="779"/>
      <c r="P283" s="125"/>
      <c r="Q283" s="125"/>
      <c r="R283" s="125"/>
      <c r="S283" s="125"/>
      <c r="T283" s="125"/>
      <c r="U283" s="125"/>
      <c r="V283" s="125"/>
      <c r="W283" s="125"/>
    </row>
    <row r="284" spans="1:23" s="89" customFormat="1" ht="40.35" customHeight="1">
      <c r="A284" s="564" t="str">
        <f t="shared" ca="1" si="4"/>
        <v>a1G3p000005dHcIEAU</v>
      </c>
      <c r="B284" s="794">
        <v>14</v>
      </c>
      <c r="C284" s="795" t="str">
        <f ca="1">IFERROR(VLOOKUP(B284,'Impact Indicators - Section B '!$A$9:$AF$52,32,FALSE),"")</f>
        <v/>
      </c>
      <c r="D284" s="796" t="str">
        <f ca="1">R284</f>
        <v/>
      </c>
      <c r="E284" s="796" t="str">
        <f ca="1">S284</f>
        <v/>
      </c>
      <c r="F284" s="127"/>
      <c r="G284" s="797" t="str">
        <f ca="1">IF(OR(INDIRECT("'update Helper'!E"&amp;U284)="",F284&lt;&gt;0,F285&lt;&gt;0),IF(IFERROR((F284/F285),"")="","",(F284/F285)),INDIRECT("'update Helper'!E"&amp;U284)/100)</f>
        <v/>
      </c>
      <c r="H284" s="784"/>
      <c r="I284" s="798"/>
      <c r="J284" s="777"/>
      <c r="K284" s="795" t="str">
        <f ca="1">W284</f>
        <v/>
      </c>
      <c r="L284" s="795" t="str">
        <f ca="1">V284</f>
        <v/>
      </c>
      <c r="M284" s="777"/>
      <c r="N284" s="777"/>
      <c r="P284" s="89">
        <f ca="1">IF(AND(EXACT(C284,C282),C282&lt;&gt;0),P282+1,0)</f>
        <v>97</v>
      </c>
      <c r="Q284" s="89" t="str">
        <f ca="1">IF(C284&lt;&gt;"",C284&amp;"-"&amp;P284,"")</f>
        <v/>
      </c>
      <c r="R284" s="89" t="str">
        <f t="array" aca="1" ref="R284" ca="1">IFERROR(IF(INDEX('Disaggregation Records'!$E$3:$E$66,MATCH(RIGHT(Q284,255),RIGHT('Disaggregation Records'!$D$3:$D$66,255),0))="","",INDEX('Disaggregation Records'!$E$3:$E$66,MATCH(RIGHT(Q284,255),RIGHT('Disaggregation Records'!$D$3:$D$66,255),0))),"")</f>
        <v/>
      </c>
      <c r="S284" s="89" t="str">
        <f t="array" aca="1" ref="S284" ca="1">IFERROR(IF(INDEX('Disaggregation Records'!$F$3:$F$66,MATCH(RIGHT(Q284,255),RIGHT('Disaggregation Records'!$D$3:$D$66,255),0))="","",INDEX('Disaggregation Records'!$F$3:$F$66,MATCH(RIGHT(Q284,255),RIGHT('Disaggregation Records'!$D$3:$D$66,255),0))),"")</f>
        <v/>
      </c>
      <c r="T284" s="89" t="str">
        <f t="array" aca="1" ref="T284" ca="1">IFERROR(IF(INDEX('Disaggregation Records'!$H$3:$H$66,MATCH(RIGHT(Q284,255),RIGHT('Disaggregation Records'!$D$3:$D$66,255),0))="","",INDEX('Disaggregation Records'!$H$3:$H$66,MATCH(RIGHT(Q284,255),RIGHT('Disaggregation Records'!$D$3:$D$66,255),0))),"")</f>
        <v/>
      </c>
      <c r="U284" s="89">
        <f>U282+1</f>
        <v>1328</v>
      </c>
      <c r="V284" s="89" t="str">
        <f t="array" aca="1" ref="V284" ca="1">IFERROR(IF(INDEX('Disaggregation Records'!$I$3:$I$66,MATCH(RIGHT(Q284,255),RIGHT('Disaggregation Records'!$D$3:$D$66,255),0))="","",INDEX('Disaggregation Records'!$I$3:$I$66,MATCH(RIGHT(Q284,255),RIGHT('Disaggregation Records'!$D$3:$D$66,255),0))),"")</f>
        <v/>
      </c>
      <c r="W284" s="89" t="str">
        <f ca="1">IFERROR(INDEX('Reference Records'!O$3:O$19,MATCH(LEFT(C284,255),'Reference Records'!J$3:J$19,0)),"")</f>
        <v/>
      </c>
    </row>
    <row r="285" spans="1:23" s="89" customFormat="1" ht="40.35" customHeight="1">
      <c r="A285" s="564"/>
      <c r="B285" s="799">
        <v>10.3721804511278</v>
      </c>
      <c r="C285" s="800"/>
      <c r="D285" s="801"/>
      <c r="E285" s="801"/>
      <c r="F285" s="128"/>
      <c r="G285" s="802"/>
      <c r="H285" s="781"/>
      <c r="I285" s="803"/>
      <c r="J285" s="779"/>
      <c r="K285" s="800"/>
      <c r="L285" s="800"/>
      <c r="M285" s="779"/>
      <c r="N285" s="779"/>
      <c r="P285" s="125"/>
      <c r="Q285" s="125"/>
      <c r="R285" s="125"/>
      <c r="S285" s="125"/>
      <c r="T285" s="125"/>
      <c r="U285" s="125"/>
      <c r="V285" s="125"/>
      <c r="W285" s="125"/>
    </row>
    <row r="286" spans="1:23" s="89" customFormat="1" ht="40.35" customHeight="1">
      <c r="A286" s="564" t="str">
        <f t="shared" ca="1" si="4"/>
        <v>a1G3p000005dHcJEAU</v>
      </c>
      <c r="B286" s="794">
        <v>14</v>
      </c>
      <c r="C286" s="795" t="str">
        <f ca="1">IFERROR(VLOOKUP(B286,'Impact Indicators - Section B '!$A$9:$AF$52,32,FALSE),"")</f>
        <v/>
      </c>
      <c r="D286" s="796" t="str">
        <f ca="1">R286</f>
        <v/>
      </c>
      <c r="E286" s="796" t="str">
        <f ca="1">S286</f>
        <v/>
      </c>
      <c r="F286" s="127"/>
      <c r="G286" s="797" t="str">
        <f ca="1">IF(OR(INDIRECT("'update Helper'!E"&amp;U286)="",F286&lt;&gt;0,F287&lt;&gt;0),IF(IFERROR((F286/F287),"")="","",(F286/F287)),INDIRECT("'update Helper'!E"&amp;U286)/100)</f>
        <v/>
      </c>
      <c r="H286" s="784"/>
      <c r="I286" s="798"/>
      <c r="J286" s="777"/>
      <c r="K286" s="795" t="str">
        <f ca="1">W286</f>
        <v/>
      </c>
      <c r="L286" s="795" t="str">
        <f ca="1">V286</f>
        <v/>
      </c>
      <c r="M286" s="777"/>
      <c r="N286" s="777"/>
      <c r="P286" s="89">
        <f ca="1">IF(AND(EXACT(C286,C284),C284&lt;&gt;0),P284+1,0)</f>
        <v>98</v>
      </c>
      <c r="Q286" s="89" t="str">
        <f ca="1">IF(C286&lt;&gt;"",C286&amp;"-"&amp;P286,"")</f>
        <v/>
      </c>
      <c r="R286" s="89" t="str">
        <f t="array" aca="1" ref="R286" ca="1">IFERROR(IF(INDEX('Disaggregation Records'!$E$3:$E$66,MATCH(RIGHT(Q286,255),RIGHT('Disaggregation Records'!$D$3:$D$66,255),0))="","",INDEX('Disaggregation Records'!$E$3:$E$66,MATCH(RIGHT(Q286,255),RIGHT('Disaggregation Records'!$D$3:$D$66,255),0))),"")</f>
        <v/>
      </c>
      <c r="S286" s="89" t="str">
        <f t="array" aca="1" ref="S286" ca="1">IFERROR(IF(INDEX('Disaggregation Records'!$F$3:$F$66,MATCH(RIGHT(Q286,255),RIGHT('Disaggregation Records'!$D$3:$D$66,255),0))="","",INDEX('Disaggregation Records'!$F$3:$F$66,MATCH(RIGHT(Q286,255),RIGHT('Disaggregation Records'!$D$3:$D$66,255),0))),"")</f>
        <v/>
      </c>
      <c r="T286" s="89" t="str">
        <f t="array" aca="1" ref="T286" ca="1">IFERROR(IF(INDEX('Disaggregation Records'!$H$3:$H$66,MATCH(RIGHT(Q286,255),RIGHT('Disaggregation Records'!$D$3:$D$66,255),0))="","",INDEX('Disaggregation Records'!$H$3:$H$66,MATCH(RIGHT(Q286,255),RIGHT('Disaggregation Records'!$D$3:$D$66,255),0))),"")</f>
        <v/>
      </c>
      <c r="U286" s="89">
        <f>U284+1</f>
        <v>1329</v>
      </c>
      <c r="V286" s="89" t="str">
        <f t="array" aca="1" ref="V286" ca="1">IFERROR(IF(INDEX('Disaggregation Records'!$I$3:$I$66,MATCH(RIGHT(Q286,255),RIGHT('Disaggregation Records'!$D$3:$D$66,255),0))="","",INDEX('Disaggregation Records'!$I$3:$I$66,MATCH(RIGHT(Q286,255),RIGHT('Disaggregation Records'!$D$3:$D$66,255),0))),"")</f>
        <v/>
      </c>
      <c r="W286" s="89" t="str">
        <f ca="1">IFERROR(INDEX('Reference Records'!O$3:O$19,MATCH(LEFT(C286,255),'Reference Records'!J$3:J$19,0)),"")</f>
        <v/>
      </c>
    </row>
    <row r="287" spans="1:23" s="89" customFormat="1" ht="40.35" customHeight="1">
      <c r="A287" s="564"/>
      <c r="B287" s="799">
        <v>10.3721804511278</v>
      </c>
      <c r="C287" s="800"/>
      <c r="D287" s="801"/>
      <c r="E287" s="801"/>
      <c r="F287" s="128"/>
      <c r="G287" s="802"/>
      <c r="H287" s="781"/>
      <c r="I287" s="803"/>
      <c r="J287" s="779"/>
      <c r="K287" s="800"/>
      <c r="L287" s="800"/>
      <c r="M287" s="779"/>
      <c r="N287" s="779"/>
      <c r="P287" s="125"/>
      <c r="Q287" s="125"/>
      <c r="R287" s="125"/>
      <c r="S287" s="125"/>
      <c r="T287" s="125"/>
      <c r="U287" s="125"/>
      <c r="V287" s="125"/>
      <c r="W287" s="125"/>
    </row>
    <row r="288" spans="1:23" s="89" customFormat="1" ht="40.35" customHeight="1">
      <c r="A288" s="564" t="str">
        <f t="shared" ca="1" si="4"/>
        <v>a1G3p000005dHcKEAU</v>
      </c>
      <c r="B288" s="794">
        <v>14</v>
      </c>
      <c r="C288" s="795" t="str">
        <f ca="1">IFERROR(VLOOKUP(B288,'Impact Indicators - Section B '!$A$9:$AF$52,32,FALSE),"")</f>
        <v/>
      </c>
      <c r="D288" s="796" t="str">
        <f ca="1">R288</f>
        <v/>
      </c>
      <c r="E288" s="796" t="str">
        <f ca="1">S288</f>
        <v/>
      </c>
      <c r="F288" s="127"/>
      <c r="G288" s="797" t="str">
        <f ca="1">IF(OR(INDIRECT("'update Helper'!E"&amp;U288)="",F288&lt;&gt;0,F289&lt;&gt;0),IF(IFERROR((F288/F289),"")="","",(F288/F289)),INDIRECT("'update Helper'!E"&amp;U288)/100)</f>
        <v/>
      </c>
      <c r="H288" s="784"/>
      <c r="I288" s="798"/>
      <c r="J288" s="777"/>
      <c r="K288" s="795" t="str">
        <f ca="1">W288</f>
        <v/>
      </c>
      <c r="L288" s="795" t="str">
        <f ca="1">V288</f>
        <v/>
      </c>
      <c r="M288" s="777"/>
      <c r="N288" s="777"/>
      <c r="P288" s="89">
        <f ca="1">IF(AND(EXACT(C288,C286),C286&lt;&gt;0),P286+1,0)</f>
        <v>99</v>
      </c>
      <c r="Q288" s="89" t="str">
        <f ca="1">IF(C288&lt;&gt;"",C288&amp;"-"&amp;P288,"")</f>
        <v/>
      </c>
      <c r="R288" s="89" t="str">
        <f t="array" aca="1" ref="R288" ca="1">IFERROR(IF(INDEX('Disaggregation Records'!$E$3:$E$66,MATCH(RIGHT(Q288,255),RIGHT('Disaggregation Records'!$D$3:$D$66,255),0))="","",INDEX('Disaggregation Records'!$E$3:$E$66,MATCH(RIGHT(Q288,255),RIGHT('Disaggregation Records'!$D$3:$D$66,255),0))),"")</f>
        <v/>
      </c>
      <c r="S288" s="89" t="str">
        <f t="array" aca="1" ref="S288" ca="1">IFERROR(IF(INDEX('Disaggregation Records'!$F$3:$F$66,MATCH(RIGHT(Q288,255),RIGHT('Disaggregation Records'!$D$3:$D$66,255),0))="","",INDEX('Disaggregation Records'!$F$3:$F$66,MATCH(RIGHT(Q288,255),RIGHT('Disaggregation Records'!$D$3:$D$66,255),0))),"")</f>
        <v/>
      </c>
      <c r="T288" s="89" t="str">
        <f t="array" aca="1" ref="T288" ca="1">IFERROR(IF(INDEX('Disaggregation Records'!$H$3:$H$66,MATCH(RIGHT(Q288,255),RIGHT('Disaggregation Records'!$D$3:$D$66,255),0))="","",INDEX('Disaggregation Records'!$H$3:$H$66,MATCH(RIGHT(Q288,255),RIGHT('Disaggregation Records'!$D$3:$D$66,255),0))),"")</f>
        <v/>
      </c>
      <c r="U288" s="89">
        <f>U286+1</f>
        <v>1330</v>
      </c>
      <c r="V288" s="89" t="str">
        <f t="array" aca="1" ref="V288" ca="1">IFERROR(IF(INDEX('Disaggregation Records'!$I$3:$I$66,MATCH(RIGHT(Q288,255),RIGHT('Disaggregation Records'!$D$3:$D$66,255),0))="","",INDEX('Disaggregation Records'!$I$3:$I$66,MATCH(RIGHT(Q288,255),RIGHT('Disaggregation Records'!$D$3:$D$66,255),0))),"")</f>
        <v/>
      </c>
      <c r="W288" s="89" t="str">
        <f ca="1">IFERROR(INDEX('Reference Records'!O$3:O$19,MATCH(LEFT(C288,255),'Reference Records'!J$3:J$19,0)),"")</f>
        <v/>
      </c>
    </row>
    <row r="289" spans="1:23" s="89" customFormat="1" ht="40.35" customHeight="1">
      <c r="A289" s="564"/>
      <c r="B289" s="799">
        <v>10.3721804511278</v>
      </c>
      <c r="C289" s="800"/>
      <c r="D289" s="801"/>
      <c r="E289" s="801"/>
      <c r="F289" s="128"/>
      <c r="G289" s="802"/>
      <c r="H289" s="781"/>
      <c r="I289" s="803"/>
      <c r="J289" s="779"/>
      <c r="K289" s="800"/>
      <c r="L289" s="800"/>
      <c r="M289" s="779"/>
      <c r="N289" s="779"/>
      <c r="P289" s="125"/>
      <c r="Q289" s="125"/>
      <c r="R289" s="125"/>
      <c r="S289" s="125"/>
      <c r="T289" s="125"/>
      <c r="U289" s="125"/>
      <c r="V289" s="125"/>
      <c r="W289" s="125"/>
    </row>
    <row r="290" spans="1:23" s="89" customFormat="1" ht="40.35" customHeight="1">
      <c r="A290" s="564" t="str">
        <f t="shared" ca="1" si="4"/>
        <v>a1G3p000005dHcLEAU</v>
      </c>
      <c r="B290" s="794">
        <v>15</v>
      </c>
      <c r="C290" s="795" t="str">
        <f ca="1">IFERROR(VLOOKUP(B290,'Impact Indicators - Section B '!$A$9:$AF$52,32,FALSE),"")</f>
        <v/>
      </c>
      <c r="D290" s="796" t="str">
        <f ca="1">R290</f>
        <v/>
      </c>
      <c r="E290" s="796" t="str">
        <f ca="1">S290</f>
        <v/>
      </c>
      <c r="F290" s="127"/>
      <c r="G290" s="797" t="str">
        <f ca="1">IF(OR(INDIRECT("'update Helper'!E"&amp;U290)="",F290&lt;&gt;0,F291&lt;&gt;0),IF(IFERROR((F290/F291),"")="","",(F290/F291)),INDIRECT("'update Helper'!E"&amp;U290)/100)</f>
        <v/>
      </c>
      <c r="H290" s="784"/>
      <c r="I290" s="798"/>
      <c r="J290" s="777"/>
      <c r="K290" s="795" t="str">
        <f ca="1">W290</f>
        <v/>
      </c>
      <c r="L290" s="795" t="str">
        <f ca="1">V290</f>
        <v/>
      </c>
      <c r="M290" s="777"/>
      <c r="N290" s="777"/>
      <c r="P290" s="89">
        <f ca="1">IF(AND(EXACT(C290,C288),C288&lt;&gt;0),P288+1,0)</f>
        <v>100</v>
      </c>
      <c r="Q290" s="89" t="str">
        <f ca="1">IF(C290&lt;&gt;"",C290&amp;"-"&amp;P290,"")</f>
        <v/>
      </c>
      <c r="R290" s="89" t="str">
        <f t="array" aca="1" ref="R290" ca="1">IFERROR(IF(INDEX('Disaggregation Records'!$E$3:$E$66,MATCH(RIGHT(Q290,255),RIGHT('Disaggregation Records'!$D$3:$D$66,255),0))="","",INDEX('Disaggregation Records'!$E$3:$E$66,MATCH(RIGHT(Q290,255),RIGHT('Disaggregation Records'!$D$3:$D$66,255),0))),"")</f>
        <v/>
      </c>
      <c r="S290" s="89" t="str">
        <f t="array" aca="1" ref="S290" ca="1">IFERROR(IF(INDEX('Disaggregation Records'!$F$3:$F$66,MATCH(RIGHT(Q290,255),RIGHT('Disaggregation Records'!$D$3:$D$66,255),0))="","",INDEX('Disaggregation Records'!$F$3:$F$66,MATCH(RIGHT(Q290,255),RIGHT('Disaggregation Records'!$D$3:$D$66,255),0))),"")</f>
        <v/>
      </c>
      <c r="T290" s="89" t="str">
        <f t="array" aca="1" ref="T290" ca="1">IFERROR(IF(INDEX('Disaggregation Records'!$H$3:$H$66,MATCH(RIGHT(Q290,255),RIGHT('Disaggregation Records'!$D$3:$D$66,255),0))="","",INDEX('Disaggregation Records'!$H$3:$H$66,MATCH(RIGHT(Q290,255),RIGHT('Disaggregation Records'!$D$3:$D$66,255),0))),"")</f>
        <v/>
      </c>
      <c r="U290" s="89">
        <f>U288+1</f>
        <v>1331</v>
      </c>
      <c r="V290" s="89" t="str">
        <f t="array" aca="1" ref="V290" ca="1">IFERROR(IF(INDEX('Disaggregation Records'!$I$3:$I$66,MATCH(RIGHT(Q290,255),RIGHT('Disaggregation Records'!$D$3:$D$66,255),0))="","",INDEX('Disaggregation Records'!$I$3:$I$66,MATCH(RIGHT(Q290,255),RIGHT('Disaggregation Records'!$D$3:$D$66,255),0))),"")</f>
        <v/>
      </c>
      <c r="W290" s="89" t="str">
        <f ca="1">IFERROR(INDEX('Reference Records'!O$3:O$19,MATCH(LEFT(C290,255),'Reference Records'!J$3:J$19,0)),"")</f>
        <v/>
      </c>
    </row>
    <row r="291" spans="1:23" s="89" customFormat="1" ht="40.35" customHeight="1">
      <c r="A291" s="564"/>
      <c r="B291" s="799"/>
      <c r="C291" s="800"/>
      <c r="D291" s="801"/>
      <c r="E291" s="801"/>
      <c r="F291" s="128"/>
      <c r="G291" s="802"/>
      <c r="H291" s="781"/>
      <c r="I291" s="803"/>
      <c r="J291" s="779"/>
      <c r="K291" s="800"/>
      <c r="L291" s="800"/>
      <c r="M291" s="779"/>
      <c r="N291" s="779"/>
      <c r="P291" s="125"/>
      <c r="Q291" s="125"/>
      <c r="R291" s="125"/>
      <c r="S291" s="125"/>
      <c r="T291" s="125"/>
      <c r="U291" s="125"/>
      <c r="V291" s="125"/>
      <c r="W291" s="125"/>
    </row>
    <row r="292" spans="1:23" s="89" customFormat="1" ht="40.35" customHeight="1">
      <c r="A292" s="564" t="str">
        <f t="shared" ca="1" si="4"/>
        <v>a1G3p000005dHcMEAU</v>
      </c>
      <c r="B292" s="794">
        <v>15</v>
      </c>
      <c r="C292" s="795" t="str">
        <f ca="1">IFERROR(VLOOKUP(B292,'Impact Indicators - Section B '!$A$9:$AF$52,32,FALSE),"")</f>
        <v/>
      </c>
      <c r="D292" s="796" t="str">
        <f ca="1">R292</f>
        <v/>
      </c>
      <c r="E292" s="796" t="str">
        <f ca="1">S292</f>
        <v/>
      </c>
      <c r="F292" s="127"/>
      <c r="G292" s="797" t="str">
        <f ca="1">IF(OR(INDIRECT("'update Helper'!E"&amp;U292)="",F292&lt;&gt;0,F293&lt;&gt;0),IF(IFERROR((F292/F293),"")="","",(F292/F293)),INDIRECT("'update Helper'!E"&amp;U292)/100)</f>
        <v/>
      </c>
      <c r="H292" s="784"/>
      <c r="I292" s="798"/>
      <c r="J292" s="777"/>
      <c r="K292" s="795" t="str">
        <f ca="1">W292</f>
        <v/>
      </c>
      <c r="L292" s="795" t="str">
        <f ca="1">V292</f>
        <v/>
      </c>
      <c r="M292" s="777"/>
      <c r="N292" s="777"/>
      <c r="P292" s="89">
        <f ca="1">IF(AND(EXACT(C292,C290),C290&lt;&gt;0),P290+1,0)</f>
        <v>101</v>
      </c>
      <c r="Q292" s="89" t="str">
        <f ca="1">IF(C292&lt;&gt;"",C292&amp;"-"&amp;P292,"")</f>
        <v/>
      </c>
      <c r="R292" s="89" t="str">
        <f t="array" aca="1" ref="R292" ca="1">IFERROR(IF(INDEX('Disaggregation Records'!$E$3:$E$66,MATCH(RIGHT(Q292,255),RIGHT('Disaggregation Records'!$D$3:$D$66,255),0))="","",INDEX('Disaggregation Records'!$E$3:$E$66,MATCH(RIGHT(Q292,255),RIGHT('Disaggregation Records'!$D$3:$D$66,255),0))),"")</f>
        <v/>
      </c>
      <c r="S292" s="89" t="str">
        <f t="array" aca="1" ref="S292" ca="1">IFERROR(IF(INDEX('Disaggregation Records'!$F$3:$F$66,MATCH(RIGHT(Q292,255),RIGHT('Disaggregation Records'!$D$3:$D$66,255),0))="","",INDEX('Disaggregation Records'!$F$3:$F$66,MATCH(RIGHT(Q292,255),RIGHT('Disaggregation Records'!$D$3:$D$66,255),0))),"")</f>
        <v/>
      </c>
      <c r="T292" s="89" t="str">
        <f t="array" aca="1" ref="T292" ca="1">IFERROR(IF(INDEX('Disaggregation Records'!$H$3:$H$66,MATCH(RIGHT(Q292,255),RIGHT('Disaggregation Records'!$D$3:$D$66,255),0))="","",INDEX('Disaggregation Records'!$H$3:$H$66,MATCH(RIGHT(Q292,255),RIGHT('Disaggregation Records'!$D$3:$D$66,255),0))),"")</f>
        <v/>
      </c>
      <c r="U292" s="89">
        <f>U290+1</f>
        <v>1332</v>
      </c>
      <c r="V292" s="89" t="str">
        <f t="array" aca="1" ref="V292" ca="1">IFERROR(IF(INDEX('Disaggregation Records'!$I$3:$I$66,MATCH(RIGHT(Q292,255),RIGHT('Disaggregation Records'!$D$3:$D$66,255),0))="","",INDEX('Disaggregation Records'!$I$3:$I$66,MATCH(RIGHT(Q292,255),RIGHT('Disaggregation Records'!$D$3:$D$66,255),0))),"")</f>
        <v/>
      </c>
      <c r="W292" s="89" t="str">
        <f ca="1">IFERROR(INDEX('Reference Records'!O$3:O$19,MATCH(LEFT(C292,255),'Reference Records'!J$3:J$19,0)),"")</f>
        <v/>
      </c>
    </row>
    <row r="293" spans="1:23" s="89" customFormat="1" ht="40.35" customHeight="1">
      <c r="A293" s="564"/>
      <c r="B293" s="799"/>
      <c r="C293" s="800"/>
      <c r="D293" s="801"/>
      <c r="E293" s="801"/>
      <c r="F293" s="128"/>
      <c r="G293" s="802"/>
      <c r="H293" s="781"/>
      <c r="I293" s="803"/>
      <c r="J293" s="779"/>
      <c r="K293" s="800"/>
      <c r="L293" s="800"/>
      <c r="M293" s="779"/>
      <c r="N293" s="779"/>
      <c r="P293" s="125"/>
      <c r="Q293" s="125"/>
      <c r="R293" s="125"/>
      <c r="S293" s="125"/>
      <c r="T293" s="125"/>
      <c r="U293" s="125"/>
      <c r="V293" s="125"/>
      <c r="W293" s="125"/>
    </row>
    <row r="294" spans="1:23" s="89" customFormat="1" ht="40.35" customHeight="1">
      <c r="A294" s="564" t="str">
        <f t="shared" ca="1" si="4"/>
        <v>a1G3p000005dHcNEAU</v>
      </c>
      <c r="B294" s="794">
        <v>15</v>
      </c>
      <c r="C294" s="795" t="str">
        <f ca="1">IFERROR(VLOOKUP(B294,'Impact Indicators - Section B '!$A$9:$AF$52,32,FALSE),"")</f>
        <v/>
      </c>
      <c r="D294" s="796" t="str">
        <f ca="1">R294</f>
        <v/>
      </c>
      <c r="E294" s="796" t="str">
        <f ca="1">S294</f>
        <v/>
      </c>
      <c r="F294" s="127"/>
      <c r="G294" s="797" t="str">
        <f ca="1">IF(OR(INDIRECT("'update Helper'!E"&amp;U294)="",F294&lt;&gt;0,F295&lt;&gt;0),IF(IFERROR((F294/F295),"")="","",(F294/F295)),INDIRECT("'update Helper'!E"&amp;U294)/100)</f>
        <v/>
      </c>
      <c r="H294" s="784"/>
      <c r="I294" s="798"/>
      <c r="J294" s="777"/>
      <c r="K294" s="795" t="str">
        <f ca="1">W294</f>
        <v/>
      </c>
      <c r="L294" s="795" t="str">
        <f ca="1">V294</f>
        <v/>
      </c>
      <c r="M294" s="777"/>
      <c r="N294" s="777"/>
      <c r="P294" s="89">
        <f ca="1">IF(AND(EXACT(C294,C292),C292&lt;&gt;0),P292+1,0)</f>
        <v>102</v>
      </c>
      <c r="Q294" s="89" t="str">
        <f ca="1">IF(C294&lt;&gt;"",C294&amp;"-"&amp;P294,"")</f>
        <v/>
      </c>
      <c r="R294" s="89" t="str">
        <f t="array" aca="1" ref="R294" ca="1">IFERROR(IF(INDEX('Disaggregation Records'!$E$3:$E$66,MATCH(RIGHT(Q294,255),RIGHT('Disaggregation Records'!$D$3:$D$66,255),0))="","",INDEX('Disaggregation Records'!$E$3:$E$66,MATCH(RIGHT(Q294,255),RIGHT('Disaggregation Records'!$D$3:$D$66,255),0))),"")</f>
        <v/>
      </c>
      <c r="S294" s="89" t="str">
        <f t="array" aca="1" ref="S294" ca="1">IFERROR(IF(INDEX('Disaggregation Records'!$F$3:$F$66,MATCH(RIGHT(Q294,255),RIGHT('Disaggregation Records'!$D$3:$D$66,255),0))="","",INDEX('Disaggregation Records'!$F$3:$F$66,MATCH(RIGHT(Q294,255),RIGHT('Disaggregation Records'!$D$3:$D$66,255),0))),"")</f>
        <v/>
      </c>
      <c r="T294" s="89" t="str">
        <f t="array" aca="1" ref="T294" ca="1">IFERROR(IF(INDEX('Disaggregation Records'!$H$3:$H$66,MATCH(RIGHT(Q294,255),RIGHT('Disaggregation Records'!$D$3:$D$66,255),0))="","",INDEX('Disaggregation Records'!$H$3:$H$66,MATCH(RIGHT(Q294,255),RIGHT('Disaggregation Records'!$D$3:$D$66,255),0))),"")</f>
        <v/>
      </c>
      <c r="U294" s="89">
        <f>U292+1</f>
        <v>1333</v>
      </c>
      <c r="V294" s="89" t="str">
        <f t="array" aca="1" ref="V294" ca="1">IFERROR(IF(INDEX('Disaggregation Records'!$I$3:$I$66,MATCH(RIGHT(Q294,255),RIGHT('Disaggregation Records'!$D$3:$D$66,255),0))="","",INDEX('Disaggregation Records'!$I$3:$I$66,MATCH(RIGHT(Q294,255),RIGHT('Disaggregation Records'!$D$3:$D$66,255),0))),"")</f>
        <v/>
      </c>
      <c r="W294" s="89" t="str">
        <f ca="1">IFERROR(INDEX('Reference Records'!O$3:O$19,MATCH(LEFT(C294,255),'Reference Records'!J$3:J$19,0)),"")</f>
        <v/>
      </c>
    </row>
    <row r="295" spans="1:23" s="89" customFormat="1" ht="40.35" customHeight="1">
      <c r="A295" s="564"/>
      <c r="B295" s="799"/>
      <c r="C295" s="800"/>
      <c r="D295" s="801"/>
      <c r="E295" s="801"/>
      <c r="F295" s="128"/>
      <c r="G295" s="802"/>
      <c r="H295" s="781"/>
      <c r="I295" s="803"/>
      <c r="J295" s="779"/>
      <c r="K295" s="800"/>
      <c r="L295" s="800"/>
      <c r="M295" s="779"/>
      <c r="N295" s="779"/>
      <c r="P295" s="125"/>
      <c r="Q295" s="125"/>
      <c r="R295" s="125"/>
      <c r="S295" s="125"/>
      <c r="T295" s="125"/>
      <c r="U295" s="125"/>
      <c r="V295" s="125"/>
      <c r="W295" s="125"/>
    </row>
    <row r="296" spans="1:23" s="89" customFormat="1" ht="40.35" customHeight="1">
      <c r="A296" s="564" t="str">
        <f t="shared" ca="1" si="4"/>
        <v>a1G3p000005dHcOEAU</v>
      </c>
      <c r="B296" s="794">
        <v>15</v>
      </c>
      <c r="C296" s="795" t="str">
        <f ca="1">IFERROR(VLOOKUP(B296,'Impact Indicators - Section B '!$A$9:$AF$52,32,FALSE),"")</f>
        <v/>
      </c>
      <c r="D296" s="796" t="str">
        <f ca="1">R296</f>
        <v/>
      </c>
      <c r="E296" s="796" t="str">
        <f ca="1">S296</f>
        <v/>
      </c>
      <c r="F296" s="127"/>
      <c r="G296" s="797" t="str">
        <f ca="1">IF(OR(INDIRECT("'update Helper'!E"&amp;U296)="",F296&lt;&gt;0,F297&lt;&gt;0),IF(IFERROR((F296/F297),"")="","",(F296/F297)),INDIRECT("'update Helper'!E"&amp;U296)/100)</f>
        <v/>
      </c>
      <c r="H296" s="784"/>
      <c r="I296" s="798"/>
      <c r="J296" s="777"/>
      <c r="K296" s="795" t="str">
        <f ca="1">W296</f>
        <v/>
      </c>
      <c r="L296" s="795" t="str">
        <f ca="1">V296</f>
        <v/>
      </c>
      <c r="M296" s="777"/>
      <c r="N296" s="777"/>
      <c r="P296" s="89">
        <f ca="1">IF(AND(EXACT(C296,C294),C294&lt;&gt;0),P294+1,0)</f>
        <v>103</v>
      </c>
      <c r="Q296" s="89" t="str">
        <f ca="1">IF(C296&lt;&gt;"",C296&amp;"-"&amp;P296,"")</f>
        <v/>
      </c>
      <c r="R296" s="89" t="str">
        <f t="array" aca="1" ref="R296" ca="1">IFERROR(IF(INDEX('Disaggregation Records'!$E$3:$E$66,MATCH(RIGHT(Q296,255),RIGHT('Disaggregation Records'!$D$3:$D$66,255),0))="","",INDEX('Disaggregation Records'!$E$3:$E$66,MATCH(RIGHT(Q296,255),RIGHT('Disaggregation Records'!$D$3:$D$66,255),0))),"")</f>
        <v/>
      </c>
      <c r="S296" s="89" t="str">
        <f t="array" aca="1" ref="S296" ca="1">IFERROR(IF(INDEX('Disaggregation Records'!$F$3:$F$66,MATCH(RIGHT(Q296,255),RIGHT('Disaggregation Records'!$D$3:$D$66,255),0))="","",INDEX('Disaggregation Records'!$F$3:$F$66,MATCH(RIGHT(Q296,255),RIGHT('Disaggregation Records'!$D$3:$D$66,255),0))),"")</f>
        <v/>
      </c>
      <c r="T296" s="89" t="str">
        <f t="array" aca="1" ref="T296" ca="1">IFERROR(IF(INDEX('Disaggregation Records'!$H$3:$H$66,MATCH(RIGHT(Q296,255),RIGHT('Disaggregation Records'!$D$3:$D$66,255),0))="","",INDEX('Disaggregation Records'!$H$3:$H$66,MATCH(RIGHT(Q296,255),RIGHT('Disaggregation Records'!$D$3:$D$66,255),0))),"")</f>
        <v/>
      </c>
      <c r="U296" s="89">
        <f>U294+1</f>
        <v>1334</v>
      </c>
      <c r="V296" s="89" t="str">
        <f t="array" aca="1" ref="V296" ca="1">IFERROR(IF(INDEX('Disaggregation Records'!$I$3:$I$66,MATCH(RIGHT(Q296,255),RIGHT('Disaggregation Records'!$D$3:$D$66,255),0))="","",INDEX('Disaggregation Records'!$I$3:$I$66,MATCH(RIGHT(Q296,255),RIGHT('Disaggregation Records'!$D$3:$D$66,255),0))),"")</f>
        <v/>
      </c>
      <c r="W296" s="89" t="str">
        <f ca="1">IFERROR(INDEX('Reference Records'!O$3:O$19,MATCH(LEFT(C296,255),'Reference Records'!J$3:J$19,0)),"")</f>
        <v/>
      </c>
    </row>
    <row r="297" spans="1:23" s="89" customFormat="1" ht="40.35" customHeight="1">
      <c r="A297" s="564"/>
      <c r="B297" s="799"/>
      <c r="C297" s="800"/>
      <c r="D297" s="801"/>
      <c r="E297" s="801"/>
      <c r="F297" s="128"/>
      <c r="G297" s="802"/>
      <c r="H297" s="781"/>
      <c r="I297" s="803"/>
      <c r="J297" s="779"/>
      <c r="K297" s="800"/>
      <c r="L297" s="800"/>
      <c r="M297" s="779"/>
      <c r="N297" s="779"/>
      <c r="P297" s="125"/>
      <c r="Q297" s="125"/>
      <c r="R297" s="125"/>
      <c r="S297" s="125"/>
      <c r="T297" s="125"/>
      <c r="U297" s="125"/>
      <c r="V297" s="125"/>
      <c r="W297" s="125"/>
    </row>
    <row r="298" spans="1:23" s="89" customFormat="1" ht="40.35" customHeight="1">
      <c r="A298" s="564" t="str">
        <f t="shared" ca="1" si="4"/>
        <v>a1G3p000005dHcPEAU</v>
      </c>
      <c r="B298" s="794">
        <v>15</v>
      </c>
      <c r="C298" s="795" t="str">
        <f ca="1">IFERROR(VLOOKUP(B298,'Impact Indicators - Section B '!$A$9:$AF$52,32,FALSE),"")</f>
        <v/>
      </c>
      <c r="D298" s="796" t="str">
        <f ca="1">R298</f>
        <v/>
      </c>
      <c r="E298" s="796" t="str">
        <f ca="1">S298</f>
        <v/>
      </c>
      <c r="F298" s="127"/>
      <c r="G298" s="797" t="str">
        <f ca="1">IF(OR(INDIRECT("'update Helper'!E"&amp;U298)="",F298&lt;&gt;0,F299&lt;&gt;0),IF(IFERROR((F298/F299),"")="","",(F298/F299)),INDIRECT("'update Helper'!E"&amp;U298)/100)</f>
        <v/>
      </c>
      <c r="H298" s="784"/>
      <c r="I298" s="798"/>
      <c r="J298" s="777"/>
      <c r="K298" s="795" t="str">
        <f ca="1">W298</f>
        <v/>
      </c>
      <c r="L298" s="795" t="str">
        <f ca="1">V298</f>
        <v/>
      </c>
      <c r="M298" s="777"/>
      <c r="N298" s="777"/>
      <c r="P298" s="89">
        <f ca="1">IF(AND(EXACT(C298,C296),C296&lt;&gt;0),P296+1,0)</f>
        <v>104</v>
      </c>
      <c r="Q298" s="89" t="str">
        <f ca="1">IF(C298&lt;&gt;"",C298&amp;"-"&amp;P298,"")</f>
        <v/>
      </c>
      <c r="R298" s="89" t="str">
        <f t="array" aca="1" ref="R298" ca="1">IFERROR(IF(INDEX('Disaggregation Records'!$E$3:$E$66,MATCH(RIGHT(Q298,255),RIGHT('Disaggregation Records'!$D$3:$D$66,255),0))="","",INDEX('Disaggregation Records'!$E$3:$E$66,MATCH(RIGHT(Q298,255),RIGHT('Disaggregation Records'!$D$3:$D$66,255),0))),"")</f>
        <v/>
      </c>
      <c r="S298" s="89" t="str">
        <f t="array" aca="1" ref="S298" ca="1">IFERROR(IF(INDEX('Disaggregation Records'!$F$3:$F$66,MATCH(RIGHT(Q298,255),RIGHT('Disaggregation Records'!$D$3:$D$66,255),0))="","",INDEX('Disaggregation Records'!$F$3:$F$66,MATCH(RIGHT(Q298,255),RIGHT('Disaggregation Records'!$D$3:$D$66,255),0))),"")</f>
        <v/>
      </c>
      <c r="T298" s="89" t="str">
        <f t="array" aca="1" ref="T298" ca="1">IFERROR(IF(INDEX('Disaggregation Records'!$H$3:$H$66,MATCH(RIGHT(Q298,255),RIGHT('Disaggregation Records'!$D$3:$D$66,255),0))="","",INDEX('Disaggregation Records'!$H$3:$H$66,MATCH(RIGHT(Q298,255),RIGHT('Disaggregation Records'!$D$3:$D$66,255),0))),"")</f>
        <v/>
      </c>
      <c r="U298" s="89">
        <f>U296+1</f>
        <v>1335</v>
      </c>
      <c r="V298" s="89" t="str">
        <f t="array" aca="1" ref="V298" ca="1">IFERROR(IF(INDEX('Disaggregation Records'!$I$3:$I$66,MATCH(RIGHT(Q298,255),RIGHT('Disaggregation Records'!$D$3:$D$66,255),0))="","",INDEX('Disaggregation Records'!$I$3:$I$66,MATCH(RIGHT(Q298,255),RIGHT('Disaggregation Records'!$D$3:$D$66,255),0))),"")</f>
        <v/>
      </c>
      <c r="W298" s="89" t="str">
        <f ca="1">IFERROR(INDEX('Reference Records'!O$3:O$19,MATCH(LEFT(C298,255),'Reference Records'!J$3:J$19,0)),"")</f>
        <v/>
      </c>
    </row>
    <row r="299" spans="1:23" s="89" customFormat="1" ht="40.35" customHeight="1">
      <c r="A299" s="564"/>
      <c r="B299" s="799"/>
      <c r="C299" s="800"/>
      <c r="D299" s="801"/>
      <c r="E299" s="801"/>
      <c r="F299" s="128"/>
      <c r="G299" s="802"/>
      <c r="H299" s="781"/>
      <c r="I299" s="803"/>
      <c r="J299" s="779"/>
      <c r="K299" s="800"/>
      <c r="L299" s="800"/>
      <c r="M299" s="779"/>
      <c r="N299" s="779"/>
      <c r="P299" s="125"/>
      <c r="Q299" s="125"/>
      <c r="R299" s="125"/>
      <c r="S299" s="125"/>
      <c r="T299" s="125"/>
      <c r="U299" s="125"/>
      <c r="V299" s="125"/>
      <c r="W299" s="125"/>
    </row>
    <row r="300" spans="1:23" s="89" customFormat="1" ht="40.35" customHeight="1">
      <c r="A300" s="564" t="str">
        <f t="shared" ca="1" si="4"/>
        <v>a1G3p000005dHcQEAU</v>
      </c>
      <c r="B300" s="794">
        <v>15</v>
      </c>
      <c r="C300" s="795" t="str">
        <f ca="1">IFERROR(VLOOKUP(B300,'Impact Indicators - Section B '!$A$9:$AF$52,32,FALSE),"")</f>
        <v/>
      </c>
      <c r="D300" s="796" t="str">
        <f ca="1">R300</f>
        <v/>
      </c>
      <c r="E300" s="796" t="str">
        <f ca="1">S300</f>
        <v/>
      </c>
      <c r="F300" s="127"/>
      <c r="G300" s="797" t="str">
        <f ca="1">IF(OR(INDIRECT("'update Helper'!E"&amp;U300)="",F300&lt;&gt;0,F301&lt;&gt;0),IF(IFERROR((F300/F301),"")="","",(F300/F301)),INDIRECT("'update Helper'!E"&amp;U300)/100)</f>
        <v/>
      </c>
      <c r="H300" s="784"/>
      <c r="I300" s="798"/>
      <c r="J300" s="777"/>
      <c r="K300" s="795" t="str">
        <f ca="1">W300</f>
        <v/>
      </c>
      <c r="L300" s="795" t="str">
        <f ca="1">V300</f>
        <v/>
      </c>
      <c r="M300" s="777"/>
      <c r="N300" s="777"/>
      <c r="P300" s="89">
        <f ca="1">IF(AND(EXACT(C300,C298),C298&lt;&gt;0),P298+1,0)</f>
        <v>105</v>
      </c>
      <c r="Q300" s="89" t="str">
        <f ca="1">IF(C300&lt;&gt;"",C300&amp;"-"&amp;P300,"")</f>
        <v/>
      </c>
      <c r="R300" s="89" t="str">
        <f t="array" aca="1" ref="R300" ca="1">IFERROR(IF(INDEX('Disaggregation Records'!$E$3:$E$66,MATCH(RIGHT(Q300,255),RIGHT('Disaggregation Records'!$D$3:$D$66,255),0))="","",INDEX('Disaggregation Records'!$E$3:$E$66,MATCH(RIGHT(Q300,255),RIGHT('Disaggregation Records'!$D$3:$D$66,255),0))),"")</f>
        <v/>
      </c>
      <c r="S300" s="89" t="str">
        <f t="array" aca="1" ref="S300" ca="1">IFERROR(IF(INDEX('Disaggregation Records'!$F$3:$F$66,MATCH(RIGHT(Q300,255),RIGHT('Disaggregation Records'!$D$3:$D$66,255),0))="","",INDEX('Disaggregation Records'!$F$3:$F$66,MATCH(RIGHT(Q300,255),RIGHT('Disaggregation Records'!$D$3:$D$66,255),0))),"")</f>
        <v/>
      </c>
      <c r="T300" s="89" t="str">
        <f t="array" aca="1" ref="T300" ca="1">IFERROR(IF(INDEX('Disaggregation Records'!$H$3:$H$66,MATCH(RIGHT(Q300,255),RIGHT('Disaggregation Records'!$D$3:$D$66,255),0))="","",INDEX('Disaggregation Records'!$H$3:$H$66,MATCH(RIGHT(Q300,255),RIGHT('Disaggregation Records'!$D$3:$D$66,255),0))),"")</f>
        <v/>
      </c>
      <c r="U300" s="89">
        <f>U298+1</f>
        <v>1336</v>
      </c>
      <c r="V300" s="89" t="str">
        <f t="array" aca="1" ref="V300" ca="1">IFERROR(IF(INDEX('Disaggregation Records'!$I$3:$I$66,MATCH(RIGHT(Q300,255),RIGHT('Disaggregation Records'!$D$3:$D$66,255),0))="","",INDEX('Disaggregation Records'!$I$3:$I$66,MATCH(RIGHT(Q300,255),RIGHT('Disaggregation Records'!$D$3:$D$66,255),0))),"")</f>
        <v/>
      </c>
      <c r="W300" s="89" t="str">
        <f ca="1">IFERROR(INDEX('Reference Records'!O$3:O$19,MATCH(LEFT(C300,255),'Reference Records'!J$3:J$19,0)),"")</f>
        <v/>
      </c>
    </row>
    <row r="301" spans="1:23" s="89" customFormat="1" ht="40.35" customHeight="1">
      <c r="A301" s="564"/>
      <c r="B301" s="799"/>
      <c r="C301" s="800"/>
      <c r="D301" s="801"/>
      <c r="E301" s="801"/>
      <c r="F301" s="128"/>
      <c r="G301" s="802"/>
      <c r="H301" s="781"/>
      <c r="I301" s="803"/>
      <c r="J301" s="779"/>
      <c r="K301" s="800"/>
      <c r="L301" s="800"/>
      <c r="M301" s="779"/>
      <c r="N301" s="779"/>
      <c r="P301" s="125"/>
      <c r="Q301" s="125"/>
      <c r="R301" s="125"/>
      <c r="S301" s="125"/>
      <c r="T301" s="125"/>
      <c r="U301" s="125"/>
      <c r="V301" s="125"/>
      <c r="W301" s="125"/>
    </row>
    <row r="302" spans="1:23" s="89" customFormat="1" ht="40.35" customHeight="1">
      <c r="A302" s="564" t="str">
        <f t="shared" ca="1" si="4"/>
        <v>a1G3p000005dHcREAU</v>
      </c>
      <c r="B302" s="794">
        <v>15</v>
      </c>
      <c r="C302" s="795" t="str">
        <f ca="1">IFERROR(VLOOKUP(B302,'Impact Indicators - Section B '!$A$9:$AF$52,32,FALSE),"")</f>
        <v/>
      </c>
      <c r="D302" s="796" t="str">
        <f ca="1">R302</f>
        <v/>
      </c>
      <c r="E302" s="796" t="str">
        <f ca="1">S302</f>
        <v/>
      </c>
      <c r="F302" s="127"/>
      <c r="G302" s="797" t="str">
        <f ca="1">IF(OR(INDIRECT("'update Helper'!E"&amp;U302)="",F302&lt;&gt;0,F303&lt;&gt;0),IF(IFERROR((F302/F303),"")="","",(F302/F303)),INDIRECT("'update Helper'!E"&amp;U302)/100)</f>
        <v/>
      </c>
      <c r="H302" s="784"/>
      <c r="I302" s="798"/>
      <c r="J302" s="777"/>
      <c r="K302" s="795" t="str">
        <f ca="1">W302</f>
        <v/>
      </c>
      <c r="L302" s="795" t="str">
        <f ca="1">V302</f>
        <v/>
      </c>
      <c r="M302" s="777"/>
      <c r="N302" s="777"/>
      <c r="P302" s="89">
        <f ca="1">IF(AND(EXACT(C302,C300),C300&lt;&gt;0),P300+1,0)</f>
        <v>106</v>
      </c>
      <c r="Q302" s="89" t="str">
        <f ca="1">IF(C302&lt;&gt;"",C302&amp;"-"&amp;P302,"")</f>
        <v/>
      </c>
      <c r="R302" s="89" t="str">
        <f t="array" aca="1" ref="R302" ca="1">IFERROR(IF(INDEX('Disaggregation Records'!$E$3:$E$66,MATCH(RIGHT(Q302,255),RIGHT('Disaggregation Records'!$D$3:$D$66,255),0))="","",INDEX('Disaggregation Records'!$E$3:$E$66,MATCH(RIGHT(Q302,255),RIGHT('Disaggregation Records'!$D$3:$D$66,255),0))),"")</f>
        <v/>
      </c>
      <c r="S302" s="89" t="str">
        <f t="array" aca="1" ref="S302" ca="1">IFERROR(IF(INDEX('Disaggregation Records'!$F$3:$F$66,MATCH(RIGHT(Q302,255),RIGHT('Disaggregation Records'!$D$3:$D$66,255),0))="","",INDEX('Disaggregation Records'!$F$3:$F$66,MATCH(RIGHT(Q302,255),RIGHT('Disaggregation Records'!$D$3:$D$66,255),0))),"")</f>
        <v/>
      </c>
      <c r="T302" s="89" t="str">
        <f t="array" aca="1" ref="T302" ca="1">IFERROR(IF(INDEX('Disaggregation Records'!$H$3:$H$66,MATCH(RIGHT(Q302,255),RIGHT('Disaggregation Records'!$D$3:$D$66,255),0))="","",INDEX('Disaggregation Records'!$H$3:$H$66,MATCH(RIGHT(Q302,255),RIGHT('Disaggregation Records'!$D$3:$D$66,255),0))),"")</f>
        <v/>
      </c>
      <c r="U302" s="89">
        <f>U300+1</f>
        <v>1337</v>
      </c>
      <c r="V302" s="89" t="str">
        <f t="array" aca="1" ref="V302" ca="1">IFERROR(IF(INDEX('Disaggregation Records'!$I$3:$I$66,MATCH(RIGHT(Q302,255),RIGHT('Disaggregation Records'!$D$3:$D$66,255),0))="","",INDEX('Disaggregation Records'!$I$3:$I$66,MATCH(RIGHT(Q302,255),RIGHT('Disaggregation Records'!$D$3:$D$66,255),0))),"")</f>
        <v/>
      </c>
      <c r="W302" s="89" t="str">
        <f ca="1">IFERROR(INDEX('Reference Records'!O$3:O$19,MATCH(LEFT(C302,255),'Reference Records'!J$3:J$19,0)),"")</f>
        <v/>
      </c>
    </row>
    <row r="303" spans="1:23" s="89" customFormat="1" ht="40.35" customHeight="1">
      <c r="A303" s="564"/>
      <c r="B303" s="799"/>
      <c r="C303" s="800"/>
      <c r="D303" s="801"/>
      <c r="E303" s="801"/>
      <c r="F303" s="128"/>
      <c r="G303" s="802"/>
      <c r="H303" s="781"/>
      <c r="I303" s="803"/>
      <c r="J303" s="779"/>
      <c r="K303" s="800"/>
      <c r="L303" s="800"/>
      <c r="M303" s="779"/>
      <c r="N303" s="779"/>
      <c r="P303" s="125"/>
      <c r="Q303" s="125"/>
      <c r="R303" s="125"/>
      <c r="S303" s="125"/>
      <c r="T303" s="125"/>
      <c r="U303" s="125"/>
      <c r="V303" s="125"/>
      <c r="W303" s="125"/>
    </row>
    <row r="304" spans="1:23" s="89" customFormat="1" ht="40.35" customHeight="1">
      <c r="A304" s="564" t="str">
        <f t="shared" ca="1" si="4"/>
        <v>a1G3p000005dHcSEAU</v>
      </c>
      <c r="B304" s="794">
        <v>15</v>
      </c>
      <c r="C304" s="795" t="str">
        <f ca="1">IFERROR(VLOOKUP(B304,'Impact Indicators - Section B '!$A$9:$AF$52,32,FALSE),"")</f>
        <v/>
      </c>
      <c r="D304" s="796" t="str">
        <f ca="1">R304</f>
        <v/>
      </c>
      <c r="E304" s="796" t="str">
        <f ca="1">S304</f>
        <v/>
      </c>
      <c r="F304" s="127"/>
      <c r="G304" s="797" t="str">
        <f ca="1">IF(OR(INDIRECT("'update Helper'!E"&amp;U304)="",F304&lt;&gt;0,F305&lt;&gt;0),IF(IFERROR((F304/F305),"")="","",(F304/F305)),INDIRECT("'update Helper'!E"&amp;U304)/100)</f>
        <v/>
      </c>
      <c r="H304" s="784"/>
      <c r="I304" s="798"/>
      <c r="J304" s="777"/>
      <c r="K304" s="795" t="str">
        <f ca="1">W304</f>
        <v/>
      </c>
      <c r="L304" s="795" t="str">
        <f ca="1">V304</f>
        <v/>
      </c>
      <c r="M304" s="777"/>
      <c r="N304" s="777"/>
      <c r="P304" s="89">
        <f ca="1">IF(AND(EXACT(C304,C302),C302&lt;&gt;0),P302+1,0)</f>
        <v>107</v>
      </c>
      <c r="Q304" s="89" t="str">
        <f ca="1">IF(C304&lt;&gt;"",C304&amp;"-"&amp;P304,"")</f>
        <v/>
      </c>
      <c r="R304" s="89" t="str">
        <f t="array" aca="1" ref="R304" ca="1">IFERROR(IF(INDEX('Disaggregation Records'!$E$3:$E$66,MATCH(RIGHT(Q304,255),RIGHT('Disaggregation Records'!$D$3:$D$66,255),0))="","",INDEX('Disaggregation Records'!$E$3:$E$66,MATCH(RIGHT(Q304,255),RIGHT('Disaggregation Records'!$D$3:$D$66,255),0))),"")</f>
        <v/>
      </c>
      <c r="S304" s="89" t="str">
        <f t="array" aca="1" ref="S304" ca="1">IFERROR(IF(INDEX('Disaggregation Records'!$F$3:$F$66,MATCH(RIGHT(Q304,255),RIGHT('Disaggregation Records'!$D$3:$D$66,255),0))="","",INDEX('Disaggregation Records'!$F$3:$F$66,MATCH(RIGHT(Q304,255),RIGHT('Disaggregation Records'!$D$3:$D$66,255),0))),"")</f>
        <v/>
      </c>
      <c r="T304" s="89" t="str">
        <f t="array" aca="1" ref="T304" ca="1">IFERROR(IF(INDEX('Disaggregation Records'!$H$3:$H$66,MATCH(RIGHT(Q304,255),RIGHT('Disaggregation Records'!$D$3:$D$66,255),0))="","",INDEX('Disaggregation Records'!$H$3:$H$66,MATCH(RIGHT(Q304,255),RIGHT('Disaggregation Records'!$D$3:$D$66,255),0))),"")</f>
        <v/>
      </c>
      <c r="U304" s="89">
        <f>U302+1</f>
        <v>1338</v>
      </c>
      <c r="V304" s="89" t="str">
        <f t="array" aca="1" ref="V304" ca="1">IFERROR(IF(INDEX('Disaggregation Records'!$I$3:$I$66,MATCH(RIGHT(Q304,255),RIGHT('Disaggregation Records'!$D$3:$D$66,255),0))="","",INDEX('Disaggregation Records'!$I$3:$I$66,MATCH(RIGHT(Q304,255),RIGHT('Disaggregation Records'!$D$3:$D$66,255),0))),"")</f>
        <v/>
      </c>
      <c r="W304" s="89" t="str">
        <f ca="1">IFERROR(INDEX('Reference Records'!O$3:O$19,MATCH(LEFT(C304,255),'Reference Records'!J$3:J$19,0)),"")</f>
        <v/>
      </c>
    </row>
    <row r="305" spans="1:23" s="89" customFormat="1" ht="40.35" customHeight="1">
      <c r="A305" s="564"/>
      <c r="B305" s="799"/>
      <c r="C305" s="800"/>
      <c r="D305" s="801"/>
      <c r="E305" s="801"/>
      <c r="F305" s="128"/>
      <c r="G305" s="802"/>
      <c r="H305" s="781"/>
      <c r="I305" s="803"/>
      <c r="J305" s="779"/>
      <c r="K305" s="800"/>
      <c r="L305" s="800"/>
      <c r="M305" s="779"/>
      <c r="N305" s="779"/>
      <c r="P305" s="125"/>
      <c r="Q305" s="125"/>
      <c r="R305" s="125"/>
      <c r="S305" s="125"/>
      <c r="T305" s="125"/>
      <c r="U305" s="125"/>
      <c r="V305" s="125"/>
      <c r="W305" s="125"/>
    </row>
    <row r="306" spans="1:23" s="89" customFormat="1" ht="40.35" customHeight="1">
      <c r="A306" s="564" t="str">
        <f t="shared" ca="1" si="4"/>
        <v>a1G3p000005dHcTEAU</v>
      </c>
      <c r="B306" s="794">
        <v>15</v>
      </c>
      <c r="C306" s="795" t="str">
        <f ca="1">IFERROR(VLOOKUP(B306,'Impact Indicators - Section B '!$A$9:$AF$52,32,FALSE),"")</f>
        <v/>
      </c>
      <c r="D306" s="796" t="str">
        <f ca="1">R306</f>
        <v/>
      </c>
      <c r="E306" s="796" t="str">
        <f ca="1">S306</f>
        <v/>
      </c>
      <c r="F306" s="127"/>
      <c r="G306" s="797" t="str">
        <f ca="1">IF(OR(INDIRECT("'update Helper'!E"&amp;U306)="",F306&lt;&gt;0,F307&lt;&gt;0),IF(IFERROR((F306/F307),"")="","",(F306/F307)),INDIRECT("'update Helper'!E"&amp;U306)/100)</f>
        <v/>
      </c>
      <c r="H306" s="784"/>
      <c r="I306" s="798"/>
      <c r="J306" s="777"/>
      <c r="K306" s="795" t="str">
        <f ca="1">W306</f>
        <v/>
      </c>
      <c r="L306" s="795" t="str">
        <f ca="1">V306</f>
        <v/>
      </c>
      <c r="M306" s="777"/>
      <c r="N306" s="777"/>
      <c r="P306" s="89">
        <f ca="1">IF(AND(EXACT(C306,C304),C304&lt;&gt;0),P304+1,0)</f>
        <v>108</v>
      </c>
      <c r="Q306" s="89" t="str">
        <f ca="1">IF(C306&lt;&gt;"",C306&amp;"-"&amp;P306,"")</f>
        <v/>
      </c>
      <c r="R306" s="89" t="str">
        <f t="array" aca="1" ref="R306" ca="1">IFERROR(IF(INDEX('Disaggregation Records'!$E$3:$E$66,MATCH(RIGHT(Q306,255),RIGHT('Disaggregation Records'!$D$3:$D$66,255),0))="","",INDEX('Disaggregation Records'!$E$3:$E$66,MATCH(RIGHT(Q306,255),RIGHT('Disaggregation Records'!$D$3:$D$66,255),0))),"")</f>
        <v/>
      </c>
      <c r="S306" s="89" t="str">
        <f t="array" aca="1" ref="S306" ca="1">IFERROR(IF(INDEX('Disaggregation Records'!$F$3:$F$66,MATCH(RIGHT(Q306,255),RIGHT('Disaggregation Records'!$D$3:$D$66,255),0))="","",INDEX('Disaggregation Records'!$F$3:$F$66,MATCH(RIGHT(Q306,255),RIGHT('Disaggregation Records'!$D$3:$D$66,255),0))),"")</f>
        <v/>
      </c>
      <c r="T306" s="89" t="str">
        <f t="array" aca="1" ref="T306" ca="1">IFERROR(IF(INDEX('Disaggregation Records'!$H$3:$H$66,MATCH(RIGHT(Q306,255),RIGHT('Disaggregation Records'!$D$3:$D$66,255),0))="","",INDEX('Disaggregation Records'!$H$3:$H$66,MATCH(RIGHT(Q306,255),RIGHT('Disaggregation Records'!$D$3:$D$66,255),0))),"")</f>
        <v/>
      </c>
      <c r="U306" s="89">
        <f>U304+1</f>
        <v>1339</v>
      </c>
      <c r="V306" s="89" t="str">
        <f t="array" aca="1" ref="V306" ca="1">IFERROR(IF(INDEX('Disaggregation Records'!$I$3:$I$66,MATCH(RIGHT(Q306,255),RIGHT('Disaggregation Records'!$D$3:$D$66,255),0))="","",INDEX('Disaggregation Records'!$I$3:$I$66,MATCH(RIGHT(Q306,255),RIGHT('Disaggregation Records'!$D$3:$D$66,255),0))),"")</f>
        <v/>
      </c>
      <c r="W306" s="89" t="str">
        <f ca="1">IFERROR(INDEX('Reference Records'!O$3:O$19,MATCH(LEFT(C306,255),'Reference Records'!J$3:J$19,0)),"")</f>
        <v/>
      </c>
    </row>
    <row r="307" spans="1:23" s="89" customFormat="1" ht="40.35" customHeight="1">
      <c r="A307" s="564"/>
      <c r="B307" s="799"/>
      <c r="C307" s="800"/>
      <c r="D307" s="801"/>
      <c r="E307" s="801"/>
      <c r="F307" s="128"/>
      <c r="G307" s="802"/>
      <c r="H307" s="781"/>
      <c r="I307" s="803"/>
      <c r="J307" s="779"/>
      <c r="K307" s="800"/>
      <c r="L307" s="800"/>
      <c r="M307" s="779"/>
      <c r="N307" s="779"/>
      <c r="P307" s="125"/>
      <c r="Q307" s="125"/>
      <c r="R307" s="125"/>
      <c r="S307" s="125"/>
      <c r="T307" s="125"/>
      <c r="U307" s="125"/>
      <c r="V307" s="125"/>
      <c r="W307" s="125"/>
    </row>
    <row r="308" spans="1:23" s="89" customFormat="1" ht="40.35" customHeight="1">
      <c r="A308" s="564" t="str">
        <f t="shared" ca="1" si="4"/>
        <v>a1G3p000005dHcUEAU</v>
      </c>
      <c r="B308" s="794">
        <v>15</v>
      </c>
      <c r="C308" s="795" t="str">
        <f ca="1">IFERROR(VLOOKUP(B308,'Impact Indicators - Section B '!$A$9:$AF$52,32,FALSE),"")</f>
        <v/>
      </c>
      <c r="D308" s="796" t="str">
        <f ca="1">R308</f>
        <v/>
      </c>
      <c r="E308" s="796" t="str">
        <f ca="1">S308</f>
        <v/>
      </c>
      <c r="F308" s="127"/>
      <c r="G308" s="797" t="str">
        <f ca="1">IF(OR(INDIRECT("'update Helper'!E"&amp;U308)="",F308&lt;&gt;0,F309&lt;&gt;0),IF(IFERROR((F308/F309),"")="","",(F308/F309)),INDIRECT("'update Helper'!E"&amp;U308)/100)</f>
        <v/>
      </c>
      <c r="H308" s="784"/>
      <c r="I308" s="798"/>
      <c r="J308" s="777"/>
      <c r="K308" s="795" t="str">
        <f ca="1">W308</f>
        <v/>
      </c>
      <c r="L308" s="795" t="str">
        <f ca="1">V308</f>
        <v/>
      </c>
      <c r="M308" s="777"/>
      <c r="N308" s="777"/>
      <c r="P308" s="89">
        <f ca="1">IF(AND(EXACT(C308,C306),C306&lt;&gt;0),P306+1,0)</f>
        <v>109</v>
      </c>
      <c r="Q308" s="89" t="str">
        <f ca="1">IF(C308&lt;&gt;"",C308&amp;"-"&amp;P308,"")</f>
        <v/>
      </c>
      <c r="R308" s="89" t="str">
        <f t="array" aca="1" ref="R308" ca="1">IFERROR(IF(INDEX('Disaggregation Records'!$E$3:$E$66,MATCH(RIGHT(Q308,255),RIGHT('Disaggregation Records'!$D$3:$D$66,255),0))="","",INDEX('Disaggregation Records'!$E$3:$E$66,MATCH(RIGHT(Q308,255),RIGHT('Disaggregation Records'!$D$3:$D$66,255),0))),"")</f>
        <v/>
      </c>
      <c r="S308" s="89" t="str">
        <f t="array" aca="1" ref="S308" ca="1">IFERROR(IF(INDEX('Disaggregation Records'!$F$3:$F$66,MATCH(RIGHT(Q308,255),RIGHT('Disaggregation Records'!$D$3:$D$66,255),0))="","",INDEX('Disaggregation Records'!$F$3:$F$66,MATCH(RIGHT(Q308,255),RIGHT('Disaggregation Records'!$D$3:$D$66,255),0))),"")</f>
        <v/>
      </c>
      <c r="T308" s="89" t="str">
        <f t="array" aca="1" ref="T308" ca="1">IFERROR(IF(INDEX('Disaggregation Records'!$H$3:$H$66,MATCH(RIGHT(Q308,255),RIGHT('Disaggregation Records'!$D$3:$D$66,255),0))="","",INDEX('Disaggregation Records'!$H$3:$H$66,MATCH(RIGHT(Q308,255),RIGHT('Disaggregation Records'!$D$3:$D$66,255),0))),"")</f>
        <v/>
      </c>
      <c r="U308" s="89">
        <f>U306+1</f>
        <v>1340</v>
      </c>
      <c r="V308" s="89" t="str">
        <f t="array" aca="1" ref="V308" ca="1">IFERROR(IF(INDEX('Disaggregation Records'!$I$3:$I$66,MATCH(RIGHT(Q308,255),RIGHT('Disaggregation Records'!$D$3:$D$66,255),0))="","",INDEX('Disaggregation Records'!$I$3:$I$66,MATCH(RIGHT(Q308,255),RIGHT('Disaggregation Records'!$D$3:$D$66,255),0))),"")</f>
        <v/>
      </c>
      <c r="W308" s="89" t="str">
        <f ca="1">IFERROR(INDEX('Reference Records'!O$3:O$19,MATCH(LEFT(C308,255),'Reference Records'!J$3:J$19,0)),"")</f>
        <v/>
      </c>
    </row>
    <row r="309" spans="1:23" s="89" customFormat="1" ht="40.35" customHeight="1">
      <c r="A309" s="564"/>
      <c r="B309" s="799"/>
      <c r="C309" s="800"/>
      <c r="D309" s="801"/>
      <c r="E309" s="801"/>
      <c r="F309" s="128"/>
      <c r="G309" s="802"/>
      <c r="H309" s="781"/>
      <c r="I309" s="803"/>
      <c r="J309" s="779"/>
      <c r="K309" s="800"/>
      <c r="L309" s="800"/>
      <c r="M309" s="779"/>
      <c r="N309" s="779"/>
      <c r="P309" s="125"/>
      <c r="Q309" s="125"/>
      <c r="R309" s="125"/>
      <c r="S309" s="125"/>
      <c r="T309" s="125"/>
      <c r="U309" s="125"/>
      <c r="V309" s="125"/>
      <c r="W309" s="125"/>
    </row>
    <row r="310" spans="1:23" s="89" customFormat="1" ht="40.35" customHeight="1">
      <c r="A310" s="129"/>
      <c r="B310" s="130"/>
      <c r="C310" s="131"/>
      <c r="D310" s="132"/>
      <c r="E310" s="132"/>
      <c r="F310" s="133"/>
      <c r="G310" s="134"/>
      <c r="H310" s="135"/>
      <c r="I310" s="136"/>
      <c r="J310" s="137"/>
      <c r="K310" s="137"/>
      <c r="L310" s="137"/>
      <c r="M310" s="137"/>
      <c r="N310" s="137"/>
    </row>
    <row r="311" spans="1:23" s="89" customFormat="1" ht="40.35" customHeight="1">
      <c r="A311" s="129"/>
      <c r="B311" s="130"/>
      <c r="C311" s="131"/>
      <c r="D311" s="132"/>
      <c r="E311" s="132"/>
      <c r="F311" s="133"/>
      <c r="G311" s="134"/>
      <c r="H311" s="135"/>
      <c r="I311" s="136"/>
      <c r="J311" s="137"/>
      <c r="K311" s="137"/>
      <c r="L311" s="137"/>
      <c r="M311" s="137"/>
      <c r="N311" s="137"/>
    </row>
    <row r="312" spans="1:23" s="89" customFormat="1" ht="40.35" customHeight="1">
      <c r="A312" s="129"/>
      <c r="B312" s="130"/>
      <c r="C312" s="131"/>
      <c r="D312" s="132"/>
      <c r="E312" s="132"/>
      <c r="F312" s="133"/>
      <c r="G312" s="134"/>
      <c r="H312" s="135"/>
      <c r="I312" s="136"/>
      <c r="J312" s="137"/>
      <c r="K312" s="137"/>
      <c r="L312" s="137"/>
      <c r="M312" s="137"/>
      <c r="N312" s="137"/>
    </row>
    <row r="313" spans="1:23">
      <c r="B313" s="129"/>
    </row>
    <row r="314" spans="1:23" ht="16.350000000000001" customHeight="1">
      <c r="B314" s="567" t="str">
        <f ca="1">Translations!A76</f>
        <v xml:space="preserve">Desagregación del indicador de resultados </v>
      </c>
      <c r="C314" s="568"/>
      <c r="D314" s="568"/>
      <c r="E314" s="568"/>
      <c r="F314" s="568"/>
      <c r="G314" s="568"/>
      <c r="H314" s="568"/>
      <c r="I314" s="568"/>
      <c r="J314" s="568"/>
      <c r="K314" s="565"/>
      <c r="L314" s="566"/>
      <c r="M314" s="566"/>
      <c r="N314" s="566"/>
    </row>
    <row r="315" spans="1:23" ht="45" customHeight="1">
      <c r="A315" t="s">
        <v>5492</v>
      </c>
      <c r="B315" s="119" t="str">
        <f ca="1">Translations!A77</f>
        <v>Número del indicador de resultado</v>
      </c>
      <c r="C315" s="119" t="str">
        <f ca="1">Translations!A79</f>
        <v>Nombre del indicador de resultado</v>
      </c>
      <c r="D315" s="119" t="str">
        <f ca="1">Translations!$A$74</f>
        <v>Categoría</v>
      </c>
      <c r="E315" s="119" t="str">
        <f ca="1">Translations!$A$75</f>
        <v>Desagregación</v>
      </c>
      <c r="F315" s="119" t="s">
        <v>5305</v>
      </c>
      <c r="G315" s="119" t="str">
        <f ca="1">Translations!$A$41</f>
        <v>Línea de base %</v>
      </c>
      <c r="H315" s="119" t="s">
        <v>3014</v>
      </c>
      <c r="I315" s="119" t="s">
        <v>3015</v>
      </c>
      <c r="J315" s="119" t="s">
        <v>148</v>
      </c>
      <c r="K315" s="119" t="str">
        <f ca="1">Translations!A79&amp;" (EN)"</f>
        <v>Nombre del indicador de resultado (EN)</v>
      </c>
      <c r="L315" s="119" t="str">
        <f ca="1">Translations!$A$74&amp;" (EN)"</f>
        <v>Categoría (EN)</v>
      </c>
      <c r="M315" s="119" t="s">
        <v>5463</v>
      </c>
      <c r="N315" s="119" t="s">
        <v>5464</v>
      </c>
      <c r="Q315" s="138"/>
      <c r="R315" s="138"/>
      <c r="S315" s="138"/>
      <c r="T315" s="89"/>
    </row>
    <row r="316" spans="1:23" s="89" customFormat="1" ht="40.35" customHeight="1">
      <c r="A316" s="564" t="str">
        <f ca="1">INDIRECT("'update Helper'!C"&amp;U316)</f>
        <v>a1V3p000006h2vkEAA</v>
      </c>
      <c r="B316" s="794">
        <v>1</v>
      </c>
      <c r="C316" s="795" t="str">
        <f ca="1">IFERROR(VLOOKUP(B316,'Outcome Indicators - Section C '!$A$9:$AF$70,32,FALSE),"")</f>
        <v/>
      </c>
      <c r="D316" s="796" t="str">
        <f ca="1">R316</f>
        <v/>
      </c>
      <c r="E316" s="796" t="str">
        <f ca="1">S316</f>
        <v/>
      </c>
      <c r="F316" s="418">
        <v>3354</v>
      </c>
      <c r="G316" s="806">
        <f ca="1">IF(OR(INDIRECT("'update Helper'!E"&amp;U316)="",F316&lt;&gt;0,F317&lt;&gt;0),IF(IFERROR((F316/F317),"")="","",(F316/F317)),INDIRECT("'update Helper'!E"&amp;U316)/100)</f>
        <v>0.21598299954923048</v>
      </c>
      <c r="H316" s="804">
        <v>2021</v>
      </c>
      <c r="I316" s="798" t="s">
        <v>5497</v>
      </c>
      <c r="J316" s="777"/>
      <c r="K316" s="795" t="str">
        <f ca="1">W316</f>
        <v/>
      </c>
      <c r="L316" s="795" t="str">
        <f ca="1">V316</f>
        <v/>
      </c>
      <c r="M316" s="777"/>
      <c r="N316" s="777"/>
      <c r="P316" s="89">
        <f ca="1">IF(AND(EXACT(C316,C314),C314&lt;&gt;0),P314+1,0)</f>
        <v>0</v>
      </c>
      <c r="Q316" s="89" t="str">
        <f ca="1">IF(C316&lt;&gt;"",C316&amp;"-"&amp;P316,"")</f>
        <v/>
      </c>
      <c r="R316" s="89" t="str">
        <f t="array" aca="1" ref="R316" ca="1">IFERROR(IF(INDEX('Disaggregation Records'!$E$69:$E$152,MATCH(RIGHT(Q316,255),RIGHT('Disaggregation Records'!$D$69:$D$152,255),0))="","",INDEX('Disaggregation Records'!$E$69:$E$152,MATCH(RIGHT(Q316,255),RIGHT('Disaggregation Records'!$D$69:$D$152,255),0))),"")</f>
        <v/>
      </c>
      <c r="S316" s="89" t="str">
        <f t="array" aca="1" ref="S316" ca="1">IFERROR(IF(INDEX('Disaggregation Records'!$F$69:$F$152,MATCH(RIGHT(Q316,255),RIGHT('Disaggregation Records'!$D$69:$D$152,255),0))="","",INDEX('Disaggregation Records'!$F$69:$F$152,MATCH(RIGHT(Q316,255),RIGHT('Disaggregation Records'!$D$69:$D$152,255),0))),"")</f>
        <v/>
      </c>
      <c r="T316" s="89" t="str">
        <f t="array" aca="1" ref="T316" ca="1">IFERROR(IF(INDEX('Disaggregation Records'!$H$69:$H$152,MATCH(RIGHT(Q316,255),RIGHT('Disaggregation Records'!$D$69:$D$152,255),0))="","",INDEX('Disaggregation Records'!$H$69:$H$152,MATCH(RIGHT(Q316,255),RIGHT('Disaggregation Records'!$D$69:$D$152,255),0))),"")</f>
        <v/>
      </c>
      <c r="U316" s="89">
        <f>ROW(Outcome_Indicator_Disaggregation)+3</f>
        <v>887</v>
      </c>
      <c r="V316" s="89" t="str">
        <f t="array" aca="1" ref="V316" ca="1">IFERROR(IF(INDEX('Disaggregation Records'!$I$69:$I$152,MATCH(RIGHT(Q316,255),RIGHT('Disaggregation Records'!$D$69:$D$152,255),0))="","",INDEX('Disaggregation Records'!$I$69:$I$152,MATCH(RIGHT(Q316,255),RIGHT('Disaggregation Records'!$D$69:$D$152,255),0))),"")</f>
        <v/>
      </c>
      <c r="W316" s="89" t="str">
        <f ca="1">IFERROR(INDEX('Reference Records'!P$23:P$74,MATCH(LEFT(C316,255),'Reference Records'!J$23:J$74,0)),"")</f>
        <v/>
      </c>
    </row>
    <row r="317" spans="1:23" s="89" customFormat="1" ht="40.35" customHeight="1">
      <c r="A317" s="564"/>
      <c r="B317" s="799"/>
      <c r="C317" s="800"/>
      <c r="D317" s="801"/>
      <c r="E317" s="801"/>
      <c r="F317" s="419">
        <v>15529</v>
      </c>
      <c r="G317" s="807"/>
      <c r="H317" s="805"/>
      <c r="I317" s="803"/>
      <c r="J317" s="779"/>
      <c r="K317" s="800"/>
      <c r="L317" s="800"/>
      <c r="M317" s="779"/>
      <c r="N317" s="779"/>
      <c r="V317" s="89" t="str">
        <f t="array" ref="V317">IFERROR(IF(INDEX('Disaggregation Records'!$I$69:$I$152,MATCH(RIGHT(Q317,255),RIGHT('Disaggregation Records'!$D$69:$D$152,255),0))="","",INDEX('Disaggregation Records'!$I$69:$I$152,MATCH(RIGHT(Q317,255),RIGHT('Disaggregation Records'!$D$69:$D$152,255),0))),"")</f>
        <v/>
      </c>
    </row>
    <row r="318" spans="1:23" s="89" customFormat="1" ht="40.35" customHeight="1">
      <c r="A318" s="564" t="str">
        <f ca="1">INDIRECT("'update Helper'!C"&amp;U318)</f>
        <v>a1V3p000006h2vlEAA</v>
      </c>
      <c r="B318" s="794">
        <v>1</v>
      </c>
      <c r="C318" s="795" t="str">
        <f ca="1">IFERROR(VLOOKUP(B318,'Outcome Indicators - Section C '!$A$9:$AF$70,32,FALSE),"")</f>
        <v/>
      </c>
      <c r="D318" s="796" t="str">
        <f ca="1">R318</f>
        <v/>
      </c>
      <c r="E318" s="796" t="str">
        <f ca="1">S318</f>
        <v/>
      </c>
      <c r="F318" s="418">
        <v>0</v>
      </c>
      <c r="G318" s="806">
        <f ca="1">IF(OR(INDIRECT("'update Helper'!E"&amp;U318)="",F318&lt;&gt;0,F319&lt;&gt;0),IF(IFERROR((F318/F319),"")="","",(F318/F319)),INDIRECT("'update Helper'!E"&amp;U318)/100)</f>
        <v>0</v>
      </c>
      <c r="H318" s="804">
        <v>2021</v>
      </c>
      <c r="I318" s="798" t="s">
        <v>5497</v>
      </c>
      <c r="J318" s="777"/>
      <c r="K318" s="795" t="str">
        <f ca="1">W318</f>
        <v/>
      </c>
      <c r="L318" s="795" t="str">
        <f ca="1">V318</f>
        <v/>
      </c>
      <c r="M318" s="777"/>
      <c r="N318" s="777"/>
      <c r="P318" s="89">
        <f ca="1">IF(AND(EXACT(C318,C316),C316&lt;&gt;0),P316+1,0)</f>
        <v>1</v>
      </c>
      <c r="Q318" s="89" t="str">
        <f ca="1">IF(C318&lt;&gt;"",C318&amp;"-"&amp;P318,"")</f>
        <v/>
      </c>
      <c r="R318" s="89" t="str">
        <f t="array" aca="1" ref="R318" ca="1">IFERROR(IF(INDEX('Disaggregation Records'!$E$69:$E$152,MATCH(RIGHT(Q318,255),RIGHT('Disaggregation Records'!$D$69:$D$152,255),0))="","",INDEX('Disaggregation Records'!$E$69:$E$152,MATCH(RIGHT(Q318,255),RIGHT('Disaggregation Records'!$D$69:$D$152,255),0))),"")</f>
        <v/>
      </c>
      <c r="S318" s="89" t="str">
        <f t="array" aca="1" ref="S318" ca="1">IFERROR(IF(INDEX('Disaggregation Records'!$F$69:$F$152,MATCH(RIGHT(Q318,255),RIGHT('Disaggregation Records'!$D$69:$D$152,255),0))="","",INDEX('Disaggregation Records'!$F$69:$F$152,MATCH(RIGHT(Q318,255),RIGHT('Disaggregation Records'!$D$69:$D$152,255),0))),"")</f>
        <v/>
      </c>
      <c r="T318" s="89" t="str">
        <f t="array" aca="1" ref="T318" ca="1">IFERROR(IF(INDEX('Disaggregation Records'!$H$69:$H$152,MATCH(RIGHT(Q318,255),RIGHT('Disaggregation Records'!$D$69:$D$152,255),0))="","",INDEX('Disaggregation Records'!$H$69:$H$152,MATCH(RIGHT(Q318,255),RIGHT('Disaggregation Records'!$D$69:$D$152,255),0))),"")</f>
        <v/>
      </c>
      <c r="U318" s="89">
        <f>U316+1</f>
        <v>888</v>
      </c>
      <c r="V318" s="89" t="str">
        <f t="array" aca="1" ref="V318" ca="1">IFERROR(IF(INDEX('Disaggregation Records'!$I$69:$I$152,MATCH(RIGHT(Q318,255),RIGHT('Disaggregation Records'!$D$69:$D$152,255),0))="","",INDEX('Disaggregation Records'!$I$69:$I$152,MATCH(RIGHT(Q318,255),RIGHT('Disaggregation Records'!$D$69:$D$152,255),0))),"")</f>
        <v/>
      </c>
      <c r="W318" s="89" t="str">
        <f ca="1">IFERROR(INDEX('Reference Records'!P$23:P$74,MATCH(LEFT(C318,255),'Reference Records'!J$23:J$74,0)),"")</f>
        <v/>
      </c>
    </row>
    <row r="319" spans="1:23" s="89" customFormat="1" ht="40.35" customHeight="1">
      <c r="A319" s="564"/>
      <c r="B319" s="799"/>
      <c r="C319" s="800"/>
      <c r="D319" s="801"/>
      <c r="E319" s="801"/>
      <c r="F319" s="419">
        <f>+F317</f>
        <v>15529</v>
      </c>
      <c r="G319" s="807"/>
      <c r="H319" s="805"/>
      <c r="I319" s="803"/>
      <c r="J319" s="779"/>
      <c r="K319" s="800"/>
      <c r="L319" s="800"/>
      <c r="M319" s="779"/>
      <c r="N319" s="779"/>
      <c r="V319" s="89" t="str">
        <f t="array" ref="V319">IFERROR(IF(INDEX('Disaggregation Records'!$I$69:$I$152,MATCH(RIGHT(Q319,255),RIGHT('Disaggregation Records'!$D$69:$D$152,255),0))="","",INDEX('Disaggregation Records'!$I$69:$I$152,MATCH(RIGHT(Q319,255),RIGHT('Disaggregation Records'!$D$69:$D$152,255),0))),"")</f>
        <v/>
      </c>
    </row>
    <row r="320" spans="1:23" s="89" customFormat="1" ht="40.35" customHeight="1">
      <c r="A320" s="564" t="str">
        <f ca="1">INDIRECT("'update Helper'!C"&amp;U320)</f>
        <v>a1V3p000006h2vmEAA</v>
      </c>
      <c r="B320" s="794">
        <v>1</v>
      </c>
      <c r="C320" s="795" t="str">
        <f ca="1">IFERROR(VLOOKUP(B320,'Outcome Indicators - Section C '!$A$9:$AF$70,32,FALSE),"")</f>
        <v/>
      </c>
      <c r="D320" s="796" t="str">
        <f ca="1">R320</f>
        <v/>
      </c>
      <c r="E320" s="796" t="str">
        <f ca="1">S320</f>
        <v/>
      </c>
      <c r="F320" s="418">
        <v>141</v>
      </c>
      <c r="G320" s="806">
        <f ca="1">IF(OR(INDIRECT("'update Helper'!E"&amp;U320)="",F320&lt;&gt;0,F321&lt;&gt;0),IF(IFERROR((F320/F321),"")="","",(F320/F321)),INDIRECT("'update Helper'!E"&amp;U320)/100)</f>
        <v>9.0797862064524431E-3</v>
      </c>
      <c r="H320" s="804">
        <v>2021</v>
      </c>
      <c r="I320" s="798" t="s">
        <v>5497</v>
      </c>
      <c r="J320" s="777"/>
      <c r="K320" s="795" t="str">
        <f ca="1">W320</f>
        <v/>
      </c>
      <c r="L320" s="795" t="str">
        <f ca="1">V320</f>
        <v/>
      </c>
      <c r="M320" s="777"/>
      <c r="N320" s="777"/>
      <c r="P320" s="89">
        <f ca="1">IF(AND(EXACT(C320,C318),C318&lt;&gt;0),P318+1,0)</f>
        <v>2</v>
      </c>
      <c r="Q320" s="89" t="str">
        <f ca="1">IF(C320&lt;&gt;"",C320&amp;"-"&amp;P320,"")</f>
        <v/>
      </c>
      <c r="R320" s="89" t="str">
        <f t="array" aca="1" ref="R320" ca="1">IFERROR(IF(INDEX('Disaggregation Records'!$E$69:$E$152,MATCH(RIGHT(Q320,255),RIGHT('Disaggregation Records'!$D$69:$D$152,255),0))="","",INDEX('Disaggregation Records'!$E$69:$E$152,MATCH(RIGHT(Q320,255),RIGHT('Disaggregation Records'!$D$69:$D$152,255),0))),"")</f>
        <v/>
      </c>
      <c r="S320" s="89" t="str">
        <f t="array" aca="1" ref="S320" ca="1">IFERROR(IF(INDEX('Disaggregation Records'!$F$69:$F$152,MATCH(RIGHT(Q320,255),RIGHT('Disaggregation Records'!$D$69:$D$152,255),0))="","",INDEX('Disaggregation Records'!$F$69:$F$152,MATCH(RIGHT(Q320,255),RIGHT('Disaggregation Records'!$D$69:$D$152,255),0))),"")</f>
        <v/>
      </c>
      <c r="T320" s="89" t="str">
        <f t="array" aca="1" ref="T320" ca="1">IFERROR(IF(INDEX('Disaggregation Records'!$H$69:$H$152,MATCH(RIGHT(Q320,255),RIGHT('Disaggregation Records'!$D$69:$D$152,255),0))="","",INDEX('Disaggregation Records'!$H$69:$H$152,MATCH(RIGHT(Q320,255),RIGHT('Disaggregation Records'!$D$69:$D$152,255),0))),"")</f>
        <v/>
      </c>
      <c r="U320" s="89">
        <f>U318+1</f>
        <v>889</v>
      </c>
      <c r="V320" s="89" t="str">
        <f t="array" aca="1" ref="V320" ca="1">IFERROR(IF(INDEX('Disaggregation Records'!$I$69:$I$152,MATCH(RIGHT(Q320,255),RIGHT('Disaggregation Records'!$D$69:$D$152,255),0))="","",INDEX('Disaggregation Records'!$I$69:$I$152,MATCH(RIGHT(Q320,255),RIGHT('Disaggregation Records'!$D$69:$D$152,255),0))),"")</f>
        <v/>
      </c>
      <c r="W320" s="89" t="str">
        <f ca="1">IFERROR(INDEX('Reference Records'!P$23:P$74,MATCH(LEFT(C320,255),'Reference Records'!J$23:J$74,0)),"")</f>
        <v/>
      </c>
    </row>
    <row r="321" spans="1:23" s="89" customFormat="1" ht="40.35" customHeight="1">
      <c r="A321" s="564"/>
      <c r="B321" s="799"/>
      <c r="C321" s="800"/>
      <c r="D321" s="801"/>
      <c r="E321" s="801"/>
      <c r="F321" s="419">
        <f>+F319</f>
        <v>15529</v>
      </c>
      <c r="G321" s="807"/>
      <c r="H321" s="805"/>
      <c r="I321" s="803"/>
      <c r="J321" s="779"/>
      <c r="K321" s="800"/>
      <c r="L321" s="800"/>
      <c r="M321" s="779"/>
      <c r="N321" s="779"/>
      <c r="V321" s="89" t="str">
        <f t="array" ref="V321">IFERROR(IF(INDEX('Disaggregation Records'!$I$69:$I$152,MATCH(RIGHT(Q321,255),RIGHT('Disaggregation Records'!$D$69:$D$152,255),0))="","",INDEX('Disaggregation Records'!$I$69:$I$152,MATCH(RIGHT(Q321,255),RIGHT('Disaggregation Records'!$D$69:$D$152,255),0))),"")</f>
        <v/>
      </c>
    </row>
    <row r="322" spans="1:23" s="89" customFormat="1" ht="40.35" customHeight="1">
      <c r="A322" s="564" t="str">
        <f ca="1">INDIRECT("'update Helper'!C"&amp;U322)</f>
        <v>a1V3p000006h2vnEAA</v>
      </c>
      <c r="B322" s="794">
        <v>1</v>
      </c>
      <c r="C322" s="795" t="str">
        <f ca="1">IFERROR(VLOOKUP(B322,'Outcome Indicators - Section C '!$A$9:$AF$70,32,FALSE),"")</f>
        <v/>
      </c>
      <c r="D322" s="796" t="str">
        <f ca="1">R322</f>
        <v/>
      </c>
      <c r="E322" s="796" t="str">
        <f ca="1">S322</f>
        <v/>
      </c>
      <c r="F322" s="418">
        <v>31</v>
      </c>
      <c r="G322" s="806">
        <f ca="1">IF(OR(INDIRECT("'update Helper'!E"&amp;U322)="",F322&lt;&gt;0,F323&lt;&gt;0),IF(IFERROR((F322/F323),"")="","",(F322/F323)),INDIRECT("'update Helper'!E"&amp;U322)/100)</f>
        <v>0.30392156862745096</v>
      </c>
      <c r="H322" s="804">
        <v>2021</v>
      </c>
      <c r="I322" s="798" t="s">
        <v>5497</v>
      </c>
      <c r="J322" s="777"/>
      <c r="K322" s="795" t="str">
        <f ca="1">W322</f>
        <v/>
      </c>
      <c r="L322" s="795" t="str">
        <f ca="1">V322</f>
        <v/>
      </c>
      <c r="M322" s="777"/>
      <c r="N322" s="777"/>
      <c r="P322" s="89">
        <f ca="1">IF(AND(EXACT(C322,C320),C320&lt;&gt;0),P320+1,0)</f>
        <v>3</v>
      </c>
      <c r="Q322" s="89" t="str">
        <f ca="1">IF(C322&lt;&gt;"",C322&amp;"-"&amp;P322,"")</f>
        <v/>
      </c>
      <c r="R322" s="89" t="str">
        <f t="array" aca="1" ref="R322" ca="1">IFERROR(IF(INDEX('Disaggregation Records'!$E$69:$E$152,MATCH(RIGHT(Q322,255),RIGHT('Disaggregation Records'!$D$69:$D$152,255),0))="","",INDEX('Disaggregation Records'!$E$69:$E$152,MATCH(RIGHT(Q322,255),RIGHT('Disaggregation Records'!$D$69:$D$152,255),0))),"")</f>
        <v/>
      </c>
      <c r="S322" s="89" t="str">
        <f t="array" aca="1" ref="S322" ca="1">IFERROR(IF(INDEX('Disaggregation Records'!$F$69:$F$152,MATCH(RIGHT(Q322,255),RIGHT('Disaggregation Records'!$D$69:$D$152,255),0))="","",INDEX('Disaggregation Records'!$F$69:$F$152,MATCH(RIGHT(Q322,255),RIGHT('Disaggregation Records'!$D$69:$D$152,255),0))),"")</f>
        <v/>
      </c>
      <c r="T322" s="89" t="str">
        <f t="array" aca="1" ref="T322" ca="1">IFERROR(IF(INDEX('Disaggregation Records'!$H$69:$H$152,MATCH(RIGHT(Q322,255),RIGHT('Disaggregation Records'!$D$69:$D$152,255),0))="","",INDEX('Disaggregation Records'!$H$69:$H$152,MATCH(RIGHT(Q322,255),RIGHT('Disaggregation Records'!$D$69:$D$152,255),0))),"")</f>
        <v/>
      </c>
      <c r="U322" s="89">
        <f>U320+1</f>
        <v>890</v>
      </c>
      <c r="V322" s="89" t="str">
        <f t="array" aca="1" ref="V322" ca="1">IFERROR(IF(INDEX('Disaggregation Records'!$I$69:$I$152,MATCH(RIGHT(Q322,255),RIGHT('Disaggregation Records'!$D$69:$D$152,255),0))="","",INDEX('Disaggregation Records'!$I$69:$I$152,MATCH(RIGHT(Q322,255),RIGHT('Disaggregation Records'!$D$69:$D$152,255),0))),"")</f>
        <v/>
      </c>
      <c r="W322" s="89" t="str">
        <f ca="1">IFERROR(INDEX('Reference Records'!P$23:P$74,MATCH(LEFT(C322,255),'Reference Records'!J$23:J$74,0)),"")</f>
        <v/>
      </c>
    </row>
    <row r="323" spans="1:23" s="89" customFormat="1" ht="40.35" customHeight="1">
      <c r="A323" s="564"/>
      <c r="B323" s="799"/>
      <c r="C323" s="800"/>
      <c r="D323" s="801"/>
      <c r="E323" s="801"/>
      <c r="F323" s="419">
        <v>102</v>
      </c>
      <c r="G323" s="807"/>
      <c r="H323" s="805"/>
      <c r="I323" s="803"/>
      <c r="J323" s="779"/>
      <c r="K323" s="800"/>
      <c r="L323" s="800"/>
      <c r="M323" s="779"/>
      <c r="N323" s="779"/>
      <c r="V323" s="89" t="str">
        <f t="array" ref="V323">IFERROR(IF(INDEX('Disaggregation Records'!$I$69:$I$152,MATCH(RIGHT(Q323,255),RIGHT('Disaggregation Records'!$D$69:$D$152,255),0))="","",INDEX('Disaggregation Records'!$I$69:$I$152,MATCH(RIGHT(Q323,255),RIGHT('Disaggregation Records'!$D$69:$D$152,255),0))),"")</f>
        <v/>
      </c>
    </row>
    <row r="324" spans="1:23" s="89" customFormat="1" ht="40.35" customHeight="1">
      <c r="A324" s="564" t="str">
        <f ca="1">INDIRECT("'update Helper'!C"&amp;U324)</f>
        <v>a1V3p000006h2voEAA</v>
      </c>
      <c r="B324" s="794">
        <v>1</v>
      </c>
      <c r="C324" s="795" t="str">
        <f ca="1">IFERROR(VLOOKUP(B324,'Outcome Indicators - Section C '!$A$9:$AF$70,32,FALSE),"")</f>
        <v/>
      </c>
      <c r="D324" s="796" t="str">
        <f ca="1">R324</f>
        <v/>
      </c>
      <c r="E324" s="796" t="str">
        <f ca="1">S324</f>
        <v/>
      </c>
      <c r="F324" s="418">
        <v>1133</v>
      </c>
      <c r="G324" s="806">
        <f ca="1">IF(OR(INDIRECT("'update Helper'!E"&amp;U324)="",F324&lt;&gt;0,F325&lt;&gt;0),IF(IFERROR((F324/F325),"")="","",(F324/F325)),INDIRECT("'update Helper'!E"&amp;U324)/100)</f>
        <v>0.24743393754094781</v>
      </c>
      <c r="H324" s="804">
        <v>2021</v>
      </c>
      <c r="I324" s="798" t="s">
        <v>5497</v>
      </c>
      <c r="J324" s="777"/>
      <c r="K324" s="795" t="str">
        <f ca="1">W324</f>
        <v/>
      </c>
      <c r="L324" s="795" t="str">
        <f ca="1">V324</f>
        <v/>
      </c>
      <c r="M324" s="777"/>
      <c r="N324" s="777"/>
      <c r="P324" s="89">
        <f ca="1">IF(AND(EXACT(C324,C322),C322&lt;&gt;0),P322+1,0)</f>
        <v>4</v>
      </c>
      <c r="Q324" s="89" t="str">
        <f ca="1">IF(C324&lt;&gt;"",C324&amp;"-"&amp;P324,"")</f>
        <v/>
      </c>
      <c r="R324" s="89" t="str">
        <f t="array" aca="1" ref="R324" ca="1">IFERROR(IF(INDEX('Disaggregation Records'!$E$69:$E$152,MATCH(RIGHT(Q324,255),RIGHT('Disaggregation Records'!$D$69:$D$152,255),0))="","",INDEX('Disaggregation Records'!$E$69:$E$152,MATCH(RIGHT(Q324,255),RIGHT('Disaggregation Records'!$D$69:$D$152,255),0))),"")</f>
        <v/>
      </c>
      <c r="S324" s="89" t="str">
        <f t="array" aca="1" ref="S324" ca="1">IFERROR(IF(INDEX('Disaggregation Records'!$F$69:$F$152,MATCH(RIGHT(Q324,255),RIGHT('Disaggregation Records'!$D$69:$D$152,255),0))="","",INDEX('Disaggregation Records'!$F$69:$F$152,MATCH(RIGHT(Q324,255),RIGHT('Disaggregation Records'!$D$69:$D$152,255),0))),"")</f>
        <v/>
      </c>
      <c r="T324" s="89" t="str">
        <f t="array" aca="1" ref="T324" ca="1">IFERROR(IF(INDEX('Disaggregation Records'!$H$69:$H$152,MATCH(RIGHT(Q324,255),RIGHT('Disaggregation Records'!$D$69:$D$152,255),0))="","",INDEX('Disaggregation Records'!$H$69:$H$152,MATCH(RIGHT(Q324,255),RIGHT('Disaggregation Records'!$D$69:$D$152,255),0))),"")</f>
        <v/>
      </c>
      <c r="U324" s="89">
        <f>U322+1</f>
        <v>891</v>
      </c>
      <c r="V324" s="89" t="str">
        <f t="array" aca="1" ref="V324" ca="1">IFERROR(IF(INDEX('Disaggregation Records'!$I$69:$I$152,MATCH(RIGHT(Q324,255),RIGHT('Disaggregation Records'!$D$69:$D$152,255),0))="","",INDEX('Disaggregation Records'!$I$69:$I$152,MATCH(RIGHT(Q324,255),RIGHT('Disaggregation Records'!$D$69:$D$152,255),0))),"")</f>
        <v/>
      </c>
      <c r="W324" s="89" t="str">
        <f ca="1">IFERROR(INDEX('Reference Records'!P$23:P$74,MATCH(LEFT(C324,255),'Reference Records'!J$23:J$74,0)),"")</f>
        <v/>
      </c>
    </row>
    <row r="325" spans="1:23" s="89" customFormat="1" ht="40.35" customHeight="1">
      <c r="A325" s="564"/>
      <c r="B325" s="799"/>
      <c r="C325" s="800"/>
      <c r="D325" s="801"/>
      <c r="E325" s="801"/>
      <c r="F325" s="419">
        <v>4579</v>
      </c>
      <c r="G325" s="807"/>
      <c r="H325" s="805"/>
      <c r="I325" s="803"/>
      <c r="J325" s="779"/>
      <c r="K325" s="800"/>
      <c r="L325" s="800"/>
      <c r="M325" s="779"/>
      <c r="N325" s="779"/>
      <c r="V325" s="89" t="str">
        <f t="array" ref="V325">IFERROR(IF(INDEX('Disaggregation Records'!$I$69:$I$152,MATCH(RIGHT(Q325,255),RIGHT('Disaggregation Records'!$D$69:$D$152,255),0))="","",INDEX('Disaggregation Records'!$I$69:$I$152,MATCH(RIGHT(Q325,255),RIGHT('Disaggregation Records'!$D$69:$D$152,255),0))),"")</f>
        <v/>
      </c>
    </row>
    <row r="326" spans="1:23" s="89" customFormat="1" ht="40.35" customHeight="1">
      <c r="A326" s="564" t="str">
        <f ca="1">INDIRECT("'update Helper'!C"&amp;U326)</f>
        <v>a1V3p000006h2vpEAA</v>
      </c>
      <c r="B326" s="794">
        <v>1</v>
      </c>
      <c r="C326" s="795" t="str">
        <f ca="1">IFERROR(VLOOKUP(B326,'Outcome Indicators - Section C '!$A$9:$AF$70,32,FALSE),"")</f>
        <v/>
      </c>
      <c r="D326" s="796" t="str">
        <f ca="1">R326</f>
        <v/>
      </c>
      <c r="E326" s="796" t="str">
        <f ca="1">S326</f>
        <v/>
      </c>
      <c r="F326" s="418">
        <v>2331</v>
      </c>
      <c r="G326" s="806">
        <f ca="1">IF(OR(INDIRECT("'update Helper'!E"&amp;U326)="",F326&lt;&gt;0,F327&lt;&gt;0),IF(IFERROR((F326/F327),"")="","",(F326/F327)),INDIRECT("'update Helper'!E"&amp;U326)/100)</f>
        <v>0.2148783185840708</v>
      </c>
      <c r="H326" s="804">
        <v>2021</v>
      </c>
      <c r="I326" s="798" t="s">
        <v>5497</v>
      </c>
      <c r="J326" s="777"/>
      <c r="K326" s="795" t="str">
        <f ca="1">W326</f>
        <v/>
      </c>
      <c r="L326" s="795" t="str">
        <f ca="1">V326</f>
        <v/>
      </c>
      <c r="M326" s="777"/>
      <c r="N326" s="777"/>
      <c r="P326" s="89">
        <f ca="1">IF(AND(EXACT(C326,C324),C324&lt;&gt;0),P324+1,0)</f>
        <v>5</v>
      </c>
      <c r="Q326" s="89" t="str">
        <f ca="1">IF(C326&lt;&gt;"",C326&amp;"-"&amp;P326,"")</f>
        <v/>
      </c>
      <c r="R326" s="89" t="str">
        <f t="array" aca="1" ref="R326" ca="1">IFERROR(IF(INDEX('Disaggregation Records'!$E$69:$E$152,MATCH(RIGHT(Q326,255),RIGHT('Disaggregation Records'!$D$69:$D$152,255),0))="","",INDEX('Disaggregation Records'!$E$69:$E$152,MATCH(RIGHT(Q326,255),RIGHT('Disaggregation Records'!$D$69:$D$152,255),0))),"")</f>
        <v/>
      </c>
      <c r="S326" s="89" t="str">
        <f t="array" aca="1" ref="S326" ca="1">IFERROR(IF(INDEX('Disaggregation Records'!$F$69:$F$152,MATCH(RIGHT(Q326,255),RIGHT('Disaggregation Records'!$D$69:$D$152,255),0))="","",INDEX('Disaggregation Records'!$F$69:$F$152,MATCH(RIGHT(Q326,255),RIGHT('Disaggregation Records'!$D$69:$D$152,255),0))),"")</f>
        <v/>
      </c>
      <c r="T326" s="89" t="str">
        <f t="array" aca="1" ref="T326" ca="1">IFERROR(IF(INDEX('Disaggregation Records'!$H$69:$H$152,MATCH(RIGHT(Q326,255),RIGHT('Disaggregation Records'!$D$69:$D$152,255),0))="","",INDEX('Disaggregation Records'!$H$69:$H$152,MATCH(RIGHT(Q326,255),RIGHT('Disaggregation Records'!$D$69:$D$152,255),0))),"")</f>
        <v/>
      </c>
      <c r="U326" s="89">
        <f>U324+1</f>
        <v>892</v>
      </c>
      <c r="V326" s="89" t="str">
        <f t="array" aca="1" ref="V326" ca="1">IFERROR(IF(INDEX('Disaggregation Records'!$I$69:$I$152,MATCH(RIGHT(Q326,255),RIGHT('Disaggregation Records'!$D$69:$D$152,255),0))="","",INDEX('Disaggregation Records'!$I$69:$I$152,MATCH(RIGHT(Q326,255),RIGHT('Disaggregation Records'!$D$69:$D$152,255),0))),"")</f>
        <v/>
      </c>
      <c r="W326" s="89" t="str">
        <f ca="1">IFERROR(INDEX('Reference Records'!P$23:P$74,MATCH(LEFT(C326,255),'Reference Records'!J$23:J$74,0)),"")</f>
        <v/>
      </c>
    </row>
    <row r="327" spans="1:23" s="89" customFormat="1" ht="40.35" customHeight="1">
      <c r="A327" s="564"/>
      <c r="B327" s="799"/>
      <c r="C327" s="800"/>
      <c r="D327" s="801"/>
      <c r="E327" s="801"/>
      <c r="F327" s="419">
        <v>10848</v>
      </c>
      <c r="G327" s="807"/>
      <c r="H327" s="805"/>
      <c r="I327" s="803"/>
      <c r="J327" s="779"/>
      <c r="K327" s="800"/>
      <c r="L327" s="800"/>
      <c r="M327" s="779"/>
      <c r="N327" s="779"/>
      <c r="V327" s="89" t="str">
        <f t="array" ref="V327">IFERROR(IF(INDEX('Disaggregation Records'!$I$69:$I$152,MATCH(RIGHT(Q327,255),RIGHT('Disaggregation Records'!$D$69:$D$152,255),0))="","",INDEX('Disaggregation Records'!$I$69:$I$152,MATCH(RIGHT(Q327,255),RIGHT('Disaggregation Records'!$D$69:$D$152,255),0))),"")</f>
        <v/>
      </c>
    </row>
    <row r="328" spans="1:23" s="89" customFormat="1" ht="40.35" customHeight="1">
      <c r="A328" s="564" t="str">
        <f ca="1">INDIRECT("'update Helper'!C"&amp;U328)</f>
        <v>a1V3p000006h2vqEAA</v>
      </c>
      <c r="B328" s="794">
        <v>1</v>
      </c>
      <c r="C328" s="795" t="str">
        <f ca="1">IFERROR(VLOOKUP(B328,'Outcome Indicators - Section C '!$A$9:$AF$70,32,FALSE),"")</f>
        <v/>
      </c>
      <c r="D328" s="796" t="str">
        <f ca="1">R328</f>
        <v/>
      </c>
      <c r="E328" s="796" t="str">
        <f ca="1">S328</f>
        <v/>
      </c>
      <c r="F328" s="418">
        <v>3441</v>
      </c>
      <c r="G328" s="806">
        <f ca="1">IF(OR(INDIRECT("'update Helper'!E"&amp;U328)="",F328&lt;&gt;0,F329&lt;&gt;0),IF(IFERROR((F328/F329),"")="","",(F328/F329)),INDIRECT("'update Helper'!E"&amp;U328)/100)</f>
        <v>0.22589115735574083</v>
      </c>
      <c r="H328" s="804">
        <v>2021</v>
      </c>
      <c r="I328" s="798" t="s">
        <v>5497</v>
      </c>
      <c r="J328" s="777"/>
      <c r="K328" s="795" t="str">
        <f ca="1">W328</f>
        <v/>
      </c>
      <c r="L328" s="795" t="str">
        <f ca="1">V328</f>
        <v/>
      </c>
      <c r="M328" s="777"/>
      <c r="N328" s="777"/>
      <c r="P328" s="89">
        <f ca="1">IF(AND(EXACT(C328,C326),C326&lt;&gt;0),P326+1,0)</f>
        <v>6</v>
      </c>
      <c r="Q328" s="89" t="str">
        <f ca="1">IF(C328&lt;&gt;"",C328&amp;"-"&amp;P328,"")</f>
        <v/>
      </c>
      <c r="R328" s="89" t="str">
        <f t="array" aca="1" ref="R328" ca="1">IFERROR(IF(INDEX('Disaggregation Records'!$E$69:$E$152,MATCH(RIGHT(Q328,255),RIGHT('Disaggregation Records'!$D$69:$D$152,255),0))="","",INDEX('Disaggregation Records'!$E$69:$E$152,MATCH(RIGHT(Q328,255),RIGHT('Disaggregation Records'!$D$69:$D$152,255),0))),"")</f>
        <v/>
      </c>
      <c r="S328" s="89" t="str">
        <f t="array" aca="1" ref="S328" ca="1">IFERROR(IF(INDEX('Disaggregation Records'!$F$69:$F$152,MATCH(RIGHT(Q328,255),RIGHT('Disaggregation Records'!$D$69:$D$152,255),0))="","",INDEX('Disaggregation Records'!$F$69:$F$152,MATCH(RIGHT(Q328,255),RIGHT('Disaggregation Records'!$D$69:$D$152,255),0))),"")</f>
        <v/>
      </c>
      <c r="T328" s="89" t="str">
        <f t="array" aca="1" ref="T328" ca="1">IFERROR(IF(INDEX('Disaggregation Records'!$H$69:$H$152,MATCH(RIGHT(Q328,255),RIGHT('Disaggregation Records'!$D$69:$D$152,255),0))="","",INDEX('Disaggregation Records'!$H$69:$H$152,MATCH(RIGHT(Q328,255),RIGHT('Disaggregation Records'!$D$69:$D$152,255),0))),"")</f>
        <v/>
      </c>
      <c r="U328" s="89">
        <f>U326+1</f>
        <v>893</v>
      </c>
      <c r="V328" s="89" t="str">
        <f t="array" aca="1" ref="V328" ca="1">IFERROR(IF(INDEX('Disaggregation Records'!$I$69:$I$152,MATCH(RIGHT(Q328,255),RIGHT('Disaggregation Records'!$D$69:$D$152,255),0))="","",INDEX('Disaggregation Records'!$I$69:$I$152,MATCH(RIGHT(Q328,255),RIGHT('Disaggregation Records'!$D$69:$D$152,255),0))),"")</f>
        <v/>
      </c>
      <c r="W328" s="89" t="str">
        <f ca="1">IFERROR(INDEX('Reference Records'!P$23:P$74,MATCH(LEFT(C328,255),'Reference Records'!J$23:J$74,0)),"")</f>
        <v/>
      </c>
    </row>
    <row r="329" spans="1:23" s="89" customFormat="1" ht="40.35" customHeight="1">
      <c r="A329" s="564"/>
      <c r="B329" s="799"/>
      <c r="C329" s="800"/>
      <c r="D329" s="801"/>
      <c r="E329" s="801"/>
      <c r="F329" s="419">
        <v>15233</v>
      </c>
      <c r="G329" s="807"/>
      <c r="H329" s="805"/>
      <c r="I329" s="803"/>
      <c r="J329" s="779"/>
      <c r="K329" s="800"/>
      <c r="L329" s="800"/>
      <c r="M329" s="779"/>
      <c r="N329" s="779"/>
      <c r="V329" s="89" t="str">
        <f t="array" ref="V329">IFERROR(IF(INDEX('Disaggregation Records'!$I$69:$I$152,MATCH(RIGHT(Q329,255),RIGHT('Disaggregation Records'!$D$69:$D$152,255),0))="","",INDEX('Disaggregation Records'!$I$69:$I$152,MATCH(RIGHT(Q329,255),RIGHT('Disaggregation Records'!$D$69:$D$152,255),0))),"")</f>
        <v/>
      </c>
    </row>
    <row r="330" spans="1:23" s="89" customFormat="1" ht="40.35" customHeight="1">
      <c r="A330" s="564" t="str">
        <f ca="1">INDIRECT("'update Helper'!C"&amp;U330)</f>
        <v>a1V3p000006h2vrEAA</v>
      </c>
      <c r="B330" s="794">
        <v>1</v>
      </c>
      <c r="C330" s="795" t="str">
        <f ca="1">IFERROR(VLOOKUP(B330,'Outcome Indicators - Section C '!$A$9:$AF$70,32,FALSE),"")</f>
        <v/>
      </c>
      <c r="D330" s="796" t="str">
        <f ca="1">R330</f>
        <v/>
      </c>
      <c r="E330" s="796" t="str">
        <f ca="1">S330</f>
        <v/>
      </c>
      <c r="F330" s="418">
        <v>54</v>
      </c>
      <c r="G330" s="806">
        <f ca="1">IF(OR(INDIRECT("'update Helper'!E"&amp;U330)="",F330&lt;&gt;0,F331&lt;&gt;0),IF(IFERROR((F330/F331),"")="","",(F330/F331)),INDIRECT("'update Helper'!E"&amp;U330)/100)</f>
        <v>0.18243243243243243</v>
      </c>
      <c r="H330" s="804">
        <v>2021</v>
      </c>
      <c r="I330" s="798" t="s">
        <v>5497</v>
      </c>
      <c r="J330" s="777"/>
      <c r="K330" s="795" t="str">
        <f ca="1">W330</f>
        <v/>
      </c>
      <c r="L330" s="795" t="str">
        <f ca="1">V330</f>
        <v/>
      </c>
      <c r="M330" s="777"/>
      <c r="N330" s="777"/>
      <c r="P330" s="89">
        <f ca="1">IF(AND(EXACT(C330,C328),C328&lt;&gt;0),P328+1,0)</f>
        <v>7</v>
      </c>
      <c r="Q330" s="89" t="str">
        <f ca="1">IF(C330&lt;&gt;"",C330&amp;"-"&amp;P330,"")</f>
        <v/>
      </c>
      <c r="R330" s="89" t="str">
        <f t="array" aca="1" ref="R330" ca="1">IFERROR(IF(INDEX('Disaggregation Records'!$E$69:$E$152,MATCH(RIGHT(Q330,255),RIGHT('Disaggregation Records'!$D$69:$D$152,255),0))="","",INDEX('Disaggregation Records'!$E$69:$E$152,MATCH(RIGHT(Q330,255),RIGHT('Disaggregation Records'!$D$69:$D$152,255),0))),"")</f>
        <v/>
      </c>
      <c r="S330" s="89" t="str">
        <f t="array" aca="1" ref="S330" ca="1">IFERROR(IF(INDEX('Disaggregation Records'!$F$69:$F$152,MATCH(RIGHT(Q330,255),RIGHT('Disaggregation Records'!$D$69:$D$152,255),0))="","",INDEX('Disaggregation Records'!$F$69:$F$152,MATCH(RIGHT(Q330,255),RIGHT('Disaggregation Records'!$D$69:$D$152,255),0))),"")</f>
        <v/>
      </c>
      <c r="T330" s="89" t="str">
        <f t="array" aca="1" ref="T330" ca="1">IFERROR(IF(INDEX('Disaggregation Records'!$H$69:$H$152,MATCH(RIGHT(Q330,255),RIGHT('Disaggregation Records'!$D$69:$D$152,255),0))="","",INDEX('Disaggregation Records'!$H$69:$H$152,MATCH(RIGHT(Q330,255),RIGHT('Disaggregation Records'!$D$69:$D$152,255),0))),"")</f>
        <v/>
      </c>
      <c r="U330" s="89">
        <f>U328+1</f>
        <v>894</v>
      </c>
      <c r="V330" s="89" t="str">
        <f t="array" aca="1" ref="V330" ca="1">IFERROR(IF(INDEX('Disaggregation Records'!$I$69:$I$152,MATCH(RIGHT(Q330,255),RIGHT('Disaggregation Records'!$D$69:$D$152,255),0))="","",INDEX('Disaggregation Records'!$I$69:$I$152,MATCH(RIGHT(Q330,255),RIGHT('Disaggregation Records'!$D$69:$D$152,255),0))),"")</f>
        <v/>
      </c>
      <c r="W330" s="89" t="str">
        <f ca="1">IFERROR(INDEX('Reference Records'!P$23:P$74,MATCH(LEFT(C330,255),'Reference Records'!J$23:J$74,0)),"")</f>
        <v/>
      </c>
    </row>
    <row r="331" spans="1:23" s="89" customFormat="1" ht="40.35" customHeight="1">
      <c r="A331" s="564"/>
      <c r="B331" s="799"/>
      <c r="C331" s="800"/>
      <c r="D331" s="801"/>
      <c r="E331" s="801"/>
      <c r="F331" s="419">
        <v>296</v>
      </c>
      <c r="G331" s="807"/>
      <c r="H331" s="805"/>
      <c r="I331" s="803"/>
      <c r="J331" s="779"/>
      <c r="K331" s="800"/>
      <c r="L331" s="800"/>
      <c r="M331" s="779"/>
      <c r="N331" s="779"/>
      <c r="V331" s="89" t="str">
        <f t="array" ref="V331">IFERROR(IF(INDEX('Disaggregation Records'!$I$69:$I$152,MATCH(RIGHT(Q331,255),RIGHT('Disaggregation Records'!$D$69:$D$152,255),0))="","",INDEX('Disaggregation Records'!$I$69:$I$152,MATCH(RIGHT(Q331,255),RIGHT('Disaggregation Records'!$D$69:$D$152,255),0))),"")</f>
        <v/>
      </c>
    </row>
    <row r="332" spans="1:23" s="89" customFormat="1" ht="40.35" customHeight="1">
      <c r="A332" s="564" t="str">
        <f ca="1">INDIRECT("'update Helper'!C"&amp;U332)</f>
        <v>a1V3p000006h2vsEAA</v>
      </c>
      <c r="B332" s="794">
        <v>1</v>
      </c>
      <c r="C332" s="795" t="str">
        <f ca="1">IFERROR(VLOOKUP(B332,'Outcome Indicators - Section C '!$A$9:$AF$70,32,FALSE),"")</f>
        <v/>
      </c>
      <c r="D332" s="796" t="str">
        <f ca="1">R332</f>
        <v/>
      </c>
      <c r="E332" s="796" t="str">
        <f ca="1">S332</f>
        <v/>
      </c>
      <c r="F332" s="127"/>
      <c r="G332" s="797" t="str">
        <f ca="1">IF(OR(INDIRECT("'update Helper'!E"&amp;U332)="",F332&lt;&gt;0,F333&lt;&gt;0),IF(IFERROR((F332/F333),"")="","",(F332/F333)),INDIRECT("'update Helper'!E"&amp;U332)/100)</f>
        <v/>
      </c>
      <c r="H332" s="784"/>
      <c r="I332" s="798"/>
      <c r="J332" s="777"/>
      <c r="K332" s="795" t="str">
        <f ca="1">W332</f>
        <v/>
      </c>
      <c r="L332" s="795" t="str">
        <f ca="1">V332</f>
        <v/>
      </c>
      <c r="M332" s="777"/>
      <c r="N332" s="777"/>
      <c r="P332" s="89">
        <f ca="1">IF(AND(EXACT(C332,C330),C330&lt;&gt;0),P330+1,0)</f>
        <v>8</v>
      </c>
      <c r="Q332" s="89" t="str">
        <f ca="1">IF(C332&lt;&gt;"",C332&amp;"-"&amp;P332,"")</f>
        <v/>
      </c>
      <c r="R332" s="89" t="str">
        <f t="array" aca="1" ref="R332" ca="1">IFERROR(IF(INDEX('Disaggregation Records'!$E$69:$E$152,MATCH(RIGHT(Q332,255),RIGHT('Disaggregation Records'!$D$69:$D$152,255),0))="","",INDEX('Disaggregation Records'!$E$69:$E$152,MATCH(RIGHT(Q332,255),RIGHT('Disaggregation Records'!$D$69:$D$152,255),0))),"")</f>
        <v/>
      </c>
      <c r="S332" s="89" t="str">
        <f t="array" aca="1" ref="S332" ca="1">IFERROR(IF(INDEX('Disaggregation Records'!$F$69:$F$152,MATCH(RIGHT(Q332,255),RIGHT('Disaggregation Records'!$D$69:$D$152,255),0))="","",INDEX('Disaggregation Records'!$F$69:$F$152,MATCH(RIGHT(Q332,255),RIGHT('Disaggregation Records'!$D$69:$D$152,255),0))),"")</f>
        <v/>
      </c>
      <c r="T332" s="89" t="str">
        <f t="array" aca="1" ref="T332" ca="1">IFERROR(IF(INDEX('Disaggregation Records'!$H$69:$H$152,MATCH(RIGHT(Q332,255),RIGHT('Disaggregation Records'!$D$69:$D$152,255),0))="","",INDEX('Disaggregation Records'!$H$69:$H$152,MATCH(RIGHT(Q332,255),RIGHT('Disaggregation Records'!$D$69:$D$152,255),0))),"")</f>
        <v/>
      </c>
      <c r="U332" s="89">
        <f>U330+1</f>
        <v>895</v>
      </c>
      <c r="V332" s="89" t="str">
        <f t="array" aca="1" ref="V332" ca="1">IFERROR(IF(INDEX('Disaggregation Records'!$I$69:$I$152,MATCH(RIGHT(Q332,255),RIGHT('Disaggregation Records'!$D$69:$D$152,255),0))="","",INDEX('Disaggregation Records'!$I$69:$I$152,MATCH(RIGHT(Q332,255),RIGHT('Disaggregation Records'!$D$69:$D$152,255),0))),"")</f>
        <v/>
      </c>
      <c r="W332" s="89" t="str">
        <f ca="1">IFERROR(INDEX('Reference Records'!P$23:P$74,MATCH(LEFT(C332,255),'Reference Records'!J$23:J$74,0)),"")</f>
        <v/>
      </c>
    </row>
    <row r="333" spans="1:23" s="89" customFormat="1" ht="40.35" customHeight="1">
      <c r="A333" s="564"/>
      <c r="B333" s="799"/>
      <c r="C333" s="800"/>
      <c r="D333" s="801"/>
      <c r="E333" s="801"/>
      <c r="F333" s="128"/>
      <c r="G333" s="802"/>
      <c r="H333" s="781"/>
      <c r="I333" s="803"/>
      <c r="J333" s="779"/>
      <c r="K333" s="800"/>
      <c r="L333" s="800"/>
      <c r="M333" s="779"/>
      <c r="N333" s="779"/>
      <c r="V333" s="89" t="str">
        <f t="array" ref="V333">IFERROR(IF(INDEX('Disaggregation Records'!$I$69:$I$152,MATCH(RIGHT(Q333,255),RIGHT('Disaggregation Records'!$D$69:$D$152,255),0))="","",INDEX('Disaggregation Records'!$I$69:$I$152,MATCH(RIGHT(Q333,255),RIGHT('Disaggregation Records'!$D$69:$D$152,255),0))),"")</f>
        <v/>
      </c>
    </row>
    <row r="334" spans="1:23" s="89" customFormat="1" ht="40.35" customHeight="1">
      <c r="A334" s="564" t="str">
        <f ca="1">INDIRECT("'update Helper'!C"&amp;U334)</f>
        <v>a1V3p000006h2vtEAA</v>
      </c>
      <c r="B334" s="794">
        <v>1</v>
      </c>
      <c r="C334" s="795" t="str">
        <f ca="1">IFERROR(VLOOKUP(B334,'Outcome Indicators - Section C '!$A$9:$AF$70,32,FALSE),"")</f>
        <v/>
      </c>
      <c r="D334" s="796" t="str">
        <f ca="1">R334</f>
        <v/>
      </c>
      <c r="E334" s="796" t="str">
        <f ca="1">S334</f>
        <v/>
      </c>
      <c r="F334" s="127"/>
      <c r="G334" s="797" t="str">
        <f ca="1">IF(OR(INDIRECT("'update Helper'!E"&amp;U334)="",F334&lt;&gt;0,F335&lt;&gt;0),IF(IFERROR((F334/F335),"")="","",(F334/F335)),INDIRECT("'update Helper'!E"&amp;U334)/100)</f>
        <v/>
      </c>
      <c r="H334" s="784"/>
      <c r="I334" s="798"/>
      <c r="J334" s="777"/>
      <c r="K334" s="795" t="str">
        <f ca="1">W334</f>
        <v/>
      </c>
      <c r="L334" s="795" t="str">
        <f ca="1">V334</f>
        <v/>
      </c>
      <c r="M334" s="777"/>
      <c r="N334" s="777"/>
      <c r="P334" s="89">
        <f ca="1">IF(AND(EXACT(C334,C332),C332&lt;&gt;0),P332+1,0)</f>
        <v>9</v>
      </c>
      <c r="Q334" s="89" t="str">
        <f ca="1">IF(C334&lt;&gt;"",C334&amp;"-"&amp;P334,"")</f>
        <v/>
      </c>
      <c r="R334" s="89" t="str">
        <f t="array" aca="1" ref="R334" ca="1">IFERROR(IF(INDEX('Disaggregation Records'!$E$69:$E$152,MATCH(RIGHT(Q334,255),RIGHT('Disaggregation Records'!$D$69:$D$152,255),0))="","",INDEX('Disaggregation Records'!$E$69:$E$152,MATCH(RIGHT(Q334,255),RIGHT('Disaggregation Records'!$D$69:$D$152,255),0))),"")</f>
        <v/>
      </c>
      <c r="S334" s="89" t="str">
        <f t="array" aca="1" ref="S334" ca="1">IFERROR(IF(INDEX('Disaggregation Records'!$F$69:$F$152,MATCH(RIGHT(Q334,255),RIGHT('Disaggregation Records'!$D$69:$D$152,255),0))="","",INDEX('Disaggregation Records'!$F$69:$F$152,MATCH(RIGHT(Q334,255),RIGHT('Disaggregation Records'!$D$69:$D$152,255),0))),"")</f>
        <v/>
      </c>
      <c r="T334" s="89" t="str">
        <f t="array" aca="1" ref="T334" ca="1">IFERROR(IF(INDEX('Disaggregation Records'!$H$69:$H$152,MATCH(RIGHT(Q334,255),RIGHT('Disaggregation Records'!$D$69:$D$152,255),0))="","",INDEX('Disaggregation Records'!$H$69:$H$152,MATCH(RIGHT(Q334,255),RIGHT('Disaggregation Records'!$D$69:$D$152,255),0))),"")</f>
        <v/>
      </c>
      <c r="U334" s="89">
        <f>U332+1</f>
        <v>896</v>
      </c>
      <c r="V334" s="89" t="str">
        <f t="array" aca="1" ref="V334" ca="1">IFERROR(IF(INDEX('Disaggregation Records'!$I$69:$I$152,MATCH(RIGHT(Q334,255),RIGHT('Disaggregation Records'!$D$69:$D$152,255),0))="","",INDEX('Disaggregation Records'!$I$69:$I$152,MATCH(RIGHT(Q334,255),RIGHT('Disaggregation Records'!$D$69:$D$152,255),0))),"")</f>
        <v/>
      </c>
      <c r="W334" s="89" t="str">
        <f ca="1">IFERROR(INDEX('Reference Records'!P$23:P$74,MATCH(LEFT(C334,255),'Reference Records'!J$23:J$74,0)),"")</f>
        <v/>
      </c>
    </row>
    <row r="335" spans="1:23" s="89" customFormat="1" ht="40.35" customHeight="1">
      <c r="A335" s="564"/>
      <c r="B335" s="799"/>
      <c r="C335" s="800"/>
      <c r="D335" s="801"/>
      <c r="E335" s="801"/>
      <c r="F335" s="128"/>
      <c r="G335" s="802"/>
      <c r="H335" s="781"/>
      <c r="I335" s="803"/>
      <c r="J335" s="779"/>
      <c r="K335" s="800"/>
      <c r="L335" s="800"/>
      <c r="M335" s="779"/>
      <c r="N335" s="779"/>
      <c r="V335" s="89" t="str">
        <f t="array" ref="V335">IFERROR(IF(INDEX('Disaggregation Records'!$I$69:$I$152,MATCH(RIGHT(Q335,255),RIGHT('Disaggregation Records'!$D$69:$D$152,255),0))="","",INDEX('Disaggregation Records'!$I$69:$I$152,MATCH(RIGHT(Q335,255),RIGHT('Disaggregation Records'!$D$69:$D$152,255),0))),"")</f>
        <v/>
      </c>
    </row>
    <row r="336" spans="1:23" s="89" customFormat="1" ht="40.35" customHeight="1">
      <c r="A336" s="564" t="str">
        <f ca="1">INDIRECT("'update Helper'!C"&amp;U336)</f>
        <v>a1V3p000006h2vuEAA</v>
      </c>
      <c r="B336" s="794">
        <v>2</v>
      </c>
      <c r="C336" s="795" t="str">
        <f ca="1">IFERROR(VLOOKUP(B336,'Outcome Indicators - Section C '!$A$9:$AF$70,32,FALSE),"")</f>
        <v>HIV O-4a⁽ᴹ⁾ Porcentaje de hombres que afirman haber utilizado preservativo en su última relación de sexo anal con una pareja masculina no regular</v>
      </c>
      <c r="D336" s="796" t="str">
        <f ca="1">R336</f>
        <v>Edad</v>
      </c>
      <c r="E336" s="796" t="str">
        <f ca="1">S336</f>
        <v>25+</v>
      </c>
      <c r="F336" s="127">
        <v>566</v>
      </c>
      <c r="G336" s="797">
        <f ca="1">IF(OR(INDIRECT("'update Helper'!E"&amp;U336)="",F336&lt;&gt;0,F337&lt;&gt;0),IF(IFERROR((F336/F337),"")="","",(F336/F337)),INDIRECT("'update Helper'!E"&amp;U336)/100)</f>
        <v>0.77747252747252749</v>
      </c>
      <c r="H336" s="784">
        <v>2021</v>
      </c>
      <c r="I336" s="798" t="s">
        <v>5498</v>
      </c>
      <c r="J336" s="777"/>
      <c r="K336" s="795" t="str">
        <f ca="1">W336</f>
        <v>HIV O-4a⁽ᴹ⁾ Percentage of men reporting the use of a condom the last time they had anal sex with a non regular partner</v>
      </c>
      <c r="L336" s="795" t="str">
        <f ca="1">V336</f>
        <v>Age</v>
      </c>
      <c r="M336" s="777"/>
      <c r="N336" s="777"/>
      <c r="P336" s="89">
        <f ca="1">IF(AND(EXACT(C336,C334),C334&lt;&gt;0),P334+1,0)</f>
        <v>0</v>
      </c>
      <c r="Q336" s="89" t="str">
        <f ca="1">IF(C336&lt;&gt;"",C336&amp;"-"&amp;P336,"")</f>
        <v>HIV O-4a⁽ᴹ⁾ Porcentaje de hombres que afirman haber utilizado preservativo en su última relación de sexo anal con una pareja masculina no regular-0</v>
      </c>
      <c r="R336" s="89" t="str">
        <f t="array" aca="1" ref="R336" ca="1">IFERROR(IF(INDEX('Disaggregation Records'!$E$69:$E$152,MATCH(RIGHT(Q336,255),RIGHT('Disaggregation Records'!$D$69:$D$152,255),0))="","",INDEX('Disaggregation Records'!$E$69:$E$152,MATCH(RIGHT(Q336,255),RIGHT('Disaggregation Records'!$D$69:$D$152,255),0))),"")</f>
        <v>Edad</v>
      </c>
      <c r="S336" s="89" t="str">
        <f t="array" aca="1" ref="S336" ca="1">IFERROR(IF(INDEX('Disaggregation Records'!$F$69:$F$152,MATCH(RIGHT(Q336,255),RIGHT('Disaggregation Records'!$D$69:$D$152,255),0))="","",INDEX('Disaggregation Records'!$F$69:$F$152,MATCH(RIGHT(Q336,255),RIGHT('Disaggregation Records'!$D$69:$D$152,255),0))),"")</f>
        <v>25+</v>
      </c>
      <c r="T336" s="89" t="str">
        <f t="array" aca="1" ref="T336" ca="1">IFERROR(IF(INDEX('Disaggregation Records'!$H$69:$H$152,MATCH(RIGHT(Q336,255),RIGHT('Disaggregation Records'!$D$69:$D$152,255),0))="","",INDEX('Disaggregation Records'!$H$69:$H$152,MATCH(RIGHT(Q336,255),RIGHT('Disaggregation Records'!$D$69:$D$152,255),0))),"")</f>
        <v>IDR-00671</v>
      </c>
      <c r="U336" s="89">
        <f>U334+1</f>
        <v>897</v>
      </c>
      <c r="V336" s="89" t="str">
        <f t="array" aca="1" ref="V336" ca="1">IFERROR(IF(INDEX('Disaggregation Records'!$I$69:$I$152,MATCH(RIGHT(Q336,255),RIGHT('Disaggregation Records'!$D$69:$D$152,255),0))="","",INDEX('Disaggregation Records'!$I$69:$I$152,MATCH(RIGHT(Q336,255),RIGHT('Disaggregation Records'!$D$69:$D$152,255),0))),"")</f>
        <v>Age</v>
      </c>
      <c r="W336" s="89" t="str">
        <f ca="1">IFERROR(INDEX('Reference Records'!P$23:P$74,MATCH(LEFT(C336,255),'Reference Records'!J$23:J$74,0)),"")</f>
        <v>HIV O-4a⁽ᴹ⁾ Percentage of men reporting the use of a condom the last time they had anal sex with a non regular partner</v>
      </c>
    </row>
    <row r="337" spans="1:23" s="89" customFormat="1" ht="40.35" customHeight="1">
      <c r="A337" s="564"/>
      <c r="B337" s="799"/>
      <c r="C337" s="800"/>
      <c r="D337" s="801"/>
      <c r="E337" s="801"/>
      <c r="F337" s="128">
        <v>728</v>
      </c>
      <c r="G337" s="802"/>
      <c r="H337" s="781"/>
      <c r="I337" s="803"/>
      <c r="J337" s="779"/>
      <c r="K337" s="800"/>
      <c r="L337" s="800"/>
      <c r="M337" s="779"/>
      <c r="N337" s="779"/>
      <c r="V337" s="89" t="str">
        <f t="array" ref="V337">IFERROR(IF(INDEX('Disaggregation Records'!$I$69:$I$152,MATCH(RIGHT(Q337,255),RIGHT('Disaggregation Records'!$D$69:$D$152,255),0))="","",INDEX('Disaggregation Records'!$I$69:$I$152,MATCH(RIGHT(Q337,255),RIGHT('Disaggregation Records'!$D$69:$D$152,255),0))),"")</f>
        <v/>
      </c>
    </row>
    <row r="338" spans="1:23" s="89" customFormat="1" ht="40.35" customHeight="1">
      <c r="A338" s="564" t="str">
        <f ca="1">INDIRECT("'update Helper'!C"&amp;U338)</f>
        <v>a1V3p000006h2vvEAA</v>
      </c>
      <c r="B338" s="794">
        <v>2</v>
      </c>
      <c r="C338" s="795" t="str">
        <f ca="1">IFERROR(VLOOKUP(B338,'Outcome Indicators - Section C '!$A$9:$AF$70,32,FALSE),"")</f>
        <v>HIV O-4a⁽ᴹ⁾ Porcentaje de hombres que afirman haber utilizado preservativo en su última relación de sexo anal con una pareja masculina no regular</v>
      </c>
      <c r="D338" s="796" t="str">
        <f ca="1">R338</f>
        <v>Edad</v>
      </c>
      <c r="E338" s="796" t="str">
        <f ca="1">S338</f>
        <v>&lt;25</v>
      </c>
      <c r="F338" s="127">
        <v>323</v>
      </c>
      <c r="G338" s="797">
        <f ca="1">IF(OR(INDIRECT("'update Helper'!E"&amp;U338)="",F338&lt;&gt;0,F339&lt;&gt;0),IF(IFERROR((F338/F339),"")="","",(F338/F339)),INDIRECT("'update Helper'!E"&amp;U338)/100)</f>
        <v>0.71618625277161863</v>
      </c>
      <c r="H338" s="784">
        <v>2021</v>
      </c>
      <c r="I338" s="798" t="s">
        <v>5498</v>
      </c>
      <c r="J338" s="777"/>
      <c r="K338" s="795" t="str">
        <f ca="1">W338</f>
        <v>HIV O-4a⁽ᴹ⁾ Percentage of men reporting the use of a condom the last time they had anal sex with a non regular partner</v>
      </c>
      <c r="L338" s="795" t="str">
        <f ca="1">V338</f>
        <v>Age</v>
      </c>
      <c r="M338" s="777"/>
      <c r="N338" s="777"/>
      <c r="P338" s="89">
        <f ca="1">IF(AND(EXACT(C338,C336),C336&lt;&gt;0),P336+1,0)</f>
        <v>1</v>
      </c>
      <c r="Q338" s="89" t="str">
        <f ca="1">IF(C338&lt;&gt;"",C338&amp;"-"&amp;P338,"")</f>
        <v>HIV O-4a⁽ᴹ⁾ Porcentaje de hombres que afirman haber utilizado preservativo en su última relación de sexo anal con una pareja masculina no regular-1</v>
      </c>
      <c r="R338" s="89" t="str">
        <f t="array" aca="1" ref="R338" ca="1">IFERROR(IF(INDEX('Disaggregation Records'!$E$69:$E$152,MATCH(RIGHT(Q338,255),RIGHT('Disaggregation Records'!$D$69:$D$152,255),0))="","",INDEX('Disaggregation Records'!$E$69:$E$152,MATCH(RIGHT(Q338,255),RIGHT('Disaggregation Records'!$D$69:$D$152,255),0))),"")</f>
        <v>Edad</v>
      </c>
      <c r="S338" s="89" t="str">
        <f t="array" aca="1" ref="S338" ca="1">IFERROR(IF(INDEX('Disaggregation Records'!$F$69:$F$152,MATCH(RIGHT(Q338,255),RIGHT('Disaggregation Records'!$D$69:$D$152,255),0))="","",INDEX('Disaggregation Records'!$F$69:$F$152,MATCH(RIGHT(Q338,255),RIGHT('Disaggregation Records'!$D$69:$D$152,255),0))),"")</f>
        <v>&lt;25</v>
      </c>
      <c r="T338" s="89" t="str">
        <f t="array" aca="1" ref="T338" ca="1">IFERROR(IF(INDEX('Disaggregation Records'!$H$69:$H$152,MATCH(RIGHT(Q338,255),RIGHT('Disaggregation Records'!$D$69:$D$152,255),0))="","",INDEX('Disaggregation Records'!$H$69:$H$152,MATCH(RIGHT(Q338,255),RIGHT('Disaggregation Records'!$D$69:$D$152,255),0))),"")</f>
        <v>IDR-00670</v>
      </c>
      <c r="U338" s="89">
        <f>U336+1</f>
        <v>898</v>
      </c>
      <c r="V338" s="89" t="str">
        <f t="array" aca="1" ref="V338" ca="1">IFERROR(IF(INDEX('Disaggregation Records'!$I$69:$I$152,MATCH(RIGHT(Q338,255),RIGHT('Disaggregation Records'!$D$69:$D$152,255),0))="","",INDEX('Disaggregation Records'!$I$69:$I$152,MATCH(RIGHT(Q338,255),RIGHT('Disaggregation Records'!$D$69:$D$152,255),0))),"")</f>
        <v>Age</v>
      </c>
      <c r="W338" s="89" t="str">
        <f ca="1">IFERROR(INDEX('Reference Records'!P$23:P$74,MATCH(LEFT(C338,255),'Reference Records'!J$23:J$74,0)),"")</f>
        <v>HIV O-4a⁽ᴹ⁾ Percentage of men reporting the use of a condom the last time they had anal sex with a non regular partner</v>
      </c>
    </row>
    <row r="339" spans="1:23" s="89" customFormat="1" ht="40.35" customHeight="1">
      <c r="A339" s="564"/>
      <c r="B339" s="799"/>
      <c r="C339" s="800"/>
      <c r="D339" s="801"/>
      <c r="E339" s="801"/>
      <c r="F339" s="128">
        <v>451</v>
      </c>
      <c r="G339" s="802"/>
      <c r="H339" s="781"/>
      <c r="I339" s="803"/>
      <c r="J339" s="779"/>
      <c r="K339" s="800"/>
      <c r="L339" s="800"/>
      <c r="M339" s="779"/>
      <c r="N339" s="779"/>
      <c r="V339" s="89" t="str">
        <f t="array" ref="V339">IFERROR(IF(INDEX('Disaggregation Records'!$I$69:$I$152,MATCH(RIGHT(Q339,255),RIGHT('Disaggregation Records'!$D$69:$D$152,255),0))="","",INDEX('Disaggregation Records'!$I$69:$I$152,MATCH(RIGHT(Q339,255),RIGHT('Disaggregation Records'!$D$69:$D$152,255),0))),"")</f>
        <v/>
      </c>
    </row>
    <row r="340" spans="1:23" s="89" customFormat="1" ht="40.35" customHeight="1">
      <c r="A340" s="564" t="str">
        <f ca="1">INDIRECT("'update Helper'!C"&amp;U340)</f>
        <v>a1V3p000006h2vwEAA</v>
      </c>
      <c r="B340" s="794">
        <v>2</v>
      </c>
      <c r="C340" s="795" t="str">
        <f ca="1">IFERROR(VLOOKUP(B340,'Outcome Indicators - Section C '!$A$9:$AF$70,32,FALSE),"")</f>
        <v>HIV O-4a⁽ᴹ⁾ Porcentaje de hombres que afirman haber utilizado preservativo en su última relación de sexo anal con una pareja masculina no regular</v>
      </c>
      <c r="D340" s="796" t="str">
        <f ca="1">R340</f>
        <v/>
      </c>
      <c r="E340" s="796" t="str">
        <f ca="1">S340</f>
        <v/>
      </c>
      <c r="F340" s="127"/>
      <c r="G340" s="797" t="str">
        <f ca="1">IF(OR(INDIRECT("'update Helper'!E"&amp;U340)="",F340&lt;&gt;0,F341&lt;&gt;0),IF(IFERROR((F340/F341),"")="","",(F340/F341)),INDIRECT("'update Helper'!E"&amp;U340)/100)</f>
        <v/>
      </c>
      <c r="H340" s="784"/>
      <c r="I340" s="798"/>
      <c r="J340" s="777"/>
      <c r="K340" s="795" t="str">
        <f ca="1">W340</f>
        <v>HIV O-4a⁽ᴹ⁾ Percentage of men reporting the use of a condom the last time they had anal sex with a non regular partner</v>
      </c>
      <c r="L340" s="795" t="str">
        <f ca="1">V340</f>
        <v/>
      </c>
      <c r="M340" s="777"/>
      <c r="N340" s="777"/>
      <c r="P340" s="89">
        <f ca="1">IF(AND(EXACT(C340,C338),C338&lt;&gt;0),P338+1,0)</f>
        <v>2</v>
      </c>
      <c r="Q340" s="89" t="str">
        <f ca="1">IF(C340&lt;&gt;"",C340&amp;"-"&amp;P340,"")</f>
        <v>HIV O-4a⁽ᴹ⁾ Porcentaje de hombres que afirman haber utilizado preservativo en su última relación de sexo anal con una pareja masculina no regular-2</v>
      </c>
      <c r="R340" s="89" t="str">
        <f t="array" aca="1" ref="R340" ca="1">IFERROR(IF(INDEX('Disaggregation Records'!$E$69:$E$152,MATCH(RIGHT(Q340,255),RIGHT('Disaggregation Records'!$D$69:$D$152,255),0))="","",INDEX('Disaggregation Records'!$E$69:$E$152,MATCH(RIGHT(Q340,255),RIGHT('Disaggregation Records'!$D$69:$D$152,255),0))),"")</f>
        <v/>
      </c>
      <c r="S340" s="89" t="str">
        <f t="array" aca="1" ref="S340" ca="1">IFERROR(IF(INDEX('Disaggregation Records'!$F$69:$F$152,MATCH(RIGHT(Q340,255),RIGHT('Disaggregation Records'!$D$69:$D$152,255),0))="","",INDEX('Disaggregation Records'!$F$69:$F$152,MATCH(RIGHT(Q340,255),RIGHT('Disaggregation Records'!$D$69:$D$152,255),0))),"")</f>
        <v/>
      </c>
      <c r="T340" s="89" t="str">
        <f t="array" aca="1" ref="T340" ca="1">IFERROR(IF(INDEX('Disaggregation Records'!$H$69:$H$152,MATCH(RIGHT(Q340,255),RIGHT('Disaggregation Records'!$D$69:$D$152,255),0))="","",INDEX('Disaggregation Records'!$H$69:$H$152,MATCH(RIGHT(Q340,255),RIGHT('Disaggregation Records'!$D$69:$D$152,255),0))),"")</f>
        <v/>
      </c>
      <c r="U340" s="89">
        <f>U338+1</f>
        <v>899</v>
      </c>
      <c r="V340" s="89" t="str">
        <f t="array" aca="1" ref="V340" ca="1">IFERROR(IF(INDEX('Disaggregation Records'!$I$69:$I$152,MATCH(RIGHT(Q340,255),RIGHT('Disaggregation Records'!$D$69:$D$152,255),0))="","",INDEX('Disaggregation Records'!$I$69:$I$152,MATCH(RIGHT(Q340,255),RIGHT('Disaggregation Records'!$D$69:$D$152,255),0))),"")</f>
        <v/>
      </c>
      <c r="W340" s="89" t="str">
        <f ca="1">IFERROR(INDEX('Reference Records'!P$23:P$74,MATCH(LEFT(C340,255),'Reference Records'!J$23:J$74,0)),"")</f>
        <v>HIV O-4a⁽ᴹ⁾ Percentage of men reporting the use of a condom the last time they had anal sex with a non regular partner</v>
      </c>
    </row>
    <row r="341" spans="1:23" s="89" customFormat="1" ht="40.35" customHeight="1">
      <c r="A341" s="564"/>
      <c r="B341" s="799"/>
      <c r="C341" s="800"/>
      <c r="D341" s="801"/>
      <c r="E341" s="801"/>
      <c r="F341" s="128"/>
      <c r="G341" s="802"/>
      <c r="H341" s="781"/>
      <c r="I341" s="803"/>
      <c r="J341" s="779"/>
      <c r="K341" s="800"/>
      <c r="L341" s="800"/>
      <c r="M341" s="779"/>
      <c r="N341" s="779"/>
      <c r="V341" s="89" t="str">
        <f t="array" ref="V341">IFERROR(IF(INDEX('Disaggregation Records'!$I$69:$I$152,MATCH(RIGHT(Q341,255),RIGHT('Disaggregation Records'!$D$69:$D$152,255),0))="","",INDEX('Disaggregation Records'!$I$69:$I$152,MATCH(RIGHT(Q341,255),RIGHT('Disaggregation Records'!$D$69:$D$152,255),0))),"")</f>
        <v/>
      </c>
    </row>
    <row r="342" spans="1:23" s="89" customFormat="1" ht="40.35" customHeight="1">
      <c r="A342" s="564" t="str">
        <f ca="1">INDIRECT("'update Helper'!C"&amp;U342)</f>
        <v>a1V3p000006h2vxEAA</v>
      </c>
      <c r="B342" s="794">
        <v>2</v>
      </c>
      <c r="C342" s="795" t="str">
        <f ca="1">IFERROR(VLOOKUP(B342,'Outcome Indicators - Section C '!$A$9:$AF$70,32,FALSE),"")</f>
        <v>HIV O-4a⁽ᴹ⁾ Porcentaje de hombres que afirman haber utilizado preservativo en su última relación de sexo anal con una pareja masculina no regular</v>
      </c>
      <c r="D342" s="796" t="str">
        <f ca="1">R342</f>
        <v/>
      </c>
      <c r="E342" s="796" t="str">
        <f ca="1">S342</f>
        <v/>
      </c>
      <c r="F342" s="127"/>
      <c r="G342" s="797" t="str">
        <f ca="1">IF(OR(INDIRECT("'update Helper'!E"&amp;U342)="",F342&lt;&gt;0,F343&lt;&gt;0),IF(IFERROR((F342/F343),"")="","",(F342/F343)),INDIRECT("'update Helper'!E"&amp;U342)/100)</f>
        <v/>
      </c>
      <c r="H342" s="784"/>
      <c r="I342" s="798"/>
      <c r="J342" s="777"/>
      <c r="K342" s="795" t="str">
        <f ca="1">W342</f>
        <v>HIV O-4a⁽ᴹ⁾ Percentage of men reporting the use of a condom the last time they had anal sex with a non regular partner</v>
      </c>
      <c r="L342" s="795" t="str">
        <f ca="1">V342</f>
        <v/>
      </c>
      <c r="M342" s="777"/>
      <c r="N342" s="777"/>
      <c r="P342" s="89">
        <f ca="1">IF(AND(EXACT(C342,C340),C340&lt;&gt;0),P340+1,0)</f>
        <v>3</v>
      </c>
      <c r="Q342" s="89" t="str">
        <f ca="1">IF(C342&lt;&gt;"",C342&amp;"-"&amp;P342,"")</f>
        <v>HIV O-4a⁽ᴹ⁾ Porcentaje de hombres que afirman haber utilizado preservativo en su última relación de sexo anal con una pareja masculina no regular-3</v>
      </c>
      <c r="R342" s="89" t="str">
        <f t="array" aca="1" ref="R342" ca="1">IFERROR(IF(INDEX('Disaggregation Records'!$E$69:$E$152,MATCH(RIGHT(Q342,255),RIGHT('Disaggregation Records'!$D$69:$D$152,255),0))="","",INDEX('Disaggregation Records'!$E$69:$E$152,MATCH(RIGHT(Q342,255),RIGHT('Disaggregation Records'!$D$69:$D$152,255),0))),"")</f>
        <v/>
      </c>
      <c r="S342" s="89" t="str">
        <f t="array" aca="1" ref="S342" ca="1">IFERROR(IF(INDEX('Disaggregation Records'!$F$69:$F$152,MATCH(RIGHT(Q342,255),RIGHT('Disaggregation Records'!$D$69:$D$152,255),0))="","",INDEX('Disaggregation Records'!$F$69:$F$152,MATCH(RIGHT(Q342,255),RIGHT('Disaggregation Records'!$D$69:$D$152,255),0))),"")</f>
        <v/>
      </c>
      <c r="T342" s="89" t="str">
        <f t="array" aca="1" ref="T342" ca="1">IFERROR(IF(INDEX('Disaggregation Records'!$H$69:$H$152,MATCH(RIGHT(Q342,255),RIGHT('Disaggregation Records'!$D$69:$D$152,255),0))="","",INDEX('Disaggregation Records'!$H$69:$H$152,MATCH(RIGHT(Q342,255),RIGHT('Disaggregation Records'!$D$69:$D$152,255),0))),"")</f>
        <v/>
      </c>
      <c r="U342" s="89">
        <f>U340+1</f>
        <v>900</v>
      </c>
      <c r="V342" s="89" t="str">
        <f t="array" aca="1" ref="V342" ca="1">IFERROR(IF(INDEX('Disaggregation Records'!$I$69:$I$152,MATCH(RIGHT(Q342,255),RIGHT('Disaggregation Records'!$D$69:$D$152,255),0))="","",INDEX('Disaggregation Records'!$I$69:$I$152,MATCH(RIGHT(Q342,255),RIGHT('Disaggregation Records'!$D$69:$D$152,255),0))),"")</f>
        <v/>
      </c>
      <c r="W342" s="89" t="str">
        <f ca="1">IFERROR(INDEX('Reference Records'!P$23:P$74,MATCH(LEFT(C342,255),'Reference Records'!J$23:J$74,0)),"")</f>
        <v>HIV O-4a⁽ᴹ⁾ Percentage of men reporting the use of a condom the last time they had anal sex with a non regular partner</v>
      </c>
    </row>
    <row r="343" spans="1:23" s="89" customFormat="1" ht="40.35" customHeight="1">
      <c r="A343" s="564"/>
      <c r="B343" s="799"/>
      <c r="C343" s="800"/>
      <c r="D343" s="801"/>
      <c r="E343" s="801"/>
      <c r="F343" s="128"/>
      <c r="G343" s="802"/>
      <c r="H343" s="781"/>
      <c r="I343" s="803"/>
      <c r="J343" s="779"/>
      <c r="K343" s="800"/>
      <c r="L343" s="800"/>
      <c r="M343" s="779"/>
      <c r="N343" s="779"/>
      <c r="V343" s="89" t="str">
        <f t="array" ref="V343">IFERROR(IF(INDEX('Disaggregation Records'!$I$69:$I$152,MATCH(RIGHT(Q343,255),RIGHT('Disaggregation Records'!$D$69:$D$152,255),0))="","",INDEX('Disaggregation Records'!$I$69:$I$152,MATCH(RIGHT(Q343,255),RIGHT('Disaggregation Records'!$D$69:$D$152,255),0))),"")</f>
        <v/>
      </c>
    </row>
    <row r="344" spans="1:23" s="89" customFormat="1" ht="40.35" customHeight="1">
      <c r="A344" s="564" t="str">
        <f ca="1">INDIRECT("'update Helper'!C"&amp;U344)</f>
        <v>a1V3p000006h2vyEAA</v>
      </c>
      <c r="B344" s="794">
        <v>2</v>
      </c>
      <c r="C344" s="795" t="str">
        <f ca="1">IFERROR(VLOOKUP(B344,'Outcome Indicators - Section C '!$A$9:$AF$70,32,FALSE),"")</f>
        <v>HIV O-4a⁽ᴹ⁾ Porcentaje de hombres que afirman haber utilizado preservativo en su última relación de sexo anal con una pareja masculina no regular</v>
      </c>
      <c r="D344" s="796" t="str">
        <f ca="1">R344</f>
        <v/>
      </c>
      <c r="E344" s="796" t="str">
        <f ca="1">S344</f>
        <v/>
      </c>
      <c r="F344" s="127"/>
      <c r="G344" s="797" t="str">
        <f ca="1">IF(OR(INDIRECT("'update Helper'!E"&amp;U344)="",F344&lt;&gt;0,F345&lt;&gt;0),IF(IFERROR((F344/F345),"")="","",(F344/F345)),INDIRECT("'update Helper'!E"&amp;U344)/100)</f>
        <v/>
      </c>
      <c r="H344" s="784"/>
      <c r="I344" s="798"/>
      <c r="J344" s="777"/>
      <c r="K344" s="795" t="str">
        <f ca="1">W344</f>
        <v>HIV O-4a⁽ᴹ⁾ Percentage of men reporting the use of a condom the last time they had anal sex with a non regular partner</v>
      </c>
      <c r="L344" s="795" t="str">
        <f ca="1">V344</f>
        <v/>
      </c>
      <c r="M344" s="777"/>
      <c r="N344" s="777"/>
      <c r="P344" s="89">
        <f ca="1">IF(AND(EXACT(C344,C342),C342&lt;&gt;0),P342+1,0)</f>
        <v>4</v>
      </c>
      <c r="Q344" s="89" t="str">
        <f ca="1">IF(C344&lt;&gt;"",C344&amp;"-"&amp;P344,"")</f>
        <v>HIV O-4a⁽ᴹ⁾ Porcentaje de hombres que afirman haber utilizado preservativo en su última relación de sexo anal con una pareja masculina no regular-4</v>
      </c>
      <c r="R344" s="89" t="str">
        <f t="array" aca="1" ref="R344" ca="1">IFERROR(IF(INDEX('Disaggregation Records'!$E$69:$E$152,MATCH(RIGHT(Q344,255),RIGHT('Disaggregation Records'!$D$69:$D$152,255),0))="","",INDEX('Disaggregation Records'!$E$69:$E$152,MATCH(RIGHT(Q344,255),RIGHT('Disaggregation Records'!$D$69:$D$152,255),0))),"")</f>
        <v/>
      </c>
      <c r="S344" s="89" t="str">
        <f t="array" aca="1" ref="S344" ca="1">IFERROR(IF(INDEX('Disaggregation Records'!$F$69:$F$152,MATCH(RIGHT(Q344,255),RIGHT('Disaggregation Records'!$D$69:$D$152,255),0))="","",INDEX('Disaggregation Records'!$F$69:$F$152,MATCH(RIGHT(Q344,255),RIGHT('Disaggregation Records'!$D$69:$D$152,255),0))),"")</f>
        <v/>
      </c>
      <c r="T344" s="89" t="str">
        <f t="array" aca="1" ref="T344" ca="1">IFERROR(IF(INDEX('Disaggregation Records'!$H$69:$H$152,MATCH(RIGHT(Q344,255),RIGHT('Disaggregation Records'!$D$69:$D$152,255),0))="","",INDEX('Disaggregation Records'!$H$69:$H$152,MATCH(RIGHT(Q344,255),RIGHT('Disaggregation Records'!$D$69:$D$152,255),0))),"")</f>
        <v/>
      </c>
      <c r="U344" s="89">
        <f>U342+1</f>
        <v>901</v>
      </c>
      <c r="V344" s="89" t="str">
        <f t="array" aca="1" ref="V344" ca="1">IFERROR(IF(INDEX('Disaggregation Records'!$I$69:$I$152,MATCH(RIGHT(Q344,255),RIGHT('Disaggregation Records'!$D$69:$D$152,255),0))="","",INDEX('Disaggregation Records'!$I$69:$I$152,MATCH(RIGHT(Q344,255),RIGHT('Disaggregation Records'!$D$69:$D$152,255),0))),"")</f>
        <v/>
      </c>
      <c r="W344" s="89" t="str">
        <f ca="1">IFERROR(INDEX('Reference Records'!P$23:P$74,MATCH(LEFT(C344,255),'Reference Records'!J$23:J$74,0)),"")</f>
        <v>HIV O-4a⁽ᴹ⁾ Percentage of men reporting the use of a condom the last time they had anal sex with a non regular partner</v>
      </c>
    </row>
    <row r="345" spans="1:23" s="89" customFormat="1" ht="40.35" customHeight="1">
      <c r="A345" s="564"/>
      <c r="B345" s="799"/>
      <c r="C345" s="800"/>
      <c r="D345" s="801"/>
      <c r="E345" s="801"/>
      <c r="F345" s="128"/>
      <c r="G345" s="802"/>
      <c r="H345" s="781"/>
      <c r="I345" s="803"/>
      <c r="J345" s="779"/>
      <c r="K345" s="800"/>
      <c r="L345" s="800"/>
      <c r="M345" s="779"/>
      <c r="N345" s="779"/>
      <c r="V345" s="89" t="str">
        <f t="array" ref="V345">IFERROR(IF(INDEX('Disaggregation Records'!$I$69:$I$152,MATCH(RIGHT(Q345,255),RIGHT('Disaggregation Records'!$D$69:$D$152,255),0))="","",INDEX('Disaggregation Records'!$I$69:$I$152,MATCH(RIGHT(Q345,255),RIGHT('Disaggregation Records'!$D$69:$D$152,255),0))),"")</f>
        <v/>
      </c>
    </row>
    <row r="346" spans="1:23" s="89" customFormat="1" ht="40.35" customHeight="1">
      <c r="A346" s="564" t="str">
        <f ca="1">INDIRECT("'update Helper'!C"&amp;U346)</f>
        <v>a1V3p000006h2vzEAA</v>
      </c>
      <c r="B346" s="794">
        <v>2</v>
      </c>
      <c r="C346" s="795" t="str">
        <f ca="1">IFERROR(VLOOKUP(B346,'Outcome Indicators - Section C '!$A$9:$AF$70,32,FALSE),"")</f>
        <v>HIV O-4a⁽ᴹ⁾ Porcentaje de hombres que afirman haber utilizado preservativo en su última relación de sexo anal con una pareja masculina no regular</v>
      </c>
      <c r="D346" s="796" t="str">
        <f ca="1">R346</f>
        <v/>
      </c>
      <c r="E346" s="796" t="str">
        <f ca="1">S346</f>
        <v/>
      </c>
      <c r="F346" s="127"/>
      <c r="G346" s="797" t="str">
        <f ca="1">IF(OR(INDIRECT("'update Helper'!E"&amp;U346)="",F346&lt;&gt;0,F347&lt;&gt;0),IF(IFERROR((F346/F347),"")="","",(F346/F347)),INDIRECT("'update Helper'!E"&amp;U346)/100)</f>
        <v/>
      </c>
      <c r="H346" s="784"/>
      <c r="I346" s="798"/>
      <c r="J346" s="777"/>
      <c r="K346" s="795" t="str">
        <f ca="1">W346</f>
        <v>HIV O-4a⁽ᴹ⁾ Percentage of men reporting the use of a condom the last time they had anal sex with a non regular partner</v>
      </c>
      <c r="L346" s="795" t="str">
        <f ca="1">V346</f>
        <v/>
      </c>
      <c r="M346" s="777"/>
      <c r="N346" s="777"/>
      <c r="P346" s="89">
        <f ca="1">IF(AND(EXACT(C346,C344),C344&lt;&gt;0),P344+1,0)</f>
        <v>5</v>
      </c>
      <c r="Q346" s="89" t="str">
        <f ca="1">IF(C346&lt;&gt;"",C346&amp;"-"&amp;P346,"")</f>
        <v>HIV O-4a⁽ᴹ⁾ Porcentaje de hombres que afirman haber utilizado preservativo en su última relación de sexo anal con una pareja masculina no regular-5</v>
      </c>
      <c r="R346" s="89" t="str">
        <f t="array" aca="1" ref="R346" ca="1">IFERROR(IF(INDEX('Disaggregation Records'!$E$69:$E$152,MATCH(RIGHT(Q346,255),RIGHT('Disaggregation Records'!$D$69:$D$152,255),0))="","",INDEX('Disaggregation Records'!$E$69:$E$152,MATCH(RIGHT(Q346,255),RIGHT('Disaggregation Records'!$D$69:$D$152,255),0))),"")</f>
        <v/>
      </c>
      <c r="S346" s="89" t="str">
        <f t="array" aca="1" ref="S346" ca="1">IFERROR(IF(INDEX('Disaggregation Records'!$F$69:$F$152,MATCH(RIGHT(Q346,255),RIGHT('Disaggregation Records'!$D$69:$D$152,255),0))="","",INDEX('Disaggregation Records'!$F$69:$F$152,MATCH(RIGHT(Q346,255),RIGHT('Disaggregation Records'!$D$69:$D$152,255),0))),"")</f>
        <v/>
      </c>
      <c r="T346" s="89" t="str">
        <f t="array" aca="1" ref="T346" ca="1">IFERROR(IF(INDEX('Disaggregation Records'!$H$69:$H$152,MATCH(RIGHT(Q346,255),RIGHT('Disaggregation Records'!$D$69:$D$152,255),0))="","",INDEX('Disaggregation Records'!$H$69:$H$152,MATCH(RIGHT(Q346,255),RIGHT('Disaggregation Records'!$D$69:$D$152,255),0))),"")</f>
        <v/>
      </c>
      <c r="U346" s="89">
        <f>U344+1</f>
        <v>902</v>
      </c>
      <c r="V346" s="89" t="str">
        <f t="array" aca="1" ref="V346" ca="1">IFERROR(IF(INDEX('Disaggregation Records'!$I$69:$I$152,MATCH(RIGHT(Q346,255),RIGHT('Disaggregation Records'!$D$69:$D$152,255),0))="","",INDEX('Disaggregation Records'!$I$69:$I$152,MATCH(RIGHT(Q346,255),RIGHT('Disaggregation Records'!$D$69:$D$152,255),0))),"")</f>
        <v/>
      </c>
      <c r="W346" s="89" t="str">
        <f ca="1">IFERROR(INDEX('Reference Records'!P$23:P$74,MATCH(LEFT(C346,255),'Reference Records'!J$23:J$74,0)),"")</f>
        <v>HIV O-4a⁽ᴹ⁾ Percentage of men reporting the use of a condom the last time they had anal sex with a non regular partner</v>
      </c>
    </row>
    <row r="347" spans="1:23" s="89" customFormat="1" ht="40.35" customHeight="1">
      <c r="A347" s="564"/>
      <c r="B347" s="799"/>
      <c r="C347" s="800"/>
      <c r="D347" s="801"/>
      <c r="E347" s="801"/>
      <c r="F347" s="128"/>
      <c r="G347" s="802"/>
      <c r="H347" s="781"/>
      <c r="I347" s="803"/>
      <c r="J347" s="779"/>
      <c r="K347" s="800"/>
      <c r="L347" s="800"/>
      <c r="M347" s="779"/>
      <c r="N347" s="779"/>
      <c r="V347" s="89" t="str">
        <f t="array" ref="V347">IFERROR(IF(INDEX('Disaggregation Records'!$I$69:$I$152,MATCH(RIGHT(Q347,255),RIGHT('Disaggregation Records'!$D$69:$D$152,255),0))="","",INDEX('Disaggregation Records'!$I$69:$I$152,MATCH(RIGHT(Q347,255),RIGHT('Disaggregation Records'!$D$69:$D$152,255),0))),"")</f>
        <v/>
      </c>
    </row>
    <row r="348" spans="1:23" s="89" customFormat="1" ht="40.35" customHeight="1">
      <c r="A348" s="564" t="str">
        <f ca="1">INDIRECT("'update Helper'!C"&amp;U348)</f>
        <v>a1V3p000006h2w0EAA</v>
      </c>
      <c r="B348" s="794">
        <v>2</v>
      </c>
      <c r="C348" s="795" t="str">
        <f ca="1">IFERROR(VLOOKUP(B348,'Outcome Indicators - Section C '!$A$9:$AF$70,32,FALSE),"")</f>
        <v>HIV O-4a⁽ᴹ⁾ Porcentaje de hombres que afirman haber utilizado preservativo en su última relación de sexo anal con una pareja masculina no regular</v>
      </c>
      <c r="D348" s="796" t="str">
        <f ca="1">R348</f>
        <v/>
      </c>
      <c r="E348" s="796" t="str">
        <f ca="1">S348</f>
        <v/>
      </c>
      <c r="F348" s="127"/>
      <c r="G348" s="797" t="str">
        <f ca="1">IF(OR(INDIRECT("'update Helper'!E"&amp;U348)="",F348&lt;&gt;0,F349&lt;&gt;0),IF(IFERROR((F348/F349),"")="","",(F348/F349)),INDIRECT("'update Helper'!E"&amp;U348)/100)</f>
        <v/>
      </c>
      <c r="H348" s="784"/>
      <c r="I348" s="798"/>
      <c r="J348" s="777"/>
      <c r="K348" s="795" t="str">
        <f ca="1">W348</f>
        <v>HIV O-4a⁽ᴹ⁾ Percentage of men reporting the use of a condom the last time they had anal sex with a non regular partner</v>
      </c>
      <c r="L348" s="795" t="str">
        <f ca="1">V348</f>
        <v/>
      </c>
      <c r="M348" s="777"/>
      <c r="N348" s="777"/>
      <c r="P348" s="89">
        <f ca="1">IF(AND(EXACT(C348,C346),C346&lt;&gt;0),P346+1,0)</f>
        <v>6</v>
      </c>
      <c r="Q348" s="89" t="str">
        <f ca="1">IF(C348&lt;&gt;"",C348&amp;"-"&amp;P348,"")</f>
        <v>HIV O-4a⁽ᴹ⁾ Porcentaje de hombres que afirman haber utilizado preservativo en su última relación de sexo anal con una pareja masculina no regular-6</v>
      </c>
      <c r="R348" s="89" t="str">
        <f t="array" aca="1" ref="R348" ca="1">IFERROR(IF(INDEX('Disaggregation Records'!$E$69:$E$152,MATCH(RIGHT(Q348,255),RIGHT('Disaggregation Records'!$D$69:$D$152,255),0))="","",INDEX('Disaggregation Records'!$E$69:$E$152,MATCH(RIGHT(Q348,255),RIGHT('Disaggregation Records'!$D$69:$D$152,255),0))),"")</f>
        <v/>
      </c>
      <c r="S348" s="89" t="str">
        <f t="array" aca="1" ref="S348" ca="1">IFERROR(IF(INDEX('Disaggregation Records'!$F$69:$F$152,MATCH(RIGHT(Q348,255),RIGHT('Disaggregation Records'!$D$69:$D$152,255),0))="","",INDEX('Disaggregation Records'!$F$69:$F$152,MATCH(RIGHT(Q348,255),RIGHT('Disaggregation Records'!$D$69:$D$152,255),0))),"")</f>
        <v/>
      </c>
      <c r="T348" s="89" t="str">
        <f t="array" aca="1" ref="T348" ca="1">IFERROR(IF(INDEX('Disaggregation Records'!$H$69:$H$152,MATCH(RIGHT(Q348,255),RIGHT('Disaggregation Records'!$D$69:$D$152,255),0))="","",INDEX('Disaggregation Records'!$H$69:$H$152,MATCH(RIGHT(Q348,255),RIGHT('Disaggregation Records'!$D$69:$D$152,255),0))),"")</f>
        <v/>
      </c>
      <c r="U348" s="89">
        <f>U346+1</f>
        <v>903</v>
      </c>
      <c r="V348" s="89" t="str">
        <f t="array" aca="1" ref="V348" ca="1">IFERROR(IF(INDEX('Disaggregation Records'!$I$69:$I$152,MATCH(RIGHT(Q348,255),RIGHT('Disaggregation Records'!$D$69:$D$152,255),0))="","",INDEX('Disaggregation Records'!$I$69:$I$152,MATCH(RIGHT(Q348,255),RIGHT('Disaggregation Records'!$D$69:$D$152,255),0))),"")</f>
        <v/>
      </c>
      <c r="W348" s="89" t="str">
        <f ca="1">IFERROR(INDEX('Reference Records'!P$23:P$74,MATCH(LEFT(C348,255),'Reference Records'!J$23:J$74,0)),"")</f>
        <v>HIV O-4a⁽ᴹ⁾ Percentage of men reporting the use of a condom the last time they had anal sex with a non regular partner</v>
      </c>
    </row>
    <row r="349" spans="1:23" s="89" customFormat="1" ht="40.35" customHeight="1">
      <c r="A349" s="564"/>
      <c r="B349" s="799"/>
      <c r="C349" s="800"/>
      <c r="D349" s="801"/>
      <c r="E349" s="801"/>
      <c r="F349" s="128"/>
      <c r="G349" s="802"/>
      <c r="H349" s="781"/>
      <c r="I349" s="803"/>
      <c r="J349" s="779"/>
      <c r="K349" s="800"/>
      <c r="L349" s="800"/>
      <c r="M349" s="779"/>
      <c r="N349" s="779"/>
      <c r="V349" s="89" t="str">
        <f t="array" ref="V349">IFERROR(IF(INDEX('Disaggregation Records'!$I$69:$I$152,MATCH(RIGHT(Q349,255),RIGHT('Disaggregation Records'!$D$69:$D$152,255),0))="","",INDEX('Disaggregation Records'!$I$69:$I$152,MATCH(RIGHT(Q349,255),RIGHT('Disaggregation Records'!$D$69:$D$152,255),0))),"")</f>
        <v/>
      </c>
    </row>
    <row r="350" spans="1:23" s="89" customFormat="1" ht="40.35" customHeight="1">
      <c r="A350" s="564" t="str">
        <f ca="1">INDIRECT("'update Helper'!C"&amp;U350)</f>
        <v>a1V3p000006h2w1EAA</v>
      </c>
      <c r="B350" s="794">
        <v>2</v>
      </c>
      <c r="C350" s="795" t="str">
        <f ca="1">IFERROR(VLOOKUP(B350,'Outcome Indicators - Section C '!$A$9:$AF$70,32,FALSE),"")</f>
        <v>HIV O-4a⁽ᴹ⁾ Porcentaje de hombres que afirman haber utilizado preservativo en su última relación de sexo anal con una pareja masculina no regular</v>
      </c>
      <c r="D350" s="796" t="str">
        <f ca="1">R350</f>
        <v/>
      </c>
      <c r="E350" s="796" t="str">
        <f ca="1">S350</f>
        <v/>
      </c>
      <c r="F350" s="127"/>
      <c r="G350" s="797" t="str">
        <f ca="1">IF(OR(INDIRECT("'update Helper'!E"&amp;U350)="",F350&lt;&gt;0,F351&lt;&gt;0),IF(IFERROR((F350/F351),"")="","",(F350/F351)),INDIRECT("'update Helper'!E"&amp;U350)/100)</f>
        <v/>
      </c>
      <c r="H350" s="784"/>
      <c r="I350" s="798"/>
      <c r="J350" s="777"/>
      <c r="K350" s="795" t="str">
        <f ca="1">W350</f>
        <v>HIV O-4a⁽ᴹ⁾ Percentage of men reporting the use of a condom the last time they had anal sex with a non regular partner</v>
      </c>
      <c r="L350" s="795" t="str">
        <f ca="1">V350</f>
        <v/>
      </c>
      <c r="M350" s="777"/>
      <c r="N350" s="777"/>
      <c r="P350" s="89">
        <f ca="1">IF(AND(EXACT(C350,C348),C348&lt;&gt;0),P348+1,0)</f>
        <v>7</v>
      </c>
      <c r="Q350" s="89" t="str">
        <f ca="1">IF(C350&lt;&gt;"",C350&amp;"-"&amp;P350,"")</f>
        <v>HIV O-4a⁽ᴹ⁾ Porcentaje de hombres que afirman haber utilizado preservativo en su última relación de sexo anal con una pareja masculina no regular-7</v>
      </c>
      <c r="R350" s="89" t="str">
        <f t="array" aca="1" ref="R350" ca="1">IFERROR(IF(INDEX('Disaggregation Records'!$E$69:$E$152,MATCH(RIGHT(Q350,255),RIGHT('Disaggregation Records'!$D$69:$D$152,255),0))="","",INDEX('Disaggregation Records'!$E$69:$E$152,MATCH(RIGHT(Q350,255),RIGHT('Disaggregation Records'!$D$69:$D$152,255),0))),"")</f>
        <v/>
      </c>
      <c r="S350" s="89" t="str">
        <f t="array" aca="1" ref="S350" ca="1">IFERROR(IF(INDEX('Disaggregation Records'!$F$69:$F$152,MATCH(RIGHT(Q350,255),RIGHT('Disaggregation Records'!$D$69:$D$152,255),0))="","",INDEX('Disaggregation Records'!$F$69:$F$152,MATCH(RIGHT(Q350,255),RIGHT('Disaggregation Records'!$D$69:$D$152,255),0))),"")</f>
        <v/>
      </c>
      <c r="T350" s="89" t="str">
        <f t="array" aca="1" ref="T350" ca="1">IFERROR(IF(INDEX('Disaggregation Records'!$H$69:$H$152,MATCH(RIGHT(Q350,255),RIGHT('Disaggregation Records'!$D$69:$D$152,255),0))="","",INDEX('Disaggregation Records'!$H$69:$H$152,MATCH(RIGHT(Q350,255),RIGHT('Disaggregation Records'!$D$69:$D$152,255),0))),"")</f>
        <v/>
      </c>
      <c r="U350" s="89">
        <f>U348+1</f>
        <v>904</v>
      </c>
      <c r="V350" s="89" t="str">
        <f t="array" aca="1" ref="V350" ca="1">IFERROR(IF(INDEX('Disaggregation Records'!$I$69:$I$152,MATCH(RIGHT(Q350,255),RIGHT('Disaggregation Records'!$D$69:$D$152,255),0))="","",INDEX('Disaggregation Records'!$I$69:$I$152,MATCH(RIGHT(Q350,255),RIGHT('Disaggregation Records'!$D$69:$D$152,255),0))),"")</f>
        <v/>
      </c>
      <c r="W350" s="89" t="str">
        <f ca="1">IFERROR(INDEX('Reference Records'!P$23:P$74,MATCH(LEFT(C350,255),'Reference Records'!J$23:J$74,0)),"")</f>
        <v>HIV O-4a⁽ᴹ⁾ Percentage of men reporting the use of a condom the last time they had anal sex with a non regular partner</v>
      </c>
    </row>
    <row r="351" spans="1:23" s="89" customFormat="1" ht="40.35" customHeight="1">
      <c r="A351" s="564"/>
      <c r="B351" s="799"/>
      <c r="C351" s="800"/>
      <c r="D351" s="801"/>
      <c r="E351" s="801"/>
      <c r="F351" s="128"/>
      <c r="G351" s="802"/>
      <c r="H351" s="781"/>
      <c r="I351" s="803"/>
      <c r="J351" s="779"/>
      <c r="K351" s="800"/>
      <c r="L351" s="800"/>
      <c r="M351" s="779"/>
      <c r="N351" s="779"/>
      <c r="V351" s="89" t="str">
        <f t="array" ref="V351">IFERROR(IF(INDEX('Disaggregation Records'!$I$69:$I$152,MATCH(RIGHT(Q351,255),RIGHT('Disaggregation Records'!$D$69:$D$152,255),0))="","",INDEX('Disaggregation Records'!$I$69:$I$152,MATCH(RIGHT(Q351,255),RIGHT('Disaggregation Records'!$D$69:$D$152,255),0))),"")</f>
        <v/>
      </c>
    </row>
    <row r="352" spans="1:23" s="89" customFormat="1" ht="40.35" customHeight="1">
      <c r="A352" s="564" t="str">
        <f ca="1">INDIRECT("'update Helper'!C"&amp;U352)</f>
        <v>a1V3p000006h2w2EAA</v>
      </c>
      <c r="B352" s="794">
        <v>2</v>
      </c>
      <c r="C352" s="795" t="str">
        <f ca="1">IFERROR(VLOOKUP(B352,'Outcome Indicators - Section C '!$A$9:$AF$70,32,FALSE),"")</f>
        <v>HIV O-4a⁽ᴹ⁾ Porcentaje de hombres que afirman haber utilizado preservativo en su última relación de sexo anal con una pareja masculina no regular</v>
      </c>
      <c r="D352" s="796" t="str">
        <f ca="1">R352</f>
        <v/>
      </c>
      <c r="E352" s="796" t="str">
        <f ca="1">S352</f>
        <v/>
      </c>
      <c r="F352" s="127"/>
      <c r="G352" s="797" t="str">
        <f ca="1">IF(OR(INDIRECT("'update Helper'!E"&amp;U352)="",F352&lt;&gt;0,F353&lt;&gt;0),IF(IFERROR((F352/F353),"")="","",(F352/F353)),INDIRECT("'update Helper'!E"&amp;U352)/100)</f>
        <v/>
      </c>
      <c r="H352" s="784"/>
      <c r="I352" s="798"/>
      <c r="J352" s="777"/>
      <c r="K352" s="795" t="str">
        <f ca="1">W352</f>
        <v>HIV O-4a⁽ᴹ⁾ Percentage of men reporting the use of a condom the last time they had anal sex with a non regular partner</v>
      </c>
      <c r="L352" s="795" t="str">
        <f ca="1">V352</f>
        <v/>
      </c>
      <c r="M352" s="777"/>
      <c r="N352" s="777"/>
      <c r="P352" s="89">
        <f ca="1">IF(AND(EXACT(C352,C350),C350&lt;&gt;0),P350+1,0)</f>
        <v>8</v>
      </c>
      <c r="Q352" s="89" t="str">
        <f ca="1">IF(C352&lt;&gt;"",C352&amp;"-"&amp;P352,"")</f>
        <v>HIV O-4a⁽ᴹ⁾ Porcentaje de hombres que afirman haber utilizado preservativo en su última relación de sexo anal con una pareja masculina no regular-8</v>
      </c>
      <c r="R352" s="89" t="str">
        <f t="array" aca="1" ref="R352" ca="1">IFERROR(IF(INDEX('Disaggregation Records'!$E$69:$E$152,MATCH(RIGHT(Q352,255),RIGHT('Disaggregation Records'!$D$69:$D$152,255),0))="","",INDEX('Disaggregation Records'!$E$69:$E$152,MATCH(RIGHT(Q352,255),RIGHT('Disaggregation Records'!$D$69:$D$152,255),0))),"")</f>
        <v/>
      </c>
      <c r="S352" s="89" t="str">
        <f t="array" aca="1" ref="S352" ca="1">IFERROR(IF(INDEX('Disaggregation Records'!$F$69:$F$152,MATCH(RIGHT(Q352,255),RIGHT('Disaggregation Records'!$D$69:$D$152,255),0))="","",INDEX('Disaggregation Records'!$F$69:$F$152,MATCH(RIGHT(Q352,255),RIGHT('Disaggregation Records'!$D$69:$D$152,255),0))),"")</f>
        <v/>
      </c>
      <c r="T352" s="89" t="str">
        <f t="array" aca="1" ref="T352" ca="1">IFERROR(IF(INDEX('Disaggregation Records'!$H$69:$H$152,MATCH(RIGHT(Q352,255),RIGHT('Disaggregation Records'!$D$69:$D$152,255),0))="","",INDEX('Disaggregation Records'!$H$69:$H$152,MATCH(RIGHT(Q352,255),RIGHT('Disaggregation Records'!$D$69:$D$152,255),0))),"")</f>
        <v/>
      </c>
      <c r="U352" s="89">
        <f>U350+1</f>
        <v>905</v>
      </c>
      <c r="V352" s="89" t="str">
        <f t="array" aca="1" ref="V352" ca="1">IFERROR(IF(INDEX('Disaggregation Records'!$I$69:$I$152,MATCH(RIGHT(Q352,255),RIGHT('Disaggregation Records'!$D$69:$D$152,255),0))="","",INDEX('Disaggregation Records'!$I$69:$I$152,MATCH(RIGHT(Q352,255),RIGHT('Disaggregation Records'!$D$69:$D$152,255),0))),"")</f>
        <v/>
      </c>
      <c r="W352" s="89" t="str">
        <f ca="1">IFERROR(INDEX('Reference Records'!P$23:P$74,MATCH(LEFT(C352,255),'Reference Records'!J$23:J$74,0)),"")</f>
        <v>HIV O-4a⁽ᴹ⁾ Percentage of men reporting the use of a condom the last time they had anal sex with a non regular partner</v>
      </c>
    </row>
    <row r="353" spans="1:23" s="89" customFormat="1" ht="40.35" customHeight="1">
      <c r="A353" s="564"/>
      <c r="B353" s="799"/>
      <c r="C353" s="800"/>
      <c r="D353" s="801"/>
      <c r="E353" s="801"/>
      <c r="F353" s="128"/>
      <c r="G353" s="802"/>
      <c r="H353" s="781"/>
      <c r="I353" s="803"/>
      <c r="J353" s="779"/>
      <c r="K353" s="800"/>
      <c r="L353" s="800"/>
      <c r="M353" s="779"/>
      <c r="N353" s="779"/>
      <c r="V353" s="89" t="str">
        <f t="array" ref="V353">IFERROR(IF(INDEX('Disaggregation Records'!$I$69:$I$152,MATCH(RIGHT(Q353,255),RIGHT('Disaggregation Records'!$D$69:$D$152,255),0))="","",INDEX('Disaggregation Records'!$I$69:$I$152,MATCH(RIGHT(Q353,255),RIGHT('Disaggregation Records'!$D$69:$D$152,255),0))),"")</f>
        <v/>
      </c>
    </row>
    <row r="354" spans="1:23" s="89" customFormat="1" ht="40.35" customHeight="1">
      <c r="A354" s="564" t="str">
        <f ca="1">INDIRECT("'update Helper'!C"&amp;U354)</f>
        <v>a1V3p000006h2w3EAA</v>
      </c>
      <c r="B354" s="794">
        <v>2</v>
      </c>
      <c r="C354" s="795" t="str">
        <f ca="1">IFERROR(VLOOKUP(B354,'Outcome Indicators - Section C '!$A$9:$AF$70,32,FALSE),"")</f>
        <v>HIV O-4a⁽ᴹ⁾ Porcentaje de hombres que afirman haber utilizado preservativo en su última relación de sexo anal con una pareja masculina no regular</v>
      </c>
      <c r="D354" s="796" t="str">
        <f ca="1">R354</f>
        <v/>
      </c>
      <c r="E354" s="796" t="str">
        <f ca="1">S354</f>
        <v/>
      </c>
      <c r="F354" s="127"/>
      <c r="G354" s="797" t="str">
        <f ca="1">IF(OR(INDIRECT("'update Helper'!E"&amp;U354)="",F354&lt;&gt;0,F355&lt;&gt;0),IF(IFERROR((F354/F355),"")="","",(F354/F355)),INDIRECT("'update Helper'!E"&amp;U354)/100)</f>
        <v/>
      </c>
      <c r="H354" s="784"/>
      <c r="I354" s="798"/>
      <c r="J354" s="777"/>
      <c r="K354" s="795" t="str">
        <f ca="1">W354</f>
        <v>HIV O-4a⁽ᴹ⁾ Percentage of men reporting the use of a condom the last time they had anal sex with a non regular partner</v>
      </c>
      <c r="L354" s="795" t="str">
        <f ca="1">V354</f>
        <v/>
      </c>
      <c r="M354" s="777"/>
      <c r="N354" s="777"/>
      <c r="P354" s="89">
        <f ca="1">IF(AND(EXACT(C354,C352),C352&lt;&gt;0),P352+1,0)</f>
        <v>9</v>
      </c>
      <c r="Q354" s="89" t="str">
        <f ca="1">IF(C354&lt;&gt;"",C354&amp;"-"&amp;P354,"")</f>
        <v>HIV O-4a⁽ᴹ⁾ Porcentaje de hombres que afirman haber utilizado preservativo en su última relación de sexo anal con una pareja masculina no regular-9</v>
      </c>
      <c r="R354" s="89" t="str">
        <f t="array" aca="1" ref="R354" ca="1">IFERROR(IF(INDEX('Disaggregation Records'!$E$69:$E$152,MATCH(RIGHT(Q354,255),RIGHT('Disaggregation Records'!$D$69:$D$152,255),0))="","",INDEX('Disaggregation Records'!$E$69:$E$152,MATCH(RIGHT(Q354,255),RIGHT('Disaggregation Records'!$D$69:$D$152,255),0))),"")</f>
        <v/>
      </c>
      <c r="S354" s="89" t="str">
        <f t="array" aca="1" ref="S354" ca="1">IFERROR(IF(INDEX('Disaggregation Records'!$F$69:$F$152,MATCH(RIGHT(Q354,255),RIGHT('Disaggregation Records'!$D$69:$D$152,255),0))="","",INDEX('Disaggregation Records'!$F$69:$F$152,MATCH(RIGHT(Q354,255),RIGHT('Disaggregation Records'!$D$69:$D$152,255),0))),"")</f>
        <v/>
      </c>
      <c r="T354" s="89" t="str">
        <f t="array" aca="1" ref="T354" ca="1">IFERROR(IF(INDEX('Disaggregation Records'!$H$69:$H$152,MATCH(RIGHT(Q354,255),RIGHT('Disaggregation Records'!$D$69:$D$152,255),0))="","",INDEX('Disaggregation Records'!$H$69:$H$152,MATCH(RIGHT(Q354,255),RIGHT('Disaggregation Records'!$D$69:$D$152,255),0))),"")</f>
        <v/>
      </c>
      <c r="U354" s="89">
        <f>U352+1</f>
        <v>906</v>
      </c>
      <c r="V354" s="89" t="str">
        <f t="array" aca="1" ref="V354" ca="1">IFERROR(IF(INDEX('Disaggregation Records'!$I$69:$I$152,MATCH(RIGHT(Q354,255),RIGHT('Disaggregation Records'!$D$69:$D$152,255),0))="","",INDEX('Disaggregation Records'!$I$69:$I$152,MATCH(RIGHT(Q354,255),RIGHT('Disaggregation Records'!$D$69:$D$152,255),0))),"")</f>
        <v/>
      </c>
      <c r="W354" s="89" t="str">
        <f ca="1">IFERROR(INDEX('Reference Records'!P$23:P$74,MATCH(LEFT(C354,255),'Reference Records'!J$23:J$74,0)),"")</f>
        <v>HIV O-4a⁽ᴹ⁾ Percentage of men reporting the use of a condom the last time they had anal sex with a non regular partner</v>
      </c>
    </row>
    <row r="355" spans="1:23" s="89" customFormat="1" ht="40.35" customHeight="1">
      <c r="A355" s="564"/>
      <c r="B355" s="799"/>
      <c r="C355" s="800"/>
      <c r="D355" s="801"/>
      <c r="E355" s="801"/>
      <c r="F355" s="128"/>
      <c r="G355" s="802"/>
      <c r="H355" s="781"/>
      <c r="I355" s="803"/>
      <c r="J355" s="779"/>
      <c r="K355" s="800"/>
      <c r="L355" s="800"/>
      <c r="M355" s="779"/>
      <c r="N355" s="779"/>
      <c r="V355" s="89" t="str">
        <f t="array" ref="V355">IFERROR(IF(INDEX('Disaggregation Records'!$I$69:$I$152,MATCH(RIGHT(Q355,255),RIGHT('Disaggregation Records'!$D$69:$D$152,255),0))="","",INDEX('Disaggregation Records'!$I$69:$I$152,MATCH(RIGHT(Q355,255),RIGHT('Disaggregation Records'!$D$69:$D$152,255),0))),"")</f>
        <v/>
      </c>
    </row>
    <row r="356" spans="1:23" s="89" customFormat="1" ht="40.35" customHeight="1">
      <c r="A356" s="564" t="str">
        <f ca="1">INDIRECT("'update Helper'!C"&amp;U356)</f>
        <v>a1V3p000006h2w4EAA</v>
      </c>
      <c r="B356" s="794">
        <v>3</v>
      </c>
      <c r="C356" s="795" t="str">
        <f ca="1">IFERROR(VLOOKUP(B356,'Outcome Indicators - Section C '!$A$9:$AF$70,32,FALSE),"")</f>
        <v>HIV O-4.1b⁽ᴹ⁾ Porcentaje de personas transgénero que afirman haber utilizado preservativo en su último encuentro sexual o relación de sexo anal con una pareja masculina no regular</v>
      </c>
      <c r="D356" s="796" t="str">
        <f ca="1">R356</f>
        <v>Edad</v>
      </c>
      <c r="E356" s="796" t="str">
        <f ca="1">S356</f>
        <v>25+</v>
      </c>
      <c r="F356" s="127">
        <v>265</v>
      </c>
      <c r="G356" s="797">
        <f ca="1">IF(OR(INDIRECT("'update Helper'!E"&amp;U356)="",F356&lt;&gt;0,F357&lt;&gt;0),IF(IFERROR((F356/F357),"")="","",(F356/F357)),INDIRECT("'update Helper'!E"&amp;U356)/100)</f>
        <v>0.86038961038961037</v>
      </c>
      <c r="H356" s="784">
        <v>2021</v>
      </c>
      <c r="I356" s="798" t="s">
        <v>5495</v>
      </c>
      <c r="J356" s="777"/>
      <c r="K356" s="795" t="str">
        <f ca="1">W356</f>
        <v>HIV O-4.1b⁽ᴹ⁾ Percentage of transgender people reporting using a condom in their last anal sex with a non-regular male partner</v>
      </c>
      <c r="L356" s="795" t="str">
        <f ca="1">V356</f>
        <v>Age</v>
      </c>
      <c r="M356" s="777"/>
      <c r="N356" s="777"/>
      <c r="P356" s="89">
        <f ca="1">IF(AND(EXACT(C356,C354),C354&lt;&gt;0),P354+1,0)</f>
        <v>0</v>
      </c>
      <c r="Q356" s="89" t="str">
        <f ca="1">IF(C356&lt;&gt;"",C356&amp;"-"&amp;P356,"")</f>
        <v>HIV O-4.1b⁽ᴹ⁾ Porcentaje de personas transgénero que afirman haber utilizado preservativo en su último encuentro sexual o relación de sexo anal con una pareja masculina no regular-0</v>
      </c>
      <c r="R356" s="89" t="str">
        <f t="array" aca="1" ref="R356" ca="1">IFERROR(IF(INDEX('Disaggregation Records'!$E$69:$E$152,MATCH(RIGHT(Q356,255),RIGHT('Disaggregation Records'!$D$69:$D$152,255),0))="","",INDEX('Disaggregation Records'!$E$69:$E$152,MATCH(RIGHT(Q356,255),RIGHT('Disaggregation Records'!$D$69:$D$152,255),0))),"")</f>
        <v>Edad</v>
      </c>
      <c r="S356" s="89" t="str">
        <f t="array" aca="1" ref="S356" ca="1">IFERROR(IF(INDEX('Disaggregation Records'!$F$69:$F$152,MATCH(RIGHT(Q356,255),RIGHT('Disaggregation Records'!$D$69:$D$152,255),0))="","",INDEX('Disaggregation Records'!$F$69:$F$152,MATCH(RIGHT(Q356,255),RIGHT('Disaggregation Records'!$D$69:$D$152,255),0))),"")</f>
        <v>25+</v>
      </c>
      <c r="T356" s="89" t="str">
        <f t="array" aca="1" ref="T356" ca="1">IFERROR(IF(INDEX('Disaggregation Records'!$H$69:$H$152,MATCH(RIGHT(Q356,255),RIGHT('Disaggregation Records'!$D$69:$D$152,255),0))="","",INDEX('Disaggregation Records'!$H$69:$H$152,MATCH(RIGHT(Q356,255),RIGHT('Disaggregation Records'!$D$69:$D$152,255),0))),"")</f>
        <v>IDR-00673</v>
      </c>
      <c r="U356" s="89">
        <f>U354+1</f>
        <v>907</v>
      </c>
      <c r="V356" s="89" t="str">
        <f t="array" aca="1" ref="V356" ca="1">IFERROR(IF(INDEX('Disaggregation Records'!$I$69:$I$152,MATCH(RIGHT(Q356,255),RIGHT('Disaggregation Records'!$D$69:$D$152,255),0))="","",INDEX('Disaggregation Records'!$I$69:$I$152,MATCH(RIGHT(Q356,255),RIGHT('Disaggregation Records'!$D$69:$D$152,255),0))),"")</f>
        <v>Age</v>
      </c>
      <c r="W356" s="89" t="str">
        <f ca="1">IFERROR(INDEX('Reference Records'!P$23:P$74,MATCH(LEFT(C356,255),'Reference Records'!J$23:J$74,0)),"")</f>
        <v>HIV O-4.1b⁽ᴹ⁾ Percentage of transgender people reporting using a condom in their last anal sex with a non-regular male partner</v>
      </c>
    </row>
    <row r="357" spans="1:23" s="89" customFormat="1" ht="40.35" customHeight="1">
      <c r="A357" s="564"/>
      <c r="B357" s="799"/>
      <c r="C357" s="800"/>
      <c r="D357" s="801"/>
      <c r="E357" s="801"/>
      <c r="F357" s="128">
        <v>308</v>
      </c>
      <c r="G357" s="802"/>
      <c r="H357" s="781"/>
      <c r="I357" s="803"/>
      <c r="J357" s="779"/>
      <c r="K357" s="800"/>
      <c r="L357" s="800"/>
      <c r="M357" s="779"/>
      <c r="N357" s="779"/>
      <c r="V357" s="89" t="str">
        <f t="array" ref="V357">IFERROR(IF(INDEX('Disaggregation Records'!$I$69:$I$152,MATCH(RIGHT(Q357,255),RIGHT('Disaggregation Records'!$D$69:$D$152,255),0))="","",INDEX('Disaggregation Records'!$I$69:$I$152,MATCH(RIGHT(Q357,255),RIGHT('Disaggregation Records'!$D$69:$D$152,255),0))),"")</f>
        <v/>
      </c>
    </row>
    <row r="358" spans="1:23" s="89" customFormat="1" ht="40.35" customHeight="1">
      <c r="A358" s="564" t="str">
        <f ca="1">INDIRECT("'update Helper'!C"&amp;U358)</f>
        <v>a1V3p000006h2w5EAA</v>
      </c>
      <c r="B358" s="794">
        <v>3</v>
      </c>
      <c r="C358" s="795" t="str">
        <f ca="1">IFERROR(VLOOKUP(B358,'Outcome Indicators - Section C '!$A$9:$AF$70,32,FALSE),"")</f>
        <v>HIV O-4.1b⁽ᴹ⁾ Porcentaje de personas transgénero que afirman haber utilizado preservativo en su último encuentro sexual o relación de sexo anal con una pareja masculina no regular</v>
      </c>
      <c r="D358" s="796" t="str">
        <f ca="1">R358</f>
        <v>Edad</v>
      </c>
      <c r="E358" s="796" t="str">
        <f ca="1">S358</f>
        <v>&lt;25</v>
      </c>
      <c r="F358" s="127">
        <v>65</v>
      </c>
      <c r="G358" s="797">
        <f ca="1">IF(OR(INDIRECT("'update Helper'!E"&amp;U358)="",F358&lt;&gt;0,F359&lt;&gt;0),IF(IFERROR((F358/F359),"")="","",(F358/F359)),INDIRECT("'update Helper'!E"&amp;U358)/100)</f>
        <v>0.9285714285714286</v>
      </c>
      <c r="H358" s="784">
        <v>2021</v>
      </c>
      <c r="I358" s="798" t="s">
        <v>5495</v>
      </c>
      <c r="J358" s="777"/>
      <c r="K358" s="795" t="str">
        <f ca="1">W358</f>
        <v>HIV O-4.1b⁽ᴹ⁾ Percentage of transgender people reporting using a condom in their last anal sex with a non-regular male partner</v>
      </c>
      <c r="L358" s="795" t="str">
        <f ca="1">V358</f>
        <v>Age</v>
      </c>
      <c r="M358" s="777"/>
      <c r="N358" s="777"/>
      <c r="P358" s="89">
        <f ca="1">IF(AND(EXACT(C358,C356),C356&lt;&gt;0),P356+1,0)</f>
        <v>1</v>
      </c>
      <c r="Q358" s="89" t="str">
        <f ca="1">IF(C358&lt;&gt;"",C358&amp;"-"&amp;P358,"")</f>
        <v>HIV O-4.1b⁽ᴹ⁾ Porcentaje de personas transgénero que afirman haber utilizado preservativo en su último encuentro sexual o relación de sexo anal con una pareja masculina no regular-1</v>
      </c>
      <c r="R358" s="89" t="str">
        <f t="array" aca="1" ref="R358" ca="1">IFERROR(IF(INDEX('Disaggregation Records'!$E$69:$E$152,MATCH(RIGHT(Q358,255),RIGHT('Disaggregation Records'!$D$69:$D$152,255),0))="","",INDEX('Disaggregation Records'!$E$69:$E$152,MATCH(RIGHT(Q358,255),RIGHT('Disaggregation Records'!$D$69:$D$152,255),0))),"")</f>
        <v>Edad</v>
      </c>
      <c r="S358" s="89" t="str">
        <f t="array" aca="1" ref="S358" ca="1">IFERROR(IF(INDEX('Disaggregation Records'!$F$69:$F$152,MATCH(RIGHT(Q358,255),RIGHT('Disaggregation Records'!$D$69:$D$152,255),0))="","",INDEX('Disaggregation Records'!$F$69:$F$152,MATCH(RIGHT(Q358,255),RIGHT('Disaggregation Records'!$D$69:$D$152,255),0))),"")</f>
        <v>&lt;25</v>
      </c>
      <c r="T358" s="89" t="str">
        <f t="array" aca="1" ref="T358" ca="1">IFERROR(IF(INDEX('Disaggregation Records'!$H$69:$H$152,MATCH(RIGHT(Q358,255),RIGHT('Disaggregation Records'!$D$69:$D$152,255),0))="","",INDEX('Disaggregation Records'!$H$69:$H$152,MATCH(RIGHT(Q358,255),RIGHT('Disaggregation Records'!$D$69:$D$152,255),0))),"")</f>
        <v>IDR-00672</v>
      </c>
      <c r="U358" s="89">
        <f>U356+1</f>
        <v>908</v>
      </c>
      <c r="V358" s="89" t="str">
        <f t="array" aca="1" ref="V358" ca="1">IFERROR(IF(INDEX('Disaggregation Records'!$I$69:$I$152,MATCH(RIGHT(Q358,255),RIGHT('Disaggregation Records'!$D$69:$D$152,255),0))="","",INDEX('Disaggregation Records'!$I$69:$I$152,MATCH(RIGHT(Q358,255),RIGHT('Disaggregation Records'!$D$69:$D$152,255),0))),"")</f>
        <v>Age</v>
      </c>
      <c r="W358" s="89" t="str">
        <f ca="1">IFERROR(INDEX('Reference Records'!P$23:P$74,MATCH(LEFT(C358,255),'Reference Records'!J$23:J$74,0)),"")</f>
        <v>HIV O-4.1b⁽ᴹ⁾ Percentage of transgender people reporting using a condom in their last anal sex with a non-regular male partner</v>
      </c>
    </row>
    <row r="359" spans="1:23" s="89" customFormat="1" ht="40.35" customHeight="1">
      <c r="A359" s="564"/>
      <c r="B359" s="799"/>
      <c r="C359" s="800"/>
      <c r="D359" s="801"/>
      <c r="E359" s="801"/>
      <c r="F359" s="128">
        <v>70</v>
      </c>
      <c r="G359" s="802"/>
      <c r="H359" s="781"/>
      <c r="I359" s="803"/>
      <c r="J359" s="779"/>
      <c r="K359" s="800"/>
      <c r="L359" s="800"/>
      <c r="M359" s="779"/>
      <c r="N359" s="779"/>
      <c r="V359" s="89" t="str">
        <f t="array" ref="V359">IFERROR(IF(INDEX('Disaggregation Records'!$I$69:$I$152,MATCH(RIGHT(Q359,255),RIGHT('Disaggregation Records'!$D$69:$D$152,255),0))="","",INDEX('Disaggregation Records'!$I$69:$I$152,MATCH(RIGHT(Q359,255),RIGHT('Disaggregation Records'!$D$69:$D$152,255),0))),"")</f>
        <v/>
      </c>
    </row>
    <row r="360" spans="1:23" s="89" customFormat="1" ht="40.35" customHeight="1">
      <c r="A360" s="564" t="str">
        <f ca="1">INDIRECT("'update Helper'!C"&amp;U360)</f>
        <v>a1V3p000006h2w6EAA</v>
      </c>
      <c r="B360" s="794">
        <v>3</v>
      </c>
      <c r="C360" s="795" t="str">
        <f ca="1">IFERROR(VLOOKUP(B360,'Outcome Indicators - Section C '!$A$9:$AF$70,32,FALSE),"")</f>
        <v>HIV O-4.1b⁽ᴹ⁾ Porcentaje de personas transgénero que afirman haber utilizado preservativo en su último encuentro sexual o relación de sexo anal con una pareja masculina no regular</v>
      </c>
      <c r="D360" s="796" t="str">
        <f ca="1">R360</f>
        <v/>
      </c>
      <c r="E360" s="796" t="str">
        <f ca="1">S360</f>
        <v/>
      </c>
      <c r="F360" s="127"/>
      <c r="G360" s="797" t="str">
        <f ca="1">IF(OR(INDIRECT("'update Helper'!E"&amp;U360)="",F360&lt;&gt;0,F361&lt;&gt;0),IF(IFERROR((F360/F361),"")="","",(F360/F361)),INDIRECT("'update Helper'!E"&amp;U360)/100)</f>
        <v/>
      </c>
      <c r="H360" s="784"/>
      <c r="I360" s="798"/>
      <c r="J360" s="777"/>
      <c r="K360" s="795" t="str">
        <f ca="1">W360</f>
        <v>HIV O-4.1b⁽ᴹ⁾ Percentage of transgender people reporting using a condom in their last anal sex with a non-regular male partner</v>
      </c>
      <c r="L360" s="795" t="str">
        <f ca="1">V360</f>
        <v/>
      </c>
      <c r="M360" s="777"/>
      <c r="N360" s="777"/>
      <c r="P360" s="89">
        <f ca="1">IF(AND(EXACT(C360,C358),C358&lt;&gt;0),P358+1,0)</f>
        <v>2</v>
      </c>
      <c r="Q360" s="89" t="str">
        <f ca="1">IF(C360&lt;&gt;"",C360&amp;"-"&amp;P360,"")</f>
        <v>HIV O-4.1b⁽ᴹ⁾ Porcentaje de personas transgénero que afirman haber utilizado preservativo en su último encuentro sexual o relación de sexo anal con una pareja masculina no regular-2</v>
      </c>
      <c r="R360" s="89" t="str">
        <f t="array" aca="1" ref="R360" ca="1">IFERROR(IF(INDEX('Disaggregation Records'!$E$69:$E$152,MATCH(RIGHT(Q360,255),RIGHT('Disaggregation Records'!$D$69:$D$152,255),0))="","",INDEX('Disaggregation Records'!$E$69:$E$152,MATCH(RIGHT(Q360,255),RIGHT('Disaggregation Records'!$D$69:$D$152,255),0))),"")</f>
        <v/>
      </c>
      <c r="S360" s="89" t="str">
        <f t="array" aca="1" ref="S360" ca="1">IFERROR(IF(INDEX('Disaggregation Records'!$F$69:$F$152,MATCH(RIGHT(Q360,255),RIGHT('Disaggregation Records'!$D$69:$D$152,255),0))="","",INDEX('Disaggregation Records'!$F$69:$F$152,MATCH(RIGHT(Q360,255),RIGHT('Disaggregation Records'!$D$69:$D$152,255),0))),"")</f>
        <v/>
      </c>
      <c r="T360" s="89" t="str">
        <f t="array" aca="1" ref="T360" ca="1">IFERROR(IF(INDEX('Disaggregation Records'!$H$69:$H$152,MATCH(RIGHT(Q360,255),RIGHT('Disaggregation Records'!$D$69:$D$152,255),0))="","",INDEX('Disaggregation Records'!$H$69:$H$152,MATCH(RIGHT(Q360,255),RIGHT('Disaggregation Records'!$D$69:$D$152,255),0))),"")</f>
        <v/>
      </c>
      <c r="U360" s="89">
        <f>U358+1</f>
        <v>909</v>
      </c>
      <c r="V360" s="89" t="str">
        <f t="array" aca="1" ref="V360" ca="1">IFERROR(IF(INDEX('Disaggregation Records'!$I$69:$I$152,MATCH(RIGHT(Q360,255),RIGHT('Disaggregation Records'!$D$69:$D$152,255),0))="","",INDEX('Disaggregation Records'!$I$69:$I$152,MATCH(RIGHT(Q360,255),RIGHT('Disaggregation Records'!$D$69:$D$152,255),0))),"")</f>
        <v/>
      </c>
      <c r="W360" s="89" t="str">
        <f ca="1">IFERROR(INDEX('Reference Records'!P$23:P$74,MATCH(LEFT(C360,255),'Reference Records'!J$23:J$74,0)),"")</f>
        <v>HIV O-4.1b⁽ᴹ⁾ Percentage of transgender people reporting using a condom in their last anal sex with a non-regular male partner</v>
      </c>
    </row>
    <row r="361" spans="1:23" s="89" customFormat="1" ht="40.35" customHeight="1">
      <c r="A361" s="564"/>
      <c r="B361" s="799"/>
      <c r="C361" s="800"/>
      <c r="D361" s="801"/>
      <c r="E361" s="801"/>
      <c r="F361" s="128"/>
      <c r="G361" s="802"/>
      <c r="H361" s="781"/>
      <c r="I361" s="803"/>
      <c r="J361" s="779"/>
      <c r="K361" s="800"/>
      <c r="L361" s="800"/>
      <c r="M361" s="779"/>
      <c r="N361" s="779"/>
      <c r="V361" s="89" t="str">
        <f t="array" ref="V361">IFERROR(IF(INDEX('Disaggregation Records'!$I$69:$I$152,MATCH(RIGHT(Q361,255),RIGHT('Disaggregation Records'!$D$69:$D$152,255),0))="","",INDEX('Disaggregation Records'!$I$69:$I$152,MATCH(RIGHT(Q361,255),RIGHT('Disaggregation Records'!$D$69:$D$152,255),0))),"")</f>
        <v/>
      </c>
    </row>
    <row r="362" spans="1:23" s="89" customFormat="1" ht="40.35" customHeight="1">
      <c r="A362" s="564" t="str">
        <f ca="1">INDIRECT("'update Helper'!C"&amp;U362)</f>
        <v>a1V3p000006h2w7EAA</v>
      </c>
      <c r="B362" s="794">
        <v>3</v>
      </c>
      <c r="C362" s="795" t="str">
        <f ca="1">IFERROR(VLOOKUP(B362,'Outcome Indicators - Section C '!$A$9:$AF$70,32,FALSE),"")</f>
        <v>HIV O-4.1b⁽ᴹ⁾ Porcentaje de personas transgénero que afirman haber utilizado preservativo en su último encuentro sexual o relación de sexo anal con una pareja masculina no regular</v>
      </c>
      <c r="D362" s="796" t="str">
        <f ca="1">R362</f>
        <v/>
      </c>
      <c r="E362" s="796" t="str">
        <f ca="1">S362</f>
        <v/>
      </c>
      <c r="F362" s="127"/>
      <c r="G362" s="797" t="str">
        <f ca="1">IF(OR(INDIRECT("'update Helper'!E"&amp;U362)="",F362&lt;&gt;0,F363&lt;&gt;0),IF(IFERROR((F362/F363),"")="","",(F362/F363)),INDIRECT("'update Helper'!E"&amp;U362)/100)</f>
        <v/>
      </c>
      <c r="H362" s="784"/>
      <c r="I362" s="798"/>
      <c r="J362" s="777"/>
      <c r="K362" s="795" t="str">
        <f ca="1">W362</f>
        <v>HIV O-4.1b⁽ᴹ⁾ Percentage of transgender people reporting using a condom in their last anal sex with a non-regular male partner</v>
      </c>
      <c r="L362" s="795" t="str">
        <f ca="1">V362</f>
        <v/>
      </c>
      <c r="M362" s="777"/>
      <c r="N362" s="777"/>
      <c r="P362" s="89">
        <f ca="1">IF(AND(EXACT(C362,C360),C360&lt;&gt;0),P360+1,0)</f>
        <v>3</v>
      </c>
      <c r="Q362" s="89" t="str">
        <f ca="1">IF(C362&lt;&gt;"",C362&amp;"-"&amp;P362,"")</f>
        <v>HIV O-4.1b⁽ᴹ⁾ Porcentaje de personas transgénero que afirman haber utilizado preservativo en su último encuentro sexual o relación de sexo anal con una pareja masculina no regular-3</v>
      </c>
      <c r="R362" s="89" t="str">
        <f t="array" aca="1" ref="R362" ca="1">IFERROR(IF(INDEX('Disaggregation Records'!$E$69:$E$152,MATCH(RIGHT(Q362,255),RIGHT('Disaggregation Records'!$D$69:$D$152,255),0))="","",INDEX('Disaggregation Records'!$E$69:$E$152,MATCH(RIGHT(Q362,255),RIGHT('Disaggregation Records'!$D$69:$D$152,255),0))),"")</f>
        <v/>
      </c>
      <c r="S362" s="89" t="str">
        <f t="array" aca="1" ref="S362" ca="1">IFERROR(IF(INDEX('Disaggregation Records'!$F$69:$F$152,MATCH(RIGHT(Q362,255),RIGHT('Disaggregation Records'!$D$69:$D$152,255),0))="","",INDEX('Disaggregation Records'!$F$69:$F$152,MATCH(RIGHT(Q362,255),RIGHT('Disaggregation Records'!$D$69:$D$152,255),0))),"")</f>
        <v/>
      </c>
      <c r="T362" s="89" t="str">
        <f t="array" aca="1" ref="T362" ca="1">IFERROR(IF(INDEX('Disaggregation Records'!$H$69:$H$152,MATCH(RIGHT(Q362,255),RIGHT('Disaggregation Records'!$D$69:$D$152,255),0))="","",INDEX('Disaggregation Records'!$H$69:$H$152,MATCH(RIGHT(Q362,255),RIGHT('Disaggregation Records'!$D$69:$D$152,255),0))),"")</f>
        <v/>
      </c>
      <c r="U362" s="89">
        <f>U360+1</f>
        <v>910</v>
      </c>
      <c r="V362" s="89" t="str">
        <f t="array" aca="1" ref="V362" ca="1">IFERROR(IF(INDEX('Disaggregation Records'!$I$69:$I$152,MATCH(RIGHT(Q362,255),RIGHT('Disaggregation Records'!$D$69:$D$152,255),0))="","",INDEX('Disaggregation Records'!$I$69:$I$152,MATCH(RIGHT(Q362,255),RIGHT('Disaggregation Records'!$D$69:$D$152,255),0))),"")</f>
        <v/>
      </c>
      <c r="W362" s="89" t="str">
        <f ca="1">IFERROR(INDEX('Reference Records'!P$23:P$74,MATCH(LEFT(C362,255),'Reference Records'!J$23:J$74,0)),"")</f>
        <v>HIV O-4.1b⁽ᴹ⁾ Percentage of transgender people reporting using a condom in their last anal sex with a non-regular male partner</v>
      </c>
    </row>
    <row r="363" spans="1:23" s="89" customFormat="1" ht="40.35" customHeight="1">
      <c r="A363" s="564"/>
      <c r="B363" s="799"/>
      <c r="C363" s="800"/>
      <c r="D363" s="801"/>
      <c r="E363" s="801"/>
      <c r="F363" s="128"/>
      <c r="G363" s="802"/>
      <c r="H363" s="781"/>
      <c r="I363" s="803"/>
      <c r="J363" s="779"/>
      <c r="K363" s="800"/>
      <c r="L363" s="800"/>
      <c r="M363" s="779"/>
      <c r="N363" s="779"/>
      <c r="V363" s="89" t="str">
        <f t="array" ref="V363">IFERROR(IF(INDEX('Disaggregation Records'!$I$69:$I$152,MATCH(RIGHT(Q363,255),RIGHT('Disaggregation Records'!$D$69:$D$152,255),0))="","",INDEX('Disaggregation Records'!$I$69:$I$152,MATCH(RIGHT(Q363,255),RIGHT('Disaggregation Records'!$D$69:$D$152,255),0))),"")</f>
        <v/>
      </c>
    </row>
    <row r="364" spans="1:23" s="89" customFormat="1" ht="40.35" customHeight="1">
      <c r="A364" s="564" t="str">
        <f ca="1">INDIRECT("'update Helper'!C"&amp;U364)</f>
        <v>a1V3p000006h2w8EAA</v>
      </c>
      <c r="B364" s="794">
        <v>3</v>
      </c>
      <c r="C364" s="795" t="str">
        <f ca="1">IFERROR(VLOOKUP(B364,'Outcome Indicators - Section C '!$A$9:$AF$70,32,FALSE),"")</f>
        <v>HIV O-4.1b⁽ᴹ⁾ Porcentaje de personas transgénero que afirman haber utilizado preservativo en su último encuentro sexual o relación de sexo anal con una pareja masculina no regular</v>
      </c>
      <c r="D364" s="796" t="str">
        <f ca="1">R364</f>
        <v/>
      </c>
      <c r="E364" s="796" t="str">
        <f ca="1">S364</f>
        <v/>
      </c>
      <c r="F364" s="127"/>
      <c r="G364" s="797" t="str">
        <f ca="1">IF(OR(INDIRECT("'update Helper'!E"&amp;U364)="",F364&lt;&gt;0,F365&lt;&gt;0),IF(IFERROR((F364/F365),"")="","",(F364/F365)),INDIRECT("'update Helper'!E"&amp;U364)/100)</f>
        <v/>
      </c>
      <c r="H364" s="784"/>
      <c r="I364" s="798"/>
      <c r="J364" s="777"/>
      <c r="K364" s="795" t="str">
        <f ca="1">W364</f>
        <v>HIV O-4.1b⁽ᴹ⁾ Percentage of transgender people reporting using a condom in their last anal sex with a non-regular male partner</v>
      </c>
      <c r="L364" s="795" t="str">
        <f ca="1">V364</f>
        <v/>
      </c>
      <c r="M364" s="777"/>
      <c r="N364" s="777"/>
      <c r="P364" s="89">
        <f ca="1">IF(AND(EXACT(C364,C362),C362&lt;&gt;0),P362+1,0)</f>
        <v>4</v>
      </c>
      <c r="Q364" s="89" t="str">
        <f ca="1">IF(C364&lt;&gt;"",C364&amp;"-"&amp;P364,"")</f>
        <v>HIV O-4.1b⁽ᴹ⁾ Porcentaje de personas transgénero que afirman haber utilizado preservativo en su último encuentro sexual o relación de sexo anal con una pareja masculina no regular-4</v>
      </c>
      <c r="R364" s="89" t="str">
        <f t="array" aca="1" ref="R364" ca="1">IFERROR(IF(INDEX('Disaggregation Records'!$E$69:$E$152,MATCH(RIGHT(Q364,255),RIGHT('Disaggregation Records'!$D$69:$D$152,255),0))="","",INDEX('Disaggregation Records'!$E$69:$E$152,MATCH(RIGHT(Q364,255),RIGHT('Disaggregation Records'!$D$69:$D$152,255),0))),"")</f>
        <v/>
      </c>
      <c r="S364" s="89" t="str">
        <f t="array" aca="1" ref="S364" ca="1">IFERROR(IF(INDEX('Disaggregation Records'!$F$69:$F$152,MATCH(RIGHT(Q364,255),RIGHT('Disaggregation Records'!$D$69:$D$152,255),0))="","",INDEX('Disaggregation Records'!$F$69:$F$152,MATCH(RIGHT(Q364,255),RIGHT('Disaggregation Records'!$D$69:$D$152,255),0))),"")</f>
        <v/>
      </c>
      <c r="T364" s="89" t="str">
        <f t="array" aca="1" ref="T364" ca="1">IFERROR(IF(INDEX('Disaggregation Records'!$H$69:$H$152,MATCH(RIGHT(Q364,255),RIGHT('Disaggregation Records'!$D$69:$D$152,255),0))="","",INDEX('Disaggregation Records'!$H$69:$H$152,MATCH(RIGHT(Q364,255),RIGHT('Disaggregation Records'!$D$69:$D$152,255),0))),"")</f>
        <v/>
      </c>
      <c r="U364" s="89">
        <f>U362+1</f>
        <v>911</v>
      </c>
      <c r="V364" s="89" t="str">
        <f t="array" aca="1" ref="V364" ca="1">IFERROR(IF(INDEX('Disaggregation Records'!$I$69:$I$152,MATCH(RIGHT(Q364,255),RIGHT('Disaggregation Records'!$D$69:$D$152,255),0))="","",INDEX('Disaggregation Records'!$I$69:$I$152,MATCH(RIGHT(Q364,255),RIGHT('Disaggregation Records'!$D$69:$D$152,255),0))),"")</f>
        <v/>
      </c>
      <c r="W364" s="89" t="str">
        <f ca="1">IFERROR(INDEX('Reference Records'!P$23:P$74,MATCH(LEFT(C364,255),'Reference Records'!J$23:J$74,0)),"")</f>
        <v>HIV O-4.1b⁽ᴹ⁾ Percentage of transgender people reporting using a condom in their last anal sex with a non-regular male partner</v>
      </c>
    </row>
    <row r="365" spans="1:23" s="89" customFormat="1" ht="40.35" customHeight="1">
      <c r="A365" s="564"/>
      <c r="B365" s="799"/>
      <c r="C365" s="800"/>
      <c r="D365" s="801"/>
      <c r="E365" s="801"/>
      <c r="F365" s="128"/>
      <c r="G365" s="802"/>
      <c r="H365" s="781"/>
      <c r="I365" s="803"/>
      <c r="J365" s="779"/>
      <c r="K365" s="800"/>
      <c r="L365" s="800"/>
      <c r="M365" s="779"/>
      <c r="N365" s="779"/>
      <c r="V365" s="89" t="str">
        <f t="array" ref="V365">IFERROR(IF(INDEX('Disaggregation Records'!$I$69:$I$152,MATCH(RIGHT(Q365,255),RIGHT('Disaggregation Records'!$D$69:$D$152,255),0))="","",INDEX('Disaggregation Records'!$I$69:$I$152,MATCH(RIGHT(Q365,255),RIGHT('Disaggregation Records'!$D$69:$D$152,255),0))),"")</f>
        <v/>
      </c>
    </row>
    <row r="366" spans="1:23" s="89" customFormat="1" ht="40.35" customHeight="1">
      <c r="A366" s="564" t="str">
        <f ca="1">INDIRECT("'update Helper'!C"&amp;U366)</f>
        <v>a1V3p000006h2w9EAA</v>
      </c>
      <c r="B366" s="794">
        <v>3</v>
      </c>
      <c r="C366" s="795" t="str">
        <f ca="1">IFERROR(VLOOKUP(B366,'Outcome Indicators - Section C '!$A$9:$AF$70,32,FALSE),"")</f>
        <v>HIV O-4.1b⁽ᴹ⁾ Porcentaje de personas transgénero que afirman haber utilizado preservativo en su último encuentro sexual o relación de sexo anal con una pareja masculina no regular</v>
      </c>
      <c r="D366" s="796" t="str">
        <f ca="1">R366</f>
        <v/>
      </c>
      <c r="E366" s="796" t="str">
        <f ca="1">S366</f>
        <v/>
      </c>
      <c r="F366" s="127"/>
      <c r="G366" s="797" t="str">
        <f ca="1">IF(OR(INDIRECT("'update Helper'!E"&amp;U366)="",F366&lt;&gt;0,F367&lt;&gt;0),IF(IFERROR((F366/F367),"")="","",(F366/F367)),INDIRECT("'update Helper'!E"&amp;U366)/100)</f>
        <v/>
      </c>
      <c r="H366" s="784"/>
      <c r="I366" s="798"/>
      <c r="J366" s="777"/>
      <c r="K366" s="795" t="str">
        <f ca="1">W366</f>
        <v>HIV O-4.1b⁽ᴹ⁾ Percentage of transgender people reporting using a condom in their last anal sex with a non-regular male partner</v>
      </c>
      <c r="L366" s="795" t="str">
        <f ca="1">V366</f>
        <v/>
      </c>
      <c r="M366" s="777"/>
      <c r="N366" s="777"/>
      <c r="P366" s="89">
        <f ca="1">IF(AND(EXACT(C366,C364),C364&lt;&gt;0),P364+1,0)</f>
        <v>5</v>
      </c>
      <c r="Q366" s="89" t="str">
        <f ca="1">IF(C366&lt;&gt;"",C366&amp;"-"&amp;P366,"")</f>
        <v>HIV O-4.1b⁽ᴹ⁾ Porcentaje de personas transgénero que afirman haber utilizado preservativo en su último encuentro sexual o relación de sexo anal con una pareja masculina no regular-5</v>
      </c>
      <c r="R366" s="89" t="str">
        <f t="array" aca="1" ref="R366" ca="1">IFERROR(IF(INDEX('Disaggregation Records'!$E$69:$E$152,MATCH(RIGHT(Q366,255),RIGHT('Disaggregation Records'!$D$69:$D$152,255),0))="","",INDEX('Disaggregation Records'!$E$69:$E$152,MATCH(RIGHT(Q366,255),RIGHT('Disaggregation Records'!$D$69:$D$152,255),0))),"")</f>
        <v/>
      </c>
      <c r="S366" s="89" t="str">
        <f t="array" aca="1" ref="S366" ca="1">IFERROR(IF(INDEX('Disaggregation Records'!$F$69:$F$152,MATCH(RIGHT(Q366,255),RIGHT('Disaggregation Records'!$D$69:$D$152,255),0))="","",INDEX('Disaggregation Records'!$F$69:$F$152,MATCH(RIGHT(Q366,255),RIGHT('Disaggregation Records'!$D$69:$D$152,255),0))),"")</f>
        <v/>
      </c>
      <c r="T366" s="89" t="str">
        <f t="array" aca="1" ref="T366" ca="1">IFERROR(IF(INDEX('Disaggregation Records'!$H$69:$H$152,MATCH(RIGHT(Q366,255),RIGHT('Disaggregation Records'!$D$69:$D$152,255),0))="","",INDEX('Disaggregation Records'!$H$69:$H$152,MATCH(RIGHT(Q366,255),RIGHT('Disaggregation Records'!$D$69:$D$152,255),0))),"")</f>
        <v/>
      </c>
      <c r="U366" s="89">
        <f>U364+1</f>
        <v>912</v>
      </c>
      <c r="V366" s="89" t="str">
        <f t="array" aca="1" ref="V366" ca="1">IFERROR(IF(INDEX('Disaggregation Records'!$I$69:$I$152,MATCH(RIGHT(Q366,255),RIGHT('Disaggregation Records'!$D$69:$D$152,255),0))="","",INDEX('Disaggregation Records'!$I$69:$I$152,MATCH(RIGHT(Q366,255),RIGHT('Disaggregation Records'!$D$69:$D$152,255),0))),"")</f>
        <v/>
      </c>
      <c r="W366" s="89" t="str">
        <f ca="1">IFERROR(INDEX('Reference Records'!P$23:P$74,MATCH(LEFT(C366,255),'Reference Records'!J$23:J$74,0)),"")</f>
        <v>HIV O-4.1b⁽ᴹ⁾ Percentage of transgender people reporting using a condom in their last anal sex with a non-regular male partner</v>
      </c>
    </row>
    <row r="367" spans="1:23" s="89" customFormat="1" ht="40.35" customHeight="1">
      <c r="A367" s="564"/>
      <c r="B367" s="799"/>
      <c r="C367" s="800"/>
      <c r="D367" s="801"/>
      <c r="E367" s="801"/>
      <c r="F367" s="128"/>
      <c r="G367" s="802"/>
      <c r="H367" s="781"/>
      <c r="I367" s="803"/>
      <c r="J367" s="779"/>
      <c r="K367" s="800"/>
      <c r="L367" s="800"/>
      <c r="M367" s="779"/>
      <c r="N367" s="779"/>
      <c r="V367" s="89" t="str">
        <f t="array" ref="V367">IFERROR(IF(INDEX('Disaggregation Records'!$I$69:$I$152,MATCH(RIGHT(Q367,255),RIGHT('Disaggregation Records'!$D$69:$D$152,255),0))="","",INDEX('Disaggregation Records'!$I$69:$I$152,MATCH(RIGHT(Q367,255),RIGHT('Disaggregation Records'!$D$69:$D$152,255),0))),"")</f>
        <v/>
      </c>
    </row>
    <row r="368" spans="1:23" s="89" customFormat="1" ht="40.35" customHeight="1">
      <c r="A368" s="564" t="str">
        <f ca="1">INDIRECT("'update Helper'!C"&amp;U368)</f>
        <v>a1V3p000006h2wAEAQ</v>
      </c>
      <c r="B368" s="794">
        <v>3</v>
      </c>
      <c r="C368" s="795" t="str">
        <f ca="1">IFERROR(VLOOKUP(B368,'Outcome Indicators - Section C '!$A$9:$AF$70,32,FALSE),"")</f>
        <v>HIV O-4.1b⁽ᴹ⁾ Porcentaje de personas transgénero que afirman haber utilizado preservativo en su último encuentro sexual o relación de sexo anal con una pareja masculina no regular</v>
      </c>
      <c r="D368" s="796" t="str">
        <f ca="1">R368</f>
        <v/>
      </c>
      <c r="E368" s="796" t="str">
        <f ca="1">S368</f>
        <v/>
      </c>
      <c r="F368" s="127"/>
      <c r="G368" s="797" t="str">
        <f ca="1">IF(OR(INDIRECT("'update Helper'!E"&amp;U368)="",F368&lt;&gt;0,F369&lt;&gt;0),IF(IFERROR((F368/F369),"")="","",(F368/F369)),INDIRECT("'update Helper'!E"&amp;U368)/100)</f>
        <v/>
      </c>
      <c r="H368" s="784"/>
      <c r="I368" s="798"/>
      <c r="J368" s="777"/>
      <c r="K368" s="795" t="str">
        <f ca="1">W368</f>
        <v>HIV O-4.1b⁽ᴹ⁾ Percentage of transgender people reporting using a condom in their last anal sex with a non-regular male partner</v>
      </c>
      <c r="L368" s="795" t="str">
        <f ca="1">V368</f>
        <v/>
      </c>
      <c r="M368" s="777"/>
      <c r="N368" s="777"/>
      <c r="P368" s="89">
        <f ca="1">IF(AND(EXACT(C368,C366),C366&lt;&gt;0),P366+1,0)</f>
        <v>6</v>
      </c>
      <c r="Q368" s="89" t="str">
        <f ca="1">IF(C368&lt;&gt;"",C368&amp;"-"&amp;P368,"")</f>
        <v>HIV O-4.1b⁽ᴹ⁾ Porcentaje de personas transgénero que afirman haber utilizado preservativo en su último encuentro sexual o relación de sexo anal con una pareja masculina no regular-6</v>
      </c>
      <c r="R368" s="89" t="str">
        <f t="array" aca="1" ref="R368" ca="1">IFERROR(IF(INDEX('Disaggregation Records'!$E$69:$E$152,MATCH(RIGHT(Q368,255),RIGHT('Disaggregation Records'!$D$69:$D$152,255),0))="","",INDEX('Disaggregation Records'!$E$69:$E$152,MATCH(RIGHT(Q368,255),RIGHT('Disaggregation Records'!$D$69:$D$152,255),0))),"")</f>
        <v/>
      </c>
      <c r="S368" s="89" t="str">
        <f t="array" aca="1" ref="S368" ca="1">IFERROR(IF(INDEX('Disaggregation Records'!$F$69:$F$152,MATCH(RIGHT(Q368,255),RIGHT('Disaggregation Records'!$D$69:$D$152,255),0))="","",INDEX('Disaggregation Records'!$F$69:$F$152,MATCH(RIGHT(Q368,255),RIGHT('Disaggregation Records'!$D$69:$D$152,255),0))),"")</f>
        <v/>
      </c>
      <c r="T368" s="89" t="str">
        <f t="array" aca="1" ref="T368" ca="1">IFERROR(IF(INDEX('Disaggregation Records'!$H$69:$H$152,MATCH(RIGHT(Q368,255),RIGHT('Disaggregation Records'!$D$69:$D$152,255),0))="","",INDEX('Disaggregation Records'!$H$69:$H$152,MATCH(RIGHT(Q368,255),RIGHT('Disaggregation Records'!$D$69:$D$152,255),0))),"")</f>
        <v/>
      </c>
      <c r="U368" s="89">
        <f>U366+1</f>
        <v>913</v>
      </c>
      <c r="V368" s="89" t="str">
        <f t="array" aca="1" ref="V368" ca="1">IFERROR(IF(INDEX('Disaggregation Records'!$I$69:$I$152,MATCH(RIGHT(Q368,255),RIGHT('Disaggregation Records'!$D$69:$D$152,255),0))="","",INDEX('Disaggregation Records'!$I$69:$I$152,MATCH(RIGHT(Q368,255),RIGHT('Disaggregation Records'!$D$69:$D$152,255),0))),"")</f>
        <v/>
      </c>
      <c r="W368" s="89" t="str">
        <f ca="1">IFERROR(INDEX('Reference Records'!P$23:P$74,MATCH(LEFT(C368,255),'Reference Records'!J$23:J$74,0)),"")</f>
        <v>HIV O-4.1b⁽ᴹ⁾ Percentage of transgender people reporting using a condom in their last anal sex with a non-regular male partner</v>
      </c>
    </row>
    <row r="369" spans="1:23" s="89" customFormat="1" ht="40.35" customHeight="1">
      <c r="A369" s="564"/>
      <c r="B369" s="799"/>
      <c r="C369" s="800"/>
      <c r="D369" s="801"/>
      <c r="E369" s="801"/>
      <c r="F369" s="128"/>
      <c r="G369" s="802"/>
      <c r="H369" s="781"/>
      <c r="I369" s="803"/>
      <c r="J369" s="779"/>
      <c r="K369" s="800"/>
      <c r="L369" s="800"/>
      <c r="M369" s="779"/>
      <c r="N369" s="779"/>
      <c r="V369" s="89" t="str">
        <f t="array" ref="V369">IFERROR(IF(INDEX('Disaggregation Records'!$I$69:$I$152,MATCH(RIGHT(Q369,255),RIGHT('Disaggregation Records'!$D$69:$D$152,255),0))="","",INDEX('Disaggregation Records'!$I$69:$I$152,MATCH(RIGHT(Q369,255),RIGHT('Disaggregation Records'!$D$69:$D$152,255),0))),"")</f>
        <v/>
      </c>
    </row>
    <row r="370" spans="1:23" s="89" customFormat="1" ht="40.35" customHeight="1">
      <c r="A370" s="564" t="str">
        <f ca="1">INDIRECT("'update Helper'!C"&amp;U370)</f>
        <v>a1V3p000006h2wBEAQ</v>
      </c>
      <c r="B370" s="794">
        <v>3</v>
      </c>
      <c r="C370" s="795" t="str">
        <f ca="1">IFERROR(VLOOKUP(B370,'Outcome Indicators - Section C '!$A$9:$AF$70,32,FALSE),"")</f>
        <v>HIV O-4.1b⁽ᴹ⁾ Porcentaje de personas transgénero que afirman haber utilizado preservativo en su último encuentro sexual o relación de sexo anal con una pareja masculina no regular</v>
      </c>
      <c r="D370" s="796" t="str">
        <f ca="1">R370</f>
        <v/>
      </c>
      <c r="E370" s="796" t="str">
        <f ca="1">S370</f>
        <v/>
      </c>
      <c r="F370" s="127"/>
      <c r="G370" s="797" t="str">
        <f ca="1">IF(OR(INDIRECT("'update Helper'!E"&amp;U370)="",F370&lt;&gt;0,F371&lt;&gt;0),IF(IFERROR((F370/F371),"")="","",(F370/F371)),INDIRECT("'update Helper'!E"&amp;U370)/100)</f>
        <v/>
      </c>
      <c r="H370" s="784"/>
      <c r="I370" s="798"/>
      <c r="J370" s="777"/>
      <c r="K370" s="795" t="str">
        <f ca="1">W370</f>
        <v>HIV O-4.1b⁽ᴹ⁾ Percentage of transgender people reporting using a condom in their last anal sex with a non-regular male partner</v>
      </c>
      <c r="L370" s="795" t="str">
        <f ca="1">V370</f>
        <v/>
      </c>
      <c r="M370" s="777"/>
      <c r="N370" s="777"/>
      <c r="P370" s="89">
        <f ca="1">IF(AND(EXACT(C370,C368),C368&lt;&gt;0),P368+1,0)</f>
        <v>7</v>
      </c>
      <c r="Q370" s="89" t="str">
        <f ca="1">IF(C370&lt;&gt;"",C370&amp;"-"&amp;P370,"")</f>
        <v>HIV O-4.1b⁽ᴹ⁾ Porcentaje de personas transgénero que afirman haber utilizado preservativo en su último encuentro sexual o relación de sexo anal con una pareja masculina no regular-7</v>
      </c>
      <c r="R370" s="89" t="str">
        <f t="array" aca="1" ref="R370" ca="1">IFERROR(IF(INDEX('Disaggregation Records'!$E$69:$E$152,MATCH(RIGHT(Q370,255),RIGHT('Disaggregation Records'!$D$69:$D$152,255),0))="","",INDEX('Disaggregation Records'!$E$69:$E$152,MATCH(RIGHT(Q370,255),RIGHT('Disaggregation Records'!$D$69:$D$152,255),0))),"")</f>
        <v/>
      </c>
      <c r="S370" s="89" t="str">
        <f t="array" aca="1" ref="S370" ca="1">IFERROR(IF(INDEX('Disaggregation Records'!$F$69:$F$152,MATCH(RIGHT(Q370,255),RIGHT('Disaggregation Records'!$D$69:$D$152,255),0))="","",INDEX('Disaggregation Records'!$F$69:$F$152,MATCH(RIGHT(Q370,255),RIGHT('Disaggregation Records'!$D$69:$D$152,255),0))),"")</f>
        <v/>
      </c>
      <c r="T370" s="89" t="str">
        <f t="array" aca="1" ref="T370" ca="1">IFERROR(IF(INDEX('Disaggregation Records'!$H$69:$H$152,MATCH(RIGHT(Q370,255),RIGHT('Disaggregation Records'!$D$69:$D$152,255),0))="","",INDEX('Disaggregation Records'!$H$69:$H$152,MATCH(RIGHT(Q370,255),RIGHT('Disaggregation Records'!$D$69:$D$152,255),0))),"")</f>
        <v/>
      </c>
      <c r="U370" s="89">
        <f>U368+1</f>
        <v>914</v>
      </c>
      <c r="V370" s="89" t="str">
        <f t="array" aca="1" ref="V370" ca="1">IFERROR(IF(INDEX('Disaggregation Records'!$I$69:$I$152,MATCH(RIGHT(Q370,255),RIGHT('Disaggregation Records'!$D$69:$D$152,255),0))="","",INDEX('Disaggregation Records'!$I$69:$I$152,MATCH(RIGHT(Q370,255),RIGHT('Disaggregation Records'!$D$69:$D$152,255),0))),"")</f>
        <v/>
      </c>
      <c r="W370" s="89" t="str">
        <f ca="1">IFERROR(INDEX('Reference Records'!P$23:P$74,MATCH(LEFT(C370,255),'Reference Records'!J$23:J$74,0)),"")</f>
        <v>HIV O-4.1b⁽ᴹ⁾ Percentage of transgender people reporting using a condom in their last anal sex with a non-regular male partner</v>
      </c>
    </row>
    <row r="371" spans="1:23" s="89" customFormat="1" ht="40.35" customHeight="1">
      <c r="A371" s="564"/>
      <c r="B371" s="799"/>
      <c r="C371" s="800"/>
      <c r="D371" s="801"/>
      <c r="E371" s="801"/>
      <c r="F371" s="128"/>
      <c r="G371" s="802"/>
      <c r="H371" s="781"/>
      <c r="I371" s="803"/>
      <c r="J371" s="779"/>
      <c r="K371" s="800"/>
      <c r="L371" s="800"/>
      <c r="M371" s="779"/>
      <c r="N371" s="779"/>
      <c r="V371" s="89" t="str">
        <f t="array" ref="V371">IFERROR(IF(INDEX('Disaggregation Records'!$I$69:$I$152,MATCH(RIGHT(Q371,255),RIGHT('Disaggregation Records'!$D$69:$D$152,255),0))="","",INDEX('Disaggregation Records'!$I$69:$I$152,MATCH(RIGHT(Q371,255),RIGHT('Disaggregation Records'!$D$69:$D$152,255),0))),"")</f>
        <v/>
      </c>
    </row>
    <row r="372" spans="1:23" s="89" customFormat="1" ht="40.35" customHeight="1">
      <c r="A372" s="564" t="str">
        <f ca="1">INDIRECT("'update Helper'!C"&amp;U372)</f>
        <v>a1V3p000006h2wCEAQ</v>
      </c>
      <c r="B372" s="794">
        <v>3</v>
      </c>
      <c r="C372" s="795" t="str">
        <f ca="1">IFERROR(VLOOKUP(B372,'Outcome Indicators - Section C '!$A$9:$AF$70,32,FALSE),"")</f>
        <v>HIV O-4.1b⁽ᴹ⁾ Porcentaje de personas transgénero que afirman haber utilizado preservativo en su último encuentro sexual o relación de sexo anal con una pareja masculina no regular</v>
      </c>
      <c r="D372" s="796" t="str">
        <f ca="1">R372</f>
        <v/>
      </c>
      <c r="E372" s="796" t="str">
        <f ca="1">S372</f>
        <v/>
      </c>
      <c r="F372" s="127"/>
      <c r="G372" s="797" t="str">
        <f ca="1">IF(OR(INDIRECT("'update Helper'!E"&amp;U372)="",F372&lt;&gt;0,F373&lt;&gt;0),IF(IFERROR((F372/F373),"")="","",(F372/F373)),INDIRECT("'update Helper'!E"&amp;U372)/100)</f>
        <v/>
      </c>
      <c r="H372" s="784"/>
      <c r="I372" s="798"/>
      <c r="J372" s="777"/>
      <c r="K372" s="795" t="str">
        <f ca="1">W372</f>
        <v>HIV O-4.1b⁽ᴹ⁾ Percentage of transgender people reporting using a condom in their last anal sex with a non-regular male partner</v>
      </c>
      <c r="L372" s="795" t="str">
        <f ca="1">V372</f>
        <v/>
      </c>
      <c r="M372" s="777"/>
      <c r="N372" s="777"/>
      <c r="P372" s="89">
        <f ca="1">IF(AND(EXACT(C372,C370),C370&lt;&gt;0),P370+1,0)</f>
        <v>8</v>
      </c>
      <c r="Q372" s="89" t="str">
        <f ca="1">IF(C372&lt;&gt;"",C372&amp;"-"&amp;P372,"")</f>
        <v>HIV O-4.1b⁽ᴹ⁾ Porcentaje de personas transgénero que afirman haber utilizado preservativo en su último encuentro sexual o relación de sexo anal con una pareja masculina no regular-8</v>
      </c>
      <c r="R372" s="89" t="str">
        <f t="array" aca="1" ref="R372" ca="1">IFERROR(IF(INDEX('Disaggregation Records'!$E$69:$E$152,MATCH(RIGHT(Q372,255),RIGHT('Disaggregation Records'!$D$69:$D$152,255),0))="","",INDEX('Disaggregation Records'!$E$69:$E$152,MATCH(RIGHT(Q372,255),RIGHT('Disaggregation Records'!$D$69:$D$152,255),0))),"")</f>
        <v/>
      </c>
      <c r="S372" s="89" t="str">
        <f t="array" aca="1" ref="S372" ca="1">IFERROR(IF(INDEX('Disaggregation Records'!$F$69:$F$152,MATCH(RIGHT(Q372,255),RIGHT('Disaggregation Records'!$D$69:$D$152,255),0))="","",INDEX('Disaggregation Records'!$F$69:$F$152,MATCH(RIGHT(Q372,255),RIGHT('Disaggregation Records'!$D$69:$D$152,255),0))),"")</f>
        <v/>
      </c>
      <c r="T372" s="89" t="str">
        <f t="array" aca="1" ref="T372" ca="1">IFERROR(IF(INDEX('Disaggregation Records'!$H$69:$H$152,MATCH(RIGHT(Q372,255),RIGHT('Disaggregation Records'!$D$69:$D$152,255),0))="","",INDEX('Disaggregation Records'!$H$69:$H$152,MATCH(RIGHT(Q372,255),RIGHT('Disaggregation Records'!$D$69:$D$152,255),0))),"")</f>
        <v/>
      </c>
      <c r="U372" s="89">
        <f>U370+1</f>
        <v>915</v>
      </c>
      <c r="V372" s="89" t="str">
        <f t="array" aca="1" ref="V372" ca="1">IFERROR(IF(INDEX('Disaggregation Records'!$I$69:$I$152,MATCH(RIGHT(Q372,255),RIGHT('Disaggregation Records'!$D$69:$D$152,255),0))="","",INDEX('Disaggregation Records'!$I$69:$I$152,MATCH(RIGHT(Q372,255),RIGHT('Disaggregation Records'!$D$69:$D$152,255),0))),"")</f>
        <v/>
      </c>
      <c r="W372" s="89" t="str">
        <f ca="1">IFERROR(INDEX('Reference Records'!P$23:P$74,MATCH(LEFT(C372,255),'Reference Records'!J$23:J$74,0)),"")</f>
        <v>HIV O-4.1b⁽ᴹ⁾ Percentage of transgender people reporting using a condom in their last anal sex with a non-regular male partner</v>
      </c>
    </row>
    <row r="373" spans="1:23" s="89" customFormat="1" ht="40.35" customHeight="1">
      <c r="A373" s="564"/>
      <c r="B373" s="799"/>
      <c r="C373" s="800"/>
      <c r="D373" s="801"/>
      <c r="E373" s="801"/>
      <c r="F373" s="128"/>
      <c r="G373" s="802"/>
      <c r="H373" s="781"/>
      <c r="I373" s="803"/>
      <c r="J373" s="779"/>
      <c r="K373" s="800"/>
      <c r="L373" s="800"/>
      <c r="M373" s="779"/>
      <c r="N373" s="779"/>
      <c r="V373" s="89" t="str">
        <f t="array" ref="V373">IFERROR(IF(INDEX('Disaggregation Records'!$I$69:$I$152,MATCH(RIGHT(Q373,255),RIGHT('Disaggregation Records'!$D$69:$D$152,255),0))="","",INDEX('Disaggregation Records'!$I$69:$I$152,MATCH(RIGHT(Q373,255),RIGHT('Disaggregation Records'!$D$69:$D$152,255),0))),"")</f>
        <v/>
      </c>
    </row>
    <row r="374" spans="1:23" s="89" customFormat="1" ht="40.35" customHeight="1">
      <c r="A374" s="564" t="str">
        <f ca="1">INDIRECT("'update Helper'!C"&amp;U374)</f>
        <v>a1V3p000006h2wDEAQ</v>
      </c>
      <c r="B374" s="794">
        <v>3</v>
      </c>
      <c r="C374" s="795" t="str">
        <f ca="1">IFERROR(VLOOKUP(B374,'Outcome Indicators - Section C '!$A$9:$AF$70,32,FALSE),"")</f>
        <v>HIV O-4.1b⁽ᴹ⁾ Porcentaje de personas transgénero que afirman haber utilizado preservativo en su último encuentro sexual o relación de sexo anal con una pareja masculina no regular</v>
      </c>
      <c r="D374" s="796" t="str">
        <f ca="1">R374</f>
        <v/>
      </c>
      <c r="E374" s="796" t="str">
        <f ca="1">S374</f>
        <v/>
      </c>
      <c r="F374" s="127"/>
      <c r="G374" s="797" t="str">
        <f ca="1">IF(OR(INDIRECT("'update Helper'!E"&amp;U374)="",F374&lt;&gt;0,F375&lt;&gt;0),IF(IFERROR((F374/F375),"")="","",(F374/F375)),INDIRECT("'update Helper'!E"&amp;U374)/100)</f>
        <v/>
      </c>
      <c r="H374" s="784"/>
      <c r="I374" s="798"/>
      <c r="J374" s="777"/>
      <c r="K374" s="795" t="str">
        <f ca="1">W374</f>
        <v>HIV O-4.1b⁽ᴹ⁾ Percentage of transgender people reporting using a condom in their last anal sex with a non-regular male partner</v>
      </c>
      <c r="L374" s="795" t="str">
        <f ca="1">V374</f>
        <v/>
      </c>
      <c r="M374" s="777"/>
      <c r="N374" s="777"/>
      <c r="P374" s="89">
        <f ca="1">IF(AND(EXACT(C374,C372),C372&lt;&gt;0),P372+1,0)</f>
        <v>9</v>
      </c>
      <c r="Q374" s="89" t="str">
        <f ca="1">IF(C374&lt;&gt;"",C374&amp;"-"&amp;P374,"")</f>
        <v>HIV O-4.1b⁽ᴹ⁾ Porcentaje de personas transgénero que afirman haber utilizado preservativo en su último encuentro sexual o relación de sexo anal con una pareja masculina no regular-9</v>
      </c>
      <c r="R374" s="89" t="str">
        <f t="array" aca="1" ref="R374" ca="1">IFERROR(IF(INDEX('Disaggregation Records'!$E$69:$E$152,MATCH(RIGHT(Q374,255),RIGHT('Disaggregation Records'!$D$69:$D$152,255),0))="","",INDEX('Disaggregation Records'!$E$69:$E$152,MATCH(RIGHT(Q374,255),RIGHT('Disaggregation Records'!$D$69:$D$152,255),0))),"")</f>
        <v/>
      </c>
      <c r="S374" s="89" t="str">
        <f t="array" aca="1" ref="S374" ca="1">IFERROR(IF(INDEX('Disaggregation Records'!$F$69:$F$152,MATCH(RIGHT(Q374,255),RIGHT('Disaggregation Records'!$D$69:$D$152,255),0))="","",INDEX('Disaggregation Records'!$F$69:$F$152,MATCH(RIGHT(Q374,255),RIGHT('Disaggregation Records'!$D$69:$D$152,255),0))),"")</f>
        <v/>
      </c>
      <c r="T374" s="89" t="str">
        <f t="array" aca="1" ref="T374" ca="1">IFERROR(IF(INDEX('Disaggregation Records'!$H$69:$H$152,MATCH(RIGHT(Q374,255),RIGHT('Disaggregation Records'!$D$69:$D$152,255),0))="","",INDEX('Disaggregation Records'!$H$69:$H$152,MATCH(RIGHT(Q374,255),RIGHT('Disaggregation Records'!$D$69:$D$152,255),0))),"")</f>
        <v/>
      </c>
      <c r="U374" s="89">
        <f>U372+1</f>
        <v>916</v>
      </c>
      <c r="V374" s="89" t="str">
        <f t="array" aca="1" ref="V374" ca="1">IFERROR(IF(INDEX('Disaggregation Records'!$I$69:$I$152,MATCH(RIGHT(Q374,255),RIGHT('Disaggregation Records'!$D$69:$D$152,255),0))="","",INDEX('Disaggregation Records'!$I$69:$I$152,MATCH(RIGHT(Q374,255),RIGHT('Disaggregation Records'!$D$69:$D$152,255),0))),"")</f>
        <v/>
      </c>
      <c r="W374" s="89" t="str">
        <f ca="1">IFERROR(INDEX('Reference Records'!P$23:P$74,MATCH(LEFT(C374,255),'Reference Records'!J$23:J$74,0)),"")</f>
        <v>HIV O-4.1b⁽ᴹ⁾ Percentage of transgender people reporting using a condom in their last anal sex with a non-regular male partner</v>
      </c>
    </row>
    <row r="375" spans="1:23" s="89" customFormat="1" ht="40.35" customHeight="1">
      <c r="A375" s="564"/>
      <c r="B375" s="799"/>
      <c r="C375" s="800"/>
      <c r="D375" s="801"/>
      <c r="E375" s="801"/>
      <c r="F375" s="128"/>
      <c r="G375" s="802"/>
      <c r="H375" s="781"/>
      <c r="I375" s="803"/>
      <c r="J375" s="779"/>
      <c r="K375" s="800"/>
      <c r="L375" s="800"/>
      <c r="M375" s="779"/>
      <c r="N375" s="779"/>
      <c r="V375" s="89" t="str">
        <f t="array" ref="V375">IFERROR(IF(INDEX('Disaggregation Records'!$I$69:$I$152,MATCH(RIGHT(Q375,255),RIGHT('Disaggregation Records'!$D$69:$D$152,255),0))="","",INDEX('Disaggregation Records'!$I$69:$I$152,MATCH(RIGHT(Q375,255),RIGHT('Disaggregation Records'!$D$69:$D$152,255),0))),"")</f>
        <v/>
      </c>
    </row>
    <row r="376" spans="1:23" s="89" customFormat="1" ht="40.35" customHeight="1">
      <c r="A376" s="564" t="str">
        <f ca="1">INDIRECT("'update Helper'!C"&amp;U376)</f>
        <v>a1V3p000006h2wEEAQ</v>
      </c>
      <c r="B376" s="794">
        <v>4</v>
      </c>
      <c r="C376" s="795" t="str">
        <f ca="1">IFERROR(VLOOKUP(B376,'Outcome Indicators - Section C '!$A$9:$AF$70,32,FALSE),"")</f>
        <v>HIV O-5⁽ᴹ⁾ Porcentaje de trabajadores sexuales que afirman haber utilizado preservativo con su último cliente</v>
      </c>
      <c r="D376" s="796" t="str">
        <f ca="1">R376</f>
        <v>Género</v>
      </c>
      <c r="E376" s="796" t="str">
        <f ca="1">S376</f>
        <v>Transgénero</v>
      </c>
      <c r="F376" s="423">
        <v>330</v>
      </c>
      <c r="G376" s="806">
        <f ca="1">IF(OR(INDIRECT("'update Helper'!E"&amp;U376)="",F376&lt;&gt;0,F377&lt;&gt;0),IF(IFERROR((F376/F377),"")="","",(F376/F377)),INDIRECT("'update Helper'!E"&amp;U376)/100)</f>
        <v>0.87301587301587302</v>
      </c>
      <c r="H376" s="804">
        <v>2021</v>
      </c>
      <c r="I376" s="808" t="s">
        <v>5499</v>
      </c>
      <c r="J376" s="777" t="s">
        <v>5500</v>
      </c>
      <c r="K376" s="795" t="str">
        <f ca="1">W376</f>
        <v>HIV O-5⁽ᴹ⁾ Percentage of sex workers reporting the use of a condom with their most recent client</v>
      </c>
      <c r="L376" s="795" t="str">
        <f ca="1">V376</f>
        <v>Gender</v>
      </c>
      <c r="M376" s="777"/>
      <c r="N376" s="777"/>
      <c r="P376" s="89">
        <f ca="1">IF(AND(EXACT(C376,C374),C374&lt;&gt;0),P374+1,0)</f>
        <v>0</v>
      </c>
      <c r="Q376" s="89" t="str">
        <f ca="1">IF(C376&lt;&gt;"",C376&amp;"-"&amp;P376,"")</f>
        <v>HIV O-5⁽ᴹ⁾ Porcentaje de trabajadores sexuales que afirman haber utilizado preservativo con su último cliente-0</v>
      </c>
      <c r="R376" s="89" t="str">
        <f t="array" aca="1" ref="R376" ca="1">IFERROR(IF(INDEX('Disaggregation Records'!$E$69:$E$152,MATCH(RIGHT(Q376,255),RIGHT('Disaggregation Records'!$D$69:$D$152,255),0))="","",INDEX('Disaggregation Records'!$E$69:$E$152,MATCH(RIGHT(Q376,255),RIGHT('Disaggregation Records'!$D$69:$D$152,255),0))),"")</f>
        <v>Género</v>
      </c>
      <c r="S376" s="89" t="str">
        <f t="array" aca="1" ref="S376" ca="1">IFERROR(IF(INDEX('Disaggregation Records'!$F$69:$F$152,MATCH(RIGHT(Q376,255),RIGHT('Disaggregation Records'!$D$69:$D$152,255),0))="","",INDEX('Disaggregation Records'!$F$69:$F$152,MATCH(RIGHT(Q376,255),RIGHT('Disaggregation Records'!$D$69:$D$152,255),0))),"")</f>
        <v>Transgénero</v>
      </c>
      <c r="T376" s="89" t="str">
        <f t="array" aca="1" ref="T376" ca="1">IFERROR(IF(INDEX('Disaggregation Records'!$H$69:$H$152,MATCH(RIGHT(Q376,255),RIGHT('Disaggregation Records'!$D$69:$D$152,255),0))="","",INDEX('Disaggregation Records'!$H$69:$H$152,MATCH(RIGHT(Q376,255),RIGHT('Disaggregation Records'!$D$69:$D$152,255),0))),"")</f>
        <v>IDR-00786</v>
      </c>
      <c r="U376" s="89">
        <f>U374+1</f>
        <v>917</v>
      </c>
      <c r="V376" s="89" t="str">
        <f t="array" aca="1" ref="V376" ca="1">IFERROR(IF(INDEX('Disaggregation Records'!$I$69:$I$152,MATCH(RIGHT(Q376,255),RIGHT('Disaggregation Records'!$D$69:$D$152,255),0))="","",INDEX('Disaggregation Records'!$I$69:$I$152,MATCH(RIGHT(Q376,255),RIGHT('Disaggregation Records'!$D$69:$D$152,255),0))),"")</f>
        <v>Gender</v>
      </c>
      <c r="W376" s="89" t="str">
        <f ca="1">IFERROR(INDEX('Reference Records'!P$23:P$74,MATCH(LEFT(C376,255),'Reference Records'!J$23:J$74,0)),"")</f>
        <v>HIV O-5⁽ᴹ⁾ Percentage of sex workers reporting the use of a condom with their most recent client</v>
      </c>
    </row>
    <row r="377" spans="1:23" s="89" customFormat="1" ht="40.35" customHeight="1">
      <c r="A377" s="564"/>
      <c r="B377" s="799"/>
      <c r="C377" s="800"/>
      <c r="D377" s="801"/>
      <c r="E377" s="801"/>
      <c r="F377" s="424">
        <v>378</v>
      </c>
      <c r="G377" s="807"/>
      <c r="H377" s="805"/>
      <c r="I377" s="809"/>
      <c r="J377" s="779"/>
      <c r="K377" s="800"/>
      <c r="L377" s="800"/>
      <c r="M377" s="779"/>
      <c r="N377" s="779"/>
      <c r="V377" s="89" t="str">
        <f t="array" ref="V377">IFERROR(IF(INDEX('Disaggregation Records'!$I$69:$I$152,MATCH(RIGHT(Q377,255),RIGHT('Disaggregation Records'!$D$69:$D$152,255),0))="","",INDEX('Disaggregation Records'!$I$69:$I$152,MATCH(RIGHT(Q377,255),RIGHT('Disaggregation Records'!$D$69:$D$152,255),0))),"")</f>
        <v/>
      </c>
    </row>
    <row r="378" spans="1:23" s="89" customFormat="1" ht="40.35" customHeight="1">
      <c r="A378" s="564" t="str">
        <f ca="1">INDIRECT("'update Helper'!C"&amp;U378)</f>
        <v>a1V3p000006h2wFEAQ</v>
      </c>
      <c r="B378" s="794">
        <v>4</v>
      </c>
      <c r="C378" s="795" t="str">
        <f ca="1">IFERROR(VLOOKUP(B378,'Outcome Indicators - Section C '!$A$9:$AF$70,32,FALSE),"")</f>
        <v>HIV O-5⁽ᴹ⁾ Porcentaje de trabajadores sexuales que afirman haber utilizado preservativo con su último cliente</v>
      </c>
      <c r="D378" s="796" t="str">
        <f ca="1">R378</f>
        <v>Género</v>
      </c>
      <c r="E378" s="796" t="str">
        <f ca="1">S378</f>
        <v>Mujeres</v>
      </c>
      <c r="F378" s="127"/>
      <c r="G378" s="797" t="str">
        <f ca="1">IF(OR(INDIRECT("'update Helper'!E"&amp;U378)="",F378&lt;&gt;0,F379&lt;&gt;0),IF(IFERROR((F378/F379),"")="","",(F378/F379)),INDIRECT("'update Helper'!E"&amp;U378)/100)</f>
        <v/>
      </c>
      <c r="H378" s="784"/>
      <c r="I378" s="798"/>
      <c r="J378" s="777" t="s">
        <v>5501</v>
      </c>
      <c r="K378" s="795" t="str">
        <f ca="1">W378</f>
        <v>HIV O-5⁽ᴹ⁾ Percentage of sex workers reporting the use of a condom with their most recent client</v>
      </c>
      <c r="L378" s="795" t="str">
        <f ca="1">V378</f>
        <v>Gender</v>
      </c>
      <c r="M378" s="777"/>
      <c r="N378" s="777"/>
      <c r="P378" s="89">
        <f ca="1">IF(AND(EXACT(C378,C376),C376&lt;&gt;0),P376+1,0)</f>
        <v>1</v>
      </c>
      <c r="Q378" s="89" t="str">
        <f ca="1">IF(C378&lt;&gt;"",C378&amp;"-"&amp;P378,"")</f>
        <v>HIV O-5⁽ᴹ⁾ Porcentaje de trabajadores sexuales que afirman haber utilizado preservativo con su último cliente-1</v>
      </c>
      <c r="R378" s="89" t="str">
        <f t="array" aca="1" ref="R378" ca="1">IFERROR(IF(INDEX('Disaggregation Records'!$E$69:$E$152,MATCH(RIGHT(Q378,255),RIGHT('Disaggregation Records'!$D$69:$D$152,255),0))="","",INDEX('Disaggregation Records'!$E$69:$E$152,MATCH(RIGHT(Q378,255),RIGHT('Disaggregation Records'!$D$69:$D$152,255),0))),"")</f>
        <v>Género</v>
      </c>
      <c r="S378" s="89" t="str">
        <f t="array" aca="1" ref="S378" ca="1">IFERROR(IF(INDEX('Disaggregation Records'!$F$69:$F$152,MATCH(RIGHT(Q378,255),RIGHT('Disaggregation Records'!$D$69:$D$152,255),0))="","",INDEX('Disaggregation Records'!$F$69:$F$152,MATCH(RIGHT(Q378,255),RIGHT('Disaggregation Records'!$D$69:$D$152,255),0))),"")</f>
        <v>Mujeres</v>
      </c>
      <c r="T378" s="89" t="str">
        <f t="array" aca="1" ref="T378" ca="1">IFERROR(IF(INDEX('Disaggregation Records'!$H$69:$H$152,MATCH(RIGHT(Q378,255),RIGHT('Disaggregation Records'!$D$69:$D$152,255),0))="","",INDEX('Disaggregation Records'!$H$69:$H$152,MATCH(RIGHT(Q378,255),RIGHT('Disaggregation Records'!$D$69:$D$152,255),0))),"")</f>
        <v>IDR-00785</v>
      </c>
      <c r="U378" s="89">
        <f>U376+1</f>
        <v>918</v>
      </c>
      <c r="V378" s="89" t="str">
        <f t="array" aca="1" ref="V378" ca="1">IFERROR(IF(INDEX('Disaggregation Records'!$I$69:$I$152,MATCH(RIGHT(Q378,255),RIGHT('Disaggregation Records'!$D$69:$D$152,255),0))="","",INDEX('Disaggregation Records'!$I$69:$I$152,MATCH(RIGHT(Q378,255),RIGHT('Disaggregation Records'!$D$69:$D$152,255),0))),"")</f>
        <v>Gender</v>
      </c>
      <c r="W378" s="89" t="str">
        <f ca="1">IFERROR(INDEX('Reference Records'!P$23:P$74,MATCH(LEFT(C378,255),'Reference Records'!J$23:J$74,0)),"")</f>
        <v>HIV O-5⁽ᴹ⁾ Percentage of sex workers reporting the use of a condom with their most recent client</v>
      </c>
    </row>
    <row r="379" spans="1:23" s="89" customFormat="1" ht="40.35" customHeight="1">
      <c r="A379" s="564"/>
      <c r="B379" s="799"/>
      <c r="C379" s="800"/>
      <c r="D379" s="801"/>
      <c r="E379" s="801"/>
      <c r="F379" s="128"/>
      <c r="G379" s="802"/>
      <c r="H379" s="781"/>
      <c r="I379" s="803"/>
      <c r="J379" s="779"/>
      <c r="K379" s="800"/>
      <c r="L379" s="800"/>
      <c r="M379" s="779"/>
      <c r="N379" s="779"/>
      <c r="V379" s="89" t="str">
        <f t="array" ref="V379">IFERROR(IF(INDEX('Disaggregation Records'!$I$69:$I$152,MATCH(RIGHT(Q379,255),RIGHT('Disaggregation Records'!$D$69:$D$152,255),0))="","",INDEX('Disaggregation Records'!$I$69:$I$152,MATCH(RIGHT(Q379,255),RIGHT('Disaggregation Records'!$D$69:$D$152,255),0))),"")</f>
        <v/>
      </c>
    </row>
    <row r="380" spans="1:23" s="89" customFormat="1" ht="40.35" customHeight="1">
      <c r="A380" s="564" t="str">
        <f ca="1">INDIRECT("'update Helper'!C"&amp;U380)</f>
        <v>a1V3p000006h2wGEAQ</v>
      </c>
      <c r="B380" s="794">
        <v>4</v>
      </c>
      <c r="C380" s="795" t="str">
        <f ca="1">IFERROR(VLOOKUP(B380,'Outcome Indicators - Section C '!$A$9:$AF$70,32,FALSE),"")</f>
        <v>HIV O-5⁽ᴹ⁾ Porcentaje de trabajadores sexuales que afirman haber utilizado preservativo con su último cliente</v>
      </c>
      <c r="D380" s="796" t="str">
        <f ca="1">R380</f>
        <v>Género</v>
      </c>
      <c r="E380" s="796" t="str">
        <f ca="1">S380</f>
        <v>Hombres</v>
      </c>
      <c r="F380" s="127"/>
      <c r="G380" s="797" t="str">
        <f ca="1">IF(OR(INDIRECT("'update Helper'!E"&amp;U380)="",F380&lt;&gt;0,F381&lt;&gt;0),IF(IFERROR((F380/F381),"")="","",(F380/F381)),INDIRECT("'update Helper'!E"&amp;U380)/100)</f>
        <v/>
      </c>
      <c r="H380" s="784"/>
      <c r="I380" s="798"/>
      <c r="J380" s="777" t="s">
        <v>5501</v>
      </c>
      <c r="K380" s="795" t="str">
        <f ca="1">W380</f>
        <v>HIV O-5⁽ᴹ⁾ Percentage of sex workers reporting the use of a condom with their most recent client</v>
      </c>
      <c r="L380" s="795" t="str">
        <f ca="1">V380</f>
        <v>Gender</v>
      </c>
      <c r="M380" s="777"/>
      <c r="N380" s="777"/>
      <c r="P380" s="89">
        <f ca="1">IF(AND(EXACT(C380,C378),C378&lt;&gt;0),P378+1,0)</f>
        <v>2</v>
      </c>
      <c r="Q380" s="89" t="str">
        <f ca="1">IF(C380&lt;&gt;"",C380&amp;"-"&amp;P380,"")</f>
        <v>HIV O-5⁽ᴹ⁾ Porcentaje de trabajadores sexuales que afirman haber utilizado preservativo con su último cliente-2</v>
      </c>
      <c r="R380" s="89" t="str">
        <f t="array" aca="1" ref="R380" ca="1">IFERROR(IF(INDEX('Disaggregation Records'!$E$69:$E$152,MATCH(RIGHT(Q380,255),RIGHT('Disaggregation Records'!$D$69:$D$152,255),0))="","",INDEX('Disaggregation Records'!$E$69:$E$152,MATCH(RIGHT(Q380,255),RIGHT('Disaggregation Records'!$D$69:$D$152,255),0))),"")</f>
        <v>Género</v>
      </c>
      <c r="S380" s="89" t="str">
        <f t="array" aca="1" ref="S380" ca="1">IFERROR(IF(INDEX('Disaggregation Records'!$F$69:$F$152,MATCH(RIGHT(Q380,255),RIGHT('Disaggregation Records'!$D$69:$D$152,255),0))="","",INDEX('Disaggregation Records'!$F$69:$F$152,MATCH(RIGHT(Q380,255),RIGHT('Disaggregation Records'!$D$69:$D$152,255),0))),"")</f>
        <v>Hombres</v>
      </c>
      <c r="T380" s="89" t="str">
        <f t="array" aca="1" ref="T380" ca="1">IFERROR(IF(INDEX('Disaggregation Records'!$H$69:$H$152,MATCH(RIGHT(Q380,255),RIGHT('Disaggregation Records'!$D$69:$D$152,255),0))="","",INDEX('Disaggregation Records'!$H$69:$H$152,MATCH(RIGHT(Q380,255),RIGHT('Disaggregation Records'!$D$69:$D$152,255),0))),"")</f>
        <v>IDR-00784</v>
      </c>
      <c r="U380" s="89">
        <f>U378+1</f>
        <v>919</v>
      </c>
      <c r="V380" s="89" t="str">
        <f t="array" aca="1" ref="V380" ca="1">IFERROR(IF(INDEX('Disaggregation Records'!$I$69:$I$152,MATCH(RIGHT(Q380,255),RIGHT('Disaggregation Records'!$D$69:$D$152,255),0))="","",INDEX('Disaggregation Records'!$I$69:$I$152,MATCH(RIGHT(Q380,255),RIGHT('Disaggregation Records'!$D$69:$D$152,255),0))),"")</f>
        <v>Gender</v>
      </c>
      <c r="W380" s="89" t="str">
        <f ca="1">IFERROR(INDEX('Reference Records'!P$23:P$74,MATCH(LEFT(C380,255),'Reference Records'!J$23:J$74,0)),"")</f>
        <v>HIV O-5⁽ᴹ⁾ Percentage of sex workers reporting the use of a condom with their most recent client</v>
      </c>
    </row>
    <row r="381" spans="1:23" s="89" customFormat="1" ht="40.35" customHeight="1">
      <c r="A381" s="564"/>
      <c r="B381" s="799"/>
      <c r="C381" s="800"/>
      <c r="D381" s="801"/>
      <c r="E381" s="801"/>
      <c r="F381" s="128"/>
      <c r="G381" s="802"/>
      <c r="H381" s="781"/>
      <c r="I381" s="803"/>
      <c r="J381" s="779"/>
      <c r="K381" s="800"/>
      <c r="L381" s="800"/>
      <c r="M381" s="779"/>
      <c r="N381" s="779"/>
      <c r="V381" s="89" t="str">
        <f t="array" ref="V381">IFERROR(IF(INDEX('Disaggregation Records'!$I$69:$I$152,MATCH(RIGHT(Q381,255),RIGHT('Disaggregation Records'!$D$69:$D$152,255),0))="","",INDEX('Disaggregation Records'!$I$69:$I$152,MATCH(RIGHT(Q381,255),RIGHT('Disaggregation Records'!$D$69:$D$152,255),0))),"")</f>
        <v/>
      </c>
    </row>
    <row r="382" spans="1:23" s="89" customFormat="1" ht="40.35" customHeight="1">
      <c r="A382" s="564" t="str">
        <f ca="1">INDIRECT("'update Helper'!C"&amp;U382)</f>
        <v>a1V3p000006h2wHEAQ</v>
      </c>
      <c r="B382" s="794">
        <v>4</v>
      </c>
      <c r="C382" s="795" t="str">
        <f ca="1">IFERROR(VLOOKUP(B382,'Outcome Indicators - Section C '!$A$9:$AF$70,32,FALSE),"")</f>
        <v>HIV O-5⁽ᴹ⁾ Porcentaje de trabajadores sexuales que afirman haber utilizado preservativo con su último cliente</v>
      </c>
      <c r="D382" s="796" t="str">
        <f ca="1">R382</f>
        <v>Edad</v>
      </c>
      <c r="E382" s="796" t="str">
        <f ca="1">S382</f>
        <v>25+</v>
      </c>
      <c r="F382" s="127"/>
      <c r="G382" s="797" t="str">
        <f ca="1">IF(OR(INDIRECT("'update Helper'!E"&amp;U382)="",F382&lt;&gt;0,F383&lt;&gt;0),IF(IFERROR((F382/F383),"")="","",(F382/F383)),INDIRECT("'update Helper'!E"&amp;U382)/100)</f>
        <v/>
      </c>
      <c r="H382" s="784"/>
      <c r="I382" s="798"/>
      <c r="J382" s="777" t="s">
        <v>5501</v>
      </c>
      <c r="K382" s="795" t="str">
        <f ca="1">W382</f>
        <v>HIV O-5⁽ᴹ⁾ Percentage of sex workers reporting the use of a condom with their most recent client</v>
      </c>
      <c r="L382" s="795" t="str">
        <f ca="1">V382</f>
        <v>Age</v>
      </c>
      <c r="M382" s="777"/>
      <c r="N382" s="777"/>
      <c r="P382" s="89">
        <f ca="1">IF(AND(EXACT(C382,C380),C380&lt;&gt;0),P380+1,0)</f>
        <v>3</v>
      </c>
      <c r="Q382" s="89" t="str">
        <f ca="1">IF(C382&lt;&gt;"",C382&amp;"-"&amp;P382,"")</f>
        <v>HIV O-5⁽ᴹ⁾ Porcentaje de trabajadores sexuales que afirman haber utilizado preservativo con su último cliente-3</v>
      </c>
      <c r="R382" s="89" t="str">
        <f t="array" aca="1" ref="R382" ca="1">IFERROR(IF(INDEX('Disaggregation Records'!$E$69:$E$152,MATCH(RIGHT(Q382,255),RIGHT('Disaggregation Records'!$D$69:$D$152,255),0))="","",INDEX('Disaggregation Records'!$E$69:$E$152,MATCH(RIGHT(Q382,255),RIGHT('Disaggregation Records'!$D$69:$D$152,255),0))),"")</f>
        <v>Edad</v>
      </c>
      <c r="S382" s="89" t="str">
        <f t="array" aca="1" ref="S382" ca="1">IFERROR(IF(INDEX('Disaggregation Records'!$F$69:$F$152,MATCH(RIGHT(Q382,255),RIGHT('Disaggregation Records'!$D$69:$D$152,255),0))="","",INDEX('Disaggregation Records'!$F$69:$F$152,MATCH(RIGHT(Q382,255),RIGHT('Disaggregation Records'!$D$69:$D$152,255),0))),"")</f>
        <v>25+</v>
      </c>
      <c r="T382" s="89" t="str">
        <f t="array" aca="1" ref="T382" ca="1">IFERROR(IF(INDEX('Disaggregation Records'!$H$69:$H$152,MATCH(RIGHT(Q382,255),RIGHT('Disaggregation Records'!$D$69:$D$152,255),0))="","",INDEX('Disaggregation Records'!$H$69:$H$152,MATCH(RIGHT(Q382,255),RIGHT('Disaggregation Records'!$D$69:$D$152,255),0))),"")</f>
        <v>IDR-00675</v>
      </c>
      <c r="U382" s="89">
        <f>U380+1</f>
        <v>920</v>
      </c>
      <c r="V382" s="89" t="str">
        <f t="array" aca="1" ref="V382" ca="1">IFERROR(IF(INDEX('Disaggregation Records'!$I$69:$I$152,MATCH(RIGHT(Q382,255),RIGHT('Disaggregation Records'!$D$69:$D$152,255),0))="","",INDEX('Disaggregation Records'!$I$69:$I$152,MATCH(RIGHT(Q382,255),RIGHT('Disaggregation Records'!$D$69:$D$152,255),0))),"")</f>
        <v>Age</v>
      </c>
      <c r="W382" s="89" t="str">
        <f ca="1">IFERROR(INDEX('Reference Records'!P$23:P$74,MATCH(LEFT(C382,255),'Reference Records'!J$23:J$74,0)),"")</f>
        <v>HIV O-5⁽ᴹ⁾ Percentage of sex workers reporting the use of a condom with their most recent client</v>
      </c>
    </row>
    <row r="383" spans="1:23" s="89" customFormat="1" ht="40.35" customHeight="1">
      <c r="A383" s="564"/>
      <c r="B383" s="799"/>
      <c r="C383" s="800"/>
      <c r="D383" s="801"/>
      <c r="E383" s="801"/>
      <c r="F383" s="128"/>
      <c r="G383" s="802"/>
      <c r="H383" s="781"/>
      <c r="I383" s="803"/>
      <c r="J383" s="779"/>
      <c r="K383" s="800"/>
      <c r="L383" s="800"/>
      <c r="M383" s="779"/>
      <c r="N383" s="779"/>
      <c r="V383" s="89" t="str">
        <f t="array" ref="V383">IFERROR(IF(INDEX('Disaggregation Records'!$I$69:$I$152,MATCH(RIGHT(Q383,255),RIGHT('Disaggregation Records'!$D$69:$D$152,255),0))="","",INDEX('Disaggregation Records'!$I$69:$I$152,MATCH(RIGHT(Q383,255),RIGHT('Disaggregation Records'!$D$69:$D$152,255),0))),"")</f>
        <v/>
      </c>
    </row>
    <row r="384" spans="1:23" s="89" customFormat="1" ht="40.35" customHeight="1">
      <c r="A384" s="564" t="str">
        <f ca="1">INDIRECT("'update Helper'!C"&amp;U384)</f>
        <v>a1V3p000006h2wIEAQ</v>
      </c>
      <c r="B384" s="794">
        <v>4</v>
      </c>
      <c r="C384" s="795" t="str">
        <f ca="1">IFERROR(VLOOKUP(B384,'Outcome Indicators - Section C '!$A$9:$AF$70,32,FALSE),"")</f>
        <v>HIV O-5⁽ᴹ⁾ Porcentaje de trabajadores sexuales que afirman haber utilizado preservativo con su último cliente</v>
      </c>
      <c r="D384" s="796" t="str">
        <f ca="1">R384</f>
        <v>Edad</v>
      </c>
      <c r="E384" s="796" t="str">
        <f ca="1">S384</f>
        <v>&lt;25</v>
      </c>
      <c r="F384" s="127"/>
      <c r="G384" s="797" t="str">
        <f ca="1">IF(OR(INDIRECT("'update Helper'!E"&amp;U384)="",F384&lt;&gt;0,F385&lt;&gt;0),IF(IFERROR((F384/F385),"")="","",(F384/F385)),INDIRECT("'update Helper'!E"&amp;U384)/100)</f>
        <v/>
      </c>
      <c r="H384" s="784"/>
      <c r="I384" s="798"/>
      <c r="J384" s="777" t="s">
        <v>5501</v>
      </c>
      <c r="K384" s="795" t="str">
        <f ca="1">W384</f>
        <v>HIV O-5⁽ᴹ⁾ Percentage of sex workers reporting the use of a condom with their most recent client</v>
      </c>
      <c r="L384" s="795" t="str">
        <f ca="1">V384</f>
        <v>Age</v>
      </c>
      <c r="M384" s="777"/>
      <c r="N384" s="777"/>
      <c r="P384" s="89">
        <f ca="1">IF(AND(EXACT(C384,C382),C382&lt;&gt;0),P382+1,0)</f>
        <v>4</v>
      </c>
      <c r="Q384" s="89" t="str">
        <f ca="1">IF(C384&lt;&gt;"",C384&amp;"-"&amp;P384,"")</f>
        <v>HIV O-5⁽ᴹ⁾ Porcentaje de trabajadores sexuales que afirman haber utilizado preservativo con su último cliente-4</v>
      </c>
      <c r="R384" s="89" t="str">
        <f t="array" aca="1" ref="R384" ca="1">IFERROR(IF(INDEX('Disaggregation Records'!$E$69:$E$152,MATCH(RIGHT(Q384,255),RIGHT('Disaggregation Records'!$D$69:$D$152,255),0))="","",INDEX('Disaggregation Records'!$E$69:$E$152,MATCH(RIGHT(Q384,255),RIGHT('Disaggregation Records'!$D$69:$D$152,255),0))),"")</f>
        <v>Edad</v>
      </c>
      <c r="S384" s="89" t="str">
        <f t="array" aca="1" ref="S384" ca="1">IFERROR(IF(INDEX('Disaggregation Records'!$F$69:$F$152,MATCH(RIGHT(Q384,255),RIGHT('Disaggregation Records'!$D$69:$D$152,255),0))="","",INDEX('Disaggregation Records'!$F$69:$F$152,MATCH(RIGHT(Q384,255),RIGHT('Disaggregation Records'!$D$69:$D$152,255),0))),"")</f>
        <v>&lt;25</v>
      </c>
      <c r="T384" s="89" t="str">
        <f t="array" aca="1" ref="T384" ca="1">IFERROR(IF(INDEX('Disaggregation Records'!$H$69:$H$152,MATCH(RIGHT(Q384,255),RIGHT('Disaggregation Records'!$D$69:$D$152,255),0))="","",INDEX('Disaggregation Records'!$H$69:$H$152,MATCH(RIGHT(Q384,255),RIGHT('Disaggregation Records'!$D$69:$D$152,255),0))),"")</f>
        <v>IDR-00674</v>
      </c>
      <c r="U384" s="89">
        <f>U382+1</f>
        <v>921</v>
      </c>
      <c r="V384" s="89" t="str">
        <f t="array" aca="1" ref="V384" ca="1">IFERROR(IF(INDEX('Disaggregation Records'!$I$69:$I$152,MATCH(RIGHT(Q384,255),RIGHT('Disaggregation Records'!$D$69:$D$152,255),0))="","",INDEX('Disaggregation Records'!$I$69:$I$152,MATCH(RIGHT(Q384,255),RIGHT('Disaggregation Records'!$D$69:$D$152,255),0))),"")</f>
        <v>Age</v>
      </c>
      <c r="W384" s="89" t="str">
        <f ca="1">IFERROR(INDEX('Reference Records'!P$23:P$74,MATCH(LEFT(C384,255),'Reference Records'!J$23:J$74,0)),"")</f>
        <v>HIV O-5⁽ᴹ⁾ Percentage of sex workers reporting the use of a condom with their most recent client</v>
      </c>
    </row>
    <row r="385" spans="1:23" s="89" customFormat="1" ht="40.35" customHeight="1">
      <c r="A385" s="564"/>
      <c r="B385" s="799"/>
      <c r="C385" s="800"/>
      <c r="D385" s="801"/>
      <c r="E385" s="801"/>
      <c r="F385" s="128"/>
      <c r="G385" s="802"/>
      <c r="H385" s="781"/>
      <c r="I385" s="803"/>
      <c r="J385" s="779"/>
      <c r="K385" s="800"/>
      <c r="L385" s="800"/>
      <c r="M385" s="779"/>
      <c r="N385" s="779"/>
      <c r="V385" s="89" t="str">
        <f t="array" ref="V385">IFERROR(IF(INDEX('Disaggregation Records'!$I$69:$I$152,MATCH(RIGHT(Q385,255),RIGHT('Disaggregation Records'!$D$69:$D$152,255),0))="","",INDEX('Disaggregation Records'!$I$69:$I$152,MATCH(RIGHT(Q385,255),RIGHT('Disaggregation Records'!$D$69:$D$152,255),0))),"")</f>
        <v/>
      </c>
    </row>
    <row r="386" spans="1:23" s="89" customFormat="1" ht="40.35" customHeight="1">
      <c r="A386" s="564" t="str">
        <f ca="1">INDIRECT("'update Helper'!C"&amp;U386)</f>
        <v>a1V3p000006h2wJEAQ</v>
      </c>
      <c r="B386" s="794">
        <v>4</v>
      </c>
      <c r="C386" s="795" t="str">
        <f ca="1">IFERROR(VLOOKUP(B386,'Outcome Indicators - Section C '!$A$9:$AF$70,32,FALSE),"")</f>
        <v>HIV O-5⁽ᴹ⁾ Porcentaje de trabajadores sexuales que afirman haber utilizado preservativo con su último cliente</v>
      </c>
      <c r="D386" s="796" t="str">
        <f ca="1">R386</f>
        <v/>
      </c>
      <c r="E386" s="796" t="str">
        <f ca="1">S386</f>
        <v/>
      </c>
      <c r="F386" s="127"/>
      <c r="G386" s="797" t="str">
        <f ca="1">IF(OR(INDIRECT("'update Helper'!E"&amp;U386)="",F386&lt;&gt;0,F387&lt;&gt;0),IF(IFERROR((F386/F387),"")="","",(F386/F387)),INDIRECT("'update Helper'!E"&amp;U386)/100)</f>
        <v/>
      </c>
      <c r="H386" s="784"/>
      <c r="I386" s="798"/>
      <c r="J386" s="777"/>
      <c r="K386" s="795" t="str">
        <f ca="1">W386</f>
        <v>HIV O-5⁽ᴹ⁾ Percentage of sex workers reporting the use of a condom with their most recent client</v>
      </c>
      <c r="L386" s="795" t="str">
        <f ca="1">V386</f>
        <v/>
      </c>
      <c r="M386" s="777"/>
      <c r="N386" s="777"/>
      <c r="P386" s="89">
        <f ca="1">IF(AND(EXACT(C386,C384),C384&lt;&gt;0),P384+1,0)</f>
        <v>5</v>
      </c>
      <c r="Q386" s="89" t="str">
        <f ca="1">IF(C386&lt;&gt;"",C386&amp;"-"&amp;P386,"")</f>
        <v>HIV O-5⁽ᴹ⁾ Porcentaje de trabajadores sexuales que afirman haber utilizado preservativo con su último cliente-5</v>
      </c>
      <c r="R386" s="89" t="str">
        <f t="array" aca="1" ref="R386" ca="1">IFERROR(IF(INDEX('Disaggregation Records'!$E$69:$E$152,MATCH(RIGHT(Q386,255),RIGHT('Disaggregation Records'!$D$69:$D$152,255),0))="","",INDEX('Disaggregation Records'!$E$69:$E$152,MATCH(RIGHT(Q386,255),RIGHT('Disaggregation Records'!$D$69:$D$152,255),0))),"")</f>
        <v/>
      </c>
      <c r="S386" s="89" t="str">
        <f t="array" aca="1" ref="S386" ca="1">IFERROR(IF(INDEX('Disaggregation Records'!$F$69:$F$152,MATCH(RIGHT(Q386,255),RIGHT('Disaggregation Records'!$D$69:$D$152,255),0))="","",INDEX('Disaggregation Records'!$F$69:$F$152,MATCH(RIGHT(Q386,255),RIGHT('Disaggregation Records'!$D$69:$D$152,255),0))),"")</f>
        <v/>
      </c>
      <c r="T386" s="89" t="str">
        <f t="array" aca="1" ref="T386" ca="1">IFERROR(IF(INDEX('Disaggregation Records'!$H$69:$H$152,MATCH(RIGHT(Q386,255),RIGHT('Disaggregation Records'!$D$69:$D$152,255),0))="","",INDEX('Disaggregation Records'!$H$69:$H$152,MATCH(RIGHT(Q386,255),RIGHT('Disaggregation Records'!$D$69:$D$152,255),0))),"")</f>
        <v/>
      </c>
      <c r="U386" s="89">
        <f>U384+1</f>
        <v>922</v>
      </c>
      <c r="V386" s="89" t="str">
        <f t="array" aca="1" ref="V386" ca="1">IFERROR(IF(INDEX('Disaggregation Records'!$I$69:$I$152,MATCH(RIGHT(Q386,255),RIGHT('Disaggregation Records'!$D$69:$D$152,255),0))="","",INDEX('Disaggregation Records'!$I$69:$I$152,MATCH(RIGHT(Q386,255),RIGHT('Disaggregation Records'!$D$69:$D$152,255),0))),"")</f>
        <v/>
      </c>
      <c r="W386" s="89" t="str">
        <f ca="1">IFERROR(INDEX('Reference Records'!P$23:P$74,MATCH(LEFT(C386,255),'Reference Records'!J$23:J$74,0)),"")</f>
        <v>HIV O-5⁽ᴹ⁾ Percentage of sex workers reporting the use of a condom with their most recent client</v>
      </c>
    </row>
    <row r="387" spans="1:23" s="89" customFormat="1" ht="40.35" customHeight="1">
      <c r="A387" s="564"/>
      <c r="B387" s="799"/>
      <c r="C387" s="800"/>
      <c r="D387" s="801"/>
      <c r="E387" s="801"/>
      <c r="F387" s="128"/>
      <c r="G387" s="802"/>
      <c r="H387" s="781"/>
      <c r="I387" s="803"/>
      <c r="J387" s="779"/>
      <c r="K387" s="800"/>
      <c r="L387" s="800"/>
      <c r="M387" s="779"/>
      <c r="N387" s="779"/>
      <c r="V387" s="89" t="str">
        <f t="array" ref="V387">IFERROR(IF(INDEX('Disaggregation Records'!$I$69:$I$152,MATCH(RIGHT(Q387,255),RIGHT('Disaggregation Records'!$D$69:$D$152,255),0))="","",INDEX('Disaggregation Records'!$I$69:$I$152,MATCH(RIGHT(Q387,255),RIGHT('Disaggregation Records'!$D$69:$D$152,255),0))),"")</f>
        <v/>
      </c>
    </row>
    <row r="388" spans="1:23" s="89" customFormat="1" ht="40.35" customHeight="1">
      <c r="A388" s="564" t="str">
        <f ca="1">INDIRECT("'update Helper'!C"&amp;U388)</f>
        <v>a1V3p000006h2wKEAQ</v>
      </c>
      <c r="B388" s="794">
        <v>4</v>
      </c>
      <c r="C388" s="795" t="str">
        <f ca="1">IFERROR(VLOOKUP(B388,'Outcome Indicators - Section C '!$A$9:$AF$70,32,FALSE),"")</f>
        <v>HIV O-5⁽ᴹ⁾ Porcentaje de trabajadores sexuales que afirman haber utilizado preservativo con su último cliente</v>
      </c>
      <c r="D388" s="796" t="str">
        <f ca="1">R388</f>
        <v/>
      </c>
      <c r="E388" s="796" t="str">
        <f ca="1">S388</f>
        <v/>
      </c>
      <c r="F388" s="127"/>
      <c r="G388" s="797" t="str">
        <f ca="1">IF(OR(INDIRECT("'update Helper'!E"&amp;U388)="",F388&lt;&gt;0,F389&lt;&gt;0),IF(IFERROR((F388/F389),"")="","",(F388/F389)),INDIRECT("'update Helper'!E"&amp;U388)/100)</f>
        <v/>
      </c>
      <c r="H388" s="784"/>
      <c r="I388" s="798"/>
      <c r="J388" s="777"/>
      <c r="K388" s="795" t="str">
        <f ca="1">W388</f>
        <v>HIV O-5⁽ᴹ⁾ Percentage of sex workers reporting the use of a condom with their most recent client</v>
      </c>
      <c r="L388" s="795" t="str">
        <f ca="1">V388</f>
        <v/>
      </c>
      <c r="M388" s="777"/>
      <c r="N388" s="777"/>
      <c r="P388" s="89">
        <f ca="1">IF(AND(EXACT(C388,C386),C386&lt;&gt;0),P386+1,0)</f>
        <v>6</v>
      </c>
      <c r="Q388" s="89" t="str">
        <f ca="1">IF(C388&lt;&gt;"",C388&amp;"-"&amp;P388,"")</f>
        <v>HIV O-5⁽ᴹ⁾ Porcentaje de trabajadores sexuales que afirman haber utilizado preservativo con su último cliente-6</v>
      </c>
      <c r="R388" s="89" t="str">
        <f t="array" aca="1" ref="R388" ca="1">IFERROR(IF(INDEX('Disaggregation Records'!$E$69:$E$152,MATCH(RIGHT(Q388,255),RIGHT('Disaggregation Records'!$D$69:$D$152,255),0))="","",INDEX('Disaggregation Records'!$E$69:$E$152,MATCH(RIGHT(Q388,255),RIGHT('Disaggregation Records'!$D$69:$D$152,255),0))),"")</f>
        <v/>
      </c>
      <c r="S388" s="89" t="str">
        <f t="array" aca="1" ref="S388" ca="1">IFERROR(IF(INDEX('Disaggregation Records'!$F$69:$F$152,MATCH(RIGHT(Q388,255),RIGHT('Disaggregation Records'!$D$69:$D$152,255),0))="","",INDEX('Disaggregation Records'!$F$69:$F$152,MATCH(RIGHT(Q388,255),RIGHT('Disaggregation Records'!$D$69:$D$152,255),0))),"")</f>
        <v/>
      </c>
      <c r="T388" s="89" t="str">
        <f t="array" aca="1" ref="T388" ca="1">IFERROR(IF(INDEX('Disaggregation Records'!$H$69:$H$152,MATCH(RIGHT(Q388,255),RIGHT('Disaggregation Records'!$D$69:$D$152,255),0))="","",INDEX('Disaggregation Records'!$H$69:$H$152,MATCH(RIGHT(Q388,255),RIGHT('Disaggregation Records'!$D$69:$D$152,255),0))),"")</f>
        <v/>
      </c>
      <c r="U388" s="89">
        <f>U386+1</f>
        <v>923</v>
      </c>
      <c r="V388" s="89" t="str">
        <f t="array" aca="1" ref="V388" ca="1">IFERROR(IF(INDEX('Disaggregation Records'!$I$69:$I$152,MATCH(RIGHT(Q388,255),RIGHT('Disaggregation Records'!$D$69:$D$152,255),0))="","",INDEX('Disaggregation Records'!$I$69:$I$152,MATCH(RIGHT(Q388,255),RIGHT('Disaggregation Records'!$D$69:$D$152,255),0))),"")</f>
        <v/>
      </c>
      <c r="W388" s="89" t="str">
        <f ca="1">IFERROR(INDEX('Reference Records'!P$23:P$74,MATCH(LEFT(C388,255),'Reference Records'!J$23:J$74,0)),"")</f>
        <v>HIV O-5⁽ᴹ⁾ Percentage of sex workers reporting the use of a condom with their most recent client</v>
      </c>
    </row>
    <row r="389" spans="1:23" s="89" customFormat="1" ht="40.35" customHeight="1">
      <c r="A389" s="564"/>
      <c r="B389" s="799"/>
      <c r="C389" s="800"/>
      <c r="D389" s="801"/>
      <c r="E389" s="801"/>
      <c r="F389" s="128"/>
      <c r="G389" s="802"/>
      <c r="H389" s="781"/>
      <c r="I389" s="803"/>
      <c r="J389" s="779"/>
      <c r="K389" s="800"/>
      <c r="L389" s="800"/>
      <c r="M389" s="779"/>
      <c r="N389" s="779"/>
      <c r="V389" s="89" t="str">
        <f t="array" ref="V389">IFERROR(IF(INDEX('Disaggregation Records'!$I$69:$I$152,MATCH(RIGHT(Q389,255),RIGHT('Disaggregation Records'!$D$69:$D$152,255),0))="","",INDEX('Disaggregation Records'!$I$69:$I$152,MATCH(RIGHT(Q389,255),RIGHT('Disaggregation Records'!$D$69:$D$152,255),0))),"")</f>
        <v/>
      </c>
    </row>
    <row r="390" spans="1:23" s="89" customFormat="1" ht="40.35" customHeight="1">
      <c r="A390" s="564" t="str">
        <f ca="1">INDIRECT("'update Helper'!C"&amp;U390)</f>
        <v>a1V3p000006h2wLEAQ</v>
      </c>
      <c r="B390" s="794">
        <v>4</v>
      </c>
      <c r="C390" s="795" t="str">
        <f ca="1">IFERROR(VLOOKUP(B390,'Outcome Indicators - Section C '!$A$9:$AF$70,32,FALSE),"")</f>
        <v>HIV O-5⁽ᴹ⁾ Porcentaje de trabajadores sexuales que afirman haber utilizado preservativo con su último cliente</v>
      </c>
      <c r="D390" s="796" t="str">
        <f ca="1">R390</f>
        <v/>
      </c>
      <c r="E390" s="796" t="str">
        <f ca="1">S390</f>
        <v/>
      </c>
      <c r="F390" s="127"/>
      <c r="G390" s="797" t="str">
        <f ca="1">IF(OR(INDIRECT("'update Helper'!E"&amp;U390)="",F390&lt;&gt;0,F391&lt;&gt;0),IF(IFERROR((F390/F391),"")="","",(F390/F391)),INDIRECT("'update Helper'!E"&amp;U390)/100)</f>
        <v/>
      </c>
      <c r="H390" s="784"/>
      <c r="I390" s="798"/>
      <c r="J390" s="777"/>
      <c r="K390" s="795" t="str">
        <f ca="1">W390</f>
        <v>HIV O-5⁽ᴹ⁾ Percentage of sex workers reporting the use of a condom with their most recent client</v>
      </c>
      <c r="L390" s="795" t="str">
        <f ca="1">V390</f>
        <v/>
      </c>
      <c r="M390" s="777"/>
      <c r="N390" s="777"/>
      <c r="P390" s="89">
        <f ca="1">IF(AND(EXACT(C390,C388),C388&lt;&gt;0),P388+1,0)</f>
        <v>7</v>
      </c>
      <c r="Q390" s="89" t="str">
        <f ca="1">IF(C390&lt;&gt;"",C390&amp;"-"&amp;P390,"")</f>
        <v>HIV O-5⁽ᴹ⁾ Porcentaje de trabajadores sexuales que afirman haber utilizado preservativo con su último cliente-7</v>
      </c>
      <c r="R390" s="89" t="str">
        <f t="array" aca="1" ref="R390" ca="1">IFERROR(IF(INDEX('Disaggregation Records'!$E$69:$E$152,MATCH(RIGHT(Q390,255),RIGHT('Disaggregation Records'!$D$69:$D$152,255),0))="","",INDEX('Disaggregation Records'!$E$69:$E$152,MATCH(RIGHT(Q390,255),RIGHT('Disaggregation Records'!$D$69:$D$152,255),0))),"")</f>
        <v/>
      </c>
      <c r="S390" s="89" t="str">
        <f t="array" aca="1" ref="S390" ca="1">IFERROR(IF(INDEX('Disaggregation Records'!$F$69:$F$152,MATCH(RIGHT(Q390,255),RIGHT('Disaggregation Records'!$D$69:$D$152,255),0))="","",INDEX('Disaggregation Records'!$F$69:$F$152,MATCH(RIGHT(Q390,255),RIGHT('Disaggregation Records'!$D$69:$D$152,255),0))),"")</f>
        <v/>
      </c>
      <c r="T390" s="89" t="str">
        <f t="array" aca="1" ref="T390" ca="1">IFERROR(IF(INDEX('Disaggregation Records'!$H$69:$H$152,MATCH(RIGHT(Q390,255),RIGHT('Disaggregation Records'!$D$69:$D$152,255),0))="","",INDEX('Disaggregation Records'!$H$69:$H$152,MATCH(RIGHT(Q390,255),RIGHT('Disaggregation Records'!$D$69:$D$152,255),0))),"")</f>
        <v/>
      </c>
      <c r="U390" s="89">
        <f>U388+1</f>
        <v>924</v>
      </c>
      <c r="V390" s="89" t="str">
        <f t="array" aca="1" ref="V390" ca="1">IFERROR(IF(INDEX('Disaggregation Records'!$I$69:$I$152,MATCH(RIGHT(Q390,255),RIGHT('Disaggregation Records'!$D$69:$D$152,255),0))="","",INDEX('Disaggregation Records'!$I$69:$I$152,MATCH(RIGHT(Q390,255),RIGHT('Disaggregation Records'!$D$69:$D$152,255),0))),"")</f>
        <v/>
      </c>
      <c r="W390" s="89" t="str">
        <f ca="1">IFERROR(INDEX('Reference Records'!P$23:P$74,MATCH(LEFT(C390,255),'Reference Records'!J$23:J$74,0)),"")</f>
        <v>HIV O-5⁽ᴹ⁾ Percentage of sex workers reporting the use of a condom with their most recent client</v>
      </c>
    </row>
    <row r="391" spans="1:23" s="89" customFormat="1" ht="40.35" customHeight="1">
      <c r="A391" s="564"/>
      <c r="B391" s="799"/>
      <c r="C391" s="800"/>
      <c r="D391" s="801"/>
      <c r="E391" s="801"/>
      <c r="F391" s="128"/>
      <c r="G391" s="802"/>
      <c r="H391" s="781"/>
      <c r="I391" s="803"/>
      <c r="J391" s="779"/>
      <c r="K391" s="800"/>
      <c r="L391" s="800"/>
      <c r="M391" s="779"/>
      <c r="N391" s="779"/>
      <c r="V391" s="89" t="str">
        <f t="array" ref="V391">IFERROR(IF(INDEX('Disaggregation Records'!$I$69:$I$152,MATCH(RIGHT(Q391,255),RIGHT('Disaggregation Records'!$D$69:$D$152,255),0))="","",INDEX('Disaggregation Records'!$I$69:$I$152,MATCH(RIGHT(Q391,255),RIGHT('Disaggregation Records'!$D$69:$D$152,255),0))),"")</f>
        <v/>
      </c>
    </row>
    <row r="392" spans="1:23" s="89" customFormat="1" ht="40.35" customHeight="1">
      <c r="A392" s="564" t="str">
        <f ca="1">INDIRECT("'update Helper'!C"&amp;U392)</f>
        <v>a1V3p000006h2wMEAQ</v>
      </c>
      <c r="B392" s="794">
        <v>4</v>
      </c>
      <c r="C392" s="795" t="str">
        <f ca="1">IFERROR(VLOOKUP(B392,'Outcome Indicators - Section C '!$A$9:$AF$70,32,FALSE),"")</f>
        <v>HIV O-5⁽ᴹ⁾ Porcentaje de trabajadores sexuales que afirman haber utilizado preservativo con su último cliente</v>
      </c>
      <c r="D392" s="796" t="str">
        <f ca="1">R392</f>
        <v/>
      </c>
      <c r="E392" s="796" t="str">
        <f ca="1">S392</f>
        <v/>
      </c>
      <c r="F392" s="127"/>
      <c r="G392" s="797" t="str">
        <f ca="1">IF(OR(INDIRECT("'update Helper'!E"&amp;U392)="",F392&lt;&gt;0,F393&lt;&gt;0),IF(IFERROR((F392/F393),"")="","",(F392/F393)),INDIRECT("'update Helper'!E"&amp;U392)/100)</f>
        <v/>
      </c>
      <c r="H392" s="784"/>
      <c r="I392" s="798"/>
      <c r="J392" s="777"/>
      <c r="K392" s="795" t="str">
        <f ca="1">W392</f>
        <v>HIV O-5⁽ᴹ⁾ Percentage of sex workers reporting the use of a condom with their most recent client</v>
      </c>
      <c r="L392" s="795" t="str">
        <f ca="1">V392</f>
        <v/>
      </c>
      <c r="M392" s="777"/>
      <c r="N392" s="777"/>
      <c r="P392" s="89">
        <f ca="1">IF(AND(EXACT(C392,C390),C390&lt;&gt;0),P390+1,0)</f>
        <v>8</v>
      </c>
      <c r="Q392" s="89" t="str">
        <f ca="1">IF(C392&lt;&gt;"",C392&amp;"-"&amp;P392,"")</f>
        <v>HIV O-5⁽ᴹ⁾ Porcentaje de trabajadores sexuales que afirman haber utilizado preservativo con su último cliente-8</v>
      </c>
      <c r="R392" s="89" t="str">
        <f t="array" aca="1" ref="R392" ca="1">IFERROR(IF(INDEX('Disaggregation Records'!$E$69:$E$152,MATCH(RIGHT(Q392,255),RIGHT('Disaggregation Records'!$D$69:$D$152,255),0))="","",INDEX('Disaggregation Records'!$E$69:$E$152,MATCH(RIGHT(Q392,255),RIGHT('Disaggregation Records'!$D$69:$D$152,255),0))),"")</f>
        <v/>
      </c>
      <c r="S392" s="89" t="str">
        <f t="array" aca="1" ref="S392" ca="1">IFERROR(IF(INDEX('Disaggregation Records'!$F$69:$F$152,MATCH(RIGHT(Q392,255),RIGHT('Disaggregation Records'!$D$69:$D$152,255),0))="","",INDEX('Disaggregation Records'!$F$69:$F$152,MATCH(RIGHT(Q392,255),RIGHT('Disaggregation Records'!$D$69:$D$152,255),0))),"")</f>
        <v/>
      </c>
      <c r="T392" s="89" t="str">
        <f t="array" aca="1" ref="T392" ca="1">IFERROR(IF(INDEX('Disaggregation Records'!$H$69:$H$152,MATCH(RIGHT(Q392,255),RIGHT('Disaggregation Records'!$D$69:$D$152,255),0))="","",INDEX('Disaggregation Records'!$H$69:$H$152,MATCH(RIGHT(Q392,255),RIGHT('Disaggregation Records'!$D$69:$D$152,255),0))),"")</f>
        <v/>
      </c>
      <c r="U392" s="89">
        <f>U390+1</f>
        <v>925</v>
      </c>
      <c r="V392" s="89" t="str">
        <f t="array" aca="1" ref="V392" ca="1">IFERROR(IF(INDEX('Disaggregation Records'!$I$69:$I$152,MATCH(RIGHT(Q392,255),RIGHT('Disaggregation Records'!$D$69:$D$152,255),0))="","",INDEX('Disaggregation Records'!$I$69:$I$152,MATCH(RIGHT(Q392,255),RIGHT('Disaggregation Records'!$D$69:$D$152,255),0))),"")</f>
        <v/>
      </c>
      <c r="W392" s="89" t="str">
        <f ca="1">IFERROR(INDEX('Reference Records'!P$23:P$74,MATCH(LEFT(C392,255),'Reference Records'!J$23:J$74,0)),"")</f>
        <v>HIV O-5⁽ᴹ⁾ Percentage of sex workers reporting the use of a condom with their most recent client</v>
      </c>
    </row>
    <row r="393" spans="1:23" s="89" customFormat="1" ht="40.35" customHeight="1">
      <c r="A393" s="564"/>
      <c r="B393" s="799"/>
      <c r="C393" s="800"/>
      <c r="D393" s="801"/>
      <c r="E393" s="801"/>
      <c r="F393" s="128"/>
      <c r="G393" s="802"/>
      <c r="H393" s="781"/>
      <c r="I393" s="803"/>
      <c r="J393" s="779"/>
      <c r="K393" s="800"/>
      <c r="L393" s="800"/>
      <c r="M393" s="779"/>
      <c r="N393" s="779"/>
      <c r="V393" s="89" t="str">
        <f t="array" ref="V393">IFERROR(IF(INDEX('Disaggregation Records'!$I$69:$I$152,MATCH(RIGHT(Q393,255),RIGHT('Disaggregation Records'!$D$69:$D$152,255),0))="","",INDEX('Disaggregation Records'!$I$69:$I$152,MATCH(RIGHT(Q393,255),RIGHT('Disaggregation Records'!$D$69:$D$152,255),0))),"")</f>
        <v/>
      </c>
    </row>
    <row r="394" spans="1:23" s="89" customFormat="1" ht="40.35" customHeight="1">
      <c r="A394" s="564" t="str">
        <f ca="1">INDIRECT("'update Helper'!C"&amp;U394)</f>
        <v>a1V3p000006h2wNEAQ</v>
      </c>
      <c r="B394" s="794">
        <v>4</v>
      </c>
      <c r="C394" s="795" t="str">
        <f ca="1">IFERROR(VLOOKUP(B394,'Outcome Indicators - Section C '!$A$9:$AF$70,32,FALSE),"")</f>
        <v>HIV O-5⁽ᴹ⁾ Porcentaje de trabajadores sexuales que afirman haber utilizado preservativo con su último cliente</v>
      </c>
      <c r="D394" s="796" t="str">
        <f ca="1">R394</f>
        <v/>
      </c>
      <c r="E394" s="796" t="str">
        <f ca="1">S394</f>
        <v/>
      </c>
      <c r="F394" s="127"/>
      <c r="G394" s="797" t="str">
        <f ca="1">IF(OR(INDIRECT("'update Helper'!E"&amp;U394)="",F394&lt;&gt;0,F395&lt;&gt;0),IF(IFERROR((F394/F395),"")="","",(F394/F395)),INDIRECT("'update Helper'!E"&amp;U394)/100)</f>
        <v/>
      </c>
      <c r="H394" s="784"/>
      <c r="I394" s="798"/>
      <c r="J394" s="777"/>
      <c r="K394" s="795" t="str">
        <f ca="1">W394</f>
        <v>HIV O-5⁽ᴹ⁾ Percentage of sex workers reporting the use of a condom with their most recent client</v>
      </c>
      <c r="L394" s="795" t="str">
        <f ca="1">V394</f>
        <v/>
      </c>
      <c r="M394" s="777"/>
      <c r="N394" s="777"/>
      <c r="P394" s="89">
        <f ca="1">IF(AND(EXACT(C394,C392),C392&lt;&gt;0),P392+1,0)</f>
        <v>9</v>
      </c>
      <c r="Q394" s="89" t="str">
        <f ca="1">IF(C394&lt;&gt;"",C394&amp;"-"&amp;P394,"")</f>
        <v>HIV O-5⁽ᴹ⁾ Porcentaje de trabajadores sexuales que afirman haber utilizado preservativo con su último cliente-9</v>
      </c>
      <c r="R394" s="89" t="str">
        <f t="array" aca="1" ref="R394" ca="1">IFERROR(IF(INDEX('Disaggregation Records'!$E$69:$E$152,MATCH(RIGHT(Q394,255),RIGHT('Disaggregation Records'!$D$69:$D$152,255),0))="","",INDEX('Disaggregation Records'!$E$69:$E$152,MATCH(RIGHT(Q394,255),RIGHT('Disaggregation Records'!$D$69:$D$152,255),0))),"")</f>
        <v/>
      </c>
      <c r="S394" s="89" t="str">
        <f t="array" aca="1" ref="S394" ca="1">IFERROR(IF(INDEX('Disaggregation Records'!$F$69:$F$152,MATCH(RIGHT(Q394,255),RIGHT('Disaggregation Records'!$D$69:$D$152,255),0))="","",INDEX('Disaggregation Records'!$F$69:$F$152,MATCH(RIGHT(Q394,255),RIGHT('Disaggregation Records'!$D$69:$D$152,255),0))),"")</f>
        <v/>
      </c>
      <c r="T394" s="89" t="str">
        <f t="array" aca="1" ref="T394" ca="1">IFERROR(IF(INDEX('Disaggregation Records'!$H$69:$H$152,MATCH(RIGHT(Q394,255),RIGHT('Disaggregation Records'!$D$69:$D$152,255),0))="","",INDEX('Disaggregation Records'!$H$69:$H$152,MATCH(RIGHT(Q394,255),RIGHT('Disaggregation Records'!$D$69:$D$152,255),0))),"")</f>
        <v/>
      </c>
      <c r="U394" s="89">
        <f>U392+1</f>
        <v>926</v>
      </c>
      <c r="V394" s="89" t="str">
        <f t="array" aca="1" ref="V394" ca="1">IFERROR(IF(INDEX('Disaggregation Records'!$I$69:$I$152,MATCH(RIGHT(Q394,255),RIGHT('Disaggregation Records'!$D$69:$D$152,255),0))="","",INDEX('Disaggregation Records'!$I$69:$I$152,MATCH(RIGHT(Q394,255),RIGHT('Disaggregation Records'!$D$69:$D$152,255),0))),"")</f>
        <v/>
      </c>
      <c r="W394" s="89" t="str">
        <f ca="1">IFERROR(INDEX('Reference Records'!P$23:P$74,MATCH(LEFT(C394,255),'Reference Records'!J$23:J$74,0)),"")</f>
        <v>HIV O-5⁽ᴹ⁾ Percentage of sex workers reporting the use of a condom with their most recent client</v>
      </c>
    </row>
    <row r="395" spans="1:23" s="89" customFormat="1" ht="40.35" customHeight="1">
      <c r="A395" s="564"/>
      <c r="B395" s="799"/>
      <c r="C395" s="800"/>
      <c r="D395" s="801"/>
      <c r="E395" s="801"/>
      <c r="F395" s="128"/>
      <c r="G395" s="802"/>
      <c r="H395" s="781"/>
      <c r="I395" s="803"/>
      <c r="J395" s="779"/>
      <c r="K395" s="800"/>
      <c r="L395" s="800"/>
      <c r="M395" s="779"/>
      <c r="N395" s="779"/>
      <c r="V395" s="89" t="str">
        <f t="array" ref="V395">IFERROR(IF(INDEX('Disaggregation Records'!$I$69:$I$152,MATCH(RIGHT(Q395,255),RIGHT('Disaggregation Records'!$D$69:$D$152,255),0))="","",INDEX('Disaggregation Records'!$I$69:$I$152,MATCH(RIGHT(Q395,255),RIGHT('Disaggregation Records'!$D$69:$D$152,255),0))),"")</f>
        <v/>
      </c>
    </row>
    <row r="396" spans="1:23" s="89" customFormat="1" ht="40.35" customHeight="1">
      <c r="A396" s="564" t="str">
        <f ca="1">INDIRECT("'update Helper'!C"&amp;U396)</f>
        <v>a1V3p000006h2wOEAQ</v>
      </c>
      <c r="B396" s="794">
        <v>5</v>
      </c>
      <c r="C396" s="795" t="str">
        <f ca="1">IFERROR(VLOOKUP(B396,'Outcome Indicators - Section C '!$A$9:$AF$70,32,FALSE),"")</f>
        <v>HIV O-12 Porcentaje de personas que viven con VIH que reciben tratamiento antirretroviral y tienen carga viral suprimida</v>
      </c>
      <c r="D396" s="796" t="str">
        <f ca="1">R396</f>
        <v>Género</v>
      </c>
      <c r="E396" s="796" t="str">
        <f ca="1">S396</f>
        <v>Transgénero</v>
      </c>
      <c r="F396" s="418">
        <v>57</v>
      </c>
      <c r="G396" s="806">
        <f ca="1">IF(OR(INDIRECT("'update Helper'!E"&amp;U396)="",F396&lt;&gt;0,F397&lt;&gt;0),IF(IFERROR((F396/F397),"")="","",(F396/F397)),INDIRECT("'update Helper'!E"&amp;U396)/100)</f>
        <v>0.890625</v>
      </c>
      <c r="H396" s="804">
        <v>2021</v>
      </c>
      <c r="I396" s="798" t="s">
        <v>5497</v>
      </c>
      <c r="J396" s="777"/>
      <c r="K396" s="795" t="str">
        <f ca="1">W396</f>
        <v>HIV O-12 Percentage of people living with HIV and on ART who are virologically suppressed</v>
      </c>
      <c r="L396" s="795" t="str">
        <f ca="1">V396</f>
        <v>Gender</v>
      </c>
      <c r="M396" s="777"/>
      <c r="N396" s="777"/>
      <c r="P396" s="89">
        <f ca="1">IF(AND(EXACT(C396,C394),C394&lt;&gt;0),P394+1,0)</f>
        <v>0</v>
      </c>
      <c r="Q396" s="89" t="str">
        <f ca="1">IF(C396&lt;&gt;"",C396&amp;"-"&amp;P396,"")</f>
        <v>HIV O-12 Porcentaje de personas que viven con VIH que reciben tratamiento antirretroviral y tienen carga viral suprimida-0</v>
      </c>
      <c r="R396" s="89" t="str">
        <f t="array" aca="1" ref="R396" ca="1">IFERROR(IF(INDEX('Disaggregation Records'!$E$69:$E$152,MATCH(RIGHT(Q396,255),RIGHT('Disaggregation Records'!$D$69:$D$152,255),0))="","",INDEX('Disaggregation Records'!$E$69:$E$152,MATCH(RIGHT(Q396,255),RIGHT('Disaggregation Records'!$D$69:$D$152,255),0))),"")</f>
        <v>Género</v>
      </c>
      <c r="S396" s="89" t="str">
        <f t="array" aca="1" ref="S396" ca="1">IFERROR(IF(INDEX('Disaggregation Records'!$F$69:$F$152,MATCH(RIGHT(Q396,255),RIGHT('Disaggregation Records'!$D$69:$D$152,255),0))="","",INDEX('Disaggregation Records'!$F$69:$F$152,MATCH(RIGHT(Q396,255),RIGHT('Disaggregation Records'!$D$69:$D$152,255),0))),"")</f>
        <v>Transgénero</v>
      </c>
      <c r="T396" s="89" t="str">
        <f t="array" aca="1" ref="T396" ca="1">IFERROR(IF(INDEX('Disaggregation Records'!$H$69:$H$152,MATCH(RIGHT(Q396,255),RIGHT('Disaggregation Records'!$D$69:$D$152,255),0))="","",INDEX('Disaggregation Records'!$H$69:$H$152,MATCH(RIGHT(Q396,255),RIGHT('Disaggregation Records'!$D$69:$D$152,255),0))),"")</f>
        <v>IDR-00800</v>
      </c>
      <c r="U396" s="89">
        <f>U394+1</f>
        <v>927</v>
      </c>
      <c r="V396" s="89" t="str">
        <f t="array" aca="1" ref="V396" ca="1">IFERROR(IF(INDEX('Disaggregation Records'!$I$69:$I$152,MATCH(RIGHT(Q396,255),RIGHT('Disaggregation Records'!$D$69:$D$152,255),0))="","",INDEX('Disaggregation Records'!$I$69:$I$152,MATCH(RIGHT(Q396,255),RIGHT('Disaggregation Records'!$D$69:$D$152,255),0))),"")</f>
        <v>Gender</v>
      </c>
      <c r="W396" s="89" t="str">
        <f ca="1">IFERROR(INDEX('Reference Records'!P$23:P$74,MATCH(LEFT(C396,255),'Reference Records'!J$23:J$74,0)),"")</f>
        <v>HIV O-12 Percentage of people living with HIV and on ART who are virologically suppressed</v>
      </c>
    </row>
    <row r="397" spans="1:23" s="89" customFormat="1" ht="40.35" customHeight="1">
      <c r="A397" s="564"/>
      <c r="B397" s="799"/>
      <c r="C397" s="800"/>
      <c r="D397" s="801"/>
      <c r="E397" s="801"/>
      <c r="F397" s="419">
        <v>64</v>
      </c>
      <c r="G397" s="807"/>
      <c r="H397" s="805"/>
      <c r="I397" s="803"/>
      <c r="J397" s="779"/>
      <c r="K397" s="800"/>
      <c r="L397" s="800"/>
      <c r="M397" s="779"/>
      <c r="N397" s="779"/>
      <c r="V397" s="89" t="str">
        <f t="array" ref="V397">IFERROR(IF(INDEX('Disaggregation Records'!$I$69:$I$152,MATCH(RIGHT(Q397,255),RIGHT('Disaggregation Records'!$D$69:$D$152,255),0))="","",INDEX('Disaggregation Records'!$I$69:$I$152,MATCH(RIGHT(Q397,255),RIGHT('Disaggregation Records'!$D$69:$D$152,255),0))),"")</f>
        <v/>
      </c>
    </row>
    <row r="398" spans="1:23" s="89" customFormat="1" ht="40.35" customHeight="1">
      <c r="A398" s="564" t="str">
        <f ca="1">INDIRECT("'update Helper'!C"&amp;U398)</f>
        <v>a1V3p000006h2wPEAQ</v>
      </c>
      <c r="B398" s="794">
        <v>5</v>
      </c>
      <c r="C398" s="795" t="str">
        <f ca="1">IFERROR(VLOOKUP(B398,'Outcome Indicators - Section C '!$A$9:$AF$70,32,FALSE),"")</f>
        <v>HIV O-12 Porcentaje de personas que viven con VIH que reciben tratamiento antirretroviral y tienen carga viral suprimida</v>
      </c>
      <c r="D398" s="796" t="str">
        <f ca="1">R398</f>
        <v>Género</v>
      </c>
      <c r="E398" s="796" t="str">
        <f ca="1">S398</f>
        <v>Mujeres</v>
      </c>
      <c r="F398" s="418">
        <v>2673</v>
      </c>
      <c r="G398" s="806">
        <f ca="1">IF(OR(INDIRECT("'update Helper'!E"&amp;U398)="",F398&lt;&gt;0,F399&lt;&gt;0),IF(IFERROR((F398/F399),"")="","",(F398/F399)),INDIRECT("'update Helper'!E"&amp;U398)/100)</f>
        <v>0.85100286532951286</v>
      </c>
      <c r="H398" s="804">
        <v>2021</v>
      </c>
      <c r="I398" s="798" t="s">
        <v>5497</v>
      </c>
      <c r="J398" s="777"/>
      <c r="K398" s="795" t="str">
        <f ca="1">W398</f>
        <v>HIV O-12 Percentage of people living with HIV and on ART who are virologically suppressed</v>
      </c>
      <c r="L398" s="795" t="str">
        <f ca="1">V398</f>
        <v>Gender</v>
      </c>
      <c r="M398" s="777"/>
      <c r="N398" s="777"/>
      <c r="P398" s="89">
        <f ca="1">IF(AND(EXACT(C398,C396),C396&lt;&gt;0),P396+1,0)</f>
        <v>1</v>
      </c>
      <c r="Q398" s="89" t="str">
        <f ca="1">IF(C398&lt;&gt;"",C398&amp;"-"&amp;P398,"")</f>
        <v>HIV O-12 Porcentaje de personas que viven con VIH que reciben tratamiento antirretroviral y tienen carga viral suprimida-1</v>
      </c>
      <c r="R398" s="89" t="str">
        <f t="array" aca="1" ref="R398" ca="1">IFERROR(IF(INDEX('Disaggregation Records'!$E$69:$E$152,MATCH(RIGHT(Q398,255),RIGHT('Disaggregation Records'!$D$69:$D$152,255),0))="","",INDEX('Disaggregation Records'!$E$69:$E$152,MATCH(RIGHT(Q398,255),RIGHT('Disaggregation Records'!$D$69:$D$152,255),0))),"")</f>
        <v>Género</v>
      </c>
      <c r="S398" s="89" t="str">
        <f t="array" aca="1" ref="S398" ca="1">IFERROR(IF(INDEX('Disaggregation Records'!$F$69:$F$152,MATCH(RIGHT(Q398,255),RIGHT('Disaggregation Records'!$D$69:$D$152,255),0))="","",INDEX('Disaggregation Records'!$F$69:$F$152,MATCH(RIGHT(Q398,255),RIGHT('Disaggregation Records'!$D$69:$D$152,255),0))),"")</f>
        <v>Mujeres</v>
      </c>
      <c r="T398" s="89" t="str">
        <f t="array" aca="1" ref="T398" ca="1">IFERROR(IF(INDEX('Disaggregation Records'!$H$69:$H$152,MATCH(RIGHT(Q398,255),RIGHT('Disaggregation Records'!$D$69:$D$152,255),0))="","",INDEX('Disaggregation Records'!$H$69:$H$152,MATCH(RIGHT(Q398,255),RIGHT('Disaggregation Records'!$D$69:$D$152,255),0))),"")</f>
        <v>IDR-00797</v>
      </c>
      <c r="U398" s="89">
        <f>U396+1</f>
        <v>928</v>
      </c>
      <c r="V398" s="89" t="str">
        <f t="array" aca="1" ref="V398" ca="1">IFERROR(IF(INDEX('Disaggregation Records'!$I$69:$I$152,MATCH(RIGHT(Q398,255),RIGHT('Disaggregation Records'!$D$69:$D$152,255),0))="","",INDEX('Disaggregation Records'!$I$69:$I$152,MATCH(RIGHT(Q398,255),RIGHT('Disaggregation Records'!$D$69:$D$152,255),0))),"")</f>
        <v>Gender</v>
      </c>
      <c r="W398" s="89" t="str">
        <f ca="1">IFERROR(INDEX('Reference Records'!P$23:P$74,MATCH(LEFT(C398,255),'Reference Records'!J$23:J$74,0)),"")</f>
        <v>HIV O-12 Percentage of people living with HIV and on ART who are virologically suppressed</v>
      </c>
    </row>
    <row r="399" spans="1:23" s="89" customFormat="1" ht="40.35" customHeight="1">
      <c r="A399" s="564"/>
      <c r="B399" s="799"/>
      <c r="C399" s="800"/>
      <c r="D399" s="801"/>
      <c r="E399" s="801"/>
      <c r="F399" s="419">
        <v>3141</v>
      </c>
      <c r="G399" s="807"/>
      <c r="H399" s="805"/>
      <c r="I399" s="803"/>
      <c r="J399" s="779"/>
      <c r="K399" s="800"/>
      <c r="L399" s="800"/>
      <c r="M399" s="779"/>
      <c r="N399" s="779"/>
      <c r="V399" s="89" t="str">
        <f t="array" ref="V399">IFERROR(IF(INDEX('Disaggregation Records'!$I$69:$I$152,MATCH(RIGHT(Q399,255),RIGHT('Disaggregation Records'!$D$69:$D$152,255),0))="","",INDEX('Disaggregation Records'!$I$69:$I$152,MATCH(RIGHT(Q399,255),RIGHT('Disaggregation Records'!$D$69:$D$152,255),0))),"")</f>
        <v/>
      </c>
    </row>
    <row r="400" spans="1:23" s="89" customFormat="1" ht="40.35" customHeight="1">
      <c r="A400" s="564" t="str">
        <f ca="1">INDIRECT("'update Helper'!C"&amp;U400)</f>
        <v>a1V3p000006h2wQEAQ</v>
      </c>
      <c r="B400" s="794">
        <v>5</v>
      </c>
      <c r="C400" s="795" t="str">
        <f ca="1">IFERROR(VLOOKUP(B400,'Outcome Indicators - Section C '!$A$9:$AF$70,32,FALSE),"")</f>
        <v>HIV O-12 Porcentaje de personas que viven con VIH que reciben tratamiento antirretroviral y tienen carga viral suprimida</v>
      </c>
      <c r="D400" s="796" t="str">
        <f ca="1">R400</f>
        <v>Género</v>
      </c>
      <c r="E400" s="796" t="str">
        <f ca="1">S400</f>
        <v>Hombres</v>
      </c>
      <c r="F400" s="418">
        <v>6648</v>
      </c>
      <c r="G400" s="806">
        <f ca="1">IF(OR(INDIRECT("'update Helper'!E"&amp;U400)="",F400&lt;&gt;0,F401&lt;&gt;0),IF(IFERROR((F400/F401),"")="","",(F400/F401)),INDIRECT("'update Helper'!E"&amp;U400)/100)</f>
        <v>0.90844493030882756</v>
      </c>
      <c r="H400" s="804">
        <v>2021</v>
      </c>
      <c r="I400" s="798" t="s">
        <v>5497</v>
      </c>
      <c r="J400" s="777"/>
      <c r="K400" s="795" t="str">
        <f ca="1">W400</f>
        <v>HIV O-12 Percentage of people living with HIV and on ART who are virologically suppressed</v>
      </c>
      <c r="L400" s="795" t="str">
        <f ca="1">V400</f>
        <v>Gender</v>
      </c>
      <c r="M400" s="777"/>
      <c r="N400" s="777"/>
      <c r="P400" s="89">
        <f ca="1">IF(AND(EXACT(C400,C398),C398&lt;&gt;0),P398+1,0)</f>
        <v>2</v>
      </c>
      <c r="Q400" s="89" t="str">
        <f ca="1">IF(C400&lt;&gt;"",C400&amp;"-"&amp;P400,"")</f>
        <v>HIV O-12 Porcentaje de personas que viven con VIH que reciben tratamiento antirretroviral y tienen carga viral suprimida-2</v>
      </c>
      <c r="R400" s="89" t="str">
        <f t="array" aca="1" ref="R400" ca="1">IFERROR(IF(INDEX('Disaggregation Records'!$E$69:$E$152,MATCH(RIGHT(Q400,255),RIGHT('Disaggregation Records'!$D$69:$D$152,255),0))="","",INDEX('Disaggregation Records'!$E$69:$E$152,MATCH(RIGHT(Q400,255),RIGHT('Disaggregation Records'!$D$69:$D$152,255),0))),"")</f>
        <v>Género</v>
      </c>
      <c r="S400" s="89" t="str">
        <f t="array" aca="1" ref="S400" ca="1">IFERROR(IF(INDEX('Disaggregation Records'!$F$69:$F$152,MATCH(RIGHT(Q400,255),RIGHT('Disaggregation Records'!$D$69:$D$152,255),0))="","",INDEX('Disaggregation Records'!$F$69:$F$152,MATCH(RIGHT(Q400,255),RIGHT('Disaggregation Records'!$D$69:$D$152,255),0))),"")</f>
        <v>Hombres</v>
      </c>
      <c r="T400" s="89" t="str">
        <f t="array" aca="1" ref="T400" ca="1">IFERROR(IF(INDEX('Disaggregation Records'!$H$69:$H$152,MATCH(RIGHT(Q400,255),RIGHT('Disaggregation Records'!$D$69:$D$152,255),0))="","",INDEX('Disaggregation Records'!$H$69:$H$152,MATCH(RIGHT(Q400,255),RIGHT('Disaggregation Records'!$D$69:$D$152,255),0))),"")</f>
        <v>IDR-00796</v>
      </c>
      <c r="U400" s="89">
        <f>U398+1</f>
        <v>929</v>
      </c>
      <c r="V400" s="89" t="str">
        <f t="array" aca="1" ref="V400" ca="1">IFERROR(IF(INDEX('Disaggregation Records'!$I$69:$I$152,MATCH(RIGHT(Q400,255),RIGHT('Disaggregation Records'!$D$69:$D$152,255),0))="","",INDEX('Disaggregation Records'!$I$69:$I$152,MATCH(RIGHT(Q400,255),RIGHT('Disaggregation Records'!$D$69:$D$152,255),0))),"")</f>
        <v>Gender</v>
      </c>
      <c r="W400" s="89" t="str">
        <f ca="1">IFERROR(INDEX('Reference Records'!P$23:P$74,MATCH(LEFT(C400,255),'Reference Records'!J$23:J$74,0)),"")</f>
        <v>HIV O-12 Percentage of people living with HIV and on ART who are virologically suppressed</v>
      </c>
    </row>
    <row r="401" spans="1:23" s="89" customFormat="1" ht="40.35" customHeight="1">
      <c r="A401" s="564"/>
      <c r="B401" s="799"/>
      <c r="C401" s="800"/>
      <c r="D401" s="801"/>
      <c r="E401" s="801"/>
      <c r="F401" s="419">
        <v>7318</v>
      </c>
      <c r="G401" s="807"/>
      <c r="H401" s="805"/>
      <c r="I401" s="803"/>
      <c r="J401" s="779"/>
      <c r="K401" s="800"/>
      <c r="L401" s="800"/>
      <c r="M401" s="779"/>
      <c r="N401" s="779"/>
      <c r="V401" s="89" t="str">
        <f t="array" ref="V401">IFERROR(IF(INDEX('Disaggregation Records'!$I$69:$I$152,MATCH(RIGHT(Q401,255),RIGHT('Disaggregation Records'!$D$69:$D$152,255),0))="","",INDEX('Disaggregation Records'!$I$69:$I$152,MATCH(RIGHT(Q401,255),RIGHT('Disaggregation Records'!$D$69:$D$152,255),0))),"")</f>
        <v/>
      </c>
    </row>
    <row r="402" spans="1:23" s="89" customFormat="1" ht="40.35" customHeight="1">
      <c r="A402" s="564" t="str">
        <f ca="1">INDIRECT("'update Helper'!C"&amp;U402)</f>
        <v>a1V3p000006h2wREAQ</v>
      </c>
      <c r="B402" s="794">
        <v>5</v>
      </c>
      <c r="C402" s="795" t="str">
        <f ca="1">IFERROR(VLOOKUP(B402,'Outcome Indicators - Section C '!$A$9:$AF$70,32,FALSE),"")</f>
        <v>HIV O-12 Porcentaje de personas que viven con VIH que reciben tratamiento antirretroviral y tienen carga viral suprimida</v>
      </c>
      <c r="D402" s="796" t="str">
        <f ca="1">R402</f>
        <v/>
      </c>
      <c r="E402" s="796" t="str">
        <f ca="1">S402</f>
        <v/>
      </c>
      <c r="F402" s="127"/>
      <c r="G402" s="797" t="str">
        <f ca="1">IF(OR(INDIRECT("'update Helper'!E"&amp;U402)="",F402&lt;&gt;0,F403&lt;&gt;0),IF(IFERROR((F402/F403),"")="","",(F402/F403)),INDIRECT("'update Helper'!E"&amp;U402)/100)</f>
        <v/>
      </c>
      <c r="H402" s="784"/>
      <c r="I402" s="798"/>
      <c r="J402" s="777"/>
      <c r="K402" s="795" t="str">
        <f ca="1">W402</f>
        <v>HIV O-12 Percentage of people living with HIV and on ART who are virologically suppressed</v>
      </c>
      <c r="L402" s="795" t="str">
        <f ca="1">V402</f>
        <v/>
      </c>
      <c r="M402" s="777"/>
      <c r="N402" s="777"/>
      <c r="P402" s="89">
        <f ca="1">IF(AND(EXACT(C402,C400),C400&lt;&gt;0),P400+1,0)</f>
        <v>3</v>
      </c>
      <c r="Q402" s="89" t="str">
        <f ca="1">IF(C402&lt;&gt;"",C402&amp;"-"&amp;P402,"")</f>
        <v>HIV O-12 Porcentaje de personas que viven con VIH que reciben tratamiento antirretroviral y tienen carga viral suprimida-3</v>
      </c>
      <c r="R402" s="89" t="str">
        <f t="array" aca="1" ref="R402" ca="1">IFERROR(IF(INDEX('Disaggregation Records'!$E$69:$E$152,MATCH(RIGHT(Q402,255),RIGHT('Disaggregation Records'!$D$69:$D$152,255),0))="","",INDEX('Disaggregation Records'!$E$69:$E$152,MATCH(RIGHT(Q402,255),RIGHT('Disaggregation Records'!$D$69:$D$152,255),0))),"")</f>
        <v/>
      </c>
      <c r="S402" s="89" t="str">
        <f t="array" aca="1" ref="S402" ca="1">IFERROR(IF(INDEX('Disaggregation Records'!$F$69:$F$152,MATCH(RIGHT(Q402,255),RIGHT('Disaggregation Records'!$D$69:$D$152,255),0))="","",INDEX('Disaggregation Records'!$F$69:$F$152,MATCH(RIGHT(Q402,255),RIGHT('Disaggregation Records'!$D$69:$D$152,255),0))),"")</f>
        <v/>
      </c>
      <c r="T402" s="89" t="str">
        <f t="array" aca="1" ref="T402" ca="1">IFERROR(IF(INDEX('Disaggregation Records'!$H$69:$H$152,MATCH(RIGHT(Q402,255),RIGHT('Disaggregation Records'!$D$69:$D$152,255),0))="","",INDEX('Disaggregation Records'!$H$69:$H$152,MATCH(RIGHT(Q402,255),RIGHT('Disaggregation Records'!$D$69:$D$152,255),0))),"")</f>
        <v/>
      </c>
      <c r="U402" s="89">
        <f>U400+1</f>
        <v>930</v>
      </c>
      <c r="V402" s="89" t="str">
        <f t="array" aca="1" ref="V402" ca="1">IFERROR(IF(INDEX('Disaggregation Records'!$I$69:$I$152,MATCH(RIGHT(Q402,255),RIGHT('Disaggregation Records'!$D$69:$D$152,255),0))="","",INDEX('Disaggregation Records'!$I$69:$I$152,MATCH(RIGHT(Q402,255),RIGHT('Disaggregation Records'!$D$69:$D$152,255),0))),"")</f>
        <v/>
      </c>
      <c r="W402" s="89" t="str">
        <f ca="1">IFERROR(INDEX('Reference Records'!P$23:P$74,MATCH(LEFT(C402,255),'Reference Records'!J$23:J$74,0)),"")</f>
        <v>HIV O-12 Percentage of people living with HIV and on ART who are virologically suppressed</v>
      </c>
    </row>
    <row r="403" spans="1:23" s="89" customFormat="1" ht="40.35" customHeight="1">
      <c r="A403" s="564"/>
      <c r="B403" s="799"/>
      <c r="C403" s="800"/>
      <c r="D403" s="801"/>
      <c r="E403" s="801"/>
      <c r="F403" s="128"/>
      <c r="G403" s="802"/>
      <c r="H403" s="781"/>
      <c r="I403" s="803"/>
      <c r="J403" s="779"/>
      <c r="K403" s="800"/>
      <c r="L403" s="800"/>
      <c r="M403" s="779"/>
      <c r="N403" s="779"/>
      <c r="V403" s="89" t="str">
        <f t="array" ref="V403">IFERROR(IF(INDEX('Disaggregation Records'!$I$69:$I$152,MATCH(RIGHT(Q403,255),RIGHT('Disaggregation Records'!$D$69:$D$152,255),0))="","",INDEX('Disaggregation Records'!$I$69:$I$152,MATCH(RIGHT(Q403,255),RIGHT('Disaggregation Records'!$D$69:$D$152,255),0))),"")</f>
        <v/>
      </c>
    </row>
    <row r="404" spans="1:23" s="89" customFormat="1" ht="40.35" customHeight="1">
      <c r="A404" s="564" t="str">
        <f ca="1">INDIRECT("'update Helper'!C"&amp;U404)</f>
        <v>a1V3p000006h2wSEAQ</v>
      </c>
      <c r="B404" s="794">
        <v>5</v>
      </c>
      <c r="C404" s="795" t="str">
        <f ca="1">IFERROR(VLOOKUP(B404,'Outcome Indicators - Section C '!$A$9:$AF$70,32,FALSE),"")</f>
        <v>HIV O-12 Porcentaje de personas que viven con VIH que reciben tratamiento antirretroviral y tienen carga viral suprimida</v>
      </c>
      <c r="D404" s="796" t="str">
        <f ca="1">R404</f>
        <v/>
      </c>
      <c r="E404" s="796" t="str">
        <f ca="1">S404</f>
        <v/>
      </c>
      <c r="F404" s="127"/>
      <c r="G404" s="797" t="str">
        <f ca="1">IF(OR(INDIRECT("'update Helper'!E"&amp;U404)="",F404&lt;&gt;0,F405&lt;&gt;0),IF(IFERROR((F404/F405),"")="","",(F404/F405)),INDIRECT("'update Helper'!E"&amp;U404)/100)</f>
        <v/>
      </c>
      <c r="H404" s="784"/>
      <c r="I404" s="798"/>
      <c r="J404" s="777"/>
      <c r="K404" s="795" t="str">
        <f ca="1">W404</f>
        <v>HIV O-12 Percentage of people living with HIV and on ART who are virologically suppressed</v>
      </c>
      <c r="L404" s="795" t="str">
        <f ca="1">V404</f>
        <v/>
      </c>
      <c r="M404" s="777"/>
      <c r="N404" s="777"/>
      <c r="P404" s="89">
        <f ca="1">IF(AND(EXACT(C404,C402),C402&lt;&gt;0),P402+1,0)</f>
        <v>4</v>
      </c>
      <c r="Q404" s="89" t="str">
        <f ca="1">IF(C404&lt;&gt;"",C404&amp;"-"&amp;P404,"")</f>
        <v>HIV O-12 Porcentaje de personas que viven con VIH que reciben tratamiento antirretroviral y tienen carga viral suprimida-4</v>
      </c>
      <c r="R404" s="89" t="str">
        <f t="array" aca="1" ref="R404" ca="1">IFERROR(IF(INDEX('Disaggregation Records'!$E$69:$E$152,MATCH(RIGHT(Q404,255),RIGHT('Disaggregation Records'!$D$69:$D$152,255),0))="","",INDEX('Disaggregation Records'!$E$69:$E$152,MATCH(RIGHT(Q404,255),RIGHT('Disaggregation Records'!$D$69:$D$152,255),0))),"")</f>
        <v/>
      </c>
      <c r="S404" s="89" t="str">
        <f t="array" aca="1" ref="S404" ca="1">IFERROR(IF(INDEX('Disaggregation Records'!$F$69:$F$152,MATCH(RIGHT(Q404,255),RIGHT('Disaggregation Records'!$D$69:$D$152,255),0))="","",INDEX('Disaggregation Records'!$F$69:$F$152,MATCH(RIGHT(Q404,255),RIGHT('Disaggregation Records'!$D$69:$D$152,255),0))),"")</f>
        <v/>
      </c>
      <c r="T404" s="89" t="str">
        <f t="array" aca="1" ref="T404" ca="1">IFERROR(IF(INDEX('Disaggregation Records'!$H$69:$H$152,MATCH(RIGHT(Q404,255),RIGHT('Disaggregation Records'!$D$69:$D$152,255),0))="","",INDEX('Disaggregation Records'!$H$69:$H$152,MATCH(RIGHT(Q404,255),RIGHT('Disaggregation Records'!$D$69:$D$152,255),0))),"")</f>
        <v/>
      </c>
      <c r="U404" s="89">
        <f>U402+1</f>
        <v>931</v>
      </c>
      <c r="V404" s="89" t="str">
        <f t="array" aca="1" ref="V404" ca="1">IFERROR(IF(INDEX('Disaggregation Records'!$I$69:$I$152,MATCH(RIGHT(Q404,255),RIGHT('Disaggregation Records'!$D$69:$D$152,255),0))="","",INDEX('Disaggregation Records'!$I$69:$I$152,MATCH(RIGHT(Q404,255),RIGHT('Disaggregation Records'!$D$69:$D$152,255),0))),"")</f>
        <v/>
      </c>
      <c r="W404" s="89" t="str">
        <f ca="1">IFERROR(INDEX('Reference Records'!P$23:P$74,MATCH(LEFT(C404,255),'Reference Records'!J$23:J$74,0)),"")</f>
        <v>HIV O-12 Percentage of people living with HIV and on ART who are virologically suppressed</v>
      </c>
    </row>
    <row r="405" spans="1:23" s="89" customFormat="1" ht="40.35" customHeight="1">
      <c r="A405" s="564"/>
      <c r="B405" s="799"/>
      <c r="C405" s="800"/>
      <c r="D405" s="801"/>
      <c r="E405" s="801"/>
      <c r="F405" s="128"/>
      <c r="G405" s="802"/>
      <c r="H405" s="781"/>
      <c r="I405" s="803"/>
      <c r="J405" s="779"/>
      <c r="K405" s="800"/>
      <c r="L405" s="800"/>
      <c r="M405" s="779"/>
      <c r="N405" s="779"/>
      <c r="V405" s="89" t="str">
        <f t="array" ref="V405">IFERROR(IF(INDEX('Disaggregation Records'!$I$69:$I$152,MATCH(RIGHT(Q405,255),RIGHT('Disaggregation Records'!$D$69:$D$152,255),0))="","",INDEX('Disaggregation Records'!$I$69:$I$152,MATCH(RIGHT(Q405,255),RIGHT('Disaggregation Records'!$D$69:$D$152,255),0))),"")</f>
        <v/>
      </c>
    </row>
    <row r="406" spans="1:23" s="89" customFormat="1" ht="40.35" customHeight="1">
      <c r="A406" s="564" t="str">
        <f ca="1">INDIRECT("'update Helper'!C"&amp;U406)</f>
        <v>a1V3p000006h2wTEAQ</v>
      </c>
      <c r="B406" s="794">
        <v>5</v>
      </c>
      <c r="C406" s="795" t="str">
        <f ca="1">IFERROR(VLOOKUP(B406,'Outcome Indicators - Section C '!$A$9:$AF$70,32,FALSE),"")</f>
        <v>HIV O-12 Porcentaje de personas que viven con VIH que reciben tratamiento antirretroviral y tienen carga viral suprimida</v>
      </c>
      <c r="D406" s="796" t="str">
        <f ca="1">R406</f>
        <v/>
      </c>
      <c r="E406" s="796" t="str">
        <f ca="1">S406</f>
        <v/>
      </c>
      <c r="F406" s="127"/>
      <c r="G406" s="797" t="str">
        <f ca="1">IF(OR(INDIRECT("'update Helper'!E"&amp;U406)="",F406&lt;&gt;0,F407&lt;&gt;0),IF(IFERROR((F406/F407),"")="","",(F406/F407)),INDIRECT("'update Helper'!E"&amp;U406)/100)</f>
        <v/>
      </c>
      <c r="H406" s="784"/>
      <c r="I406" s="798"/>
      <c r="J406" s="777"/>
      <c r="K406" s="795" t="str">
        <f ca="1">W406</f>
        <v>HIV O-12 Percentage of people living with HIV and on ART who are virologically suppressed</v>
      </c>
      <c r="L406" s="795" t="str">
        <f ca="1">V406</f>
        <v/>
      </c>
      <c r="M406" s="777"/>
      <c r="N406" s="777"/>
      <c r="P406" s="89">
        <f ca="1">IF(AND(EXACT(C406,C404),C404&lt;&gt;0),P404+1,0)</f>
        <v>5</v>
      </c>
      <c r="Q406" s="89" t="str">
        <f ca="1">IF(C406&lt;&gt;"",C406&amp;"-"&amp;P406,"")</f>
        <v>HIV O-12 Porcentaje de personas que viven con VIH que reciben tratamiento antirretroviral y tienen carga viral suprimida-5</v>
      </c>
      <c r="R406" s="89" t="str">
        <f t="array" aca="1" ref="R406" ca="1">IFERROR(IF(INDEX('Disaggregation Records'!$E$69:$E$152,MATCH(RIGHT(Q406,255),RIGHT('Disaggregation Records'!$D$69:$D$152,255),0))="","",INDEX('Disaggregation Records'!$E$69:$E$152,MATCH(RIGHT(Q406,255),RIGHT('Disaggregation Records'!$D$69:$D$152,255),0))),"")</f>
        <v/>
      </c>
      <c r="S406" s="89" t="str">
        <f t="array" aca="1" ref="S406" ca="1">IFERROR(IF(INDEX('Disaggregation Records'!$F$69:$F$152,MATCH(RIGHT(Q406,255),RIGHT('Disaggregation Records'!$D$69:$D$152,255),0))="","",INDEX('Disaggregation Records'!$F$69:$F$152,MATCH(RIGHT(Q406,255),RIGHT('Disaggregation Records'!$D$69:$D$152,255),0))),"")</f>
        <v/>
      </c>
      <c r="T406" s="89" t="str">
        <f t="array" aca="1" ref="T406" ca="1">IFERROR(IF(INDEX('Disaggregation Records'!$H$69:$H$152,MATCH(RIGHT(Q406,255),RIGHT('Disaggregation Records'!$D$69:$D$152,255),0))="","",INDEX('Disaggregation Records'!$H$69:$H$152,MATCH(RIGHT(Q406,255),RIGHT('Disaggregation Records'!$D$69:$D$152,255),0))),"")</f>
        <v/>
      </c>
      <c r="U406" s="89">
        <f>U404+1</f>
        <v>932</v>
      </c>
      <c r="V406" s="89" t="str">
        <f t="array" aca="1" ref="V406" ca="1">IFERROR(IF(INDEX('Disaggregation Records'!$I$69:$I$152,MATCH(RIGHT(Q406,255),RIGHT('Disaggregation Records'!$D$69:$D$152,255),0))="","",INDEX('Disaggregation Records'!$I$69:$I$152,MATCH(RIGHT(Q406,255),RIGHT('Disaggregation Records'!$D$69:$D$152,255),0))),"")</f>
        <v/>
      </c>
      <c r="W406" s="89" t="str">
        <f ca="1">IFERROR(INDEX('Reference Records'!P$23:P$74,MATCH(LEFT(C406,255),'Reference Records'!J$23:J$74,0)),"")</f>
        <v>HIV O-12 Percentage of people living with HIV and on ART who are virologically suppressed</v>
      </c>
    </row>
    <row r="407" spans="1:23" s="89" customFormat="1" ht="40.35" customHeight="1">
      <c r="A407" s="564"/>
      <c r="B407" s="799"/>
      <c r="C407" s="800"/>
      <c r="D407" s="801"/>
      <c r="E407" s="801"/>
      <c r="F407" s="128"/>
      <c r="G407" s="802"/>
      <c r="H407" s="781"/>
      <c r="I407" s="803"/>
      <c r="J407" s="779"/>
      <c r="K407" s="800"/>
      <c r="L407" s="800"/>
      <c r="M407" s="779"/>
      <c r="N407" s="779"/>
      <c r="V407" s="89" t="str">
        <f t="array" ref="V407">IFERROR(IF(INDEX('Disaggregation Records'!$I$69:$I$152,MATCH(RIGHT(Q407,255),RIGHT('Disaggregation Records'!$D$69:$D$152,255),0))="","",INDEX('Disaggregation Records'!$I$69:$I$152,MATCH(RIGHT(Q407,255),RIGHT('Disaggregation Records'!$D$69:$D$152,255),0))),"")</f>
        <v/>
      </c>
    </row>
    <row r="408" spans="1:23" s="89" customFormat="1" ht="40.35" customHeight="1">
      <c r="A408" s="564" t="str">
        <f ca="1">INDIRECT("'update Helper'!C"&amp;U408)</f>
        <v>a1V3p000006h2wUEAQ</v>
      </c>
      <c r="B408" s="794">
        <v>5</v>
      </c>
      <c r="C408" s="795" t="str">
        <f ca="1">IFERROR(VLOOKUP(B408,'Outcome Indicators - Section C '!$A$9:$AF$70,32,FALSE),"")</f>
        <v>HIV O-12 Porcentaje de personas que viven con VIH que reciben tratamiento antirretroviral y tienen carga viral suprimida</v>
      </c>
      <c r="D408" s="796" t="str">
        <f ca="1">R408</f>
        <v/>
      </c>
      <c r="E408" s="796" t="str">
        <f ca="1">S408</f>
        <v/>
      </c>
      <c r="F408" s="127"/>
      <c r="G408" s="797" t="str">
        <f ca="1">IF(OR(INDIRECT("'update Helper'!E"&amp;U408)="",F408&lt;&gt;0,F409&lt;&gt;0),IF(IFERROR((F408/F409),"")="","",(F408/F409)),INDIRECT("'update Helper'!E"&amp;U408)/100)</f>
        <v/>
      </c>
      <c r="H408" s="784"/>
      <c r="I408" s="798"/>
      <c r="J408" s="777"/>
      <c r="K408" s="795" t="str">
        <f ca="1">W408</f>
        <v>HIV O-12 Percentage of people living with HIV and on ART who are virologically suppressed</v>
      </c>
      <c r="L408" s="795" t="str">
        <f ca="1">V408</f>
        <v/>
      </c>
      <c r="M408" s="777"/>
      <c r="N408" s="777"/>
      <c r="P408" s="89">
        <f ca="1">IF(AND(EXACT(C408,C406),C406&lt;&gt;0),P406+1,0)</f>
        <v>6</v>
      </c>
      <c r="Q408" s="89" t="str">
        <f ca="1">IF(C408&lt;&gt;"",C408&amp;"-"&amp;P408,"")</f>
        <v>HIV O-12 Porcentaje de personas que viven con VIH que reciben tratamiento antirretroviral y tienen carga viral suprimida-6</v>
      </c>
      <c r="R408" s="89" t="str">
        <f t="array" aca="1" ref="R408" ca="1">IFERROR(IF(INDEX('Disaggregation Records'!$E$69:$E$152,MATCH(RIGHT(Q408,255),RIGHT('Disaggregation Records'!$D$69:$D$152,255),0))="","",INDEX('Disaggregation Records'!$E$69:$E$152,MATCH(RIGHT(Q408,255),RIGHT('Disaggregation Records'!$D$69:$D$152,255),0))),"")</f>
        <v/>
      </c>
      <c r="S408" s="89" t="str">
        <f t="array" aca="1" ref="S408" ca="1">IFERROR(IF(INDEX('Disaggregation Records'!$F$69:$F$152,MATCH(RIGHT(Q408,255),RIGHT('Disaggregation Records'!$D$69:$D$152,255),0))="","",INDEX('Disaggregation Records'!$F$69:$F$152,MATCH(RIGHT(Q408,255),RIGHT('Disaggregation Records'!$D$69:$D$152,255),0))),"")</f>
        <v/>
      </c>
      <c r="T408" s="89" t="str">
        <f t="array" aca="1" ref="T408" ca="1">IFERROR(IF(INDEX('Disaggregation Records'!$H$69:$H$152,MATCH(RIGHT(Q408,255),RIGHT('Disaggregation Records'!$D$69:$D$152,255),0))="","",INDEX('Disaggregation Records'!$H$69:$H$152,MATCH(RIGHT(Q408,255),RIGHT('Disaggregation Records'!$D$69:$D$152,255),0))),"")</f>
        <v/>
      </c>
      <c r="U408" s="89">
        <f>U406+1</f>
        <v>933</v>
      </c>
      <c r="V408" s="89" t="str">
        <f t="array" aca="1" ref="V408" ca="1">IFERROR(IF(INDEX('Disaggregation Records'!$I$69:$I$152,MATCH(RIGHT(Q408,255),RIGHT('Disaggregation Records'!$D$69:$D$152,255),0))="","",INDEX('Disaggregation Records'!$I$69:$I$152,MATCH(RIGHT(Q408,255),RIGHT('Disaggregation Records'!$D$69:$D$152,255),0))),"")</f>
        <v/>
      </c>
      <c r="W408" s="89" t="str">
        <f ca="1">IFERROR(INDEX('Reference Records'!P$23:P$74,MATCH(LEFT(C408,255),'Reference Records'!J$23:J$74,0)),"")</f>
        <v>HIV O-12 Percentage of people living with HIV and on ART who are virologically suppressed</v>
      </c>
    </row>
    <row r="409" spans="1:23" s="89" customFormat="1" ht="40.35" customHeight="1">
      <c r="A409" s="564"/>
      <c r="B409" s="799"/>
      <c r="C409" s="800"/>
      <c r="D409" s="801"/>
      <c r="E409" s="801"/>
      <c r="F409" s="128"/>
      <c r="G409" s="802"/>
      <c r="H409" s="781"/>
      <c r="I409" s="803"/>
      <c r="J409" s="779"/>
      <c r="K409" s="800"/>
      <c r="L409" s="800"/>
      <c r="M409" s="779"/>
      <c r="N409" s="779"/>
      <c r="V409" s="89" t="str">
        <f t="array" ref="V409">IFERROR(IF(INDEX('Disaggregation Records'!$I$69:$I$152,MATCH(RIGHT(Q409,255),RIGHT('Disaggregation Records'!$D$69:$D$152,255),0))="","",INDEX('Disaggregation Records'!$I$69:$I$152,MATCH(RIGHT(Q409,255),RIGHT('Disaggregation Records'!$D$69:$D$152,255),0))),"")</f>
        <v/>
      </c>
    </row>
    <row r="410" spans="1:23" s="89" customFormat="1" ht="40.35" customHeight="1">
      <c r="A410" s="564" t="str">
        <f ca="1">INDIRECT("'update Helper'!C"&amp;U410)</f>
        <v>a1V3p000006h2wVEAQ</v>
      </c>
      <c r="B410" s="794">
        <v>5</v>
      </c>
      <c r="C410" s="795" t="str">
        <f ca="1">IFERROR(VLOOKUP(B410,'Outcome Indicators - Section C '!$A$9:$AF$70,32,FALSE),"")</f>
        <v>HIV O-12 Porcentaje de personas que viven con VIH que reciben tratamiento antirretroviral y tienen carga viral suprimida</v>
      </c>
      <c r="D410" s="796" t="str">
        <f ca="1">R410</f>
        <v/>
      </c>
      <c r="E410" s="796" t="str">
        <f ca="1">S410</f>
        <v/>
      </c>
      <c r="F410" s="127"/>
      <c r="G410" s="797" t="str">
        <f ca="1">IF(OR(INDIRECT("'update Helper'!E"&amp;U410)="",F410&lt;&gt;0,F411&lt;&gt;0),IF(IFERROR((F410/F411),"")="","",(F410/F411)),INDIRECT("'update Helper'!E"&amp;U410)/100)</f>
        <v/>
      </c>
      <c r="H410" s="784"/>
      <c r="I410" s="798"/>
      <c r="J410" s="777"/>
      <c r="K410" s="795" t="str">
        <f ca="1">W410</f>
        <v>HIV O-12 Percentage of people living with HIV and on ART who are virologically suppressed</v>
      </c>
      <c r="L410" s="795" t="str">
        <f ca="1">V410</f>
        <v/>
      </c>
      <c r="M410" s="777"/>
      <c r="N410" s="777"/>
      <c r="P410" s="89">
        <f ca="1">IF(AND(EXACT(C410,C408),C408&lt;&gt;0),P408+1,0)</f>
        <v>7</v>
      </c>
      <c r="Q410" s="89" t="str">
        <f ca="1">IF(C410&lt;&gt;"",C410&amp;"-"&amp;P410,"")</f>
        <v>HIV O-12 Porcentaje de personas que viven con VIH que reciben tratamiento antirretroviral y tienen carga viral suprimida-7</v>
      </c>
      <c r="R410" s="89" t="str">
        <f t="array" aca="1" ref="R410" ca="1">IFERROR(IF(INDEX('Disaggregation Records'!$E$69:$E$152,MATCH(RIGHT(Q410,255),RIGHT('Disaggregation Records'!$D$69:$D$152,255),0))="","",INDEX('Disaggregation Records'!$E$69:$E$152,MATCH(RIGHT(Q410,255),RIGHT('Disaggregation Records'!$D$69:$D$152,255),0))),"")</f>
        <v/>
      </c>
      <c r="S410" s="89" t="str">
        <f t="array" aca="1" ref="S410" ca="1">IFERROR(IF(INDEX('Disaggregation Records'!$F$69:$F$152,MATCH(RIGHT(Q410,255),RIGHT('Disaggregation Records'!$D$69:$D$152,255),0))="","",INDEX('Disaggregation Records'!$F$69:$F$152,MATCH(RIGHT(Q410,255),RIGHT('Disaggregation Records'!$D$69:$D$152,255),0))),"")</f>
        <v/>
      </c>
      <c r="T410" s="89" t="str">
        <f t="array" aca="1" ref="T410" ca="1">IFERROR(IF(INDEX('Disaggregation Records'!$H$69:$H$152,MATCH(RIGHT(Q410,255),RIGHT('Disaggregation Records'!$D$69:$D$152,255),0))="","",INDEX('Disaggregation Records'!$H$69:$H$152,MATCH(RIGHT(Q410,255),RIGHT('Disaggregation Records'!$D$69:$D$152,255),0))),"")</f>
        <v/>
      </c>
      <c r="U410" s="89">
        <f>U408+1</f>
        <v>934</v>
      </c>
      <c r="V410" s="89" t="str">
        <f t="array" aca="1" ref="V410" ca="1">IFERROR(IF(INDEX('Disaggregation Records'!$I$69:$I$152,MATCH(RIGHT(Q410,255),RIGHT('Disaggregation Records'!$D$69:$D$152,255),0))="","",INDEX('Disaggregation Records'!$I$69:$I$152,MATCH(RIGHT(Q410,255),RIGHT('Disaggregation Records'!$D$69:$D$152,255),0))),"")</f>
        <v/>
      </c>
      <c r="W410" s="89" t="str">
        <f ca="1">IFERROR(INDEX('Reference Records'!P$23:P$74,MATCH(LEFT(C410,255),'Reference Records'!J$23:J$74,0)),"")</f>
        <v>HIV O-12 Percentage of people living with HIV and on ART who are virologically suppressed</v>
      </c>
    </row>
    <row r="411" spans="1:23" s="89" customFormat="1" ht="40.35" customHeight="1">
      <c r="A411" s="564"/>
      <c r="B411" s="799"/>
      <c r="C411" s="800"/>
      <c r="D411" s="801"/>
      <c r="E411" s="801"/>
      <c r="F411" s="128"/>
      <c r="G411" s="802"/>
      <c r="H411" s="781"/>
      <c r="I411" s="803"/>
      <c r="J411" s="779"/>
      <c r="K411" s="800"/>
      <c r="L411" s="800"/>
      <c r="M411" s="779"/>
      <c r="N411" s="779"/>
      <c r="V411" s="89" t="str">
        <f t="array" ref="V411">IFERROR(IF(INDEX('Disaggregation Records'!$I$69:$I$152,MATCH(RIGHT(Q411,255),RIGHT('Disaggregation Records'!$D$69:$D$152,255),0))="","",INDEX('Disaggregation Records'!$I$69:$I$152,MATCH(RIGHT(Q411,255),RIGHT('Disaggregation Records'!$D$69:$D$152,255),0))),"")</f>
        <v/>
      </c>
    </row>
    <row r="412" spans="1:23" s="89" customFormat="1" ht="40.35" customHeight="1">
      <c r="A412" s="564" t="str">
        <f ca="1">INDIRECT("'update Helper'!C"&amp;U412)</f>
        <v>a1V3p000006h2wWEAQ</v>
      </c>
      <c r="B412" s="794">
        <v>5</v>
      </c>
      <c r="C412" s="795" t="str">
        <f ca="1">IFERROR(VLOOKUP(B412,'Outcome Indicators - Section C '!$A$9:$AF$70,32,FALSE),"")</f>
        <v>HIV O-12 Porcentaje de personas que viven con VIH que reciben tratamiento antirretroviral y tienen carga viral suprimida</v>
      </c>
      <c r="D412" s="796" t="str">
        <f ca="1">R412</f>
        <v/>
      </c>
      <c r="E412" s="796" t="str">
        <f ca="1">S412</f>
        <v/>
      </c>
      <c r="F412" s="127"/>
      <c r="G412" s="797" t="str">
        <f ca="1">IF(OR(INDIRECT("'update Helper'!E"&amp;U412)="",F412&lt;&gt;0,F413&lt;&gt;0),IF(IFERROR((F412/F413),"")="","",(F412/F413)),INDIRECT("'update Helper'!E"&amp;U412)/100)</f>
        <v/>
      </c>
      <c r="H412" s="784"/>
      <c r="I412" s="798"/>
      <c r="J412" s="777"/>
      <c r="K412" s="795" t="str">
        <f ca="1">W412</f>
        <v>HIV O-12 Percentage of people living with HIV and on ART who are virologically suppressed</v>
      </c>
      <c r="L412" s="795" t="str">
        <f ca="1">V412</f>
        <v/>
      </c>
      <c r="M412" s="777"/>
      <c r="N412" s="777"/>
      <c r="P412" s="89">
        <f ca="1">IF(AND(EXACT(C412,C410),C410&lt;&gt;0),P410+1,0)</f>
        <v>8</v>
      </c>
      <c r="Q412" s="89" t="str">
        <f ca="1">IF(C412&lt;&gt;"",C412&amp;"-"&amp;P412,"")</f>
        <v>HIV O-12 Porcentaje de personas que viven con VIH que reciben tratamiento antirretroviral y tienen carga viral suprimida-8</v>
      </c>
      <c r="R412" s="89" t="str">
        <f t="array" aca="1" ref="R412" ca="1">IFERROR(IF(INDEX('Disaggregation Records'!$E$69:$E$152,MATCH(RIGHT(Q412,255),RIGHT('Disaggregation Records'!$D$69:$D$152,255),0))="","",INDEX('Disaggregation Records'!$E$69:$E$152,MATCH(RIGHT(Q412,255),RIGHT('Disaggregation Records'!$D$69:$D$152,255),0))),"")</f>
        <v/>
      </c>
      <c r="S412" s="89" t="str">
        <f t="array" aca="1" ref="S412" ca="1">IFERROR(IF(INDEX('Disaggregation Records'!$F$69:$F$152,MATCH(RIGHT(Q412,255),RIGHT('Disaggregation Records'!$D$69:$D$152,255),0))="","",INDEX('Disaggregation Records'!$F$69:$F$152,MATCH(RIGHT(Q412,255),RIGHT('Disaggregation Records'!$D$69:$D$152,255),0))),"")</f>
        <v/>
      </c>
      <c r="T412" s="89" t="str">
        <f t="array" aca="1" ref="T412" ca="1">IFERROR(IF(INDEX('Disaggregation Records'!$H$69:$H$152,MATCH(RIGHT(Q412,255),RIGHT('Disaggregation Records'!$D$69:$D$152,255),0))="","",INDEX('Disaggregation Records'!$H$69:$H$152,MATCH(RIGHT(Q412,255),RIGHT('Disaggregation Records'!$D$69:$D$152,255),0))),"")</f>
        <v/>
      </c>
      <c r="U412" s="89">
        <f>U410+1</f>
        <v>935</v>
      </c>
      <c r="V412" s="89" t="str">
        <f t="array" aca="1" ref="V412" ca="1">IFERROR(IF(INDEX('Disaggregation Records'!$I$69:$I$152,MATCH(RIGHT(Q412,255),RIGHT('Disaggregation Records'!$D$69:$D$152,255),0))="","",INDEX('Disaggregation Records'!$I$69:$I$152,MATCH(RIGHT(Q412,255),RIGHT('Disaggregation Records'!$D$69:$D$152,255),0))),"")</f>
        <v/>
      </c>
      <c r="W412" s="89" t="str">
        <f ca="1">IFERROR(INDEX('Reference Records'!P$23:P$74,MATCH(LEFT(C412,255),'Reference Records'!J$23:J$74,0)),"")</f>
        <v>HIV O-12 Percentage of people living with HIV and on ART who are virologically suppressed</v>
      </c>
    </row>
    <row r="413" spans="1:23" s="89" customFormat="1" ht="40.35" customHeight="1">
      <c r="A413" s="564"/>
      <c r="B413" s="799"/>
      <c r="C413" s="800"/>
      <c r="D413" s="801"/>
      <c r="E413" s="801"/>
      <c r="F413" s="128"/>
      <c r="G413" s="802"/>
      <c r="H413" s="781"/>
      <c r="I413" s="803"/>
      <c r="J413" s="779"/>
      <c r="K413" s="800"/>
      <c r="L413" s="800"/>
      <c r="M413" s="779"/>
      <c r="N413" s="779"/>
      <c r="V413" s="89" t="str">
        <f t="array" ref="V413">IFERROR(IF(INDEX('Disaggregation Records'!$I$69:$I$152,MATCH(RIGHT(Q413,255),RIGHT('Disaggregation Records'!$D$69:$D$152,255),0))="","",INDEX('Disaggregation Records'!$I$69:$I$152,MATCH(RIGHT(Q413,255),RIGHT('Disaggregation Records'!$D$69:$D$152,255),0))),"")</f>
        <v/>
      </c>
    </row>
    <row r="414" spans="1:23" s="89" customFormat="1" ht="40.35" customHeight="1">
      <c r="A414" s="564" t="str">
        <f ca="1">INDIRECT("'update Helper'!C"&amp;U414)</f>
        <v>a1V3p000006h2wXEAQ</v>
      </c>
      <c r="B414" s="794">
        <v>5</v>
      </c>
      <c r="C414" s="795" t="str">
        <f ca="1">IFERROR(VLOOKUP(B414,'Outcome Indicators - Section C '!$A$9:$AF$70,32,FALSE),"")</f>
        <v>HIV O-12 Porcentaje de personas que viven con VIH que reciben tratamiento antirretroviral y tienen carga viral suprimida</v>
      </c>
      <c r="D414" s="796" t="str">
        <f ca="1">R414</f>
        <v/>
      </c>
      <c r="E414" s="796" t="str">
        <f ca="1">S414</f>
        <v/>
      </c>
      <c r="F414" s="127"/>
      <c r="G414" s="797" t="str">
        <f ca="1">IF(OR(INDIRECT("'update Helper'!E"&amp;U414)="",F414&lt;&gt;0,F415&lt;&gt;0),IF(IFERROR((F414/F415),"")="","",(F414/F415)),INDIRECT("'update Helper'!E"&amp;U414)/100)</f>
        <v/>
      </c>
      <c r="H414" s="784"/>
      <c r="I414" s="798"/>
      <c r="J414" s="777"/>
      <c r="K414" s="795" t="str">
        <f ca="1">W414</f>
        <v>HIV O-12 Percentage of people living with HIV and on ART who are virologically suppressed</v>
      </c>
      <c r="L414" s="795" t="str">
        <f ca="1">V414</f>
        <v/>
      </c>
      <c r="M414" s="777"/>
      <c r="N414" s="777"/>
      <c r="P414" s="89">
        <f ca="1">IF(AND(EXACT(C414,C412),C412&lt;&gt;0),P412+1,0)</f>
        <v>9</v>
      </c>
      <c r="Q414" s="89" t="str">
        <f ca="1">IF(C414&lt;&gt;"",C414&amp;"-"&amp;P414,"")</f>
        <v>HIV O-12 Porcentaje de personas que viven con VIH que reciben tratamiento antirretroviral y tienen carga viral suprimida-9</v>
      </c>
      <c r="R414" s="89" t="str">
        <f t="array" aca="1" ref="R414" ca="1">IFERROR(IF(INDEX('Disaggregation Records'!$E$69:$E$152,MATCH(RIGHT(Q414,255),RIGHT('Disaggregation Records'!$D$69:$D$152,255),0))="","",INDEX('Disaggregation Records'!$E$69:$E$152,MATCH(RIGHT(Q414,255),RIGHT('Disaggregation Records'!$D$69:$D$152,255),0))),"")</f>
        <v/>
      </c>
      <c r="S414" s="89" t="str">
        <f t="array" aca="1" ref="S414" ca="1">IFERROR(IF(INDEX('Disaggregation Records'!$F$69:$F$152,MATCH(RIGHT(Q414,255),RIGHT('Disaggregation Records'!$D$69:$D$152,255),0))="","",INDEX('Disaggregation Records'!$F$69:$F$152,MATCH(RIGHT(Q414,255),RIGHT('Disaggregation Records'!$D$69:$D$152,255),0))),"")</f>
        <v/>
      </c>
      <c r="T414" s="89" t="str">
        <f t="array" aca="1" ref="T414" ca="1">IFERROR(IF(INDEX('Disaggregation Records'!$H$69:$H$152,MATCH(RIGHT(Q414,255),RIGHT('Disaggregation Records'!$D$69:$D$152,255),0))="","",INDEX('Disaggregation Records'!$H$69:$H$152,MATCH(RIGHT(Q414,255),RIGHT('Disaggregation Records'!$D$69:$D$152,255),0))),"")</f>
        <v/>
      </c>
      <c r="U414" s="89">
        <f>U412+1</f>
        <v>936</v>
      </c>
      <c r="V414" s="89" t="str">
        <f t="array" aca="1" ref="V414" ca="1">IFERROR(IF(INDEX('Disaggregation Records'!$I$69:$I$152,MATCH(RIGHT(Q414,255),RIGHT('Disaggregation Records'!$D$69:$D$152,255),0))="","",INDEX('Disaggregation Records'!$I$69:$I$152,MATCH(RIGHT(Q414,255),RIGHT('Disaggregation Records'!$D$69:$D$152,255),0))),"")</f>
        <v/>
      </c>
      <c r="W414" s="89" t="str">
        <f ca="1">IFERROR(INDEX('Reference Records'!P$23:P$74,MATCH(LEFT(C414,255),'Reference Records'!J$23:J$74,0)),"")</f>
        <v>HIV O-12 Percentage of people living with HIV and on ART who are virologically suppressed</v>
      </c>
    </row>
    <row r="415" spans="1:23" s="89" customFormat="1" ht="40.35" customHeight="1">
      <c r="A415" s="564"/>
      <c r="B415" s="799"/>
      <c r="C415" s="800"/>
      <c r="D415" s="801"/>
      <c r="E415" s="801"/>
      <c r="F415" s="128"/>
      <c r="G415" s="802"/>
      <c r="H415" s="781"/>
      <c r="I415" s="803"/>
      <c r="J415" s="779"/>
      <c r="K415" s="800"/>
      <c r="L415" s="800"/>
      <c r="M415" s="779"/>
      <c r="N415" s="779"/>
      <c r="V415" s="89" t="str">
        <f t="array" ref="V415">IFERROR(IF(INDEX('Disaggregation Records'!$I$69:$I$152,MATCH(RIGHT(Q415,255),RIGHT('Disaggregation Records'!$D$69:$D$152,255),0))="","",INDEX('Disaggregation Records'!$I$69:$I$152,MATCH(RIGHT(Q415,255),RIGHT('Disaggregation Records'!$D$69:$D$152,255),0))),"")</f>
        <v/>
      </c>
    </row>
    <row r="416" spans="1:23" s="89" customFormat="1" ht="40.35" customHeight="1">
      <c r="A416" s="564" t="str">
        <f ca="1">INDIRECT("'update Helper'!C"&amp;U416)</f>
        <v>a1V3p000006h2wYEAQ</v>
      </c>
      <c r="B416" s="794">
        <v>6</v>
      </c>
      <c r="C416" s="795" t="str">
        <f ca="1">IFERROR(VLOOKUP(B416,'Outcome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16" s="796" t="str">
        <f ca="1">R416</f>
        <v/>
      </c>
      <c r="E416" s="796" t="str">
        <f ca="1">S416</f>
        <v/>
      </c>
      <c r="F416" s="127"/>
      <c r="G416" s="797" t="str">
        <f ca="1">IF(OR(INDIRECT("'update Helper'!E"&amp;U416)="",F416&lt;&gt;0,F417&lt;&gt;0),IF(IFERROR((F416/F417),"")="","",(F416/F417)),INDIRECT("'update Helper'!E"&amp;U416)/100)</f>
        <v/>
      </c>
      <c r="H416" s="784"/>
      <c r="I416" s="798"/>
      <c r="J416" s="777"/>
      <c r="K416" s="795" t="str">
        <f ca="1">W416</f>
        <v>TB O-4⁽ᴹ⁾ Treatment success rate of RR TB and/or MDR-TB: Percentage of cases with RR and/or MDR-TB successfully treated</v>
      </c>
      <c r="L416" s="795" t="str">
        <f ca="1">V416</f>
        <v/>
      </c>
      <c r="M416" s="777"/>
      <c r="N416" s="777"/>
      <c r="P416" s="89">
        <f ca="1">IF(AND(EXACT(C416,C414),C414&lt;&gt;0),P414+1,0)</f>
        <v>0</v>
      </c>
      <c r="Q416" s="89" t="str">
        <f ca="1">IF(C416&lt;&gt;"",C416&amp;"-"&amp;P416,"")</f>
        <v>TB O-4⁽ᴹ⁾ Tasa de éxito del tratamiento de los casos de tuberculosis resistente a la rifampicina y/o tuberculosis multirresistente: Porcentaje de casos de tuberculosis resistente a la rifampicina y/o tuberculosis multirresistente tratados con éxito.-0</v>
      </c>
      <c r="R416" s="89" t="str">
        <f t="array" aca="1" ref="R416" ca="1">IFERROR(IF(INDEX('Disaggregation Records'!$E$69:$E$152,MATCH(RIGHT(Q416,255),RIGHT('Disaggregation Records'!$D$69:$D$152,255),0))="","",INDEX('Disaggregation Records'!$E$69:$E$152,MATCH(RIGHT(Q416,255),RIGHT('Disaggregation Records'!$D$69:$D$152,255),0))),"")</f>
        <v/>
      </c>
      <c r="S416" s="89" t="str">
        <f t="array" aca="1" ref="S416" ca="1">IFERROR(IF(INDEX('Disaggregation Records'!$F$69:$F$152,MATCH(RIGHT(Q416,255),RIGHT('Disaggregation Records'!$D$69:$D$152,255),0))="","",INDEX('Disaggregation Records'!$F$69:$F$152,MATCH(RIGHT(Q416,255),RIGHT('Disaggregation Records'!$D$69:$D$152,255),0))),"")</f>
        <v/>
      </c>
      <c r="T416" s="89" t="str">
        <f t="array" aca="1" ref="T416" ca="1">IFERROR(IF(INDEX('Disaggregation Records'!$H$69:$H$152,MATCH(RIGHT(Q416,255),RIGHT('Disaggregation Records'!$D$69:$D$152,255),0))="","",INDEX('Disaggregation Records'!$H$69:$H$152,MATCH(RIGHT(Q416,255),RIGHT('Disaggregation Records'!$D$69:$D$152,255),0))),"")</f>
        <v/>
      </c>
      <c r="U416" s="89">
        <f>U414+1</f>
        <v>937</v>
      </c>
      <c r="V416" s="89" t="str">
        <f t="array" aca="1" ref="V416" ca="1">IFERROR(IF(INDEX('Disaggregation Records'!$I$69:$I$152,MATCH(RIGHT(Q416,255),RIGHT('Disaggregation Records'!$D$69:$D$152,255),0))="","",INDEX('Disaggregation Records'!$I$69:$I$152,MATCH(RIGHT(Q416,255),RIGHT('Disaggregation Records'!$D$69:$D$152,255),0))),"")</f>
        <v/>
      </c>
      <c r="W416" s="89" t="str">
        <f ca="1">IFERROR(INDEX('Reference Records'!P$23:P$74,MATCH(LEFT(C416,255),'Reference Records'!J$23:J$74,0)),"")</f>
        <v>TB O-4⁽ᴹ⁾ Treatment success rate of RR TB and/or MDR-TB: Percentage of cases with RR and/or MDR-TB successfully treated</v>
      </c>
    </row>
    <row r="417" spans="1:23" s="89" customFormat="1" ht="40.35" customHeight="1">
      <c r="A417" s="564"/>
      <c r="B417" s="799"/>
      <c r="C417" s="800"/>
      <c r="D417" s="801"/>
      <c r="E417" s="801"/>
      <c r="F417" s="128"/>
      <c r="G417" s="802"/>
      <c r="H417" s="781"/>
      <c r="I417" s="803"/>
      <c r="J417" s="779"/>
      <c r="K417" s="800"/>
      <c r="L417" s="800"/>
      <c r="M417" s="779"/>
      <c r="N417" s="779"/>
      <c r="V417" s="89" t="str">
        <f t="array" ref="V417">IFERROR(IF(INDEX('Disaggregation Records'!$I$69:$I$152,MATCH(RIGHT(Q417,255),RIGHT('Disaggregation Records'!$D$69:$D$152,255),0))="","",INDEX('Disaggregation Records'!$I$69:$I$152,MATCH(RIGHT(Q417,255),RIGHT('Disaggregation Records'!$D$69:$D$152,255),0))),"")</f>
        <v/>
      </c>
    </row>
    <row r="418" spans="1:23" s="89" customFormat="1" ht="40.35" customHeight="1">
      <c r="A418" s="564" t="str">
        <f ca="1">INDIRECT("'update Helper'!C"&amp;U418)</f>
        <v>a1V3p000006h2wZEAQ</v>
      </c>
      <c r="B418" s="794">
        <v>6</v>
      </c>
      <c r="C418" s="795" t="str">
        <f ca="1">IFERROR(VLOOKUP(B418,'Outcome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18" s="796" t="str">
        <f ca="1">R418</f>
        <v/>
      </c>
      <c r="E418" s="796" t="str">
        <f ca="1">S418</f>
        <v/>
      </c>
      <c r="F418" s="127"/>
      <c r="G418" s="797" t="str">
        <f ca="1">IF(OR(INDIRECT("'update Helper'!E"&amp;U418)="",F418&lt;&gt;0,F419&lt;&gt;0),IF(IFERROR((F418/F419),"")="","",(F418/F419)),INDIRECT("'update Helper'!E"&amp;U418)/100)</f>
        <v/>
      </c>
      <c r="H418" s="784"/>
      <c r="I418" s="798"/>
      <c r="J418" s="777"/>
      <c r="K418" s="795" t="str">
        <f ca="1">W418</f>
        <v>TB O-4⁽ᴹ⁾ Treatment success rate of RR TB and/or MDR-TB: Percentage of cases with RR and/or MDR-TB successfully treated</v>
      </c>
      <c r="L418" s="795" t="str">
        <f ca="1">V418</f>
        <v/>
      </c>
      <c r="M418" s="777"/>
      <c r="N418" s="777"/>
      <c r="P418" s="89">
        <f ca="1">IF(AND(EXACT(C418,C416),C416&lt;&gt;0),P416+1,0)</f>
        <v>1</v>
      </c>
      <c r="Q418" s="89" t="str">
        <f ca="1">IF(C418&lt;&gt;"",C418&amp;"-"&amp;P418,"")</f>
        <v>TB O-4⁽ᴹ⁾ Tasa de éxito del tratamiento de los casos de tuberculosis resistente a la rifampicina y/o tuberculosis multirresistente: Porcentaje de casos de tuberculosis resistente a la rifampicina y/o tuberculosis multirresistente tratados con éxito.-1</v>
      </c>
      <c r="R418" s="89" t="str">
        <f t="array" aca="1" ref="R418" ca="1">IFERROR(IF(INDEX('Disaggregation Records'!$E$69:$E$152,MATCH(RIGHT(Q418,255),RIGHT('Disaggregation Records'!$D$69:$D$152,255),0))="","",INDEX('Disaggregation Records'!$E$69:$E$152,MATCH(RIGHT(Q418,255),RIGHT('Disaggregation Records'!$D$69:$D$152,255),0))),"")</f>
        <v/>
      </c>
      <c r="S418" s="89" t="str">
        <f t="array" aca="1" ref="S418" ca="1">IFERROR(IF(INDEX('Disaggregation Records'!$F$69:$F$152,MATCH(RIGHT(Q418,255),RIGHT('Disaggregation Records'!$D$69:$D$152,255),0))="","",INDEX('Disaggregation Records'!$F$69:$F$152,MATCH(RIGHT(Q418,255),RIGHT('Disaggregation Records'!$D$69:$D$152,255),0))),"")</f>
        <v/>
      </c>
      <c r="T418" s="89" t="str">
        <f t="array" aca="1" ref="T418" ca="1">IFERROR(IF(INDEX('Disaggregation Records'!$H$69:$H$152,MATCH(RIGHT(Q418,255),RIGHT('Disaggregation Records'!$D$69:$D$152,255),0))="","",INDEX('Disaggregation Records'!$H$69:$H$152,MATCH(RIGHT(Q418,255),RIGHT('Disaggregation Records'!$D$69:$D$152,255),0))),"")</f>
        <v/>
      </c>
      <c r="U418" s="89">
        <f>U416+1</f>
        <v>938</v>
      </c>
      <c r="V418" s="89" t="str">
        <f t="array" aca="1" ref="V418" ca="1">IFERROR(IF(INDEX('Disaggregation Records'!$I$69:$I$152,MATCH(RIGHT(Q418,255),RIGHT('Disaggregation Records'!$D$69:$D$152,255),0))="","",INDEX('Disaggregation Records'!$I$69:$I$152,MATCH(RIGHT(Q418,255),RIGHT('Disaggregation Records'!$D$69:$D$152,255),0))),"")</f>
        <v/>
      </c>
      <c r="W418" s="89" t="str">
        <f ca="1">IFERROR(INDEX('Reference Records'!P$23:P$74,MATCH(LEFT(C418,255),'Reference Records'!J$23:J$74,0)),"")</f>
        <v>TB O-4⁽ᴹ⁾ Treatment success rate of RR TB and/or MDR-TB: Percentage of cases with RR and/or MDR-TB successfully treated</v>
      </c>
    </row>
    <row r="419" spans="1:23" s="89" customFormat="1" ht="40.35" customHeight="1">
      <c r="A419" s="564"/>
      <c r="B419" s="799"/>
      <c r="C419" s="800"/>
      <c r="D419" s="801"/>
      <c r="E419" s="801"/>
      <c r="F419" s="128"/>
      <c r="G419" s="802"/>
      <c r="H419" s="781"/>
      <c r="I419" s="803"/>
      <c r="J419" s="779"/>
      <c r="K419" s="800"/>
      <c r="L419" s="800"/>
      <c r="M419" s="779"/>
      <c r="N419" s="779"/>
      <c r="V419" s="89" t="str">
        <f t="array" ref="V419">IFERROR(IF(INDEX('Disaggregation Records'!$I$69:$I$152,MATCH(RIGHT(Q419,255),RIGHT('Disaggregation Records'!$D$69:$D$152,255),0))="","",INDEX('Disaggregation Records'!$I$69:$I$152,MATCH(RIGHT(Q419,255),RIGHT('Disaggregation Records'!$D$69:$D$152,255),0))),"")</f>
        <v/>
      </c>
    </row>
    <row r="420" spans="1:23" s="89" customFormat="1" ht="40.35" customHeight="1">
      <c r="A420" s="564" t="str">
        <f ca="1">INDIRECT("'update Helper'!C"&amp;U420)</f>
        <v>a1V3p000006h2waEAA</v>
      </c>
      <c r="B420" s="794">
        <v>6</v>
      </c>
      <c r="C420" s="795" t="str">
        <f ca="1">IFERROR(VLOOKUP(B420,'Outcome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20" s="796" t="str">
        <f ca="1">R420</f>
        <v/>
      </c>
      <c r="E420" s="796" t="str">
        <f ca="1">S420</f>
        <v/>
      </c>
      <c r="F420" s="127"/>
      <c r="G420" s="797" t="str">
        <f ca="1">IF(OR(INDIRECT("'update Helper'!E"&amp;U420)="",F420&lt;&gt;0,F421&lt;&gt;0),IF(IFERROR((F420/F421),"")="","",(F420/F421)),INDIRECT("'update Helper'!E"&amp;U420)/100)</f>
        <v/>
      </c>
      <c r="H420" s="784"/>
      <c r="I420" s="798"/>
      <c r="J420" s="777"/>
      <c r="K420" s="795" t="str">
        <f ca="1">W420</f>
        <v>TB O-4⁽ᴹ⁾ Treatment success rate of RR TB and/or MDR-TB: Percentage of cases with RR and/or MDR-TB successfully treated</v>
      </c>
      <c r="L420" s="795" t="str">
        <f ca="1">V420</f>
        <v/>
      </c>
      <c r="M420" s="777"/>
      <c r="N420" s="777"/>
      <c r="P420" s="89">
        <f ca="1">IF(AND(EXACT(C420,C418),C418&lt;&gt;0),P418+1,0)</f>
        <v>2</v>
      </c>
      <c r="Q420" s="89" t="str">
        <f ca="1">IF(C420&lt;&gt;"",C420&amp;"-"&amp;P420,"")</f>
        <v>TB O-4⁽ᴹ⁾ Tasa de éxito del tratamiento de los casos de tuberculosis resistente a la rifampicina y/o tuberculosis multirresistente: Porcentaje de casos de tuberculosis resistente a la rifampicina y/o tuberculosis multirresistente tratados con éxito.-2</v>
      </c>
      <c r="R420" s="89" t="str">
        <f t="array" aca="1" ref="R420" ca="1">IFERROR(IF(INDEX('Disaggregation Records'!$E$69:$E$152,MATCH(RIGHT(Q420,255),RIGHT('Disaggregation Records'!$D$69:$D$152,255),0))="","",INDEX('Disaggregation Records'!$E$69:$E$152,MATCH(RIGHT(Q420,255),RIGHT('Disaggregation Records'!$D$69:$D$152,255),0))),"")</f>
        <v/>
      </c>
      <c r="S420" s="89" t="str">
        <f t="array" aca="1" ref="S420" ca="1">IFERROR(IF(INDEX('Disaggregation Records'!$F$69:$F$152,MATCH(RIGHT(Q420,255),RIGHT('Disaggregation Records'!$D$69:$D$152,255),0))="","",INDEX('Disaggregation Records'!$F$69:$F$152,MATCH(RIGHT(Q420,255),RIGHT('Disaggregation Records'!$D$69:$D$152,255),0))),"")</f>
        <v/>
      </c>
      <c r="T420" s="89" t="str">
        <f t="array" aca="1" ref="T420" ca="1">IFERROR(IF(INDEX('Disaggregation Records'!$H$69:$H$152,MATCH(RIGHT(Q420,255),RIGHT('Disaggregation Records'!$D$69:$D$152,255),0))="","",INDEX('Disaggregation Records'!$H$69:$H$152,MATCH(RIGHT(Q420,255),RIGHT('Disaggregation Records'!$D$69:$D$152,255),0))),"")</f>
        <v/>
      </c>
      <c r="U420" s="89">
        <f>U418+1</f>
        <v>939</v>
      </c>
      <c r="V420" s="89" t="str">
        <f t="array" aca="1" ref="V420" ca="1">IFERROR(IF(INDEX('Disaggregation Records'!$I$69:$I$152,MATCH(RIGHT(Q420,255),RIGHT('Disaggregation Records'!$D$69:$D$152,255),0))="","",INDEX('Disaggregation Records'!$I$69:$I$152,MATCH(RIGHT(Q420,255),RIGHT('Disaggregation Records'!$D$69:$D$152,255),0))),"")</f>
        <v/>
      </c>
      <c r="W420" s="89" t="str">
        <f ca="1">IFERROR(INDEX('Reference Records'!P$23:P$74,MATCH(LEFT(C420,255),'Reference Records'!J$23:J$74,0)),"")</f>
        <v>TB O-4⁽ᴹ⁾ Treatment success rate of RR TB and/or MDR-TB: Percentage of cases with RR and/or MDR-TB successfully treated</v>
      </c>
    </row>
    <row r="421" spans="1:23" s="89" customFormat="1" ht="40.35" customHeight="1">
      <c r="A421" s="564"/>
      <c r="B421" s="799"/>
      <c r="C421" s="800"/>
      <c r="D421" s="801"/>
      <c r="E421" s="801"/>
      <c r="F421" s="128"/>
      <c r="G421" s="802"/>
      <c r="H421" s="781"/>
      <c r="I421" s="803"/>
      <c r="J421" s="779"/>
      <c r="K421" s="800"/>
      <c r="L421" s="800"/>
      <c r="M421" s="779"/>
      <c r="N421" s="779"/>
      <c r="V421" s="89" t="str">
        <f t="array" ref="V421">IFERROR(IF(INDEX('Disaggregation Records'!$I$69:$I$152,MATCH(RIGHT(Q421,255),RIGHT('Disaggregation Records'!$D$69:$D$152,255),0))="","",INDEX('Disaggregation Records'!$I$69:$I$152,MATCH(RIGHT(Q421,255),RIGHT('Disaggregation Records'!$D$69:$D$152,255),0))),"")</f>
        <v/>
      </c>
    </row>
    <row r="422" spans="1:23" s="89" customFormat="1" ht="40.35" customHeight="1">
      <c r="A422" s="564" t="str">
        <f ca="1">INDIRECT("'update Helper'!C"&amp;U422)</f>
        <v>a1V3p000006h2wbEAA</v>
      </c>
      <c r="B422" s="794">
        <v>6</v>
      </c>
      <c r="C422" s="795" t="str">
        <f ca="1">IFERROR(VLOOKUP(B422,'Outcome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22" s="796" t="str">
        <f ca="1">R422</f>
        <v/>
      </c>
      <c r="E422" s="796" t="str">
        <f ca="1">S422</f>
        <v/>
      </c>
      <c r="F422" s="127"/>
      <c r="G422" s="797" t="str">
        <f ca="1">IF(OR(INDIRECT("'update Helper'!E"&amp;U422)="",F422&lt;&gt;0,F423&lt;&gt;0),IF(IFERROR((F422/F423),"")="","",(F422/F423)),INDIRECT("'update Helper'!E"&amp;U422)/100)</f>
        <v/>
      </c>
      <c r="H422" s="784"/>
      <c r="I422" s="798"/>
      <c r="J422" s="777"/>
      <c r="K422" s="795" t="str">
        <f ca="1">W422</f>
        <v>TB O-4⁽ᴹ⁾ Treatment success rate of RR TB and/or MDR-TB: Percentage of cases with RR and/or MDR-TB successfully treated</v>
      </c>
      <c r="L422" s="795" t="str">
        <f ca="1">V422</f>
        <v/>
      </c>
      <c r="M422" s="777"/>
      <c r="N422" s="777"/>
      <c r="P422" s="89">
        <f ca="1">IF(AND(EXACT(C422,C420),C420&lt;&gt;0),P420+1,0)</f>
        <v>3</v>
      </c>
      <c r="Q422" s="89" t="str">
        <f ca="1">IF(C422&lt;&gt;"",C422&amp;"-"&amp;P422,"")</f>
        <v>TB O-4⁽ᴹ⁾ Tasa de éxito del tratamiento de los casos de tuberculosis resistente a la rifampicina y/o tuberculosis multirresistente: Porcentaje de casos de tuberculosis resistente a la rifampicina y/o tuberculosis multirresistente tratados con éxito.-3</v>
      </c>
      <c r="R422" s="89" t="str">
        <f t="array" aca="1" ref="R422" ca="1">IFERROR(IF(INDEX('Disaggregation Records'!$E$69:$E$152,MATCH(RIGHT(Q422,255),RIGHT('Disaggregation Records'!$D$69:$D$152,255),0))="","",INDEX('Disaggregation Records'!$E$69:$E$152,MATCH(RIGHT(Q422,255),RIGHT('Disaggregation Records'!$D$69:$D$152,255),0))),"")</f>
        <v/>
      </c>
      <c r="S422" s="89" t="str">
        <f t="array" aca="1" ref="S422" ca="1">IFERROR(IF(INDEX('Disaggregation Records'!$F$69:$F$152,MATCH(RIGHT(Q422,255),RIGHT('Disaggregation Records'!$D$69:$D$152,255),0))="","",INDEX('Disaggregation Records'!$F$69:$F$152,MATCH(RIGHT(Q422,255),RIGHT('Disaggregation Records'!$D$69:$D$152,255),0))),"")</f>
        <v/>
      </c>
      <c r="T422" s="89" t="str">
        <f t="array" aca="1" ref="T422" ca="1">IFERROR(IF(INDEX('Disaggregation Records'!$H$69:$H$152,MATCH(RIGHT(Q422,255),RIGHT('Disaggregation Records'!$D$69:$D$152,255),0))="","",INDEX('Disaggregation Records'!$H$69:$H$152,MATCH(RIGHT(Q422,255),RIGHT('Disaggregation Records'!$D$69:$D$152,255),0))),"")</f>
        <v/>
      </c>
      <c r="U422" s="89">
        <f>U420+1</f>
        <v>940</v>
      </c>
      <c r="V422" s="89" t="str">
        <f t="array" aca="1" ref="V422" ca="1">IFERROR(IF(INDEX('Disaggregation Records'!$I$69:$I$152,MATCH(RIGHT(Q422,255),RIGHT('Disaggregation Records'!$D$69:$D$152,255),0))="","",INDEX('Disaggregation Records'!$I$69:$I$152,MATCH(RIGHT(Q422,255),RIGHT('Disaggregation Records'!$D$69:$D$152,255),0))),"")</f>
        <v/>
      </c>
      <c r="W422" s="89" t="str">
        <f ca="1">IFERROR(INDEX('Reference Records'!P$23:P$74,MATCH(LEFT(C422,255),'Reference Records'!J$23:J$74,0)),"")</f>
        <v>TB O-4⁽ᴹ⁾ Treatment success rate of RR TB and/or MDR-TB: Percentage of cases with RR and/or MDR-TB successfully treated</v>
      </c>
    </row>
    <row r="423" spans="1:23" s="89" customFormat="1" ht="40.35" customHeight="1">
      <c r="A423" s="564"/>
      <c r="B423" s="799"/>
      <c r="C423" s="800"/>
      <c r="D423" s="801"/>
      <c r="E423" s="801"/>
      <c r="F423" s="128"/>
      <c r="G423" s="802"/>
      <c r="H423" s="781"/>
      <c r="I423" s="803"/>
      <c r="J423" s="779"/>
      <c r="K423" s="800"/>
      <c r="L423" s="800"/>
      <c r="M423" s="779"/>
      <c r="N423" s="779"/>
      <c r="V423" s="89" t="str">
        <f t="array" ref="V423">IFERROR(IF(INDEX('Disaggregation Records'!$I$69:$I$152,MATCH(RIGHT(Q423,255),RIGHT('Disaggregation Records'!$D$69:$D$152,255),0))="","",INDEX('Disaggregation Records'!$I$69:$I$152,MATCH(RIGHT(Q423,255),RIGHT('Disaggregation Records'!$D$69:$D$152,255),0))),"")</f>
        <v/>
      </c>
    </row>
    <row r="424" spans="1:23" s="89" customFormat="1" ht="40.35" customHeight="1">
      <c r="A424" s="564" t="str">
        <f ca="1">INDIRECT("'update Helper'!C"&amp;U424)</f>
        <v>a1V3p000006h2wcEAA</v>
      </c>
      <c r="B424" s="794">
        <v>6</v>
      </c>
      <c r="C424" s="795" t="str">
        <f ca="1">IFERROR(VLOOKUP(B424,'Outcome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24" s="796" t="str">
        <f ca="1">R424</f>
        <v/>
      </c>
      <c r="E424" s="796" t="str">
        <f ca="1">S424</f>
        <v/>
      </c>
      <c r="F424" s="127"/>
      <c r="G424" s="797" t="str">
        <f ca="1">IF(OR(INDIRECT("'update Helper'!E"&amp;U424)="",F424&lt;&gt;0,F425&lt;&gt;0),IF(IFERROR((F424/F425),"")="","",(F424/F425)),INDIRECT("'update Helper'!E"&amp;U424)/100)</f>
        <v/>
      </c>
      <c r="H424" s="784"/>
      <c r="I424" s="798"/>
      <c r="J424" s="777"/>
      <c r="K424" s="795" t="str">
        <f ca="1">W424</f>
        <v>TB O-4⁽ᴹ⁾ Treatment success rate of RR TB and/or MDR-TB: Percentage of cases with RR and/or MDR-TB successfully treated</v>
      </c>
      <c r="L424" s="795" t="str">
        <f ca="1">V424</f>
        <v/>
      </c>
      <c r="M424" s="777"/>
      <c r="N424" s="777"/>
      <c r="P424" s="89">
        <f ca="1">IF(AND(EXACT(C424,C422),C422&lt;&gt;0),P422+1,0)</f>
        <v>4</v>
      </c>
      <c r="Q424" s="89" t="str">
        <f ca="1">IF(C424&lt;&gt;"",C424&amp;"-"&amp;P424,"")</f>
        <v>TB O-4⁽ᴹ⁾ Tasa de éxito del tratamiento de los casos de tuberculosis resistente a la rifampicina y/o tuberculosis multirresistente: Porcentaje de casos de tuberculosis resistente a la rifampicina y/o tuberculosis multirresistente tratados con éxito.-4</v>
      </c>
      <c r="R424" s="89" t="str">
        <f t="array" aca="1" ref="R424" ca="1">IFERROR(IF(INDEX('Disaggregation Records'!$E$69:$E$152,MATCH(RIGHT(Q424,255),RIGHT('Disaggregation Records'!$D$69:$D$152,255),0))="","",INDEX('Disaggregation Records'!$E$69:$E$152,MATCH(RIGHT(Q424,255),RIGHT('Disaggregation Records'!$D$69:$D$152,255),0))),"")</f>
        <v/>
      </c>
      <c r="S424" s="89" t="str">
        <f t="array" aca="1" ref="S424" ca="1">IFERROR(IF(INDEX('Disaggregation Records'!$F$69:$F$152,MATCH(RIGHT(Q424,255),RIGHT('Disaggregation Records'!$D$69:$D$152,255),0))="","",INDEX('Disaggregation Records'!$F$69:$F$152,MATCH(RIGHT(Q424,255),RIGHT('Disaggregation Records'!$D$69:$D$152,255),0))),"")</f>
        <v/>
      </c>
      <c r="T424" s="89" t="str">
        <f t="array" aca="1" ref="T424" ca="1">IFERROR(IF(INDEX('Disaggregation Records'!$H$69:$H$152,MATCH(RIGHT(Q424,255),RIGHT('Disaggregation Records'!$D$69:$D$152,255),0))="","",INDEX('Disaggregation Records'!$H$69:$H$152,MATCH(RIGHT(Q424,255),RIGHT('Disaggregation Records'!$D$69:$D$152,255),0))),"")</f>
        <v/>
      </c>
      <c r="U424" s="89">
        <f>U422+1</f>
        <v>941</v>
      </c>
      <c r="V424" s="89" t="str">
        <f t="array" aca="1" ref="V424" ca="1">IFERROR(IF(INDEX('Disaggregation Records'!$I$69:$I$152,MATCH(RIGHT(Q424,255),RIGHT('Disaggregation Records'!$D$69:$D$152,255),0))="","",INDEX('Disaggregation Records'!$I$69:$I$152,MATCH(RIGHT(Q424,255),RIGHT('Disaggregation Records'!$D$69:$D$152,255),0))),"")</f>
        <v/>
      </c>
      <c r="W424" s="89" t="str">
        <f ca="1">IFERROR(INDEX('Reference Records'!P$23:P$74,MATCH(LEFT(C424,255),'Reference Records'!J$23:J$74,0)),"")</f>
        <v>TB O-4⁽ᴹ⁾ Treatment success rate of RR TB and/or MDR-TB: Percentage of cases with RR and/or MDR-TB successfully treated</v>
      </c>
    </row>
    <row r="425" spans="1:23" s="89" customFormat="1" ht="40.35" customHeight="1">
      <c r="A425" s="564"/>
      <c r="B425" s="799"/>
      <c r="C425" s="800"/>
      <c r="D425" s="801"/>
      <c r="E425" s="801"/>
      <c r="F425" s="128"/>
      <c r="G425" s="802"/>
      <c r="H425" s="781"/>
      <c r="I425" s="803"/>
      <c r="J425" s="779"/>
      <c r="K425" s="800"/>
      <c r="L425" s="800"/>
      <c r="M425" s="779"/>
      <c r="N425" s="779"/>
      <c r="V425" s="89" t="str">
        <f t="array" ref="V425">IFERROR(IF(INDEX('Disaggregation Records'!$I$69:$I$152,MATCH(RIGHT(Q425,255),RIGHT('Disaggregation Records'!$D$69:$D$152,255),0))="","",INDEX('Disaggregation Records'!$I$69:$I$152,MATCH(RIGHT(Q425,255),RIGHT('Disaggregation Records'!$D$69:$D$152,255),0))),"")</f>
        <v/>
      </c>
    </row>
    <row r="426" spans="1:23" s="89" customFormat="1" ht="40.35" customHeight="1">
      <c r="A426" s="564" t="str">
        <f ca="1">INDIRECT("'update Helper'!C"&amp;U426)</f>
        <v>a1V3p000006h2wdEAA</v>
      </c>
      <c r="B426" s="794">
        <v>6</v>
      </c>
      <c r="C426" s="795" t="str">
        <f ca="1">IFERROR(VLOOKUP(B426,'Outcome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26" s="796" t="str">
        <f ca="1">R426</f>
        <v/>
      </c>
      <c r="E426" s="796" t="str">
        <f ca="1">S426</f>
        <v/>
      </c>
      <c r="F426" s="127"/>
      <c r="G426" s="797" t="str">
        <f ca="1">IF(OR(INDIRECT("'update Helper'!E"&amp;U426)="",F426&lt;&gt;0,F427&lt;&gt;0),IF(IFERROR((F426/F427),"")="","",(F426/F427)),INDIRECT("'update Helper'!E"&amp;U426)/100)</f>
        <v/>
      </c>
      <c r="H426" s="784"/>
      <c r="I426" s="798"/>
      <c r="J426" s="777"/>
      <c r="K426" s="795" t="str">
        <f ca="1">W426</f>
        <v>TB O-4⁽ᴹ⁾ Treatment success rate of RR TB and/or MDR-TB: Percentage of cases with RR and/or MDR-TB successfully treated</v>
      </c>
      <c r="L426" s="795" t="str">
        <f ca="1">V426</f>
        <v/>
      </c>
      <c r="M426" s="777"/>
      <c r="N426" s="777"/>
      <c r="P426" s="89">
        <f ca="1">IF(AND(EXACT(C426,C424),C424&lt;&gt;0),P424+1,0)</f>
        <v>5</v>
      </c>
      <c r="Q426" s="89" t="str">
        <f ca="1">IF(C426&lt;&gt;"",C426&amp;"-"&amp;P426,"")</f>
        <v>TB O-4⁽ᴹ⁾ Tasa de éxito del tratamiento de los casos de tuberculosis resistente a la rifampicina y/o tuberculosis multirresistente: Porcentaje de casos de tuberculosis resistente a la rifampicina y/o tuberculosis multirresistente tratados con éxito.-5</v>
      </c>
      <c r="R426" s="89" t="str">
        <f t="array" aca="1" ref="R426" ca="1">IFERROR(IF(INDEX('Disaggregation Records'!$E$69:$E$152,MATCH(RIGHT(Q426,255),RIGHT('Disaggregation Records'!$D$69:$D$152,255),0))="","",INDEX('Disaggregation Records'!$E$69:$E$152,MATCH(RIGHT(Q426,255),RIGHT('Disaggregation Records'!$D$69:$D$152,255),0))),"")</f>
        <v/>
      </c>
      <c r="S426" s="89" t="str">
        <f t="array" aca="1" ref="S426" ca="1">IFERROR(IF(INDEX('Disaggregation Records'!$F$69:$F$152,MATCH(RIGHT(Q426,255),RIGHT('Disaggregation Records'!$D$69:$D$152,255),0))="","",INDEX('Disaggregation Records'!$F$69:$F$152,MATCH(RIGHT(Q426,255),RIGHT('Disaggregation Records'!$D$69:$D$152,255),0))),"")</f>
        <v/>
      </c>
      <c r="T426" s="89" t="str">
        <f t="array" aca="1" ref="T426" ca="1">IFERROR(IF(INDEX('Disaggregation Records'!$H$69:$H$152,MATCH(RIGHT(Q426,255),RIGHT('Disaggregation Records'!$D$69:$D$152,255),0))="","",INDEX('Disaggregation Records'!$H$69:$H$152,MATCH(RIGHT(Q426,255),RIGHT('Disaggregation Records'!$D$69:$D$152,255),0))),"")</f>
        <v/>
      </c>
      <c r="U426" s="89">
        <f>U424+1</f>
        <v>942</v>
      </c>
      <c r="V426" s="89" t="str">
        <f t="array" aca="1" ref="V426" ca="1">IFERROR(IF(INDEX('Disaggregation Records'!$I$69:$I$152,MATCH(RIGHT(Q426,255),RIGHT('Disaggregation Records'!$D$69:$D$152,255),0))="","",INDEX('Disaggregation Records'!$I$69:$I$152,MATCH(RIGHT(Q426,255),RIGHT('Disaggregation Records'!$D$69:$D$152,255),0))),"")</f>
        <v/>
      </c>
      <c r="W426" s="89" t="str">
        <f ca="1">IFERROR(INDEX('Reference Records'!P$23:P$74,MATCH(LEFT(C426,255),'Reference Records'!J$23:J$74,0)),"")</f>
        <v>TB O-4⁽ᴹ⁾ Treatment success rate of RR TB and/or MDR-TB: Percentage of cases with RR and/or MDR-TB successfully treated</v>
      </c>
    </row>
    <row r="427" spans="1:23" s="89" customFormat="1" ht="40.35" customHeight="1">
      <c r="A427" s="564"/>
      <c r="B427" s="799"/>
      <c r="C427" s="800"/>
      <c r="D427" s="801"/>
      <c r="E427" s="801"/>
      <c r="F427" s="128"/>
      <c r="G427" s="802"/>
      <c r="H427" s="781"/>
      <c r="I427" s="803"/>
      <c r="J427" s="779"/>
      <c r="K427" s="800"/>
      <c r="L427" s="800"/>
      <c r="M427" s="779"/>
      <c r="N427" s="779"/>
      <c r="V427" s="89" t="str">
        <f t="array" ref="V427">IFERROR(IF(INDEX('Disaggregation Records'!$I$69:$I$152,MATCH(RIGHT(Q427,255),RIGHT('Disaggregation Records'!$D$69:$D$152,255),0))="","",INDEX('Disaggregation Records'!$I$69:$I$152,MATCH(RIGHT(Q427,255),RIGHT('Disaggregation Records'!$D$69:$D$152,255),0))),"")</f>
        <v/>
      </c>
    </row>
    <row r="428" spans="1:23" s="89" customFormat="1" ht="40.35" customHeight="1">
      <c r="A428" s="564" t="str">
        <f ca="1">INDIRECT("'update Helper'!C"&amp;U428)</f>
        <v>a1V3p000006h2weEAA</v>
      </c>
      <c r="B428" s="794">
        <v>6</v>
      </c>
      <c r="C428" s="795" t="str">
        <f ca="1">IFERROR(VLOOKUP(B428,'Outcome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28" s="796" t="str">
        <f ca="1">R428</f>
        <v/>
      </c>
      <c r="E428" s="796" t="str">
        <f ca="1">S428</f>
        <v/>
      </c>
      <c r="F428" s="127"/>
      <c r="G428" s="797" t="str">
        <f ca="1">IF(OR(INDIRECT("'update Helper'!E"&amp;U428)="",F428&lt;&gt;0,F429&lt;&gt;0),IF(IFERROR((F428/F429),"")="","",(F428/F429)),INDIRECT("'update Helper'!E"&amp;U428)/100)</f>
        <v/>
      </c>
      <c r="H428" s="784"/>
      <c r="I428" s="798"/>
      <c r="J428" s="777"/>
      <c r="K428" s="795" t="str">
        <f ca="1">W428</f>
        <v>TB O-4⁽ᴹ⁾ Treatment success rate of RR TB and/or MDR-TB: Percentage of cases with RR and/or MDR-TB successfully treated</v>
      </c>
      <c r="L428" s="795" t="str">
        <f ca="1">V428</f>
        <v/>
      </c>
      <c r="M428" s="777"/>
      <c r="N428" s="777"/>
      <c r="P428" s="89">
        <f ca="1">IF(AND(EXACT(C428,C426),C426&lt;&gt;0),P426+1,0)</f>
        <v>6</v>
      </c>
      <c r="Q428" s="89" t="str">
        <f ca="1">IF(C428&lt;&gt;"",C428&amp;"-"&amp;P428,"")</f>
        <v>TB O-4⁽ᴹ⁾ Tasa de éxito del tratamiento de los casos de tuberculosis resistente a la rifampicina y/o tuberculosis multirresistente: Porcentaje de casos de tuberculosis resistente a la rifampicina y/o tuberculosis multirresistente tratados con éxito.-6</v>
      </c>
      <c r="R428" s="89" t="str">
        <f t="array" aca="1" ref="R428" ca="1">IFERROR(IF(INDEX('Disaggregation Records'!$E$69:$E$152,MATCH(RIGHT(Q428,255),RIGHT('Disaggregation Records'!$D$69:$D$152,255),0))="","",INDEX('Disaggregation Records'!$E$69:$E$152,MATCH(RIGHT(Q428,255),RIGHT('Disaggregation Records'!$D$69:$D$152,255),0))),"")</f>
        <v/>
      </c>
      <c r="S428" s="89" t="str">
        <f t="array" aca="1" ref="S428" ca="1">IFERROR(IF(INDEX('Disaggregation Records'!$F$69:$F$152,MATCH(RIGHT(Q428,255),RIGHT('Disaggregation Records'!$D$69:$D$152,255),0))="","",INDEX('Disaggregation Records'!$F$69:$F$152,MATCH(RIGHT(Q428,255),RIGHT('Disaggregation Records'!$D$69:$D$152,255),0))),"")</f>
        <v/>
      </c>
      <c r="T428" s="89" t="str">
        <f t="array" aca="1" ref="T428" ca="1">IFERROR(IF(INDEX('Disaggregation Records'!$H$69:$H$152,MATCH(RIGHT(Q428,255),RIGHT('Disaggregation Records'!$D$69:$D$152,255),0))="","",INDEX('Disaggregation Records'!$H$69:$H$152,MATCH(RIGHT(Q428,255),RIGHT('Disaggregation Records'!$D$69:$D$152,255),0))),"")</f>
        <v/>
      </c>
      <c r="U428" s="89">
        <f>U426+1</f>
        <v>943</v>
      </c>
      <c r="V428" s="89" t="str">
        <f t="array" aca="1" ref="V428" ca="1">IFERROR(IF(INDEX('Disaggregation Records'!$I$69:$I$152,MATCH(RIGHT(Q428,255),RIGHT('Disaggregation Records'!$D$69:$D$152,255),0))="","",INDEX('Disaggregation Records'!$I$69:$I$152,MATCH(RIGHT(Q428,255),RIGHT('Disaggregation Records'!$D$69:$D$152,255),0))),"")</f>
        <v/>
      </c>
      <c r="W428" s="89" t="str">
        <f ca="1">IFERROR(INDEX('Reference Records'!P$23:P$74,MATCH(LEFT(C428,255),'Reference Records'!J$23:J$74,0)),"")</f>
        <v>TB O-4⁽ᴹ⁾ Treatment success rate of RR TB and/or MDR-TB: Percentage of cases with RR and/or MDR-TB successfully treated</v>
      </c>
    </row>
    <row r="429" spans="1:23" s="89" customFormat="1" ht="40.35" customHeight="1">
      <c r="A429" s="564"/>
      <c r="B429" s="799"/>
      <c r="C429" s="800"/>
      <c r="D429" s="801"/>
      <c r="E429" s="801"/>
      <c r="F429" s="128"/>
      <c r="G429" s="802"/>
      <c r="H429" s="781"/>
      <c r="I429" s="803"/>
      <c r="J429" s="779"/>
      <c r="K429" s="800"/>
      <c r="L429" s="800"/>
      <c r="M429" s="779"/>
      <c r="N429" s="779"/>
      <c r="V429" s="89" t="str">
        <f t="array" ref="V429">IFERROR(IF(INDEX('Disaggregation Records'!$I$69:$I$152,MATCH(RIGHT(Q429,255),RIGHT('Disaggregation Records'!$D$69:$D$152,255),0))="","",INDEX('Disaggregation Records'!$I$69:$I$152,MATCH(RIGHT(Q429,255),RIGHT('Disaggregation Records'!$D$69:$D$152,255),0))),"")</f>
        <v/>
      </c>
    </row>
    <row r="430" spans="1:23" s="89" customFormat="1" ht="40.35" customHeight="1">
      <c r="A430" s="564" t="str">
        <f ca="1">INDIRECT("'update Helper'!C"&amp;U430)</f>
        <v>a1V3p000006h2wfEAA</v>
      </c>
      <c r="B430" s="794">
        <v>6</v>
      </c>
      <c r="C430" s="795" t="str">
        <f ca="1">IFERROR(VLOOKUP(B430,'Outcome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30" s="796" t="str">
        <f ca="1">R430</f>
        <v/>
      </c>
      <c r="E430" s="796" t="str">
        <f ca="1">S430</f>
        <v/>
      </c>
      <c r="F430" s="127"/>
      <c r="G430" s="797" t="str">
        <f ca="1">IF(OR(INDIRECT("'update Helper'!E"&amp;U430)="",F430&lt;&gt;0,F431&lt;&gt;0),IF(IFERROR((F430/F431),"")="","",(F430/F431)),INDIRECT("'update Helper'!E"&amp;U430)/100)</f>
        <v/>
      </c>
      <c r="H430" s="784"/>
      <c r="I430" s="798"/>
      <c r="J430" s="777"/>
      <c r="K430" s="795" t="str">
        <f ca="1">W430</f>
        <v>TB O-4⁽ᴹ⁾ Treatment success rate of RR TB and/or MDR-TB: Percentage of cases with RR and/or MDR-TB successfully treated</v>
      </c>
      <c r="L430" s="795" t="str">
        <f ca="1">V430</f>
        <v/>
      </c>
      <c r="M430" s="777"/>
      <c r="N430" s="777"/>
      <c r="P430" s="89">
        <f ca="1">IF(AND(EXACT(C430,C428),C428&lt;&gt;0),P428+1,0)</f>
        <v>7</v>
      </c>
      <c r="Q430" s="89" t="str">
        <f ca="1">IF(C430&lt;&gt;"",C430&amp;"-"&amp;P430,"")</f>
        <v>TB O-4⁽ᴹ⁾ Tasa de éxito del tratamiento de los casos de tuberculosis resistente a la rifampicina y/o tuberculosis multirresistente: Porcentaje de casos de tuberculosis resistente a la rifampicina y/o tuberculosis multirresistente tratados con éxito.-7</v>
      </c>
      <c r="R430" s="89" t="str">
        <f t="array" aca="1" ref="R430" ca="1">IFERROR(IF(INDEX('Disaggregation Records'!$E$69:$E$152,MATCH(RIGHT(Q430,255),RIGHT('Disaggregation Records'!$D$69:$D$152,255),0))="","",INDEX('Disaggregation Records'!$E$69:$E$152,MATCH(RIGHT(Q430,255),RIGHT('Disaggregation Records'!$D$69:$D$152,255),0))),"")</f>
        <v/>
      </c>
      <c r="S430" s="89" t="str">
        <f t="array" aca="1" ref="S430" ca="1">IFERROR(IF(INDEX('Disaggregation Records'!$F$69:$F$152,MATCH(RIGHT(Q430,255),RIGHT('Disaggregation Records'!$D$69:$D$152,255),0))="","",INDEX('Disaggregation Records'!$F$69:$F$152,MATCH(RIGHT(Q430,255),RIGHT('Disaggregation Records'!$D$69:$D$152,255),0))),"")</f>
        <v/>
      </c>
      <c r="T430" s="89" t="str">
        <f t="array" aca="1" ref="T430" ca="1">IFERROR(IF(INDEX('Disaggregation Records'!$H$69:$H$152,MATCH(RIGHT(Q430,255),RIGHT('Disaggregation Records'!$D$69:$D$152,255),0))="","",INDEX('Disaggregation Records'!$H$69:$H$152,MATCH(RIGHT(Q430,255),RIGHT('Disaggregation Records'!$D$69:$D$152,255),0))),"")</f>
        <v/>
      </c>
      <c r="U430" s="89">
        <f>U428+1</f>
        <v>944</v>
      </c>
      <c r="V430" s="89" t="str">
        <f t="array" aca="1" ref="V430" ca="1">IFERROR(IF(INDEX('Disaggregation Records'!$I$69:$I$152,MATCH(RIGHT(Q430,255),RIGHT('Disaggregation Records'!$D$69:$D$152,255),0))="","",INDEX('Disaggregation Records'!$I$69:$I$152,MATCH(RIGHT(Q430,255),RIGHT('Disaggregation Records'!$D$69:$D$152,255),0))),"")</f>
        <v/>
      </c>
      <c r="W430" s="89" t="str">
        <f ca="1">IFERROR(INDEX('Reference Records'!P$23:P$74,MATCH(LEFT(C430,255),'Reference Records'!J$23:J$74,0)),"")</f>
        <v>TB O-4⁽ᴹ⁾ Treatment success rate of RR TB and/or MDR-TB: Percentage of cases with RR and/or MDR-TB successfully treated</v>
      </c>
    </row>
    <row r="431" spans="1:23" s="89" customFormat="1" ht="40.35" customHeight="1">
      <c r="A431" s="564"/>
      <c r="B431" s="799"/>
      <c r="C431" s="800"/>
      <c r="D431" s="801"/>
      <c r="E431" s="801"/>
      <c r="F431" s="128"/>
      <c r="G431" s="802"/>
      <c r="H431" s="781"/>
      <c r="I431" s="803"/>
      <c r="J431" s="779"/>
      <c r="K431" s="800"/>
      <c r="L431" s="800"/>
      <c r="M431" s="779"/>
      <c r="N431" s="779"/>
      <c r="V431" s="89" t="str">
        <f t="array" ref="V431">IFERROR(IF(INDEX('Disaggregation Records'!$I$69:$I$152,MATCH(RIGHT(Q431,255),RIGHT('Disaggregation Records'!$D$69:$D$152,255),0))="","",INDEX('Disaggregation Records'!$I$69:$I$152,MATCH(RIGHT(Q431,255),RIGHT('Disaggregation Records'!$D$69:$D$152,255),0))),"")</f>
        <v/>
      </c>
    </row>
    <row r="432" spans="1:23" s="89" customFormat="1" ht="40.35" customHeight="1">
      <c r="A432" s="564" t="str">
        <f ca="1">INDIRECT("'update Helper'!C"&amp;U432)</f>
        <v>a1V3p000006h2wgEAA</v>
      </c>
      <c r="B432" s="794">
        <v>6</v>
      </c>
      <c r="C432" s="795" t="str">
        <f ca="1">IFERROR(VLOOKUP(B432,'Outcome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32" s="796" t="str">
        <f ca="1">R432</f>
        <v/>
      </c>
      <c r="E432" s="796" t="str">
        <f ca="1">S432</f>
        <v/>
      </c>
      <c r="F432" s="127"/>
      <c r="G432" s="797" t="str">
        <f ca="1">IF(OR(INDIRECT("'update Helper'!E"&amp;U432)="",F432&lt;&gt;0,F433&lt;&gt;0),IF(IFERROR((F432/F433),"")="","",(F432/F433)),INDIRECT("'update Helper'!E"&amp;U432)/100)</f>
        <v/>
      </c>
      <c r="H432" s="784"/>
      <c r="I432" s="798"/>
      <c r="J432" s="777"/>
      <c r="K432" s="795" t="str">
        <f ca="1">W432</f>
        <v>TB O-4⁽ᴹ⁾ Treatment success rate of RR TB and/or MDR-TB: Percentage of cases with RR and/or MDR-TB successfully treated</v>
      </c>
      <c r="L432" s="795" t="str">
        <f ca="1">V432</f>
        <v/>
      </c>
      <c r="M432" s="777"/>
      <c r="N432" s="777"/>
      <c r="P432" s="89">
        <f ca="1">IF(AND(EXACT(C432,C430),C430&lt;&gt;0),P430+1,0)</f>
        <v>8</v>
      </c>
      <c r="Q432" s="89" t="str">
        <f ca="1">IF(C432&lt;&gt;"",C432&amp;"-"&amp;P432,"")</f>
        <v>TB O-4⁽ᴹ⁾ Tasa de éxito del tratamiento de los casos de tuberculosis resistente a la rifampicina y/o tuberculosis multirresistente: Porcentaje de casos de tuberculosis resistente a la rifampicina y/o tuberculosis multirresistente tratados con éxito.-8</v>
      </c>
      <c r="R432" s="89" t="str">
        <f t="array" aca="1" ref="R432" ca="1">IFERROR(IF(INDEX('Disaggregation Records'!$E$69:$E$152,MATCH(RIGHT(Q432,255),RIGHT('Disaggregation Records'!$D$69:$D$152,255),0))="","",INDEX('Disaggregation Records'!$E$69:$E$152,MATCH(RIGHT(Q432,255),RIGHT('Disaggregation Records'!$D$69:$D$152,255),0))),"")</f>
        <v/>
      </c>
      <c r="S432" s="89" t="str">
        <f t="array" aca="1" ref="S432" ca="1">IFERROR(IF(INDEX('Disaggregation Records'!$F$69:$F$152,MATCH(RIGHT(Q432,255),RIGHT('Disaggregation Records'!$D$69:$D$152,255),0))="","",INDEX('Disaggregation Records'!$F$69:$F$152,MATCH(RIGHT(Q432,255),RIGHT('Disaggregation Records'!$D$69:$D$152,255),0))),"")</f>
        <v/>
      </c>
      <c r="T432" s="89" t="str">
        <f t="array" aca="1" ref="T432" ca="1">IFERROR(IF(INDEX('Disaggregation Records'!$H$69:$H$152,MATCH(RIGHT(Q432,255),RIGHT('Disaggregation Records'!$D$69:$D$152,255),0))="","",INDEX('Disaggregation Records'!$H$69:$H$152,MATCH(RIGHT(Q432,255),RIGHT('Disaggregation Records'!$D$69:$D$152,255),0))),"")</f>
        <v/>
      </c>
      <c r="U432" s="89">
        <f>U430+1</f>
        <v>945</v>
      </c>
      <c r="V432" s="89" t="str">
        <f t="array" aca="1" ref="V432" ca="1">IFERROR(IF(INDEX('Disaggregation Records'!$I$69:$I$152,MATCH(RIGHT(Q432,255),RIGHT('Disaggregation Records'!$D$69:$D$152,255),0))="","",INDEX('Disaggregation Records'!$I$69:$I$152,MATCH(RIGHT(Q432,255),RIGHT('Disaggregation Records'!$D$69:$D$152,255),0))),"")</f>
        <v/>
      </c>
      <c r="W432" s="89" t="str">
        <f ca="1">IFERROR(INDEX('Reference Records'!P$23:P$74,MATCH(LEFT(C432,255),'Reference Records'!J$23:J$74,0)),"")</f>
        <v>TB O-4⁽ᴹ⁾ Treatment success rate of RR TB and/or MDR-TB: Percentage of cases with RR and/or MDR-TB successfully treated</v>
      </c>
    </row>
    <row r="433" spans="1:23" s="89" customFormat="1" ht="40.35" customHeight="1">
      <c r="A433" s="564"/>
      <c r="B433" s="799"/>
      <c r="C433" s="800"/>
      <c r="D433" s="801"/>
      <c r="E433" s="801"/>
      <c r="F433" s="128"/>
      <c r="G433" s="802"/>
      <c r="H433" s="781"/>
      <c r="I433" s="803"/>
      <c r="J433" s="779"/>
      <c r="K433" s="800"/>
      <c r="L433" s="800"/>
      <c r="M433" s="779"/>
      <c r="N433" s="779"/>
      <c r="V433" s="89" t="str">
        <f t="array" ref="V433">IFERROR(IF(INDEX('Disaggregation Records'!$I$69:$I$152,MATCH(RIGHT(Q433,255),RIGHT('Disaggregation Records'!$D$69:$D$152,255),0))="","",INDEX('Disaggregation Records'!$I$69:$I$152,MATCH(RIGHT(Q433,255),RIGHT('Disaggregation Records'!$D$69:$D$152,255),0))),"")</f>
        <v/>
      </c>
    </row>
    <row r="434" spans="1:23" s="89" customFormat="1" ht="40.35" customHeight="1">
      <c r="A434" s="564" t="str">
        <f ca="1">INDIRECT("'update Helper'!C"&amp;U434)</f>
        <v>a1V3p000006h2whEAA</v>
      </c>
      <c r="B434" s="794">
        <v>6</v>
      </c>
      <c r="C434" s="795" t="str">
        <f ca="1">IFERROR(VLOOKUP(B434,'Outcome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34" s="796" t="str">
        <f ca="1">R434</f>
        <v/>
      </c>
      <c r="E434" s="796" t="str">
        <f ca="1">S434</f>
        <v/>
      </c>
      <c r="F434" s="127"/>
      <c r="G434" s="797" t="str">
        <f ca="1">IF(OR(INDIRECT("'update Helper'!E"&amp;U434)="",F434&lt;&gt;0,F435&lt;&gt;0),IF(IFERROR((F434/F435),"")="","",(F434/F435)),INDIRECT("'update Helper'!E"&amp;U434)/100)</f>
        <v/>
      </c>
      <c r="H434" s="784"/>
      <c r="I434" s="798"/>
      <c r="J434" s="777"/>
      <c r="K434" s="795" t="str">
        <f ca="1">W434</f>
        <v>TB O-4⁽ᴹ⁾ Treatment success rate of RR TB and/or MDR-TB: Percentage of cases with RR and/or MDR-TB successfully treated</v>
      </c>
      <c r="L434" s="795" t="str">
        <f ca="1">V434</f>
        <v/>
      </c>
      <c r="M434" s="777"/>
      <c r="N434" s="777"/>
      <c r="P434" s="89">
        <f ca="1">IF(AND(EXACT(C434,C432),C432&lt;&gt;0),P432+1,0)</f>
        <v>9</v>
      </c>
      <c r="Q434" s="89" t="str">
        <f ca="1">IF(C434&lt;&gt;"",C434&amp;"-"&amp;P434,"")</f>
        <v>TB O-4⁽ᴹ⁾ Tasa de éxito del tratamiento de los casos de tuberculosis resistente a la rifampicina y/o tuberculosis multirresistente: Porcentaje de casos de tuberculosis resistente a la rifampicina y/o tuberculosis multirresistente tratados con éxito.-9</v>
      </c>
      <c r="R434" s="89" t="str">
        <f t="array" aca="1" ref="R434" ca="1">IFERROR(IF(INDEX('Disaggregation Records'!$E$69:$E$152,MATCH(RIGHT(Q434,255),RIGHT('Disaggregation Records'!$D$69:$D$152,255),0))="","",INDEX('Disaggregation Records'!$E$69:$E$152,MATCH(RIGHT(Q434,255),RIGHT('Disaggregation Records'!$D$69:$D$152,255),0))),"")</f>
        <v/>
      </c>
      <c r="S434" s="89" t="str">
        <f t="array" aca="1" ref="S434" ca="1">IFERROR(IF(INDEX('Disaggregation Records'!$F$69:$F$152,MATCH(RIGHT(Q434,255),RIGHT('Disaggregation Records'!$D$69:$D$152,255),0))="","",INDEX('Disaggregation Records'!$F$69:$F$152,MATCH(RIGHT(Q434,255),RIGHT('Disaggregation Records'!$D$69:$D$152,255),0))),"")</f>
        <v/>
      </c>
      <c r="T434" s="89" t="str">
        <f t="array" aca="1" ref="T434" ca="1">IFERROR(IF(INDEX('Disaggregation Records'!$H$69:$H$152,MATCH(RIGHT(Q434,255),RIGHT('Disaggregation Records'!$D$69:$D$152,255),0))="","",INDEX('Disaggregation Records'!$H$69:$H$152,MATCH(RIGHT(Q434,255),RIGHT('Disaggregation Records'!$D$69:$D$152,255),0))),"")</f>
        <v/>
      </c>
      <c r="U434" s="89">
        <f>U432+1</f>
        <v>946</v>
      </c>
      <c r="V434" s="89" t="str">
        <f t="array" aca="1" ref="V434" ca="1">IFERROR(IF(INDEX('Disaggregation Records'!$I$69:$I$152,MATCH(RIGHT(Q434,255),RIGHT('Disaggregation Records'!$D$69:$D$152,255),0))="","",INDEX('Disaggregation Records'!$I$69:$I$152,MATCH(RIGHT(Q434,255),RIGHT('Disaggregation Records'!$D$69:$D$152,255),0))),"")</f>
        <v/>
      </c>
      <c r="W434" s="89" t="str">
        <f ca="1">IFERROR(INDEX('Reference Records'!P$23:P$74,MATCH(LEFT(C434,255),'Reference Records'!J$23:J$74,0)),"")</f>
        <v>TB O-4⁽ᴹ⁾ Treatment success rate of RR TB and/or MDR-TB: Percentage of cases with RR and/or MDR-TB successfully treated</v>
      </c>
    </row>
    <row r="435" spans="1:23" s="89" customFormat="1" ht="40.35" customHeight="1">
      <c r="A435" s="564"/>
      <c r="B435" s="799"/>
      <c r="C435" s="800"/>
      <c r="D435" s="801"/>
      <c r="E435" s="801"/>
      <c r="F435" s="128"/>
      <c r="G435" s="802"/>
      <c r="H435" s="781"/>
      <c r="I435" s="803"/>
      <c r="J435" s="779"/>
      <c r="K435" s="800"/>
      <c r="L435" s="800"/>
      <c r="M435" s="779"/>
      <c r="N435" s="779"/>
      <c r="V435" s="89" t="str">
        <f t="array" ref="V435">IFERROR(IF(INDEX('Disaggregation Records'!$I$69:$I$152,MATCH(RIGHT(Q435,255),RIGHT('Disaggregation Records'!$D$69:$D$152,255),0))="","",INDEX('Disaggregation Records'!$I$69:$I$152,MATCH(RIGHT(Q435,255),RIGHT('Disaggregation Records'!$D$69:$D$152,255),0))),"")</f>
        <v/>
      </c>
    </row>
    <row r="436" spans="1:23" s="89" customFormat="1" ht="40.35" customHeight="1">
      <c r="A436" s="564" t="str">
        <f ca="1">INDIRECT("'update Helper'!C"&amp;U436)</f>
        <v>a1V3p000006h2wiEAA</v>
      </c>
      <c r="B436" s="794">
        <v>7</v>
      </c>
      <c r="C436" s="795" t="str">
        <f ca="1">IFERROR(VLOOKUP(B436,'Outcome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36" s="796" t="str">
        <f ca="1">R436</f>
        <v/>
      </c>
      <c r="E436" s="796" t="str">
        <f ca="1">S436</f>
        <v/>
      </c>
      <c r="F436" s="127"/>
      <c r="G436" s="797" t="str">
        <f ca="1">IF(OR(INDIRECT("'update Helper'!E"&amp;U436)="",F436&lt;&gt;0,F437&lt;&gt;0),IF(IFERROR((F436/F437),"")="","",(F436/F437)),INDIRECT("'update Helper'!E"&amp;U436)/100)</f>
        <v/>
      </c>
      <c r="H436" s="784"/>
      <c r="I436" s="798"/>
      <c r="J436" s="777"/>
      <c r="K436" s="795" t="str">
        <f ca="1">W436</f>
        <v>TB O-5⁽ᴹ⁾ TB treatment coverage: Percentage of new and relapse cases that were notified and treated among the estimated number of incident TB cases in the same year (all form of TB - bacteriologically confirmed plus clinically diagnosed)</v>
      </c>
      <c r="L436" s="795" t="str">
        <f ca="1">V436</f>
        <v/>
      </c>
      <c r="M436" s="777"/>
      <c r="N436" s="777"/>
      <c r="P436" s="89">
        <f ca="1">IF(AND(EXACT(C436,C434),C434&lt;&gt;0),P434+1,0)</f>
        <v>0</v>
      </c>
      <c r="Q436" s="89" t="str">
        <f ca="1">IF(C436&lt;&gt;"",C436&amp;"-"&amp;P436,"")</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clínico).-0</v>
      </c>
      <c r="R436" s="89" t="str">
        <f t="array" aca="1" ref="R436" ca="1">IFERROR(IF(INDEX('Disaggregation Records'!$E$69:$E$152,MATCH(RIGHT(Q436,255),RIGHT('Disaggregation Records'!$D$69:$D$152,255),0))="","",INDEX('Disaggregation Records'!$E$69:$E$152,MATCH(RIGHT(Q436,255),RIGHT('Disaggregation Records'!$D$69:$D$152,255),0))),"")</f>
        <v/>
      </c>
      <c r="S436" s="89" t="str">
        <f t="array" aca="1" ref="S436" ca="1">IFERROR(IF(INDEX('Disaggregation Records'!$F$69:$F$152,MATCH(RIGHT(Q436,255),RIGHT('Disaggregation Records'!$D$69:$D$152,255),0))="","",INDEX('Disaggregation Records'!$F$69:$F$152,MATCH(RIGHT(Q436,255),RIGHT('Disaggregation Records'!$D$69:$D$152,255),0))),"")</f>
        <v/>
      </c>
      <c r="T436" s="89" t="str">
        <f t="array" aca="1" ref="T436" ca="1">IFERROR(IF(INDEX('Disaggregation Records'!$H$69:$H$152,MATCH(RIGHT(Q436,255),RIGHT('Disaggregation Records'!$D$69:$D$152,255),0))="","",INDEX('Disaggregation Records'!$H$69:$H$152,MATCH(RIGHT(Q436,255),RIGHT('Disaggregation Records'!$D$69:$D$152,255),0))),"")</f>
        <v/>
      </c>
      <c r="U436" s="89">
        <f>U434+1</f>
        <v>947</v>
      </c>
      <c r="V436" s="89" t="str">
        <f t="array" aca="1" ref="V436" ca="1">IFERROR(IF(INDEX('Disaggregation Records'!$I$69:$I$152,MATCH(RIGHT(Q436,255),RIGHT('Disaggregation Records'!$D$69:$D$152,255),0))="","",INDEX('Disaggregation Records'!$I$69:$I$152,MATCH(RIGHT(Q436,255),RIGHT('Disaggregation Records'!$D$69:$D$152,255),0))),"")</f>
        <v/>
      </c>
      <c r="W436" s="89" t="str">
        <f ca="1">IFERROR(INDEX('Reference Records'!P$23:P$74,MATCH(LEFT(C436,255),'Reference Records'!J$23:J$74,0)),"")</f>
        <v>TB O-5⁽ᴹ⁾ TB treatment coverage: Percentage of new and relapse cases that were notified and treated among the estimated number of incident TB cases in the same year (all form of TB - bacteriologically confirmed plus clinically diagnosed)</v>
      </c>
    </row>
    <row r="437" spans="1:23" s="89" customFormat="1" ht="40.35" customHeight="1">
      <c r="A437" s="564"/>
      <c r="B437" s="799"/>
      <c r="C437" s="800"/>
      <c r="D437" s="801"/>
      <c r="E437" s="801"/>
      <c r="F437" s="128"/>
      <c r="G437" s="802"/>
      <c r="H437" s="781"/>
      <c r="I437" s="803"/>
      <c r="J437" s="779"/>
      <c r="K437" s="800"/>
      <c r="L437" s="800"/>
      <c r="M437" s="779"/>
      <c r="N437" s="779"/>
      <c r="V437" s="89" t="str">
        <f t="array" ref="V437">IFERROR(IF(INDEX('Disaggregation Records'!$I$69:$I$152,MATCH(RIGHT(Q437,255),RIGHT('Disaggregation Records'!$D$69:$D$152,255),0))="","",INDEX('Disaggregation Records'!$I$69:$I$152,MATCH(RIGHT(Q437,255),RIGHT('Disaggregation Records'!$D$69:$D$152,255),0))),"")</f>
        <v/>
      </c>
    </row>
    <row r="438" spans="1:23" s="89" customFormat="1" ht="40.35" customHeight="1">
      <c r="A438" s="564" t="str">
        <f ca="1">INDIRECT("'update Helper'!C"&amp;U438)</f>
        <v>a1V3p000006h2wjEAA</v>
      </c>
      <c r="B438" s="794">
        <v>7</v>
      </c>
      <c r="C438" s="795" t="str">
        <f ca="1">IFERROR(VLOOKUP(B438,'Outcome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38" s="796" t="str">
        <f ca="1">R438</f>
        <v/>
      </c>
      <c r="E438" s="796" t="str">
        <f ca="1">S438</f>
        <v/>
      </c>
      <c r="F438" s="127"/>
      <c r="G438" s="797" t="str">
        <f ca="1">IF(OR(INDIRECT("'update Helper'!E"&amp;U438)="",F438&lt;&gt;0,F439&lt;&gt;0),IF(IFERROR((F438/F439),"")="","",(F438/F439)),INDIRECT("'update Helper'!E"&amp;U438)/100)</f>
        <v/>
      </c>
      <c r="H438" s="784"/>
      <c r="I438" s="798"/>
      <c r="J438" s="777"/>
      <c r="K438" s="795" t="str">
        <f ca="1">W438</f>
        <v>TB O-5⁽ᴹ⁾ TB treatment coverage: Percentage of new and relapse cases that were notified and treated among the estimated number of incident TB cases in the same year (all form of TB - bacteriologically confirmed plus clinically diagnosed)</v>
      </c>
      <c r="L438" s="795" t="str">
        <f ca="1">V438</f>
        <v/>
      </c>
      <c r="M438" s="777"/>
      <c r="N438" s="777"/>
      <c r="P438" s="89">
        <f ca="1">IF(AND(EXACT(C438,C436),C436&lt;&gt;0),P436+1,0)</f>
        <v>1</v>
      </c>
      <c r="Q438" s="89" t="str">
        <f ca="1">IF(C438&lt;&gt;"",C438&amp;"-"&amp;P438,"")</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clínico).-1</v>
      </c>
      <c r="R438" s="89" t="str">
        <f t="array" aca="1" ref="R438" ca="1">IFERROR(IF(INDEX('Disaggregation Records'!$E$69:$E$152,MATCH(RIGHT(Q438,255),RIGHT('Disaggregation Records'!$D$69:$D$152,255),0))="","",INDEX('Disaggregation Records'!$E$69:$E$152,MATCH(RIGHT(Q438,255),RIGHT('Disaggregation Records'!$D$69:$D$152,255),0))),"")</f>
        <v/>
      </c>
      <c r="S438" s="89" t="str">
        <f t="array" aca="1" ref="S438" ca="1">IFERROR(IF(INDEX('Disaggregation Records'!$F$69:$F$152,MATCH(RIGHT(Q438,255),RIGHT('Disaggregation Records'!$D$69:$D$152,255),0))="","",INDEX('Disaggregation Records'!$F$69:$F$152,MATCH(RIGHT(Q438,255),RIGHT('Disaggregation Records'!$D$69:$D$152,255),0))),"")</f>
        <v/>
      </c>
      <c r="T438" s="89" t="str">
        <f t="array" aca="1" ref="T438" ca="1">IFERROR(IF(INDEX('Disaggregation Records'!$H$69:$H$152,MATCH(RIGHT(Q438,255),RIGHT('Disaggregation Records'!$D$69:$D$152,255),0))="","",INDEX('Disaggregation Records'!$H$69:$H$152,MATCH(RIGHT(Q438,255),RIGHT('Disaggregation Records'!$D$69:$D$152,255),0))),"")</f>
        <v/>
      </c>
      <c r="U438" s="89">
        <f>U436+1</f>
        <v>948</v>
      </c>
      <c r="V438" s="89" t="str">
        <f t="array" aca="1" ref="V438" ca="1">IFERROR(IF(INDEX('Disaggregation Records'!$I$69:$I$152,MATCH(RIGHT(Q438,255),RIGHT('Disaggregation Records'!$D$69:$D$152,255),0))="","",INDEX('Disaggregation Records'!$I$69:$I$152,MATCH(RIGHT(Q438,255),RIGHT('Disaggregation Records'!$D$69:$D$152,255),0))),"")</f>
        <v/>
      </c>
      <c r="W438" s="89" t="str">
        <f ca="1">IFERROR(INDEX('Reference Records'!P$23:P$74,MATCH(LEFT(C438,255),'Reference Records'!J$23:J$74,0)),"")</f>
        <v>TB O-5⁽ᴹ⁾ TB treatment coverage: Percentage of new and relapse cases that were notified and treated among the estimated number of incident TB cases in the same year (all form of TB - bacteriologically confirmed plus clinically diagnosed)</v>
      </c>
    </row>
    <row r="439" spans="1:23" s="89" customFormat="1" ht="40.35" customHeight="1">
      <c r="A439" s="564"/>
      <c r="B439" s="799"/>
      <c r="C439" s="800"/>
      <c r="D439" s="801"/>
      <c r="E439" s="801"/>
      <c r="F439" s="128"/>
      <c r="G439" s="802"/>
      <c r="H439" s="781"/>
      <c r="I439" s="803"/>
      <c r="J439" s="779"/>
      <c r="K439" s="800"/>
      <c r="L439" s="800"/>
      <c r="M439" s="779"/>
      <c r="N439" s="779"/>
      <c r="V439" s="89" t="str">
        <f t="array" ref="V439">IFERROR(IF(INDEX('Disaggregation Records'!$I$69:$I$152,MATCH(RIGHT(Q439,255),RIGHT('Disaggregation Records'!$D$69:$D$152,255),0))="","",INDEX('Disaggregation Records'!$I$69:$I$152,MATCH(RIGHT(Q439,255),RIGHT('Disaggregation Records'!$D$69:$D$152,255),0))),"")</f>
        <v/>
      </c>
    </row>
    <row r="440" spans="1:23" s="89" customFormat="1" ht="40.35" customHeight="1">
      <c r="A440" s="564" t="str">
        <f ca="1">INDIRECT("'update Helper'!C"&amp;U440)</f>
        <v>a1V3p000006h2wkEAA</v>
      </c>
      <c r="B440" s="794">
        <v>7</v>
      </c>
      <c r="C440" s="795" t="str">
        <f ca="1">IFERROR(VLOOKUP(B440,'Outcome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40" s="796" t="str">
        <f ca="1">R440</f>
        <v/>
      </c>
      <c r="E440" s="796" t="str">
        <f ca="1">S440</f>
        <v/>
      </c>
      <c r="F440" s="127"/>
      <c r="G440" s="797" t="str">
        <f ca="1">IF(OR(INDIRECT("'update Helper'!E"&amp;U440)="",F440&lt;&gt;0,F441&lt;&gt;0),IF(IFERROR((F440/F441),"")="","",(F440/F441)),INDIRECT("'update Helper'!E"&amp;U440)/100)</f>
        <v/>
      </c>
      <c r="H440" s="784"/>
      <c r="I440" s="798"/>
      <c r="J440" s="777"/>
      <c r="K440" s="795" t="str">
        <f ca="1">W440</f>
        <v>TB O-5⁽ᴹ⁾ TB treatment coverage: Percentage of new and relapse cases that were notified and treated among the estimated number of incident TB cases in the same year (all form of TB - bacteriologically confirmed plus clinically diagnosed)</v>
      </c>
      <c r="L440" s="795" t="str">
        <f ca="1">V440</f>
        <v/>
      </c>
      <c r="M440" s="777"/>
      <c r="N440" s="777"/>
      <c r="P440" s="89">
        <f ca="1">IF(AND(EXACT(C440,C438),C438&lt;&gt;0),P438+1,0)</f>
        <v>2</v>
      </c>
      <c r="Q440" s="89" t="str">
        <f ca="1">IF(C440&lt;&gt;"",C440&amp;"-"&amp;P440,"")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clínico).-2</v>
      </c>
      <c r="R440" s="89" t="str">
        <f t="array" aca="1" ref="R440" ca="1">IFERROR(IF(INDEX('Disaggregation Records'!$E$69:$E$152,MATCH(RIGHT(Q440,255),RIGHT('Disaggregation Records'!$D$69:$D$152,255),0))="","",INDEX('Disaggregation Records'!$E$69:$E$152,MATCH(RIGHT(Q440,255),RIGHT('Disaggregation Records'!$D$69:$D$152,255),0))),"")</f>
        <v/>
      </c>
      <c r="S440" s="89" t="str">
        <f t="array" aca="1" ref="S440" ca="1">IFERROR(IF(INDEX('Disaggregation Records'!$F$69:$F$152,MATCH(RIGHT(Q440,255),RIGHT('Disaggregation Records'!$D$69:$D$152,255),0))="","",INDEX('Disaggregation Records'!$F$69:$F$152,MATCH(RIGHT(Q440,255),RIGHT('Disaggregation Records'!$D$69:$D$152,255),0))),"")</f>
        <v/>
      </c>
      <c r="T440" s="89" t="str">
        <f t="array" aca="1" ref="T440" ca="1">IFERROR(IF(INDEX('Disaggregation Records'!$H$69:$H$152,MATCH(RIGHT(Q440,255),RIGHT('Disaggregation Records'!$D$69:$D$152,255),0))="","",INDEX('Disaggregation Records'!$H$69:$H$152,MATCH(RIGHT(Q440,255),RIGHT('Disaggregation Records'!$D$69:$D$152,255),0))),"")</f>
        <v/>
      </c>
      <c r="U440" s="89">
        <f>U438+1</f>
        <v>949</v>
      </c>
      <c r="V440" s="89" t="str">
        <f t="array" aca="1" ref="V440" ca="1">IFERROR(IF(INDEX('Disaggregation Records'!$I$69:$I$152,MATCH(RIGHT(Q440,255),RIGHT('Disaggregation Records'!$D$69:$D$152,255),0))="","",INDEX('Disaggregation Records'!$I$69:$I$152,MATCH(RIGHT(Q440,255),RIGHT('Disaggregation Records'!$D$69:$D$152,255),0))),"")</f>
        <v/>
      </c>
      <c r="W440" s="89" t="str">
        <f ca="1">IFERROR(INDEX('Reference Records'!P$23:P$74,MATCH(LEFT(C440,255),'Reference Records'!J$23:J$74,0)),"")</f>
        <v>TB O-5⁽ᴹ⁾ TB treatment coverage: Percentage of new and relapse cases that were notified and treated among the estimated number of incident TB cases in the same year (all form of TB - bacteriologically confirmed plus clinically diagnosed)</v>
      </c>
    </row>
    <row r="441" spans="1:23" s="89" customFormat="1" ht="40.35" customHeight="1">
      <c r="A441" s="564"/>
      <c r="B441" s="799"/>
      <c r="C441" s="800"/>
      <c r="D441" s="801"/>
      <c r="E441" s="801"/>
      <c r="F441" s="128"/>
      <c r="G441" s="802"/>
      <c r="H441" s="781"/>
      <c r="I441" s="803"/>
      <c r="J441" s="779"/>
      <c r="K441" s="800"/>
      <c r="L441" s="800"/>
      <c r="M441" s="779"/>
      <c r="N441" s="779"/>
      <c r="V441" s="89" t="str">
        <f t="array" ref="V441">IFERROR(IF(INDEX('Disaggregation Records'!$I$69:$I$152,MATCH(RIGHT(Q441,255),RIGHT('Disaggregation Records'!$D$69:$D$152,255),0))="","",INDEX('Disaggregation Records'!$I$69:$I$152,MATCH(RIGHT(Q441,255),RIGHT('Disaggregation Records'!$D$69:$D$152,255),0))),"")</f>
        <v/>
      </c>
    </row>
    <row r="442" spans="1:23" s="89" customFormat="1" ht="40.35" customHeight="1">
      <c r="A442" s="564" t="str">
        <f ca="1">INDIRECT("'update Helper'!C"&amp;U442)</f>
        <v>a1V3p000006h2wlEAA</v>
      </c>
      <c r="B442" s="794">
        <v>7</v>
      </c>
      <c r="C442" s="795" t="str">
        <f ca="1">IFERROR(VLOOKUP(B442,'Outcome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42" s="796" t="str">
        <f ca="1">R442</f>
        <v/>
      </c>
      <c r="E442" s="796" t="str">
        <f ca="1">S442</f>
        <v/>
      </c>
      <c r="F442" s="127"/>
      <c r="G442" s="797" t="str">
        <f ca="1">IF(OR(INDIRECT("'update Helper'!E"&amp;U442)="",F442&lt;&gt;0,F443&lt;&gt;0),IF(IFERROR((F442/F443),"")="","",(F442/F443)),INDIRECT("'update Helper'!E"&amp;U442)/100)</f>
        <v/>
      </c>
      <c r="H442" s="784"/>
      <c r="I442" s="798"/>
      <c r="J442" s="777"/>
      <c r="K442" s="795" t="str">
        <f ca="1">W442</f>
        <v>TB O-5⁽ᴹ⁾ TB treatment coverage: Percentage of new and relapse cases that were notified and treated among the estimated number of incident TB cases in the same year (all form of TB - bacteriologically confirmed plus clinically diagnosed)</v>
      </c>
      <c r="L442" s="795" t="str">
        <f ca="1">V442</f>
        <v/>
      </c>
      <c r="M442" s="777"/>
      <c r="N442" s="777"/>
      <c r="P442" s="89">
        <f ca="1">IF(AND(EXACT(C442,C440),C440&lt;&gt;0),P440+1,0)</f>
        <v>3</v>
      </c>
      <c r="Q442" s="89" t="str">
        <f ca="1">IF(C442&lt;&gt;"",C442&amp;"-"&amp;P442,"")</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clínico).-3</v>
      </c>
      <c r="R442" s="89" t="str">
        <f t="array" aca="1" ref="R442" ca="1">IFERROR(IF(INDEX('Disaggregation Records'!$E$69:$E$152,MATCH(RIGHT(Q442,255),RIGHT('Disaggregation Records'!$D$69:$D$152,255),0))="","",INDEX('Disaggregation Records'!$E$69:$E$152,MATCH(RIGHT(Q442,255),RIGHT('Disaggregation Records'!$D$69:$D$152,255),0))),"")</f>
        <v/>
      </c>
      <c r="S442" s="89" t="str">
        <f t="array" aca="1" ref="S442" ca="1">IFERROR(IF(INDEX('Disaggregation Records'!$F$69:$F$152,MATCH(RIGHT(Q442,255),RIGHT('Disaggregation Records'!$D$69:$D$152,255),0))="","",INDEX('Disaggregation Records'!$F$69:$F$152,MATCH(RIGHT(Q442,255),RIGHT('Disaggregation Records'!$D$69:$D$152,255),0))),"")</f>
        <v/>
      </c>
      <c r="T442" s="89" t="str">
        <f t="array" aca="1" ref="T442" ca="1">IFERROR(IF(INDEX('Disaggregation Records'!$H$69:$H$152,MATCH(RIGHT(Q442,255),RIGHT('Disaggregation Records'!$D$69:$D$152,255),0))="","",INDEX('Disaggregation Records'!$H$69:$H$152,MATCH(RIGHT(Q442,255),RIGHT('Disaggregation Records'!$D$69:$D$152,255),0))),"")</f>
        <v/>
      </c>
      <c r="U442" s="89">
        <f>U440+1</f>
        <v>950</v>
      </c>
      <c r="V442" s="89" t="str">
        <f t="array" aca="1" ref="V442" ca="1">IFERROR(IF(INDEX('Disaggregation Records'!$I$69:$I$152,MATCH(RIGHT(Q442,255),RIGHT('Disaggregation Records'!$D$69:$D$152,255),0))="","",INDEX('Disaggregation Records'!$I$69:$I$152,MATCH(RIGHT(Q442,255),RIGHT('Disaggregation Records'!$D$69:$D$152,255),0))),"")</f>
        <v/>
      </c>
      <c r="W442" s="89" t="str">
        <f ca="1">IFERROR(INDEX('Reference Records'!P$23:P$74,MATCH(LEFT(C442,255),'Reference Records'!J$23:J$74,0)),"")</f>
        <v>TB O-5⁽ᴹ⁾ TB treatment coverage: Percentage of new and relapse cases that were notified and treated among the estimated number of incident TB cases in the same year (all form of TB - bacteriologically confirmed plus clinically diagnosed)</v>
      </c>
    </row>
    <row r="443" spans="1:23" s="89" customFormat="1" ht="40.35" customHeight="1">
      <c r="A443" s="564"/>
      <c r="B443" s="799"/>
      <c r="C443" s="800"/>
      <c r="D443" s="801"/>
      <c r="E443" s="801"/>
      <c r="F443" s="128"/>
      <c r="G443" s="802"/>
      <c r="H443" s="781"/>
      <c r="I443" s="803"/>
      <c r="J443" s="779"/>
      <c r="K443" s="800"/>
      <c r="L443" s="800"/>
      <c r="M443" s="779"/>
      <c r="N443" s="779"/>
      <c r="V443" s="89" t="str">
        <f t="array" ref="V443">IFERROR(IF(INDEX('Disaggregation Records'!$I$69:$I$152,MATCH(RIGHT(Q443,255),RIGHT('Disaggregation Records'!$D$69:$D$152,255),0))="","",INDEX('Disaggregation Records'!$I$69:$I$152,MATCH(RIGHT(Q443,255),RIGHT('Disaggregation Records'!$D$69:$D$152,255),0))),"")</f>
        <v/>
      </c>
    </row>
    <row r="444" spans="1:23" s="89" customFormat="1" ht="40.35" customHeight="1">
      <c r="A444" s="564" t="str">
        <f ca="1">INDIRECT("'update Helper'!C"&amp;U444)</f>
        <v>a1V3p000006h2wmEAA</v>
      </c>
      <c r="B444" s="794">
        <v>7</v>
      </c>
      <c r="C444" s="795" t="str">
        <f ca="1">IFERROR(VLOOKUP(B444,'Outcome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44" s="796" t="str">
        <f ca="1">R444</f>
        <v/>
      </c>
      <c r="E444" s="796" t="str">
        <f ca="1">S444</f>
        <v/>
      </c>
      <c r="F444" s="127"/>
      <c r="G444" s="797" t="str">
        <f ca="1">IF(OR(INDIRECT("'update Helper'!E"&amp;U444)="",F444&lt;&gt;0,F445&lt;&gt;0),IF(IFERROR((F444/F445),"")="","",(F444/F445)),INDIRECT("'update Helper'!E"&amp;U444)/100)</f>
        <v/>
      </c>
      <c r="H444" s="784"/>
      <c r="I444" s="798"/>
      <c r="J444" s="777"/>
      <c r="K444" s="795" t="str">
        <f ca="1">W444</f>
        <v>TB O-5⁽ᴹ⁾ TB treatment coverage: Percentage of new and relapse cases that were notified and treated among the estimated number of incident TB cases in the same year (all form of TB - bacteriologically confirmed plus clinically diagnosed)</v>
      </c>
      <c r="L444" s="795" t="str">
        <f ca="1">V444</f>
        <v/>
      </c>
      <c r="M444" s="777"/>
      <c r="N444" s="777"/>
      <c r="P444" s="89">
        <f ca="1">IF(AND(EXACT(C444,C442),C442&lt;&gt;0),P442+1,0)</f>
        <v>4</v>
      </c>
      <c r="Q444" s="89" t="str">
        <f ca="1">IF(C444&lt;&gt;"",C444&amp;"-"&amp;P444,"")</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clínico).-4</v>
      </c>
      <c r="R444" s="89" t="str">
        <f t="array" aca="1" ref="R444" ca="1">IFERROR(IF(INDEX('Disaggregation Records'!$E$69:$E$152,MATCH(RIGHT(Q444,255),RIGHT('Disaggregation Records'!$D$69:$D$152,255),0))="","",INDEX('Disaggregation Records'!$E$69:$E$152,MATCH(RIGHT(Q444,255),RIGHT('Disaggregation Records'!$D$69:$D$152,255),0))),"")</f>
        <v/>
      </c>
      <c r="S444" s="89" t="str">
        <f t="array" aca="1" ref="S444" ca="1">IFERROR(IF(INDEX('Disaggregation Records'!$F$69:$F$152,MATCH(RIGHT(Q444,255),RIGHT('Disaggregation Records'!$D$69:$D$152,255),0))="","",INDEX('Disaggregation Records'!$F$69:$F$152,MATCH(RIGHT(Q444,255),RIGHT('Disaggregation Records'!$D$69:$D$152,255),0))),"")</f>
        <v/>
      </c>
      <c r="T444" s="89" t="str">
        <f t="array" aca="1" ref="T444" ca="1">IFERROR(IF(INDEX('Disaggregation Records'!$H$69:$H$152,MATCH(RIGHT(Q444,255),RIGHT('Disaggregation Records'!$D$69:$D$152,255),0))="","",INDEX('Disaggregation Records'!$H$69:$H$152,MATCH(RIGHT(Q444,255),RIGHT('Disaggregation Records'!$D$69:$D$152,255),0))),"")</f>
        <v/>
      </c>
      <c r="U444" s="89">
        <f>U442+1</f>
        <v>951</v>
      </c>
      <c r="V444" s="89" t="str">
        <f t="array" aca="1" ref="V444" ca="1">IFERROR(IF(INDEX('Disaggregation Records'!$I$69:$I$152,MATCH(RIGHT(Q444,255),RIGHT('Disaggregation Records'!$D$69:$D$152,255),0))="","",INDEX('Disaggregation Records'!$I$69:$I$152,MATCH(RIGHT(Q444,255),RIGHT('Disaggregation Records'!$D$69:$D$152,255),0))),"")</f>
        <v/>
      </c>
      <c r="W444" s="89" t="str">
        <f ca="1">IFERROR(INDEX('Reference Records'!P$23:P$74,MATCH(LEFT(C444,255),'Reference Records'!J$23:J$74,0)),"")</f>
        <v>TB O-5⁽ᴹ⁾ TB treatment coverage: Percentage of new and relapse cases that were notified and treated among the estimated number of incident TB cases in the same year (all form of TB - bacteriologically confirmed plus clinically diagnosed)</v>
      </c>
    </row>
    <row r="445" spans="1:23" s="89" customFormat="1" ht="40.35" customHeight="1">
      <c r="A445" s="564"/>
      <c r="B445" s="799"/>
      <c r="C445" s="800"/>
      <c r="D445" s="801"/>
      <c r="E445" s="801"/>
      <c r="F445" s="128"/>
      <c r="G445" s="802"/>
      <c r="H445" s="781"/>
      <c r="I445" s="803"/>
      <c r="J445" s="779"/>
      <c r="K445" s="800"/>
      <c r="L445" s="800"/>
      <c r="M445" s="779"/>
      <c r="N445" s="779"/>
      <c r="V445" s="89" t="str">
        <f t="array" ref="V445">IFERROR(IF(INDEX('Disaggregation Records'!$I$69:$I$152,MATCH(RIGHT(Q445,255),RIGHT('Disaggregation Records'!$D$69:$D$152,255),0))="","",INDEX('Disaggregation Records'!$I$69:$I$152,MATCH(RIGHT(Q445,255),RIGHT('Disaggregation Records'!$D$69:$D$152,255),0))),"")</f>
        <v/>
      </c>
    </row>
    <row r="446" spans="1:23" s="89" customFormat="1" ht="40.35" customHeight="1">
      <c r="A446" s="564" t="str">
        <f ca="1">INDIRECT("'update Helper'!C"&amp;U446)</f>
        <v>a1V3p000006h2wnEAA</v>
      </c>
      <c r="B446" s="794">
        <v>7</v>
      </c>
      <c r="C446" s="795" t="str">
        <f ca="1">IFERROR(VLOOKUP(B446,'Outcome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46" s="796" t="str">
        <f ca="1">R446</f>
        <v/>
      </c>
      <c r="E446" s="796" t="str">
        <f ca="1">S446</f>
        <v/>
      </c>
      <c r="F446" s="127"/>
      <c r="G446" s="797" t="str">
        <f ca="1">IF(OR(INDIRECT("'update Helper'!E"&amp;U446)="",F446&lt;&gt;0,F447&lt;&gt;0),IF(IFERROR((F446/F447),"")="","",(F446/F447)),INDIRECT("'update Helper'!E"&amp;U446)/100)</f>
        <v/>
      </c>
      <c r="H446" s="784"/>
      <c r="I446" s="798"/>
      <c r="J446" s="777"/>
      <c r="K446" s="795" t="str">
        <f ca="1">W446</f>
        <v>TB O-5⁽ᴹ⁾ TB treatment coverage: Percentage of new and relapse cases that were notified and treated among the estimated number of incident TB cases in the same year (all form of TB - bacteriologically confirmed plus clinically diagnosed)</v>
      </c>
      <c r="L446" s="795" t="str">
        <f ca="1">V446</f>
        <v/>
      </c>
      <c r="M446" s="777"/>
      <c r="N446" s="777"/>
      <c r="P446" s="89">
        <f ca="1">IF(AND(EXACT(C446,C444),C444&lt;&gt;0),P444+1,0)</f>
        <v>5</v>
      </c>
      <c r="Q446" s="89" t="str">
        <f ca="1">IF(C446&lt;&gt;"",C446&amp;"-"&amp;P446,"")</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clínico).-5</v>
      </c>
      <c r="R446" s="89" t="str">
        <f t="array" aca="1" ref="R446" ca="1">IFERROR(IF(INDEX('Disaggregation Records'!$E$69:$E$152,MATCH(RIGHT(Q446,255),RIGHT('Disaggregation Records'!$D$69:$D$152,255),0))="","",INDEX('Disaggregation Records'!$E$69:$E$152,MATCH(RIGHT(Q446,255),RIGHT('Disaggregation Records'!$D$69:$D$152,255),0))),"")</f>
        <v/>
      </c>
      <c r="S446" s="89" t="str">
        <f t="array" aca="1" ref="S446" ca="1">IFERROR(IF(INDEX('Disaggregation Records'!$F$69:$F$152,MATCH(RIGHT(Q446,255),RIGHT('Disaggregation Records'!$D$69:$D$152,255),0))="","",INDEX('Disaggregation Records'!$F$69:$F$152,MATCH(RIGHT(Q446,255),RIGHT('Disaggregation Records'!$D$69:$D$152,255),0))),"")</f>
        <v/>
      </c>
      <c r="T446" s="89" t="str">
        <f t="array" aca="1" ref="T446" ca="1">IFERROR(IF(INDEX('Disaggregation Records'!$H$69:$H$152,MATCH(RIGHT(Q446,255),RIGHT('Disaggregation Records'!$D$69:$D$152,255),0))="","",INDEX('Disaggregation Records'!$H$69:$H$152,MATCH(RIGHT(Q446,255),RIGHT('Disaggregation Records'!$D$69:$D$152,255),0))),"")</f>
        <v/>
      </c>
      <c r="U446" s="89">
        <f>U444+1</f>
        <v>952</v>
      </c>
      <c r="V446" s="89" t="str">
        <f t="array" aca="1" ref="V446" ca="1">IFERROR(IF(INDEX('Disaggregation Records'!$I$69:$I$152,MATCH(RIGHT(Q446,255),RIGHT('Disaggregation Records'!$D$69:$D$152,255),0))="","",INDEX('Disaggregation Records'!$I$69:$I$152,MATCH(RIGHT(Q446,255),RIGHT('Disaggregation Records'!$D$69:$D$152,255),0))),"")</f>
        <v/>
      </c>
      <c r="W446" s="89" t="str">
        <f ca="1">IFERROR(INDEX('Reference Records'!P$23:P$74,MATCH(LEFT(C446,255),'Reference Records'!J$23:J$74,0)),"")</f>
        <v>TB O-5⁽ᴹ⁾ TB treatment coverage: Percentage of new and relapse cases that were notified and treated among the estimated number of incident TB cases in the same year (all form of TB - bacteriologically confirmed plus clinically diagnosed)</v>
      </c>
    </row>
    <row r="447" spans="1:23" s="89" customFormat="1" ht="40.35" customHeight="1">
      <c r="A447" s="564"/>
      <c r="B447" s="799"/>
      <c r="C447" s="800"/>
      <c r="D447" s="801"/>
      <c r="E447" s="801"/>
      <c r="F447" s="128"/>
      <c r="G447" s="802"/>
      <c r="H447" s="781"/>
      <c r="I447" s="803"/>
      <c r="J447" s="779"/>
      <c r="K447" s="800"/>
      <c r="L447" s="800"/>
      <c r="M447" s="779"/>
      <c r="N447" s="779"/>
      <c r="V447" s="89" t="str">
        <f t="array" ref="V447">IFERROR(IF(INDEX('Disaggregation Records'!$I$69:$I$152,MATCH(RIGHT(Q447,255),RIGHT('Disaggregation Records'!$D$69:$D$152,255),0))="","",INDEX('Disaggregation Records'!$I$69:$I$152,MATCH(RIGHT(Q447,255),RIGHT('Disaggregation Records'!$D$69:$D$152,255),0))),"")</f>
        <v/>
      </c>
    </row>
    <row r="448" spans="1:23" s="89" customFormat="1" ht="40.35" customHeight="1">
      <c r="A448" s="564" t="str">
        <f ca="1">INDIRECT("'update Helper'!C"&amp;U448)</f>
        <v>a1V3p000006h2woEAA</v>
      </c>
      <c r="B448" s="794">
        <v>7</v>
      </c>
      <c r="C448" s="795" t="str">
        <f ca="1">IFERROR(VLOOKUP(B448,'Outcome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48" s="796" t="str">
        <f ca="1">R448</f>
        <v/>
      </c>
      <c r="E448" s="796" t="str">
        <f ca="1">S448</f>
        <v/>
      </c>
      <c r="F448" s="127"/>
      <c r="G448" s="797" t="str">
        <f ca="1">IF(OR(INDIRECT("'update Helper'!E"&amp;U448)="",F448&lt;&gt;0,F449&lt;&gt;0),IF(IFERROR((F448/F449),"")="","",(F448/F449)),INDIRECT("'update Helper'!E"&amp;U448)/100)</f>
        <v/>
      </c>
      <c r="H448" s="784"/>
      <c r="I448" s="798"/>
      <c r="J448" s="777"/>
      <c r="K448" s="795" t="str">
        <f ca="1">W448</f>
        <v>TB O-5⁽ᴹ⁾ TB treatment coverage: Percentage of new and relapse cases that were notified and treated among the estimated number of incident TB cases in the same year (all form of TB - bacteriologically confirmed plus clinically diagnosed)</v>
      </c>
      <c r="L448" s="795" t="str">
        <f ca="1">V448</f>
        <v/>
      </c>
      <c r="M448" s="777"/>
      <c r="N448" s="777"/>
      <c r="P448" s="89">
        <f ca="1">IF(AND(EXACT(C448,C446),C446&lt;&gt;0),P446+1,0)</f>
        <v>6</v>
      </c>
      <c r="Q448" s="89" t="str">
        <f ca="1">IF(C448&lt;&gt;"",C448&amp;"-"&amp;P448,"")</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clínico).-6</v>
      </c>
      <c r="R448" s="89" t="str">
        <f t="array" aca="1" ref="R448" ca="1">IFERROR(IF(INDEX('Disaggregation Records'!$E$69:$E$152,MATCH(RIGHT(Q448,255),RIGHT('Disaggregation Records'!$D$69:$D$152,255),0))="","",INDEX('Disaggregation Records'!$E$69:$E$152,MATCH(RIGHT(Q448,255),RIGHT('Disaggregation Records'!$D$69:$D$152,255),0))),"")</f>
        <v/>
      </c>
      <c r="S448" s="89" t="str">
        <f t="array" aca="1" ref="S448" ca="1">IFERROR(IF(INDEX('Disaggregation Records'!$F$69:$F$152,MATCH(RIGHT(Q448,255),RIGHT('Disaggregation Records'!$D$69:$D$152,255),0))="","",INDEX('Disaggregation Records'!$F$69:$F$152,MATCH(RIGHT(Q448,255),RIGHT('Disaggregation Records'!$D$69:$D$152,255),0))),"")</f>
        <v/>
      </c>
      <c r="T448" s="89" t="str">
        <f t="array" aca="1" ref="T448" ca="1">IFERROR(IF(INDEX('Disaggregation Records'!$H$69:$H$152,MATCH(RIGHT(Q448,255),RIGHT('Disaggregation Records'!$D$69:$D$152,255),0))="","",INDEX('Disaggregation Records'!$H$69:$H$152,MATCH(RIGHT(Q448,255),RIGHT('Disaggregation Records'!$D$69:$D$152,255),0))),"")</f>
        <v/>
      </c>
      <c r="U448" s="89">
        <f>U446+1</f>
        <v>953</v>
      </c>
      <c r="V448" s="89" t="str">
        <f t="array" aca="1" ref="V448" ca="1">IFERROR(IF(INDEX('Disaggregation Records'!$I$69:$I$152,MATCH(RIGHT(Q448,255),RIGHT('Disaggregation Records'!$D$69:$D$152,255),0))="","",INDEX('Disaggregation Records'!$I$69:$I$152,MATCH(RIGHT(Q448,255),RIGHT('Disaggregation Records'!$D$69:$D$152,255),0))),"")</f>
        <v/>
      </c>
      <c r="W448" s="89" t="str">
        <f ca="1">IFERROR(INDEX('Reference Records'!P$23:P$74,MATCH(LEFT(C448,255),'Reference Records'!J$23:J$74,0)),"")</f>
        <v>TB O-5⁽ᴹ⁾ TB treatment coverage: Percentage of new and relapse cases that were notified and treated among the estimated number of incident TB cases in the same year (all form of TB - bacteriologically confirmed plus clinically diagnosed)</v>
      </c>
    </row>
    <row r="449" spans="1:23" s="89" customFormat="1" ht="40.35" customHeight="1">
      <c r="A449" s="564"/>
      <c r="B449" s="799"/>
      <c r="C449" s="800"/>
      <c r="D449" s="801"/>
      <c r="E449" s="801"/>
      <c r="F449" s="128"/>
      <c r="G449" s="802"/>
      <c r="H449" s="781"/>
      <c r="I449" s="803"/>
      <c r="J449" s="779"/>
      <c r="K449" s="800"/>
      <c r="L449" s="800"/>
      <c r="M449" s="779"/>
      <c r="N449" s="779"/>
      <c r="V449" s="89" t="str">
        <f t="array" ref="V449">IFERROR(IF(INDEX('Disaggregation Records'!$I$69:$I$152,MATCH(RIGHT(Q449,255),RIGHT('Disaggregation Records'!$D$69:$D$152,255),0))="","",INDEX('Disaggregation Records'!$I$69:$I$152,MATCH(RIGHT(Q449,255),RIGHT('Disaggregation Records'!$D$69:$D$152,255),0))),"")</f>
        <v/>
      </c>
    </row>
    <row r="450" spans="1:23" s="89" customFormat="1" ht="40.35" customHeight="1">
      <c r="A450" s="564" t="str">
        <f ca="1">INDIRECT("'update Helper'!C"&amp;U450)</f>
        <v>a1V3p000006h2wpEAA</v>
      </c>
      <c r="B450" s="794">
        <v>7</v>
      </c>
      <c r="C450" s="795" t="str">
        <f ca="1">IFERROR(VLOOKUP(B450,'Outcome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50" s="796" t="str">
        <f ca="1">R450</f>
        <v/>
      </c>
      <c r="E450" s="796" t="str">
        <f ca="1">S450</f>
        <v/>
      </c>
      <c r="F450" s="127"/>
      <c r="G450" s="797" t="str">
        <f ca="1">IF(OR(INDIRECT("'update Helper'!E"&amp;U450)="",F450&lt;&gt;0,F451&lt;&gt;0),IF(IFERROR((F450/F451),"")="","",(F450/F451)),INDIRECT("'update Helper'!E"&amp;U450)/100)</f>
        <v/>
      </c>
      <c r="H450" s="784"/>
      <c r="I450" s="798"/>
      <c r="J450" s="777"/>
      <c r="K450" s="795" t="str">
        <f ca="1">W450</f>
        <v>TB O-5⁽ᴹ⁾ TB treatment coverage: Percentage of new and relapse cases that were notified and treated among the estimated number of incident TB cases in the same year (all form of TB - bacteriologically confirmed plus clinically diagnosed)</v>
      </c>
      <c r="L450" s="795" t="str">
        <f ca="1">V450</f>
        <v/>
      </c>
      <c r="M450" s="777"/>
      <c r="N450" s="777"/>
      <c r="P450" s="89">
        <f ca="1">IF(AND(EXACT(C450,C448),C448&lt;&gt;0),P448+1,0)</f>
        <v>7</v>
      </c>
      <c r="Q450" s="89" t="str">
        <f ca="1">IF(C450&lt;&gt;"",C450&amp;"-"&amp;P450,"")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clínico).-7</v>
      </c>
      <c r="R450" s="89" t="str">
        <f t="array" aca="1" ref="R450" ca="1">IFERROR(IF(INDEX('Disaggregation Records'!$E$69:$E$152,MATCH(RIGHT(Q450,255),RIGHT('Disaggregation Records'!$D$69:$D$152,255),0))="","",INDEX('Disaggregation Records'!$E$69:$E$152,MATCH(RIGHT(Q450,255),RIGHT('Disaggregation Records'!$D$69:$D$152,255),0))),"")</f>
        <v/>
      </c>
      <c r="S450" s="89" t="str">
        <f t="array" aca="1" ref="S450" ca="1">IFERROR(IF(INDEX('Disaggregation Records'!$F$69:$F$152,MATCH(RIGHT(Q450,255),RIGHT('Disaggregation Records'!$D$69:$D$152,255),0))="","",INDEX('Disaggregation Records'!$F$69:$F$152,MATCH(RIGHT(Q450,255),RIGHT('Disaggregation Records'!$D$69:$D$152,255),0))),"")</f>
        <v/>
      </c>
      <c r="T450" s="89" t="str">
        <f t="array" aca="1" ref="T450" ca="1">IFERROR(IF(INDEX('Disaggregation Records'!$H$69:$H$152,MATCH(RIGHT(Q450,255),RIGHT('Disaggregation Records'!$D$69:$D$152,255),0))="","",INDEX('Disaggregation Records'!$H$69:$H$152,MATCH(RIGHT(Q450,255),RIGHT('Disaggregation Records'!$D$69:$D$152,255),0))),"")</f>
        <v/>
      </c>
      <c r="U450" s="89">
        <f>U448+1</f>
        <v>954</v>
      </c>
      <c r="V450" s="89" t="str">
        <f t="array" aca="1" ref="V450" ca="1">IFERROR(IF(INDEX('Disaggregation Records'!$I$69:$I$152,MATCH(RIGHT(Q450,255),RIGHT('Disaggregation Records'!$D$69:$D$152,255),0))="","",INDEX('Disaggregation Records'!$I$69:$I$152,MATCH(RIGHT(Q450,255),RIGHT('Disaggregation Records'!$D$69:$D$152,255),0))),"")</f>
        <v/>
      </c>
      <c r="W450" s="89" t="str">
        <f ca="1">IFERROR(INDEX('Reference Records'!P$23:P$74,MATCH(LEFT(C450,255),'Reference Records'!J$23:J$74,0)),"")</f>
        <v>TB O-5⁽ᴹ⁾ TB treatment coverage: Percentage of new and relapse cases that were notified and treated among the estimated number of incident TB cases in the same year (all form of TB - bacteriologically confirmed plus clinically diagnosed)</v>
      </c>
    </row>
    <row r="451" spans="1:23" s="89" customFormat="1" ht="40.35" customHeight="1">
      <c r="A451" s="564"/>
      <c r="B451" s="799"/>
      <c r="C451" s="800"/>
      <c r="D451" s="801"/>
      <c r="E451" s="801"/>
      <c r="F451" s="128"/>
      <c r="G451" s="802"/>
      <c r="H451" s="781"/>
      <c r="I451" s="803"/>
      <c r="J451" s="779"/>
      <c r="K451" s="800"/>
      <c r="L451" s="800"/>
      <c r="M451" s="779"/>
      <c r="N451" s="779"/>
      <c r="V451" s="89" t="str">
        <f t="array" ref="V451">IFERROR(IF(INDEX('Disaggregation Records'!$I$69:$I$152,MATCH(RIGHT(Q451,255),RIGHT('Disaggregation Records'!$D$69:$D$152,255),0))="","",INDEX('Disaggregation Records'!$I$69:$I$152,MATCH(RIGHT(Q451,255),RIGHT('Disaggregation Records'!$D$69:$D$152,255),0))),"")</f>
        <v/>
      </c>
    </row>
    <row r="452" spans="1:23" s="89" customFormat="1" ht="40.35" customHeight="1">
      <c r="A452" s="564" t="str">
        <f ca="1">INDIRECT("'update Helper'!C"&amp;U452)</f>
        <v>a1V3p000006h2wqEAA</v>
      </c>
      <c r="B452" s="794">
        <v>7</v>
      </c>
      <c r="C452" s="795" t="str">
        <f ca="1">IFERROR(VLOOKUP(B452,'Outcome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52" s="796" t="str">
        <f ca="1">R452</f>
        <v/>
      </c>
      <c r="E452" s="796" t="str">
        <f ca="1">S452</f>
        <v/>
      </c>
      <c r="F452" s="127"/>
      <c r="G452" s="797" t="str">
        <f ca="1">IF(OR(INDIRECT("'update Helper'!E"&amp;U452)="",F452&lt;&gt;0,F453&lt;&gt;0),IF(IFERROR((F452/F453),"")="","",(F452/F453)),INDIRECT("'update Helper'!E"&amp;U452)/100)</f>
        <v/>
      </c>
      <c r="H452" s="784"/>
      <c r="I452" s="798"/>
      <c r="J452" s="777"/>
      <c r="K452" s="795" t="str">
        <f ca="1">W452</f>
        <v>TB O-5⁽ᴹ⁾ TB treatment coverage: Percentage of new and relapse cases that were notified and treated among the estimated number of incident TB cases in the same year (all form of TB - bacteriologically confirmed plus clinically diagnosed)</v>
      </c>
      <c r="L452" s="795" t="str">
        <f ca="1">V452</f>
        <v/>
      </c>
      <c r="M452" s="777"/>
      <c r="N452" s="777"/>
      <c r="P452" s="89">
        <f ca="1">IF(AND(EXACT(C452,C450),C450&lt;&gt;0),P450+1,0)</f>
        <v>8</v>
      </c>
      <c r="Q452" s="89" t="str">
        <f ca="1">IF(C452&lt;&gt;"",C452&amp;"-"&amp;P452,"")</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clínico).-8</v>
      </c>
      <c r="R452" s="89" t="str">
        <f t="array" aca="1" ref="R452" ca="1">IFERROR(IF(INDEX('Disaggregation Records'!$E$69:$E$152,MATCH(RIGHT(Q452,255),RIGHT('Disaggregation Records'!$D$69:$D$152,255),0))="","",INDEX('Disaggregation Records'!$E$69:$E$152,MATCH(RIGHT(Q452,255),RIGHT('Disaggregation Records'!$D$69:$D$152,255),0))),"")</f>
        <v/>
      </c>
      <c r="S452" s="89" t="str">
        <f t="array" aca="1" ref="S452" ca="1">IFERROR(IF(INDEX('Disaggregation Records'!$F$69:$F$152,MATCH(RIGHT(Q452,255),RIGHT('Disaggregation Records'!$D$69:$D$152,255),0))="","",INDEX('Disaggregation Records'!$F$69:$F$152,MATCH(RIGHT(Q452,255),RIGHT('Disaggregation Records'!$D$69:$D$152,255),0))),"")</f>
        <v/>
      </c>
      <c r="T452" s="89" t="str">
        <f t="array" aca="1" ref="T452" ca="1">IFERROR(IF(INDEX('Disaggregation Records'!$H$69:$H$152,MATCH(RIGHT(Q452,255),RIGHT('Disaggregation Records'!$D$69:$D$152,255),0))="","",INDEX('Disaggregation Records'!$H$69:$H$152,MATCH(RIGHT(Q452,255),RIGHT('Disaggregation Records'!$D$69:$D$152,255),0))),"")</f>
        <v/>
      </c>
      <c r="U452" s="89">
        <f>U450+1</f>
        <v>955</v>
      </c>
      <c r="V452" s="89" t="str">
        <f t="array" aca="1" ref="V452" ca="1">IFERROR(IF(INDEX('Disaggregation Records'!$I$69:$I$152,MATCH(RIGHT(Q452,255),RIGHT('Disaggregation Records'!$D$69:$D$152,255),0))="","",INDEX('Disaggregation Records'!$I$69:$I$152,MATCH(RIGHT(Q452,255),RIGHT('Disaggregation Records'!$D$69:$D$152,255),0))),"")</f>
        <v/>
      </c>
      <c r="W452" s="89" t="str">
        <f ca="1">IFERROR(INDEX('Reference Records'!P$23:P$74,MATCH(LEFT(C452,255),'Reference Records'!J$23:J$74,0)),"")</f>
        <v>TB O-5⁽ᴹ⁾ TB treatment coverage: Percentage of new and relapse cases that were notified and treated among the estimated number of incident TB cases in the same year (all form of TB - bacteriologically confirmed plus clinically diagnosed)</v>
      </c>
    </row>
    <row r="453" spans="1:23" s="89" customFormat="1" ht="40.35" customHeight="1">
      <c r="A453" s="564"/>
      <c r="B453" s="799"/>
      <c r="C453" s="800"/>
      <c r="D453" s="801"/>
      <c r="E453" s="801"/>
      <c r="F453" s="128"/>
      <c r="G453" s="802"/>
      <c r="H453" s="781"/>
      <c r="I453" s="803"/>
      <c r="J453" s="779"/>
      <c r="K453" s="800"/>
      <c r="L453" s="800"/>
      <c r="M453" s="779"/>
      <c r="N453" s="779"/>
      <c r="V453" s="89" t="str">
        <f t="array" ref="V453">IFERROR(IF(INDEX('Disaggregation Records'!$I$69:$I$152,MATCH(RIGHT(Q453,255),RIGHT('Disaggregation Records'!$D$69:$D$152,255),0))="","",INDEX('Disaggregation Records'!$I$69:$I$152,MATCH(RIGHT(Q453,255),RIGHT('Disaggregation Records'!$D$69:$D$152,255),0))),"")</f>
        <v/>
      </c>
    </row>
    <row r="454" spans="1:23" s="89" customFormat="1" ht="40.35" customHeight="1">
      <c r="A454" s="564" t="str">
        <f ca="1">INDIRECT("'update Helper'!C"&amp;U454)</f>
        <v>a1V3p000006h2wrEAA</v>
      </c>
      <c r="B454" s="794">
        <v>7</v>
      </c>
      <c r="C454" s="795" t="str">
        <f ca="1">IFERROR(VLOOKUP(B454,'Outcome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54" s="796" t="str">
        <f ca="1">R454</f>
        <v/>
      </c>
      <c r="E454" s="796" t="str">
        <f ca="1">S454</f>
        <v/>
      </c>
      <c r="F454" s="127"/>
      <c r="G454" s="797" t="str">
        <f ca="1">IF(OR(INDIRECT("'update Helper'!E"&amp;U454)="",F454&lt;&gt;0,F455&lt;&gt;0),IF(IFERROR((F454/F455),"")="","",(F454/F455)),INDIRECT("'update Helper'!E"&amp;U454)/100)</f>
        <v/>
      </c>
      <c r="H454" s="784"/>
      <c r="I454" s="798"/>
      <c r="J454" s="777"/>
      <c r="K454" s="795" t="str">
        <f ca="1">W454</f>
        <v>TB O-5⁽ᴹ⁾ TB treatment coverage: Percentage of new and relapse cases that were notified and treated among the estimated number of incident TB cases in the same year (all form of TB - bacteriologically confirmed plus clinically diagnosed)</v>
      </c>
      <c r="L454" s="795" t="str">
        <f ca="1">V454</f>
        <v/>
      </c>
      <c r="M454" s="777"/>
      <c r="N454" s="777"/>
      <c r="P454" s="89">
        <f ca="1">IF(AND(EXACT(C454,C452),C452&lt;&gt;0),P452+1,0)</f>
        <v>9</v>
      </c>
      <c r="Q454" s="89" t="str">
        <f ca="1">IF(C454&lt;&gt;"",C454&amp;"-"&amp;P454,"")</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clínico).-9</v>
      </c>
      <c r="R454" s="89" t="str">
        <f t="array" aca="1" ref="R454" ca="1">IFERROR(IF(INDEX('Disaggregation Records'!$E$69:$E$152,MATCH(RIGHT(Q454,255),RIGHT('Disaggregation Records'!$D$69:$D$152,255),0))="","",INDEX('Disaggregation Records'!$E$69:$E$152,MATCH(RIGHT(Q454,255),RIGHT('Disaggregation Records'!$D$69:$D$152,255),0))),"")</f>
        <v/>
      </c>
      <c r="S454" s="89" t="str">
        <f t="array" aca="1" ref="S454" ca="1">IFERROR(IF(INDEX('Disaggregation Records'!$F$69:$F$152,MATCH(RIGHT(Q454,255),RIGHT('Disaggregation Records'!$D$69:$D$152,255),0))="","",INDEX('Disaggregation Records'!$F$69:$F$152,MATCH(RIGHT(Q454,255),RIGHT('Disaggregation Records'!$D$69:$D$152,255),0))),"")</f>
        <v/>
      </c>
      <c r="T454" s="89" t="str">
        <f t="array" aca="1" ref="T454" ca="1">IFERROR(IF(INDEX('Disaggregation Records'!$H$69:$H$152,MATCH(RIGHT(Q454,255),RIGHT('Disaggregation Records'!$D$69:$D$152,255),0))="","",INDEX('Disaggregation Records'!$H$69:$H$152,MATCH(RIGHT(Q454,255),RIGHT('Disaggregation Records'!$D$69:$D$152,255),0))),"")</f>
        <v/>
      </c>
      <c r="U454" s="89">
        <f>U452+1</f>
        <v>956</v>
      </c>
      <c r="V454" s="89" t="str">
        <f t="array" aca="1" ref="V454" ca="1">IFERROR(IF(INDEX('Disaggregation Records'!$I$69:$I$152,MATCH(RIGHT(Q454,255),RIGHT('Disaggregation Records'!$D$69:$D$152,255),0))="","",INDEX('Disaggregation Records'!$I$69:$I$152,MATCH(RIGHT(Q454,255),RIGHT('Disaggregation Records'!$D$69:$D$152,255),0))),"")</f>
        <v/>
      </c>
      <c r="W454" s="89" t="str">
        <f ca="1">IFERROR(INDEX('Reference Records'!P$23:P$74,MATCH(LEFT(C454,255),'Reference Records'!J$23:J$74,0)),"")</f>
        <v>TB O-5⁽ᴹ⁾ TB treatment coverage: Percentage of new and relapse cases that were notified and treated among the estimated number of incident TB cases in the same year (all form of TB - bacteriologically confirmed plus clinically diagnosed)</v>
      </c>
    </row>
    <row r="455" spans="1:23" s="89" customFormat="1" ht="40.35" customHeight="1">
      <c r="A455" s="564"/>
      <c r="B455" s="799"/>
      <c r="C455" s="800"/>
      <c r="D455" s="801"/>
      <c r="E455" s="801"/>
      <c r="F455" s="128"/>
      <c r="G455" s="802"/>
      <c r="H455" s="781"/>
      <c r="I455" s="803"/>
      <c r="J455" s="779"/>
      <c r="K455" s="800"/>
      <c r="L455" s="800"/>
      <c r="M455" s="779"/>
      <c r="N455" s="779"/>
      <c r="V455" s="89" t="str">
        <f t="array" ref="V455">IFERROR(IF(INDEX('Disaggregation Records'!$I$69:$I$152,MATCH(RIGHT(Q455,255),RIGHT('Disaggregation Records'!$D$69:$D$152,255),0))="","",INDEX('Disaggregation Records'!$I$69:$I$152,MATCH(RIGHT(Q455,255),RIGHT('Disaggregation Records'!$D$69:$D$152,255),0))),"")</f>
        <v/>
      </c>
    </row>
    <row r="456" spans="1:23" s="89" customFormat="1" ht="40.35" customHeight="1">
      <c r="A456" s="564" t="str">
        <f ca="1">INDIRECT("'update Helper'!C"&amp;U456)</f>
        <v>a1V3p000006h2wsEAA</v>
      </c>
      <c r="B456" s="794">
        <v>8</v>
      </c>
      <c r="C456" s="795" t="str">
        <f ca="1">IFERROR(VLOOKUP(B456,'Outcome Indicators - Section C '!$A$9:$AF$70,32,FALSE),"")</f>
        <v/>
      </c>
      <c r="D456" s="796" t="str">
        <f ca="1">R456</f>
        <v/>
      </c>
      <c r="E456" s="796" t="str">
        <f ca="1">S456</f>
        <v/>
      </c>
      <c r="F456" s="127"/>
      <c r="G456" s="797" t="str">
        <f ca="1">IF(OR(INDIRECT("'update Helper'!E"&amp;U456)="",F456&lt;&gt;0,F457&lt;&gt;0),IF(IFERROR((F456/F457),"")="","",(F456/F457)),INDIRECT("'update Helper'!E"&amp;U456)/100)</f>
        <v/>
      </c>
      <c r="H456" s="784"/>
      <c r="I456" s="798"/>
      <c r="J456" s="777"/>
      <c r="K456" s="795" t="str">
        <f ca="1">W456</f>
        <v/>
      </c>
      <c r="L456" s="795" t="str">
        <f ca="1">V456</f>
        <v/>
      </c>
      <c r="M456" s="777"/>
      <c r="N456" s="777"/>
      <c r="P456" s="89">
        <f ca="1">IF(AND(EXACT(C456,C454),C454&lt;&gt;0),P454+1,0)</f>
        <v>0</v>
      </c>
      <c r="Q456" s="89" t="str">
        <f ca="1">IF(C456&lt;&gt;"",C456&amp;"-"&amp;P456,"")</f>
        <v/>
      </c>
      <c r="R456" s="89" t="str">
        <f t="array" aca="1" ref="R456" ca="1">IFERROR(IF(INDEX('Disaggregation Records'!$E$69:$E$152,MATCH(RIGHT(Q456,255),RIGHT('Disaggregation Records'!$D$69:$D$152,255),0))="","",INDEX('Disaggregation Records'!$E$69:$E$152,MATCH(RIGHT(Q456,255),RIGHT('Disaggregation Records'!$D$69:$D$152,255),0))),"")</f>
        <v/>
      </c>
      <c r="S456" s="89" t="str">
        <f t="array" aca="1" ref="S456" ca="1">IFERROR(IF(INDEX('Disaggregation Records'!$F$69:$F$152,MATCH(RIGHT(Q456,255),RIGHT('Disaggregation Records'!$D$69:$D$152,255),0))="","",INDEX('Disaggregation Records'!$F$69:$F$152,MATCH(RIGHT(Q456,255),RIGHT('Disaggregation Records'!$D$69:$D$152,255),0))),"")</f>
        <v/>
      </c>
      <c r="T456" s="89" t="str">
        <f t="array" aca="1" ref="T456" ca="1">IFERROR(IF(INDEX('Disaggregation Records'!$H$69:$H$152,MATCH(RIGHT(Q456,255),RIGHT('Disaggregation Records'!$D$69:$D$152,255),0))="","",INDEX('Disaggregation Records'!$H$69:$H$152,MATCH(RIGHT(Q456,255),RIGHT('Disaggregation Records'!$D$69:$D$152,255),0))),"")</f>
        <v/>
      </c>
      <c r="U456" s="89">
        <f>U454+1</f>
        <v>957</v>
      </c>
      <c r="V456" s="89" t="str">
        <f t="array" aca="1" ref="V456" ca="1">IFERROR(IF(INDEX('Disaggregation Records'!$I$69:$I$152,MATCH(RIGHT(Q456,255),RIGHT('Disaggregation Records'!$D$69:$D$152,255),0))="","",INDEX('Disaggregation Records'!$I$69:$I$152,MATCH(RIGHT(Q456,255),RIGHT('Disaggregation Records'!$D$69:$D$152,255),0))),"")</f>
        <v/>
      </c>
      <c r="W456" s="89" t="str">
        <f ca="1">IFERROR(INDEX('Reference Records'!P$23:P$74,MATCH(LEFT(C456,255),'Reference Records'!J$23:J$74,0)),"")</f>
        <v/>
      </c>
    </row>
    <row r="457" spans="1:23" s="89" customFormat="1" ht="40.35" customHeight="1">
      <c r="A457" s="564"/>
      <c r="B457" s="799"/>
      <c r="C457" s="800"/>
      <c r="D457" s="801"/>
      <c r="E457" s="801"/>
      <c r="F457" s="128"/>
      <c r="G457" s="802"/>
      <c r="H457" s="781"/>
      <c r="I457" s="803"/>
      <c r="J457" s="779"/>
      <c r="K457" s="800"/>
      <c r="L457" s="800"/>
      <c r="M457" s="779"/>
      <c r="N457" s="779"/>
      <c r="V457" s="89" t="str">
        <f t="array" ref="V457">IFERROR(IF(INDEX('Disaggregation Records'!$I$69:$I$152,MATCH(RIGHT(Q457,255),RIGHT('Disaggregation Records'!$D$69:$D$152,255),0))="","",INDEX('Disaggregation Records'!$I$69:$I$152,MATCH(RIGHT(Q457,255),RIGHT('Disaggregation Records'!$D$69:$D$152,255),0))),"")</f>
        <v/>
      </c>
    </row>
    <row r="458" spans="1:23" s="89" customFormat="1" ht="40.35" customHeight="1">
      <c r="A458" s="564" t="str">
        <f ca="1">INDIRECT("'update Helper'!C"&amp;U458)</f>
        <v>a1V3p000006h2wtEAA</v>
      </c>
      <c r="B458" s="794">
        <v>8</v>
      </c>
      <c r="C458" s="795" t="str">
        <f ca="1">IFERROR(VLOOKUP(B458,'Outcome Indicators - Section C '!$A$9:$AF$70,32,FALSE),"")</f>
        <v/>
      </c>
      <c r="D458" s="796" t="str">
        <f ca="1">R458</f>
        <v/>
      </c>
      <c r="E458" s="796" t="str">
        <f ca="1">S458</f>
        <v/>
      </c>
      <c r="F458" s="127"/>
      <c r="G458" s="797" t="str">
        <f ca="1">IF(OR(INDIRECT("'update Helper'!E"&amp;U458)="",F458&lt;&gt;0,F459&lt;&gt;0),IF(IFERROR((F458/F459),"")="","",(F458/F459)),INDIRECT("'update Helper'!E"&amp;U458)/100)</f>
        <v/>
      </c>
      <c r="H458" s="784"/>
      <c r="I458" s="798"/>
      <c r="J458" s="777"/>
      <c r="K458" s="795" t="str">
        <f ca="1">W458</f>
        <v/>
      </c>
      <c r="L458" s="795" t="str">
        <f ca="1">V458</f>
        <v/>
      </c>
      <c r="M458" s="777"/>
      <c r="N458" s="777"/>
      <c r="P458" s="89">
        <f ca="1">IF(AND(EXACT(C458,C456),C456&lt;&gt;0),P456+1,0)</f>
        <v>1</v>
      </c>
      <c r="Q458" s="89" t="str">
        <f ca="1">IF(C458&lt;&gt;"",C458&amp;"-"&amp;P458,"")</f>
        <v/>
      </c>
      <c r="R458" s="89" t="str">
        <f t="array" aca="1" ref="R458" ca="1">IFERROR(IF(INDEX('Disaggregation Records'!$E$69:$E$152,MATCH(RIGHT(Q458,255),RIGHT('Disaggregation Records'!$D$69:$D$152,255),0))="","",INDEX('Disaggregation Records'!$E$69:$E$152,MATCH(RIGHT(Q458,255),RIGHT('Disaggregation Records'!$D$69:$D$152,255),0))),"")</f>
        <v/>
      </c>
      <c r="S458" s="89" t="str">
        <f t="array" aca="1" ref="S458" ca="1">IFERROR(IF(INDEX('Disaggregation Records'!$F$69:$F$152,MATCH(RIGHT(Q458,255),RIGHT('Disaggregation Records'!$D$69:$D$152,255),0))="","",INDEX('Disaggregation Records'!$F$69:$F$152,MATCH(RIGHT(Q458,255),RIGHT('Disaggregation Records'!$D$69:$D$152,255),0))),"")</f>
        <v/>
      </c>
      <c r="T458" s="89" t="str">
        <f t="array" aca="1" ref="T458" ca="1">IFERROR(IF(INDEX('Disaggregation Records'!$H$69:$H$152,MATCH(RIGHT(Q458,255),RIGHT('Disaggregation Records'!$D$69:$D$152,255),0))="","",INDEX('Disaggregation Records'!$H$69:$H$152,MATCH(RIGHT(Q458,255),RIGHT('Disaggregation Records'!$D$69:$D$152,255),0))),"")</f>
        <v/>
      </c>
      <c r="U458" s="89">
        <f>U456+1</f>
        <v>958</v>
      </c>
      <c r="V458" s="89" t="str">
        <f t="array" aca="1" ref="V458" ca="1">IFERROR(IF(INDEX('Disaggregation Records'!$I$69:$I$152,MATCH(RIGHT(Q458,255),RIGHT('Disaggregation Records'!$D$69:$D$152,255),0))="","",INDEX('Disaggregation Records'!$I$69:$I$152,MATCH(RIGHT(Q458,255),RIGHT('Disaggregation Records'!$D$69:$D$152,255),0))),"")</f>
        <v/>
      </c>
      <c r="W458" s="89" t="str">
        <f ca="1">IFERROR(INDEX('Reference Records'!P$23:P$74,MATCH(LEFT(C458,255),'Reference Records'!J$23:J$74,0)),"")</f>
        <v/>
      </c>
    </row>
    <row r="459" spans="1:23" s="89" customFormat="1" ht="40.35" customHeight="1">
      <c r="A459" s="564"/>
      <c r="B459" s="799"/>
      <c r="C459" s="800"/>
      <c r="D459" s="801"/>
      <c r="E459" s="801"/>
      <c r="F459" s="128"/>
      <c r="G459" s="802"/>
      <c r="H459" s="781"/>
      <c r="I459" s="803"/>
      <c r="J459" s="779"/>
      <c r="K459" s="800"/>
      <c r="L459" s="800"/>
      <c r="M459" s="779"/>
      <c r="N459" s="779"/>
      <c r="V459" s="89" t="str">
        <f t="array" ref="V459">IFERROR(IF(INDEX('Disaggregation Records'!$I$69:$I$152,MATCH(RIGHT(Q459,255),RIGHT('Disaggregation Records'!$D$69:$D$152,255),0))="","",INDEX('Disaggregation Records'!$I$69:$I$152,MATCH(RIGHT(Q459,255),RIGHT('Disaggregation Records'!$D$69:$D$152,255),0))),"")</f>
        <v/>
      </c>
    </row>
    <row r="460" spans="1:23" s="89" customFormat="1" ht="40.35" customHeight="1">
      <c r="A460" s="564" t="str">
        <f ca="1">INDIRECT("'update Helper'!C"&amp;U460)</f>
        <v>a1V3p000006h2wuEAA</v>
      </c>
      <c r="B460" s="794">
        <v>8</v>
      </c>
      <c r="C460" s="795" t="str">
        <f ca="1">IFERROR(VLOOKUP(B460,'Outcome Indicators - Section C '!$A$9:$AF$70,32,FALSE),"")</f>
        <v/>
      </c>
      <c r="D460" s="796" t="str">
        <f ca="1">R460</f>
        <v/>
      </c>
      <c r="E460" s="796" t="str">
        <f ca="1">S460</f>
        <v/>
      </c>
      <c r="F460" s="127"/>
      <c r="G460" s="797" t="str">
        <f ca="1">IF(OR(INDIRECT("'update Helper'!E"&amp;U460)="",F460&lt;&gt;0,F461&lt;&gt;0),IF(IFERROR((F460/F461),"")="","",(F460/F461)),INDIRECT("'update Helper'!E"&amp;U460)/100)</f>
        <v/>
      </c>
      <c r="H460" s="784"/>
      <c r="I460" s="798"/>
      <c r="J460" s="777"/>
      <c r="K460" s="795" t="str">
        <f ca="1">W460</f>
        <v/>
      </c>
      <c r="L460" s="795" t="str">
        <f ca="1">V460</f>
        <v/>
      </c>
      <c r="M460" s="777"/>
      <c r="N460" s="777"/>
      <c r="P460" s="89">
        <f ca="1">IF(AND(EXACT(C460,C458),C458&lt;&gt;0),P458+1,0)</f>
        <v>2</v>
      </c>
      <c r="Q460" s="89" t="str">
        <f ca="1">IF(C460&lt;&gt;"",C460&amp;"-"&amp;P460,"")</f>
        <v/>
      </c>
      <c r="R460" s="89" t="str">
        <f t="array" aca="1" ref="R460" ca="1">IFERROR(IF(INDEX('Disaggregation Records'!$E$69:$E$152,MATCH(RIGHT(Q460,255),RIGHT('Disaggregation Records'!$D$69:$D$152,255),0))="","",INDEX('Disaggregation Records'!$E$69:$E$152,MATCH(RIGHT(Q460,255),RIGHT('Disaggregation Records'!$D$69:$D$152,255),0))),"")</f>
        <v/>
      </c>
      <c r="S460" s="89" t="str">
        <f t="array" aca="1" ref="S460" ca="1">IFERROR(IF(INDEX('Disaggregation Records'!$F$69:$F$152,MATCH(RIGHT(Q460,255),RIGHT('Disaggregation Records'!$D$69:$D$152,255),0))="","",INDEX('Disaggregation Records'!$F$69:$F$152,MATCH(RIGHT(Q460,255),RIGHT('Disaggregation Records'!$D$69:$D$152,255),0))),"")</f>
        <v/>
      </c>
      <c r="T460" s="89" t="str">
        <f t="array" aca="1" ref="T460" ca="1">IFERROR(IF(INDEX('Disaggregation Records'!$H$69:$H$152,MATCH(RIGHT(Q460,255),RIGHT('Disaggregation Records'!$D$69:$D$152,255),0))="","",INDEX('Disaggregation Records'!$H$69:$H$152,MATCH(RIGHT(Q460,255),RIGHT('Disaggregation Records'!$D$69:$D$152,255),0))),"")</f>
        <v/>
      </c>
      <c r="U460" s="89">
        <f>U458+1</f>
        <v>959</v>
      </c>
      <c r="V460" s="89" t="str">
        <f t="array" aca="1" ref="V460" ca="1">IFERROR(IF(INDEX('Disaggregation Records'!$I$69:$I$152,MATCH(RIGHT(Q460,255),RIGHT('Disaggregation Records'!$D$69:$D$152,255),0))="","",INDEX('Disaggregation Records'!$I$69:$I$152,MATCH(RIGHT(Q460,255),RIGHT('Disaggregation Records'!$D$69:$D$152,255),0))),"")</f>
        <v/>
      </c>
      <c r="W460" s="89" t="str">
        <f ca="1">IFERROR(INDEX('Reference Records'!P$23:P$74,MATCH(LEFT(C460,255),'Reference Records'!J$23:J$74,0)),"")</f>
        <v/>
      </c>
    </row>
    <row r="461" spans="1:23" s="89" customFormat="1" ht="40.35" customHeight="1">
      <c r="A461" s="564"/>
      <c r="B461" s="799"/>
      <c r="C461" s="800"/>
      <c r="D461" s="801"/>
      <c r="E461" s="801"/>
      <c r="F461" s="128"/>
      <c r="G461" s="802"/>
      <c r="H461" s="781"/>
      <c r="I461" s="803"/>
      <c r="J461" s="779"/>
      <c r="K461" s="800"/>
      <c r="L461" s="800"/>
      <c r="M461" s="779"/>
      <c r="N461" s="779"/>
      <c r="V461" s="89" t="str">
        <f t="array" ref="V461">IFERROR(IF(INDEX('Disaggregation Records'!$I$69:$I$152,MATCH(RIGHT(Q461,255),RIGHT('Disaggregation Records'!$D$69:$D$152,255),0))="","",INDEX('Disaggregation Records'!$I$69:$I$152,MATCH(RIGHT(Q461,255),RIGHT('Disaggregation Records'!$D$69:$D$152,255),0))),"")</f>
        <v/>
      </c>
    </row>
    <row r="462" spans="1:23" s="89" customFormat="1" ht="40.35" customHeight="1">
      <c r="A462" s="564" t="str">
        <f ca="1">INDIRECT("'update Helper'!C"&amp;U462)</f>
        <v>a1V3p000006h2wvEAA</v>
      </c>
      <c r="B462" s="794">
        <v>8</v>
      </c>
      <c r="C462" s="795" t="str">
        <f ca="1">IFERROR(VLOOKUP(B462,'Outcome Indicators - Section C '!$A$9:$AF$70,32,FALSE),"")</f>
        <v/>
      </c>
      <c r="D462" s="796" t="str">
        <f ca="1">R462</f>
        <v/>
      </c>
      <c r="E462" s="796" t="str">
        <f ca="1">S462</f>
        <v/>
      </c>
      <c r="F462" s="127"/>
      <c r="G462" s="797" t="str">
        <f ca="1">IF(OR(INDIRECT("'update Helper'!E"&amp;U462)="",F462&lt;&gt;0,F463&lt;&gt;0),IF(IFERROR((F462/F463),"")="","",(F462/F463)),INDIRECT("'update Helper'!E"&amp;U462)/100)</f>
        <v/>
      </c>
      <c r="H462" s="784"/>
      <c r="I462" s="798"/>
      <c r="J462" s="777"/>
      <c r="K462" s="795" t="str">
        <f ca="1">W462</f>
        <v/>
      </c>
      <c r="L462" s="795" t="str">
        <f ca="1">V462</f>
        <v/>
      </c>
      <c r="M462" s="777"/>
      <c r="N462" s="777"/>
      <c r="P462" s="89">
        <f ca="1">IF(AND(EXACT(C462,C460),C460&lt;&gt;0),P460+1,0)</f>
        <v>3</v>
      </c>
      <c r="Q462" s="89" t="str">
        <f ca="1">IF(C462&lt;&gt;"",C462&amp;"-"&amp;P462,"")</f>
        <v/>
      </c>
      <c r="R462" s="89" t="str">
        <f t="array" aca="1" ref="R462" ca="1">IFERROR(IF(INDEX('Disaggregation Records'!$E$69:$E$152,MATCH(RIGHT(Q462,255),RIGHT('Disaggregation Records'!$D$69:$D$152,255),0))="","",INDEX('Disaggregation Records'!$E$69:$E$152,MATCH(RIGHT(Q462,255),RIGHT('Disaggregation Records'!$D$69:$D$152,255),0))),"")</f>
        <v/>
      </c>
      <c r="S462" s="89" t="str">
        <f t="array" aca="1" ref="S462" ca="1">IFERROR(IF(INDEX('Disaggregation Records'!$F$69:$F$152,MATCH(RIGHT(Q462,255),RIGHT('Disaggregation Records'!$D$69:$D$152,255),0))="","",INDEX('Disaggregation Records'!$F$69:$F$152,MATCH(RIGHT(Q462,255),RIGHT('Disaggregation Records'!$D$69:$D$152,255),0))),"")</f>
        <v/>
      </c>
      <c r="T462" s="89" t="str">
        <f t="array" aca="1" ref="T462" ca="1">IFERROR(IF(INDEX('Disaggregation Records'!$H$69:$H$152,MATCH(RIGHT(Q462,255),RIGHT('Disaggregation Records'!$D$69:$D$152,255),0))="","",INDEX('Disaggregation Records'!$H$69:$H$152,MATCH(RIGHT(Q462,255),RIGHT('Disaggregation Records'!$D$69:$D$152,255),0))),"")</f>
        <v/>
      </c>
      <c r="U462" s="89">
        <f>U460+1</f>
        <v>960</v>
      </c>
      <c r="V462" s="89" t="str">
        <f t="array" aca="1" ref="V462" ca="1">IFERROR(IF(INDEX('Disaggregation Records'!$I$69:$I$152,MATCH(RIGHT(Q462,255),RIGHT('Disaggregation Records'!$D$69:$D$152,255),0))="","",INDEX('Disaggregation Records'!$I$69:$I$152,MATCH(RIGHT(Q462,255),RIGHT('Disaggregation Records'!$D$69:$D$152,255),0))),"")</f>
        <v/>
      </c>
      <c r="W462" s="89" t="str">
        <f ca="1">IFERROR(INDEX('Reference Records'!P$23:P$74,MATCH(LEFT(C462,255),'Reference Records'!J$23:J$74,0)),"")</f>
        <v/>
      </c>
    </row>
    <row r="463" spans="1:23" s="89" customFormat="1" ht="40.35" customHeight="1">
      <c r="A463" s="564"/>
      <c r="B463" s="799"/>
      <c r="C463" s="800"/>
      <c r="D463" s="801"/>
      <c r="E463" s="801"/>
      <c r="F463" s="128"/>
      <c r="G463" s="802"/>
      <c r="H463" s="781"/>
      <c r="I463" s="803"/>
      <c r="J463" s="779"/>
      <c r="K463" s="800"/>
      <c r="L463" s="800"/>
      <c r="M463" s="779"/>
      <c r="N463" s="779"/>
      <c r="V463" s="89" t="str">
        <f t="array" ref="V463">IFERROR(IF(INDEX('Disaggregation Records'!$I$69:$I$152,MATCH(RIGHT(Q463,255),RIGHT('Disaggregation Records'!$D$69:$D$152,255),0))="","",INDEX('Disaggregation Records'!$I$69:$I$152,MATCH(RIGHT(Q463,255),RIGHT('Disaggregation Records'!$D$69:$D$152,255),0))),"")</f>
        <v/>
      </c>
    </row>
    <row r="464" spans="1:23" s="89" customFormat="1" ht="40.35" customHeight="1">
      <c r="A464" s="564" t="str">
        <f ca="1">INDIRECT("'update Helper'!C"&amp;U464)</f>
        <v>a1V3p000006h2wwEAA</v>
      </c>
      <c r="B464" s="794">
        <v>8</v>
      </c>
      <c r="C464" s="795" t="str">
        <f ca="1">IFERROR(VLOOKUP(B464,'Outcome Indicators - Section C '!$A$9:$AF$70,32,FALSE),"")</f>
        <v/>
      </c>
      <c r="D464" s="796" t="str">
        <f ca="1">R464</f>
        <v/>
      </c>
      <c r="E464" s="796" t="str">
        <f ca="1">S464</f>
        <v/>
      </c>
      <c r="F464" s="127"/>
      <c r="G464" s="797" t="str">
        <f ca="1">IF(OR(INDIRECT("'update Helper'!E"&amp;U464)="",F464&lt;&gt;0,F465&lt;&gt;0),IF(IFERROR((F464/F465),"")="","",(F464/F465)),INDIRECT("'update Helper'!E"&amp;U464)/100)</f>
        <v/>
      </c>
      <c r="H464" s="784"/>
      <c r="I464" s="798"/>
      <c r="J464" s="777"/>
      <c r="K464" s="795" t="str">
        <f ca="1">W464</f>
        <v/>
      </c>
      <c r="L464" s="795" t="str">
        <f ca="1">V464</f>
        <v/>
      </c>
      <c r="M464" s="777"/>
      <c r="N464" s="777"/>
      <c r="P464" s="89">
        <f ca="1">IF(AND(EXACT(C464,C462),C462&lt;&gt;0),P462+1,0)</f>
        <v>4</v>
      </c>
      <c r="Q464" s="89" t="str">
        <f ca="1">IF(C464&lt;&gt;"",C464&amp;"-"&amp;P464,"")</f>
        <v/>
      </c>
      <c r="R464" s="89" t="str">
        <f t="array" aca="1" ref="R464" ca="1">IFERROR(IF(INDEX('Disaggregation Records'!$E$69:$E$152,MATCH(RIGHT(Q464,255),RIGHT('Disaggregation Records'!$D$69:$D$152,255),0))="","",INDEX('Disaggregation Records'!$E$69:$E$152,MATCH(RIGHT(Q464,255),RIGHT('Disaggregation Records'!$D$69:$D$152,255),0))),"")</f>
        <v/>
      </c>
      <c r="S464" s="89" t="str">
        <f t="array" aca="1" ref="S464" ca="1">IFERROR(IF(INDEX('Disaggregation Records'!$F$69:$F$152,MATCH(RIGHT(Q464,255),RIGHT('Disaggregation Records'!$D$69:$D$152,255),0))="","",INDEX('Disaggregation Records'!$F$69:$F$152,MATCH(RIGHT(Q464,255),RIGHT('Disaggregation Records'!$D$69:$D$152,255),0))),"")</f>
        <v/>
      </c>
      <c r="T464" s="89" t="str">
        <f t="array" aca="1" ref="T464" ca="1">IFERROR(IF(INDEX('Disaggregation Records'!$H$69:$H$152,MATCH(RIGHT(Q464,255),RIGHT('Disaggregation Records'!$D$69:$D$152,255),0))="","",INDEX('Disaggregation Records'!$H$69:$H$152,MATCH(RIGHT(Q464,255),RIGHT('Disaggregation Records'!$D$69:$D$152,255),0))),"")</f>
        <v/>
      </c>
      <c r="U464" s="89">
        <f>U462+1</f>
        <v>961</v>
      </c>
      <c r="V464" s="89" t="str">
        <f t="array" aca="1" ref="V464" ca="1">IFERROR(IF(INDEX('Disaggregation Records'!$I$69:$I$152,MATCH(RIGHT(Q464,255),RIGHT('Disaggregation Records'!$D$69:$D$152,255),0))="","",INDEX('Disaggregation Records'!$I$69:$I$152,MATCH(RIGHT(Q464,255),RIGHT('Disaggregation Records'!$D$69:$D$152,255),0))),"")</f>
        <v/>
      </c>
      <c r="W464" s="89" t="str">
        <f ca="1">IFERROR(INDEX('Reference Records'!P$23:P$74,MATCH(LEFT(C464,255),'Reference Records'!J$23:J$74,0)),"")</f>
        <v/>
      </c>
    </row>
    <row r="465" spans="1:23" s="89" customFormat="1" ht="40.35" customHeight="1">
      <c r="A465" s="564"/>
      <c r="B465" s="799"/>
      <c r="C465" s="800"/>
      <c r="D465" s="801"/>
      <c r="E465" s="801"/>
      <c r="F465" s="128"/>
      <c r="G465" s="802"/>
      <c r="H465" s="781"/>
      <c r="I465" s="803"/>
      <c r="J465" s="779"/>
      <c r="K465" s="800"/>
      <c r="L465" s="800"/>
      <c r="M465" s="779"/>
      <c r="N465" s="779"/>
      <c r="V465" s="89" t="str">
        <f t="array" ref="V465">IFERROR(IF(INDEX('Disaggregation Records'!$I$69:$I$152,MATCH(RIGHT(Q465,255),RIGHT('Disaggregation Records'!$D$69:$D$152,255),0))="","",INDEX('Disaggregation Records'!$I$69:$I$152,MATCH(RIGHT(Q465,255),RIGHT('Disaggregation Records'!$D$69:$D$152,255),0))),"")</f>
        <v/>
      </c>
    </row>
    <row r="466" spans="1:23" s="89" customFormat="1" ht="40.35" customHeight="1">
      <c r="A466" s="564" t="str">
        <f ca="1">INDIRECT("'update Helper'!C"&amp;U466)</f>
        <v>a1V3p000006h2wxEAA</v>
      </c>
      <c r="B466" s="794">
        <v>8</v>
      </c>
      <c r="C466" s="795" t="str">
        <f ca="1">IFERROR(VLOOKUP(B466,'Outcome Indicators - Section C '!$A$9:$AF$70,32,FALSE),"")</f>
        <v/>
      </c>
      <c r="D466" s="796" t="str">
        <f ca="1">R466</f>
        <v/>
      </c>
      <c r="E466" s="796" t="str">
        <f ca="1">S466</f>
        <v/>
      </c>
      <c r="F466" s="127"/>
      <c r="G466" s="797" t="str">
        <f ca="1">IF(OR(INDIRECT("'update Helper'!E"&amp;U466)="",F466&lt;&gt;0,F467&lt;&gt;0),IF(IFERROR((F466/F467),"")="","",(F466/F467)),INDIRECT("'update Helper'!E"&amp;U466)/100)</f>
        <v/>
      </c>
      <c r="H466" s="784"/>
      <c r="I466" s="798"/>
      <c r="J466" s="777"/>
      <c r="K466" s="795" t="str">
        <f ca="1">W466</f>
        <v/>
      </c>
      <c r="L466" s="795" t="str">
        <f ca="1">V466</f>
        <v/>
      </c>
      <c r="M466" s="777"/>
      <c r="N466" s="777"/>
      <c r="P466" s="89">
        <f ca="1">IF(AND(EXACT(C466,C464),C464&lt;&gt;0),P464+1,0)</f>
        <v>5</v>
      </c>
      <c r="Q466" s="89" t="str">
        <f ca="1">IF(C466&lt;&gt;"",C466&amp;"-"&amp;P466,"")</f>
        <v/>
      </c>
      <c r="R466" s="89" t="str">
        <f t="array" aca="1" ref="R466" ca="1">IFERROR(IF(INDEX('Disaggregation Records'!$E$69:$E$152,MATCH(RIGHT(Q466,255),RIGHT('Disaggregation Records'!$D$69:$D$152,255),0))="","",INDEX('Disaggregation Records'!$E$69:$E$152,MATCH(RIGHT(Q466,255),RIGHT('Disaggregation Records'!$D$69:$D$152,255),0))),"")</f>
        <v/>
      </c>
      <c r="S466" s="89" t="str">
        <f t="array" aca="1" ref="S466" ca="1">IFERROR(IF(INDEX('Disaggregation Records'!$F$69:$F$152,MATCH(RIGHT(Q466,255),RIGHT('Disaggregation Records'!$D$69:$D$152,255),0))="","",INDEX('Disaggregation Records'!$F$69:$F$152,MATCH(RIGHT(Q466,255),RIGHT('Disaggregation Records'!$D$69:$D$152,255),0))),"")</f>
        <v/>
      </c>
      <c r="T466" s="89" t="str">
        <f t="array" aca="1" ref="T466" ca="1">IFERROR(IF(INDEX('Disaggregation Records'!$H$69:$H$152,MATCH(RIGHT(Q466,255),RIGHT('Disaggregation Records'!$D$69:$D$152,255),0))="","",INDEX('Disaggregation Records'!$H$69:$H$152,MATCH(RIGHT(Q466,255),RIGHT('Disaggregation Records'!$D$69:$D$152,255),0))),"")</f>
        <v/>
      </c>
      <c r="U466" s="89">
        <f>U464+1</f>
        <v>962</v>
      </c>
      <c r="V466" s="89" t="str">
        <f t="array" aca="1" ref="V466" ca="1">IFERROR(IF(INDEX('Disaggregation Records'!$I$69:$I$152,MATCH(RIGHT(Q466,255),RIGHT('Disaggregation Records'!$D$69:$D$152,255),0))="","",INDEX('Disaggregation Records'!$I$69:$I$152,MATCH(RIGHT(Q466,255),RIGHT('Disaggregation Records'!$D$69:$D$152,255),0))),"")</f>
        <v/>
      </c>
      <c r="W466" s="89" t="str">
        <f ca="1">IFERROR(INDEX('Reference Records'!P$23:P$74,MATCH(LEFT(C466,255),'Reference Records'!J$23:J$74,0)),"")</f>
        <v/>
      </c>
    </row>
    <row r="467" spans="1:23" s="89" customFormat="1" ht="40.35" customHeight="1">
      <c r="A467" s="564"/>
      <c r="B467" s="799"/>
      <c r="C467" s="800"/>
      <c r="D467" s="801"/>
      <c r="E467" s="801"/>
      <c r="F467" s="128"/>
      <c r="G467" s="802"/>
      <c r="H467" s="781"/>
      <c r="I467" s="803"/>
      <c r="J467" s="779"/>
      <c r="K467" s="800"/>
      <c r="L467" s="800"/>
      <c r="M467" s="779"/>
      <c r="N467" s="779"/>
      <c r="V467" s="89" t="str">
        <f t="array" ref="V467">IFERROR(IF(INDEX('Disaggregation Records'!$I$69:$I$152,MATCH(RIGHT(Q467,255),RIGHT('Disaggregation Records'!$D$69:$D$152,255),0))="","",INDEX('Disaggregation Records'!$I$69:$I$152,MATCH(RIGHT(Q467,255),RIGHT('Disaggregation Records'!$D$69:$D$152,255),0))),"")</f>
        <v/>
      </c>
    </row>
    <row r="468" spans="1:23" s="89" customFormat="1" ht="40.35" customHeight="1">
      <c r="A468" s="564" t="str">
        <f ca="1">INDIRECT("'update Helper'!C"&amp;U468)</f>
        <v>a1V3p000006h2wyEAA</v>
      </c>
      <c r="B468" s="794">
        <v>8</v>
      </c>
      <c r="C468" s="795" t="str">
        <f ca="1">IFERROR(VLOOKUP(B468,'Outcome Indicators - Section C '!$A$9:$AF$70,32,FALSE),"")</f>
        <v/>
      </c>
      <c r="D468" s="796" t="str">
        <f ca="1">R468</f>
        <v/>
      </c>
      <c r="E468" s="796" t="str">
        <f ca="1">S468</f>
        <v/>
      </c>
      <c r="F468" s="127"/>
      <c r="G468" s="797" t="str">
        <f ca="1">IF(OR(INDIRECT("'update Helper'!E"&amp;U468)="",F468&lt;&gt;0,F469&lt;&gt;0),IF(IFERROR((F468/F469),"")="","",(F468/F469)),INDIRECT("'update Helper'!E"&amp;U468)/100)</f>
        <v/>
      </c>
      <c r="H468" s="784"/>
      <c r="I468" s="798"/>
      <c r="J468" s="777"/>
      <c r="K468" s="795" t="str">
        <f ca="1">W468</f>
        <v/>
      </c>
      <c r="L468" s="795" t="str">
        <f ca="1">V468</f>
        <v/>
      </c>
      <c r="M468" s="777"/>
      <c r="N468" s="777"/>
      <c r="P468" s="89">
        <f ca="1">IF(AND(EXACT(C468,C466),C466&lt;&gt;0),P466+1,0)</f>
        <v>6</v>
      </c>
      <c r="Q468" s="89" t="str">
        <f ca="1">IF(C468&lt;&gt;"",C468&amp;"-"&amp;P468,"")</f>
        <v/>
      </c>
      <c r="R468" s="89" t="str">
        <f t="array" aca="1" ref="R468" ca="1">IFERROR(IF(INDEX('Disaggregation Records'!$E$69:$E$152,MATCH(RIGHT(Q468,255),RIGHT('Disaggregation Records'!$D$69:$D$152,255),0))="","",INDEX('Disaggregation Records'!$E$69:$E$152,MATCH(RIGHT(Q468,255),RIGHT('Disaggregation Records'!$D$69:$D$152,255),0))),"")</f>
        <v/>
      </c>
      <c r="S468" s="89" t="str">
        <f t="array" aca="1" ref="S468" ca="1">IFERROR(IF(INDEX('Disaggregation Records'!$F$69:$F$152,MATCH(RIGHT(Q468,255),RIGHT('Disaggregation Records'!$D$69:$D$152,255),0))="","",INDEX('Disaggregation Records'!$F$69:$F$152,MATCH(RIGHT(Q468,255),RIGHT('Disaggregation Records'!$D$69:$D$152,255),0))),"")</f>
        <v/>
      </c>
      <c r="T468" s="89" t="str">
        <f t="array" aca="1" ref="T468" ca="1">IFERROR(IF(INDEX('Disaggregation Records'!$H$69:$H$152,MATCH(RIGHT(Q468,255),RIGHT('Disaggregation Records'!$D$69:$D$152,255),0))="","",INDEX('Disaggregation Records'!$H$69:$H$152,MATCH(RIGHT(Q468,255),RIGHT('Disaggregation Records'!$D$69:$D$152,255),0))),"")</f>
        <v/>
      </c>
      <c r="U468" s="89">
        <f>U466+1</f>
        <v>963</v>
      </c>
      <c r="V468" s="89" t="str">
        <f t="array" aca="1" ref="V468" ca="1">IFERROR(IF(INDEX('Disaggregation Records'!$I$69:$I$152,MATCH(RIGHT(Q468,255),RIGHT('Disaggregation Records'!$D$69:$D$152,255),0))="","",INDEX('Disaggregation Records'!$I$69:$I$152,MATCH(RIGHT(Q468,255),RIGHT('Disaggregation Records'!$D$69:$D$152,255),0))),"")</f>
        <v/>
      </c>
      <c r="W468" s="89" t="str">
        <f ca="1">IFERROR(INDEX('Reference Records'!P$23:P$74,MATCH(LEFT(C468,255),'Reference Records'!J$23:J$74,0)),"")</f>
        <v/>
      </c>
    </row>
    <row r="469" spans="1:23" s="89" customFormat="1" ht="40.35" customHeight="1">
      <c r="A469" s="564"/>
      <c r="B469" s="799"/>
      <c r="C469" s="800"/>
      <c r="D469" s="801"/>
      <c r="E469" s="801"/>
      <c r="F469" s="128"/>
      <c r="G469" s="802"/>
      <c r="H469" s="781"/>
      <c r="I469" s="803"/>
      <c r="J469" s="779"/>
      <c r="K469" s="800"/>
      <c r="L469" s="800"/>
      <c r="M469" s="779"/>
      <c r="N469" s="779"/>
      <c r="V469" s="89" t="str">
        <f t="array" ref="V469">IFERROR(IF(INDEX('Disaggregation Records'!$I$69:$I$152,MATCH(RIGHT(Q469,255),RIGHT('Disaggregation Records'!$D$69:$D$152,255),0))="","",INDEX('Disaggregation Records'!$I$69:$I$152,MATCH(RIGHT(Q469,255),RIGHT('Disaggregation Records'!$D$69:$D$152,255),0))),"")</f>
        <v/>
      </c>
    </row>
    <row r="470" spans="1:23" s="89" customFormat="1" ht="40.35" customHeight="1">
      <c r="A470" s="564" t="str">
        <f ca="1">INDIRECT("'update Helper'!C"&amp;U470)</f>
        <v>a1V3p000006h2wzEAA</v>
      </c>
      <c r="B470" s="794">
        <v>8</v>
      </c>
      <c r="C470" s="795" t="str">
        <f ca="1">IFERROR(VLOOKUP(B470,'Outcome Indicators - Section C '!$A$9:$AF$70,32,FALSE),"")</f>
        <v/>
      </c>
      <c r="D470" s="796" t="str">
        <f ca="1">R470</f>
        <v/>
      </c>
      <c r="E470" s="796" t="str">
        <f ca="1">S470</f>
        <v/>
      </c>
      <c r="F470" s="127"/>
      <c r="G470" s="797" t="str">
        <f ca="1">IF(OR(INDIRECT("'update Helper'!E"&amp;U470)="",F470&lt;&gt;0,F471&lt;&gt;0),IF(IFERROR((F470/F471),"")="","",(F470/F471)),INDIRECT("'update Helper'!E"&amp;U470)/100)</f>
        <v/>
      </c>
      <c r="H470" s="784"/>
      <c r="I470" s="798"/>
      <c r="J470" s="777"/>
      <c r="K470" s="795" t="str">
        <f ca="1">W470</f>
        <v/>
      </c>
      <c r="L470" s="795" t="str">
        <f ca="1">V470</f>
        <v/>
      </c>
      <c r="M470" s="777"/>
      <c r="N470" s="777"/>
      <c r="P470" s="89">
        <f ca="1">IF(AND(EXACT(C470,C468),C468&lt;&gt;0),P468+1,0)</f>
        <v>7</v>
      </c>
      <c r="Q470" s="89" t="str">
        <f ca="1">IF(C470&lt;&gt;"",C470&amp;"-"&amp;P470,"")</f>
        <v/>
      </c>
      <c r="R470" s="89" t="str">
        <f t="array" aca="1" ref="R470" ca="1">IFERROR(IF(INDEX('Disaggregation Records'!$E$69:$E$152,MATCH(RIGHT(Q470,255),RIGHT('Disaggregation Records'!$D$69:$D$152,255),0))="","",INDEX('Disaggregation Records'!$E$69:$E$152,MATCH(RIGHT(Q470,255),RIGHT('Disaggregation Records'!$D$69:$D$152,255),0))),"")</f>
        <v/>
      </c>
      <c r="S470" s="89" t="str">
        <f t="array" aca="1" ref="S470" ca="1">IFERROR(IF(INDEX('Disaggregation Records'!$F$69:$F$152,MATCH(RIGHT(Q470,255),RIGHT('Disaggregation Records'!$D$69:$D$152,255),0))="","",INDEX('Disaggregation Records'!$F$69:$F$152,MATCH(RIGHT(Q470,255),RIGHT('Disaggregation Records'!$D$69:$D$152,255),0))),"")</f>
        <v/>
      </c>
      <c r="T470" s="89" t="str">
        <f t="array" aca="1" ref="T470" ca="1">IFERROR(IF(INDEX('Disaggregation Records'!$H$69:$H$152,MATCH(RIGHT(Q470,255),RIGHT('Disaggregation Records'!$D$69:$D$152,255),0))="","",INDEX('Disaggregation Records'!$H$69:$H$152,MATCH(RIGHT(Q470,255),RIGHT('Disaggregation Records'!$D$69:$D$152,255),0))),"")</f>
        <v/>
      </c>
      <c r="U470" s="89">
        <f>U468+1</f>
        <v>964</v>
      </c>
      <c r="V470" s="89" t="str">
        <f t="array" aca="1" ref="V470" ca="1">IFERROR(IF(INDEX('Disaggregation Records'!$I$69:$I$152,MATCH(RIGHT(Q470,255),RIGHT('Disaggregation Records'!$D$69:$D$152,255),0))="","",INDEX('Disaggregation Records'!$I$69:$I$152,MATCH(RIGHT(Q470,255),RIGHT('Disaggregation Records'!$D$69:$D$152,255),0))),"")</f>
        <v/>
      </c>
      <c r="W470" s="89" t="str">
        <f ca="1">IFERROR(INDEX('Reference Records'!P$23:P$74,MATCH(LEFT(C470,255),'Reference Records'!J$23:J$74,0)),"")</f>
        <v/>
      </c>
    </row>
    <row r="471" spans="1:23" s="89" customFormat="1" ht="40.35" customHeight="1">
      <c r="A471" s="564"/>
      <c r="B471" s="799"/>
      <c r="C471" s="800"/>
      <c r="D471" s="801"/>
      <c r="E471" s="801"/>
      <c r="F471" s="128"/>
      <c r="G471" s="802"/>
      <c r="H471" s="781"/>
      <c r="I471" s="803"/>
      <c r="J471" s="779"/>
      <c r="K471" s="800"/>
      <c r="L471" s="800"/>
      <c r="M471" s="779"/>
      <c r="N471" s="779"/>
      <c r="V471" s="89" t="str">
        <f t="array" ref="V471">IFERROR(IF(INDEX('Disaggregation Records'!$I$69:$I$152,MATCH(RIGHT(Q471,255),RIGHT('Disaggregation Records'!$D$69:$D$152,255),0))="","",INDEX('Disaggregation Records'!$I$69:$I$152,MATCH(RIGHT(Q471,255),RIGHT('Disaggregation Records'!$D$69:$D$152,255),0))),"")</f>
        <v/>
      </c>
    </row>
    <row r="472" spans="1:23" s="89" customFormat="1" ht="40.35" customHeight="1">
      <c r="A472" s="564" t="str">
        <f ca="1">INDIRECT("'update Helper'!C"&amp;U472)</f>
        <v>a1V3p000006h2x0EAA</v>
      </c>
      <c r="B472" s="794">
        <v>8</v>
      </c>
      <c r="C472" s="795" t="str">
        <f ca="1">IFERROR(VLOOKUP(B472,'Outcome Indicators - Section C '!$A$9:$AF$70,32,FALSE),"")</f>
        <v/>
      </c>
      <c r="D472" s="796" t="str">
        <f ca="1">R472</f>
        <v/>
      </c>
      <c r="E472" s="796" t="str">
        <f ca="1">S472</f>
        <v/>
      </c>
      <c r="F472" s="127"/>
      <c r="G472" s="797" t="str">
        <f ca="1">IF(OR(INDIRECT("'update Helper'!E"&amp;U472)="",F472&lt;&gt;0,F473&lt;&gt;0),IF(IFERROR((F472/F473),"")="","",(F472/F473)),INDIRECT("'update Helper'!E"&amp;U472)/100)</f>
        <v/>
      </c>
      <c r="H472" s="784"/>
      <c r="I472" s="798"/>
      <c r="J472" s="777"/>
      <c r="K472" s="795" t="str">
        <f ca="1">W472</f>
        <v/>
      </c>
      <c r="L472" s="795" t="str">
        <f ca="1">V472</f>
        <v/>
      </c>
      <c r="M472" s="777"/>
      <c r="N472" s="777"/>
      <c r="P472" s="89">
        <f ca="1">IF(AND(EXACT(C472,C470),C470&lt;&gt;0),P470+1,0)</f>
        <v>8</v>
      </c>
      <c r="Q472" s="89" t="str">
        <f ca="1">IF(C472&lt;&gt;"",C472&amp;"-"&amp;P472,"")</f>
        <v/>
      </c>
      <c r="R472" s="89" t="str">
        <f t="array" aca="1" ref="R472" ca="1">IFERROR(IF(INDEX('Disaggregation Records'!$E$69:$E$152,MATCH(RIGHT(Q472,255),RIGHT('Disaggregation Records'!$D$69:$D$152,255),0))="","",INDEX('Disaggregation Records'!$E$69:$E$152,MATCH(RIGHT(Q472,255),RIGHT('Disaggregation Records'!$D$69:$D$152,255),0))),"")</f>
        <v/>
      </c>
      <c r="S472" s="89" t="str">
        <f t="array" aca="1" ref="S472" ca="1">IFERROR(IF(INDEX('Disaggregation Records'!$F$69:$F$152,MATCH(RIGHT(Q472,255),RIGHT('Disaggregation Records'!$D$69:$D$152,255),0))="","",INDEX('Disaggregation Records'!$F$69:$F$152,MATCH(RIGHT(Q472,255),RIGHT('Disaggregation Records'!$D$69:$D$152,255),0))),"")</f>
        <v/>
      </c>
      <c r="T472" s="89" t="str">
        <f t="array" aca="1" ref="T472" ca="1">IFERROR(IF(INDEX('Disaggregation Records'!$H$69:$H$152,MATCH(RIGHT(Q472,255),RIGHT('Disaggregation Records'!$D$69:$D$152,255),0))="","",INDEX('Disaggregation Records'!$H$69:$H$152,MATCH(RIGHT(Q472,255),RIGHT('Disaggregation Records'!$D$69:$D$152,255),0))),"")</f>
        <v/>
      </c>
      <c r="U472" s="89">
        <f>U470+1</f>
        <v>965</v>
      </c>
      <c r="V472" s="89" t="str">
        <f t="array" aca="1" ref="V472" ca="1">IFERROR(IF(INDEX('Disaggregation Records'!$I$69:$I$152,MATCH(RIGHT(Q472,255),RIGHT('Disaggregation Records'!$D$69:$D$152,255),0))="","",INDEX('Disaggregation Records'!$I$69:$I$152,MATCH(RIGHT(Q472,255),RIGHT('Disaggregation Records'!$D$69:$D$152,255),0))),"")</f>
        <v/>
      </c>
      <c r="W472" s="89" t="str">
        <f ca="1">IFERROR(INDEX('Reference Records'!P$23:P$74,MATCH(LEFT(C472,255),'Reference Records'!J$23:J$74,0)),"")</f>
        <v/>
      </c>
    </row>
    <row r="473" spans="1:23" s="89" customFormat="1" ht="40.35" customHeight="1">
      <c r="A473" s="564"/>
      <c r="B473" s="799"/>
      <c r="C473" s="800"/>
      <c r="D473" s="801"/>
      <c r="E473" s="801"/>
      <c r="F473" s="128"/>
      <c r="G473" s="802"/>
      <c r="H473" s="781"/>
      <c r="I473" s="803"/>
      <c r="J473" s="779"/>
      <c r="K473" s="800"/>
      <c r="L473" s="800"/>
      <c r="M473" s="779"/>
      <c r="N473" s="779"/>
      <c r="V473" s="89" t="str">
        <f t="array" ref="V473">IFERROR(IF(INDEX('Disaggregation Records'!$I$69:$I$152,MATCH(RIGHT(Q473,255),RIGHT('Disaggregation Records'!$D$69:$D$152,255),0))="","",INDEX('Disaggregation Records'!$I$69:$I$152,MATCH(RIGHT(Q473,255),RIGHT('Disaggregation Records'!$D$69:$D$152,255),0))),"")</f>
        <v/>
      </c>
    </row>
    <row r="474" spans="1:23" s="89" customFormat="1" ht="40.35" customHeight="1">
      <c r="A474" s="564" t="str">
        <f ca="1">INDIRECT("'update Helper'!C"&amp;U474)</f>
        <v>a1V3p000006h2x1EAA</v>
      </c>
      <c r="B474" s="794">
        <v>8</v>
      </c>
      <c r="C474" s="795" t="str">
        <f ca="1">IFERROR(VLOOKUP(B474,'Outcome Indicators - Section C '!$A$9:$AF$70,32,FALSE),"")</f>
        <v/>
      </c>
      <c r="D474" s="796" t="str">
        <f ca="1">R474</f>
        <v/>
      </c>
      <c r="E474" s="796" t="str">
        <f ca="1">S474</f>
        <v/>
      </c>
      <c r="F474" s="127"/>
      <c r="G474" s="797" t="str">
        <f ca="1">IF(OR(INDIRECT("'update Helper'!E"&amp;U474)="",F474&lt;&gt;0,F475&lt;&gt;0),IF(IFERROR((F474/F475),"")="","",(F474/F475)),INDIRECT("'update Helper'!E"&amp;U474)/100)</f>
        <v/>
      </c>
      <c r="H474" s="784"/>
      <c r="I474" s="798"/>
      <c r="J474" s="777"/>
      <c r="K474" s="795" t="str">
        <f ca="1">W474</f>
        <v/>
      </c>
      <c r="L474" s="795" t="str">
        <f ca="1">V474</f>
        <v/>
      </c>
      <c r="M474" s="777"/>
      <c r="N474" s="777"/>
      <c r="P474" s="89">
        <f ca="1">IF(AND(EXACT(C474,C472),C472&lt;&gt;0),P472+1,0)</f>
        <v>9</v>
      </c>
      <c r="Q474" s="89" t="str">
        <f ca="1">IF(C474&lt;&gt;"",C474&amp;"-"&amp;P474,"")</f>
        <v/>
      </c>
      <c r="R474" s="89" t="str">
        <f t="array" aca="1" ref="R474" ca="1">IFERROR(IF(INDEX('Disaggregation Records'!$E$69:$E$152,MATCH(RIGHT(Q474,255),RIGHT('Disaggregation Records'!$D$69:$D$152,255),0))="","",INDEX('Disaggregation Records'!$E$69:$E$152,MATCH(RIGHT(Q474,255),RIGHT('Disaggregation Records'!$D$69:$D$152,255),0))),"")</f>
        <v/>
      </c>
      <c r="S474" s="89" t="str">
        <f t="array" aca="1" ref="S474" ca="1">IFERROR(IF(INDEX('Disaggregation Records'!$F$69:$F$152,MATCH(RIGHT(Q474,255),RIGHT('Disaggregation Records'!$D$69:$D$152,255),0))="","",INDEX('Disaggregation Records'!$F$69:$F$152,MATCH(RIGHT(Q474,255),RIGHT('Disaggregation Records'!$D$69:$D$152,255),0))),"")</f>
        <v/>
      </c>
      <c r="T474" s="89" t="str">
        <f t="array" aca="1" ref="T474" ca="1">IFERROR(IF(INDEX('Disaggregation Records'!$H$69:$H$152,MATCH(RIGHT(Q474,255),RIGHT('Disaggregation Records'!$D$69:$D$152,255),0))="","",INDEX('Disaggregation Records'!$H$69:$H$152,MATCH(RIGHT(Q474,255),RIGHT('Disaggregation Records'!$D$69:$D$152,255),0))),"")</f>
        <v/>
      </c>
      <c r="U474" s="89">
        <f>U472+1</f>
        <v>966</v>
      </c>
      <c r="V474" s="89" t="str">
        <f t="array" aca="1" ref="V474" ca="1">IFERROR(IF(INDEX('Disaggregation Records'!$I$69:$I$152,MATCH(RIGHT(Q474,255),RIGHT('Disaggregation Records'!$D$69:$D$152,255),0))="","",INDEX('Disaggregation Records'!$I$69:$I$152,MATCH(RIGHT(Q474,255),RIGHT('Disaggregation Records'!$D$69:$D$152,255),0))),"")</f>
        <v/>
      </c>
      <c r="W474" s="89" t="str">
        <f ca="1">IFERROR(INDEX('Reference Records'!P$23:P$74,MATCH(LEFT(C474,255),'Reference Records'!J$23:J$74,0)),"")</f>
        <v/>
      </c>
    </row>
    <row r="475" spans="1:23" s="89" customFormat="1" ht="40.35" customHeight="1">
      <c r="A475" s="564"/>
      <c r="B475" s="799"/>
      <c r="C475" s="800"/>
      <c r="D475" s="801"/>
      <c r="E475" s="801"/>
      <c r="F475" s="128"/>
      <c r="G475" s="802"/>
      <c r="H475" s="781"/>
      <c r="I475" s="803"/>
      <c r="J475" s="779"/>
      <c r="K475" s="800"/>
      <c r="L475" s="800"/>
      <c r="M475" s="779"/>
      <c r="N475" s="779"/>
      <c r="V475" s="89" t="str">
        <f t="array" ref="V475">IFERROR(IF(INDEX('Disaggregation Records'!$I$69:$I$152,MATCH(RIGHT(Q475,255),RIGHT('Disaggregation Records'!$D$69:$D$152,255),0))="","",INDEX('Disaggregation Records'!$I$69:$I$152,MATCH(RIGHT(Q475,255),RIGHT('Disaggregation Records'!$D$69:$D$152,255),0))),"")</f>
        <v/>
      </c>
    </row>
    <row r="476" spans="1:23" s="89" customFormat="1" ht="40.35" customHeight="1">
      <c r="A476" s="564" t="str">
        <f ca="1">INDIRECT("'update Helper'!C"&amp;U476)</f>
        <v>a1V3p000006h2x2EAA</v>
      </c>
      <c r="B476" s="794">
        <v>9</v>
      </c>
      <c r="C476" s="795" t="str">
        <f ca="1">IFERROR(VLOOKUP(B476,'Outcome Indicators - Section C '!$A$9:$AF$70,32,FALSE),"")</f>
        <v/>
      </c>
      <c r="D476" s="796" t="str">
        <f ca="1">R476</f>
        <v/>
      </c>
      <c r="E476" s="796" t="str">
        <f ca="1">S476</f>
        <v/>
      </c>
      <c r="F476" s="127"/>
      <c r="G476" s="797" t="str">
        <f ca="1">IF(OR(INDIRECT("'update Helper'!E"&amp;U476)="",F476&lt;&gt;0,F477&lt;&gt;0),IF(IFERROR((F476/F477),"")="","",(F476/F477)),INDIRECT("'update Helper'!E"&amp;U476)/100)</f>
        <v/>
      </c>
      <c r="H476" s="784"/>
      <c r="I476" s="798"/>
      <c r="J476" s="777"/>
      <c r="K476" s="795" t="str">
        <f ca="1">W476</f>
        <v/>
      </c>
      <c r="L476" s="795" t="str">
        <f ca="1">V476</f>
        <v/>
      </c>
      <c r="M476" s="777"/>
      <c r="N476" s="777"/>
      <c r="P476" s="89">
        <f ca="1">IF(AND(EXACT(C476,C474),C474&lt;&gt;0),P474+1,0)</f>
        <v>10</v>
      </c>
      <c r="Q476" s="89" t="str">
        <f ca="1">IF(C476&lt;&gt;"",C476&amp;"-"&amp;P476,"")</f>
        <v/>
      </c>
      <c r="R476" s="89" t="str">
        <f t="array" aca="1" ref="R476" ca="1">IFERROR(IF(INDEX('Disaggregation Records'!$E$69:$E$152,MATCH(RIGHT(Q476,255),RIGHT('Disaggregation Records'!$D$69:$D$152,255),0))="","",INDEX('Disaggregation Records'!$E$69:$E$152,MATCH(RIGHT(Q476,255),RIGHT('Disaggregation Records'!$D$69:$D$152,255),0))),"")</f>
        <v/>
      </c>
      <c r="S476" s="89" t="str">
        <f t="array" aca="1" ref="S476" ca="1">IFERROR(IF(INDEX('Disaggregation Records'!$F$69:$F$152,MATCH(RIGHT(Q476,255),RIGHT('Disaggregation Records'!$D$69:$D$152,255),0))="","",INDEX('Disaggregation Records'!$F$69:$F$152,MATCH(RIGHT(Q476,255),RIGHT('Disaggregation Records'!$D$69:$D$152,255),0))),"")</f>
        <v/>
      </c>
      <c r="T476" s="89" t="str">
        <f t="array" aca="1" ref="T476" ca="1">IFERROR(IF(INDEX('Disaggregation Records'!$H$69:$H$152,MATCH(RIGHT(Q476,255),RIGHT('Disaggregation Records'!$D$69:$D$152,255),0))="","",INDEX('Disaggregation Records'!$H$69:$H$152,MATCH(RIGHT(Q476,255),RIGHT('Disaggregation Records'!$D$69:$D$152,255),0))),"")</f>
        <v/>
      </c>
      <c r="U476" s="89">
        <f>U474+1</f>
        <v>967</v>
      </c>
      <c r="V476" s="89" t="str">
        <f t="array" aca="1" ref="V476" ca="1">IFERROR(IF(INDEX('Disaggregation Records'!$I$69:$I$152,MATCH(RIGHT(Q476,255),RIGHT('Disaggregation Records'!$D$69:$D$152,255),0))="","",INDEX('Disaggregation Records'!$I$69:$I$152,MATCH(RIGHT(Q476,255),RIGHT('Disaggregation Records'!$D$69:$D$152,255),0))),"")</f>
        <v/>
      </c>
      <c r="W476" s="89" t="str">
        <f ca="1">IFERROR(INDEX('Reference Records'!P$23:P$74,MATCH(LEFT(C476,255),'Reference Records'!J$23:J$74,0)),"")</f>
        <v/>
      </c>
    </row>
    <row r="477" spans="1:23" s="89" customFormat="1" ht="40.35" customHeight="1">
      <c r="A477" s="564"/>
      <c r="B477" s="799"/>
      <c r="C477" s="800"/>
      <c r="D477" s="801"/>
      <c r="E477" s="801"/>
      <c r="F477" s="128"/>
      <c r="G477" s="802"/>
      <c r="H477" s="781"/>
      <c r="I477" s="803"/>
      <c r="J477" s="779"/>
      <c r="K477" s="800"/>
      <c r="L477" s="800"/>
      <c r="M477" s="779"/>
      <c r="N477" s="779"/>
      <c r="V477" s="89" t="str">
        <f t="array" ref="V477">IFERROR(IF(INDEX('Disaggregation Records'!$I$69:$I$152,MATCH(RIGHT(Q477,255),RIGHT('Disaggregation Records'!$D$69:$D$152,255),0))="","",INDEX('Disaggregation Records'!$I$69:$I$152,MATCH(RIGHT(Q477,255),RIGHT('Disaggregation Records'!$D$69:$D$152,255),0))),"")</f>
        <v/>
      </c>
    </row>
    <row r="478" spans="1:23" s="89" customFormat="1" ht="40.35" customHeight="1">
      <c r="A478" s="564" t="str">
        <f ca="1">INDIRECT("'update Helper'!C"&amp;U478)</f>
        <v>a1V3p000006h2x3EAA</v>
      </c>
      <c r="B478" s="794">
        <v>9</v>
      </c>
      <c r="C478" s="795" t="str">
        <f ca="1">IFERROR(VLOOKUP(B478,'Outcome Indicators - Section C '!$A$9:$AF$70,32,FALSE),"")</f>
        <v/>
      </c>
      <c r="D478" s="796" t="str">
        <f ca="1">R478</f>
        <v/>
      </c>
      <c r="E478" s="796" t="str">
        <f ca="1">S478</f>
        <v/>
      </c>
      <c r="F478" s="127"/>
      <c r="G478" s="797" t="str">
        <f ca="1">IF(OR(INDIRECT("'update Helper'!E"&amp;U478)="",F478&lt;&gt;0,F479&lt;&gt;0),IF(IFERROR((F478/F479),"")="","",(F478/F479)),INDIRECT("'update Helper'!E"&amp;U478)/100)</f>
        <v/>
      </c>
      <c r="H478" s="784"/>
      <c r="I478" s="798"/>
      <c r="J478" s="777"/>
      <c r="K478" s="795" t="str">
        <f ca="1">W478</f>
        <v/>
      </c>
      <c r="L478" s="795" t="str">
        <f ca="1">V478</f>
        <v/>
      </c>
      <c r="M478" s="777"/>
      <c r="N478" s="777"/>
      <c r="P478" s="89">
        <f ca="1">IF(AND(EXACT(C478,C476),C476&lt;&gt;0),P476+1,0)</f>
        <v>11</v>
      </c>
      <c r="Q478" s="89" t="str">
        <f ca="1">IF(C478&lt;&gt;"",C478&amp;"-"&amp;P478,"")</f>
        <v/>
      </c>
      <c r="R478" s="89" t="str">
        <f t="array" aca="1" ref="R478" ca="1">IFERROR(IF(INDEX('Disaggregation Records'!$E$69:$E$152,MATCH(RIGHT(Q478,255),RIGHT('Disaggregation Records'!$D$69:$D$152,255),0))="","",INDEX('Disaggregation Records'!$E$69:$E$152,MATCH(RIGHT(Q478,255),RIGHT('Disaggregation Records'!$D$69:$D$152,255),0))),"")</f>
        <v/>
      </c>
      <c r="S478" s="89" t="str">
        <f t="array" aca="1" ref="S478" ca="1">IFERROR(IF(INDEX('Disaggregation Records'!$F$69:$F$152,MATCH(RIGHT(Q478,255),RIGHT('Disaggregation Records'!$D$69:$D$152,255),0))="","",INDEX('Disaggregation Records'!$F$69:$F$152,MATCH(RIGHT(Q478,255),RIGHT('Disaggregation Records'!$D$69:$D$152,255),0))),"")</f>
        <v/>
      </c>
      <c r="T478" s="89" t="str">
        <f t="array" aca="1" ref="T478" ca="1">IFERROR(IF(INDEX('Disaggregation Records'!$H$69:$H$152,MATCH(RIGHT(Q478,255),RIGHT('Disaggregation Records'!$D$69:$D$152,255),0))="","",INDEX('Disaggregation Records'!$H$69:$H$152,MATCH(RIGHT(Q478,255),RIGHT('Disaggregation Records'!$D$69:$D$152,255),0))),"")</f>
        <v/>
      </c>
      <c r="U478" s="89">
        <f>U476+1</f>
        <v>968</v>
      </c>
      <c r="V478" s="89" t="str">
        <f t="array" aca="1" ref="V478" ca="1">IFERROR(IF(INDEX('Disaggregation Records'!$I$69:$I$152,MATCH(RIGHT(Q478,255),RIGHT('Disaggregation Records'!$D$69:$D$152,255),0))="","",INDEX('Disaggregation Records'!$I$69:$I$152,MATCH(RIGHT(Q478,255),RIGHT('Disaggregation Records'!$D$69:$D$152,255),0))),"")</f>
        <v/>
      </c>
      <c r="W478" s="89" t="str">
        <f ca="1">IFERROR(INDEX('Reference Records'!P$23:P$74,MATCH(LEFT(C478,255),'Reference Records'!J$23:J$74,0)),"")</f>
        <v/>
      </c>
    </row>
    <row r="479" spans="1:23" s="89" customFormat="1" ht="40.35" customHeight="1">
      <c r="A479" s="564"/>
      <c r="B479" s="799"/>
      <c r="C479" s="800"/>
      <c r="D479" s="801"/>
      <c r="E479" s="801"/>
      <c r="F479" s="128"/>
      <c r="G479" s="802"/>
      <c r="H479" s="781"/>
      <c r="I479" s="803"/>
      <c r="J479" s="779"/>
      <c r="K479" s="800"/>
      <c r="L479" s="800"/>
      <c r="M479" s="779"/>
      <c r="N479" s="779"/>
      <c r="V479" s="89" t="str">
        <f t="array" ref="V479">IFERROR(IF(INDEX('Disaggregation Records'!$I$69:$I$152,MATCH(RIGHT(Q479,255),RIGHT('Disaggregation Records'!$D$69:$D$152,255),0))="","",INDEX('Disaggregation Records'!$I$69:$I$152,MATCH(RIGHT(Q479,255),RIGHT('Disaggregation Records'!$D$69:$D$152,255),0))),"")</f>
        <v/>
      </c>
    </row>
    <row r="480" spans="1:23" s="89" customFormat="1" ht="40.35" customHeight="1">
      <c r="A480" s="564" t="str">
        <f ca="1">INDIRECT("'update Helper'!C"&amp;U480)</f>
        <v>a1V3p000006h2x4EAA</v>
      </c>
      <c r="B480" s="794">
        <v>9</v>
      </c>
      <c r="C480" s="795" t="str">
        <f ca="1">IFERROR(VLOOKUP(B480,'Outcome Indicators - Section C '!$A$9:$AF$70,32,FALSE),"")</f>
        <v/>
      </c>
      <c r="D480" s="796" t="str">
        <f ca="1">R480</f>
        <v/>
      </c>
      <c r="E480" s="796" t="str">
        <f ca="1">S480</f>
        <v/>
      </c>
      <c r="F480" s="127"/>
      <c r="G480" s="797" t="str">
        <f ca="1">IF(OR(INDIRECT("'update Helper'!E"&amp;U480)="",F480&lt;&gt;0,F481&lt;&gt;0),IF(IFERROR((F480/F481),"")="","",(F480/F481)),INDIRECT("'update Helper'!E"&amp;U480)/100)</f>
        <v/>
      </c>
      <c r="H480" s="784"/>
      <c r="I480" s="798"/>
      <c r="J480" s="777"/>
      <c r="K480" s="795" t="str">
        <f ca="1">W480</f>
        <v/>
      </c>
      <c r="L480" s="795" t="str">
        <f ca="1">V480</f>
        <v/>
      </c>
      <c r="M480" s="777"/>
      <c r="N480" s="777"/>
      <c r="P480" s="89">
        <f ca="1">IF(AND(EXACT(C480,C478),C478&lt;&gt;0),P478+1,0)</f>
        <v>12</v>
      </c>
      <c r="Q480" s="89" t="str">
        <f ca="1">IF(C480&lt;&gt;"",C480&amp;"-"&amp;P480,"")</f>
        <v/>
      </c>
      <c r="R480" s="89" t="str">
        <f t="array" aca="1" ref="R480" ca="1">IFERROR(IF(INDEX('Disaggregation Records'!$E$69:$E$152,MATCH(RIGHT(Q480,255),RIGHT('Disaggregation Records'!$D$69:$D$152,255),0))="","",INDEX('Disaggregation Records'!$E$69:$E$152,MATCH(RIGHT(Q480,255),RIGHT('Disaggregation Records'!$D$69:$D$152,255),0))),"")</f>
        <v/>
      </c>
      <c r="S480" s="89" t="str">
        <f t="array" aca="1" ref="S480" ca="1">IFERROR(IF(INDEX('Disaggregation Records'!$F$69:$F$152,MATCH(RIGHT(Q480,255),RIGHT('Disaggregation Records'!$D$69:$D$152,255),0))="","",INDEX('Disaggregation Records'!$F$69:$F$152,MATCH(RIGHT(Q480,255),RIGHT('Disaggregation Records'!$D$69:$D$152,255),0))),"")</f>
        <v/>
      </c>
      <c r="T480" s="89" t="str">
        <f t="array" aca="1" ref="T480" ca="1">IFERROR(IF(INDEX('Disaggregation Records'!$H$69:$H$152,MATCH(RIGHT(Q480,255),RIGHT('Disaggregation Records'!$D$69:$D$152,255),0))="","",INDEX('Disaggregation Records'!$H$69:$H$152,MATCH(RIGHT(Q480,255),RIGHT('Disaggregation Records'!$D$69:$D$152,255),0))),"")</f>
        <v/>
      </c>
      <c r="U480" s="89">
        <f>U478+1</f>
        <v>969</v>
      </c>
      <c r="V480" s="89" t="str">
        <f t="array" aca="1" ref="V480" ca="1">IFERROR(IF(INDEX('Disaggregation Records'!$I$69:$I$152,MATCH(RIGHT(Q480,255),RIGHT('Disaggregation Records'!$D$69:$D$152,255),0))="","",INDEX('Disaggregation Records'!$I$69:$I$152,MATCH(RIGHT(Q480,255),RIGHT('Disaggregation Records'!$D$69:$D$152,255),0))),"")</f>
        <v/>
      </c>
      <c r="W480" s="89" t="str">
        <f ca="1">IFERROR(INDEX('Reference Records'!P$23:P$74,MATCH(LEFT(C480,255),'Reference Records'!J$23:J$74,0)),"")</f>
        <v/>
      </c>
    </row>
    <row r="481" spans="1:23" s="89" customFormat="1" ht="40.35" customHeight="1">
      <c r="A481" s="564"/>
      <c r="B481" s="799"/>
      <c r="C481" s="800"/>
      <c r="D481" s="801"/>
      <c r="E481" s="801"/>
      <c r="F481" s="128"/>
      <c r="G481" s="802"/>
      <c r="H481" s="781"/>
      <c r="I481" s="803"/>
      <c r="J481" s="779"/>
      <c r="K481" s="800"/>
      <c r="L481" s="800"/>
      <c r="M481" s="779"/>
      <c r="N481" s="779"/>
      <c r="V481" s="89" t="str">
        <f t="array" ref="V481">IFERROR(IF(INDEX('Disaggregation Records'!$I$69:$I$152,MATCH(RIGHT(Q481,255),RIGHT('Disaggregation Records'!$D$69:$D$152,255),0))="","",INDEX('Disaggregation Records'!$I$69:$I$152,MATCH(RIGHT(Q481,255),RIGHT('Disaggregation Records'!$D$69:$D$152,255),0))),"")</f>
        <v/>
      </c>
    </row>
    <row r="482" spans="1:23" s="89" customFormat="1" ht="40.35" customHeight="1">
      <c r="A482" s="564" t="str">
        <f ca="1">INDIRECT("'update Helper'!C"&amp;U482)</f>
        <v>a1V3p000006h2x5EAA</v>
      </c>
      <c r="B482" s="794">
        <v>9</v>
      </c>
      <c r="C482" s="795" t="str">
        <f ca="1">IFERROR(VLOOKUP(B482,'Outcome Indicators - Section C '!$A$9:$AF$70,32,FALSE),"")</f>
        <v/>
      </c>
      <c r="D482" s="796" t="str">
        <f ca="1">R482</f>
        <v/>
      </c>
      <c r="E482" s="796" t="str">
        <f ca="1">S482</f>
        <v/>
      </c>
      <c r="F482" s="127"/>
      <c r="G482" s="797" t="str">
        <f ca="1">IF(OR(INDIRECT("'update Helper'!E"&amp;U482)="",F482&lt;&gt;0,F483&lt;&gt;0),IF(IFERROR((F482/F483),"")="","",(F482/F483)),INDIRECT("'update Helper'!E"&amp;U482)/100)</f>
        <v/>
      </c>
      <c r="H482" s="784"/>
      <c r="I482" s="798"/>
      <c r="J482" s="777"/>
      <c r="K482" s="795" t="str">
        <f ca="1">W482</f>
        <v/>
      </c>
      <c r="L482" s="795" t="str">
        <f ca="1">V482</f>
        <v/>
      </c>
      <c r="M482" s="777"/>
      <c r="N482" s="777"/>
      <c r="P482" s="89">
        <f ca="1">IF(AND(EXACT(C482,C480),C480&lt;&gt;0),P480+1,0)</f>
        <v>13</v>
      </c>
      <c r="Q482" s="89" t="str">
        <f ca="1">IF(C482&lt;&gt;"",C482&amp;"-"&amp;P482,"")</f>
        <v/>
      </c>
      <c r="R482" s="89" t="str">
        <f t="array" aca="1" ref="R482" ca="1">IFERROR(IF(INDEX('Disaggregation Records'!$E$69:$E$152,MATCH(RIGHT(Q482,255),RIGHT('Disaggregation Records'!$D$69:$D$152,255),0))="","",INDEX('Disaggregation Records'!$E$69:$E$152,MATCH(RIGHT(Q482,255),RIGHT('Disaggregation Records'!$D$69:$D$152,255),0))),"")</f>
        <v/>
      </c>
      <c r="S482" s="89" t="str">
        <f t="array" aca="1" ref="S482" ca="1">IFERROR(IF(INDEX('Disaggregation Records'!$F$69:$F$152,MATCH(RIGHT(Q482,255),RIGHT('Disaggregation Records'!$D$69:$D$152,255),0))="","",INDEX('Disaggregation Records'!$F$69:$F$152,MATCH(RIGHT(Q482,255),RIGHT('Disaggregation Records'!$D$69:$D$152,255),0))),"")</f>
        <v/>
      </c>
      <c r="T482" s="89" t="str">
        <f t="array" aca="1" ref="T482" ca="1">IFERROR(IF(INDEX('Disaggregation Records'!$H$69:$H$152,MATCH(RIGHT(Q482,255),RIGHT('Disaggregation Records'!$D$69:$D$152,255),0))="","",INDEX('Disaggregation Records'!$H$69:$H$152,MATCH(RIGHT(Q482,255),RIGHT('Disaggregation Records'!$D$69:$D$152,255),0))),"")</f>
        <v/>
      </c>
      <c r="U482" s="89">
        <f>U480+1</f>
        <v>970</v>
      </c>
      <c r="V482" s="89" t="str">
        <f t="array" aca="1" ref="V482" ca="1">IFERROR(IF(INDEX('Disaggregation Records'!$I$69:$I$152,MATCH(RIGHT(Q482,255),RIGHT('Disaggregation Records'!$D$69:$D$152,255),0))="","",INDEX('Disaggregation Records'!$I$69:$I$152,MATCH(RIGHT(Q482,255),RIGHT('Disaggregation Records'!$D$69:$D$152,255),0))),"")</f>
        <v/>
      </c>
      <c r="W482" s="89" t="str">
        <f ca="1">IFERROR(INDEX('Reference Records'!P$23:P$74,MATCH(LEFT(C482,255),'Reference Records'!J$23:J$74,0)),"")</f>
        <v/>
      </c>
    </row>
    <row r="483" spans="1:23" s="89" customFormat="1" ht="40.35" customHeight="1">
      <c r="A483" s="564"/>
      <c r="B483" s="799"/>
      <c r="C483" s="800"/>
      <c r="D483" s="801"/>
      <c r="E483" s="801"/>
      <c r="F483" s="128"/>
      <c r="G483" s="802"/>
      <c r="H483" s="781"/>
      <c r="I483" s="803"/>
      <c r="J483" s="779"/>
      <c r="K483" s="800"/>
      <c r="L483" s="800"/>
      <c r="M483" s="779"/>
      <c r="N483" s="779"/>
      <c r="V483" s="89" t="str">
        <f t="array" ref="V483">IFERROR(IF(INDEX('Disaggregation Records'!$I$69:$I$152,MATCH(RIGHT(Q483,255),RIGHT('Disaggregation Records'!$D$69:$D$152,255),0))="","",INDEX('Disaggregation Records'!$I$69:$I$152,MATCH(RIGHT(Q483,255),RIGHT('Disaggregation Records'!$D$69:$D$152,255),0))),"")</f>
        <v/>
      </c>
    </row>
    <row r="484" spans="1:23" s="89" customFormat="1" ht="40.35" customHeight="1">
      <c r="A484" s="564" t="str">
        <f ca="1">INDIRECT("'update Helper'!C"&amp;U484)</f>
        <v>a1V3p000006h2x6EAA</v>
      </c>
      <c r="B484" s="794">
        <v>9</v>
      </c>
      <c r="C484" s="795" t="str">
        <f ca="1">IFERROR(VLOOKUP(B484,'Outcome Indicators - Section C '!$A$9:$AF$70,32,FALSE),"")</f>
        <v/>
      </c>
      <c r="D484" s="796" t="str">
        <f ca="1">R484</f>
        <v/>
      </c>
      <c r="E484" s="796" t="str">
        <f ca="1">S484</f>
        <v/>
      </c>
      <c r="F484" s="127"/>
      <c r="G484" s="797" t="str">
        <f ca="1">IF(OR(INDIRECT("'update Helper'!E"&amp;U484)="",F484&lt;&gt;0,F485&lt;&gt;0),IF(IFERROR((F484/F485),"")="","",(F484/F485)),INDIRECT("'update Helper'!E"&amp;U484)/100)</f>
        <v/>
      </c>
      <c r="H484" s="784"/>
      <c r="I484" s="798"/>
      <c r="J484" s="777"/>
      <c r="K484" s="795" t="str">
        <f ca="1">W484</f>
        <v/>
      </c>
      <c r="L484" s="795" t="str">
        <f ca="1">V484</f>
        <v/>
      </c>
      <c r="M484" s="777"/>
      <c r="N484" s="777"/>
      <c r="P484" s="89">
        <f ca="1">IF(AND(EXACT(C484,C482),C482&lt;&gt;0),P482+1,0)</f>
        <v>14</v>
      </c>
      <c r="Q484" s="89" t="str">
        <f ca="1">IF(C484&lt;&gt;"",C484&amp;"-"&amp;P484,"")</f>
        <v/>
      </c>
      <c r="R484" s="89" t="str">
        <f t="array" aca="1" ref="R484" ca="1">IFERROR(IF(INDEX('Disaggregation Records'!$E$69:$E$152,MATCH(RIGHT(Q484,255),RIGHT('Disaggregation Records'!$D$69:$D$152,255),0))="","",INDEX('Disaggregation Records'!$E$69:$E$152,MATCH(RIGHT(Q484,255),RIGHT('Disaggregation Records'!$D$69:$D$152,255),0))),"")</f>
        <v/>
      </c>
      <c r="S484" s="89" t="str">
        <f t="array" aca="1" ref="S484" ca="1">IFERROR(IF(INDEX('Disaggregation Records'!$F$69:$F$152,MATCH(RIGHT(Q484,255),RIGHT('Disaggregation Records'!$D$69:$D$152,255),0))="","",INDEX('Disaggregation Records'!$F$69:$F$152,MATCH(RIGHT(Q484,255),RIGHT('Disaggregation Records'!$D$69:$D$152,255),0))),"")</f>
        <v/>
      </c>
      <c r="T484" s="89" t="str">
        <f t="array" aca="1" ref="T484" ca="1">IFERROR(IF(INDEX('Disaggregation Records'!$H$69:$H$152,MATCH(RIGHT(Q484,255),RIGHT('Disaggregation Records'!$D$69:$D$152,255),0))="","",INDEX('Disaggregation Records'!$H$69:$H$152,MATCH(RIGHT(Q484,255),RIGHT('Disaggregation Records'!$D$69:$D$152,255),0))),"")</f>
        <v/>
      </c>
      <c r="U484" s="89">
        <f>U482+1</f>
        <v>971</v>
      </c>
      <c r="V484" s="89" t="str">
        <f t="array" aca="1" ref="V484" ca="1">IFERROR(IF(INDEX('Disaggregation Records'!$I$69:$I$152,MATCH(RIGHT(Q484,255),RIGHT('Disaggregation Records'!$D$69:$D$152,255),0))="","",INDEX('Disaggregation Records'!$I$69:$I$152,MATCH(RIGHT(Q484,255),RIGHT('Disaggregation Records'!$D$69:$D$152,255),0))),"")</f>
        <v/>
      </c>
      <c r="W484" s="89" t="str">
        <f ca="1">IFERROR(INDEX('Reference Records'!P$23:P$74,MATCH(LEFT(C484,255),'Reference Records'!J$23:J$74,0)),"")</f>
        <v/>
      </c>
    </row>
    <row r="485" spans="1:23" s="89" customFormat="1" ht="40.35" customHeight="1">
      <c r="A485" s="564"/>
      <c r="B485" s="799"/>
      <c r="C485" s="800"/>
      <c r="D485" s="801"/>
      <c r="E485" s="801"/>
      <c r="F485" s="128"/>
      <c r="G485" s="802"/>
      <c r="H485" s="781"/>
      <c r="I485" s="803"/>
      <c r="J485" s="779"/>
      <c r="K485" s="800"/>
      <c r="L485" s="800"/>
      <c r="M485" s="779"/>
      <c r="N485" s="779"/>
      <c r="V485" s="89" t="str">
        <f t="array" ref="V485">IFERROR(IF(INDEX('Disaggregation Records'!$I$69:$I$152,MATCH(RIGHT(Q485,255),RIGHT('Disaggregation Records'!$D$69:$D$152,255),0))="","",INDEX('Disaggregation Records'!$I$69:$I$152,MATCH(RIGHT(Q485,255),RIGHT('Disaggregation Records'!$D$69:$D$152,255),0))),"")</f>
        <v/>
      </c>
    </row>
    <row r="486" spans="1:23" s="89" customFormat="1" ht="40.35" customHeight="1">
      <c r="A486" s="564" t="str">
        <f ca="1">INDIRECT("'update Helper'!C"&amp;U486)</f>
        <v>a1V3p000006h2x7EAA</v>
      </c>
      <c r="B486" s="794">
        <v>9</v>
      </c>
      <c r="C486" s="795" t="str">
        <f ca="1">IFERROR(VLOOKUP(B486,'Outcome Indicators - Section C '!$A$9:$AF$70,32,FALSE),"")</f>
        <v/>
      </c>
      <c r="D486" s="796" t="str">
        <f ca="1">R486</f>
        <v/>
      </c>
      <c r="E486" s="796" t="str">
        <f ca="1">S486</f>
        <v/>
      </c>
      <c r="F486" s="127"/>
      <c r="G486" s="797" t="str">
        <f ca="1">IF(OR(INDIRECT("'update Helper'!E"&amp;U486)="",F486&lt;&gt;0,F487&lt;&gt;0),IF(IFERROR((F486/F487),"")="","",(F486/F487)),INDIRECT("'update Helper'!E"&amp;U486)/100)</f>
        <v/>
      </c>
      <c r="H486" s="784"/>
      <c r="I486" s="798"/>
      <c r="J486" s="777"/>
      <c r="K486" s="795" t="str">
        <f ca="1">W486</f>
        <v/>
      </c>
      <c r="L486" s="795" t="str">
        <f ca="1">V486</f>
        <v/>
      </c>
      <c r="M486" s="777"/>
      <c r="N486" s="777"/>
      <c r="P486" s="89">
        <f ca="1">IF(AND(EXACT(C486,C484),C484&lt;&gt;0),P484+1,0)</f>
        <v>15</v>
      </c>
      <c r="Q486" s="89" t="str">
        <f ca="1">IF(C486&lt;&gt;"",C486&amp;"-"&amp;P486,"")</f>
        <v/>
      </c>
      <c r="R486" s="89" t="str">
        <f t="array" aca="1" ref="R486" ca="1">IFERROR(IF(INDEX('Disaggregation Records'!$E$69:$E$152,MATCH(RIGHT(Q486,255),RIGHT('Disaggregation Records'!$D$69:$D$152,255),0))="","",INDEX('Disaggregation Records'!$E$69:$E$152,MATCH(RIGHT(Q486,255),RIGHT('Disaggregation Records'!$D$69:$D$152,255),0))),"")</f>
        <v/>
      </c>
      <c r="S486" s="89" t="str">
        <f t="array" aca="1" ref="S486" ca="1">IFERROR(IF(INDEX('Disaggregation Records'!$F$69:$F$152,MATCH(RIGHT(Q486,255),RIGHT('Disaggregation Records'!$D$69:$D$152,255),0))="","",INDEX('Disaggregation Records'!$F$69:$F$152,MATCH(RIGHT(Q486,255),RIGHT('Disaggregation Records'!$D$69:$D$152,255),0))),"")</f>
        <v/>
      </c>
      <c r="T486" s="89" t="str">
        <f t="array" aca="1" ref="T486" ca="1">IFERROR(IF(INDEX('Disaggregation Records'!$H$69:$H$152,MATCH(RIGHT(Q486,255),RIGHT('Disaggregation Records'!$D$69:$D$152,255),0))="","",INDEX('Disaggregation Records'!$H$69:$H$152,MATCH(RIGHT(Q486,255),RIGHT('Disaggregation Records'!$D$69:$D$152,255),0))),"")</f>
        <v/>
      </c>
      <c r="U486" s="89">
        <f>U484+1</f>
        <v>972</v>
      </c>
      <c r="V486" s="89" t="str">
        <f t="array" aca="1" ref="V486" ca="1">IFERROR(IF(INDEX('Disaggregation Records'!$I$69:$I$152,MATCH(RIGHT(Q486,255),RIGHT('Disaggregation Records'!$D$69:$D$152,255),0))="","",INDEX('Disaggregation Records'!$I$69:$I$152,MATCH(RIGHT(Q486,255),RIGHT('Disaggregation Records'!$D$69:$D$152,255),0))),"")</f>
        <v/>
      </c>
      <c r="W486" s="89" t="str">
        <f ca="1">IFERROR(INDEX('Reference Records'!P$23:P$74,MATCH(LEFT(C486,255),'Reference Records'!J$23:J$74,0)),"")</f>
        <v/>
      </c>
    </row>
    <row r="487" spans="1:23" s="89" customFormat="1" ht="40.35" customHeight="1">
      <c r="A487" s="564"/>
      <c r="B487" s="799"/>
      <c r="C487" s="800"/>
      <c r="D487" s="801"/>
      <c r="E487" s="801"/>
      <c r="F487" s="128"/>
      <c r="G487" s="802"/>
      <c r="H487" s="781"/>
      <c r="I487" s="803"/>
      <c r="J487" s="779"/>
      <c r="K487" s="800"/>
      <c r="L487" s="800"/>
      <c r="M487" s="779"/>
      <c r="N487" s="779"/>
      <c r="V487" s="89" t="str">
        <f t="array" ref="V487">IFERROR(IF(INDEX('Disaggregation Records'!$I$69:$I$152,MATCH(RIGHT(Q487,255),RIGHT('Disaggregation Records'!$D$69:$D$152,255),0))="","",INDEX('Disaggregation Records'!$I$69:$I$152,MATCH(RIGHT(Q487,255),RIGHT('Disaggregation Records'!$D$69:$D$152,255),0))),"")</f>
        <v/>
      </c>
    </row>
    <row r="488" spans="1:23" s="89" customFormat="1" ht="40.35" customHeight="1">
      <c r="A488" s="564" t="str">
        <f ca="1">INDIRECT("'update Helper'!C"&amp;U488)</f>
        <v>a1V3p000006h2x8EAA</v>
      </c>
      <c r="B488" s="794">
        <v>9</v>
      </c>
      <c r="C488" s="795" t="str">
        <f ca="1">IFERROR(VLOOKUP(B488,'Outcome Indicators - Section C '!$A$9:$AF$70,32,FALSE),"")</f>
        <v/>
      </c>
      <c r="D488" s="796" t="str">
        <f ca="1">R488</f>
        <v/>
      </c>
      <c r="E488" s="796" t="str">
        <f ca="1">S488</f>
        <v/>
      </c>
      <c r="F488" s="127"/>
      <c r="G488" s="797" t="str">
        <f ca="1">IF(OR(INDIRECT("'update Helper'!E"&amp;U488)="",F488&lt;&gt;0,F489&lt;&gt;0),IF(IFERROR((F488/F489),"")="","",(F488/F489)),INDIRECT("'update Helper'!E"&amp;U488)/100)</f>
        <v/>
      </c>
      <c r="H488" s="784"/>
      <c r="I488" s="798"/>
      <c r="J488" s="777"/>
      <c r="K488" s="795" t="str">
        <f ca="1">W488</f>
        <v/>
      </c>
      <c r="L488" s="795" t="str">
        <f ca="1">V488</f>
        <v/>
      </c>
      <c r="M488" s="777"/>
      <c r="N488" s="777"/>
      <c r="P488" s="89">
        <f ca="1">IF(AND(EXACT(C488,C486),C486&lt;&gt;0),P486+1,0)</f>
        <v>16</v>
      </c>
      <c r="Q488" s="89" t="str">
        <f ca="1">IF(C488&lt;&gt;"",C488&amp;"-"&amp;P488,"")</f>
        <v/>
      </c>
      <c r="R488" s="89" t="str">
        <f t="array" aca="1" ref="R488" ca="1">IFERROR(IF(INDEX('Disaggregation Records'!$E$69:$E$152,MATCH(RIGHT(Q488,255),RIGHT('Disaggregation Records'!$D$69:$D$152,255),0))="","",INDEX('Disaggregation Records'!$E$69:$E$152,MATCH(RIGHT(Q488,255),RIGHT('Disaggregation Records'!$D$69:$D$152,255),0))),"")</f>
        <v/>
      </c>
      <c r="S488" s="89" t="str">
        <f t="array" aca="1" ref="S488" ca="1">IFERROR(IF(INDEX('Disaggregation Records'!$F$69:$F$152,MATCH(RIGHT(Q488,255),RIGHT('Disaggregation Records'!$D$69:$D$152,255),0))="","",INDEX('Disaggregation Records'!$F$69:$F$152,MATCH(RIGHT(Q488,255),RIGHT('Disaggregation Records'!$D$69:$D$152,255),0))),"")</f>
        <v/>
      </c>
      <c r="T488" s="89" t="str">
        <f t="array" aca="1" ref="T488" ca="1">IFERROR(IF(INDEX('Disaggregation Records'!$H$69:$H$152,MATCH(RIGHT(Q488,255),RIGHT('Disaggregation Records'!$D$69:$D$152,255),0))="","",INDEX('Disaggregation Records'!$H$69:$H$152,MATCH(RIGHT(Q488,255),RIGHT('Disaggregation Records'!$D$69:$D$152,255),0))),"")</f>
        <v/>
      </c>
      <c r="U488" s="89">
        <f>U486+1</f>
        <v>973</v>
      </c>
      <c r="V488" s="89" t="str">
        <f t="array" aca="1" ref="V488" ca="1">IFERROR(IF(INDEX('Disaggregation Records'!$I$69:$I$152,MATCH(RIGHT(Q488,255),RIGHT('Disaggregation Records'!$D$69:$D$152,255),0))="","",INDEX('Disaggregation Records'!$I$69:$I$152,MATCH(RIGHT(Q488,255),RIGHT('Disaggregation Records'!$D$69:$D$152,255),0))),"")</f>
        <v/>
      </c>
      <c r="W488" s="89" t="str">
        <f ca="1">IFERROR(INDEX('Reference Records'!P$23:P$74,MATCH(LEFT(C488,255),'Reference Records'!J$23:J$74,0)),"")</f>
        <v/>
      </c>
    </row>
    <row r="489" spans="1:23" s="89" customFormat="1" ht="40.35" customHeight="1">
      <c r="A489" s="564"/>
      <c r="B489" s="799"/>
      <c r="C489" s="800"/>
      <c r="D489" s="801"/>
      <c r="E489" s="801"/>
      <c r="F489" s="128"/>
      <c r="G489" s="802"/>
      <c r="H489" s="781"/>
      <c r="I489" s="803"/>
      <c r="J489" s="779"/>
      <c r="K489" s="800"/>
      <c r="L489" s="800"/>
      <c r="M489" s="779"/>
      <c r="N489" s="779"/>
      <c r="V489" s="89" t="str">
        <f t="array" ref="V489">IFERROR(IF(INDEX('Disaggregation Records'!$I$69:$I$152,MATCH(RIGHT(Q489,255),RIGHT('Disaggregation Records'!$D$69:$D$152,255),0))="","",INDEX('Disaggregation Records'!$I$69:$I$152,MATCH(RIGHT(Q489,255),RIGHT('Disaggregation Records'!$D$69:$D$152,255),0))),"")</f>
        <v/>
      </c>
    </row>
    <row r="490" spans="1:23" s="89" customFormat="1" ht="40.35" customHeight="1">
      <c r="A490" s="564" t="str">
        <f ca="1">INDIRECT("'update Helper'!C"&amp;U490)</f>
        <v>a1V3p000006h2x9EAA</v>
      </c>
      <c r="B490" s="794">
        <v>9</v>
      </c>
      <c r="C490" s="795" t="str">
        <f ca="1">IFERROR(VLOOKUP(B490,'Outcome Indicators - Section C '!$A$9:$AF$70,32,FALSE),"")</f>
        <v/>
      </c>
      <c r="D490" s="796" t="str">
        <f ca="1">R490</f>
        <v/>
      </c>
      <c r="E490" s="796" t="str">
        <f ca="1">S490</f>
        <v/>
      </c>
      <c r="F490" s="127"/>
      <c r="G490" s="797" t="str">
        <f ca="1">IF(OR(INDIRECT("'update Helper'!E"&amp;U490)="",F490&lt;&gt;0,F491&lt;&gt;0),IF(IFERROR((F490/F491),"")="","",(F490/F491)),INDIRECT("'update Helper'!E"&amp;U490)/100)</f>
        <v/>
      </c>
      <c r="H490" s="784"/>
      <c r="I490" s="798"/>
      <c r="J490" s="777"/>
      <c r="K490" s="795" t="str">
        <f ca="1">W490</f>
        <v/>
      </c>
      <c r="L490" s="795" t="str">
        <f ca="1">V490</f>
        <v/>
      </c>
      <c r="M490" s="777"/>
      <c r="N490" s="777"/>
      <c r="P490" s="89">
        <f ca="1">IF(AND(EXACT(C490,C488),C488&lt;&gt;0),P488+1,0)</f>
        <v>17</v>
      </c>
      <c r="Q490" s="89" t="str">
        <f ca="1">IF(C490&lt;&gt;"",C490&amp;"-"&amp;P490,"")</f>
        <v/>
      </c>
      <c r="R490" s="89" t="str">
        <f t="array" aca="1" ref="R490" ca="1">IFERROR(IF(INDEX('Disaggregation Records'!$E$69:$E$152,MATCH(RIGHT(Q490,255),RIGHT('Disaggregation Records'!$D$69:$D$152,255),0))="","",INDEX('Disaggregation Records'!$E$69:$E$152,MATCH(RIGHT(Q490,255),RIGHT('Disaggregation Records'!$D$69:$D$152,255),0))),"")</f>
        <v/>
      </c>
      <c r="S490" s="89" t="str">
        <f t="array" aca="1" ref="S490" ca="1">IFERROR(IF(INDEX('Disaggregation Records'!$F$69:$F$152,MATCH(RIGHT(Q490,255),RIGHT('Disaggregation Records'!$D$69:$D$152,255),0))="","",INDEX('Disaggregation Records'!$F$69:$F$152,MATCH(RIGHT(Q490,255),RIGHT('Disaggregation Records'!$D$69:$D$152,255),0))),"")</f>
        <v/>
      </c>
      <c r="T490" s="89" t="str">
        <f t="array" aca="1" ref="T490" ca="1">IFERROR(IF(INDEX('Disaggregation Records'!$H$69:$H$152,MATCH(RIGHT(Q490,255),RIGHT('Disaggregation Records'!$D$69:$D$152,255),0))="","",INDEX('Disaggregation Records'!$H$69:$H$152,MATCH(RIGHT(Q490,255),RIGHT('Disaggregation Records'!$D$69:$D$152,255),0))),"")</f>
        <v/>
      </c>
      <c r="U490" s="89">
        <f>U488+1</f>
        <v>974</v>
      </c>
      <c r="V490" s="89" t="str">
        <f t="array" aca="1" ref="V490" ca="1">IFERROR(IF(INDEX('Disaggregation Records'!$I$69:$I$152,MATCH(RIGHT(Q490,255),RIGHT('Disaggregation Records'!$D$69:$D$152,255),0))="","",INDEX('Disaggregation Records'!$I$69:$I$152,MATCH(RIGHT(Q490,255),RIGHT('Disaggregation Records'!$D$69:$D$152,255),0))),"")</f>
        <v/>
      </c>
      <c r="W490" s="89" t="str">
        <f ca="1">IFERROR(INDEX('Reference Records'!P$23:P$74,MATCH(LEFT(C490,255),'Reference Records'!J$23:J$74,0)),"")</f>
        <v/>
      </c>
    </row>
    <row r="491" spans="1:23" s="89" customFormat="1" ht="40.35" customHeight="1">
      <c r="A491" s="564"/>
      <c r="B491" s="799"/>
      <c r="C491" s="800"/>
      <c r="D491" s="801"/>
      <c r="E491" s="801"/>
      <c r="F491" s="128"/>
      <c r="G491" s="802"/>
      <c r="H491" s="781"/>
      <c r="I491" s="803"/>
      <c r="J491" s="779"/>
      <c r="K491" s="800"/>
      <c r="L491" s="800"/>
      <c r="M491" s="779"/>
      <c r="N491" s="779"/>
      <c r="V491" s="89" t="str">
        <f t="array" ref="V491">IFERROR(IF(INDEX('Disaggregation Records'!$I$69:$I$152,MATCH(RIGHT(Q491,255),RIGHT('Disaggregation Records'!$D$69:$D$152,255),0))="","",INDEX('Disaggregation Records'!$I$69:$I$152,MATCH(RIGHT(Q491,255),RIGHT('Disaggregation Records'!$D$69:$D$152,255),0))),"")</f>
        <v/>
      </c>
    </row>
    <row r="492" spans="1:23" s="89" customFormat="1" ht="40.35" customHeight="1">
      <c r="A492" s="564" t="str">
        <f ca="1">INDIRECT("'update Helper'!C"&amp;U492)</f>
        <v>a1V3p000006h2xAEAQ</v>
      </c>
      <c r="B492" s="794">
        <v>9</v>
      </c>
      <c r="C492" s="795" t="str">
        <f ca="1">IFERROR(VLOOKUP(B492,'Outcome Indicators - Section C '!$A$9:$AF$70,32,FALSE),"")</f>
        <v/>
      </c>
      <c r="D492" s="796" t="str">
        <f ca="1">R492</f>
        <v/>
      </c>
      <c r="E492" s="796" t="str">
        <f ca="1">S492</f>
        <v/>
      </c>
      <c r="F492" s="127"/>
      <c r="G492" s="797" t="str">
        <f ca="1">IF(OR(INDIRECT("'update Helper'!E"&amp;U492)="",F492&lt;&gt;0,F493&lt;&gt;0),IF(IFERROR((F492/F493),"")="","",(F492/F493)),INDIRECT("'update Helper'!E"&amp;U492)/100)</f>
        <v/>
      </c>
      <c r="H492" s="784"/>
      <c r="I492" s="798"/>
      <c r="J492" s="777"/>
      <c r="K492" s="795" t="str">
        <f ca="1">W492</f>
        <v/>
      </c>
      <c r="L492" s="795" t="str">
        <f ca="1">V492</f>
        <v/>
      </c>
      <c r="M492" s="777"/>
      <c r="N492" s="777"/>
      <c r="P492" s="89">
        <f ca="1">IF(AND(EXACT(C492,C490),C490&lt;&gt;0),P490+1,0)</f>
        <v>18</v>
      </c>
      <c r="Q492" s="89" t="str">
        <f ca="1">IF(C492&lt;&gt;"",C492&amp;"-"&amp;P492,"")</f>
        <v/>
      </c>
      <c r="R492" s="89" t="str">
        <f t="array" aca="1" ref="R492" ca="1">IFERROR(IF(INDEX('Disaggregation Records'!$E$69:$E$152,MATCH(RIGHT(Q492,255),RIGHT('Disaggregation Records'!$D$69:$D$152,255),0))="","",INDEX('Disaggregation Records'!$E$69:$E$152,MATCH(RIGHT(Q492,255),RIGHT('Disaggregation Records'!$D$69:$D$152,255),0))),"")</f>
        <v/>
      </c>
      <c r="S492" s="89" t="str">
        <f t="array" aca="1" ref="S492" ca="1">IFERROR(IF(INDEX('Disaggregation Records'!$F$69:$F$152,MATCH(RIGHT(Q492,255),RIGHT('Disaggregation Records'!$D$69:$D$152,255),0))="","",INDEX('Disaggregation Records'!$F$69:$F$152,MATCH(RIGHT(Q492,255),RIGHT('Disaggregation Records'!$D$69:$D$152,255),0))),"")</f>
        <v/>
      </c>
      <c r="T492" s="89" t="str">
        <f t="array" aca="1" ref="T492" ca="1">IFERROR(IF(INDEX('Disaggregation Records'!$H$69:$H$152,MATCH(RIGHT(Q492,255),RIGHT('Disaggregation Records'!$D$69:$D$152,255),0))="","",INDEX('Disaggregation Records'!$H$69:$H$152,MATCH(RIGHT(Q492,255),RIGHT('Disaggregation Records'!$D$69:$D$152,255),0))),"")</f>
        <v/>
      </c>
      <c r="U492" s="89">
        <f>U490+1</f>
        <v>975</v>
      </c>
      <c r="V492" s="89" t="str">
        <f t="array" aca="1" ref="V492" ca="1">IFERROR(IF(INDEX('Disaggregation Records'!$I$69:$I$152,MATCH(RIGHT(Q492,255),RIGHT('Disaggregation Records'!$D$69:$D$152,255),0))="","",INDEX('Disaggregation Records'!$I$69:$I$152,MATCH(RIGHT(Q492,255),RIGHT('Disaggregation Records'!$D$69:$D$152,255),0))),"")</f>
        <v/>
      </c>
      <c r="W492" s="89" t="str">
        <f ca="1">IFERROR(INDEX('Reference Records'!P$23:P$74,MATCH(LEFT(C492,255),'Reference Records'!J$23:J$74,0)),"")</f>
        <v/>
      </c>
    </row>
    <row r="493" spans="1:23" s="89" customFormat="1" ht="40.35" customHeight="1">
      <c r="A493" s="564"/>
      <c r="B493" s="799"/>
      <c r="C493" s="800"/>
      <c r="D493" s="801"/>
      <c r="E493" s="801"/>
      <c r="F493" s="128"/>
      <c r="G493" s="802"/>
      <c r="H493" s="781"/>
      <c r="I493" s="803"/>
      <c r="J493" s="779"/>
      <c r="K493" s="800"/>
      <c r="L493" s="800"/>
      <c r="M493" s="779"/>
      <c r="N493" s="779"/>
      <c r="V493" s="89" t="str">
        <f t="array" ref="V493">IFERROR(IF(INDEX('Disaggregation Records'!$I$69:$I$152,MATCH(RIGHT(Q493,255),RIGHT('Disaggregation Records'!$D$69:$D$152,255),0))="","",INDEX('Disaggregation Records'!$I$69:$I$152,MATCH(RIGHT(Q493,255),RIGHT('Disaggregation Records'!$D$69:$D$152,255),0))),"")</f>
        <v/>
      </c>
    </row>
    <row r="494" spans="1:23" s="89" customFormat="1" ht="40.35" customHeight="1">
      <c r="A494" s="564" t="str">
        <f ca="1">INDIRECT("'update Helper'!C"&amp;U494)</f>
        <v>a1V3p000006h2xBEAQ</v>
      </c>
      <c r="B494" s="794">
        <v>9</v>
      </c>
      <c r="C494" s="795" t="str">
        <f ca="1">IFERROR(VLOOKUP(B494,'Outcome Indicators - Section C '!$A$9:$AF$70,32,FALSE),"")</f>
        <v/>
      </c>
      <c r="D494" s="796" t="str">
        <f ca="1">R494</f>
        <v/>
      </c>
      <c r="E494" s="796" t="str">
        <f ca="1">S494</f>
        <v/>
      </c>
      <c r="F494" s="127"/>
      <c r="G494" s="797" t="str">
        <f ca="1">IF(OR(INDIRECT("'update Helper'!E"&amp;U494)="",F494&lt;&gt;0,F495&lt;&gt;0),IF(IFERROR((F494/F495),"")="","",(F494/F495)),INDIRECT("'update Helper'!E"&amp;U494)/100)</f>
        <v/>
      </c>
      <c r="H494" s="784"/>
      <c r="I494" s="798"/>
      <c r="J494" s="777"/>
      <c r="K494" s="795" t="str">
        <f ca="1">W494</f>
        <v/>
      </c>
      <c r="L494" s="795" t="str">
        <f ca="1">V494</f>
        <v/>
      </c>
      <c r="M494" s="777"/>
      <c r="N494" s="777"/>
      <c r="P494" s="89">
        <f ca="1">IF(AND(EXACT(C494,C492),C492&lt;&gt;0),P492+1,0)</f>
        <v>19</v>
      </c>
      <c r="Q494" s="89" t="str">
        <f ca="1">IF(C494&lt;&gt;"",C494&amp;"-"&amp;P494,"")</f>
        <v/>
      </c>
      <c r="R494" s="89" t="str">
        <f t="array" aca="1" ref="R494" ca="1">IFERROR(IF(INDEX('Disaggregation Records'!$E$69:$E$152,MATCH(RIGHT(Q494,255),RIGHT('Disaggregation Records'!$D$69:$D$152,255),0))="","",INDEX('Disaggregation Records'!$E$69:$E$152,MATCH(RIGHT(Q494,255),RIGHT('Disaggregation Records'!$D$69:$D$152,255),0))),"")</f>
        <v/>
      </c>
      <c r="S494" s="89" t="str">
        <f t="array" aca="1" ref="S494" ca="1">IFERROR(IF(INDEX('Disaggregation Records'!$F$69:$F$152,MATCH(RIGHT(Q494,255),RIGHT('Disaggregation Records'!$D$69:$D$152,255),0))="","",INDEX('Disaggregation Records'!$F$69:$F$152,MATCH(RIGHT(Q494,255),RIGHT('Disaggregation Records'!$D$69:$D$152,255),0))),"")</f>
        <v/>
      </c>
      <c r="T494" s="89" t="str">
        <f t="array" aca="1" ref="T494" ca="1">IFERROR(IF(INDEX('Disaggregation Records'!$H$69:$H$152,MATCH(RIGHT(Q494,255),RIGHT('Disaggregation Records'!$D$69:$D$152,255),0))="","",INDEX('Disaggregation Records'!$H$69:$H$152,MATCH(RIGHT(Q494,255),RIGHT('Disaggregation Records'!$D$69:$D$152,255),0))),"")</f>
        <v/>
      </c>
      <c r="U494" s="89">
        <f>U492+1</f>
        <v>976</v>
      </c>
      <c r="V494" s="89" t="str">
        <f t="array" aca="1" ref="V494" ca="1">IFERROR(IF(INDEX('Disaggregation Records'!$I$69:$I$152,MATCH(RIGHT(Q494,255),RIGHT('Disaggregation Records'!$D$69:$D$152,255),0))="","",INDEX('Disaggregation Records'!$I$69:$I$152,MATCH(RIGHT(Q494,255),RIGHT('Disaggregation Records'!$D$69:$D$152,255),0))),"")</f>
        <v/>
      </c>
      <c r="W494" s="89" t="str">
        <f ca="1">IFERROR(INDEX('Reference Records'!P$23:P$74,MATCH(LEFT(C494,255),'Reference Records'!J$23:J$74,0)),"")</f>
        <v/>
      </c>
    </row>
    <row r="495" spans="1:23" s="89" customFormat="1" ht="40.35" customHeight="1">
      <c r="A495" s="564"/>
      <c r="B495" s="799"/>
      <c r="C495" s="800"/>
      <c r="D495" s="801"/>
      <c r="E495" s="801"/>
      <c r="F495" s="128"/>
      <c r="G495" s="802"/>
      <c r="H495" s="781"/>
      <c r="I495" s="803"/>
      <c r="J495" s="779"/>
      <c r="K495" s="800"/>
      <c r="L495" s="800"/>
      <c r="M495" s="779"/>
      <c r="N495" s="779"/>
      <c r="V495" s="89" t="str">
        <f t="array" ref="V495">IFERROR(IF(INDEX('Disaggregation Records'!$I$69:$I$152,MATCH(RIGHT(Q495,255),RIGHT('Disaggregation Records'!$D$69:$D$152,255),0))="","",INDEX('Disaggregation Records'!$I$69:$I$152,MATCH(RIGHT(Q495,255),RIGHT('Disaggregation Records'!$D$69:$D$152,255),0))),"")</f>
        <v/>
      </c>
    </row>
    <row r="496" spans="1:23" s="89" customFormat="1" ht="40.35" customHeight="1">
      <c r="A496" s="564" t="str">
        <f ca="1">INDIRECT("'update Helper'!C"&amp;U496)</f>
        <v>a1V3p000006h2xCEAQ</v>
      </c>
      <c r="B496" s="794">
        <v>10</v>
      </c>
      <c r="C496" s="795" t="str">
        <f ca="1">IFERROR(VLOOKUP(B496,'Outcome Indicators - Section C '!$A$9:$AF$70,32,FALSE),"")</f>
        <v/>
      </c>
      <c r="D496" s="796" t="str">
        <f ca="1">R496</f>
        <v/>
      </c>
      <c r="E496" s="796" t="str">
        <f ca="1">S496</f>
        <v/>
      </c>
      <c r="F496" s="127"/>
      <c r="G496" s="797" t="str">
        <f ca="1">IF(OR(INDIRECT("'update Helper'!E"&amp;U496)="",F496&lt;&gt;0,F497&lt;&gt;0),IF(IFERROR((F496/F497),"")="","",(F496/F497)),INDIRECT("'update Helper'!E"&amp;U496)/100)</f>
        <v/>
      </c>
      <c r="H496" s="784"/>
      <c r="I496" s="798"/>
      <c r="J496" s="777"/>
      <c r="K496" s="795" t="str">
        <f ca="1">W496</f>
        <v/>
      </c>
      <c r="L496" s="795" t="str">
        <f ca="1">V496</f>
        <v/>
      </c>
      <c r="M496" s="777"/>
      <c r="N496" s="777"/>
      <c r="P496" s="89">
        <f ca="1">IF(AND(EXACT(C496,C494),C494&lt;&gt;0),P494+1,0)</f>
        <v>20</v>
      </c>
      <c r="Q496" s="89" t="str">
        <f ca="1">IF(C496&lt;&gt;"",C496&amp;"-"&amp;P496,"")</f>
        <v/>
      </c>
      <c r="R496" s="89" t="str">
        <f t="array" aca="1" ref="R496" ca="1">IFERROR(IF(INDEX('Disaggregation Records'!$E$69:$E$152,MATCH(RIGHT(Q496,255),RIGHT('Disaggregation Records'!$D$69:$D$152,255),0))="","",INDEX('Disaggregation Records'!$E$69:$E$152,MATCH(RIGHT(Q496,255),RIGHT('Disaggregation Records'!$D$69:$D$152,255),0))),"")</f>
        <v/>
      </c>
      <c r="S496" s="89" t="str">
        <f t="array" aca="1" ref="S496" ca="1">IFERROR(IF(INDEX('Disaggregation Records'!$F$69:$F$152,MATCH(RIGHT(Q496,255),RIGHT('Disaggregation Records'!$D$69:$D$152,255),0))="","",INDEX('Disaggregation Records'!$F$69:$F$152,MATCH(RIGHT(Q496,255),RIGHT('Disaggregation Records'!$D$69:$D$152,255),0))),"")</f>
        <v/>
      </c>
      <c r="T496" s="89" t="str">
        <f t="array" aca="1" ref="T496" ca="1">IFERROR(IF(INDEX('Disaggregation Records'!$H$69:$H$152,MATCH(RIGHT(Q496,255),RIGHT('Disaggregation Records'!$D$69:$D$152,255),0))="","",INDEX('Disaggregation Records'!$H$69:$H$152,MATCH(RIGHT(Q496,255),RIGHT('Disaggregation Records'!$D$69:$D$152,255),0))),"")</f>
        <v/>
      </c>
      <c r="U496" s="89">
        <f>U494+1</f>
        <v>977</v>
      </c>
      <c r="V496" s="89" t="str">
        <f t="array" aca="1" ref="V496" ca="1">IFERROR(IF(INDEX('Disaggregation Records'!$I$69:$I$152,MATCH(RIGHT(Q496,255),RIGHT('Disaggregation Records'!$D$69:$D$152,255),0))="","",INDEX('Disaggregation Records'!$I$69:$I$152,MATCH(RIGHT(Q496,255),RIGHT('Disaggregation Records'!$D$69:$D$152,255),0))),"")</f>
        <v/>
      </c>
      <c r="W496" s="89" t="str">
        <f ca="1">IFERROR(INDEX('Reference Records'!P$23:P$74,MATCH(LEFT(C496,255),'Reference Records'!J$23:J$74,0)),"")</f>
        <v/>
      </c>
    </row>
    <row r="497" spans="1:23" s="89" customFormat="1" ht="40.35" customHeight="1">
      <c r="A497" s="564"/>
      <c r="B497" s="799"/>
      <c r="C497" s="800"/>
      <c r="D497" s="801"/>
      <c r="E497" s="801"/>
      <c r="F497" s="128"/>
      <c r="G497" s="802"/>
      <c r="H497" s="781"/>
      <c r="I497" s="803"/>
      <c r="J497" s="779"/>
      <c r="K497" s="800"/>
      <c r="L497" s="800"/>
      <c r="M497" s="779"/>
      <c r="N497" s="779"/>
      <c r="V497" s="89" t="str">
        <f t="array" ref="V497">IFERROR(IF(INDEX('Disaggregation Records'!$I$69:$I$152,MATCH(RIGHT(Q497,255),RIGHT('Disaggregation Records'!$D$69:$D$152,255),0))="","",INDEX('Disaggregation Records'!$I$69:$I$152,MATCH(RIGHT(Q497,255),RIGHT('Disaggregation Records'!$D$69:$D$152,255),0))),"")</f>
        <v/>
      </c>
    </row>
    <row r="498" spans="1:23" s="89" customFormat="1" ht="40.35" customHeight="1">
      <c r="A498" s="564" t="str">
        <f ca="1">INDIRECT("'update Helper'!C"&amp;U498)</f>
        <v>a1V3p000006h2xDEAQ</v>
      </c>
      <c r="B498" s="794">
        <v>10</v>
      </c>
      <c r="C498" s="795" t="str">
        <f ca="1">IFERROR(VLOOKUP(B498,'Outcome Indicators - Section C '!$A$9:$AF$70,32,FALSE),"")</f>
        <v/>
      </c>
      <c r="D498" s="796" t="str">
        <f ca="1">R498</f>
        <v/>
      </c>
      <c r="E498" s="796" t="str">
        <f ca="1">S498</f>
        <v/>
      </c>
      <c r="F498" s="127"/>
      <c r="G498" s="797" t="str">
        <f ca="1">IF(OR(INDIRECT("'update Helper'!E"&amp;U498)="",F498&lt;&gt;0,F499&lt;&gt;0),IF(IFERROR((F498/F499),"")="","",(F498/F499)),INDIRECT("'update Helper'!E"&amp;U498)/100)</f>
        <v/>
      </c>
      <c r="H498" s="784"/>
      <c r="I498" s="798"/>
      <c r="J498" s="777"/>
      <c r="K498" s="795" t="str">
        <f ca="1">W498</f>
        <v/>
      </c>
      <c r="L498" s="795" t="str">
        <f ca="1">V498</f>
        <v/>
      </c>
      <c r="M498" s="777"/>
      <c r="N498" s="777"/>
      <c r="P498" s="89">
        <f ca="1">IF(AND(EXACT(C498,C496),C496&lt;&gt;0),P496+1,0)</f>
        <v>21</v>
      </c>
      <c r="Q498" s="89" t="str">
        <f ca="1">IF(C498&lt;&gt;"",C498&amp;"-"&amp;P498,"")</f>
        <v/>
      </c>
      <c r="R498" s="89" t="str">
        <f t="array" aca="1" ref="R498" ca="1">IFERROR(IF(INDEX('Disaggregation Records'!$E$69:$E$152,MATCH(RIGHT(Q498,255),RIGHT('Disaggregation Records'!$D$69:$D$152,255),0))="","",INDEX('Disaggregation Records'!$E$69:$E$152,MATCH(RIGHT(Q498,255),RIGHT('Disaggregation Records'!$D$69:$D$152,255),0))),"")</f>
        <v/>
      </c>
      <c r="S498" s="89" t="str">
        <f t="array" aca="1" ref="S498" ca="1">IFERROR(IF(INDEX('Disaggregation Records'!$F$69:$F$152,MATCH(RIGHT(Q498,255),RIGHT('Disaggregation Records'!$D$69:$D$152,255),0))="","",INDEX('Disaggregation Records'!$F$69:$F$152,MATCH(RIGHT(Q498,255),RIGHT('Disaggregation Records'!$D$69:$D$152,255),0))),"")</f>
        <v/>
      </c>
      <c r="T498" s="89" t="str">
        <f t="array" aca="1" ref="T498" ca="1">IFERROR(IF(INDEX('Disaggregation Records'!$H$69:$H$152,MATCH(RIGHT(Q498,255),RIGHT('Disaggregation Records'!$D$69:$D$152,255),0))="","",INDEX('Disaggregation Records'!$H$69:$H$152,MATCH(RIGHT(Q498,255),RIGHT('Disaggregation Records'!$D$69:$D$152,255),0))),"")</f>
        <v/>
      </c>
      <c r="U498" s="89">
        <f>U496+1</f>
        <v>978</v>
      </c>
      <c r="V498" s="89" t="str">
        <f t="array" aca="1" ref="V498" ca="1">IFERROR(IF(INDEX('Disaggregation Records'!$I$69:$I$152,MATCH(RIGHT(Q498,255),RIGHT('Disaggregation Records'!$D$69:$D$152,255),0))="","",INDEX('Disaggregation Records'!$I$69:$I$152,MATCH(RIGHT(Q498,255),RIGHT('Disaggregation Records'!$D$69:$D$152,255),0))),"")</f>
        <v/>
      </c>
      <c r="W498" s="89" t="str">
        <f ca="1">IFERROR(INDEX('Reference Records'!P$23:P$74,MATCH(LEFT(C498,255),'Reference Records'!J$23:J$74,0)),"")</f>
        <v/>
      </c>
    </row>
    <row r="499" spans="1:23" s="89" customFormat="1" ht="40.35" customHeight="1">
      <c r="A499" s="564"/>
      <c r="B499" s="799"/>
      <c r="C499" s="800"/>
      <c r="D499" s="801"/>
      <c r="E499" s="801"/>
      <c r="F499" s="128"/>
      <c r="G499" s="802"/>
      <c r="H499" s="781"/>
      <c r="I499" s="803"/>
      <c r="J499" s="779"/>
      <c r="K499" s="800"/>
      <c r="L499" s="800"/>
      <c r="M499" s="779"/>
      <c r="N499" s="779"/>
      <c r="V499" s="89" t="str">
        <f t="array" ref="V499">IFERROR(IF(INDEX('Disaggregation Records'!$I$69:$I$152,MATCH(RIGHT(Q499,255),RIGHT('Disaggregation Records'!$D$69:$D$152,255),0))="","",INDEX('Disaggregation Records'!$I$69:$I$152,MATCH(RIGHT(Q499,255),RIGHT('Disaggregation Records'!$D$69:$D$152,255),0))),"")</f>
        <v/>
      </c>
    </row>
    <row r="500" spans="1:23" s="89" customFormat="1" ht="40.35" customHeight="1">
      <c r="A500" s="564" t="str">
        <f ca="1">INDIRECT("'update Helper'!C"&amp;U500)</f>
        <v>a1V3p000006h2xEEAQ</v>
      </c>
      <c r="B500" s="794">
        <v>10</v>
      </c>
      <c r="C500" s="795" t="str">
        <f ca="1">IFERROR(VLOOKUP(B500,'Outcome Indicators - Section C '!$A$9:$AF$70,32,FALSE),"")</f>
        <v/>
      </c>
      <c r="D500" s="796" t="str">
        <f ca="1">R500</f>
        <v/>
      </c>
      <c r="E500" s="796" t="str">
        <f ca="1">S500</f>
        <v/>
      </c>
      <c r="F500" s="127"/>
      <c r="G500" s="797" t="str">
        <f ca="1">IF(OR(INDIRECT("'update Helper'!E"&amp;U500)="",F500&lt;&gt;0,F501&lt;&gt;0),IF(IFERROR((F500/F501),"")="","",(F500/F501)),INDIRECT("'update Helper'!E"&amp;U500)/100)</f>
        <v/>
      </c>
      <c r="H500" s="784"/>
      <c r="I500" s="798"/>
      <c r="J500" s="777"/>
      <c r="K500" s="795" t="str">
        <f ca="1">W500</f>
        <v/>
      </c>
      <c r="L500" s="795" t="str">
        <f ca="1">V500</f>
        <v/>
      </c>
      <c r="M500" s="777"/>
      <c r="N500" s="777"/>
      <c r="P500" s="89">
        <f ca="1">IF(AND(EXACT(C500,C498),C498&lt;&gt;0),P498+1,0)</f>
        <v>22</v>
      </c>
      <c r="Q500" s="89" t="str">
        <f ca="1">IF(C500&lt;&gt;"",C500&amp;"-"&amp;P500,"")</f>
        <v/>
      </c>
      <c r="R500" s="89" t="str">
        <f t="array" aca="1" ref="R500" ca="1">IFERROR(IF(INDEX('Disaggregation Records'!$E$69:$E$152,MATCH(RIGHT(Q500,255),RIGHT('Disaggregation Records'!$D$69:$D$152,255),0))="","",INDEX('Disaggregation Records'!$E$69:$E$152,MATCH(RIGHT(Q500,255),RIGHT('Disaggregation Records'!$D$69:$D$152,255),0))),"")</f>
        <v/>
      </c>
      <c r="S500" s="89" t="str">
        <f t="array" aca="1" ref="S500" ca="1">IFERROR(IF(INDEX('Disaggregation Records'!$F$69:$F$152,MATCH(RIGHT(Q500,255),RIGHT('Disaggregation Records'!$D$69:$D$152,255),0))="","",INDEX('Disaggregation Records'!$F$69:$F$152,MATCH(RIGHT(Q500,255),RIGHT('Disaggregation Records'!$D$69:$D$152,255),0))),"")</f>
        <v/>
      </c>
      <c r="T500" s="89" t="str">
        <f t="array" aca="1" ref="T500" ca="1">IFERROR(IF(INDEX('Disaggregation Records'!$H$69:$H$152,MATCH(RIGHT(Q500,255),RIGHT('Disaggregation Records'!$D$69:$D$152,255),0))="","",INDEX('Disaggregation Records'!$H$69:$H$152,MATCH(RIGHT(Q500,255),RIGHT('Disaggregation Records'!$D$69:$D$152,255),0))),"")</f>
        <v/>
      </c>
      <c r="U500" s="89">
        <f>U498+1</f>
        <v>979</v>
      </c>
      <c r="V500" s="89" t="str">
        <f t="array" aca="1" ref="V500" ca="1">IFERROR(IF(INDEX('Disaggregation Records'!$I$69:$I$152,MATCH(RIGHT(Q500,255),RIGHT('Disaggregation Records'!$D$69:$D$152,255),0))="","",INDEX('Disaggregation Records'!$I$69:$I$152,MATCH(RIGHT(Q500,255),RIGHT('Disaggregation Records'!$D$69:$D$152,255),0))),"")</f>
        <v/>
      </c>
      <c r="W500" s="89" t="str">
        <f ca="1">IFERROR(INDEX('Reference Records'!P$23:P$74,MATCH(LEFT(C500,255),'Reference Records'!J$23:J$74,0)),"")</f>
        <v/>
      </c>
    </row>
    <row r="501" spans="1:23" s="89" customFormat="1" ht="40.35" customHeight="1">
      <c r="A501" s="564"/>
      <c r="B501" s="799"/>
      <c r="C501" s="800"/>
      <c r="D501" s="801"/>
      <c r="E501" s="801"/>
      <c r="F501" s="128"/>
      <c r="G501" s="802"/>
      <c r="H501" s="781"/>
      <c r="I501" s="803"/>
      <c r="J501" s="779"/>
      <c r="K501" s="800"/>
      <c r="L501" s="800"/>
      <c r="M501" s="779"/>
      <c r="N501" s="779"/>
      <c r="V501" s="89" t="str">
        <f t="array" ref="V501">IFERROR(IF(INDEX('Disaggregation Records'!$I$69:$I$152,MATCH(RIGHT(Q501,255),RIGHT('Disaggregation Records'!$D$69:$D$152,255),0))="","",INDEX('Disaggregation Records'!$I$69:$I$152,MATCH(RIGHT(Q501,255),RIGHT('Disaggregation Records'!$D$69:$D$152,255),0))),"")</f>
        <v/>
      </c>
    </row>
    <row r="502" spans="1:23" s="89" customFormat="1" ht="40.35" customHeight="1">
      <c r="A502" s="564" t="str">
        <f ca="1">INDIRECT("'update Helper'!C"&amp;U502)</f>
        <v>a1V3p000006h2xFEAQ</v>
      </c>
      <c r="B502" s="794">
        <v>10</v>
      </c>
      <c r="C502" s="795" t="str">
        <f ca="1">IFERROR(VLOOKUP(B502,'Outcome Indicators - Section C '!$A$9:$AF$70,32,FALSE),"")</f>
        <v/>
      </c>
      <c r="D502" s="796" t="str">
        <f ca="1">R502</f>
        <v/>
      </c>
      <c r="E502" s="796" t="str">
        <f ca="1">S502</f>
        <v/>
      </c>
      <c r="F502" s="127"/>
      <c r="G502" s="797" t="str">
        <f ca="1">IF(OR(INDIRECT("'update Helper'!E"&amp;U502)="",F502&lt;&gt;0,F503&lt;&gt;0),IF(IFERROR((F502/F503),"")="","",(F502/F503)),INDIRECT("'update Helper'!E"&amp;U502)/100)</f>
        <v/>
      </c>
      <c r="H502" s="784"/>
      <c r="I502" s="798"/>
      <c r="J502" s="777"/>
      <c r="K502" s="795" t="str">
        <f ca="1">W502</f>
        <v/>
      </c>
      <c r="L502" s="795" t="str">
        <f ca="1">V502</f>
        <v/>
      </c>
      <c r="M502" s="777"/>
      <c r="N502" s="777"/>
      <c r="P502" s="89">
        <f ca="1">IF(AND(EXACT(C502,C500),C500&lt;&gt;0),P500+1,0)</f>
        <v>23</v>
      </c>
      <c r="Q502" s="89" t="str">
        <f ca="1">IF(C502&lt;&gt;"",C502&amp;"-"&amp;P502,"")</f>
        <v/>
      </c>
      <c r="R502" s="89" t="str">
        <f t="array" aca="1" ref="R502" ca="1">IFERROR(IF(INDEX('Disaggregation Records'!$E$69:$E$152,MATCH(RIGHT(Q502,255),RIGHT('Disaggregation Records'!$D$69:$D$152,255),0))="","",INDEX('Disaggregation Records'!$E$69:$E$152,MATCH(RIGHT(Q502,255),RIGHT('Disaggregation Records'!$D$69:$D$152,255),0))),"")</f>
        <v/>
      </c>
      <c r="S502" s="89" t="str">
        <f t="array" aca="1" ref="S502" ca="1">IFERROR(IF(INDEX('Disaggregation Records'!$F$69:$F$152,MATCH(RIGHT(Q502,255),RIGHT('Disaggregation Records'!$D$69:$D$152,255),0))="","",INDEX('Disaggregation Records'!$F$69:$F$152,MATCH(RIGHT(Q502,255),RIGHT('Disaggregation Records'!$D$69:$D$152,255),0))),"")</f>
        <v/>
      </c>
      <c r="T502" s="89" t="str">
        <f t="array" aca="1" ref="T502" ca="1">IFERROR(IF(INDEX('Disaggregation Records'!$H$69:$H$152,MATCH(RIGHT(Q502,255),RIGHT('Disaggregation Records'!$D$69:$D$152,255),0))="","",INDEX('Disaggregation Records'!$H$69:$H$152,MATCH(RIGHT(Q502,255),RIGHT('Disaggregation Records'!$D$69:$D$152,255),0))),"")</f>
        <v/>
      </c>
      <c r="U502" s="89">
        <f>U500+1</f>
        <v>980</v>
      </c>
      <c r="V502" s="89" t="str">
        <f t="array" aca="1" ref="V502" ca="1">IFERROR(IF(INDEX('Disaggregation Records'!$I$69:$I$152,MATCH(RIGHT(Q502,255),RIGHT('Disaggregation Records'!$D$69:$D$152,255),0))="","",INDEX('Disaggregation Records'!$I$69:$I$152,MATCH(RIGHT(Q502,255),RIGHT('Disaggregation Records'!$D$69:$D$152,255),0))),"")</f>
        <v/>
      </c>
      <c r="W502" s="89" t="str">
        <f ca="1">IFERROR(INDEX('Reference Records'!P$23:P$74,MATCH(LEFT(C502,255),'Reference Records'!J$23:J$74,0)),"")</f>
        <v/>
      </c>
    </row>
    <row r="503" spans="1:23" s="89" customFormat="1" ht="40.35" customHeight="1">
      <c r="A503" s="564"/>
      <c r="B503" s="799"/>
      <c r="C503" s="800"/>
      <c r="D503" s="801"/>
      <c r="E503" s="801"/>
      <c r="F503" s="128"/>
      <c r="G503" s="802"/>
      <c r="H503" s="781"/>
      <c r="I503" s="803"/>
      <c r="J503" s="779"/>
      <c r="K503" s="800"/>
      <c r="L503" s="800"/>
      <c r="M503" s="779"/>
      <c r="N503" s="779"/>
      <c r="V503" s="89" t="str">
        <f t="array" ref="V503">IFERROR(IF(INDEX('Disaggregation Records'!$I$69:$I$152,MATCH(RIGHT(Q503,255),RIGHT('Disaggregation Records'!$D$69:$D$152,255),0))="","",INDEX('Disaggregation Records'!$I$69:$I$152,MATCH(RIGHT(Q503,255),RIGHT('Disaggregation Records'!$D$69:$D$152,255),0))),"")</f>
        <v/>
      </c>
    </row>
    <row r="504" spans="1:23" s="89" customFormat="1" ht="40.35" customHeight="1">
      <c r="A504" s="564" t="str">
        <f ca="1">INDIRECT("'update Helper'!C"&amp;U504)</f>
        <v>a1V3p000006h2xGEAQ</v>
      </c>
      <c r="B504" s="794">
        <v>10</v>
      </c>
      <c r="C504" s="795" t="str">
        <f ca="1">IFERROR(VLOOKUP(B504,'Outcome Indicators - Section C '!$A$9:$AF$70,32,FALSE),"")</f>
        <v/>
      </c>
      <c r="D504" s="796" t="str">
        <f ca="1">R504</f>
        <v/>
      </c>
      <c r="E504" s="796" t="str">
        <f ca="1">S504</f>
        <v/>
      </c>
      <c r="F504" s="127"/>
      <c r="G504" s="797" t="str">
        <f ca="1">IF(OR(INDIRECT("'update Helper'!E"&amp;U504)="",F504&lt;&gt;0,F505&lt;&gt;0),IF(IFERROR((F504/F505),"")="","",(F504/F505)),INDIRECT("'update Helper'!E"&amp;U504)/100)</f>
        <v/>
      </c>
      <c r="H504" s="784"/>
      <c r="I504" s="798"/>
      <c r="J504" s="777"/>
      <c r="K504" s="795" t="str">
        <f ca="1">W504</f>
        <v/>
      </c>
      <c r="L504" s="795" t="str">
        <f ca="1">V504</f>
        <v/>
      </c>
      <c r="M504" s="777"/>
      <c r="N504" s="777"/>
      <c r="P504" s="89">
        <f ca="1">IF(AND(EXACT(C504,C502),C502&lt;&gt;0),P502+1,0)</f>
        <v>24</v>
      </c>
      <c r="Q504" s="89" t="str">
        <f ca="1">IF(C504&lt;&gt;"",C504&amp;"-"&amp;P504,"")</f>
        <v/>
      </c>
      <c r="R504" s="89" t="str">
        <f t="array" aca="1" ref="R504" ca="1">IFERROR(IF(INDEX('Disaggregation Records'!$E$69:$E$152,MATCH(RIGHT(Q504,255),RIGHT('Disaggregation Records'!$D$69:$D$152,255),0))="","",INDEX('Disaggregation Records'!$E$69:$E$152,MATCH(RIGHT(Q504,255),RIGHT('Disaggregation Records'!$D$69:$D$152,255),0))),"")</f>
        <v/>
      </c>
      <c r="S504" s="89" t="str">
        <f t="array" aca="1" ref="S504" ca="1">IFERROR(IF(INDEX('Disaggregation Records'!$F$69:$F$152,MATCH(RIGHT(Q504,255),RIGHT('Disaggregation Records'!$D$69:$D$152,255),0))="","",INDEX('Disaggregation Records'!$F$69:$F$152,MATCH(RIGHT(Q504,255),RIGHT('Disaggregation Records'!$D$69:$D$152,255),0))),"")</f>
        <v/>
      </c>
      <c r="T504" s="89" t="str">
        <f t="array" aca="1" ref="T504" ca="1">IFERROR(IF(INDEX('Disaggregation Records'!$H$69:$H$152,MATCH(RIGHT(Q504,255),RIGHT('Disaggregation Records'!$D$69:$D$152,255),0))="","",INDEX('Disaggregation Records'!$H$69:$H$152,MATCH(RIGHT(Q504,255),RIGHT('Disaggregation Records'!$D$69:$D$152,255),0))),"")</f>
        <v/>
      </c>
      <c r="U504" s="89">
        <f>U502+1</f>
        <v>981</v>
      </c>
      <c r="V504" s="89" t="str">
        <f t="array" aca="1" ref="V504" ca="1">IFERROR(IF(INDEX('Disaggregation Records'!$I$69:$I$152,MATCH(RIGHT(Q504,255),RIGHT('Disaggregation Records'!$D$69:$D$152,255),0))="","",INDEX('Disaggregation Records'!$I$69:$I$152,MATCH(RIGHT(Q504,255),RIGHT('Disaggregation Records'!$D$69:$D$152,255),0))),"")</f>
        <v/>
      </c>
      <c r="W504" s="89" t="str">
        <f ca="1">IFERROR(INDEX('Reference Records'!P$23:P$74,MATCH(LEFT(C504,255),'Reference Records'!J$23:J$74,0)),"")</f>
        <v/>
      </c>
    </row>
    <row r="505" spans="1:23" s="89" customFormat="1" ht="40.35" customHeight="1">
      <c r="A505" s="564"/>
      <c r="B505" s="799"/>
      <c r="C505" s="800"/>
      <c r="D505" s="801"/>
      <c r="E505" s="801"/>
      <c r="F505" s="128"/>
      <c r="G505" s="802"/>
      <c r="H505" s="781"/>
      <c r="I505" s="803"/>
      <c r="J505" s="779"/>
      <c r="K505" s="800"/>
      <c r="L505" s="800"/>
      <c r="M505" s="779"/>
      <c r="N505" s="779"/>
      <c r="V505" s="89" t="str">
        <f t="array" ref="V505">IFERROR(IF(INDEX('Disaggregation Records'!$I$69:$I$152,MATCH(RIGHT(Q505,255),RIGHT('Disaggregation Records'!$D$69:$D$152,255),0))="","",INDEX('Disaggregation Records'!$I$69:$I$152,MATCH(RIGHT(Q505,255),RIGHT('Disaggregation Records'!$D$69:$D$152,255),0))),"")</f>
        <v/>
      </c>
    </row>
    <row r="506" spans="1:23" s="89" customFormat="1" ht="40.35" customHeight="1">
      <c r="A506" s="564" t="str">
        <f ca="1">INDIRECT("'update Helper'!C"&amp;U506)</f>
        <v>a1V3p000006h2xHEAQ</v>
      </c>
      <c r="B506" s="794">
        <v>10</v>
      </c>
      <c r="C506" s="795" t="str">
        <f ca="1">IFERROR(VLOOKUP(B506,'Outcome Indicators - Section C '!$A$9:$AF$70,32,FALSE),"")</f>
        <v/>
      </c>
      <c r="D506" s="796" t="str">
        <f ca="1">R506</f>
        <v/>
      </c>
      <c r="E506" s="796" t="str">
        <f ca="1">S506</f>
        <v/>
      </c>
      <c r="F506" s="127"/>
      <c r="G506" s="797" t="str">
        <f ca="1">IF(OR(INDIRECT("'update Helper'!E"&amp;U506)="",F506&lt;&gt;0,F507&lt;&gt;0),IF(IFERROR((F506/F507),"")="","",(F506/F507)),INDIRECT("'update Helper'!E"&amp;U506)/100)</f>
        <v/>
      </c>
      <c r="H506" s="784"/>
      <c r="I506" s="798"/>
      <c r="J506" s="777"/>
      <c r="K506" s="795" t="str">
        <f ca="1">W506</f>
        <v/>
      </c>
      <c r="L506" s="795" t="str">
        <f ca="1">V506</f>
        <v/>
      </c>
      <c r="M506" s="777"/>
      <c r="N506" s="777"/>
      <c r="P506" s="89">
        <f ca="1">IF(AND(EXACT(C506,C504),C504&lt;&gt;0),P504+1,0)</f>
        <v>25</v>
      </c>
      <c r="Q506" s="89" t="str">
        <f ca="1">IF(C506&lt;&gt;"",C506&amp;"-"&amp;P506,"")</f>
        <v/>
      </c>
      <c r="R506" s="89" t="str">
        <f t="array" aca="1" ref="R506" ca="1">IFERROR(IF(INDEX('Disaggregation Records'!$E$69:$E$152,MATCH(RIGHT(Q506,255),RIGHT('Disaggregation Records'!$D$69:$D$152,255),0))="","",INDEX('Disaggregation Records'!$E$69:$E$152,MATCH(RIGHT(Q506,255),RIGHT('Disaggregation Records'!$D$69:$D$152,255),0))),"")</f>
        <v/>
      </c>
      <c r="S506" s="89" t="str">
        <f t="array" aca="1" ref="S506" ca="1">IFERROR(IF(INDEX('Disaggregation Records'!$F$69:$F$152,MATCH(RIGHT(Q506,255),RIGHT('Disaggregation Records'!$D$69:$D$152,255),0))="","",INDEX('Disaggregation Records'!$F$69:$F$152,MATCH(RIGHT(Q506,255),RIGHT('Disaggregation Records'!$D$69:$D$152,255),0))),"")</f>
        <v/>
      </c>
      <c r="T506" s="89" t="str">
        <f t="array" aca="1" ref="T506" ca="1">IFERROR(IF(INDEX('Disaggregation Records'!$H$69:$H$152,MATCH(RIGHT(Q506,255),RIGHT('Disaggregation Records'!$D$69:$D$152,255),0))="","",INDEX('Disaggregation Records'!$H$69:$H$152,MATCH(RIGHT(Q506,255),RIGHT('Disaggregation Records'!$D$69:$D$152,255),0))),"")</f>
        <v/>
      </c>
      <c r="U506" s="89">
        <f>U504+1</f>
        <v>982</v>
      </c>
      <c r="V506" s="89" t="str">
        <f t="array" aca="1" ref="V506" ca="1">IFERROR(IF(INDEX('Disaggregation Records'!$I$69:$I$152,MATCH(RIGHT(Q506,255),RIGHT('Disaggregation Records'!$D$69:$D$152,255),0))="","",INDEX('Disaggregation Records'!$I$69:$I$152,MATCH(RIGHT(Q506,255),RIGHT('Disaggregation Records'!$D$69:$D$152,255),0))),"")</f>
        <v/>
      </c>
      <c r="W506" s="89" t="str">
        <f ca="1">IFERROR(INDEX('Reference Records'!P$23:P$74,MATCH(LEFT(C506,255),'Reference Records'!J$23:J$74,0)),"")</f>
        <v/>
      </c>
    </row>
    <row r="507" spans="1:23" s="89" customFormat="1" ht="40.35" customHeight="1">
      <c r="A507" s="564"/>
      <c r="B507" s="799"/>
      <c r="C507" s="800"/>
      <c r="D507" s="801"/>
      <c r="E507" s="801"/>
      <c r="F507" s="128"/>
      <c r="G507" s="802"/>
      <c r="H507" s="781"/>
      <c r="I507" s="803"/>
      <c r="J507" s="779"/>
      <c r="K507" s="800"/>
      <c r="L507" s="800"/>
      <c r="M507" s="779"/>
      <c r="N507" s="779"/>
      <c r="V507" s="89" t="str">
        <f t="array" ref="V507">IFERROR(IF(INDEX('Disaggregation Records'!$I$69:$I$152,MATCH(RIGHT(Q507,255),RIGHT('Disaggregation Records'!$D$69:$D$152,255),0))="","",INDEX('Disaggregation Records'!$I$69:$I$152,MATCH(RIGHT(Q507,255),RIGHT('Disaggregation Records'!$D$69:$D$152,255),0))),"")</f>
        <v/>
      </c>
    </row>
    <row r="508" spans="1:23" s="89" customFormat="1" ht="40.35" customHeight="1">
      <c r="A508" s="564" t="str">
        <f ca="1">INDIRECT("'update Helper'!C"&amp;U508)</f>
        <v>a1V3p000006h2xIEAQ</v>
      </c>
      <c r="B508" s="794">
        <v>10</v>
      </c>
      <c r="C508" s="795" t="str">
        <f ca="1">IFERROR(VLOOKUP(B508,'Outcome Indicators - Section C '!$A$9:$AF$70,32,FALSE),"")</f>
        <v/>
      </c>
      <c r="D508" s="796" t="str">
        <f ca="1">R508</f>
        <v/>
      </c>
      <c r="E508" s="796" t="str">
        <f ca="1">S508</f>
        <v/>
      </c>
      <c r="F508" s="127"/>
      <c r="G508" s="797" t="str">
        <f ca="1">IF(OR(INDIRECT("'update Helper'!E"&amp;U508)="",F508&lt;&gt;0,F509&lt;&gt;0),IF(IFERROR((F508/F509),"")="","",(F508/F509)),INDIRECT("'update Helper'!E"&amp;U508)/100)</f>
        <v/>
      </c>
      <c r="H508" s="784"/>
      <c r="I508" s="798"/>
      <c r="J508" s="777"/>
      <c r="K508" s="795" t="str">
        <f ca="1">W508</f>
        <v/>
      </c>
      <c r="L508" s="795" t="str">
        <f ca="1">V508</f>
        <v/>
      </c>
      <c r="M508" s="777"/>
      <c r="N508" s="777"/>
      <c r="P508" s="89">
        <f ca="1">IF(AND(EXACT(C508,C506),C506&lt;&gt;0),P506+1,0)</f>
        <v>26</v>
      </c>
      <c r="Q508" s="89" t="str">
        <f ca="1">IF(C508&lt;&gt;"",C508&amp;"-"&amp;P508,"")</f>
        <v/>
      </c>
      <c r="R508" s="89" t="str">
        <f t="array" aca="1" ref="R508" ca="1">IFERROR(IF(INDEX('Disaggregation Records'!$E$69:$E$152,MATCH(RIGHT(Q508,255),RIGHT('Disaggregation Records'!$D$69:$D$152,255),0))="","",INDEX('Disaggregation Records'!$E$69:$E$152,MATCH(RIGHT(Q508,255),RIGHT('Disaggregation Records'!$D$69:$D$152,255),0))),"")</f>
        <v/>
      </c>
      <c r="S508" s="89" t="str">
        <f t="array" aca="1" ref="S508" ca="1">IFERROR(IF(INDEX('Disaggregation Records'!$F$69:$F$152,MATCH(RIGHT(Q508,255),RIGHT('Disaggregation Records'!$D$69:$D$152,255),0))="","",INDEX('Disaggregation Records'!$F$69:$F$152,MATCH(RIGHT(Q508,255),RIGHT('Disaggregation Records'!$D$69:$D$152,255),0))),"")</f>
        <v/>
      </c>
      <c r="T508" s="89" t="str">
        <f t="array" aca="1" ref="T508" ca="1">IFERROR(IF(INDEX('Disaggregation Records'!$H$69:$H$152,MATCH(RIGHT(Q508,255),RIGHT('Disaggregation Records'!$D$69:$D$152,255),0))="","",INDEX('Disaggregation Records'!$H$69:$H$152,MATCH(RIGHT(Q508,255),RIGHT('Disaggregation Records'!$D$69:$D$152,255),0))),"")</f>
        <v/>
      </c>
      <c r="U508" s="89">
        <f>U506+1</f>
        <v>983</v>
      </c>
      <c r="V508" s="89" t="str">
        <f t="array" aca="1" ref="V508" ca="1">IFERROR(IF(INDEX('Disaggregation Records'!$I$69:$I$152,MATCH(RIGHT(Q508,255),RIGHT('Disaggregation Records'!$D$69:$D$152,255),0))="","",INDEX('Disaggregation Records'!$I$69:$I$152,MATCH(RIGHT(Q508,255),RIGHT('Disaggregation Records'!$D$69:$D$152,255),0))),"")</f>
        <v/>
      </c>
      <c r="W508" s="89" t="str">
        <f ca="1">IFERROR(INDEX('Reference Records'!P$23:P$74,MATCH(LEFT(C508,255),'Reference Records'!J$23:J$74,0)),"")</f>
        <v/>
      </c>
    </row>
    <row r="509" spans="1:23" s="89" customFormat="1" ht="40.35" customHeight="1">
      <c r="A509" s="564"/>
      <c r="B509" s="799"/>
      <c r="C509" s="800"/>
      <c r="D509" s="801"/>
      <c r="E509" s="801"/>
      <c r="F509" s="128"/>
      <c r="G509" s="802"/>
      <c r="H509" s="781"/>
      <c r="I509" s="803"/>
      <c r="J509" s="779"/>
      <c r="K509" s="800"/>
      <c r="L509" s="800"/>
      <c r="M509" s="779"/>
      <c r="N509" s="779"/>
      <c r="V509" s="89" t="str">
        <f t="array" ref="V509">IFERROR(IF(INDEX('Disaggregation Records'!$I$69:$I$152,MATCH(RIGHT(Q509,255),RIGHT('Disaggregation Records'!$D$69:$D$152,255),0))="","",INDEX('Disaggregation Records'!$I$69:$I$152,MATCH(RIGHT(Q509,255),RIGHT('Disaggregation Records'!$D$69:$D$152,255),0))),"")</f>
        <v/>
      </c>
    </row>
    <row r="510" spans="1:23" s="89" customFormat="1" ht="40.35" customHeight="1">
      <c r="A510" s="564" t="str">
        <f ca="1">INDIRECT("'update Helper'!C"&amp;U510)</f>
        <v>a1V3p000006h2xJEAQ</v>
      </c>
      <c r="B510" s="794">
        <v>10</v>
      </c>
      <c r="C510" s="795" t="str">
        <f ca="1">IFERROR(VLOOKUP(B510,'Outcome Indicators - Section C '!$A$9:$AF$70,32,FALSE),"")</f>
        <v/>
      </c>
      <c r="D510" s="796" t="str">
        <f ca="1">R510</f>
        <v/>
      </c>
      <c r="E510" s="796" t="str">
        <f ca="1">S510</f>
        <v/>
      </c>
      <c r="F510" s="127"/>
      <c r="G510" s="797" t="str">
        <f ca="1">IF(OR(INDIRECT("'update Helper'!E"&amp;U510)="",F510&lt;&gt;0,F511&lt;&gt;0),IF(IFERROR((F510/F511),"")="","",(F510/F511)),INDIRECT("'update Helper'!E"&amp;U510)/100)</f>
        <v/>
      </c>
      <c r="H510" s="784"/>
      <c r="I510" s="798"/>
      <c r="J510" s="777"/>
      <c r="K510" s="795" t="str">
        <f ca="1">W510</f>
        <v/>
      </c>
      <c r="L510" s="795" t="str">
        <f ca="1">V510</f>
        <v/>
      </c>
      <c r="M510" s="777"/>
      <c r="N510" s="777"/>
      <c r="P510" s="89">
        <f ca="1">IF(AND(EXACT(C510,C508),C508&lt;&gt;0),P508+1,0)</f>
        <v>27</v>
      </c>
      <c r="Q510" s="89" t="str">
        <f ca="1">IF(C510&lt;&gt;"",C510&amp;"-"&amp;P510,"")</f>
        <v/>
      </c>
      <c r="R510" s="89" t="str">
        <f t="array" aca="1" ref="R510" ca="1">IFERROR(IF(INDEX('Disaggregation Records'!$E$69:$E$152,MATCH(RIGHT(Q510,255),RIGHT('Disaggregation Records'!$D$69:$D$152,255),0))="","",INDEX('Disaggregation Records'!$E$69:$E$152,MATCH(RIGHT(Q510,255),RIGHT('Disaggregation Records'!$D$69:$D$152,255),0))),"")</f>
        <v/>
      </c>
      <c r="S510" s="89" t="str">
        <f t="array" aca="1" ref="S510" ca="1">IFERROR(IF(INDEX('Disaggregation Records'!$F$69:$F$152,MATCH(RIGHT(Q510,255),RIGHT('Disaggregation Records'!$D$69:$D$152,255),0))="","",INDEX('Disaggregation Records'!$F$69:$F$152,MATCH(RIGHT(Q510,255),RIGHT('Disaggregation Records'!$D$69:$D$152,255),0))),"")</f>
        <v/>
      </c>
      <c r="T510" s="89" t="str">
        <f t="array" aca="1" ref="T510" ca="1">IFERROR(IF(INDEX('Disaggregation Records'!$H$69:$H$152,MATCH(RIGHT(Q510,255),RIGHT('Disaggregation Records'!$D$69:$D$152,255),0))="","",INDEX('Disaggregation Records'!$H$69:$H$152,MATCH(RIGHT(Q510,255),RIGHT('Disaggregation Records'!$D$69:$D$152,255),0))),"")</f>
        <v/>
      </c>
      <c r="U510" s="89">
        <f>U508+1</f>
        <v>984</v>
      </c>
      <c r="V510" s="89" t="str">
        <f t="array" aca="1" ref="V510" ca="1">IFERROR(IF(INDEX('Disaggregation Records'!$I$69:$I$152,MATCH(RIGHT(Q510,255),RIGHT('Disaggregation Records'!$D$69:$D$152,255),0))="","",INDEX('Disaggregation Records'!$I$69:$I$152,MATCH(RIGHT(Q510,255),RIGHT('Disaggregation Records'!$D$69:$D$152,255),0))),"")</f>
        <v/>
      </c>
      <c r="W510" s="89" t="str">
        <f ca="1">IFERROR(INDEX('Reference Records'!P$23:P$74,MATCH(LEFT(C510,255),'Reference Records'!J$23:J$74,0)),"")</f>
        <v/>
      </c>
    </row>
    <row r="511" spans="1:23" s="89" customFormat="1" ht="40.35" customHeight="1">
      <c r="A511" s="564"/>
      <c r="B511" s="799"/>
      <c r="C511" s="800"/>
      <c r="D511" s="801"/>
      <c r="E511" s="801"/>
      <c r="F511" s="128"/>
      <c r="G511" s="802"/>
      <c r="H511" s="781"/>
      <c r="I511" s="803"/>
      <c r="J511" s="779"/>
      <c r="K511" s="800"/>
      <c r="L511" s="800"/>
      <c r="M511" s="779"/>
      <c r="N511" s="779"/>
      <c r="V511" s="89" t="str">
        <f t="array" ref="V511">IFERROR(IF(INDEX('Disaggregation Records'!$I$69:$I$152,MATCH(RIGHT(Q511,255),RIGHT('Disaggregation Records'!$D$69:$D$152,255),0))="","",INDEX('Disaggregation Records'!$I$69:$I$152,MATCH(RIGHT(Q511,255),RIGHT('Disaggregation Records'!$D$69:$D$152,255),0))),"")</f>
        <v/>
      </c>
    </row>
    <row r="512" spans="1:23" s="89" customFormat="1" ht="40.35" customHeight="1">
      <c r="A512" s="564" t="str">
        <f ca="1">INDIRECT("'update Helper'!C"&amp;U512)</f>
        <v>a1V3p000006h2xKEAQ</v>
      </c>
      <c r="B512" s="794">
        <v>10</v>
      </c>
      <c r="C512" s="795" t="str">
        <f ca="1">IFERROR(VLOOKUP(B512,'Outcome Indicators - Section C '!$A$9:$AF$70,32,FALSE),"")</f>
        <v/>
      </c>
      <c r="D512" s="796" t="str">
        <f ca="1">R512</f>
        <v/>
      </c>
      <c r="E512" s="796" t="str">
        <f ca="1">S512</f>
        <v/>
      </c>
      <c r="F512" s="127"/>
      <c r="G512" s="797" t="str">
        <f ca="1">IF(OR(INDIRECT("'update Helper'!E"&amp;U512)="",F512&lt;&gt;0,F513&lt;&gt;0),IF(IFERROR((F512/F513),"")="","",(F512/F513)),INDIRECT("'update Helper'!E"&amp;U512)/100)</f>
        <v/>
      </c>
      <c r="H512" s="784"/>
      <c r="I512" s="798"/>
      <c r="J512" s="777"/>
      <c r="K512" s="795" t="str">
        <f ca="1">W512</f>
        <v/>
      </c>
      <c r="L512" s="795" t="str">
        <f ca="1">V512</f>
        <v/>
      </c>
      <c r="M512" s="777"/>
      <c r="N512" s="777"/>
      <c r="P512" s="89">
        <f ca="1">IF(AND(EXACT(C512,C510),C510&lt;&gt;0),P510+1,0)</f>
        <v>28</v>
      </c>
      <c r="Q512" s="89" t="str">
        <f ca="1">IF(C512&lt;&gt;"",C512&amp;"-"&amp;P512,"")</f>
        <v/>
      </c>
      <c r="R512" s="89" t="str">
        <f t="array" aca="1" ref="R512" ca="1">IFERROR(IF(INDEX('Disaggregation Records'!$E$69:$E$152,MATCH(RIGHT(Q512,255),RIGHT('Disaggregation Records'!$D$69:$D$152,255),0))="","",INDEX('Disaggregation Records'!$E$69:$E$152,MATCH(RIGHT(Q512,255),RIGHT('Disaggregation Records'!$D$69:$D$152,255),0))),"")</f>
        <v/>
      </c>
      <c r="S512" s="89" t="str">
        <f t="array" aca="1" ref="S512" ca="1">IFERROR(IF(INDEX('Disaggregation Records'!$F$69:$F$152,MATCH(RIGHT(Q512,255),RIGHT('Disaggregation Records'!$D$69:$D$152,255),0))="","",INDEX('Disaggregation Records'!$F$69:$F$152,MATCH(RIGHT(Q512,255),RIGHT('Disaggregation Records'!$D$69:$D$152,255),0))),"")</f>
        <v/>
      </c>
      <c r="T512" s="89" t="str">
        <f t="array" aca="1" ref="T512" ca="1">IFERROR(IF(INDEX('Disaggregation Records'!$H$69:$H$152,MATCH(RIGHT(Q512,255),RIGHT('Disaggregation Records'!$D$69:$D$152,255),0))="","",INDEX('Disaggregation Records'!$H$69:$H$152,MATCH(RIGHT(Q512,255),RIGHT('Disaggregation Records'!$D$69:$D$152,255),0))),"")</f>
        <v/>
      </c>
      <c r="U512" s="89">
        <f>U510+1</f>
        <v>985</v>
      </c>
      <c r="V512" s="89" t="str">
        <f t="array" aca="1" ref="V512" ca="1">IFERROR(IF(INDEX('Disaggregation Records'!$I$69:$I$152,MATCH(RIGHT(Q512,255),RIGHT('Disaggregation Records'!$D$69:$D$152,255),0))="","",INDEX('Disaggregation Records'!$I$69:$I$152,MATCH(RIGHT(Q512,255),RIGHT('Disaggregation Records'!$D$69:$D$152,255),0))),"")</f>
        <v/>
      </c>
      <c r="W512" s="89" t="str">
        <f ca="1">IFERROR(INDEX('Reference Records'!P$23:P$74,MATCH(LEFT(C512,255),'Reference Records'!J$23:J$74,0)),"")</f>
        <v/>
      </c>
    </row>
    <row r="513" spans="1:23" s="89" customFormat="1" ht="40.35" customHeight="1">
      <c r="A513" s="564"/>
      <c r="B513" s="799"/>
      <c r="C513" s="800"/>
      <c r="D513" s="801"/>
      <c r="E513" s="801"/>
      <c r="F513" s="128"/>
      <c r="G513" s="802"/>
      <c r="H513" s="781"/>
      <c r="I513" s="803"/>
      <c r="J513" s="779"/>
      <c r="K513" s="800"/>
      <c r="L513" s="800"/>
      <c r="M513" s="779"/>
      <c r="N513" s="779"/>
      <c r="V513" s="89" t="str">
        <f t="array" ref="V513">IFERROR(IF(INDEX('Disaggregation Records'!$I$69:$I$152,MATCH(RIGHT(Q513,255),RIGHT('Disaggregation Records'!$D$69:$D$152,255),0))="","",INDEX('Disaggregation Records'!$I$69:$I$152,MATCH(RIGHT(Q513,255),RIGHT('Disaggregation Records'!$D$69:$D$152,255),0))),"")</f>
        <v/>
      </c>
    </row>
    <row r="514" spans="1:23" s="89" customFormat="1" ht="40.35" customHeight="1">
      <c r="A514" s="564" t="str">
        <f ca="1">INDIRECT("'update Helper'!C"&amp;U514)</f>
        <v>a1V3p000006h2xLEAQ</v>
      </c>
      <c r="B514" s="794">
        <v>10</v>
      </c>
      <c r="C514" s="795" t="str">
        <f ca="1">IFERROR(VLOOKUP(B514,'Outcome Indicators - Section C '!$A$9:$AF$70,32,FALSE),"")</f>
        <v/>
      </c>
      <c r="D514" s="796" t="str">
        <f ca="1">R514</f>
        <v/>
      </c>
      <c r="E514" s="796" t="str">
        <f ca="1">S514</f>
        <v/>
      </c>
      <c r="F514" s="127"/>
      <c r="G514" s="797" t="str">
        <f ca="1">IF(OR(INDIRECT("'update Helper'!E"&amp;U514)="",F514&lt;&gt;0,F515&lt;&gt;0),IF(IFERROR((F514/F515),"")="","",(F514/F515)),INDIRECT("'update Helper'!E"&amp;U514)/100)</f>
        <v/>
      </c>
      <c r="H514" s="784"/>
      <c r="I514" s="798"/>
      <c r="J514" s="777"/>
      <c r="K514" s="795" t="str">
        <f ca="1">W514</f>
        <v/>
      </c>
      <c r="L514" s="795" t="str">
        <f ca="1">V514</f>
        <v/>
      </c>
      <c r="M514" s="777"/>
      <c r="N514" s="777"/>
      <c r="P514" s="89">
        <f ca="1">IF(AND(EXACT(C514,C512),C512&lt;&gt;0),P512+1,0)</f>
        <v>29</v>
      </c>
      <c r="Q514" s="89" t="str">
        <f ca="1">IF(C514&lt;&gt;"",C514&amp;"-"&amp;P514,"")</f>
        <v/>
      </c>
      <c r="R514" s="89" t="str">
        <f t="array" aca="1" ref="R514" ca="1">IFERROR(IF(INDEX('Disaggregation Records'!$E$69:$E$152,MATCH(RIGHT(Q514,255),RIGHT('Disaggregation Records'!$D$69:$D$152,255),0))="","",INDEX('Disaggregation Records'!$E$69:$E$152,MATCH(RIGHT(Q514,255),RIGHT('Disaggregation Records'!$D$69:$D$152,255),0))),"")</f>
        <v/>
      </c>
      <c r="S514" s="89" t="str">
        <f t="array" aca="1" ref="S514" ca="1">IFERROR(IF(INDEX('Disaggregation Records'!$F$69:$F$152,MATCH(RIGHT(Q514,255),RIGHT('Disaggregation Records'!$D$69:$D$152,255),0))="","",INDEX('Disaggregation Records'!$F$69:$F$152,MATCH(RIGHT(Q514,255),RIGHT('Disaggregation Records'!$D$69:$D$152,255),0))),"")</f>
        <v/>
      </c>
      <c r="T514" s="89" t="str">
        <f t="array" aca="1" ref="T514" ca="1">IFERROR(IF(INDEX('Disaggregation Records'!$H$69:$H$152,MATCH(RIGHT(Q514,255),RIGHT('Disaggregation Records'!$D$69:$D$152,255),0))="","",INDEX('Disaggregation Records'!$H$69:$H$152,MATCH(RIGHT(Q514,255),RIGHT('Disaggregation Records'!$D$69:$D$152,255),0))),"")</f>
        <v/>
      </c>
      <c r="U514" s="89">
        <f>U512+1</f>
        <v>986</v>
      </c>
      <c r="V514" s="89" t="str">
        <f t="array" aca="1" ref="V514" ca="1">IFERROR(IF(INDEX('Disaggregation Records'!$I$69:$I$152,MATCH(RIGHT(Q514,255),RIGHT('Disaggregation Records'!$D$69:$D$152,255),0))="","",INDEX('Disaggregation Records'!$I$69:$I$152,MATCH(RIGHT(Q514,255),RIGHT('Disaggregation Records'!$D$69:$D$152,255),0))),"")</f>
        <v/>
      </c>
      <c r="W514" s="89" t="str">
        <f ca="1">IFERROR(INDEX('Reference Records'!P$23:P$74,MATCH(LEFT(C514,255),'Reference Records'!J$23:J$74,0)),"")</f>
        <v/>
      </c>
    </row>
    <row r="515" spans="1:23" s="89" customFormat="1" ht="40.35" customHeight="1">
      <c r="A515" s="564"/>
      <c r="B515" s="799"/>
      <c r="C515" s="800"/>
      <c r="D515" s="801"/>
      <c r="E515" s="801"/>
      <c r="F515" s="128"/>
      <c r="G515" s="802"/>
      <c r="H515" s="781"/>
      <c r="I515" s="803"/>
      <c r="J515" s="779"/>
      <c r="K515" s="800"/>
      <c r="L515" s="800"/>
      <c r="M515" s="779"/>
      <c r="N515" s="779"/>
      <c r="V515" s="89" t="str">
        <f t="array" ref="V515">IFERROR(IF(INDEX('Disaggregation Records'!$I$69:$I$152,MATCH(RIGHT(Q515,255),RIGHT('Disaggregation Records'!$D$69:$D$152,255),0))="","",INDEX('Disaggregation Records'!$I$69:$I$152,MATCH(RIGHT(Q515,255),RIGHT('Disaggregation Records'!$D$69:$D$152,255),0))),"")</f>
        <v/>
      </c>
    </row>
    <row r="516" spans="1:23" s="89" customFormat="1" ht="40.35" customHeight="1">
      <c r="A516" s="564" t="str">
        <f ca="1">INDIRECT("'update Helper'!C"&amp;U516)</f>
        <v>a1V3p000006h2xMEAQ</v>
      </c>
      <c r="B516" s="794">
        <v>11</v>
      </c>
      <c r="C516" s="795" t="str">
        <f ca="1">IFERROR(VLOOKUP(B516,'Outcome Indicators - Section C '!$A$9:$AF$70,32,FALSE),"")</f>
        <v/>
      </c>
      <c r="D516" s="796" t="str">
        <f ca="1">R516</f>
        <v/>
      </c>
      <c r="E516" s="796" t="str">
        <f ca="1">S516</f>
        <v/>
      </c>
      <c r="F516" s="127"/>
      <c r="G516" s="797" t="str">
        <f ca="1">IF(OR(INDIRECT("'update Helper'!E"&amp;U516)="",F516&lt;&gt;0,F517&lt;&gt;0),IF(IFERROR((F516/F517),"")="","",(F516/F517)),INDIRECT("'update Helper'!E"&amp;U516)/100)</f>
        <v/>
      </c>
      <c r="H516" s="784"/>
      <c r="I516" s="798"/>
      <c r="J516" s="777"/>
      <c r="K516" s="795" t="str">
        <f ca="1">W516</f>
        <v/>
      </c>
      <c r="L516" s="795" t="str">
        <f ca="1">V516</f>
        <v/>
      </c>
      <c r="M516" s="777"/>
      <c r="N516" s="777"/>
      <c r="P516" s="89">
        <f ca="1">IF(AND(EXACT(C516,C514),C514&lt;&gt;0),P514+1,0)</f>
        <v>30</v>
      </c>
      <c r="Q516" s="89" t="str">
        <f ca="1">IF(C516&lt;&gt;"",C516&amp;"-"&amp;P516,"")</f>
        <v/>
      </c>
      <c r="R516" s="89" t="str">
        <f t="array" aca="1" ref="R516" ca="1">IFERROR(IF(INDEX('Disaggregation Records'!$E$69:$E$152,MATCH(RIGHT(Q516,255),RIGHT('Disaggregation Records'!$D$69:$D$152,255),0))="","",INDEX('Disaggregation Records'!$E$69:$E$152,MATCH(RIGHT(Q516,255),RIGHT('Disaggregation Records'!$D$69:$D$152,255),0))),"")</f>
        <v/>
      </c>
      <c r="S516" s="89" t="str">
        <f t="array" aca="1" ref="S516" ca="1">IFERROR(IF(INDEX('Disaggregation Records'!$F$69:$F$152,MATCH(RIGHT(Q516,255),RIGHT('Disaggregation Records'!$D$69:$D$152,255),0))="","",INDEX('Disaggregation Records'!$F$69:$F$152,MATCH(RIGHT(Q516,255),RIGHT('Disaggregation Records'!$D$69:$D$152,255),0))),"")</f>
        <v/>
      </c>
      <c r="T516" s="89" t="str">
        <f t="array" aca="1" ref="T516" ca="1">IFERROR(IF(INDEX('Disaggregation Records'!$H$69:$H$152,MATCH(RIGHT(Q516,255),RIGHT('Disaggregation Records'!$D$69:$D$152,255),0))="","",INDEX('Disaggregation Records'!$H$69:$H$152,MATCH(RIGHT(Q516,255),RIGHT('Disaggregation Records'!$D$69:$D$152,255),0))),"")</f>
        <v/>
      </c>
      <c r="U516" s="89">
        <f>U514+1</f>
        <v>987</v>
      </c>
      <c r="V516" s="89" t="str">
        <f t="array" aca="1" ref="V516" ca="1">IFERROR(IF(INDEX('Disaggregation Records'!$I$69:$I$152,MATCH(RIGHT(Q516,255),RIGHT('Disaggregation Records'!$D$69:$D$152,255),0))="","",INDEX('Disaggregation Records'!$I$69:$I$152,MATCH(RIGHT(Q516,255),RIGHT('Disaggregation Records'!$D$69:$D$152,255),0))),"")</f>
        <v/>
      </c>
      <c r="W516" s="89" t="str">
        <f ca="1">IFERROR(INDEX('Reference Records'!P$23:P$74,MATCH(LEFT(C516,255),'Reference Records'!J$23:J$74,0)),"")</f>
        <v/>
      </c>
    </row>
    <row r="517" spans="1:23" s="89" customFormat="1" ht="40.35" customHeight="1">
      <c r="A517" s="564"/>
      <c r="B517" s="799"/>
      <c r="C517" s="800"/>
      <c r="D517" s="801"/>
      <c r="E517" s="801"/>
      <c r="F517" s="128"/>
      <c r="G517" s="802"/>
      <c r="H517" s="781"/>
      <c r="I517" s="803"/>
      <c r="J517" s="779"/>
      <c r="K517" s="800"/>
      <c r="L517" s="800"/>
      <c r="M517" s="779"/>
      <c r="N517" s="779"/>
      <c r="V517" s="89" t="str">
        <f t="array" ref="V517">IFERROR(IF(INDEX('Disaggregation Records'!$I$69:$I$152,MATCH(RIGHT(Q517,255),RIGHT('Disaggregation Records'!$D$69:$D$152,255),0))="","",INDEX('Disaggregation Records'!$I$69:$I$152,MATCH(RIGHT(Q517,255),RIGHT('Disaggregation Records'!$D$69:$D$152,255),0))),"")</f>
        <v/>
      </c>
    </row>
    <row r="518" spans="1:23" s="89" customFormat="1" ht="40.35" customHeight="1">
      <c r="A518" s="564" t="str">
        <f ca="1">INDIRECT("'update Helper'!C"&amp;U518)</f>
        <v>a1V3p000006h2xNEAQ</v>
      </c>
      <c r="B518" s="794">
        <v>11</v>
      </c>
      <c r="C518" s="795" t="str">
        <f ca="1">IFERROR(VLOOKUP(B518,'Outcome Indicators - Section C '!$A$9:$AF$70,32,FALSE),"")</f>
        <v/>
      </c>
      <c r="D518" s="796" t="str">
        <f ca="1">R518</f>
        <v/>
      </c>
      <c r="E518" s="796" t="str">
        <f ca="1">S518</f>
        <v/>
      </c>
      <c r="F518" s="127"/>
      <c r="G518" s="797" t="str">
        <f ca="1">IF(OR(INDIRECT("'update Helper'!E"&amp;U518)="",F518&lt;&gt;0,F519&lt;&gt;0),IF(IFERROR((F518/F519),"")="","",(F518/F519)),INDIRECT("'update Helper'!E"&amp;U518)/100)</f>
        <v/>
      </c>
      <c r="H518" s="784"/>
      <c r="I518" s="798"/>
      <c r="J518" s="777"/>
      <c r="K518" s="795" t="str">
        <f ca="1">W518</f>
        <v/>
      </c>
      <c r="L518" s="795" t="str">
        <f ca="1">V518</f>
        <v/>
      </c>
      <c r="M518" s="777"/>
      <c r="N518" s="777"/>
      <c r="P518" s="89">
        <f ca="1">IF(AND(EXACT(C518,C516),C516&lt;&gt;0),P516+1,0)</f>
        <v>31</v>
      </c>
      <c r="Q518" s="89" t="str">
        <f ca="1">IF(C518&lt;&gt;"",C518&amp;"-"&amp;P518,"")</f>
        <v/>
      </c>
      <c r="R518" s="89" t="str">
        <f t="array" aca="1" ref="R518" ca="1">IFERROR(IF(INDEX('Disaggregation Records'!$E$69:$E$152,MATCH(RIGHT(Q518,255),RIGHT('Disaggregation Records'!$D$69:$D$152,255),0))="","",INDEX('Disaggregation Records'!$E$69:$E$152,MATCH(RIGHT(Q518,255),RIGHT('Disaggregation Records'!$D$69:$D$152,255),0))),"")</f>
        <v/>
      </c>
      <c r="S518" s="89" t="str">
        <f t="array" aca="1" ref="S518" ca="1">IFERROR(IF(INDEX('Disaggregation Records'!$F$69:$F$152,MATCH(RIGHT(Q518,255),RIGHT('Disaggregation Records'!$D$69:$D$152,255),0))="","",INDEX('Disaggregation Records'!$F$69:$F$152,MATCH(RIGHT(Q518,255),RIGHT('Disaggregation Records'!$D$69:$D$152,255),0))),"")</f>
        <v/>
      </c>
      <c r="T518" s="89" t="str">
        <f t="array" aca="1" ref="T518" ca="1">IFERROR(IF(INDEX('Disaggregation Records'!$H$69:$H$152,MATCH(RIGHT(Q518,255),RIGHT('Disaggregation Records'!$D$69:$D$152,255),0))="","",INDEX('Disaggregation Records'!$H$69:$H$152,MATCH(RIGHT(Q518,255),RIGHT('Disaggregation Records'!$D$69:$D$152,255),0))),"")</f>
        <v/>
      </c>
      <c r="U518" s="89">
        <f>U516+1</f>
        <v>988</v>
      </c>
      <c r="V518" s="89" t="str">
        <f t="array" aca="1" ref="V518" ca="1">IFERROR(IF(INDEX('Disaggregation Records'!$I$69:$I$152,MATCH(RIGHT(Q518,255),RIGHT('Disaggregation Records'!$D$69:$D$152,255),0))="","",INDEX('Disaggregation Records'!$I$69:$I$152,MATCH(RIGHT(Q518,255),RIGHT('Disaggregation Records'!$D$69:$D$152,255),0))),"")</f>
        <v/>
      </c>
      <c r="W518" s="89" t="str">
        <f ca="1">IFERROR(INDEX('Reference Records'!P$23:P$74,MATCH(LEFT(C518,255),'Reference Records'!J$23:J$74,0)),"")</f>
        <v/>
      </c>
    </row>
    <row r="519" spans="1:23" s="89" customFormat="1" ht="40.35" customHeight="1">
      <c r="A519" s="564"/>
      <c r="B519" s="799"/>
      <c r="C519" s="800"/>
      <c r="D519" s="801"/>
      <c r="E519" s="801"/>
      <c r="F519" s="128"/>
      <c r="G519" s="802"/>
      <c r="H519" s="781"/>
      <c r="I519" s="803"/>
      <c r="J519" s="779"/>
      <c r="K519" s="800"/>
      <c r="L519" s="800"/>
      <c r="M519" s="779"/>
      <c r="N519" s="779"/>
      <c r="V519" s="89" t="str">
        <f t="array" ref="V519">IFERROR(IF(INDEX('Disaggregation Records'!$I$69:$I$152,MATCH(RIGHT(Q519,255),RIGHT('Disaggregation Records'!$D$69:$D$152,255),0))="","",INDEX('Disaggregation Records'!$I$69:$I$152,MATCH(RIGHT(Q519,255),RIGHT('Disaggregation Records'!$D$69:$D$152,255),0))),"")</f>
        <v/>
      </c>
    </row>
    <row r="520" spans="1:23" s="89" customFormat="1" ht="40.35" customHeight="1">
      <c r="A520" s="564" t="str">
        <f ca="1">INDIRECT("'update Helper'!C"&amp;U520)</f>
        <v>a1V3p000006h2xOEAQ</v>
      </c>
      <c r="B520" s="794">
        <v>11</v>
      </c>
      <c r="C520" s="795" t="str">
        <f ca="1">IFERROR(VLOOKUP(B520,'Outcome Indicators - Section C '!$A$9:$AF$70,32,FALSE),"")</f>
        <v/>
      </c>
      <c r="D520" s="796" t="str">
        <f ca="1">R520</f>
        <v/>
      </c>
      <c r="E520" s="796" t="str">
        <f ca="1">S520</f>
        <v/>
      </c>
      <c r="F520" s="127"/>
      <c r="G520" s="797" t="str">
        <f ca="1">IF(OR(INDIRECT("'update Helper'!E"&amp;U520)="",F520&lt;&gt;0,F521&lt;&gt;0),IF(IFERROR((F520/F521),"")="","",(F520/F521)),INDIRECT("'update Helper'!E"&amp;U520)/100)</f>
        <v/>
      </c>
      <c r="H520" s="784"/>
      <c r="I520" s="798"/>
      <c r="J520" s="777"/>
      <c r="K520" s="795" t="str">
        <f ca="1">W520</f>
        <v/>
      </c>
      <c r="L520" s="795" t="str">
        <f ca="1">V520</f>
        <v/>
      </c>
      <c r="M520" s="777"/>
      <c r="N520" s="777"/>
      <c r="P520" s="89">
        <f ca="1">IF(AND(EXACT(C520,C518),C518&lt;&gt;0),P518+1,0)</f>
        <v>32</v>
      </c>
      <c r="Q520" s="89" t="str">
        <f ca="1">IF(C520&lt;&gt;"",C520&amp;"-"&amp;P520,"")</f>
        <v/>
      </c>
      <c r="R520" s="89" t="str">
        <f t="array" aca="1" ref="R520" ca="1">IFERROR(IF(INDEX('Disaggregation Records'!$E$69:$E$152,MATCH(RIGHT(Q520,255),RIGHT('Disaggregation Records'!$D$69:$D$152,255),0))="","",INDEX('Disaggregation Records'!$E$69:$E$152,MATCH(RIGHT(Q520,255),RIGHT('Disaggregation Records'!$D$69:$D$152,255),0))),"")</f>
        <v/>
      </c>
      <c r="S520" s="89" t="str">
        <f t="array" aca="1" ref="S520" ca="1">IFERROR(IF(INDEX('Disaggregation Records'!$F$69:$F$152,MATCH(RIGHT(Q520,255),RIGHT('Disaggregation Records'!$D$69:$D$152,255),0))="","",INDEX('Disaggregation Records'!$F$69:$F$152,MATCH(RIGHT(Q520,255),RIGHT('Disaggregation Records'!$D$69:$D$152,255),0))),"")</f>
        <v/>
      </c>
      <c r="T520" s="89" t="str">
        <f t="array" aca="1" ref="T520" ca="1">IFERROR(IF(INDEX('Disaggregation Records'!$H$69:$H$152,MATCH(RIGHT(Q520,255),RIGHT('Disaggregation Records'!$D$69:$D$152,255),0))="","",INDEX('Disaggregation Records'!$H$69:$H$152,MATCH(RIGHT(Q520,255),RIGHT('Disaggregation Records'!$D$69:$D$152,255),0))),"")</f>
        <v/>
      </c>
      <c r="U520" s="89">
        <f>U518+1</f>
        <v>989</v>
      </c>
      <c r="V520" s="89" t="str">
        <f t="array" aca="1" ref="V520" ca="1">IFERROR(IF(INDEX('Disaggregation Records'!$I$69:$I$152,MATCH(RIGHT(Q520,255),RIGHT('Disaggregation Records'!$D$69:$D$152,255),0))="","",INDEX('Disaggregation Records'!$I$69:$I$152,MATCH(RIGHT(Q520,255),RIGHT('Disaggregation Records'!$D$69:$D$152,255),0))),"")</f>
        <v/>
      </c>
      <c r="W520" s="89" t="str">
        <f ca="1">IFERROR(INDEX('Reference Records'!P$23:P$74,MATCH(LEFT(C520,255),'Reference Records'!J$23:J$74,0)),"")</f>
        <v/>
      </c>
    </row>
    <row r="521" spans="1:23" s="89" customFormat="1" ht="40.35" customHeight="1">
      <c r="A521" s="564"/>
      <c r="B521" s="799"/>
      <c r="C521" s="800"/>
      <c r="D521" s="801"/>
      <c r="E521" s="801"/>
      <c r="F521" s="128"/>
      <c r="G521" s="802"/>
      <c r="H521" s="781"/>
      <c r="I521" s="803"/>
      <c r="J521" s="779"/>
      <c r="K521" s="800"/>
      <c r="L521" s="800"/>
      <c r="M521" s="779"/>
      <c r="N521" s="779"/>
      <c r="V521" s="89" t="str">
        <f t="array" ref="V521">IFERROR(IF(INDEX('Disaggregation Records'!$I$69:$I$152,MATCH(RIGHT(Q521,255),RIGHT('Disaggregation Records'!$D$69:$D$152,255),0))="","",INDEX('Disaggregation Records'!$I$69:$I$152,MATCH(RIGHT(Q521,255),RIGHT('Disaggregation Records'!$D$69:$D$152,255),0))),"")</f>
        <v/>
      </c>
    </row>
    <row r="522" spans="1:23" s="89" customFormat="1" ht="40.35" customHeight="1">
      <c r="A522" s="564" t="str">
        <f ca="1">INDIRECT("'update Helper'!C"&amp;U522)</f>
        <v>a1V3p000006h2xPEAQ</v>
      </c>
      <c r="B522" s="794">
        <v>11</v>
      </c>
      <c r="C522" s="795" t="str">
        <f ca="1">IFERROR(VLOOKUP(B522,'Outcome Indicators - Section C '!$A$9:$AF$70,32,FALSE),"")</f>
        <v/>
      </c>
      <c r="D522" s="796" t="str">
        <f ca="1">R522</f>
        <v/>
      </c>
      <c r="E522" s="796" t="str">
        <f ca="1">S522</f>
        <v/>
      </c>
      <c r="F522" s="127"/>
      <c r="G522" s="797" t="str">
        <f ca="1">IF(OR(INDIRECT("'update Helper'!E"&amp;U522)="",F522&lt;&gt;0,F523&lt;&gt;0),IF(IFERROR((F522/F523),"")="","",(F522/F523)),INDIRECT("'update Helper'!E"&amp;U522)/100)</f>
        <v/>
      </c>
      <c r="H522" s="784"/>
      <c r="I522" s="798"/>
      <c r="J522" s="777"/>
      <c r="K522" s="795" t="str">
        <f ca="1">W522</f>
        <v/>
      </c>
      <c r="L522" s="795" t="str">
        <f ca="1">V522</f>
        <v/>
      </c>
      <c r="M522" s="777"/>
      <c r="N522" s="777"/>
      <c r="P522" s="89">
        <f ca="1">IF(AND(EXACT(C522,C520),C520&lt;&gt;0),P520+1,0)</f>
        <v>33</v>
      </c>
      <c r="Q522" s="89" t="str">
        <f ca="1">IF(C522&lt;&gt;"",C522&amp;"-"&amp;P522,"")</f>
        <v/>
      </c>
      <c r="R522" s="89" t="str">
        <f t="array" aca="1" ref="R522" ca="1">IFERROR(IF(INDEX('Disaggregation Records'!$E$69:$E$152,MATCH(RIGHT(Q522,255),RIGHT('Disaggregation Records'!$D$69:$D$152,255),0))="","",INDEX('Disaggregation Records'!$E$69:$E$152,MATCH(RIGHT(Q522,255),RIGHT('Disaggregation Records'!$D$69:$D$152,255),0))),"")</f>
        <v/>
      </c>
      <c r="S522" s="89" t="str">
        <f t="array" aca="1" ref="S522" ca="1">IFERROR(IF(INDEX('Disaggregation Records'!$F$69:$F$152,MATCH(RIGHT(Q522,255),RIGHT('Disaggregation Records'!$D$69:$D$152,255),0))="","",INDEX('Disaggregation Records'!$F$69:$F$152,MATCH(RIGHT(Q522,255),RIGHT('Disaggregation Records'!$D$69:$D$152,255),0))),"")</f>
        <v/>
      </c>
      <c r="T522" s="89" t="str">
        <f t="array" aca="1" ref="T522" ca="1">IFERROR(IF(INDEX('Disaggregation Records'!$H$69:$H$152,MATCH(RIGHT(Q522,255),RIGHT('Disaggregation Records'!$D$69:$D$152,255),0))="","",INDEX('Disaggregation Records'!$H$69:$H$152,MATCH(RIGHT(Q522,255),RIGHT('Disaggregation Records'!$D$69:$D$152,255),0))),"")</f>
        <v/>
      </c>
      <c r="U522" s="89">
        <f>U520+1</f>
        <v>990</v>
      </c>
      <c r="V522" s="89" t="str">
        <f t="array" aca="1" ref="V522" ca="1">IFERROR(IF(INDEX('Disaggregation Records'!$I$69:$I$152,MATCH(RIGHT(Q522,255),RIGHT('Disaggregation Records'!$D$69:$D$152,255),0))="","",INDEX('Disaggregation Records'!$I$69:$I$152,MATCH(RIGHT(Q522,255),RIGHT('Disaggregation Records'!$D$69:$D$152,255),0))),"")</f>
        <v/>
      </c>
      <c r="W522" s="89" t="str">
        <f ca="1">IFERROR(INDEX('Reference Records'!P$23:P$74,MATCH(LEFT(C522,255),'Reference Records'!J$23:J$74,0)),"")</f>
        <v/>
      </c>
    </row>
    <row r="523" spans="1:23" s="89" customFormat="1" ht="40.35" customHeight="1">
      <c r="A523" s="564"/>
      <c r="B523" s="799"/>
      <c r="C523" s="800"/>
      <c r="D523" s="801"/>
      <c r="E523" s="801"/>
      <c r="F523" s="128"/>
      <c r="G523" s="802"/>
      <c r="H523" s="781"/>
      <c r="I523" s="803"/>
      <c r="J523" s="779"/>
      <c r="K523" s="800"/>
      <c r="L523" s="800"/>
      <c r="M523" s="779"/>
      <c r="N523" s="779"/>
      <c r="V523" s="89" t="str">
        <f t="array" ref="V523">IFERROR(IF(INDEX('Disaggregation Records'!$I$69:$I$152,MATCH(RIGHT(Q523,255),RIGHT('Disaggregation Records'!$D$69:$D$152,255),0))="","",INDEX('Disaggregation Records'!$I$69:$I$152,MATCH(RIGHT(Q523,255),RIGHT('Disaggregation Records'!$D$69:$D$152,255),0))),"")</f>
        <v/>
      </c>
    </row>
    <row r="524" spans="1:23" s="89" customFormat="1" ht="40.35" customHeight="1">
      <c r="A524" s="564" t="str">
        <f ca="1">INDIRECT("'update Helper'!C"&amp;U524)</f>
        <v>a1V3p000006h2xQEAQ</v>
      </c>
      <c r="B524" s="794">
        <v>11</v>
      </c>
      <c r="C524" s="795" t="str">
        <f ca="1">IFERROR(VLOOKUP(B524,'Outcome Indicators - Section C '!$A$9:$AF$70,32,FALSE),"")</f>
        <v/>
      </c>
      <c r="D524" s="796" t="str">
        <f ca="1">R524</f>
        <v/>
      </c>
      <c r="E524" s="796" t="str">
        <f ca="1">S524</f>
        <v/>
      </c>
      <c r="F524" s="127"/>
      <c r="G524" s="797" t="str">
        <f ca="1">IF(OR(INDIRECT("'update Helper'!E"&amp;U524)="",F524&lt;&gt;0,F525&lt;&gt;0),IF(IFERROR((F524/F525),"")="","",(F524/F525)),INDIRECT("'update Helper'!E"&amp;U524)/100)</f>
        <v/>
      </c>
      <c r="H524" s="784"/>
      <c r="I524" s="798"/>
      <c r="J524" s="777"/>
      <c r="K524" s="795" t="str">
        <f ca="1">W524</f>
        <v/>
      </c>
      <c r="L524" s="795" t="str">
        <f ca="1">V524</f>
        <v/>
      </c>
      <c r="M524" s="777"/>
      <c r="N524" s="777"/>
      <c r="P524" s="89">
        <f ca="1">IF(AND(EXACT(C524,C522),C522&lt;&gt;0),P522+1,0)</f>
        <v>34</v>
      </c>
      <c r="Q524" s="89" t="str">
        <f ca="1">IF(C524&lt;&gt;"",C524&amp;"-"&amp;P524,"")</f>
        <v/>
      </c>
      <c r="R524" s="89" t="str">
        <f t="array" aca="1" ref="R524" ca="1">IFERROR(IF(INDEX('Disaggregation Records'!$E$69:$E$152,MATCH(RIGHT(Q524,255),RIGHT('Disaggregation Records'!$D$69:$D$152,255),0))="","",INDEX('Disaggregation Records'!$E$69:$E$152,MATCH(RIGHT(Q524,255),RIGHT('Disaggregation Records'!$D$69:$D$152,255),0))),"")</f>
        <v/>
      </c>
      <c r="S524" s="89" t="str">
        <f t="array" aca="1" ref="S524" ca="1">IFERROR(IF(INDEX('Disaggregation Records'!$F$69:$F$152,MATCH(RIGHT(Q524,255),RIGHT('Disaggregation Records'!$D$69:$D$152,255),0))="","",INDEX('Disaggregation Records'!$F$69:$F$152,MATCH(RIGHT(Q524,255),RIGHT('Disaggregation Records'!$D$69:$D$152,255),0))),"")</f>
        <v/>
      </c>
      <c r="T524" s="89" t="str">
        <f t="array" aca="1" ref="T524" ca="1">IFERROR(IF(INDEX('Disaggregation Records'!$H$69:$H$152,MATCH(RIGHT(Q524,255),RIGHT('Disaggregation Records'!$D$69:$D$152,255),0))="","",INDEX('Disaggregation Records'!$H$69:$H$152,MATCH(RIGHT(Q524,255),RIGHT('Disaggregation Records'!$D$69:$D$152,255),0))),"")</f>
        <v/>
      </c>
      <c r="U524" s="89">
        <f>U522+1</f>
        <v>991</v>
      </c>
      <c r="V524" s="89" t="str">
        <f t="array" aca="1" ref="V524" ca="1">IFERROR(IF(INDEX('Disaggregation Records'!$I$69:$I$152,MATCH(RIGHT(Q524,255),RIGHT('Disaggregation Records'!$D$69:$D$152,255),0))="","",INDEX('Disaggregation Records'!$I$69:$I$152,MATCH(RIGHT(Q524,255),RIGHT('Disaggregation Records'!$D$69:$D$152,255),0))),"")</f>
        <v/>
      </c>
      <c r="W524" s="89" t="str">
        <f ca="1">IFERROR(INDEX('Reference Records'!P$23:P$74,MATCH(LEFT(C524,255),'Reference Records'!J$23:J$74,0)),"")</f>
        <v/>
      </c>
    </row>
    <row r="525" spans="1:23" s="89" customFormat="1" ht="40.35" customHeight="1">
      <c r="A525" s="564"/>
      <c r="B525" s="799"/>
      <c r="C525" s="800"/>
      <c r="D525" s="801"/>
      <c r="E525" s="801"/>
      <c r="F525" s="128"/>
      <c r="G525" s="802"/>
      <c r="H525" s="781"/>
      <c r="I525" s="803"/>
      <c r="J525" s="779"/>
      <c r="K525" s="800"/>
      <c r="L525" s="800"/>
      <c r="M525" s="779"/>
      <c r="N525" s="779"/>
      <c r="V525" s="89" t="str">
        <f t="array" ref="V525">IFERROR(IF(INDEX('Disaggregation Records'!$I$69:$I$152,MATCH(RIGHT(Q525,255),RIGHT('Disaggregation Records'!$D$69:$D$152,255),0))="","",INDEX('Disaggregation Records'!$I$69:$I$152,MATCH(RIGHT(Q525,255),RIGHT('Disaggregation Records'!$D$69:$D$152,255),0))),"")</f>
        <v/>
      </c>
    </row>
    <row r="526" spans="1:23" s="89" customFormat="1" ht="40.35" customHeight="1">
      <c r="A526" s="564" t="str">
        <f ca="1">INDIRECT("'update Helper'!C"&amp;U526)</f>
        <v>a1V3p000006h2xREAQ</v>
      </c>
      <c r="B526" s="794">
        <v>11</v>
      </c>
      <c r="C526" s="795" t="str">
        <f ca="1">IFERROR(VLOOKUP(B526,'Outcome Indicators - Section C '!$A$9:$AF$70,32,FALSE),"")</f>
        <v/>
      </c>
      <c r="D526" s="796" t="str">
        <f ca="1">R526</f>
        <v/>
      </c>
      <c r="E526" s="796" t="str">
        <f ca="1">S526</f>
        <v/>
      </c>
      <c r="F526" s="127"/>
      <c r="G526" s="797" t="str">
        <f ca="1">IF(OR(INDIRECT("'update Helper'!E"&amp;U526)="",F526&lt;&gt;0,F527&lt;&gt;0),IF(IFERROR((F526/F527),"")="","",(F526/F527)),INDIRECT("'update Helper'!E"&amp;U526)/100)</f>
        <v/>
      </c>
      <c r="H526" s="784"/>
      <c r="I526" s="798"/>
      <c r="J526" s="777"/>
      <c r="K526" s="795" t="str">
        <f ca="1">W526</f>
        <v/>
      </c>
      <c r="L526" s="795" t="str">
        <f ca="1">V526</f>
        <v/>
      </c>
      <c r="M526" s="777"/>
      <c r="N526" s="777"/>
      <c r="P526" s="89">
        <f ca="1">IF(AND(EXACT(C526,C524),C524&lt;&gt;0),P524+1,0)</f>
        <v>35</v>
      </c>
      <c r="Q526" s="89" t="str">
        <f ca="1">IF(C526&lt;&gt;"",C526&amp;"-"&amp;P526,"")</f>
        <v/>
      </c>
      <c r="R526" s="89" t="str">
        <f t="array" aca="1" ref="R526" ca="1">IFERROR(IF(INDEX('Disaggregation Records'!$E$69:$E$152,MATCH(RIGHT(Q526,255),RIGHT('Disaggregation Records'!$D$69:$D$152,255),0))="","",INDEX('Disaggregation Records'!$E$69:$E$152,MATCH(RIGHT(Q526,255),RIGHT('Disaggregation Records'!$D$69:$D$152,255),0))),"")</f>
        <v/>
      </c>
      <c r="S526" s="89" t="str">
        <f t="array" aca="1" ref="S526" ca="1">IFERROR(IF(INDEX('Disaggregation Records'!$F$69:$F$152,MATCH(RIGHT(Q526,255),RIGHT('Disaggregation Records'!$D$69:$D$152,255),0))="","",INDEX('Disaggregation Records'!$F$69:$F$152,MATCH(RIGHT(Q526,255),RIGHT('Disaggregation Records'!$D$69:$D$152,255),0))),"")</f>
        <v/>
      </c>
      <c r="T526" s="89" t="str">
        <f t="array" aca="1" ref="T526" ca="1">IFERROR(IF(INDEX('Disaggregation Records'!$H$69:$H$152,MATCH(RIGHT(Q526,255),RIGHT('Disaggregation Records'!$D$69:$D$152,255),0))="","",INDEX('Disaggregation Records'!$H$69:$H$152,MATCH(RIGHT(Q526,255),RIGHT('Disaggregation Records'!$D$69:$D$152,255),0))),"")</f>
        <v/>
      </c>
      <c r="U526" s="89">
        <f>U524+1</f>
        <v>992</v>
      </c>
      <c r="V526" s="89" t="str">
        <f t="array" aca="1" ref="V526" ca="1">IFERROR(IF(INDEX('Disaggregation Records'!$I$69:$I$152,MATCH(RIGHT(Q526,255),RIGHT('Disaggregation Records'!$D$69:$D$152,255),0))="","",INDEX('Disaggregation Records'!$I$69:$I$152,MATCH(RIGHT(Q526,255),RIGHT('Disaggregation Records'!$D$69:$D$152,255),0))),"")</f>
        <v/>
      </c>
      <c r="W526" s="89" t="str">
        <f ca="1">IFERROR(INDEX('Reference Records'!P$23:P$74,MATCH(LEFT(C526,255),'Reference Records'!J$23:J$74,0)),"")</f>
        <v/>
      </c>
    </row>
    <row r="527" spans="1:23" s="89" customFormat="1" ht="40.35" customHeight="1">
      <c r="A527" s="564"/>
      <c r="B527" s="799"/>
      <c r="C527" s="800"/>
      <c r="D527" s="801"/>
      <c r="E527" s="801"/>
      <c r="F527" s="128"/>
      <c r="G527" s="802"/>
      <c r="H527" s="781"/>
      <c r="I527" s="803"/>
      <c r="J527" s="779"/>
      <c r="K527" s="800"/>
      <c r="L527" s="800"/>
      <c r="M527" s="779"/>
      <c r="N527" s="779"/>
      <c r="V527" s="89" t="str">
        <f t="array" ref="V527">IFERROR(IF(INDEX('Disaggregation Records'!$I$69:$I$152,MATCH(RIGHT(Q527,255),RIGHT('Disaggregation Records'!$D$69:$D$152,255),0))="","",INDEX('Disaggregation Records'!$I$69:$I$152,MATCH(RIGHT(Q527,255),RIGHT('Disaggregation Records'!$D$69:$D$152,255),0))),"")</f>
        <v/>
      </c>
    </row>
    <row r="528" spans="1:23" s="89" customFormat="1" ht="40.35" customHeight="1">
      <c r="A528" s="564" t="str">
        <f ca="1">INDIRECT("'update Helper'!C"&amp;U528)</f>
        <v>a1V3p000006h2xSEAQ</v>
      </c>
      <c r="B528" s="794">
        <v>11</v>
      </c>
      <c r="C528" s="795" t="str">
        <f ca="1">IFERROR(VLOOKUP(B528,'Outcome Indicators - Section C '!$A$9:$AF$70,32,FALSE),"")</f>
        <v/>
      </c>
      <c r="D528" s="796" t="str">
        <f ca="1">R528</f>
        <v/>
      </c>
      <c r="E528" s="796" t="str">
        <f ca="1">S528</f>
        <v/>
      </c>
      <c r="F528" s="127"/>
      <c r="G528" s="797" t="str">
        <f ca="1">IF(OR(INDIRECT("'update Helper'!E"&amp;U528)="",F528&lt;&gt;0,F529&lt;&gt;0),IF(IFERROR((F528/F529),"")="","",(F528/F529)),INDIRECT("'update Helper'!E"&amp;U528)/100)</f>
        <v/>
      </c>
      <c r="H528" s="784"/>
      <c r="I528" s="798"/>
      <c r="J528" s="777"/>
      <c r="K528" s="795" t="str">
        <f ca="1">W528</f>
        <v/>
      </c>
      <c r="L528" s="795" t="str">
        <f ca="1">V528</f>
        <v/>
      </c>
      <c r="M528" s="777"/>
      <c r="N528" s="777"/>
      <c r="P528" s="89">
        <f ca="1">IF(AND(EXACT(C528,C526),C526&lt;&gt;0),P526+1,0)</f>
        <v>36</v>
      </c>
      <c r="Q528" s="89" t="str">
        <f ca="1">IF(C528&lt;&gt;"",C528&amp;"-"&amp;P528,"")</f>
        <v/>
      </c>
      <c r="R528" s="89" t="str">
        <f t="array" aca="1" ref="R528" ca="1">IFERROR(IF(INDEX('Disaggregation Records'!$E$69:$E$152,MATCH(RIGHT(Q528,255),RIGHT('Disaggregation Records'!$D$69:$D$152,255),0))="","",INDEX('Disaggregation Records'!$E$69:$E$152,MATCH(RIGHT(Q528,255),RIGHT('Disaggregation Records'!$D$69:$D$152,255),0))),"")</f>
        <v/>
      </c>
      <c r="S528" s="89" t="str">
        <f t="array" aca="1" ref="S528" ca="1">IFERROR(IF(INDEX('Disaggregation Records'!$F$69:$F$152,MATCH(RIGHT(Q528,255),RIGHT('Disaggregation Records'!$D$69:$D$152,255),0))="","",INDEX('Disaggregation Records'!$F$69:$F$152,MATCH(RIGHT(Q528,255),RIGHT('Disaggregation Records'!$D$69:$D$152,255),0))),"")</f>
        <v/>
      </c>
      <c r="T528" s="89" t="str">
        <f t="array" aca="1" ref="T528" ca="1">IFERROR(IF(INDEX('Disaggregation Records'!$H$69:$H$152,MATCH(RIGHT(Q528,255),RIGHT('Disaggregation Records'!$D$69:$D$152,255),0))="","",INDEX('Disaggregation Records'!$H$69:$H$152,MATCH(RIGHT(Q528,255),RIGHT('Disaggregation Records'!$D$69:$D$152,255),0))),"")</f>
        <v/>
      </c>
      <c r="U528" s="89">
        <f>U526+1</f>
        <v>993</v>
      </c>
      <c r="V528" s="89" t="str">
        <f t="array" aca="1" ref="V528" ca="1">IFERROR(IF(INDEX('Disaggregation Records'!$I$69:$I$152,MATCH(RIGHT(Q528,255),RIGHT('Disaggregation Records'!$D$69:$D$152,255),0))="","",INDEX('Disaggregation Records'!$I$69:$I$152,MATCH(RIGHT(Q528,255),RIGHT('Disaggregation Records'!$D$69:$D$152,255),0))),"")</f>
        <v/>
      </c>
      <c r="W528" s="89" t="str">
        <f ca="1">IFERROR(INDEX('Reference Records'!P$23:P$74,MATCH(LEFT(C528,255),'Reference Records'!J$23:J$74,0)),"")</f>
        <v/>
      </c>
    </row>
    <row r="529" spans="1:23" s="89" customFormat="1" ht="40.35" customHeight="1">
      <c r="A529" s="564"/>
      <c r="B529" s="799"/>
      <c r="C529" s="800"/>
      <c r="D529" s="801"/>
      <c r="E529" s="801"/>
      <c r="F529" s="128"/>
      <c r="G529" s="802"/>
      <c r="H529" s="781"/>
      <c r="I529" s="803"/>
      <c r="J529" s="779"/>
      <c r="K529" s="800"/>
      <c r="L529" s="800"/>
      <c r="M529" s="779"/>
      <c r="N529" s="779"/>
      <c r="V529" s="89" t="str">
        <f t="array" ref="V529">IFERROR(IF(INDEX('Disaggregation Records'!$I$69:$I$152,MATCH(RIGHT(Q529,255),RIGHT('Disaggregation Records'!$D$69:$D$152,255),0))="","",INDEX('Disaggregation Records'!$I$69:$I$152,MATCH(RIGHT(Q529,255),RIGHT('Disaggregation Records'!$D$69:$D$152,255),0))),"")</f>
        <v/>
      </c>
    </row>
    <row r="530" spans="1:23" s="89" customFormat="1" ht="40.35" customHeight="1">
      <c r="A530" s="564" t="str">
        <f ca="1">INDIRECT("'update Helper'!C"&amp;U530)</f>
        <v>a1V3p000006h2xTEAQ</v>
      </c>
      <c r="B530" s="794">
        <v>11</v>
      </c>
      <c r="C530" s="795" t="str">
        <f ca="1">IFERROR(VLOOKUP(B530,'Outcome Indicators - Section C '!$A$9:$AF$70,32,FALSE),"")</f>
        <v/>
      </c>
      <c r="D530" s="796" t="str">
        <f ca="1">R530</f>
        <v/>
      </c>
      <c r="E530" s="796" t="str">
        <f ca="1">S530</f>
        <v/>
      </c>
      <c r="F530" s="127"/>
      <c r="G530" s="797" t="str">
        <f ca="1">IF(OR(INDIRECT("'update Helper'!E"&amp;U530)="",F530&lt;&gt;0,F531&lt;&gt;0),IF(IFERROR((F530/F531),"")="","",(F530/F531)),INDIRECT("'update Helper'!E"&amp;U530)/100)</f>
        <v/>
      </c>
      <c r="H530" s="784"/>
      <c r="I530" s="798"/>
      <c r="J530" s="777"/>
      <c r="K530" s="795" t="str">
        <f ca="1">W530</f>
        <v/>
      </c>
      <c r="L530" s="795" t="str">
        <f ca="1">V530</f>
        <v/>
      </c>
      <c r="M530" s="777"/>
      <c r="N530" s="777"/>
      <c r="P530" s="89">
        <f ca="1">IF(AND(EXACT(C530,C528),C528&lt;&gt;0),P528+1,0)</f>
        <v>37</v>
      </c>
      <c r="Q530" s="89" t="str">
        <f ca="1">IF(C530&lt;&gt;"",C530&amp;"-"&amp;P530,"")</f>
        <v/>
      </c>
      <c r="R530" s="89" t="str">
        <f t="array" aca="1" ref="R530" ca="1">IFERROR(IF(INDEX('Disaggregation Records'!$E$69:$E$152,MATCH(RIGHT(Q530,255),RIGHT('Disaggregation Records'!$D$69:$D$152,255),0))="","",INDEX('Disaggregation Records'!$E$69:$E$152,MATCH(RIGHT(Q530,255),RIGHT('Disaggregation Records'!$D$69:$D$152,255),0))),"")</f>
        <v/>
      </c>
      <c r="S530" s="89" t="str">
        <f t="array" aca="1" ref="S530" ca="1">IFERROR(IF(INDEX('Disaggregation Records'!$F$69:$F$152,MATCH(RIGHT(Q530,255),RIGHT('Disaggregation Records'!$D$69:$D$152,255),0))="","",INDEX('Disaggregation Records'!$F$69:$F$152,MATCH(RIGHT(Q530,255),RIGHT('Disaggregation Records'!$D$69:$D$152,255),0))),"")</f>
        <v/>
      </c>
      <c r="T530" s="89" t="str">
        <f t="array" aca="1" ref="T530" ca="1">IFERROR(IF(INDEX('Disaggregation Records'!$H$69:$H$152,MATCH(RIGHT(Q530,255),RIGHT('Disaggregation Records'!$D$69:$D$152,255),0))="","",INDEX('Disaggregation Records'!$H$69:$H$152,MATCH(RIGHT(Q530,255),RIGHT('Disaggregation Records'!$D$69:$D$152,255),0))),"")</f>
        <v/>
      </c>
      <c r="U530" s="89">
        <f>U528+1</f>
        <v>994</v>
      </c>
      <c r="V530" s="89" t="str">
        <f t="array" aca="1" ref="V530" ca="1">IFERROR(IF(INDEX('Disaggregation Records'!$I$69:$I$152,MATCH(RIGHT(Q530,255),RIGHT('Disaggregation Records'!$D$69:$D$152,255),0))="","",INDEX('Disaggregation Records'!$I$69:$I$152,MATCH(RIGHT(Q530,255),RIGHT('Disaggregation Records'!$D$69:$D$152,255),0))),"")</f>
        <v/>
      </c>
      <c r="W530" s="89" t="str">
        <f ca="1">IFERROR(INDEX('Reference Records'!P$23:P$74,MATCH(LEFT(C530,255),'Reference Records'!J$23:J$74,0)),"")</f>
        <v/>
      </c>
    </row>
    <row r="531" spans="1:23" s="89" customFormat="1" ht="40.35" customHeight="1">
      <c r="A531" s="564"/>
      <c r="B531" s="799"/>
      <c r="C531" s="800"/>
      <c r="D531" s="801"/>
      <c r="E531" s="801"/>
      <c r="F531" s="128"/>
      <c r="G531" s="802"/>
      <c r="H531" s="781"/>
      <c r="I531" s="803"/>
      <c r="J531" s="779"/>
      <c r="K531" s="800"/>
      <c r="L531" s="800"/>
      <c r="M531" s="779"/>
      <c r="N531" s="779"/>
      <c r="V531" s="89" t="str">
        <f t="array" ref="V531">IFERROR(IF(INDEX('Disaggregation Records'!$I$69:$I$152,MATCH(RIGHT(Q531,255),RIGHT('Disaggregation Records'!$D$69:$D$152,255),0))="","",INDEX('Disaggregation Records'!$I$69:$I$152,MATCH(RIGHT(Q531,255),RIGHT('Disaggregation Records'!$D$69:$D$152,255),0))),"")</f>
        <v/>
      </c>
    </row>
    <row r="532" spans="1:23" s="89" customFormat="1" ht="40.35" customHeight="1">
      <c r="A532" s="564" t="str">
        <f ca="1">INDIRECT("'update Helper'!C"&amp;U532)</f>
        <v>a1V3p000006h2xUEAQ</v>
      </c>
      <c r="B532" s="794">
        <v>11</v>
      </c>
      <c r="C532" s="795" t="str">
        <f ca="1">IFERROR(VLOOKUP(B532,'Outcome Indicators - Section C '!$A$9:$AF$70,32,FALSE),"")</f>
        <v/>
      </c>
      <c r="D532" s="796" t="str">
        <f ca="1">R532</f>
        <v/>
      </c>
      <c r="E532" s="796" t="str">
        <f ca="1">S532</f>
        <v/>
      </c>
      <c r="F532" s="127"/>
      <c r="G532" s="797" t="str">
        <f ca="1">IF(OR(INDIRECT("'update Helper'!E"&amp;U532)="",F532&lt;&gt;0,F533&lt;&gt;0),IF(IFERROR((F532/F533),"")="","",(F532/F533)),INDIRECT("'update Helper'!E"&amp;U532)/100)</f>
        <v/>
      </c>
      <c r="H532" s="784"/>
      <c r="I532" s="798"/>
      <c r="J532" s="777"/>
      <c r="K532" s="795" t="str">
        <f ca="1">W532</f>
        <v/>
      </c>
      <c r="L532" s="795" t="str">
        <f ca="1">V532</f>
        <v/>
      </c>
      <c r="M532" s="777"/>
      <c r="N532" s="777"/>
      <c r="P532" s="89">
        <f ca="1">IF(AND(EXACT(C532,C530),C530&lt;&gt;0),P530+1,0)</f>
        <v>38</v>
      </c>
      <c r="Q532" s="89" t="str">
        <f ca="1">IF(C532&lt;&gt;"",C532&amp;"-"&amp;P532,"")</f>
        <v/>
      </c>
      <c r="R532" s="89" t="str">
        <f t="array" aca="1" ref="R532" ca="1">IFERROR(IF(INDEX('Disaggregation Records'!$E$69:$E$152,MATCH(RIGHT(Q532,255),RIGHT('Disaggregation Records'!$D$69:$D$152,255),0))="","",INDEX('Disaggregation Records'!$E$69:$E$152,MATCH(RIGHT(Q532,255),RIGHT('Disaggregation Records'!$D$69:$D$152,255),0))),"")</f>
        <v/>
      </c>
      <c r="S532" s="89" t="str">
        <f t="array" aca="1" ref="S532" ca="1">IFERROR(IF(INDEX('Disaggregation Records'!$F$69:$F$152,MATCH(RIGHT(Q532,255),RIGHT('Disaggregation Records'!$D$69:$D$152,255),0))="","",INDEX('Disaggregation Records'!$F$69:$F$152,MATCH(RIGHT(Q532,255),RIGHT('Disaggregation Records'!$D$69:$D$152,255),0))),"")</f>
        <v/>
      </c>
      <c r="T532" s="89" t="str">
        <f t="array" aca="1" ref="T532" ca="1">IFERROR(IF(INDEX('Disaggregation Records'!$H$69:$H$152,MATCH(RIGHT(Q532,255),RIGHT('Disaggregation Records'!$D$69:$D$152,255),0))="","",INDEX('Disaggregation Records'!$H$69:$H$152,MATCH(RIGHT(Q532,255),RIGHT('Disaggregation Records'!$D$69:$D$152,255),0))),"")</f>
        <v/>
      </c>
      <c r="U532" s="89">
        <f>U530+1</f>
        <v>995</v>
      </c>
      <c r="V532" s="89" t="str">
        <f t="array" aca="1" ref="V532" ca="1">IFERROR(IF(INDEX('Disaggregation Records'!$I$69:$I$152,MATCH(RIGHT(Q532,255),RIGHT('Disaggregation Records'!$D$69:$D$152,255),0))="","",INDEX('Disaggregation Records'!$I$69:$I$152,MATCH(RIGHT(Q532,255),RIGHT('Disaggregation Records'!$D$69:$D$152,255),0))),"")</f>
        <v/>
      </c>
      <c r="W532" s="89" t="str">
        <f ca="1">IFERROR(INDEX('Reference Records'!P$23:P$74,MATCH(LEFT(C532,255),'Reference Records'!J$23:J$74,0)),"")</f>
        <v/>
      </c>
    </row>
    <row r="533" spans="1:23" s="89" customFormat="1" ht="40.35" customHeight="1">
      <c r="A533" s="564"/>
      <c r="B533" s="799"/>
      <c r="C533" s="800"/>
      <c r="D533" s="801"/>
      <c r="E533" s="801"/>
      <c r="F533" s="128"/>
      <c r="G533" s="802"/>
      <c r="H533" s="781"/>
      <c r="I533" s="803"/>
      <c r="J533" s="779"/>
      <c r="K533" s="800"/>
      <c r="L533" s="800"/>
      <c r="M533" s="779"/>
      <c r="N533" s="779"/>
      <c r="V533" s="89" t="str">
        <f t="array" ref="V533">IFERROR(IF(INDEX('Disaggregation Records'!$I$69:$I$152,MATCH(RIGHT(Q533,255),RIGHT('Disaggregation Records'!$D$69:$D$152,255),0))="","",INDEX('Disaggregation Records'!$I$69:$I$152,MATCH(RIGHT(Q533,255),RIGHT('Disaggregation Records'!$D$69:$D$152,255),0))),"")</f>
        <v/>
      </c>
    </row>
    <row r="534" spans="1:23" s="89" customFormat="1" ht="40.35" customHeight="1">
      <c r="A534" s="564" t="str">
        <f ca="1">INDIRECT("'update Helper'!C"&amp;U534)</f>
        <v>a1V3p000006h2xVEAQ</v>
      </c>
      <c r="B534" s="794">
        <v>11</v>
      </c>
      <c r="C534" s="795" t="str">
        <f ca="1">IFERROR(VLOOKUP(B534,'Outcome Indicators - Section C '!$A$9:$AF$70,32,FALSE),"")</f>
        <v/>
      </c>
      <c r="D534" s="796" t="str">
        <f ca="1">R534</f>
        <v/>
      </c>
      <c r="E534" s="796" t="str">
        <f ca="1">S534</f>
        <v/>
      </c>
      <c r="F534" s="127"/>
      <c r="G534" s="797" t="str">
        <f ca="1">IF(OR(INDIRECT("'update Helper'!E"&amp;U534)="",F534&lt;&gt;0,F535&lt;&gt;0),IF(IFERROR((F534/F535),"")="","",(F534/F535)),INDIRECT("'update Helper'!E"&amp;U534)/100)</f>
        <v/>
      </c>
      <c r="H534" s="784"/>
      <c r="I534" s="798"/>
      <c r="J534" s="777"/>
      <c r="K534" s="795" t="str">
        <f ca="1">W534</f>
        <v/>
      </c>
      <c r="L534" s="795" t="str">
        <f ca="1">V534</f>
        <v/>
      </c>
      <c r="M534" s="777"/>
      <c r="N534" s="777"/>
      <c r="P534" s="89">
        <f ca="1">IF(AND(EXACT(C534,C532),C532&lt;&gt;0),P532+1,0)</f>
        <v>39</v>
      </c>
      <c r="Q534" s="89" t="str">
        <f ca="1">IF(C534&lt;&gt;"",C534&amp;"-"&amp;P534,"")</f>
        <v/>
      </c>
      <c r="R534" s="89" t="str">
        <f t="array" aca="1" ref="R534" ca="1">IFERROR(IF(INDEX('Disaggregation Records'!$E$69:$E$152,MATCH(RIGHT(Q534,255),RIGHT('Disaggregation Records'!$D$69:$D$152,255),0))="","",INDEX('Disaggregation Records'!$E$69:$E$152,MATCH(RIGHT(Q534,255),RIGHT('Disaggregation Records'!$D$69:$D$152,255),0))),"")</f>
        <v/>
      </c>
      <c r="S534" s="89" t="str">
        <f t="array" aca="1" ref="S534" ca="1">IFERROR(IF(INDEX('Disaggregation Records'!$F$69:$F$152,MATCH(RIGHT(Q534,255),RIGHT('Disaggregation Records'!$D$69:$D$152,255),0))="","",INDEX('Disaggregation Records'!$F$69:$F$152,MATCH(RIGHT(Q534,255),RIGHT('Disaggregation Records'!$D$69:$D$152,255),0))),"")</f>
        <v/>
      </c>
      <c r="T534" s="89" t="str">
        <f t="array" aca="1" ref="T534" ca="1">IFERROR(IF(INDEX('Disaggregation Records'!$H$69:$H$152,MATCH(RIGHT(Q534,255),RIGHT('Disaggregation Records'!$D$69:$D$152,255),0))="","",INDEX('Disaggregation Records'!$H$69:$H$152,MATCH(RIGHT(Q534,255),RIGHT('Disaggregation Records'!$D$69:$D$152,255),0))),"")</f>
        <v/>
      </c>
      <c r="U534" s="89">
        <f>U532+1</f>
        <v>996</v>
      </c>
      <c r="V534" s="89" t="str">
        <f t="array" aca="1" ref="V534" ca="1">IFERROR(IF(INDEX('Disaggregation Records'!$I$69:$I$152,MATCH(RIGHT(Q534,255),RIGHT('Disaggregation Records'!$D$69:$D$152,255),0))="","",INDEX('Disaggregation Records'!$I$69:$I$152,MATCH(RIGHT(Q534,255),RIGHT('Disaggregation Records'!$D$69:$D$152,255),0))),"")</f>
        <v/>
      </c>
      <c r="W534" s="89" t="str">
        <f ca="1">IFERROR(INDEX('Reference Records'!P$23:P$74,MATCH(LEFT(C534,255),'Reference Records'!J$23:J$74,0)),"")</f>
        <v/>
      </c>
    </row>
    <row r="535" spans="1:23" s="89" customFormat="1" ht="40.35" customHeight="1">
      <c r="A535" s="564"/>
      <c r="B535" s="799"/>
      <c r="C535" s="800"/>
      <c r="D535" s="801"/>
      <c r="E535" s="801"/>
      <c r="F535" s="128"/>
      <c r="G535" s="802"/>
      <c r="H535" s="781"/>
      <c r="I535" s="803"/>
      <c r="J535" s="779"/>
      <c r="K535" s="800"/>
      <c r="L535" s="800"/>
      <c r="M535" s="779"/>
      <c r="N535" s="779"/>
      <c r="V535" s="89" t="str">
        <f t="array" ref="V535">IFERROR(IF(INDEX('Disaggregation Records'!$I$69:$I$152,MATCH(RIGHT(Q535,255),RIGHT('Disaggregation Records'!$D$69:$D$152,255),0))="","",INDEX('Disaggregation Records'!$I$69:$I$152,MATCH(RIGHT(Q535,255),RIGHT('Disaggregation Records'!$D$69:$D$152,255),0))),"")</f>
        <v/>
      </c>
    </row>
    <row r="536" spans="1:23" s="89" customFormat="1" ht="40.35" customHeight="1">
      <c r="A536" s="564" t="str">
        <f ca="1">INDIRECT("'update Helper'!C"&amp;U536)</f>
        <v>a1V3p000006h2xWEAQ</v>
      </c>
      <c r="B536" s="794">
        <v>12</v>
      </c>
      <c r="C536" s="795" t="str">
        <f ca="1">IFERROR(VLOOKUP(B536,'Outcome Indicators - Section C '!$A$9:$AF$70,32,FALSE),"")</f>
        <v/>
      </c>
      <c r="D536" s="796" t="str">
        <f ca="1">R536</f>
        <v/>
      </c>
      <c r="E536" s="796" t="str">
        <f ca="1">S536</f>
        <v/>
      </c>
      <c r="F536" s="127"/>
      <c r="G536" s="797" t="str">
        <f ca="1">IF(OR(INDIRECT("'update Helper'!E"&amp;U536)="",F536&lt;&gt;0,F537&lt;&gt;0),IF(IFERROR((F536/F537),"")="","",(F536/F537)),INDIRECT("'update Helper'!E"&amp;U536)/100)</f>
        <v/>
      </c>
      <c r="H536" s="784"/>
      <c r="I536" s="798"/>
      <c r="J536" s="777"/>
      <c r="K536" s="795" t="str">
        <f ca="1">W536</f>
        <v/>
      </c>
      <c r="L536" s="795" t="str">
        <f ca="1">V536</f>
        <v/>
      </c>
      <c r="M536" s="777"/>
      <c r="N536" s="777"/>
      <c r="P536" s="89">
        <f ca="1">IF(AND(EXACT(C536,C534),C534&lt;&gt;0),P534+1,0)</f>
        <v>40</v>
      </c>
      <c r="Q536" s="89" t="str">
        <f ca="1">IF(C536&lt;&gt;"",C536&amp;"-"&amp;P536,"")</f>
        <v/>
      </c>
      <c r="R536" s="89" t="str">
        <f t="array" aca="1" ref="R536" ca="1">IFERROR(IF(INDEX('Disaggregation Records'!$E$69:$E$152,MATCH(RIGHT(Q536,255),RIGHT('Disaggregation Records'!$D$69:$D$152,255),0))="","",INDEX('Disaggregation Records'!$E$69:$E$152,MATCH(RIGHT(Q536,255),RIGHT('Disaggregation Records'!$D$69:$D$152,255),0))),"")</f>
        <v/>
      </c>
      <c r="S536" s="89" t="str">
        <f t="array" aca="1" ref="S536" ca="1">IFERROR(IF(INDEX('Disaggregation Records'!$F$69:$F$152,MATCH(RIGHT(Q536,255),RIGHT('Disaggregation Records'!$D$69:$D$152,255),0))="","",INDEX('Disaggregation Records'!$F$69:$F$152,MATCH(RIGHT(Q536,255),RIGHT('Disaggregation Records'!$D$69:$D$152,255),0))),"")</f>
        <v/>
      </c>
      <c r="T536" s="89" t="str">
        <f t="array" aca="1" ref="T536" ca="1">IFERROR(IF(INDEX('Disaggregation Records'!$H$69:$H$152,MATCH(RIGHT(Q536,255),RIGHT('Disaggregation Records'!$D$69:$D$152,255),0))="","",INDEX('Disaggregation Records'!$H$69:$H$152,MATCH(RIGHT(Q536,255),RIGHT('Disaggregation Records'!$D$69:$D$152,255),0))),"")</f>
        <v/>
      </c>
      <c r="U536" s="89">
        <f>U534+1</f>
        <v>997</v>
      </c>
      <c r="V536" s="89" t="str">
        <f t="array" aca="1" ref="V536" ca="1">IFERROR(IF(INDEX('Disaggregation Records'!$I$69:$I$152,MATCH(RIGHT(Q536,255),RIGHT('Disaggregation Records'!$D$69:$D$152,255),0))="","",INDEX('Disaggregation Records'!$I$69:$I$152,MATCH(RIGHT(Q536,255),RIGHT('Disaggregation Records'!$D$69:$D$152,255),0))),"")</f>
        <v/>
      </c>
      <c r="W536" s="89" t="str">
        <f ca="1">IFERROR(INDEX('Reference Records'!P$23:P$74,MATCH(LEFT(C536,255),'Reference Records'!J$23:J$74,0)),"")</f>
        <v/>
      </c>
    </row>
    <row r="537" spans="1:23" s="89" customFormat="1" ht="40.35" customHeight="1">
      <c r="A537" s="564"/>
      <c r="B537" s="799"/>
      <c r="C537" s="800"/>
      <c r="D537" s="801"/>
      <c r="E537" s="801"/>
      <c r="F537" s="128"/>
      <c r="G537" s="802"/>
      <c r="H537" s="781"/>
      <c r="I537" s="803"/>
      <c r="J537" s="779"/>
      <c r="K537" s="800"/>
      <c r="L537" s="800"/>
      <c r="M537" s="779"/>
      <c r="N537" s="779"/>
      <c r="V537" s="89" t="str">
        <f t="array" ref="V537">IFERROR(IF(INDEX('Disaggregation Records'!$I$69:$I$152,MATCH(RIGHT(Q537,255),RIGHT('Disaggregation Records'!$D$69:$D$152,255),0))="","",INDEX('Disaggregation Records'!$I$69:$I$152,MATCH(RIGHT(Q537,255),RIGHT('Disaggregation Records'!$D$69:$D$152,255),0))),"")</f>
        <v/>
      </c>
    </row>
    <row r="538" spans="1:23" s="89" customFormat="1" ht="40.35" customHeight="1">
      <c r="A538" s="564" t="str">
        <f ca="1">INDIRECT("'update Helper'!C"&amp;U538)</f>
        <v>a1V3p000006h2xXEAQ</v>
      </c>
      <c r="B538" s="794">
        <v>12</v>
      </c>
      <c r="C538" s="795" t="str">
        <f ca="1">IFERROR(VLOOKUP(B538,'Outcome Indicators - Section C '!$A$9:$AF$70,32,FALSE),"")</f>
        <v/>
      </c>
      <c r="D538" s="796" t="str">
        <f ca="1">R538</f>
        <v/>
      </c>
      <c r="E538" s="796" t="str">
        <f ca="1">S538</f>
        <v/>
      </c>
      <c r="F538" s="127"/>
      <c r="G538" s="797" t="str">
        <f ca="1">IF(OR(INDIRECT("'update Helper'!E"&amp;U538)="",F538&lt;&gt;0,F539&lt;&gt;0),IF(IFERROR((F538/F539),"")="","",(F538/F539)),INDIRECT("'update Helper'!E"&amp;U538)/100)</f>
        <v/>
      </c>
      <c r="H538" s="784"/>
      <c r="I538" s="798"/>
      <c r="J538" s="777"/>
      <c r="K538" s="795" t="str">
        <f ca="1">W538</f>
        <v/>
      </c>
      <c r="L538" s="795" t="str">
        <f ca="1">V538</f>
        <v/>
      </c>
      <c r="M538" s="777"/>
      <c r="N538" s="777"/>
      <c r="P538" s="89">
        <f ca="1">IF(AND(EXACT(C538,C536),C536&lt;&gt;0),P536+1,0)</f>
        <v>41</v>
      </c>
      <c r="Q538" s="89" t="str">
        <f ca="1">IF(C538&lt;&gt;"",C538&amp;"-"&amp;P538,"")</f>
        <v/>
      </c>
      <c r="R538" s="89" t="str">
        <f t="array" aca="1" ref="R538" ca="1">IFERROR(IF(INDEX('Disaggregation Records'!$E$69:$E$152,MATCH(RIGHT(Q538,255),RIGHT('Disaggregation Records'!$D$69:$D$152,255),0))="","",INDEX('Disaggregation Records'!$E$69:$E$152,MATCH(RIGHT(Q538,255),RIGHT('Disaggregation Records'!$D$69:$D$152,255),0))),"")</f>
        <v/>
      </c>
      <c r="S538" s="89" t="str">
        <f t="array" aca="1" ref="S538" ca="1">IFERROR(IF(INDEX('Disaggregation Records'!$F$69:$F$152,MATCH(RIGHT(Q538,255),RIGHT('Disaggregation Records'!$D$69:$D$152,255),0))="","",INDEX('Disaggregation Records'!$F$69:$F$152,MATCH(RIGHT(Q538,255),RIGHT('Disaggregation Records'!$D$69:$D$152,255),0))),"")</f>
        <v/>
      </c>
      <c r="T538" s="89" t="str">
        <f t="array" aca="1" ref="T538" ca="1">IFERROR(IF(INDEX('Disaggregation Records'!$H$69:$H$152,MATCH(RIGHT(Q538,255),RIGHT('Disaggregation Records'!$D$69:$D$152,255),0))="","",INDEX('Disaggregation Records'!$H$69:$H$152,MATCH(RIGHT(Q538,255),RIGHT('Disaggregation Records'!$D$69:$D$152,255),0))),"")</f>
        <v/>
      </c>
      <c r="U538" s="89">
        <f>U536+1</f>
        <v>998</v>
      </c>
      <c r="V538" s="89" t="str">
        <f t="array" aca="1" ref="V538" ca="1">IFERROR(IF(INDEX('Disaggregation Records'!$I$69:$I$152,MATCH(RIGHT(Q538,255),RIGHT('Disaggregation Records'!$D$69:$D$152,255),0))="","",INDEX('Disaggregation Records'!$I$69:$I$152,MATCH(RIGHT(Q538,255),RIGHT('Disaggregation Records'!$D$69:$D$152,255),0))),"")</f>
        <v/>
      </c>
      <c r="W538" s="89" t="str">
        <f ca="1">IFERROR(INDEX('Reference Records'!P$23:P$74,MATCH(LEFT(C538,255),'Reference Records'!J$23:J$74,0)),"")</f>
        <v/>
      </c>
    </row>
    <row r="539" spans="1:23" s="89" customFormat="1" ht="40.35" customHeight="1">
      <c r="A539" s="564"/>
      <c r="B539" s="799"/>
      <c r="C539" s="800"/>
      <c r="D539" s="801"/>
      <c r="E539" s="801"/>
      <c r="F539" s="128"/>
      <c r="G539" s="802"/>
      <c r="H539" s="781"/>
      <c r="I539" s="803"/>
      <c r="J539" s="779"/>
      <c r="K539" s="800"/>
      <c r="L539" s="800"/>
      <c r="M539" s="779"/>
      <c r="N539" s="779"/>
      <c r="V539" s="89" t="str">
        <f t="array" ref="V539">IFERROR(IF(INDEX('Disaggregation Records'!$I$69:$I$152,MATCH(RIGHT(Q539,255),RIGHT('Disaggregation Records'!$D$69:$D$152,255),0))="","",INDEX('Disaggregation Records'!$I$69:$I$152,MATCH(RIGHT(Q539,255),RIGHT('Disaggregation Records'!$D$69:$D$152,255),0))),"")</f>
        <v/>
      </c>
    </row>
    <row r="540" spans="1:23" s="89" customFormat="1" ht="40.35" customHeight="1">
      <c r="A540" s="564" t="str">
        <f ca="1">INDIRECT("'update Helper'!C"&amp;U540)</f>
        <v>a1V3p000006h2xYEAQ</v>
      </c>
      <c r="B540" s="794">
        <v>12</v>
      </c>
      <c r="C540" s="795" t="str">
        <f ca="1">IFERROR(VLOOKUP(B540,'Outcome Indicators - Section C '!$A$9:$AF$70,32,FALSE),"")</f>
        <v/>
      </c>
      <c r="D540" s="796" t="str">
        <f ca="1">R540</f>
        <v/>
      </c>
      <c r="E540" s="796" t="str">
        <f ca="1">S540</f>
        <v/>
      </c>
      <c r="F540" s="127"/>
      <c r="G540" s="797" t="str">
        <f ca="1">IF(OR(INDIRECT("'update Helper'!E"&amp;U540)="",F540&lt;&gt;0,F541&lt;&gt;0),IF(IFERROR((F540/F541),"")="","",(F540/F541)),INDIRECT("'update Helper'!E"&amp;U540)/100)</f>
        <v/>
      </c>
      <c r="H540" s="784"/>
      <c r="I540" s="798"/>
      <c r="J540" s="777"/>
      <c r="K540" s="795" t="str">
        <f ca="1">W540</f>
        <v/>
      </c>
      <c r="L540" s="795" t="str">
        <f ca="1">V540</f>
        <v/>
      </c>
      <c r="M540" s="777"/>
      <c r="N540" s="777"/>
      <c r="P540" s="89">
        <f ca="1">IF(AND(EXACT(C540,C538),C538&lt;&gt;0),P538+1,0)</f>
        <v>42</v>
      </c>
      <c r="Q540" s="89" t="str">
        <f ca="1">IF(C540&lt;&gt;"",C540&amp;"-"&amp;P540,"")</f>
        <v/>
      </c>
      <c r="R540" s="89" t="str">
        <f t="array" aca="1" ref="R540" ca="1">IFERROR(IF(INDEX('Disaggregation Records'!$E$69:$E$152,MATCH(RIGHT(Q540,255),RIGHT('Disaggregation Records'!$D$69:$D$152,255),0))="","",INDEX('Disaggregation Records'!$E$69:$E$152,MATCH(RIGHT(Q540,255),RIGHT('Disaggregation Records'!$D$69:$D$152,255),0))),"")</f>
        <v/>
      </c>
      <c r="S540" s="89" t="str">
        <f t="array" aca="1" ref="S540" ca="1">IFERROR(IF(INDEX('Disaggregation Records'!$F$69:$F$152,MATCH(RIGHT(Q540,255),RIGHT('Disaggregation Records'!$D$69:$D$152,255),0))="","",INDEX('Disaggregation Records'!$F$69:$F$152,MATCH(RIGHT(Q540,255),RIGHT('Disaggregation Records'!$D$69:$D$152,255),0))),"")</f>
        <v/>
      </c>
      <c r="T540" s="89" t="str">
        <f t="array" aca="1" ref="T540" ca="1">IFERROR(IF(INDEX('Disaggregation Records'!$H$69:$H$152,MATCH(RIGHT(Q540,255),RIGHT('Disaggregation Records'!$D$69:$D$152,255),0))="","",INDEX('Disaggregation Records'!$H$69:$H$152,MATCH(RIGHT(Q540,255),RIGHT('Disaggregation Records'!$D$69:$D$152,255),0))),"")</f>
        <v/>
      </c>
      <c r="U540" s="89">
        <f>U538+1</f>
        <v>999</v>
      </c>
      <c r="V540" s="89" t="str">
        <f t="array" aca="1" ref="V540" ca="1">IFERROR(IF(INDEX('Disaggregation Records'!$I$69:$I$152,MATCH(RIGHT(Q540,255),RIGHT('Disaggregation Records'!$D$69:$D$152,255),0))="","",INDEX('Disaggregation Records'!$I$69:$I$152,MATCH(RIGHT(Q540,255),RIGHT('Disaggregation Records'!$D$69:$D$152,255),0))),"")</f>
        <v/>
      </c>
      <c r="W540" s="89" t="str">
        <f ca="1">IFERROR(INDEX('Reference Records'!P$23:P$74,MATCH(LEFT(C540,255),'Reference Records'!J$23:J$74,0)),"")</f>
        <v/>
      </c>
    </row>
    <row r="541" spans="1:23" s="89" customFormat="1" ht="40.35" customHeight="1">
      <c r="A541" s="564"/>
      <c r="B541" s="799"/>
      <c r="C541" s="800"/>
      <c r="D541" s="801"/>
      <c r="E541" s="801"/>
      <c r="F541" s="128"/>
      <c r="G541" s="802"/>
      <c r="H541" s="781"/>
      <c r="I541" s="803"/>
      <c r="J541" s="779"/>
      <c r="K541" s="800"/>
      <c r="L541" s="800"/>
      <c r="M541" s="779"/>
      <c r="N541" s="779"/>
      <c r="V541" s="89" t="str">
        <f t="array" ref="V541">IFERROR(IF(INDEX('Disaggregation Records'!$I$69:$I$152,MATCH(RIGHT(Q541,255),RIGHT('Disaggregation Records'!$D$69:$D$152,255),0))="","",INDEX('Disaggregation Records'!$I$69:$I$152,MATCH(RIGHT(Q541,255),RIGHT('Disaggregation Records'!$D$69:$D$152,255),0))),"")</f>
        <v/>
      </c>
    </row>
    <row r="542" spans="1:23" s="89" customFormat="1" ht="40.35" customHeight="1">
      <c r="A542" s="564" t="str">
        <f ca="1">INDIRECT("'update Helper'!C"&amp;U542)</f>
        <v>a1V3p000006h2xZEAQ</v>
      </c>
      <c r="B542" s="794">
        <v>12</v>
      </c>
      <c r="C542" s="795" t="str">
        <f ca="1">IFERROR(VLOOKUP(B542,'Outcome Indicators - Section C '!$A$9:$AF$70,32,FALSE),"")</f>
        <v/>
      </c>
      <c r="D542" s="796" t="str">
        <f ca="1">R542</f>
        <v/>
      </c>
      <c r="E542" s="796" t="str">
        <f ca="1">S542</f>
        <v/>
      </c>
      <c r="F542" s="127"/>
      <c r="G542" s="797" t="str">
        <f ca="1">IF(OR(INDIRECT("'update Helper'!E"&amp;U542)="",F542&lt;&gt;0,F543&lt;&gt;0),IF(IFERROR((F542/F543),"")="","",(F542/F543)),INDIRECT("'update Helper'!E"&amp;U542)/100)</f>
        <v/>
      </c>
      <c r="H542" s="784"/>
      <c r="I542" s="798"/>
      <c r="J542" s="777"/>
      <c r="K542" s="795" t="str">
        <f ca="1">W542</f>
        <v/>
      </c>
      <c r="L542" s="795" t="str">
        <f ca="1">V542</f>
        <v/>
      </c>
      <c r="M542" s="777"/>
      <c r="N542" s="777"/>
      <c r="P542" s="89">
        <f ca="1">IF(AND(EXACT(C542,C540),C540&lt;&gt;0),P540+1,0)</f>
        <v>43</v>
      </c>
      <c r="Q542" s="89" t="str">
        <f ca="1">IF(C542&lt;&gt;"",C542&amp;"-"&amp;P542,"")</f>
        <v/>
      </c>
      <c r="R542" s="89" t="str">
        <f t="array" aca="1" ref="R542" ca="1">IFERROR(IF(INDEX('Disaggregation Records'!$E$69:$E$152,MATCH(RIGHT(Q542,255),RIGHT('Disaggregation Records'!$D$69:$D$152,255),0))="","",INDEX('Disaggregation Records'!$E$69:$E$152,MATCH(RIGHT(Q542,255),RIGHT('Disaggregation Records'!$D$69:$D$152,255),0))),"")</f>
        <v/>
      </c>
      <c r="S542" s="89" t="str">
        <f t="array" aca="1" ref="S542" ca="1">IFERROR(IF(INDEX('Disaggregation Records'!$F$69:$F$152,MATCH(RIGHT(Q542,255),RIGHT('Disaggregation Records'!$D$69:$D$152,255),0))="","",INDEX('Disaggregation Records'!$F$69:$F$152,MATCH(RIGHT(Q542,255),RIGHT('Disaggregation Records'!$D$69:$D$152,255),0))),"")</f>
        <v/>
      </c>
      <c r="T542" s="89" t="str">
        <f t="array" aca="1" ref="T542" ca="1">IFERROR(IF(INDEX('Disaggregation Records'!$H$69:$H$152,MATCH(RIGHT(Q542,255),RIGHT('Disaggregation Records'!$D$69:$D$152,255),0))="","",INDEX('Disaggregation Records'!$H$69:$H$152,MATCH(RIGHT(Q542,255),RIGHT('Disaggregation Records'!$D$69:$D$152,255),0))),"")</f>
        <v/>
      </c>
      <c r="U542" s="89">
        <f>U540+1</f>
        <v>1000</v>
      </c>
      <c r="V542" s="89" t="str">
        <f t="array" aca="1" ref="V542" ca="1">IFERROR(IF(INDEX('Disaggregation Records'!$I$69:$I$152,MATCH(RIGHT(Q542,255),RIGHT('Disaggregation Records'!$D$69:$D$152,255),0))="","",INDEX('Disaggregation Records'!$I$69:$I$152,MATCH(RIGHT(Q542,255),RIGHT('Disaggregation Records'!$D$69:$D$152,255),0))),"")</f>
        <v/>
      </c>
      <c r="W542" s="89" t="str">
        <f ca="1">IFERROR(INDEX('Reference Records'!P$23:P$74,MATCH(LEFT(C542,255),'Reference Records'!J$23:J$74,0)),"")</f>
        <v/>
      </c>
    </row>
    <row r="543" spans="1:23" s="89" customFormat="1" ht="40.35" customHeight="1">
      <c r="A543" s="564"/>
      <c r="B543" s="799"/>
      <c r="C543" s="800"/>
      <c r="D543" s="801"/>
      <c r="E543" s="801"/>
      <c r="F543" s="128"/>
      <c r="G543" s="802"/>
      <c r="H543" s="781"/>
      <c r="I543" s="803"/>
      <c r="J543" s="779"/>
      <c r="K543" s="800"/>
      <c r="L543" s="800"/>
      <c r="M543" s="779"/>
      <c r="N543" s="779"/>
      <c r="V543" s="89" t="str">
        <f t="array" ref="V543">IFERROR(IF(INDEX('Disaggregation Records'!$I$69:$I$152,MATCH(RIGHT(Q543,255),RIGHT('Disaggregation Records'!$D$69:$D$152,255),0))="","",INDEX('Disaggregation Records'!$I$69:$I$152,MATCH(RIGHT(Q543,255),RIGHT('Disaggregation Records'!$D$69:$D$152,255),0))),"")</f>
        <v/>
      </c>
    </row>
    <row r="544" spans="1:23" s="89" customFormat="1" ht="40.35" customHeight="1">
      <c r="A544" s="564" t="str">
        <f ca="1">INDIRECT("'update Helper'!C"&amp;U544)</f>
        <v>a1V3p000006h2xaEAA</v>
      </c>
      <c r="B544" s="794">
        <v>12</v>
      </c>
      <c r="C544" s="795" t="str">
        <f ca="1">IFERROR(VLOOKUP(B544,'Outcome Indicators - Section C '!$A$9:$AF$70,32,FALSE),"")</f>
        <v/>
      </c>
      <c r="D544" s="796" t="str">
        <f ca="1">R544</f>
        <v/>
      </c>
      <c r="E544" s="796" t="str">
        <f ca="1">S544</f>
        <v/>
      </c>
      <c r="F544" s="127"/>
      <c r="G544" s="797" t="str">
        <f ca="1">IF(OR(INDIRECT("'update Helper'!E"&amp;U544)="",F544&lt;&gt;0,F545&lt;&gt;0),IF(IFERROR((F544/F545),"")="","",(F544/F545)),INDIRECT("'update Helper'!E"&amp;U544)/100)</f>
        <v/>
      </c>
      <c r="H544" s="784"/>
      <c r="I544" s="798"/>
      <c r="J544" s="777"/>
      <c r="K544" s="795" t="str">
        <f ca="1">W544</f>
        <v/>
      </c>
      <c r="L544" s="795" t="str">
        <f ca="1">V544</f>
        <v/>
      </c>
      <c r="M544" s="777"/>
      <c r="N544" s="777"/>
      <c r="P544" s="89">
        <f ca="1">IF(AND(EXACT(C544,C542),C542&lt;&gt;0),P542+1,0)</f>
        <v>44</v>
      </c>
      <c r="Q544" s="89" t="str">
        <f ca="1">IF(C544&lt;&gt;"",C544&amp;"-"&amp;P544,"")</f>
        <v/>
      </c>
      <c r="R544" s="89" t="str">
        <f t="array" aca="1" ref="R544" ca="1">IFERROR(IF(INDEX('Disaggregation Records'!$E$69:$E$152,MATCH(RIGHT(Q544,255),RIGHT('Disaggregation Records'!$D$69:$D$152,255),0))="","",INDEX('Disaggregation Records'!$E$69:$E$152,MATCH(RIGHT(Q544,255),RIGHT('Disaggregation Records'!$D$69:$D$152,255),0))),"")</f>
        <v/>
      </c>
      <c r="S544" s="89" t="str">
        <f t="array" aca="1" ref="S544" ca="1">IFERROR(IF(INDEX('Disaggregation Records'!$F$69:$F$152,MATCH(RIGHT(Q544,255),RIGHT('Disaggregation Records'!$D$69:$D$152,255),0))="","",INDEX('Disaggregation Records'!$F$69:$F$152,MATCH(RIGHT(Q544,255),RIGHT('Disaggregation Records'!$D$69:$D$152,255),0))),"")</f>
        <v/>
      </c>
      <c r="T544" s="89" t="str">
        <f t="array" aca="1" ref="T544" ca="1">IFERROR(IF(INDEX('Disaggregation Records'!$H$69:$H$152,MATCH(RIGHT(Q544,255),RIGHT('Disaggregation Records'!$D$69:$D$152,255),0))="","",INDEX('Disaggregation Records'!$H$69:$H$152,MATCH(RIGHT(Q544,255),RIGHT('Disaggregation Records'!$D$69:$D$152,255),0))),"")</f>
        <v/>
      </c>
      <c r="U544" s="89">
        <f>U542+1</f>
        <v>1001</v>
      </c>
      <c r="V544" s="89" t="str">
        <f t="array" aca="1" ref="V544" ca="1">IFERROR(IF(INDEX('Disaggregation Records'!$I$69:$I$152,MATCH(RIGHT(Q544,255),RIGHT('Disaggregation Records'!$D$69:$D$152,255),0))="","",INDEX('Disaggregation Records'!$I$69:$I$152,MATCH(RIGHT(Q544,255),RIGHT('Disaggregation Records'!$D$69:$D$152,255),0))),"")</f>
        <v/>
      </c>
      <c r="W544" s="89" t="str">
        <f ca="1">IFERROR(INDEX('Reference Records'!P$23:P$74,MATCH(LEFT(C544,255),'Reference Records'!J$23:J$74,0)),"")</f>
        <v/>
      </c>
    </row>
    <row r="545" spans="1:23" s="89" customFormat="1" ht="40.35" customHeight="1">
      <c r="A545" s="564"/>
      <c r="B545" s="799"/>
      <c r="C545" s="800"/>
      <c r="D545" s="801"/>
      <c r="E545" s="801"/>
      <c r="F545" s="128"/>
      <c r="G545" s="802"/>
      <c r="H545" s="781"/>
      <c r="I545" s="803"/>
      <c r="J545" s="779"/>
      <c r="K545" s="800"/>
      <c r="L545" s="800"/>
      <c r="M545" s="779"/>
      <c r="N545" s="779"/>
      <c r="V545" s="89" t="str">
        <f t="array" ref="V545">IFERROR(IF(INDEX('Disaggregation Records'!$I$69:$I$152,MATCH(RIGHT(Q545,255),RIGHT('Disaggregation Records'!$D$69:$D$152,255),0))="","",INDEX('Disaggregation Records'!$I$69:$I$152,MATCH(RIGHT(Q545,255),RIGHT('Disaggregation Records'!$D$69:$D$152,255),0))),"")</f>
        <v/>
      </c>
    </row>
    <row r="546" spans="1:23" s="89" customFormat="1" ht="40.35" customHeight="1">
      <c r="A546" s="564" t="str">
        <f ca="1">INDIRECT("'update Helper'!C"&amp;U546)</f>
        <v>a1V3p000006h2xbEAA</v>
      </c>
      <c r="B546" s="794">
        <v>12</v>
      </c>
      <c r="C546" s="795" t="str">
        <f ca="1">IFERROR(VLOOKUP(B546,'Outcome Indicators - Section C '!$A$9:$AF$70,32,FALSE),"")</f>
        <v/>
      </c>
      <c r="D546" s="796" t="str">
        <f ca="1">R546</f>
        <v/>
      </c>
      <c r="E546" s="796" t="str">
        <f ca="1">S546</f>
        <v/>
      </c>
      <c r="F546" s="127"/>
      <c r="G546" s="797" t="str">
        <f ca="1">IF(OR(INDIRECT("'update Helper'!E"&amp;U546)="",F546&lt;&gt;0,F547&lt;&gt;0),IF(IFERROR((F546/F547),"")="","",(F546/F547)),INDIRECT("'update Helper'!E"&amp;U546)/100)</f>
        <v/>
      </c>
      <c r="H546" s="784"/>
      <c r="I546" s="798"/>
      <c r="J546" s="777"/>
      <c r="K546" s="795" t="str">
        <f ca="1">W546</f>
        <v/>
      </c>
      <c r="L546" s="795" t="str">
        <f ca="1">V546</f>
        <v/>
      </c>
      <c r="M546" s="777"/>
      <c r="N546" s="777"/>
      <c r="P546" s="89">
        <f ca="1">IF(AND(EXACT(C546,C544),C544&lt;&gt;0),P544+1,0)</f>
        <v>45</v>
      </c>
      <c r="Q546" s="89" t="str">
        <f ca="1">IF(C546&lt;&gt;"",C546&amp;"-"&amp;P546,"")</f>
        <v/>
      </c>
      <c r="R546" s="89" t="str">
        <f t="array" aca="1" ref="R546" ca="1">IFERROR(IF(INDEX('Disaggregation Records'!$E$69:$E$152,MATCH(RIGHT(Q546,255),RIGHT('Disaggregation Records'!$D$69:$D$152,255),0))="","",INDEX('Disaggregation Records'!$E$69:$E$152,MATCH(RIGHT(Q546,255),RIGHT('Disaggregation Records'!$D$69:$D$152,255),0))),"")</f>
        <v/>
      </c>
      <c r="S546" s="89" t="str">
        <f t="array" aca="1" ref="S546" ca="1">IFERROR(IF(INDEX('Disaggregation Records'!$F$69:$F$152,MATCH(RIGHT(Q546,255),RIGHT('Disaggregation Records'!$D$69:$D$152,255),0))="","",INDEX('Disaggregation Records'!$F$69:$F$152,MATCH(RIGHT(Q546,255),RIGHT('Disaggregation Records'!$D$69:$D$152,255),0))),"")</f>
        <v/>
      </c>
      <c r="T546" s="89" t="str">
        <f t="array" aca="1" ref="T546" ca="1">IFERROR(IF(INDEX('Disaggregation Records'!$H$69:$H$152,MATCH(RIGHT(Q546,255),RIGHT('Disaggregation Records'!$D$69:$D$152,255),0))="","",INDEX('Disaggregation Records'!$H$69:$H$152,MATCH(RIGHT(Q546,255),RIGHT('Disaggregation Records'!$D$69:$D$152,255),0))),"")</f>
        <v/>
      </c>
      <c r="U546" s="89">
        <f>U544+1</f>
        <v>1002</v>
      </c>
      <c r="V546" s="89" t="str">
        <f t="array" aca="1" ref="V546" ca="1">IFERROR(IF(INDEX('Disaggregation Records'!$I$69:$I$152,MATCH(RIGHT(Q546,255),RIGHT('Disaggregation Records'!$D$69:$D$152,255),0))="","",INDEX('Disaggregation Records'!$I$69:$I$152,MATCH(RIGHT(Q546,255),RIGHT('Disaggregation Records'!$D$69:$D$152,255),0))),"")</f>
        <v/>
      </c>
      <c r="W546" s="89" t="str">
        <f ca="1">IFERROR(INDEX('Reference Records'!P$23:P$74,MATCH(LEFT(C546,255),'Reference Records'!J$23:J$74,0)),"")</f>
        <v/>
      </c>
    </row>
    <row r="547" spans="1:23" s="89" customFormat="1" ht="40.35" customHeight="1">
      <c r="A547" s="564"/>
      <c r="B547" s="799"/>
      <c r="C547" s="800"/>
      <c r="D547" s="801"/>
      <c r="E547" s="801"/>
      <c r="F547" s="128"/>
      <c r="G547" s="802"/>
      <c r="H547" s="781"/>
      <c r="I547" s="803"/>
      <c r="J547" s="779"/>
      <c r="K547" s="800"/>
      <c r="L547" s="800"/>
      <c r="M547" s="779"/>
      <c r="N547" s="779"/>
      <c r="V547" s="89" t="str">
        <f t="array" ref="V547">IFERROR(IF(INDEX('Disaggregation Records'!$I$69:$I$152,MATCH(RIGHT(Q547,255),RIGHT('Disaggregation Records'!$D$69:$D$152,255),0))="","",INDEX('Disaggregation Records'!$I$69:$I$152,MATCH(RIGHT(Q547,255),RIGHT('Disaggregation Records'!$D$69:$D$152,255),0))),"")</f>
        <v/>
      </c>
    </row>
    <row r="548" spans="1:23" s="89" customFormat="1" ht="40.35" customHeight="1">
      <c r="A548" s="564" t="str">
        <f ca="1">INDIRECT("'update Helper'!C"&amp;U548)</f>
        <v>a1V3p000006h2xcEAA</v>
      </c>
      <c r="B548" s="794">
        <v>12</v>
      </c>
      <c r="C548" s="795" t="str">
        <f ca="1">IFERROR(VLOOKUP(B548,'Outcome Indicators - Section C '!$A$9:$AF$70,32,FALSE),"")</f>
        <v/>
      </c>
      <c r="D548" s="796" t="str">
        <f ca="1">R548</f>
        <v/>
      </c>
      <c r="E548" s="796" t="str">
        <f ca="1">S548</f>
        <v/>
      </c>
      <c r="F548" s="127"/>
      <c r="G548" s="797" t="str">
        <f ca="1">IF(OR(INDIRECT("'update Helper'!E"&amp;U548)="",F548&lt;&gt;0,F549&lt;&gt;0),IF(IFERROR((F548/F549),"")="","",(F548/F549)),INDIRECT("'update Helper'!E"&amp;U548)/100)</f>
        <v/>
      </c>
      <c r="H548" s="784"/>
      <c r="I548" s="798"/>
      <c r="J548" s="777"/>
      <c r="K548" s="795" t="str">
        <f ca="1">W548</f>
        <v/>
      </c>
      <c r="L548" s="795" t="str">
        <f ca="1">V548</f>
        <v/>
      </c>
      <c r="M548" s="777"/>
      <c r="N548" s="777"/>
      <c r="P548" s="89">
        <f ca="1">IF(AND(EXACT(C548,C546),C546&lt;&gt;0),P546+1,0)</f>
        <v>46</v>
      </c>
      <c r="Q548" s="89" t="str">
        <f ca="1">IF(C548&lt;&gt;"",C548&amp;"-"&amp;P548,"")</f>
        <v/>
      </c>
      <c r="R548" s="89" t="str">
        <f t="array" aca="1" ref="R548" ca="1">IFERROR(IF(INDEX('Disaggregation Records'!$E$69:$E$152,MATCH(RIGHT(Q548,255),RIGHT('Disaggregation Records'!$D$69:$D$152,255),0))="","",INDEX('Disaggregation Records'!$E$69:$E$152,MATCH(RIGHT(Q548,255),RIGHT('Disaggregation Records'!$D$69:$D$152,255),0))),"")</f>
        <v/>
      </c>
      <c r="S548" s="89" t="str">
        <f t="array" aca="1" ref="S548" ca="1">IFERROR(IF(INDEX('Disaggregation Records'!$F$69:$F$152,MATCH(RIGHT(Q548,255),RIGHT('Disaggregation Records'!$D$69:$D$152,255),0))="","",INDEX('Disaggregation Records'!$F$69:$F$152,MATCH(RIGHT(Q548,255),RIGHT('Disaggregation Records'!$D$69:$D$152,255),0))),"")</f>
        <v/>
      </c>
      <c r="T548" s="89" t="str">
        <f t="array" aca="1" ref="T548" ca="1">IFERROR(IF(INDEX('Disaggregation Records'!$H$69:$H$152,MATCH(RIGHT(Q548,255),RIGHT('Disaggregation Records'!$D$69:$D$152,255),0))="","",INDEX('Disaggregation Records'!$H$69:$H$152,MATCH(RIGHT(Q548,255),RIGHT('Disaggregation Records'!$D$69:$D$152,255),0))),"")</f>
        <v/>
      </c>
      <c r="U548" s="89">
        <f>U546+1</f>
        <v>1003</v>
      </c>
      <c r="V548" s="89" t="str">
        <f t="array" aca="1" ref="V548" ca="1">IFERROR(IF(INDEX('Disaggregation Records'!$I$69:$I$152,MATCH(RIGHT(Q548,255),RIGHT('Disaggregation Records'!$D$69:$D$152,255),0))="","",INDEX('Disaggregation Records'!$I$69:$I$152,MATCH(RIGHT(Q548,255),RIGHT('Disaggregation Records'!$D$69:$D$152,255),0))),"")</f>
        <v/>
      </c>
      <c r="W548" s="89" t="str">
        <f ca="1">IFERROR(INDEX('Reference Records'!P$23:P$74,MATCH(LEFT(C548,255),'Reference Records'!J$23:J$74,0)),"")</f>
        <v/>
      </c>
    </row>
    <row r="549" spans="1:23" s="89" customFormat="1" ht="40.35" customHeight="1">
      <c r="A549" s="564"/>
      <c r="B549" s="799"/>
      <c r="C549" s="800"/>
      <c r="D549" s="801"/>
      <c r="E549" s="801"/>
      <c r="F549" s="128"/>
      <c r="G549" s="802"/>
      <c r="H549" s="781"/>
      <c r="I549" s="803"/>
      <c r="J549" s="779"/>
      <c r="K549" s="800"/>
      <c r="L549" s="800"/>
      <c r="M549" s="779"/>
      <c r="N549" s="779"/>
      <c r="V549" s="89" t="str">
        <f t="array" ref="V549">IFERROR(IF(INDEX('Disaggregation Records'!$I$69:$I$152,MATCH(RIGHT(Q549,255),RIGHT('Disaggregation Records'!$D$69:$D$152,255),0))="","",INDEX('Disaggregation Records'!$I$69:$I$152,MATCH(RIGHT(Q549,255),RIGHT('Disaggregation Records'!$D$69:$D$152,255),0))),"")</f>
        <v/>
      </c>
    </row>
    <row r="550" spans="1:23" s="89" customFormat="1" ht="40.35" customHeight="1">
      <c r="A550" s="564" t="str">
        <f ca="1">INDIRECT("'update Helper'!C"&amp;U550)</f>
        <v>a1V3p000006h2xdEAA</v>
      </c>
      <c r="B550" s="794">
        <v>12</v>
      </c>
      <c r="C550" s="795" t="str">
        <f ca="1">IFERROR(VLOOKUP(B550,'Outcome Indicators - Section C '!$A$9:$AF$70,32,FALSE),"")</f>
        <v/>
      </c>
      <c r="D550" s="796" t="str">
        <f ca="1">R550</f>
        <v/>
      </c>
      <c r="E550" s="796" t="str">
        <f ca="1">S550</f>
        <v/>
      </c>
      <c r="F550" s="127"/>
      <c r="G550" s="797" t="str">
        <f ca="1">IF(OR(INDIRECT("'update Helper'!E"&amp;U550)="",F550&lt;&gt;0,F551&lt;&gt;0),IF(IFERROR((F550/F551),"")="","",(F550/F551)),INDIRECT("'update Helper'!E"&amp;U550)/100)</f>
        <v/>
      </c>
      <c r="H550" s="784"/>
      <c r="I550" s="798"/>
      <c r="J550" s="777"/>
      <c r="K550" s="795" t="str">
        <f ca="1">W550</f>
        <v/>
      </c>
      <c r="L550" s="795" t="str">
        <f ca="1">V550</f>
        <v/>
      </c>
      <c r="M550" s="777"/>
      <c r="N550" s="777"/>
      <c r="P550" s="89">
        <f ca="1">IF(AND(EXACT(C550,C548),C548&lt;&gt;0),P548+1,0)</f>
        <v>47</v>
      </c>
      <c r="Q550" s="89" t="str">
        <f ca="1">IF(C550&lt;&gt;"",C550&amp;"-"&amp;P550,"")</f>
        <v/>
      </c>
      <c r="R550" s="89" t="str">
        <f t="array" aca="1" ref="R550" ca="1">IFERROR(IF(INDEX('Disaggregation Records'!$E$69:$E$152,MATCH(RIGHT(Q550,255),RIGHT('Disaggregation Records'!$D$69:$D$152,255),0))="","",INDEX('Disaggregation Records'!$E$69:$E$152,MATCH(RIGHT(Q550,255),RIGHT('Disaggregation Records'!$D$69:$D$152,255),0))),"")</f>
        <v/>
      </c>
      <c r="S550" s="89" t="str">
        <f t="array" aca="1" ref="S550" ca="1">IFERROR(IF(INDEX('Disaggregation Records'!$F$69:$F$152,MATCH(RIGHT(Q550,255),RIGHT('Disaggregation Records'!$D$69:$D$152,255),0))="","",INDEX('Disaggregation Records'!$F$69:$F$152,MATCH(RIGHT(Q550,255),RIGHT('Disaggregation Records'!$D$69:$D$152,255),0))),"")</f>
        <v/>
      </c>
      <c r="T550" s="89" t="str">
        <f t="array" aca="1" ref="T550" ca="1">IFERROR(IF(INDEX('Disaggregation Records'!$H$69:$H$152,MATCH(RIGHT(Q550,255),RIGHT('Disaggregation Records'!$D$69:$D$152,255),0))="","",INDEX('Disaggregation Records'!$H$69:$H$152,MATCH(RIGHT(Q550,255),RIGHT('Disaggregation Records'!$D$69:$D$152,255),0))),"")</f>
        <v/>
      </c>
      <c r="U550" s="89">
        <f>U548+1</f>
        <v>1004</v>
      </c>
      <c r="V550" s="89" t="str">
        <f t="array" aca="1" ref="V550" ca="1">IFERROR(IF(INDEX('Disaggregation Records'!$I$69:$I$152,MATCH(RIGHT(Q550,255),RIGHT('Disaggregation Records'!$D$69:$D$152,255),0))="","",INDEX('Disaggregation Records'!$I$69:$I$152,MATCH(RIGHT(Q550,255),RIGHT('Disaggregation Records'!$D$69:$D$152,255),0))),"")</f>
        <v/>
      </c>
      <c r="W550" s="89" t="str">
        <f ca="1">IFERROR(INDEX('Reference Records'!P$23:P$74,MATCH(LEFT(C550,255),'Reference Records'!J$23:J$74,0)),"")</f>
        <v/>
      </c>
    </row>
    <row r="551" spans="1:23" s="89" customFormat="1" ht="40.35" customHeight="1">
      <c r="A551" s="564"/>
      <c r="B551" s="799"/>
      <c r="C551" s="800"/>
      <c r="D551" s="801"/>
      <c r="E551" s="801"/>
      <c r="F551" s="128"/>
      <c r="G551" s="802"/>
      <c r="H551" s="781"/>
      <c r="I551" s="803"/>
      <c r="J551" s="779"/>
      <c r="K551" s="800"/>
      <c r="L551" s="800"/>
      <c r="M551" s="779"/>
      <c r="N551" s="779"/>
      <c r="V551" s="89" t="str">
        <f t="array" ref="V551">IFERROR(IF(INDEX('Disaggregation Records'!$I$69:$I$152,MATCH(RIGHT(Q551,255),RIGHT('Disaggregation Records'!$D$69:$D$152,255),0))="","",INDEX('Disaggregation Records'!$I$69:$I$152,MATCH(RIGHT(Q551,255),RIGHT('Disaggregation Records'!$D$69:$D$152,255),0))),"")</f>
        <v/>
      </c>
    </row>
    <row r="552" spans="1:23" s="89" customFormat="1" ht="40.35" customHeight="1">
      <c r="A552" s="564" t="str">
        <f ca="1">INDIRECT("'update Helper'!C"&amp;U552)</f>
        <v>a1V3p000006h2xeEAA</v>
      </c>
      <c r="B552" s="794">
        <v>12</v>
      </c>
      <c r="C552" s="795" t="str">
        <f ca="1">IFERROR(VLOOKUP(B552,'Outcome Indicators - Section C '!$A$9:$AF$70,32,FALSE),"")</f>
        <v/>
      </c>
      <c r="D552" s="796" t="str">
        <f ca="1">R552</f>
        <v/>
      </c>
      <c r="E552" s="796" t="str">
        <f ca="1">S552</f>
        <v/>
      </c>
      <c r="F552" s="127"/>
      <c r="G552" s="797" t="str">
        <f ca="1">IF(OR(INDIRECT("'update Helper'!E"&amp;U552)="",F552&lt;&gt;0,F553&lt;&gt;0),IF(IFERROR((F552/F553),"")="","",(F552/F553)),INDIRECT("'update Helper'!E"&amp;U552)/100)</f>
        <v/>
      </c>
      <c r="H552" s="784"/>
      <c r="I552" s="798"/>
      <c r="J552" s="777"/>
      <c r="K552" s="795" t="str">
        <f ca="1">W552</f>
        <v/>
      </c>
      <c r="L552" s="795" t="str">
        <f ca="1">V552</f>
        <v/>
      </c>
      <c r="M552" s="777"/>
      <c r="N552" s="777"/>
      <c r="P552" s="89">
        <f ca="1">IF(AND(EXACT(C552,C550),C550&lt;&gt;0),P550+1,0)</f>
        <v>48</v>
      </c>
      <c r="Q552" s="89" t="str">
        <f ca="1">IF(C552&lt;&gt;"",C552&amp;"-"&amp;P552,"")</f>
        <v/>
      </c>
      <c r="R552" s="89" t="str">
        <f t="array" aca="1" ref="R552" ca="1">IFERROR(IF(INDEX('Disaggregation Records'!$E$69:$E$152,MATCH(RIGHT(Q552,255),RIGHT('Disaggregation Records'!$D$69:$D$152,255),0))="","",INDEX('Disaggregation Records'!$E$69:$E$152,MATCH(RIGHT(Q552,255),RIGHT('Disaggregation Records'!$D$69:$D$152,255),0))),"")</f>
        <v/>
      </c>
      <c r="S552" s="89" t="str">
        <f t="array" aca="1" ref="S552" ca="1">IFERROR(IF(INDEX('Disaggregation Records'!$F$69:$F$152,MATCH(RIGHT(Q552,255),RIGHT('Disaggregation Records'!$D$69:$D$152,255),0))="","",INDEX('Disaggregation Records'!$F$69:$F$152,MATCH(RIGHT(Q552,255),RIGHT('Disaggregation Records'!$D$69:$D$152,255),0))),"")</f>
        <v/>
      </c>
      <c r="T552" s="89" t="str">
        <f t="array" aca="1" ref="T552" ca="1">IFERROR(IF(INDEX('Disaggregation Records'!$H$69:$H$152,MATCH(RIGHT(Q552,255),RIGHT('Disaggregation Records'!$D$69:$D$152,255),0))="","",INDEX('Disaggregation Records'!$H$69:$H$152,MATCH(RIGHT(Q552,255),RIGHT('Disaggregation Records'!$D$69:$D$152,255),0))),"")</f>
        <v/>
      </c>
      <c r="U552" s="89">
        <f>U550+1</f>
        <v>1005</v>
      </c>
      <c r="V552" s="89" t="str">
        <f t="array" aca="1" ref="V552" ca="1">IFERROR(IF(INDEX('Disaggregation Records'!$I$69:$I$152,MATCH(RIGHT(Q552,255),RIGHT('Disaggregation Records'!$D$69:$D$152,255),0))="","",INDEX('Disaggregation Records'!$I$69:$I$152,MATCH(RIGHT(Q552,255),RIGHT('Disaggregation Records'!$D$69:$D$152,255),0))),"")</f>
        <v/>
      </c>
      <c r="W552" s="89" t="str">
        <f ca="1">IFERROR(INDEX('Reference Records'!P$23:P$74,MATCH(LEFT(C552,255),'Reference Records'!J$23:J$74,0)),"")</f>
        <v/>
      </c>
    </row>
    <row r="553" spans="1:23" s="89" customFormat="1" ht="40.35" customHeight="1">
      <c r="A553" s="564"/>
      <c r="B553" s="799"/>
      <c r="C553" s="800"/>
      <c r="D553" s="801"/>
      <c r="E553" s="801"/>
      <c r="F553" s="128"/>
      <c r="G553" s="802"/>
      <c r="H553" s="781"/>
      <c r="I553" s="803"/>
      <c r="J553" s="779"/>
      <c r="K553" s="800"/>
      <c r="L553" s="800"/>
      <c r="M553" s="779"/>
      <c r="N553" s="779"/>
      <c r="V553" s="89" t="str">
        <f t="array" ref="V553">IFERROR(IF(INDEX('Disaggregation Records'!$I$69:$I$152,MATCH(RIGHT(Q553,255),RIGHT('Disaggregation Records'!$D$69:$D$152,255),0))="","",INDEX('Disaggregation Records'!$I$69:$I$152,MATCH(RIGHT(Q553,255),RIGHT('Disaggregation Records'!$D$69:$D$152,255),0))),"")</f>
        <v/>
      </c>
    </row>
    <row r="554" spans="1:23" s="89" customFormat="1" ht="40.35" customHeight="1">
      <c r="A554" s="564" t="str">
        <f ca="1">INDIRECT("'update Helper'!C"&amp;U554)</f>
        <v>a1V3p000006h2xfEAA</v>
      </c>
      <c r="B554" s="794">
        <v>12</v>
      </c>
      <c r="C554" s="795" t="str">
        <f ca="1">IFERROR(VLOOKUP(B554,'Outcome Indicators - Section C '!$A$9:$AF$70,32,FALSE),"")</f>
        <v/>
      </c>
      <c r="D554" s="796" t="str">
        <f ca="1">R554</f>
        <v/>
      </c>
      <c r="E554" s="796" t="str">
        <f ca="1">S554</f>
        <v/>
      </c>
      <c r="F554" s="127"/>
      <c r="G554" s="797" t="str">
        <f ca="1">IF(OR(INDIRECT("'update Helper'!E"&amp;U554)="",F554&lt;&gt;0,F555&lt;&gt;0),IF(IFERROR((F554/F555),"")="","",(F554/F555)),INDIRECT("'update Helper'!E"&amp;U554)/100)</f>
        <v/>
      </c>
      <c r="H554" s="784"/>
      <c r="I554" s="798"/>
      <c r="J554" s="777"/>
      <c r="K554" s="795" t="str">
        <f ca="1">W554</f>
        <v/>
      </c>
      <c r="L554" s="795" t="str">
        <f ca="1">V554</f>
        <v/>
      </c>
      <c r="M554" s="777"/>
      <c r="N554" s="777"/>
      <c r="P554" s="89">
        <f ca="1">IF(AND(EXACT(C554,C552),C552&lt;&gt;0),P552+1,0)</f>
        <v>49</v>
      </c>
      <c r="Q554" s="89" t="str">
        <f ca="1">IF(C554&lt;&gt;"",C554&amp;"-"&amp;P554,"")</f>
        <v/>
      </c>
      <c r="R554" s="89" t="str">
        <f t="array" aca="1" ref="R554" ca="1">IFERROR(IF(INDEX('Disaggregation Records'!$E$69:$E$152,MATCH(RIGHT(Q554,255),RIGHT('Disaggregation Records'!$D$69:$D$152,255),0))="","",INDEX('Disaggregation Records'!$E$69:$E$152,MATCH(RIGHT(Q554,255),RIGHT('Disaggregation Records'!$D$69:$D$152,255),0))),"")</f>
        <v/>
      </c>
      <c r="S554" s="89" t="str">
        <f t="array" aca="1" ref="S554" ca="1">IFERROR(IF(INDEX('Disaggregation Records'!$F$69:$F$152,MATCH(RIGHT(Q554,255),RIGHT('Disaggregation Records'!$D$69:$D$152,255),0))="","",INDEX('Disaggregation Records'!$F$69:$F$152,MATCH(RIGHT(Q554,255),RIGHT('Disaggregation Records'!$D$69:$D$152,255),0))),"")</f>
        <v/>
      </c>
      <c r="T554" s="89" t="str">
        <f t="array" aca="1" ref="T554" ca="1">IFERROR(IF(INDEX('Disaggregation Records'!$H$69:$H$152,MATCH(RIGHT(Q554,255),RIGHT('Disaggregation Records'!$D$69:$D$152,255),0))="","",INDEX('Disaggregation Records'!$H$69:$H$152,MATCH(RIGHT(Q554,255),RIGHT('Disaggregation Records'!$D$69:$D$152,255),0))),"")</f>
        <v/>
      </c>
      <c r="U554" s="89">
        <f>U552+1</f>
        <v>1006</v>
      </c>
      <c r="V554" s="89" t="str">
        <f t="array" aca="1" ref="V554" ca="1">IFERROR(IF(INDEX('Disaggregation Records'!$I$69:$I$152,MATCH(RIGHT(Q554,255),RIGHT('Disaggregation Records'!$D$69:$D$152,255),0))="","",INDEX('Disaggregation Records'!$I$69:$I$152,MATCH(RIGHT(Q554,255),RIGHT('Disaggregation Records'!$D$69:$D$152,255),0))),"")</f>
        <v/>
      </c>
      <c r="W554" s="89" t="str">
        <f ca="1">IFERROR(INDEX('Reference Records'!P$23:P$74,MATCH(LEFT(C554,255),'Reference Records'!J$23:J$74,0)),"")</f>
        <v/>
      </c>
    </row>
    <row r="555" spans="1:23" s="89" customFormat="1" ht="40.35" customHeight="1">
      <c r="A555" s="564"/>
      <c r="B555" s="799"/>
      <c r="C555" s="800"/>
      <c r="D555" s="801"/>
      <c r="E555" s="801"/>
      <c r="F555" s="128"/>
      <c r="G555" s="802"/>
      <c r="H555" s="781"/>
      <c r="I555" s="803"/>
      <c r="J555" s="779"/>
      <c r="K555" s="800"/>
      <c r="L555" s="800"/>
      <c r="M555" s="779"/>
      <c r="N555" s="779"/>
      <c r="V555" s="89" t="str">
        <f t="array" ref="V555">IFERROR(IF(INDEX('Disaggregation Records'!$I$69:$I$152,MATCH(RIGHT(Q555,255),RIGHT('Disaggregation Records'!$D$69:$D$152,255),0))="","",INDEX('Disaggregation Records'!$I$69:$I$152,MATCH(RIGHT(Q555,255),RIGHT('Disaggregation Records'!$D$69:$D$152,255),0))),"")</f>
        <v/>
      </c>
    </row>
    <row r="556" spans="1:23" s="89" customFormat="1" ht="40.35" customHeight="1">
      <c r="A556" s="564" t="str">
        <f ca="1">INDIRECT("'update Helper'!C"&amp;U556)</f>
        <v>a1V3p000006h2xgEAA</v>
      </c>
      <c r="B556" s="794">
        <v>13</v>
      </c>
      <c r="C556" s="795" t="str">
        <f ca="1">IFERROR(VLOOKUP(B556,'Outcome Indicators - Section C '!$A$9:$AF$70,32,FALSE),"")</f>
        <v/>
      </c>
      <c r="D556" s="796" t="str">
        <f ca="1">R556</f>
        <v/>
      </c>
      <c r="E556" s="796" t="str">
        <f ca="1">S556</f>
        <v/>
      </c>
      <c r="F556" s="127"/>
      <c r="G556" s="797" t="str">
        <f ca="1">IF(OR(INDIRECT("'update Helper'!E"&amp;U556)="",F556&lt;&gt;0,F557&lt;&gt;0),IF(IFERROR((F556/F557),"")="","",(F556/F557)),INDIRECT("'update Helper'!E"&amp;U556)/100)</f>
        <v/>
      </c>
      <c r="H556" s="784"/>
      <c r="I556" s="798"/>
      <c r="J556" s="777"/>
      <c r="K556" s="795" t="str">
        <f ca="1">W556</f>
        <v/>
      </c>
      <c r="L556" s="795" t="str">
        <f ca="1">V556</f>
        <v/>
      </c>
      <c r="M556" s="777"/>
      <c r="N556" s="777"/>
      <c r="P556" s="89">
        <f ca="1">IF(AND(EXACT(C556,C554),C554&lt;&gt;0),P554+1,0)</f>
        <v>50</v>
      </c>
      <c r="Q556" s="89" t="str">
        <f ca="1">IF(C556&lt;&gt;"",C556&amp;"-"&amp;P556,"")</f>
        <v/>
      </c>
      <c r="R556" s="89" t="str">
        <f t="array" aca="1" ref="R556" ca="1">IFERROR(IF(INDEX('Disaggregation Records'!$E$69:$E$152,MATCH(RIGHT(Q556,255),RIGHT('Disaggregation Records'!$D$69:$D$152,255),0))="","",INDEX('Disaggregation Records'!$E$69:$E$152,MATCH(RIGHT(Q556,255),RIGHT('Disaggregation Records'!$D$69:$D$152,255),0))),"")</f>
        <v/>
      </c>
      <c r="S556" s="89" t="str">
        <f t="array" aca="1" ref="S556" ca="1">IFERROR(IF(INDEX('Disaggregation Records'!$F$69:$F$152,MATCH(RIGHT(Q556,255),RIGHT('Disaggregation Records'!$D$69:$D$152,255),0))="","",INDEX('Disaggregation Records'!$F$69:$F$152,MATCH(RIGHT(Q556,255),RIGHT('Disaggregation Records'!$D$69:$D$152,255),0))),"")</f>
        <v/>
      </c>
      <c r="T556" s="89" t="str">
        <f t="array" aca="1" ref="T556" ca="1">IFERROR(IF(INDEX('Disaggregation Records'!$H$69:$H$152,MATCH(RIGHT(Q556,255),RIGHT('Disaggregation Records'!$D$69:$D$152,255),0))="","",INDEX('Disaggregation Records'!$H$69:$H$152,MATCH(RIGHT(Q556,255),RIGHT('Disaggregation Records'!$D$69:$D$152,255),0))),"")</f>
        <v/>
      </c>
      <c r="U556" s="89">
        <f>U554+1</f>
        <v>1007</v>
      </c>
      <c r="V556" s="89" t="str">
        <f t="array" aca="1" ref="V556" ca="1">IFERROR(IF(INDEX('Disaggregation Records'!$I$69:$I$152,MATCH(RIGHT(Q556,255),RIGHT('Disaggregation Records'!$D$69:$D$152,255),0))="","",INDEX('Disaggregation Records'!$I$69:$I$152,MATCH(RIGHT(Q556,255),RIGHT('Disaggregation Records'!$D$69:$D$152,255),0))),"")</f>
        <v/>
      </c>
      <c r="W556" s="89" t="str">
        <f ca="1">IFERROR(INDEX('Reference Records'!P$23:P$74,MATCH(LEFT(C556,255),'Reference Records'!J$23:J$74,0)),"")</f>
        <v/>
      </c>
    </row>
    <row r="557" spans="1:23" s="89" customFormat="1" ht="40.35" customHeight="1">
      <c r="A557" s="564"/>
      <c r="B557" s="799"/>
      <c r="C557" s="800"/>
      <c r="D557" s="801"/>
      <c r="E557" s="801"/>
      <c r="F557" s="128"/>
      <c r="G557" s="802"/>
      <c r="H557" s="781"/>
      <c r="I557" s="803"/>
      <c r="J557" s="779"/>
      <c r="K557" s="800"/>
      <c r="L557" s="800"/>
      <c r="M557" s="779"/>
      <c r="N557" s="779"/>
      <c r="V557" s="89" t="str">
        <f t="array" ref="V557">IFERROR(IF(INDEX('Disaggregation Records'!$I$69:$I$152,MATCH(RIGHT(Q557,255),RIGHT('Disaggregation Records'!$D$69:$D$152,255),0))="","",INDEX('Disaggregation Records'!$I$69:$I$152,MATCH(RIGHT(Q557,255),RIGHT('Disaggregation Records'!$D$69:$D$152,255),0))),"")</f>
        <v/>
      </c>
    </row>
    <row r="558" spans="1:23" s="89" customFormat="1" ht="40.35" customHeight="1">
      <c r="A558" s="564" t="str">
        <f ca="1">INDIRECT("'update Helper'!C"&amp;U558)</f>
        <v>a1V3p000006h2xhEAA</v>
      </c>
      <c r="B558" s="794">
        <v>13</v>
      </c>
      <c r="C558" s="795" t="str">
        <f ca="1">IFERROR(VLOOKUP(B558,'Outcome Indicators - Section C '!$A$9:$AF$70,32,FALSE),"")</f>
        <v/>
      </c>
      <c r="D558" s="796" t="str">
        <f ca="1">R558</f>
        <v/>
      </c>
      <c r="E558" s="796" t="str">
        <f ca="1">S558</f>
        <v/>
      </c>
      <c r="F558" s="127"/>
      <c r="G558" s="797" t="str">
        <f ca="1">IF(OR(INDIRECT("'update Helper'!E"&amp;U558)="",F558&lt;&gt;0,F559&lt;&gt;0),IF(IFERROR((F558/F559),"")="","",(F558/F559)),INDIRECT("'update Helper'!E"&amp;U558)/100)</f>
        <v/>
      </c>
      <c r="H558" s="784"/>
      <c r="I558" s="798"/>
      <c r="J558" s="777"/>
      <c r="K558" s="795" t="str">
        <f ca="1">W558</f>
        <v/>
      </c>
      <c r="L558" s="795" t="str">
        <f ca="1">V558</f>
        <v/>
      </c>
      <c r="M558" s="777"/>
      <c r="N558" s="777"/>
      <c r="P558" s="89">
        <f ca="1">IF(AND(EXACT(C558,C556),C556&lt;&gt;0),P556+1,0)</f>
        <v>51</v>
      </c>
      <c r="Q558" s="89" t="str">
        <f ca="1">IF(C558&lt;&gt;"",C558&amp;"-"&amp;P558,"")</f>
        <v/>
      </c>
      <c r="R558" s="89" t="str">
        <f t="array" aca="1" ref="R558" ca="1">IFERROR(IF(INDEX('Disaggregation Records'!$E$69:$E$152,MATCH(RIGHT(Q558,255),RIGHT('Disaggregation Records'!$D$69:$D$152,255),0))="","",INDEX('Disaggregation Records'!$E$69:$E$152,MATCH(RIGHT(Q558,255),RIGHT('Disaggregation Records'!$D$69:$D$152,255),0))),"")</f>
        <v/>
      </c>
      <c r="S558" s="89" t="str">
        <f t="array" aca="1" ref="S558" ca="1">IFERROR(IF(INDEX('Disaggregation Records'!$F$69:$F$152,MATCH(RIGHT(Q558,255),RIGHT('Disaggregation Records'!$D$69:$D$152,255),0))="","",INDEX('Disaggregation Records'!$F$69:$F$152,MATCH(RIGHT(Q558,255),RIGHT('Disaggregation Records'!$D$69:$D$152,255),0))),"")</f>
        <v/>
      </c>
      <c r="T558" s="89" t="str">
        <f t="array" aca="1" ref="T558" ca="1">IFERROR(IF(INDEX('Disaggregation Records'!$H$69:$H$152,MATCH(RIGHT(Q558,255),RIGHT('Disaggregation Records'!$D$69:$D$152,255),0))="","",INDEX('Disaggregation Records'!$H$69:$H$152,MATCH(RIGHT(Q558,255),RIGHT('Disaggregation Records'!$D$69:$D$152,255),0))),"")</f>
        <v/>
      </c>
      <c r="U558" s="89">
        <f>U556+1</f>
        <v>1008</v>
      </c>
      <c r="V558" s="89" t="str">
        <f t="array" aca="1" ref="V558" ca="1">IFERROR(IF(INDEX('Disaggregation Records'!$I$69:$I$152,MATCH(RIGHT(Q558,255),RIGHT('Disaggregation Records'!$D$69:$D$152,255),0))="","",INDEX('Disaggregation Records'!$I$69:$I$152,MATCH(RIGHT(Q558,255),RIGHT('Disaggregation Records'!$D$69:$D$152,255),0))),"")</f>
        <v/>
      </c>
      <c r="W558" s="89" t="str">
        <f ca="1">IFERROR(INDEX('Reference Records'!P$23:P$74,MATCH(LEFT(C558,255),'Reference Records'!J$23:J$74,0)),"")</f>
        <v/>
      </c>
    </row>
    <row r="559" spans="1:23" s="89" customFormat="1" ht="40.35" customHeight="1">
      <c r="A559" s="564"/>
      <c r="B559" s="799"/>
      <c r="C559" s="800"/>
      <c r="D559" s="801"/>
      <c r="E559" s="801"/>
      <c r="F559" s="128"/>
      <c r="G559" s="802"/>
      <c r="H559" s="781"/>
      <c r="I559" s="803"/>
      <c r="J559" s="779"/>
      <c r="K559" s="800"/>
      <c r="L559" s="800"/>
      <c r="M559" s="779"/>
      <c r="N559" s="779"/>
      <c r="V559" s="89" t="str">
        <f t="array" ref="V559">IFERROR(IF(INDEX('Disaggregation Records'!$I$69:$I$152,MATCH(RIGHT(Q559,255),RIGHT('Disaggregation Records'!$D$69:$D$152,255),0))="","",INDEX('Disaggregation Records'!$I$69:$I$152,MATCH(RIGHT(Q559,255),RIGHT('Disaggregation Records'!$D$69:$D$152,255),0))),"")</f>
        <v/>
      </c>
    </row>
    <row r="560" spans="1:23" s="89" customFormat="1" ht="40.35" customHeight="1">
      <c r="A560" s="564" t="str">
        <f ca="1">INDIRECT("'update Helper'!C"&amp;U560)</f>
        <v>a1V3p000006h2xiEAA</v>
      </c>
      <c r="B560" s="794">
        <v>13</v>
      </c>
      <c r="C560" s="795" t="str">
        <f ca="1">IFERROR(VLOOKUP(B560,'Outcome Indicators - Section C '!$A$9:$AF$70,32,FALSE),"")</f>
        <v/>
      </c>
      <c r="D560" s="796" t="str">
        <f ca="1">R560</f>
        <v/>
      </c>
      <c r="E560" s="796" t="str">
        <f ca="1">S560</f>
        <v/>
      </c>
      <c r="F560" s="127"/>
      <c r="G560" s="797" t="str">
        <f ca="1">IF(OR(INDIRECT("'update Helper'!E"&amp;U560)="",F560&lt;&gt;0,F561&lt;&gt;0),IF(IFERROR((F560/F561),"")="","",(F560/F561)),INDIRECT("'update Helper'!E"&amp;U560)/100)</f>
        <v/>
      </c>
      <c r="H560" s="784"/>
      <c r="I560" s="798"/>
      <c r="J560" s="777"/>
      <c r="K560" s="795" t="str">
        <f ca="1">W560</f>
        <v/>
      </c>
      <c r="L560" s="795" t="str">
        <f ca="1">V560</f>
        <v/>
      </c>
      <c r="M560" s="777"/>
      <c r="N560" s="777"/>
      <c r="P560" s="89">
        <f ca="1">IF(AND(EXACT(C560,C558),C558&lt;&gt;0),P558+1,0)</f>
        <v>52</v>
      </c>
      <c r="Q560" s="89" t="str">
        <f ca="1">IF(C560&lt;&gt;"",C560&amp;"-"&amp;P560,"")</f>
        <v/>
      </c>
      <c r="R560" s="89" t="str">
        <f t="array" aca="1" ref="R560" ca="1">IFERROR(IF(INDEX('Disaggregation Records'!$E$69:$E$152,MATCH(RIGHT(Q560,255),RIGHT('Disaggregation Records'!$D$69:$D$152,255),0))="","",INDEX('Disaggregation Records'!$E$69:$E$152,MATCH(RIGHT(Q560,255),RIGHT('Disaggregation Records'!$D$69:$D$152,255),0))),"")</f>
        <v/>
      </c>
      <c r="S560" s="89" t="str">
        <f t="array" aca="1" ref="S560" ca="1">IFERROR(IF(INDEX('Disaggregation Records'!$F$69:$F$152,MATCH(RIGHT(Q560,255),RIGHT('Disaggregation Records'!$D$69:$D$152,255),0))="","",INDEX('Disaggregation Records'!$F$69:$F$152,MATCH(RIGHT(Q560,255),RIGHT('Disaggregation Records'!$D$69:$D$152,255),0))),"")</f>
        <v/>
      </c>
      <c r="T560" s="89" t="str">
        <f t="array" aca="1" ref="T560" ca="1">IFERROR(IF(INDEX('Disaggregation Records'!$H$69:$H$152,MATCH(RIGHT(Q560,255),RIGHT('Disaggregation Records'!$D$69:$D$152,255),0))="","",INDEX('Disaggregation Records'!$H$69:$H$152,MATCH(RIGHT(Q560,255),RIGHT('Disaggregation Records'!$D$69:$D$152,255),0))),"")</f>
        <v/>
      </c>
      <c r="U560" s="89">
        <f>U558+1</f>
        <v>1009</v>
      </c>
      <c r="V560" s="89" t="str">
        <f t="array" aca="1" ref="V560" ca="1">IFERROR(IF(INDEX('Disaggregation Records'!$I$69:$I$152,MATCH(RIGHT(Q560,255),RIGHT('Disaggregation Records'!$D$69:$D$152,255),0))="","",INDEX('Disaggregation Records'!$I$69:$I$152,MATCH(RIGHT(Q560,255),RIGHT('Disaggregation Records'!$D$69:$D$152,255),0))),"")</f>
        <v/>
      </c>
      <c r="W560" s="89" t="str">
        <f ca="1">IFERROR(INDEX('Reference Records'!P$23:P$74,MATCH(LEFT(C560,255),'Reference Records'!J$23:J$74,0)),"")</f>
        <v/>
      </c>
    </row>
    <row r="561" spans="1:23" s="89" customFormat="1" ht="40.35" customHeight="1">
      <c r="A561" s="564"/>
      <c r="B561" s="799"/>
      <c r="C561" s="800"/>
      <c r="D561" s="801"/>
      <c r="E561" s="801"/>
      <c r="F561" s="128"/>
      <c r="G561" s="802"/>
      <c r="H561" s="781"/>
      <c r="I561" s="803"/>
      <c r="J561" s="779"/>
      <c r="K561" s="800"/>
      <c r="L561" s="800"/>
      <c r="M561" s="779"/>
      <c r="N561" s="779"/>
      <c r="V561" s="89" t="str">
        <f t="array" ref="V561">IFERROR(IF(INDEX('Disaggregation Records'!$I$69:$I$152,MATCH(RIGHT(Q561,255),RIGHT('Disaggregation Records'!$D$69:$D$152,255),0))="","",INDEX('Disaggregation Records'!$I$69:$I$152,MATCH(RIGHT(Q561,255),RIGHT('Disaggregation Records'!$D$69:$D$152,255),0))),"")</f>
        <v/>
      </c>
    </row>
    <row r="562" spans="1:23" s="89" customFormat="1" ht="40.35" customHeight="1">
      <c r="A562" s="564" t="str">
        <f ca="1">INDIRECT("'update Helper'!C"&amp;U562)</f>
        <v>a1V3p000006h2xjEAA</v>
      </c>
      <c r="B562" s="794">
        <v>13</v>
      </c>
      <c r="C562" s="795" t="str">
        <f ca="1">IFERROR(VLOOKUP(B562,'Outcome Indicators - Section C '!$A$9:$AF$70,32,FALSE),"")</f>
        <v/>
      </c>
      <c r="D562" s="796" t="str">
        <f ca="1">R562</f>
        <v/>
      </c>
      <c r="E562" s="796" t="str">
        <f ca="1">S562</f>
        <v/>
      </c>
      <c r="F562" s="127"/>
      <c r="G562" s="797" t="str">
        <f ca="1">IF(OR(INDIRECT("'update Helper'!E"&amp;U562)="",F562&lt;&gt;0,F563&lt;&gt;0),IF(IFERROR((F562/F563),"")="","",(F562/F563)),INDIRECT("'update Helper'!E"&amp;U562)/100)</f>
        <v/>
      </c>
      <c r="H562" s="784"/>
      <c r="I562" s="798"/>
      <c r="J562" s="777"/>
      <c r="K562" s="795" t="str">
        <f ca="1">W562</f>
        <v/>
      </c>
      <c r="L562" s="795" t="str">
        <f ca="1">V562</f>
        <v/>
      </c>
      <c r="M562" s="777"/>
      <c r="N562" s="777"/>
      <c r="P562" s="89">
        <f ca="1">IF(AND(EXACT(C562,C560),C560&lt;&gt;0),P560+1,0)</f>
        <v>53</v>
      </c>
      <c r="Q562" s="89" t="str">
        <f ca="1">IF(C562&lt;&gt;"",C562&amp;"-"&amp;P562,"")</f>
        <v/>
      </c>
      <c r="R562" s="89" t="str">
        <f t="array" aca="1" ref="R562" ca="1">IFERROR(IF(INDEX('Disaggregation Records'!$E$69:$E$152,MATCH(RIGHT(Q562,255),RIGHT('Disaggregation Records'!$D$69:$D$152,255),0))="","",INDEX('Disaggregation Records'!$E$69:$E$152,MATCH(RIGHT(Q562,255),RIGHT('Disaggregation Records'!$D$69:$D$152,255),0))),"")</f>
        <v/>
      </c>
      <c r="S562" s="89" t="str">
        <f t="array" aca="1" ref="S562" ca="1">IFERROR(IF(INDEX('Disaggregation Records'!$F$69:$F$152,MATCH(RIGHT(Q562,255),RIGHT('Disaggregation Records'!$D$69:$D$152,255),0))="","",INDEX('Disaggregation Records'!$F$69:$F$152,MATCH(RIGHT(Q562,255),RIGHT('Disaggregation Records'!$D$69:$D$152,255),0))),"")</f>
        <v/>
      </c>
      <c r="T562" s="89" t="str">
        <f t="array" aca="1" ref="T562" ca="1">IFERROR(IF(INDEX('Disaggregation Records'!$H$69:$H$152,MATCH(RIGHT(Q562,255),RIGHT('Disaggregation Records'!$D$69:$D$152,255),0))="","",INDEX('Disaggregation Records'!$H$69:$H$152,MATCH(RIGHT(Q562,255),RIGHT('Disaggregation Records'!$D$69:$D$152,255),0))),"")</f>
        <v/>
      </c>
      <c r="U562" s="89">
        <f>U560+1</f>
        <v>1010</v>
      </c>
      <c r="V562" s="89" t="str">
        <f t="array" aca="1" ref="V562" ca="1">IFERROR(IF(INDEX('Disaggregation Records'!$I$69:$I$152,MATCH(RIGHT(Q562,255),RIGHT('Disaggregation Records'!$D$69:$D$152,255),0))="","",INDEX('Disaggregation Records'!$I$69:$I$152,MATCH(RIGHT(Q562,255),RIGHT('Disaggregation Records'!$D$69:$D$152,255),0))),"")</f>
        <v/>
      </c>
      <c r="W562" s="89" t="str">
        <f ca="1">IFERROR(INDEX('Reference Records'!P$23:P$74,MATCH(LEFT(C562,255),'Reference Records'!J$23:J$74,0)),"")</f>
        <v/>
      </c>
    </row>
    <row r="563" spans="1:23" s="89" customFormat="1" ht="40.35" customHeight="1">
      <c r="A563" s="564"/>
      <c r="B563" s="799"/>
      <c r="C563" s="800"/>
      <c r="D563" s="801"/>
      <c r="E563" s="801"/>
      <c r="F563" s="128"/>
      <c r="G563" s="802"/>
      <c r="H563" s="781"/>
      <c r="I563" s="803"/>
      <c r="J563" s="779"/>
      <c r="K563" s="800"/>
      <c r="L563" s="800"/>
      <c r="M563" s="779"/>
      <c r="N563" s="779"/>
      <c r="V563" s="89" t="str">
        <f t="array" ref="V563">IFERROR(IF(INDEX('Disaggregation Records'!$I$69:$I$152,MATCH(RIGHT(Q563,255),RIGHT('Disaggregation Records'!$D$69:$D$152,255),0))="","",INDEX('Disaggregation Records'!$I$69:$I$152,MATCH(RIGHT(Q563,255),RIGHT('Disaggregation Records'!$D$69:$D$152,255),0))),"")</f>
        <v/>
      </c>
    </row>
    <row r="564" spans="1:23" s="89" customFormat="1" ht="40.35" customHeight="1">
      <c r="A564" s="564" t="str">
        <f ca="1">INDIRECT("'update Helper'!C"&amp;U564)</f>
        <v>a1V3p000006h2xkEAA</v>
      </c>
      <c r="B564" s="794">
        <v>13</v>
      </c>
      <c r="C564" s="795" t="str">
        <f ca="1">IFERROR(VLOOKUP(B564,'Outcome Indicators - Section C '!$A$9:$AF$70,32,FALSE),"")</f>
        <v/>
      </c>
      <c r="D564" s="796" t="str">
        <f ca="1">R564</f>
        <v/>
      </c>
      <c r="E564" s="796" t="str">
        <f ca="1">S564</f>
        <v/>
      </c>
      <c r="F564" s="127"/>
      <c r="G564" s="797" t="str">
        <f ca="1">IF(OR(INDIRECT("'update Helper'!E"&amp;U564)="",F564&lt;&gt;0,F565&lt;&gt;0),IF(IFERROR((F564/F565),"")="","",(F564/F565)),INDIRECT("'update Helper'!E"&amp;U564)/100)</f>
        <v/>
      </c>
      <c r="H564" s="784"/>
      <c r="I564" s="798"/>
      <c r="J564" s="777"/>
      <c r="K564" s="795" t="str">
        <f ca="1">W564</f>
        <v/>
      </c>
      <c r="L564" s="795" t="str">
        <f ca="1">V564</f>
        <v/>
      </c>
      <c r="M564" s="777"/>
      <c r="N564" s="777"/>
      <c r="P564" s="89">
        <f ca="1">IF(AND(EXACT(C564,C562),C562&lt;&gt;0),P562+1,0)</f>
        <v>54</v>
      </c>
      <c r="Q564" s="89" t="str">
        <f ca="1">IF(C564&lt;&gt;"",C564&amp;"-"&amp;P564,"")</f>
        <v/>
      </c>
      <c r="R564" s="89" t="str">
        <f t="array" aca="1" ref="R564" ca="1">IFERROR(IF(INDEX('Disaggregation Records'!$E$69:$E$152,MATCH(RIGHT(Q564,255),RIGHT('Disaggregation Records'!$D$69:$D$152,255),0))="","",INDEX('Disaggregation Records'!$E$69:$E$152,MATCH(RIGHT(Q564,255),RIGHT('Disaggregation Records'!$D$69:$D$152,255),0))),"")</f>
        <v/>
      </c>
      <c r="S564" s="89" t="str">
        <f t="array" aca="1" ref="S564" ca="1">IFERROR(IF(INDEX('Disaggregation Records'!$F$69:$F$152,MATCH(RIGHT(Q564,255),RIGHT('Disaggregation Records'!$D$69:$D$152,255),0))="","",INDEX('Disaggregation Records'!$F$69:$F$152,MATCH(RIGHT(Q564,255),RIGHT('Disaggregation Records'!$D$69:$D$152,255),0))),"")</f>
        <v/>
      </c>
      <c r="T564" s="89" t="str">
        <f t="array" aca="1" ref="T564" ca="1">IFERROR(IF(INDEX('Disaggregation Records'!$H$69:$H$152,MATCH(RIGHT(Q564,255),RIGHT('Disaggregation Records'!$D$69:$D$152,255),0))="","",INDEX('Disaggregation Records'!$H$69:$H$152,MATCH(RIGHT(Q564,255),RIGHT('Disaggregation Records'!$D$69:$D$152,255),0))),"")</f>
        <v/>
      </c>
      <c r="U564" s="89">
        <f>U562+1</f>
        <v>1011</v>
      </c>
      <c r="V564" s="89" t="str">
        <f t="array" aca="1" ref="V564" ca="1">IFERROR(IF(INDEX('Disaggregation Records'!$I$69:$I$152,MATCH(RIGHT(Q564,255),RIGHT('Disaggregation Records'!$D$69:$D$152,255),0))="","",INDEX('Disaggregation Records'!$I$69:$I$152,MATCH(RIGHT(Q564,255),RIGHT('Disaggregation Records'!$D$69:$D$152,255),0))),"")</f>
        <v/>
      </c>
      <c r="W564" s="89" t="str">
        <f ca="1">IFERROR(INDEX('Reference Records'!P$23:P$74,MATCH(LEFT(C564,255),'Reference Records'!J$23:J$74,0)),"")</f>
        <v/>
      </c>
    </row>
    <row r="565" spans="1:23" s="89" customFormat="1" ht="40.35" customHeight="1">
      <c r="A565" s="564"/>
      <c r="B565" s="799"/>
      <c r="C565" s="800"/>
      <c r="D565" s="801"/>
      <c r="E565" s="801"/>
      <c r="F565" s="128"/>
      <c r="G565" s="802"/>
      <c r="H565" s="781"/>
      <c r="I565" s="803"/>
      <c r="J565" s="779"/>
      <c r="K565" s="800"/>
      <c r="L565" s="800"/>
      <c r="M565" s="779"/>
      <c r="N565" s="779"/>
      <c r="V565" s="89" t="str">
        <f t="array" ref="V565">IFERROR(IF(INDEX('Disaggregation Records'!$I$69:$I$152,MATCH(RIGHT(Q565,255),RIGHT('Disaggregation Records'!$D$69:$D$152,255),0))="","",INDEX('Disaggregation Records'!$I$69:$I$152,MATCH(RIGHT(Q565,255),RIGHT('Disaggregation Records'!$D$69:$D$152,255),0))),"")</f>
        <v/>
      </c>
    </row>
    <row r="566" spans="1:23" s="89" customFormat="1" ht="40.35" customHeight="1">
      <c r="A566" s="564" t="str">
        <f ca="1">INDIRECT("'update Helper'!C"&amp;U566)</f>
        <v>a1V3p000006h2xlEAA</v>
      </c>
      <c r="B566" s="794">
        <v>13</v>
      </c>
      <c r="C566" s="795" t="str">
        <f ca="1">IFERROR(VLOOKUP(B566,'Outcome Indicators - Section C '!$A$9:$AF$70,32,FALSE),"")</f>
        <v/>
      </c>
      <c r="D566" s="796" t="str">
        <f ca="1">R566</f>
        <v/>
      </c>
      <c r="E566" s="796" t="str">
        <f ca="1">S566</f>
        <v/>
      </c>
      <c r="F566" s="127"/>
      <c r="G566" s="797" t="str">
        <f ca="1">IF(OR(INDIRECT("'update Helper'!E"&amp;U566)="",F566&lt;&gt;0,F567&lt;&gt;0),IF(IFERROR((F566/F567),"")="","",(F566/F567)),INDIRECT("'update Helper'!E"&amp;U566)/100)</f>
        <v/>
      </c>
      <c r="H566" s="784"/>
      <c r="I566" s="798"/>
      <c r="J566" s="777"/>
      <c r="K566" s="795" t="str">
        <f ca="1">W566</f>
        <v/>
      </c>
      <c r="L566" s="795" t="str">
        <f ca="1">V566</f>
        <v/>
      </c>
      <c r="M566" s="777"/>
      <c r="N566" s="777"/>
      <c r="P566" s="89">
        <f ca="1">IF(AND(EXACT(C566,C564),C564&lt;&gt;0),P564+1,0)</f>
        <v>55</v>
      </c>
      <c r="Q566" s="89" t="str">
        <f ca="1">IF(C566&lt;&gt;"",C566&amp;"-"&amp;P566,"")</f>
        <v/>
      </c>
      <c r="R566" s="89" t="str">
        <f t="array" aca="1" ref="R566" ca="1">IFERROR(IF(INDEX('Disaggregation Records'!$E$69:$E$152,MATCH(RIGHT(Q566,255),RIGHT('Disaggregation Records'!$D$69:$D$152,255),0))="","",INDEX('Disaggregation Records'!$E$69:$E$152,MATCH(RIGHT(Q566,255),RIGHT('Disaggregation Records'!$D$69:$D$152,255),0))),"")</f>
        <v/>
      </c>
      <c r="S566" s="89" t="str">
        <f t="array" aca="1" ref="S566" ca="1">IFERROR(IF(INDEX('Disaggregation Records'!$F$69:$F$152,MATCH(RIGHT(Q566,255),RIGHT('Disaggregation Records'!$D$69:$D$152,255),0))="","",INDEX('Disaggregation Records'!$F$69:$F$152,MATCH(RIGHT(Q566,255),RIGHT('Disaggregation Records'!$D$69:$D$152,255),0))),"")</f>
        <v/>
      </c>
      <c r="T566" s="89" t="str">
        <f t="array" aca="1" ref="T566" ca="1">IFERROR(IF(INDEX('Disaggregation Records'!$H$69:$H$152,MATCH(RIGHT(Q566,255),RIGHT('Disaggregation Records'!$D$69:$D$152,255),0))="","",INDEX('Disaggregation Records'!$H$69:$H$152,MATCH(RIGHT(Q566,255),RIGHT('Disaggregation Records'!$D$69:$D$152,255),0))),"")</f>
        <v/>
      </c>
      <c r="U566" s="89">
        <f>U564+1</f>
        <v>1012</v>
      </c>
      <c r="V566" s="89" t="str">
        <f t="array" aca="1" ref="V566" ca="1">IFERROR(IF(INDEX('Disaggregation Records'!$I$69:$I$152,MATCH(RIGHT(Q566,255),RIGHT('Disaggregation Records'!$D$69:$D$152,255),0))="","",INDEX('Disaggregation Records'!$I$69:$I$152,MATCH(RIGHT(Q566,255),RIGHT('Disaggregation Records'!$D$69:$D$152,255),0))),"")</f>
        <v/>
      </c>
      <c r="W566" s="89" t="str">
        <f ca="1">IFERROR(INDEX('Reference Records'!P$23:P$74,MATCH(LEFT(C566,255),'Reference Records'!J$23:J$74,0)),"")</f>
        <v/>
      </c>
    </row>
    <row r="567" spans="1:23" s="89" customFormat="1" ht="40.35" customHeight="1">
      <c r="A567" s="564"/>
      <c r="B567" s="799"/>
      <c r="C567" s="800"/>
      <c r="D567" s="801"/>
      <c r="E567" s="801"/>
      <c r="F567" s="128"/>
      <c r="G567" s="802"/>
      <c r="H567" s="781"/>
      <c r="I567" s="803"/>
      <c r="J567" s="779"/>
      <c r="K567" s="800"/>
      <c r="L567" s="800"/>
      <c r="M567" s="779"/>
      <c r="N567" s="779"/>
      <c r="V567" s="89" t="str">
        <f t="array" ref="V567">IFERROR(IF(INDEX('Disaggregation Records'!$I$69:$I$152,MATCH(RIGHT(Q567,255),RIGHT('Disaggregation Records'!$D$69:$D$152,255),0))="","",INDEX('Disaggregation Records'!$I$69:$I$152,MATCH(RIGHT(Q567,255),RIGHT('Disaggregation Records'!$D$69:$D$152,255),0))),"")</f>
        <v/>
      </c>
    </row>
    <row r="568" spans="1:23" s="89" customFormat="1" ht="40.35" customHeight="1">
      <c r="A568" s="564" t="str">
        <f ca="1">INDIRECT("'update Helper'!C"&amp;U568)</f>
        <v>a1V3p000006h2xmEAA</v>
      </c>
      <c r="B568" s="794">
        <v>13</v>
      </c>
      <c r="C568" s="795" t="str">
        <f ca="1">IFERROR(VLOOKUP(B568,'Outcome Indicators - Section C '!$A$9:$AF$70,32,FALSE),"")</f>
        <v/>
      </c>
      <c r="D568" s="796" t="str">
        <f ca="1">R568</f>
        <v/>
      </c>
      <c r="E568" s="796" t="str">
        <f ca="1">S568</f>
        <v/>
      </c>
      <c r="F568" s="127"/>
      <c r="G568" s="797" t="str">
        <f ca="1">IF(OR(INDIRECT("'update Helper'!E"&amp;U568)="",F568&lt;&gt;0,F569&lt;&gt;0),IF(IFERROR((F568/F569),"")="","",(F568/F569)),INDIRECT("'update Helper'!E"&amp;U568)/100)</f>
        <v/>
      </c>
      <c r="H568" s="784"/>
      <c r="I568" s="798"/>
      <c r="J568" s="777"/>
      <c r="K568" s="795" t="str">
        <f ca="1">W568</f>
        <v/>
      </c>
      <c r="L568" s="795" t="str">
        <f ca="1">V568</f>
        <v/>
      </c>
      <c r="M568" s="777"/>
      <c r="N568" s="777"/>
      <c r="P568" s="89">
        <f ca="1">IF(AND(EXACT(C568,C566),C566&lt;&gt;0),P566+1,0)</f>
        <v>56</v>
      </c>
      <c r="Q568" s="89" t="str">
        <f ca="1">IF(C568&lt;&gt;"",C568&amp;"-"&amp;P568,"")</f>
        <v/>
      </c>
      <c r="R568" s="89" t="str">
        <f t="array" aca="1" ref="R568" ca="1">IFERROR(IF(INDEX('Disaggregation Records'!$E$69:$E$152,MATCH(RIGHT(Q568,255),RIGHT('Disaggregation Records'!$D$69:$D$152,255),0))="","",INDEX('Disaggregation Records'!$E$69:$E$152,MATCH(RIGHT(Q568,255),RIGHT('Disaggregation Records'!$D$69:$D$152,255),0))),"")</f>
        <v/>
      </c>
      <c r="S568" s="89" t="str">
        <f t="array" aca="1" ref="S568" ca="1">IFERROR(IF(INDEX('Disaggregation Records'!$F$69:$F$152,MATCH(RIGHT(Q568,255),RIGHT('Disaggregation Records'!$D$69:$D$152,255),0))="","",INDEX('Disaggregation Records'!$F$69:$F$152,MATCH(RIGHT(Q568,255),RIGHT('Disaggregation Records'!$D$69:$D$152,255),0))),"")</f>
        <v/>
      </c>
      <c r="T568" s="89" t="str">
        <f t="array" aca="1" ref="T568" ca="1">IFERROR(IF(INDEX('Disaggregation Records'!$H$69:$H$152,MATCH(RIGHT(Q568,255),RIGHT('Disaggregation Records'!$D$69:$D$152,255),0))="","",INDEX('Disaggregation Records'!$H$69:$H$152,MATCH(RIGHT(Q568,255),RIGHT('Disaggregation Records'!$D$69:$D$152,255),0))),"")</f>
        <v/>
      </c>
      <c r="U568" s="89">
        <f>U566+1</f>
        <v>1013</v>
      </c>
      <c r="V568" s="89" t="str">
        <f t="array" aca="1" ref="V568" ca="1">IFERROR(IF(INDEX('Disaggregation Records'!$I$69:$I$152,MATCH(RIGHT(Q568,255),RIGHT('Disaggregation Records'!$D$69:$D$152,255),0))="","",INDEX('Disaggregation Records'!$I$69:$I$152,MATCH(RIGHT(Q568,255),RIGHT('Disaggregation Records'!$D$69:$D$152,255),0))),"")</f>
        <v/>
      </c>
      <c r="W568" s="89" t="str">
        <f ca="1">IFERROR(INDEX('Reference Records'!P$23:P$74,MATCH(LEFT(C568,255),'Reference Records'!J$23:J$74,0)),"")</f>
        <v/>
      </c>
    </row>
    <row r="569" spans="1:23" s="89" customFormat="1" ht="40.35" customHeight="1">
      <c r="A569" s="564"/>
      <c r="B569" s="799"/>
      <c r="C569" s="800"/>
      <c r="D569" s="801"/>
      <c r="E569" s="801"/>
      <c r="F569" s="128"/>
      <c r="G569" s="802"/>
      <c r="H569" s="781"/>
      <c r="I569" s="803"/>
      <c r="J569" s="779"/>
      <c r="K569" s="800"/>
      <c r="L569" s="800"/>
      <c r="M569" s="779"/>
      <c r="N569" s="779"/>
      <c r="V569" s="89" t="str">
        <f t="array" ref="V569">IFERROR(IF(INDEX('Disaggregation Records'!$I$69:$I$152,MATCH(RIGHT(Q569,255),RIGHT('Disaggregation Records'!$D$69:$D$152,255),0))="","",INDEX('Disaggregation Records'!$I$69:$I$152,MATCH(RIGHT(Q569,255),RIGHT('Disaggregation Records'!$D$69:$D$152,255),0))),"")</f>
        <v/>
      </c>
    </row>
    <row r="570" spans="1:23" s="89" customFormat="1" ht="40.35" customHeight="1">
      <c r="A570" s="564" t="str">
        <f ca="1">INDIRECT("'update Helper'!C"&amp;U570)</f>
        <v>a1V3p000006h2xnEAA</v>
      </c>
      <c r="B570" s="794">
        <v>13</v>
      </c>
      <c r="C570" s="795" t="str">
        <f ca="1">IFERROR(VLOOKUP(B570,'Outcome Indicators - Section C '!$A$9:$AF$70,32,FALSE),"")</f>
        <v/>
      </c>
      <c r="D570" s="796" t="str">
        <f ca="1">R570</f>
        <v/>
      </c>
      <c r="E570" s="796" t="str">
        <f ca="1">S570</f>
        <v/>
      </c>
      <c r="F570" s="127"/>
      <c r="G570" s="797" t="str">
        <f ca="1">IF(OR(INDIRECT("'update Helper'!E"&amp;U570)="",F570&lt;&gt;0,F571&lt;&gt;0),IF(IFERROR((F570/F571),"")="","",(F570/F571)),INDIRECT("'update Helper'!E"&amp;U570)/100)</f>
        <v/>
      </c>
      <c r="H570" s="784"/>
      <c r="I570" s="798"/>
      <c r="J570" s="777"/>
      <c r="K570" s="795" t="str">
        <f ca="1">W570</f>
        <v/>
      </c>
      <c r="L570" s="795" t="str">
        <f ca="1">V570</f>
        <v/>
      </c>
      <c r="M570" s="777"/>
      <c r="N570" s="777"/>
      <c r="P570" s="89">
        <f ca="1">IF(AND(EXACT(C570,C568),C568&lt;&gt;0),P568+1,0)</f>
        <v>57</v>
      </c>
      <c r="Q570" s="89" t="str">
        <f ca="1">IF(C570&lt;&gt;"",C570&amp;"-"&amp;P570,"")</f>
        <v/>
      </c>
      <c r="R570" s="89" t="str">
        <f t="array" aca="1" ref="R570" ca="1">IFERROR(IF(INDEX('Disaggregation Records'!$E$69:$E$152,MATCH(RIGHT(Q570,255),RIGHT('Disaggregation Records'!$D$69:$D$152,255),0))="","",INDEX('Disaggregation Records'!$E$69:$E$152,MATCH(RIGHT(Q570,255),RIGHT('Disaggregation Records'!$D$69:$D$152,255),0))),"")</f>
        <v/>
      </c>
      <c r="S570" s="89" t="str">
        <f t="array" aca="1" ref="S570" ca="1">IFERROR(IF(INDEX('Disaggregation Records'!$F$69:$F$152,MATCH(RIGHT(Q570,255),RIGHT('Disaggregation Records'!$D$69:$D$152,255),0))="","",INDEX('Disaggregation Records'!$F$69:$F$152,MATCH(RIGHT(Q570,255),RIGHT('Disaggregation Records'!$D$69:$D$152,255),0))),"")</f>
        <v/>
      </c>
      <c r="T570" s="89" t="str">
        <f t="array" aca="1" ref="T570" ca="1">IFERROR(IF(INDEX('Disaggregation Records'!$H$69:$H$152,MATCH(RIGHT(Q570,255),RIGHT('Disaggregation Records'!$D$69:$D$152,255),0))="","",INDEX('Disaggregation Records'!$H$69:$H$152,MATCH(RIGHT(Q570,255),RIGHT('Disaggregation Records'!$D$69:$D$152,255),0))),"")</f>
        <v/>
      </c>
      <c r="U570" s="89">
        <f>U568+1</f>
        <v>1014</v>
      </c>
      <c r="V570" s="89" t="str">
        <f t="array" aca="1" ref="V570" ca="1">IFERROR(IF(INDEX('Disaggregation Records'!$I$69:$I$152,MATCH(RIGHT(Q570,255),RIGHT('Disaggregation Records'!$D$69:$D$152,255),0))="","",INDEX('Disaggregation Records'!$I$69:$I$152,MATCH(RIGHT(Q570,255),RIGHT('Disaggregation Records'!$D$69:$D$152,255),0))),"")</f>
        <v/>
      </c>
      <c r="W570" s="89" t="str">
        <f ca="1">IFERROR(INDEX('Reference Records'!P$23:P$74,MATCH(LEFT(C570,255),'Reference Records'!J$23:J$74,0)),"")</f>
        <v/>
      </c>
    </row>
    <row r="571" spans="1:23" s="89" customFormat="1" ht="40.35" customHeight="1">
      <c r="A571" s="564"/>
      <c r="B571" s="799"/>
      <c r="C571" s="800"/>
      <c r="D571" s="801"/>
      <c r="E571" s="801"/>
      <c r="F571" s="128"/>
      <c r="G571" s="802"/>
      <c r="H571" s="781"/>
      <c r="I571" s="803"/>
      <c r="J571" s="779"/>
      <c r="K571" s="800"/>
      <c r="L571" s="800"/>
      <c r="M571" s="779"/>
      <c r="N571" s="779"/>
      <c r="V571" s="89" t="str">
        <f t="array" ref="V571">IFERROR(IF(INDEX('Disaggregation Records'!$I$69:$I$152,MATCH(RIGHT(Q571,255),RIGHT('Disaggregation Records'!$D$69:$D$152,255),0))="","",INDEX('Disaggregation Records'!$I$69:$I$152,MATCH(RIGHT(Q571,255),RIGHT('Disaggregation Records'!$D$69:$D$152,255),0))),"")</f>
        <v/>
      </c>
    </row>
    <row r="572" spans="1:23" s="89" customFormat="1" ht="40.35" customHeight="1">
      <c r="A572" s="564" t="str">
        <f ca="1">INDIRECT("'update Helper'!C"&amp;U572)</f>
        <v>a1V3p000006h2xoEAA</v>
      </c>
      <c r="B572" s="794">
        <v>13</v>
      </c>
      <c r="C572" s="795" t="str">
        <f ca="1">IFERROR(VLOOKUP(B572,'Outcome Indicators - Section C '!$A$9:$AF$70,32,FALSE),"")</f>
        <v/>
      </c>
      <c r="D572" s="796" t="str">
        <f ca="1">R572</f>
        <v/>
      </c>
      <c r="E572" s="796" t="str">
        <f ca="1">S572</f>
        <v/>
      </c>
      <c r="F572" s="127"/>
      <c r="G572" s="797" t="str">
        <f ca="1">IF(OR(INDIRECT("'update Helper'!E"&amp;U572)="",F572&lt;&gt;0,F573&lt;&gt;0),IF(IFERROR((F572/F573),"")="","",(F572/F573)),INDIRECT("'update Helper'!E"&amp;U572)/100)</f>
        <v/>
      </c>
      <c r="H572" s="784"/>
      <c r="I572" s="798"/>
      <c r="J572" s="777"/>
      <c r="K572" s="795" t="str">
        <f ca="1">W572</f>
        <v/>
      </c>
      <c r="L572" s="795" t="str">
        <f ca="1">V572</f>
        <v/>
      </c>
      <c r="M572" s="777"/>
      <c r="N572" s="777"/>
      <c r="P572" s="89">
        <f ca="1">IF(AND(EXACT(C572,C570),C570&lt;&gt;0),P570+1,0)</f>
        <v>58</v>
      </c>
      <c r="Q572" s="89" t="str">
        <f ca="1">IF(C572&lt;&gt;"",C572&amp;"-"&amp;P572,"")</f>
        <v/>
      </c>
      <c r="R572" s="89" t="str">
        <f t="array" aca="1" ref="R572" ca="1">IFERROR(IF(INDEX('Disaggregation Records'!$E$69:$E$152,MATCH(RIGHT(Q572,255),RIGHT('Disaggregation Records'!$D$69:$D$152,255),0))="","",INDEX('Disaggregation Records'!$E$69:$E$152,MATCH(RIGHT(Q572,255),RIGHT('Disaggregation Records'!$D$69:$D$152,255),0))),"")</f>
        <v/>
      </c>
      <c r="S572" s="89" t="str">
        <f t="array" aca="1" ref="S572" ca="1">IFERROR(IF(INDEX('Disaggregation Records'!$F$69:$F$152,MATCH(RIGHT(Q572,255),RIGHT('Disaggregation Records'!$D$69:$D$152,255),0))="","",INDEX('Disaggregation Records'!$F$69:$F$152,MATCH(RIGHT(Q572,255),RIGHT('Disaggregation Records'!$D$69:$D$152,255),0))),"")</f>
        <v/>
      </c>
      <c r="T572" s="89" t="str">
        <f t="array" aca="1" ref="T572" ca="1">IFERROR(IF(INDEX('Disaggregation Records'!$H$69:$H$152,MATCH(RIGHT(Q572,255),RIGHT('Disaggregation Records'!$D$69:$D$152,255),0))="","",INDEX('Disaggregation Records'!$H$69:$H$152,MATCH(RIGHT(Q572,255),RIGHT('Disaggregation Records'!$D$69:$D$152,255),0))),"")</f>
        <v/>
      </c>
      <c r="U572" s="89">
        <f>U570+1</f>
        <v>1015</v>
      </c>
      <c r="V572" s="89" t="str">
        <f t="array" aca="1" ref="V572" ca="1">IFERROR(IF(INDEX('Disaggregation Records'!$I$69:$I$152,MATCH(RIGHT(Q572,255),RIGHT('Disaggregation Records'!$D$69:$D$152,255),0))="","",INDEX('Disaggregation Records'!$I$69:$I$152,MATCH(RIGHT(Q572,255),RIGHT('Disaggregation Records'!$D$69:$D$152,255),0))),"")</f>
        <v/>
      </c>
      <c r="W572" s="89" t="str">
        <f ca="1">IFERROR(INDEX('Reference Records'!P$23:P$74,MATCH(LEFT(C572,255),'Reference Records'!J$23:J$74,0)),"")</f>
        <v/>
      </c>
    </row>
    <row r="573" spans="1:23" s="89" customFormat="1" ht="40.35" customHeight="1">
      <c r="A573" s="564"/>
      <c r="B573" s="799"/>
      <c r="C573" s="800"/>
      <c r="D573" s="801"/>
      <c r="E573" s="801"/>
      <c r="F573" s="128"/>
      <c r="G573" s="802"/>
      <c r="H573" s="781"/>
      <c r="I573" s="803"/>
      <c r="J573" s="779"/>
      <c r="K573" s="800"/>
      <c r="L573" s="800"/>
      <c r="M573" s="779"/>
      <c r="N573" s="779"/>
      <c r="V573" s="89" t="str">
        <f t="array" ref="V573">IFERROR(IF(INDEX('Disaggregation Records'!$I$69:$I$152,MATCH(RIGHT(Q573,255),RIGHT('Disaggregation Records'!$D$69:$D$152,255),0))="","",INDEX('Disaggregation Records'!$I$69:$I$152,MATCH(RIGHT(Q573,255),RIGHT('Disaggregation Records'!$D$69:$D$152,255),0))),"")</f>
        <v/>
      </c>
    </row>
    <row r="574" spans="1:23" s="89" customFormat="1" ht="40.35" customHeight="1">
      <c r="A574" s="564" t="str">
        <f ca="1">INDIRECT("'update Helper'!C"&amp;U574)</f>
        <v>a1V3p000006h2xpEAA</v>
      </c>
      <c r="B574" s="794">
        <v>13</v>
      </c>
      <c r="C574" s="795" t="str">
        <f ca="1">IFERROR(VLOOKUP(B574,'Outcome Indicators - Section C '!$A$9:$AF$70,32,FALSE),"")</f>
        <v/>
      </c>
      <c r="D574" s="796" t="str">
        <f ca="1">R574</f>
        <v/>
      </c>
      <c r="E574" s="796" t="str">
        <f ca="1">S574</f>
        <v/>
      </c>
      <c r="F574" s="127"/>
      <c r="G574" s="797" t="str">
        <f ca="1">IF(OR(INDIRECT("'update Helper'!E"&amp;U574)="",F574&lt;&gt;0,F575&lt;&gt;0),IF(IFERROR((F574/F575),"")="","",(F574/F575)),INDIRECT("'update Helper'!E"&amp;U574)/100)</f>
        <v/>
      </c>
      <c r="H574" s="784"/>
      <c r="I574" s="798"/>
      <c r="J574" s="777"/>
      <c r="K574" s="795" t="str">
        <f ca="1">W574</f>
        <v/>
      </c>
      <c r="L574" s="795" t="str">
        <f ca="1">V574</f>
        <v/>
      </c>
      <c r="M574" s="777"/>
      <c r="N574" s="777"/>
      <c r="P574" s="89">
        <f ca="1">IF(AND(EXACT(C574,C572),C572&lt;&gt;0),P572+1,0)</f>
        <v>59</v>
      </c>
      <c r="Q574" s="89" t="str">
        <f ca="1">IF(C574&lt;&gt;"",C574&amp;"-"&amp;P574,"")</f>
        <v/>
      </c>
      <c r="R574" s="89" t="str">
        <f t="array" aca="1" ref="R574" ca="1">IFERROR(IF(INDEX('Disaggregation Records'!$E$69:$E$152,MATCH(RIGHT(Q574,255),RIGHT('Disaggregation Records'!$D$69:$D$152,255),0))="","",INDEX('Disaggregation Records'!$E$69:$E$152,MATCH(RIGHT(Q574,255),RIGHT('Disaggregation Records'!$D$69:$D$152,255),0))),"")</f>
        <v/>
      </c>
      <c r="S574" s="89" t="str">
        <f t="array" aca="1" ref="S574" ca="1">IFERROR(IF(INDEX('Disaggregation Records'!$F$69:$F$152,MATCH(RIGHT(Q574,255),RIGHT('Disaggregation Records'!$D$69:$D$152,255),0))="","",INDEX('Disaggregation Records'!$F$69:$F$152,MATCH(RIGHT(Q574,255),RIGHT('Disaggregation Records'!$D$69:$D$152,255),0))),"")</f>
        <v/>
      </c>
      <c r="T574" s="89" t="str">
        <f t="array" aca="1" ref="T574" ca="1">IFERROR(IF(INDEX('Disaggregation Records'!$H$69:$H$152,MATCH(RIGHT(Q574,255),RIGHT('Disaggregation Records'!$D$69:$D$152,255),0))="","",INDEX('Disaggregation Records'!$H$69:$H$152,MATCH(RIGHT(Q574,255),RIGHT('Disaggregation Records'!$D$69:$D$152,255),0))),"")</f>
        <v/>
      </c>
      <c r="U574" s="89">
        <f>U572+1</f>
        <v>1016</v>
      </c>
      <c r="V574" s="89" t="str">
        <f t="array" aca="1" ref="V574" ca="1">IFERROR(IF(INDEX('Disaggregation Records'!$I$69:$I$152,MATCH(RIGHT(Q574,255),RIGHT('Disaggregation Records'!$D$69:$D$152,255),0))="","",INDEX('Disaggregation Records'!$I$69:$I$152,MATCH(RIGHT(Q574,255),RIGHT('Disaggregation Records'!$D$69:$D$152,255),0))),"")</f>
        <v/>
      </c>
      <c r="W574" s="89" t="str">
        <f ca="1">IFERROR(INDEX('Reference Records'!P$23:P$74,MATCH(LEFT(C574,255),'Reference Records'!J$23:J$74,0)),"")</f>
        <v/>
      </c>
    </row>
    <row r="575" spans="1:23" s="89" customFormat="1" ht="40.35" customHeight="1">
      <c r="A575" s="564"/>
      <c r="B575" s="799"/>
      <c r="C575" s="800"/>
      <c r="D575" s="801"/>
      <c r="E575" s="801"/>
      <c r="F575" s="128"/>
      <c r="G575" s="802"/>
      <c r="H575" s="781"/>
      <c r="I575" s="803"/>
      <c r="J575" s="779"/>
      <c r="K575" s="800"/>
      <c r="L575" s="800"/>
      <c r="M575" s="779"/>
      <c r="N575" s="779"/>
      <c r="V575" s="89" t="str">
        <f t="array" ref="V575">IFERROR(IF(INDEX('Disaggregation Records'!$I$69:$I$152,MATCH(RIGHT(Q575,255),RIGHT('Disaggregation Records'!$D$69:$D$152,255),0))="","",INDEX('Disaggregation Records'!$I$69:$I$152,MATCH(RIGHT(Q575,255),RIGHT('Disaggregation Records'!$D$69:$D$152,255),0))),"")</f>
        <v/>
      </c>
    </row>
    <row r="576" spans="1:23" s="89" customFormat="1" ht="40.35" customHeight="1">
      <c r="A576" s="564" t="str">
        <f ca="1">INDIRECT("'update Helper'!C"&amp;U576)</f>
        <v>a1V3p000006h2xqEAA</v>
      </c>
      <c r="B576" s="794">
        <v>14</v>
      </c>
      <c r="C576" s="795" t="str">
        <f ca="1">IFERROR(VLOOKUP(B576,'Outcome Indicators - Section C '!$A$9:$AF$70,32,FALSE),"")</f>
        <v/>
      </c>
      <c r="D576" s="796" t="str">
        <f ca="1">R576</f>
        <v/>
      </c>
      <c r="E576" s="796" t="str">
        <f ca="1">S576</f>
        <v/>
      </c>
      <c r="F576" s="127"/>
      <c r="G576" s="797" t="str">
        <f ca="1">IF(OR(INDIRECT("'update Helper'!E"&amp;U576)="",F576&lt;&gt;0,F577&lt;&gt;0),IF(IFERROR((F576/F577),"")="","",(F576/F577)),INDIRECT("'update Helper'!E"&amp;U576)/100)</f>
        <v/>
      </c>
      <c r="H576" s="784"/>
      <c r="I576" s="798"/>
      <c r="J576" s="777"/>
      <c r="K576" s="795" t="str">
        <f ca="1">W576</f>
        <v/>
      </c>
      <c r="L576" s="795" t="str">
        <f ca="1">V576</f>
        <v/>
      </c>
      <c r="M576" s="777"/>
      <c r="N576" s="777"/>
      <c r="P576" s="89">
        <f ca="1">IF(AND(EXACT(C576,C574),C574&lt;&gt;0),P574+1,0)</f>
        <v>60</v>
      </c>
      <c r="Q576" s="89" t="str">
        <f ca="1">IF(C576&lt;&gt;"",C576&amp;"-"&amp;P576,"")</f>
        <v/>
      </c>
      <c r="R576" s="89" t="str">
        <f t="array" aca="1" ref="R576" ca="1">IFERROR(IF(INDEX('Disaggregation Records'!$E$69:$E$152,MATCH(RIGHT(Q576,255),RIGHT('Disaggregation Records'!$D$69:$D$152,255),0))="","",INDEX('Disaggregation Records'!$E$69:$E$152,MATCH(RIGHT(Q576,255),RIGHT('Disaggregation Records'!$D$69:$D$152,255),0))),"")</f>
        <v/>
      </c>
      <c r="S576" s="89" t="str">
        <f t="array" aca="1" ref="S576" ca="1">IFERROR(IF(INDEX('Disaggregation Records'!$F$69:$F$152,MATCH(RIGHT(Q576,255),RIGHT('Disaggregation Records'!$D$69:$D$152,255),0))="","",INDEX('Disaggregation Records'!$F$69:$F$152,MATCH(RIGHT(Q576,255),RIGHT('Disaggregation Records'!$D$69:$D$152,255),0))),"")</f>
        <v/>
      </c>
      <c r="T576" s="89" t="str">
        <f t="array" aca="1" ref="T576" ca="1">IFERROR(IF(INDEX('Disaggregation Records'!$H$69:$H$152,MATCH(RIGHT(Q576,255),RIGHT('Disaggregation Records'!$D$69:$D$152,255),0))="","",INDEX('Disaggregation Records'!$H$69:$H$152,MATCH(RIGHT(Q576,255),RIGHT('Disaggregation Records'!$D$69:$D$152,255),0))),"")</f>
        <v/>
      </c>
      <c r="U576" s="89">
        <f>U574+1</f>
        <v>1017</v>
      </c>
      <c r="V576" s="89" t="str">
        <f t="array" aca="1" ref="V576" ca="1">IFERROR(IF(INDEX('Disaggregation Records'!$I$69:$I$152,MATCH(RIGHT(Q576,255),RIGHT('Disaggregation Records'!$D$69:$D$152,255),0))="","",INDEX('Disaggregation Records'!$I$69:$I$152,MATCH(RIGHT(Q576,255),RIGHT('Disaggregation Records'!$D$69:$D$152,255),0))),"")</f>
        <v/>
      </c>
      <c r="W576" s="89" t="str">
        <f ca="1">IFERROR(INDEX('Reference Records'!P$23:P$74,MATCH(LEFT(C576,255),'Reference Records'!J$23:J$74,0)),"")</f>
        <v/>
      </c>
    </row>
    <row r="577" spans="1:23" s="89" customFormat="1" ht="40.35" customHeight="1">
      <c r="A577" s="564"/>
      <c r="B577" s="799"/>
      <c r="C577" s="800"/>
      <c r="D577" s="801"/>
      <c r="E577" s="801"/>
      <c r="F577" s="128"/>
      <c r="G577" s="802"/>
      <c r="H577" s="781"/>
      <c r="I577" s="803"/>
      <c r="J577" s="779"/>
      <c r="K577" s="800"/>
      <c r="L577" s="800"/>
      <c r="M577" s="779"/>
      <c r="N577" s="779"/>
      <c r="V577" s="89" t="str">
        <f t="array" ref="V577">IFERROR(IF(INDEX('Disaggregation Records'!$I$69:$I$152,MATCH(RIGHT(Q577,255),RIGHT('Disaggregation Records'!$D$69:$D$152,255),0))="","",INDEX('Disaggregation Records'!$I$69:$I$152,MATCH(RIGHT(Q577,255),RIGHT('Disaggregation Records'!$D$69:$D$152,255),0))),"")</f>
        <v/>
      </c>
    </row>
    <row r="578" spans="1:23" s="89" customFormat="1" ht="40.35" customHeight="1">
      <c r="A578" s="564" t="str">
        <f ca="1">INDIRECT("'update Helper'!C"&amp;U578)</f>
        <v>a1V3p000006h2xrEAA</v>
      </c>
      <c r="B578" s="794">
        <v>14</v>
      </c>
      <c r="C578" s="795" t="str">
        <f ca="1">IFERROR(VLOOKUP(B578,'Outcome Indicators - Section C '!$A$9:$AF$70,32,FALSE),"")</f>
        <v/>
      </c>
      <c r="D578" s="796" t="str">
        <f ca="1">R578</f>
        <v/>
      </c>
      <c r="E578" s="796" t="str">
        <f ca="1">S578</f>
        <v/>
      </c>
      <c r="F578" s="127"/>
      <c r="G578" s="797" t="str">
        <f ca="1">IF(OR(INDIRECT("'update Helper'!E"&amp;U578)="",F578&lt;&gt;0,F579&lt;&gt;0),IF(IFERROR((F578/F579),"")="","",(F578/F579)),INDIRECT("'update Helper'!E"&amp;U578)/100)</f>
        <v/>
      </c>
      <c r="H578" s="784"/>
      <c r="I578" s="798"/>
      <c r="J578" s="777"/>
      <c r="K578" s="795" t="str">
        <f ca="1">W578</f>
        <v/>
      </c>
      <c r="L578" s="795" t="str">
        <f ca="1">V578</f>
        <v/>
      </c>
      <c r="M578" s="777"/>
      <c r="N578" s="777"/>
      <c r="P578" s="89">
        <f ca="1">IF(AND(EXACT(C578,C576),C576&lt;&gt;0),P576+1,0)</f>
        <v>61</v>
      </c>
      <c r="Q578" s="89" t="str">
        <f ca="1">IF(C578&lt;&gt;"",C578&amp;"-"&amp;P578,"")</f>
        <v/>
      </c>
      <c r="R578" s="89" t="str">
        <f t="array" aca="1" ref="R578" ca="1">IFERROR(IF(INDEX('Disaggregation Records'!$E$69:$E$152,MATCH(RIGHT(Q578,255),RIGHT('Disaggregation Records'!$D$69:$D$152,255),0))="","",INDEX('Disaggregation Records'!$E$69:$E$152,MATCH(RIGHT(Q578,255),RIGHT('Disaggregation Records'!$D$69:$D$152,255),0))),"")</f>
        <v/>
      </c>
      <c r="S578" s="89" t="str">
        <f t="array" aca="1" ref="S578" ca="1">IFERROR(IF(INDEX('Disaggregation Records'!$F$69:$F$152,MATCH(RIGHT(Q578,255),RIGHT('Disaggregation Records'!$D$69:$D$152,255),0))="","",INDEX('Disaggregation Records'!$F$69:$F$152,MATCH(RIGHT(Q578,255),RIGHT('Disaggregation Records'!$D$69:$D$152,255),0))),"")</f>
        <v/>
      </c>
      <c r="T578" s="89" t="str">
        <f t="array" aca="1" ref="T578" ca="1">IFERROR(IF(INDEX('Disaggregation Records'!$H$69:$H$152,MATCH(RIGHT(Q578,255),RIGHT('Disaggregation Records'!$D$69:$D$152,255),0))="","",INDEX('Disaggregation Records'!$H$69:$H$152,MATCH(RIGHT(Q578,255),RIGHT('Disaggregation Records'!$D$69:$D$152,255),0))),"")</f>
        <v/>
      </c>
      <c r="U578" s="89">
        <f>U576+1</f>
        <v>1018</v>
      </c>
      <c r="V578" s="89" t="str">
        <f t="array" aca="1" ref="V578" ca="1">IFERROR(IF(INDEX('Disaggregation Records'!$I$69:$I$152,MATCH(RIGHT(Q578,255),RIGHT('Disaggregation Records'!$D$69:$D$152,255),0))="","",INDEX('Disaggregation Records'!$I$69:$I$152,MATCH(RIGHT(Q578,255),RIGHT('Disaggregation Records'!$D$69:$D$152,255),0))),"")</f>
        <v/>
      </c>
      <c r="W578" s="89" t="str">
        <f ca="1">IFERROR(INDEX('Reference Records'!P$23:P$74,MATCH(LEFT(C578,255),'Reference Records'!J$23:J$74,0)),"")</f>
        <v/>
      </c>
    </row>
    <row r="579" spans="1:23" s="89" customFormat="1" ht="40.35" customHeight="1">
      <c r="A579" s="564"/>
      <c r="B579" s="799"/>
      <c r="C579" s="800"/>
      <c r="D579" s="801"/>
      <c r="E579" s="801"/>
      <c r="F579" s="128"/>
      <c r="G579" s="802"/>
      <c r="H579" s="781"/>
      <c r="I579" s="803"/>
      <c r="J579" s="779"/>
      <c r="K579" s="800"/>
      <c r="L579" s="800"/>
      <c r="M579" s="779"/>
      <c r="N579" s="779"/>
      <c r="V579" s="89" t="str">
        <f t="array" ref="V579">IFERROR(IF(INDEX('Disaggregation Records'!$I$69:$I$152,MATCH(RIGHT(Q579,255),RIGHT('Disaggregation Records'!$D$69:$D$152,255),0))="","",INDEX('Disaggregation Records'!$I$69:$I$152,MATCH(RIGHT(Q579,255),RIGHT('Disaggregation Records'!$D$69:$D$152,255),0))),"")</f>
        <v/>
      </c>
    </row>
    <row r="580" spans="1:23" s="89" customFormat="1" ht="40.35" customHeight="1">
      <c r="A580" s="564" t="str">
        <f ca="1">INDIRECT("'update Helper'!C"&amp;U580)</f>
        <v>a1V3p000006h2xsEAA</v>
      </c>
      <c r="B580" s="794">
        <v>14</v>
      </c>
      <c r="C580" s="795" t="str">
        <f ca="1">IFERROR(VLOOKUP(B580,'Outcome Indicators - Section C '!$A$9:$AF$70,32,FALSE),"")</f>
        <v/>
      </c>
      <c r="D580" s="796" t="str">
        <f ca="1">R580</f>
        <v/>
      </c>
      <c r="E580" s="796" t="str">
        <f ca="1">S580</f>
        <v/>
      </c>
      <c r="F580" s="127"/>
      <c r="G580" s="797" t="str">
        <f ca="1">IF(OR(INDIRECT("'update Helper'!E"&amp;U580)="",F580&lt;&gt;0,F581&lt;&gt;0),IF(IFERROR((F580/F581),"")="","",(F580/F581)),INDIRECT("'update Helper'!E"&amp;U580)/100)</f>
        <v/>
      </c>
      <c r="H580" s="784"/>
      <c r="I580" s="798"/>
      <c r="J580" s="777"/>
      <c r="K580" s="795" t="str">
        <f ca="1">W580</f>
        <v/>
      </c>
      <c r="L580" s="795" t="str">
        <f ca="1">V580</f>
        <v/>
      </c>
      <c r="M580" s="777"/>
      <c r="N580" s="777"/>
      <c r="P580" s="89">
        <f ca="1">IF(AND(EXACT(C580,C578),C578&lt;&gt;0),P578+1,0)</f>
        <v>62</v>
      </c>
      <c r="Q580" s="89" t="str">
        <f ca="1">IF(C580&lt;&gt;"",C580&amp;"-"&amp;P580,"")</f>
        <v/>
      </c>
      <c r="R580" s="89" t="str">
        <f t="array" aca="1" ref="R580" ca="1">IFERROR(IF(INDEX('Disaggregation Records'!$E$69:$E$152,MATCH(RIGHT(Q580,255),RIGHT('Disaggregation Records'!$D$69:$D$152,255),0))="","",INDEX('Disaggregation Records'!$E$69:$E$152,MATCH(RIGHT(Q580,255),RIGHT('Disaggregation Records'!$D$69:$D$152,255),0))),"")</f>
        <v/>
      </c>
      <c r="S580" s="89" t="str">
        <f t="array" aca="1" ref="S580" ca="1">IFERROR(IF(INDEX('Disaggregation Records'!$F$69:$F$152,MATCH(RIGHT(Q580,255),RIGHT('Disaggregation Records'!$D$69:$D$152,255),0))="","",INDEX('Disaggregation Records'!$F$69:$F$152,MATCH(RIGHT(Q580,255),RIGHT('Disaggregation Records'!$D$69:$D$152,255),0))),"")</f>
        <v/>
      </c>
      <c r="T580" s="89" t="str">
        <f t="array" aca="1" ref="T580" ca="1">IFERROR(IF(INDEX('Disaggregation Records'!$H$69:$H$152,MATCH(RIGHT(Q580,255),RIGHT('Disaggregation Records'!$D$69:$D$152,255),0))="","",INDEX('Disaggregation Records'!$H$69:$H$152,MATCH(RIGHT(Q580,255),RIGHT('Disaggregation Records'!$D$69:$D$152,255),0))),"")</f>
        <v/>
      </c>
      <c r="U580" s="89">
        <f>U578+1</f>
        <v>1019</v>
      </c>
      <c r="V580" s="89" t="str">
        <f t="array" aca="1" ref="V580" ca="1">IFERROR(IF(INDEX('Disaggregation Records'!$I$69:$I$152,MATCH(RIGHT(Q580,255),RIGHT('Disaggregation Records'!$D$69:$D$152,255),0))="","",INDEX('Disaggregation Records'!$I$69:$I$152,MATCH(RIGHT(Q580,255),RIGHT('Disaggregation Records'!$D$69:$D$152,255),0))),"")</f>
        <v/>
      </c>
      <c r="W580" s="89" t="str">
        <f ca="1">IFERROR(INDEX('Reference Records'!P$23:P$74,MATCH(LEFT(C580,255),'Reference Records'!J$23:J$74,0)),"")</f>
        <v/>
      </c>
    </row>
    <row r="581" spans="1:23" s="89" customFormat="1" ht="40.35" customHeight="1">
      <c r="A581" s="564"/>
      <c r="B581" s="799"/>
      <c r="C581" s="800"/>
      <c r="D581" s="801"/>
      <c r="E581" s="801"/>
      <c r="F581" s="128"/>
      <c r="G581" s="802"/>
      <c r="H581" s="781"/>
      <c r="I581" s="803"/>
      <c r="J581" s="779"/>
      <c r="K581" s="800"/>
      <c r="L581" s="800"/>
      <c r="M581" s="779"/>
      <c r="N581" s="779"/>
      <c r="V581" s="89" t="str">
        <f t="array" ref="V581">IFERROR(IF(INDEX('Disaggregation Records'!$I$69:$I$152,MATCH(RIGHT(Q581,255),RIGHT('Disaggregation Records'!$D$69:$D$152,255),0))="","",INDEX('Disaggregation Records'!$I$69:$I$152,MATCH(RIGHT(Q581,255),RIGHT('Disaggregation Records'!$D$69:$D$152,255),0))),"")</f>
        <v/>
      </c>
    </row>
    <row r="582" spans="1:23" s="89" customFormat="1" ht="40.35" customHeight="1">
      <c r="A582" s="564" t="str">
        <f ca="1">INDIRECT("'update Helper'!C"&amp;U582)</f>
        <v>a1V3p000006h2xtEAA</v>
      </c>
      <c r="B582" s="794">
        <v>14</v>
      </c>
      <c r="C582" s="795" t="str">
        <f ca="1">IFERROR(VLOOKUP(B582,'Outcome Indicators - Section C '!$A$9:$AF$70,32,FALSE),"")</f>
        <v/>
      </c>
      <c r="D582" s="796" t="str">
        <f ca="1">R582</f>
        <v/>
      </c>
      <c r="E582" s="796" t="str">
        <f ca="1">S582</f>
        <v/>
      </c>
      <c r="F582" s="127"/>
      <c r="G582" s="797" t="str">
        <f ca="1">IF(OR(INDIRECT("'update Helper'!E"&amp;U582)="",F582&lt;&gt;0,F583&lt;&gt;0),IF(IFERROR((F582/F583),"")="","",(F582/F583)),INDIRECT("'update Helper'!E"&amp;U582)/100)</f>
        <v/>
      </c>
      <c r="H582" s="784"/>
      <c r="I582" s="798"/>
      <c r="J582" s="777"/>
      <c r="K582" s="795" t="str">
        <f ca="1">W582</f>
        <v/>
      </c>
      <c r="L582" s="795" t="str">
        <f ca="1">V582</f>
        <v/>
      </c>
      <c r="M582" s="777"/>
      <c r="N582" s="777"/>
      <c r="P582" s="89">
        <f ca="1">IF(AND(EXACT(C582,C580),C580&lt;&gt;0),P580+1,0)</f>
        <v>63</v>
      </c>
      <c r="Q582" s="89" t="str">
        <f ca="1">IF(C582&lt;&gt;"",C582&amp;"-"&amp;P582,"")</f>
        <v/>
      </c>
      <c r="R582" s="89" t="str">
        <f t="array" aca="1" ref="R582" ca="1">IFERROR(IF(INDEX('Disaggregation Records'!$E$69:$E$152,MATCH(RIGHT(Q582,255),RIGHT('Disaggregation Records'!$D$69:$D$152,255),0))="","",INDEX('Disaggregation Records'!$E$69:$E$152,MATCH(RIGHT(Q582,255),RIGHT('Disaggregation Records'!$D$69:$D$152,255),0))),"")</f>
        <v/>
      </c>
      <c r="S582" s="89" t="str">
        <f t="array" aca="1" ref="S582" ca="1">IFERROR(IF(INDEX('Disaggregation Records'!$F$69:$F$152,MATCH(RIGHT(Q582,255),RIGHT('Disaggregation Records'!$D$69:$D$152,255),0))="","",INDEX('Disaggregation Records'!$F$69:$F$152,MATCH(RIGHT(Q582,255),RIGHT('Disaggregation Records'!$D$69:$D$152,255),0))),"")</f>
        <v/>
      </c>
      <c r="T582" s="89" t="str">
        <f t="array" aca="1" ref="T582" ca="1">IFERROR(IF(INDEX('Disaggregation Records'!$H$69:$H$152,MATCH(RIGHT(Q582,255),RIGHT('Disaggregation Records'!$D$69:$D$152,255),0))="","",INDEX('Disaggregation Records'!$H$69:$H$152,MATCH(RIGHT(Q582,255),RIGHT('Disaggregation Records'!$D$69:$D$152,255),0))),"")</f>
        <v/>
      </c>
      <c r="U582" s="89">
        <f>U580+1</f>
        <v>1020</v>
      </c>
      <c r="V582" s="89" t="str">
        <f t="array" aca="1" ref="V582" ca="1">IFERROR(IF(INDEX('Disaggregation Records'!$I$69:$I$152,MATCH(RIGHT(Q582,255),RIGHT('Disaggregation Records'!$D$69:$D$152,255),0))="","",INDEX('Disaggregation Records'!$I$69:$I$152,MATCH(RIGHT(Q582,255),RIGHT('Disaggregation Records'!$D$69:$D$152,255),0))),"")</f>
        <v/>
      </c>
      <c r="W582" s="89" t="str">
        <f ca="1">IFERROR(INDEX('Reference Records'!P$23:P$74,MATCH(LEFT(C582,255),'Reference Records'!J$23:J$74,0)),"")</f>
        <v/>
      </c>
    </row>
    <row r="583" spans="1:23" s="89" customFormat="1" ht="40.35" customHeight="1">
      <c r="A583" s="564"/>
      <c r="B583" s="799"/>
      <c r="C583" s="800"/>
      <c r="D583" s="801"/>
      <c r="E583" s="801"/>
      <c r="F583" s="128"/>
      <c r="G583" s="802"/>
      <c r="H583" s="781"/>
      <c r="I583" s="803"/>
      <c r="J583" s="779"/>
      <c r="K583" s="800"/>
      <c r="L583" s="800"/>
      <c r="M583" s="779"/>
      <c r="N583" s="779"/>
      <c r="V583" s="89" t="str">
        <f t="array" ref="V583">IFERROR(IF(INDEX('Disaggregation Records'!$I$69:$I$152,MATCH(RIGHT(Q583,255),RIGHT('Disaggregation Records'!$D$69:$D$152,255),0))="","",INDEX('Disaggregation Records'!$I$69:$I$152,MATCH(RIGHT(Q583,255),RIGHT('Disaggregation Records'!$D$69:$D$152,255),0))),"")</f>
        <v/>
      </c>
    </row>
    <row r="584" spans="1:23" s="89" customFormat="1" ht="40.35" customHeight="1">
      <c r="A584" s="564" t="str">
        <f ca="1">INDIRECT("'update Helper'!C"&amp;U584)</f>
        <v>a1V3p000006h2xuEAA</v>
      </c>
      <c r="B584" s="794">
        <v>14</v>
      </c>
      <c r="C584" s="795" t="str">
        <f ca="1">IFERROR(VLOOKUP(B584,'Outcome Indicators - Section C '!$A$9:$AF$70,32,FALSE),"")</f>
        <v/>
      </c>
      <c r="D584" s="796" t="str">
        <f ca="1">R584</f>
        <v/>
      </c>
      <c r="E584" s="796" t="str">
        <f ca="1">S584</f>
        <v/>
      </c>
      <c r="F584" s="127"/>
      <c r="G584" s="797" t="str">
        <f ca="1">IF(OR(INDIRECT("'update Helper'!E"&amp;U584)="",F584&lt;&gt;0,F585&lt;&gt;0),IF(IFERROR((F584/F585),"")="","",(F584/F585)),INDIRECT("'update Helper'!E"&amp;U584)/100)</f>
        <v/>
      </c>
      <c r="H584" s="784"/>
      <c r="I584" s="798"/>
      <c r="J584" s="777"/>
      <c r="K584" s="795" t="str">
        <f ca="1">W584</f>
        <v/>
      </c>
      <c r="L584" s="795" t="str">
        <f ca="1">V584</f>
        <v/>
      </c>
      <c r="M584" s="777"/>
      <c r="N584" s="777"/>
      <c r="P584" s="89">
        <f ca="1">IF(AND(EXACT(C584,C582),C582&lt;&gt;0),P582+1,0)</f>
        <v>64</v>
      </c>
      <c r="Q584" s="89" t="str">
        <f ca="1">IF(C584&lt;&gt;"",C584&amp;"-"&amp;P584,"")</f>
        <v/>
      </c>
      <c r="R584" s="89" t="str">
        <f t="array" aca="1" ref="R584" ca="1">IFERROR(IF(INDEX('Disaggregation Records'!$E$69:$E$152,MATCH(RIGHT(Q584,255),RIGHT('Disaggregation Records'!$D$69:$D$152,255),0))="","",INDEX('Disaggregation Records'!$E$69:$E$152,MATCH(RIGHT(Q584,255),RIGHT('Disaggregation Records'!$D$69:$D$152,255),0))),"")</f>
        <v/>
      </c>
      <c r="S584" s="89" t="str">
        <f t="array" aca="1" ref="S584" ca="1">IFERROR(IF(INDEX('Disaggregation Records'!$F$69:$F$152,MATCH(RIGHT(Q584,255),RIGHT('Disaggregation Records'!$D$69:$D$152,255),0))="","",INDEX('Disaggregation Records'!$F$69:$F$152,MATCH(RIGHT(Q584,255),RIGHT('Disaggregation Records'!$D$69:$D$152,255),0))),"")</f>
        <v/>
      </c>
      <c r="T584" s="89" t="str">
        <f t="array" aca="1" ref="T584" ca="1">IFERROR(IF(INDEX('Disaggregation Records'!$H$69:$H$152,MATCH(RIGHT(Q584,255),RIGHT('Disaggregation Records'!$D$69:$D$152,255),0))="","",INDEX('Disaggregation Records'!$H$69:$H$152,MATCH(RIGHT(Q584,255),RIGHT('Disaggregation Records'!$D$69:$D$152,255),0))),"")</f>
        <v/>
      </c>
      <c r="U584" s="89">
        <f>U582+1</f>
        <v>1021</v>
      </c>
      <c r="V584" s="89" t="str">
        <f t="array" aca="1" ref="V584" ca="1">IFERROR(IF(INDEX('Disaggregation Records'!$I$69:$I$152,MATCH(RIGHT(Q584,255),RIGHT('Disaggregation Records'!$D$69:$D$152,255),0))="","",INDEX('Disaggregation Records'!$I$69:$I$152,MATCH(RIGHT(Q584,255),RIGHT('Disaggregation Records'!$D$69:$D$152,255),0))),"")</f>
        <v/>
      </c>
      <c r="W584" s="89" t="str">
        <f ca="1">IFERROR(INDEX('Reference Records'!P$23:P$74,MATCH(LEFT(C584,255),'Reference Records'!J$23:J$74,0)),"")</f>
        <v/>
      </c>
    </row>
    <row r="585" spans="1:23" s="89" customFormat="1" ht="40.35" customHeight="1">
      <c r="A585" s="564"/>
      <c r="B585" s="799"/>
      <c r="C585" s="800"/>
      <c r="D585" s="801"/>
      <c r="E585" s="801"/>
      <c r="F585" s="128"/>
      <c r="G585" s="802"/>
      <c r="H585" s="781"/>
      <c r="I585" s="803"/>
      <c r="J585" s="779"/>
      <c r="K585" s="800"/>
      <c r="L585" s="800"/>
      <c r="M585" s="779"/>
      <c r="N585" s="779"/>
      <c r="V585" s="89" t="str">
        <f t="array" ref="V585">IFERROR(IF(INDEX('Disaggregation Records'!$I$69:$I$152,MATCH(RIGHT(Q585,255),RIGHT('Disaggregation Records'!$D$69:$D$152,255),0))="","",INDEX('Disaggregation Records'!$I$69:$I$152,MATCH(RIGHT(Q585,255),RIGHT('Disaggregation Records'!$D$69:$D$152,255),0))),"")</f>
        <v/>
      </c>
    </row>
    <row r="586" spans="1:23" s="89" customFormat="1" ht="40.35" customHeight="1">
      <c r="A586" s="564" t="str">
        <f ca="1">INDIRECT("'update Helper'!C"&amp;U586)</f>
        <v>a1V3p000006h2xvEAA</v>
      </c>
      <c r="B586" s="794">
        <v>14</v>
      </c>
      <c r="C586" s="795" t="str">
        <f ca="1">IFERROR(VLOOKUP(B586,'Outcome Indicators - Section C '!$A$9:$AF$70,32,FALSE),"")</f>
        <v/>
      </c>
      <c r="D586" s="796" t="str">
        <f ca="1">R586</f>
        <v/>
      </c>
      <c r="E586" s="796" t="str">
        <f ca="1">S586</f>
        <v/>
      </c>
      <c r="F586" s="127"/>
      <c r="G586" s="797" t="str">
        <f ca="1">IF(OR(INDIRECT("'update Helper'!E"&amp;U586)="",F586&lt;&gt;0,F587&lt;&gt;0),IF(IFERROR((F586/F587),"")="","",(F586/F587)),INDIRECT("'update Helper'!E"&amp;U586)/100)</f>
        <v/>
      </c>
      <c r="H586" s="784"/>
      <c r="I586" s="798"/>
      <c r="J586" s="777"/>
      <c r="K586" s="795" t="str">
        <f ca="1">W586</f>
        <v/>
      </c>
      <c r="L586" s="795" t="str">
        <f ca="1">V586</f>
        <v/>
      </c>
      <c r="M586" s="777"/>
      <c r="N586" s="777"/>
      <c r="P586" s="89">
        <f ca="1">IF(AND(EXACT(C586,C584),C584&lt;&gt;0),P584+1,0)</f>
        <v>65</v>
      </c>
      <c r="Q586" s="89" t="str">
        <f ca="1">IF(C586&lt;&gt;"",C586&amp;"-"&amp;P586,"")</f>
        <v/>
      </c>
      <c r="R586" s="89" t="str">
        <f t="array" aca="1" ref="R586" ca="1">IFERROR(IF(INDEX('Disaggregation Records'!$E$69:$E$152,MATCH(RIGHT(Q586,255),RIGHT('Disaggregation Records'!$D$69:$D$152,255),0))="","",INDEX('Disaggregation Records'!$E$69:$E$152,MATCH(RIGHT(Q586,255),RIGHT('Disaggregation Records'!$D$69:$D$152,255),0))),"")</f>
        <v/>
      </c>
      <c r="S586" s="89" t="str">
        <f t="array" aca="1" ref="S586" ca="1">IFERROR(IF(INDEX('Disaggregation Records'!$F$69:$F$152,MATCH(RIGHT(Q586,255),RIGHT('Disaggregation Records'!$D$69:$D$152,255),0))="","",INDEX('Disaggregation Records'!$F$69:$F$152,MATCH(RIGHT(Q586,255),RIGHT('Disaggregation Records'!$D$69:$D$152,255),0))),"")</f>
        <v/>
      </c>
      <c r="T586" s="89" t="str">
        <f t="array" aca="1" ref="T586" ca="1">IFERROR(IF(INDEX('Disaggregation Records'!$H$69:$H$152,MATCH(RIGHT(Q586,255),RIGHT('Disaggregation Records'!$D$69:$D$152,255),0))="","",INDEX('Disaggregation Records'!$H$69:$H$152,MATCH(RIGHT(Q586,255),RIGHT('Disaggregation Records'!$D$69:$D$152,255),0))),"")</f>
        <v/>
      </c>
      <c r="U586" s="89">
        <f>U584+1</f>
        <v>1022</v>
      </c>
      <c r="V586" s="89" t="str">
        <f t="array" aca="1" ref="V586" ca="1">IFERROR(IF(INDEX('Disaggregation Records'!$I$69:$I$152,MATCH(RIGHT(Q586,255),RIGHT('Disaggregation Records'!$D$69:$D$152,255),0))="","",INDEX('Disaggregation Records'!$I$69:$I$152,MATCH(RIGHT(Q586,255),RIGHT('Disaggregation Records'!$D$69:$D$152,255),0))),"")</f>
        <v/>
      </c>
      <c r="W586" s="89" t="str">
        <f ca="1">IFERROR(INDEX('Reference Records'!P$23:P$74,MATCH(LEFT(C586,255),'Reference Records'!J$23:J$74,0)),"")</f>
        <v/>
      </c>
    </row>
    <row r="587" spans="1:23" s="89" customFormat="1" ht="40.35" customHeight="1">
      <c r="A587" s="564"/>
      <c r="B587" s="799"/>
      <c r="C587" s="800"/>
      <c r="D587" s="801"/>
      <c r="E587" s="801"/>
      <c r="F587" s="128"/>
      <c r="G587" s="802"/>
      <c r="H587" s="781"/>
      <c r="I587" s="803"/>
      <c r="J587" s="779"/>
      <c r="K587" s="800"/>
      <c r="L587" s="800"/>
      <c r="M587" s="779"/>
      <c r="N587" s="779"/>
      <c r="V587" s="89" t="str">
        <f t="array" ref="V587">IFERROR(IF(INDEX('Disaggregation Records'!$I$69:$I$152,MATCH(RIGHT(Q587,255),RIGHT('Disaggregation Records'!$D$69:$D$152,255),0))="","",INDEX('Disaggregation Records'!$I$69:$I$152,MATCH(RIGHT(Q587,255),RIGHT('Disaggregation Records'!$D$69:$D$152,255),0))),"")</f>
        <v/>
      </c>
    </row>
    <row r="588" spans="1:23" s="89" customFormat="1" ht="40.35" customHeight="1">
      <c r="A588" s="564" t="str">
        <f ca="1">INDIRECT("'update Helper'!C"&amp;U588)</f>
        <v>a1V3p000006h2xwEAA</v>
      </c>
      <c r="B588" s="794">
        <v>14</v>
      </c>
      <c r="C588" s="795" t="str">
        <f ca="1">IFERROR(VLOOKUP(B588,'Outcome Indicators - Section C '!$A$9:$AF$70,32,FALSE),"")</f>
        <v/>
      </c>
      <c r="D588" s="796" t="str">
        <f ca="1">R588</f>
        <v/>
      </c>
      <c r="E588" s="796" t="str">
        <f ca="1">S588</f>
        <v/>
      </c>
      <c r="F588" s="127"/>
      <c r="G588" s="797" t="str">
        <f ca="1">IF(OR(INDIRECT("'update Helper'!E"&amp;U588)="",F588&lt;&gt;0,F589&lt;&gt;0),IF(IFERROR((F588/F589),"")="","",(F588/F589)),INDIRECT("'update Helper'!E"&amp;U588)/100)</f>
        <v/>
      </c>
      <c r="H588" s="784"/>
      <c r="I588" s="798"/>
      <c r="J588" s="777"/>
      <c r="K588" s="795" t="str">
        <f ca="1">W588</f>
        <v/>
      </c>
      <c r="L588" s="795" t="str">
        <f ca="1">V588</f>
        <v/>
      </c>
      <c r="M588" s="777"/>
      <c r="N588" s="777"/>
      <c r="P588" s="89">
        <f ca="1">IF(AND(EXACT(C588,C586),C586&lt;&gt;0),P586+1,0)</f>
        <v>66</v>
      </c>
      <c r="Q588" s="89" t="str">
        <f ca="1">IF(C588&lt;&gt;"",C588&amp;"-"&amp;P588,"")</f>
        <v/>
      </c>
      <c r="R588" s="89" t="str">
        <f t="array" aca="1" ref="R588" ca="1">IFERROR(IF(INDEX('Disaggregation Records'!$E$69:$E$152,MATCH(RIGHT(Q588,255),RIGHT('Disaggregation Records'!$D$69:$D$152,255),0))="","",INDEX('Disaggregation Records'!$E$69:$E$152,MATCH(RIGHT(Q588,255),RIGHT('Disaggregation Records'!$D$69:$D$152,255),0))),"")</f>
        <v/>
      </c>
      <c r="S588" s="89" t="str">
        <f t="array" aca="1" ref="S588" ca="1">IFERROR(IF(INDEX('Disaggregation Records'!$F$69:$F$152,MATCH(RIGHT(Q588,255),RIGHT('Disaggregation Records'!$D$69:$D$152,255),0))="","",INDEX('Disaggregation Records'!$F$69:$F$152,MATCH(RIGHT(Q588,255),RIGHT('Disaggregation Records'!$D$69:$D$152,255),0))),"")</f>
        <v/>
      </c>
      <c r="T588" s="89" t="str">
        <f t="array" aca="1" ref="T588" ca="1">IFERROR(IF(INDEX('Disaggregation Records'!$H$69:$H$152,MATCH(RIGHT(Q588,255),RIGHT('Disaggregation Records'!$D$69:$D$152,255),0))="","",INDEX('Disaggregation Records'!$H$69:$H$152,MATCH(RIGHT(Q588,255),RIGHT('Disaggregation Records'!$D$69:$D$152,255),0))),"")</f>
        <v/>
      </c>
      <c r="U588" s="89">
        <f>U586+1</f>
        <v>1023</v>
      </c>
      <c r="V588" s="89" t="str">
        <f t="array" aca="1" ref="V588" ca="1">IFERROR(IF(INDEX('Disaggregation Records'!$I$69:$I$152,MATCH(RIGHT(Q588,255),RIGHT('Disaggregation Records'!$D$69:$D$152,255),0))="","",INDEX('Disaggregation Records'!$I$69:$I$152,MATCH(RIGHT(Q588,255),RIGHT('Disaggregation Records'!$D$69:$D$152,255),0))),"")</f>
        <v/>
      </c>
      <c r="W588" s="89" t="str">
        <f ca="1">IFERROR(INDEX('Reference Records'!P$23:P$74,MATCH(LEFT(C588,255),'Reference Records'!J$23:J$74,0)),"")</f>
        <v/>
      </c>
    </row>
    <row r="589" spans="1:23" s="89" customFormat="1" ht="40.35" customHeight="1">
      <c r="A589" s="564"/>
      <c r="B589" s="799"/>
      <c r="C589" s="800"/>
      <c r="D589" s="801"/>
      <c r="E589" s="801"/>
      <c r="F589" s="128"/>
      <c r="G589" s="802"/>
      <c r="H589" s="781"/>
      <c r="I589" s="803"/>
      <c r="J589" s="779"/>
      <c r="K589" s="800"/>
      <c r="L589" s="800"/>
      <c r="M589" s="779"/>
      <c r="N589" s="779"/>
      <c r="V589" s="89" t="str">
        <f t="array" ref="V589">IFERROR(IF(INDEX('Disaggregation Records'!$I$69:$I$152,MATCH(RIGHT(Q589,255),RIGHT('Disaggregation Records'!$D$69:$D$152,255),0))="","",INDEX('Disaggregation Records'!$I$69:$I$152,MATCH(RIGHT(Q589,255),RIGHT('Disaggregation Records'!$D$69:$D$152,255),0))),"")</f>
        <v/>
      </c>
    </row>
    <row r="590" spans="1:23" s="89" customFormat="1" ht="40.35" customHeight="1">
      <c r="A590" s="564" t="str">
        <f ca="1">INDIRECT("'update Helper'!C"&amp;U590)</f>
        <v>a1V3p000006h2xxEAA</v>
      </c>
      <c r="B590" s="794">
        <v>14</v>
      </c>
      <c r="C590" s="795" t="str">
        <f ca="1">IFERROR(VLOOKUP(B590,'Outcome Indicators - Section C '!$A$9:$AF$70,32,FALSE),"")</f>
        <v/>
      </c>
      <c r="D590" s="796" t="str">
        <f ca="1">R590</f>
        <v/>
      </c>
      <c r="E590" s="796" t="str">
        <f ca="1">S590</f>
        <v/>
      </c>
      <c r="F590" s="127"/>
      <c r="G590" s="797" t="str">
        <f ca="1">IF(OR(INDIRECT("'update Helper'!E"&amp;U590)="",F590&lt;&gt;0,F591&lt;&gt;0),IF(IFERROR((F590/F591),"")="","",(F590/F591)),INDIRECT("'update Helper'!E"&amp;U590)/100)</f>
        <v/>
      </c>
      <c r="H590" s="784"/>
      <c r="I590" s="798"/>
      <c r="J590" s="777"/>
      <c r="K590" s="795" t="str">
        <f ca="1">W590</f>
        <v/>
      </c>
      <c r="L590" s="795" t="str">
        <f ca="1">V590</f>
        <v/>
      </c>
      <c r="M590" s="777"/>
      <c r="N590" s="777"/>
      <c r="P590" s="89">
        <f ca="1">IF(AND(EXACT(C590,C588),C588&lt;&gt;0),P588+1,0)</f>
        <v>67</v>
      </c>
      <c r="Q590" s="89" t="str">
        <f ca="1">IF(C590&lt;&gt;"",C590&amp;"-"&amp;P590,"")</f>
        <v/>
      </c>
      <c r="R590" s="89" t="str">
        <f t="array" aca="1" ref="R590" ca="1">IFERROR(IF(INDEX('Disaggregation Records'!$E$69:$E$152,MATCH(RIGHT(Q590,255),RIGHT('Disaggregation Records'!$D$69:$D$152,255),0))="","",INDEX('Disaggregation Records'!$E$69:$E$152,MATCH(RIGHT(Q590,255),RIGHT('Disaggregation Records'!$D$69:$D$152,255),0))),"")</f>
        <v/>
      </c>
      <c r="S590" s="89" t="str">
        <f t="array" aca="1" ref="S590" ca="1">IFERROR(IF(INDEX('Disaggregation Records'!$F$69:$F$152,MATCH(RIGHT(Q590,255),RIGHT('Disaggregation Records'!$D$69:$D$152,255),0))="","",INDEX('Disaggregation Records'!$F$69:$F$152,MATCH(RIGHT(Q590,255),RIGHT('Disaggregation Records'!$D$69:$D$152,255),0))),"")</f>
        <v/>
      </c>
      <c r="T590" s="89" t="str">
        <f t="array" aca="1" ref="T590" ca="1">IFERROR(IF(INDEX('Disaggregation Records'!$H$69:$H$152,MATCH(RIGHT(Q590,255),RIGHT('Disaggregation Records'!$D$69:$D$152,255),0))="","",INDEX('Disaggregation Records'!$H$69:$H$152,MATCH(RIGHT(Q590,255),RIGHT('Disaggregation Records'!$D$69:$D$152,255),0))),"")</f>
        <v/>
      </c>
      <c r="U590" s="89">
        <f>U588+1</f>
        <v>1024</v>
      </c>
      <c r="V590" s="89" t="str">
        <f t="array" aca="1" ref="V590" ca="1">IFERROR(IF(INDEX('Disaggregation Records'!$I$69:$I$152,MATCH(RIGHT(Q590,255),RIGHT('Disaggregation Records'!$D$69:$D$152,255),0))="","",INDEX('Disaggregation Records'!$I$69:$I$152,MATCH(RIGHT(Q590,255),RIGHT('Disaggregation Records'!$D$69:$D$152,255),0))),"")</f>
        <v/>
      </c>
      <c r="W590" s="89" t="str">
        <f ca="1">IFERROR(INDEX('Reference Records'!P$23:P$74,MATCH(LEFT(C590,255),'Reference Records'!J$23:J$74,0)),"")</f>
        <v/>
      </c>
    </row>
    <row r="591" spans="1:23" s="89" customFormat="1" ht="40.35" customHeight="1">
      <c r="A591" s="564"/>
      <c r="B591" s="799"/>
      <c r="C591" s="800"/>
      <c r="D591" s="801"/>
      <c r="E591" s="801"/>
      <c r="F591" s="128"/>
      <c r="G591" s="802"/>
      <c r="H591" s="781"/>
      <c r="I591" s="803"/>
      <c r="J591" s="779"/>
      <c r="K591" s="800"/>
      <c r="L591" s="800"/>
      <c r="M591" s="779"/>
      <c r="N591" s="779"/>
      <c r="V591" s="89" t="str">
        <f t="array" ref="V591">IFERROR(IF(INDEX('Disaggregation Records'!$I$69:$I$152,MATCH(RIGHT(Q591,255),RIGHT('Disaggregation Records'!$D$69:$D$152,255),0))="","",INDEX('Disaggregation Records'!$I$69:$I$152,MATCH(RIGHT(Q591,255),RIGHT('Disaggregation Records'!$D$69:$D$152,255),0))),"")</f>
        <v/>
      </c>
    </row>
    <row r="592" spans="1:23" s="89" customFormat="1" ht="40.35" customHeight="1">
      <c r="A592" s="564" t="str">
        <f ca="1">INDIRECT("'update Helper'!C"&amp;U592)</f>
        <v>a1V3p000006h2xyEAA</v>
      </c>
      <c r="B592" s="794">
        <v>14</v>
      </c>
      <c r="C592" s="795" t="str">
        <f ca="1">IFERROR(VLOOKUP(B592,'Outcome Indicators - Section C '!$A$9:$AF$70,32,FALSE),"")</f>
        <v/>
      </c>
      <c r="D592" s="796" t="str">
        <f ca="1">R592</f>
        <v/>
      </c>
      <c r="E592" s="796" t="str">
        <f ca="1">S592</f>
        <v/>
      </c>
      <c r="F592" s="127"/>
      <c r="G592" s="797" t="str">
        <f ca="1">IF(OR(INDIRECT("'update Helper'!E"&amp;U592)="",F592&lt;&gt;0,F593&lt;&gt;0),IF(IFERROR((F592/F593),"")="","",(F592/F593)),INDIRECT("'update Helper'!E"&amp;U592)/100)</f>
        <v/>
      </c>
      <c r="H592" s="784"/>
      <c r="I592" s="798"/>
      <c r="J592" s="777"/>
      <c r="K592" s="795" t="str">
        <f ca="1">W592</f>
        <v/>
      </c>
      <c r="L592" s="795" t="str">
        <f ca="1">V592</f>
        <v/>
      </c>
      <c r="M592" s="777"/>
      <c r="N592" s="777"/>
      <c r="P592" s="89">
        <f ca="1">IF(AND(EXACT(C592,C590),C590&lt;&gt;0),P590+1,0)</f>
        <v>68</v>
      </c>
      <c r="Q592" s="89" t="str">
        <f ca="1">IF(C592&lt;&gt;"",C592&amp;"-"&amp;P592,"")</f>
        <v/>
      </c>
      <c r="R592" s="89" t="str">
        <f t="array" aca="1" ref="R592" ca="1">IFERROR(IF(INDEX('Disaggregation Records'!$E$69:$E$152,MATCH(RIGHT(Q592,255),RIGHT('Disaggregation Records'!$D$69:$D$152,255),0))="","",INDEX('Disaggregation Records'!$E$69:$E$152,MATCH(RIGHT(Q592,255),RIGHT('Disaggregation Records'!$D$69:$D$152,255),0))),"")</f>
        <v/>
      </c>
      <c r="S592" s="89" t="str">
        <f t="array" aca="1" ref="S592" ca="1">IFERROR(IF(INDEX('Disaggregation Records'!$F$69:$F$152,MATCH(RIGHT(Q592,255),RIGHT('Disaggregation Records'!$D$69:$D$152,255),0))="","",INDEX('Disaggregation Records'!$F$69:$F$152,MATCH(RIGHT(Q592,255),RIGHT('Disaggregation Records'!$D$69:$D$152,255),0))),"")</f>
        <v/>
      </c>
      <c r="T592" s="89" t="str">
        <f t="array" aca="1" ref="T592" ca="1">IFERROR(IF(INDEX('Disaggregation Records'!$H$69:$H$152,MATCH(RIGHT(Q592,255),RIGHT('Disaggregation Records'!$D$69:$D$152,255),0))="","",INDEX('Disaggregation Records'!$H$69:$H$152,MATCH(RIGHT(Q592,255),RIGHT('Disaggregation Records'!$D$69:$D$152,255),0))),"")</f>
        <v/>
      </c>
      <c r="U592" s="89">
        <f>U590+1</f>
        <v>1025</v>
      </c>
      <c r="V592" s="89" t="str">
        <f t="array" aca="1" ref="V592" ca="1">IFERROR(IF(INDEX('Disaggregation Records'!$I$69:$I$152,MATCH(RIGHT(Q592,255),RIGHT('Disaggregation Records'!$D$69:$D$152,255),0))="","",INDEX('Disaggregation Records'!$I$69:$I$152,MATCH(RIGHT(Q592,255),RIGHT('Disaggregation Records'!$D$69:$D$152,255),0))),"")</f>
        <v/>
      </c>
      <c r="W592" s="89" t="str">
        <f ca="1">IFERROR(INDEX('Reference Records'!P$23:P$74,MATCH(LEFT(C592,255),'Reference Records'!J$23:J$74,0)),"")</f>
        <v/>
      </c>
    </row>
    <row r="593" spans="1:23" s="89" customFormat="1" ht="40.35" customHeight="1">
      <c r="A593" s="564"/>
      <c r="B593" s="799"/>
      <c r="C593" s="800"/>
      <c r="D593" s="801"/>
      <c r="E593" s="801"/>
      <c r="F593" s="128"/>
      <c r="G593" s="802"/>
      <c r="H593" s="781"/>
      <c r="I593" s="803"/>
      <c r="J593" s="779"/>
      <c r="K593" s="800"/>
      <c r="L593" s="800"/>
      <c r="M593" s="779"/>
      <c r="N593" s="779"/>
      <c r="V593" s="89" t="str">
        <f t="array" ref="V593">IFERROR(IF(INDEX('Disaggregation Records'!$I$69:$I$152,MATCH(RIGHT(Q593,255),RIGHT('Disaggregation Records'!$D$69:$D$152,255),0))="","",INDEX('Disaggregation Records'!$I$69:$I$152,MATCH(RIGHT(Q593,255),RIGHT('Disaggregation Records'!$D$69:$D$152,255),0))),"")</f>
        <v/>
      </c>
    </row>
    <row r="594" spans="1:23" s="89" customFormat="1" ht="40.35" customHeight="1">
      <c r="A594" s="564" t="str">
        <f ca="1">INDIRECT("'update Helper'!C"&amp;U594)</f>
        <v>a1V3p000006h2xzEAA</v>
      </c>
      <c r="B594" s="794">
        <v>14</v>
      </c>
      <c r="C594" s="795" t="str">
        <f ca="1">IFERROR(VLOOKUP(B594,'Outcome Indicators - Section C '!$A$9:$AF$70,32,FALSE),"")</f>
        <v/>
      </c>
      <c r="D594" s="796" t="str">
        <f ca="1">R594</f>
        <v/>
      </c>
      <c r="E594" s="796" t="str">
        <f ca="1">S594</f>
        <v/>
      </c>
      <c r="F594" s="127"/>
      <c r="G594" s="797" t="str">
        <f ca="1">IF(OR(INDIRECT("'update Helper'!E"&amp;U594)="",F594&lt;&gt;0,F595&lt;&gt;0),IF(IFERROR((F594/F595),"")="","",(F594/F595)),INDIRECT("'update Helper'!E"&amp;U594)/100)</f>
        <v/>
      </c>
      <c r="H594" s="784"/>
      <c r="I594" s="798"/>
      <c r="J594" s="777"/>
      <c r="K594" s="795" t="str">
        <f ca="1">W594</f>
        <v/>
      </c>
      <c r="L594" s="795" t="str">
        <f ca="1">V594</f>
        <v/>
      </c>
      <c r="M594" s="777"/>
      <c r="N594" s="777"/>
      <c r="P594" s="89">
        <f ca="1">IF(AND(EXACT(C594,C592),C592&lt;&gt;0),P592+1,0)</f>
        <v>69</v>
      </c>
      <c r="Q594" s="89" t="str">
        <f ca="1">IF(C594&lt;&gt;"",C594&amp;"-"&amp;P594,"")</f>
        <v/>
      </c>
      <c r="R594" s="89" t="str">
        <f t="array" aca="1" ref="R594" ca="1">IFERROR(IF(INDEX('Disaggregation Records'!$E$69:$E$152,MATCH(RIGHT(Q594,255),RIGHT('Disaggregation Records'!$D$69:$D$152,255),0))="","",INDEX('Disaggregation Records'!$E$69:$E$152,MATCH(RIGHT(Q594,255),RIGHT('Disaggregation Records'!$D$69:$D$152,255),0))),"")</f>
        <v/>
      </c>
      <c r="S594" s="89" t="str">
        <f t="array" aca="1" ref="S594" ca="1">IFERROR(IF(INDEX('Disaggregation Records'!$F$69:$F$152,MATCH(RIGHT(Q594,255),RIGHT('Disaggregation Records'!$D$69:$D$152,255),0))="","",INDEX('Disaggregation Records'!$F$69:$F$152,MATCH(RIGHT(Q594,255),RIGHT('Disaggregation Records'!$D$69:$D$152,255),0))),"")</f>
        <v/>
      </c>
      <c r="T594" s="89" t="str">
        <f t="array" aca="1" ref="T594" ca="1">IFERROR(IF(INDEX('Disaggregation Records'!$H$69:$H$152,MATCH(RIGHT(Q594,255),RIGHT('Disaggregation Records'!$D$69:$D$152,255),0))="","",INDEX('Disaggregation Records'!$H$69:$H$152,MATCH(RIGHT(Q594,255),RIGHT('Disaggregation Records'!$D$69:$D$152,255),0))),"")</f>
        <v/>
      </c>
      <c r="U594" s="89">
        <f>U592+1</f>
        <v>1026</v>
      </c>
      <c r="V594" s="89" t="str">
        <f t="array" aca="1" ref="V594" ca="1">IFERROR(IF(INDEX('Disaggregation Records'!$I$69:$I$152,MATCH(RIGHT(Q594,255),RIGHT('Disaggregation Records'!$D$69:$D$152,255),0))="","",INDEX('Disaggregation Records'!$I$69:$I$152,MATCH(RIGHT(Q594,255),RIGHT('Disaggregation Records'!$D$69:$D$152,255),0))),"")</f>
        <v/>
      </c>
      <c r="W594" s="89" t="str">
        <f ca="1">IFERROR(INDEX('Reference Records'!P$23:P$74,MATCH(LEFT(C594,255),'Reference Records'!J$23:J$74,0)),"")</f>
        <v/>
      </c>
    </row>
    <row r="595" spans="1:23" s="89" customFormat="1" ht="40.35" customHeight="1">
      <c r="A595" s="564"/>
      <c r="B595" s="799"/>
      <c r="C595" s="800"/>
      <c r="D595" s="801"/>
      <c r="E595" s="801"/>
      <c r="F595" s="128"/>
      <c r="G595" s="802"/>
      <c r="H595" s="781"/>
      <c r="I595" s="803"/>
      <c r="J595" s="779"/>
      <c r="K595" s="800"/>
      <c r="L595" s="800"/>
      <c r="M595" s="779"/>
      <c r="N595" s="779"/>
      <c r="V595" s="89" t="str">
        <f t="array" ref="V595">IFERROR(IF(INDEX('Disaggregation Records'!$I$69:$I$152,MATCH(RIGHT(Q595,255),RIGHT('Disaggregation Records'!$D$69:$D$152,255),0))="","",INDEX('Disaggregation Records'!$I$69:$I$152,MATCH(RIGHT(Q595,255),RIGHT('Disaggregation Records'!$D$69:$D$152,255),0))),"")</f>
        <v/>
      </c>
    </row>
    <row r="596" spans="1:23" s="89" customFormat="1" ht="40.35" customHeight="1">
      <c r="A596" s="564" t="str">
        <f ca="1">INDIRECT("'update Helper'!C"&amp;U596)</f>
        <v>a1V3p000006h2y0EAA</v>
      </c>
      <c r="B596" s="794">
        <v>15</v>
      </c>
      <c r="C596" s="795" t="str">
        <f ca="1">IFERROR(VLOOKUP(B596,'Outcome Indicators - Section C '!$A$9:$AF$70,32,FALSE),"")</f>
        <v/>
      </c>
      <c r="D596" s="796" t="str">
        <f ca="1">R596</f>
        <v/>
      </c>
      <c r="E596" s="796" t="str">
        <f ca="1">S596</f>
        <v/>
      </c>
      <c r="F596" s="127"/>
      <c r="G596" s="797" t="str">
        <f ca="1">IF(OR(INDIRECT("'update Helper'!E"&amp;U596)="",F596&lt;&gt;0,F597&lt;&gt;0),IF(IFERROR((F596/F597),"")="","",(F596/F597)),INDIRECT("'update Helper'!E"&amp;U596)/100)</f>
        <v/>
      </c>
      <c r="H596" s="784"/>
      <c r="I596" s="798"/>
      <c r="J596" s="777"/>
      <c r="K596" s="795" t="str">
        <f ca="1">W596</f>
        <v/>
      </c>
      <c r="L596" s="795" t="str">
        <f ca="1">V596</f>
        <v/>
      </c>
      <c r="M596" s="777"/>
      <c r="N596" s="777"/>
      <c r="P596" s="89">
        <f ca="1">IF(AND(EXACT(C596,C594),C594&lt;&gt;0),P594+1,0)</f>
        <v>70</v>
      </c>
      <c r="Q596" s="89" t="str">
        <f ca="1">IF(C596&lt;&gt;"",C596&amp;"-"&amp;P596,"")</f>
        <v/>
      </c>
      <c r="R596" s="89" t="str">
        <f t="array" aca="1" ref="R596" ca="1">IFERROR(IF(INDEX('Disaggregation Records'!$E$69:$E$152,MATCH(RIGHT(Q596,255),RIGHT('Disaggregation Records'!$D$69:$D$152,255),0))="","",INDEX('Disaggregation Records'!$E$69:$E$152,MATCH(RIGHT(Q596,255),RIGHT('Disaggregation Records'!$D$69:$D$152,255),0))),"")</f>
        <v/>
      </c>
      <c r="S596" s="89" t="str">
        <f t="array" aca="1" ref="S596" ca="1">IFERROR(IF(INDEX('Disaggregation Records'!$F$69:$F$152,MATCH(RIGHT(Q596,255),RIGHT('Disaggregation Records'!$D$69:$D$152,255),0))="","",INDEX('Disaggregation Records'!$F$69:$F$152,MATCH(RIGHT(Q596,255),RIGHT('Disaggregation Records'!$D$69:$D$152,255),0))),"")</f>
        <v/>
      </c>
      <c r="T596" s="89" t="str">
        <f t="array" aca="1" ref="T596" ca="1">IFERROR(IF(INDEX('Disaggregation Records'!$H$69:$H$152,MATCH(RIGHT(Q596,255),RIGHT('Disaggregation Records'!$D$69:$D$152,255),0))="","",INDEX('Disaggregation Records'!$H$69:$H$152,MATCH(RIGHT(Q596,255),RIGHT('Disaggregation Records'!$D$69:$D$152,255),0))),"")</f>
        <v/>
      </c>
      <c r="U596" s="89">
        <f>U594+1</f>
        <v>1027</v>
      </c>
      <c r="V596" s="89" t="str">
        <f t="array" aca="1" ref="V596" ca="1">IFERROR(IF(INDEX('Disaggregation Records'!$I$69:$I$152,MATCH(RIGHT(Q596,255),RIGHT('Disaggregation Records'!$D$69:$D$152,255),0))="","",INDEX('Disaggregation Records'!$I$69:$I$152,MATCH(RIGHT(Q596,255),RIGHT('Disaggregation Records'!$D$69:$D$152,255),0))),"")</f>
        <v/>
      </c>
      <c r="W596" s="89" t="str">
        <f ca="1">IFERROR(INDEX('Reference Records'!P$23:P$74,MATCH(LEFT(C596,255),'Reference Records'!J$23:J$74,0)),"")</f>
        <v/>
      </c>
    </row>
    <row r="597" spans="1:23" s="89" customFormat="1" ht="40.35" customHeight="1">
      <c r="A597" s="564"/>
      <c r="B597" s="799"/>
      <c r="C597" s="800"/>
      <c r="D597" s="801"/>
      <c r="E597" s="801"/>
      <c r="F597" s="128"/>
      <c r="G597" s="802"/>
      <c r="H597" s="781"/>
      <c r="I597" s="803"/>
      <c r="J597" s="779"/>
      <c r="K597" s="800"/>
      <c r="L597" s="800"/>
      <c r="M597" s="779"/>
      <c r="N597" s="779"/>
      <c r="V597" s="89" t="str">
        <f t="array" ref="V597">IFERROR(IF(INDEX('Disaggregation Records'!$I$69:$I$152,MATCH(RIGHT(Q597,255),RIGHT('Disaggregation Records'!$D$69:$D$152,255),0))="","",INDEX('Disaggregation Records'!$I$69:$I$152,MATCH(RIGHT(Q597,255),RIGHT('Disaggregation Records'!$D$69:$D$152,255),0))),"")</f>
        <v/>
      </c>
    </row>
    <row r="598" spans="1:23" s="89" customFormat="1" ht="40.35" customHeight="1">
      <c r="A598" s="564" t="str">
        <f ca="1">INDIRECT("'update Helper'!C"&amp;U598)</f>
        <v>a1V3p000006h2y1EAA</v>
      </c>
      <c r="B598" s="794">
        <v>15</v>
      </c>
      <c r="C598" s="795" t="str">
        <f ca="1">IFERROR(VLOOKUP(B598,'Outcome Indicators - Section C '!$A$9:$AF$70,32,FALSE),"")</f>
        <v/>
      </c>
      <c r="D598" s="796" t="str">
        <f ca="1">R598</f>
        <v/>
      </c>
      <c r="E598" s="796" t="str">
        <f ca="1">S598</f>
        <v/>
      </c>
      <c r="F598" s="127"/>
      <c r="G598" s="797" t="str">
        <f ca="1">IF(OR(INDIRECT("'update Helper'!E"&amp;U598)="",F598&lt;&gt;0,F599&lt;&gt;0),IF(IFERROR((F598/F599),"")="","",(F598/F599)),INDIRECT("'update Helper'!E"&amp;U598)/100)</f>
        <v/>
      </c>
      <c r="H598" s="784"/>
      <c r="I598" s="798"/>
      <c r="J598" s="777"/>
      <c r="K598" s="795" t="str">
        <f ca="1">W598</f>
        <v/>
      </c>
      <c r="L598" s="795" t="str">
        <f ca="1">V598</f>
        <v/>
      </c>
      <c r="M598" s="777"/>
      <c r="N598" s="777"/>
      <c r="P598" s="89">
        <f ca="1">IF(AND(EXACT(C598,C596),C596&lt;&gt;0),P596+1,0)</f>
        <v>71</v>
      </c>
      <c r="Q598" s="89" t="str">
        <f ca="1">IF(C598&lt;&gt;"",C598&amp;"-"&amp;P598,"")</f>
        <v/>
      </c>
      <c r="R598" s="89" t="str">
        <f t="array" aca="1" ref="R598" ca="1">IFERROR(IF(INDEX('Disaggregation Records'!$E$69:$E$152,MATCH(RIGHT(Q598,255),RIGHT('Disaggregation Records'!$D$69:$D$152,255),0))="","",INDEX('Disaggregation Records'!$E$69:$E$152,MATCH(RIGHT(Q598,255),RIGHT('Disaggregation Records'!$D$69:$D$152,255),0))),"")</f>
        <v/>
      </c>
      <c r="S598" s="89" t="str">
        <f t="array" aca="1" ref="S598" ca="1">IFERROR(IF(INDEX('Disaggregation Records'!$F$69:$F$152,MATCH(RIGHT(Q598,255),RIGHT('Disaggregation Records'!$D$69:$D$152,255),0))="","",INDEX('Disaggregation Records'!$F$69:$F$152,MATCH(RIGHT(Q598,255),RIGHT('Disaggregation Records'!$D$69:$D$152,255),0))),"")</f>
        <v/>
      </c>
      <c r="T598" s="89" t="str">
        <f t="array" aca="1" ref="T598" ca="1">IFERROR(IF(INDEX('Disaggregation Records'!$H$69:$H$152,MATCH(RIGHT(Q598,255),RIGHT('Disaggregation Records'!$D$69:$D$152,255),0))="","",INDEX('Disaggregation Records'!$H$69:$H$152,MATCH(RIGHT(Q598,255),RIGHT('Disaggregation Records'!$D$69:$D$152,255),0))),"")</f>
        <v/>
      </c>
      <c r="U598" s="89">
        <f>U596+1</f>
        <v>1028</v>
      </c>
      <c r="V598" s="89" t="str">
        <f t="array" aca="1" ref="V598" ca="1">IFERROR(IF(INDEX('Disaggregation Records'!$I$69:$I$152,MATCH(RIGHT(Q598,255),RIGHT('Disaggregation Records'!$D$69:$D$152,255),0))="","",INDEX('Disaggregation Records'!$I$69:$I$152,MATCH(RIGHT(Q598,255),RIGHT('Disaggregation Records'!$D$69:$D$152,255),0))),"")</f>
        <v/>
      </c>
      <c r="W598" s="89" t="str">
        <f ca="1">IFERROR(INDEX('Reference Records'!P$23:P$74,MATCH(LEFT(C598,255),'Reference Records'!J$23:J$74,0)),"")</f>
        <v/>
      </c>
    </row>
    <row r="599" spans="1:23" s="89" customFormat="1" ht="40.35" customHeight="1">
      <c r="A599" s="564"/>
      <c r="B599" s="799"/>
      <c r="C599" s="800"/>
      <c r="D599" s="801"/>
      <c r="E599" s="801"/>
      <c r="F599" s="128"/>
      <c r="G599" s="802"/>
      <c r="H599" s="781"/>
      <c r="I599" s="803"/>
      <c r="J599" s="779"/>
      <c r="K599" s="800"/>
      <c r="L599" s="800"/>
      <c r="M599" s="779"/>
      <c r="N599" s="779"/>
      <c r="V599" s="89" t="str">
        <f t="array" ref="V599">IFERROR(IF(INDEX('Disaggregation Records'!$I$69:$I$152,MATCH(RIGHT(Q599,255),RIGHT('Disaggregation Records'!$D$69:$D$152,255),0))="","",INDEX('Disaggregation Records'!$I$69:$I$152,MATCH(RIGHT(Q599,255),RIGHT('Disaggregation Records'!$D$69:$D$152,255),0))),"")</f>
        <v/>
      </c>
    </row>
    <row r="600" spans="1:23" s="89" customFormat="1" ht="40.35" customHeight="1">
      <c r="A600" s="564" t="str">
        <f ca="1">INDIRECT("'update Helper'!C"&amp;U600)</f>
        <v>a1V3p000006h2y2EAA</v>
      </c>
      <c r="B600" s="794">
        <v>15</v>
      </c>
      <c r="C600" s="795" t="str">
        <f ca="1">IFERROR(VLOOKUP(B600,'Outcome Indicators - Section C '!$A$9:$AF$70,32,FALSE),"")</f>
        <v/>
      </c>
      <c r="D600" s="796" t="str">
        <f ca="1">R600</f>
        <v/>
      </c>
      <c r="E600" s="796" t="str">
        <f ca="1">S600</f>
        <v/>
      </c>
      <c r="F600" s="127"/>
      <c r="G600" s="797" t="str">
        <f ca="1">IF(OR(INDIRECT("'update Helper'!E"&amp;U600)="",F600&lt;&gt;0,F601&lt;&gt;0),IF(IFERROR((F600/F601),"")="","",(F600/F601)),INDIRECT("'update Helper'!E"&amp;U600)/100)</f>
        <v/>
      </c>
      <c r="H600" s="784"/>
      <c r="I600" s="798"/>
      <c r="J600" s="777"/>
      <c r="K600" s="795" t="str">
        <f ca="1">W600</f>
        <v/>
      </c>
      <c r="L600" s="795" t="str">
        <f ca="1">V600</f>
        <v/>
      </c>
      <c r="M600" s="777"/>
      <c r="N600" s="777"/>
      <c r="P600" s="89">
        <f ca="1">IF(AND(EXACT(C600,C598),C598&lt;&gt;0),P598+1,0)</f>
        <v>72</v>
      </c>
      <c r="Q600" s="89" t="str">
        <f ca="1">IF(C600&lt;&gt;"",C600&amp;"-"&amp;P600,"")</f>
        <v/>
      </c>
      <c r="R600" s="89" t="str">
        <f t="array" aca="1" ref="R600" ca="1">IFERROR(IF(INDEX('Disaggregation Records'!$E$69:$E$152,MATCH(RIGHT(Q600,255),RIGHT('Disaggregation Records'!$D$69:$D$152,255),0))="","",INDEX('Disaggregation Records'!$E$69:$E$152,MATCH(RIGHT(Q600,255),RIGHT('Disaggregation Records'!$D$69:$D$152,255),0))),"")</f>
        <v/>
      </c>
      <c r="S600" s="89" t="str">
        <f t="array" aca="1" ref="S600" ca="1">IFERROR(IF(INDEX('Disaggregation Records'!$F$69:$F$152,MATCH(RIGHT(Q600,255),RIGHT('Disaggregation Records'!$D$69:$D$152,255),0))="","",INDEX('Disaggregation Records'!$F$69:$F$152,MATCH(RIGHT(Q600,255),RIGHT('Disaggregation Records'!$D$69:$D$152,255),0))),"")</f>
        <v/>
      </c>
      <c r="T600" s="89" t="str">
        <f t="array" aca="1" ref="T600" ca="1">IFERROR(IF(INDEX('Disaggregation Records'!$H$69:$H$152,MATCH(RIGHT(Q600,255),RIGHT('Disaggregation Records'!$D$69:$D$152,255),0))="","",INDEX('Disaggregation Records'!$H$69:$H$152,MATCH(RIGHT(Q600,255),RIGHT('Disaggregation Records'!$D$69:$D$152,255),0))),"")</f>
        <v/>
      </c>
      <c r="U600" s="89">
        <f>U598+1</f>
        <v>1029</v>
      </c>
      <c r="V600" s="89" t="str">
        <f t="array" aca="1" ref="V600" ca="1">IFERROR(IF(INDEX('Disaggregation Records'!$I$69:$I$152,MATCH(RIGHT(Q600,255),RIGHT('Disaggregation Records'!$D$69:$D$152,255),0))="","",INDEX('Disaggregation Records'!$I$69:$I$152,MATCH(RIGHT(Q600,255),RIGHT('Disaggregation Records'!$D$69:$D$152,255),0))),"")</f>
        <v/>
      </c>
      <c r="W600" s="89" t="str">
        <f ca="1">IFERROR(INDEX('Reference Records'!P$23:P$74,MATCH(LEFT(C600,255),'Reference Records'!J$23:J$74,0)),"")</f>
        <v/>
      </c>
    </row>
    <row r="601" spans="1:23" s="89" customFormat="1" ht="40.35" customHeight="1">
      <c r="A601" s="564"/>
      <c r="B601" s="799"/>
      <c r="C601" s="800"/>
      <c r="D601" s="801"/>
      <c r="E601" s="801"/>
      <c r="F601" s="128"/>
      <c r="G601" s="802"/>
      <c r="H601" s="781"/>
      <c r="I601" s="803"/>
      <c r="J601" s="779"/>
      <c r="K601" s="800"/>
      <c r="L601" s="800"/>
      <c r="M601" s="779"/>
      <c r="N601" s="779"/>
      <c r="V601" s="89" t="str">
        <f t="array" ref="V601">IFERROR(IF(INDEX('Disaggregation Records'!$I$69:$I$152,MATCH(RIGHT(Q601,255),RIGHT('Disaggregation Records'!$D$69:$D$152,255),0))="","",INDEX('Disaggregation Records'!$I$69:$I$152,MATCH(RIGHT(Q601,255),RIGHT('Disaggregation Records'!$D$69:$D$152,255),0))),"")</f>
        <v/>
      </c>
    </row>
    <row r="602" spans="1:23" s="89" customFormat="1" ht="40.35" customHeight="1">
      <c r="A602" s="564" t="str">
        <f ca="1">INDIRECT("'update Helper'!C"&amp;U602)</f>
        <v>a1V3p000006h2y3EAA</v>
      </c>
      <c r="B602" s="794">
        <v>15</v>
      </c>
      <c r="C602" s="795" t="str">
        <f ca="1">IFERROR(VLOOKUP(B602,'Outcome Indicators - Section C '!$A$9:$AF$70,32,FALSE),"")</f>
        <v/>
      </c>
      <c r="D602" s="796" t="str">
        <f ca="1">R602</f>
        <v/>
      </c>
      <c r="E602" s="796" t="str">
        <f ca="1">S602</f>
        <v/>
      </c>
      <c r="F602" s="127"/>
      <c r="G602" s="797" t="str">
        <f ca="1">IF(OR(INDIRECT("'update Helper'!E"&amp;U602)="",F602&lt;&gt;0,F603&lt;&gt;0),IF(IFERROR((F602/F603),"")="","",(F602/F603)),INDIRECT("'update Helper'!E"&amp;U602)/100)</f>
        <v/>
      </c>
      <c r="H602" s="784"/>
      <c r="I602" s="798"/>
      <c r="J602" s="777"/>
      <c r="K602" s="795" t="str">
        <f ca="1">W602</f>
        <v/>
      </c>
      <c r="L602" s="795" t="str">
        <f ca="1">V602</f>
        <v/>
      </c>
      <c r="M602" s="777"/>
      <c r="N602" s="777"/>
      <c r="P602" s="89">
        <f ca="1">IF(AND(EXACT(C602,C600),C600&lt;&gt;0),P600+1,0)</f>
        <v>73</v>
      </c>
      <c r="Q602" s="89" t="str">
        <f ca="1">IF(C602&lt;&gt;"",C602&amp;"-"&amp;P602,"")</f>
        <v/>
      </c>
      <c r="R602" s="89" t="str">
        <f t="array" aca="1" ref="R602" ca="1">IFERROR(IF(INDEX('Disaggregation Records'!$E$69:$E$152,MATCH(RIGHT(Q602,255),RIGHT('Disaggregation Records'!$D$69:$D$152,255),0))="","",INDEX('Disaggregation Records'!$E$69:$E$152,MATCH(RIGHT(Q602,255),RIGHT('Disaggregation Records'!$D$69:$D$152,255),0))),"")</f>
        <v/>
      </c>
      <c r="S602" s="89" t="str">
        <f t="array" aca="1" ref="S602" ca="1">IFERROR(IF(INDEX('Disaggregation Records'!$F$69:$F$152,MATCH(RIGHT(Q602,255),RIGHT('Disaggregation Records'!$D$69:$D$152,255),0))="","",INDEX('Disaggregation Records'!$F$69:$F$152,MATCH(RIGHT(Q602,255),RIGHT('Disaggregation Records'!$D$69:$D$152,255),0))),"")</f>
        <v/>
      </c>
      <c r="T602" s="89" t="str">
        <f t="array" aca="1" ref="T602" ca="1">IFERROR(IF(INDEX('Disaggregation Records'!$H$69:$H$152,MATCH(RIGHT(Q602,255),RIGHT('Disaggregation Records'!$D$69:$D$152,255),0))="","",INDEX('Disaggregation Records'!$H$69:$H$152,MATCH(RIGHT(Q602,255),RIGHT('Disaggregation Records'!$D$69:$D$152,255),0))),"")</f>
        <v/>
      </c>
      <c r="U602" s="89">
        <f>U600+1</f>
        <v>1030</v>
      </c>
      <c r="V602" s="89" t="str">
        <f t="array" aca="1" ref="V602" ca="1">IFERROR(IF(INDEX('Disaggregation Records'!$I$69:$I$152,MATCH(RIGHT(Q602,255),RIGHT('Disaggregation Records'!$D$69:$D$152,255),0))="","",INDEX('Disaggregation Records'!$I$69:$I$152,MATCH(RIGHT(Q602,255),RIGHT('Disaggregation Records'!$D$69:$D$152,255),0))),"")</f>
        <v/>
      </c>
      <c r="W602" s="89" t="str">
        <f ca="1">IFERROR(INDEX('Reference Records'!P$23:P$74,MATCH(LEFT(C602,255),'Reference Records'!J$23:J$74,0)),"")</f>
        <v/>
      </c>
    </row>
    <row r="603" spans="1:23" s="89" customFormat="1" ht="40.35" customHeight="1">
      <c r="A603" s="564"/>
      <c r="B603" s="799"/>
      <c r="C603" s="800"/>
      <c r="D603" s="801"/>
      <c r="E603" s="801"/>
      <c r="F603" s="128"/>
      <c r="G603" s="802"/>
      <c r="H603" s="781"/>
      <c r="I603" s="803"/>
      <c r="J603" s="779"/>
      <c r="K603" s="800"/>
      <c r="L603" s="800"/>
      <c r="M603" s="779"/>
      <c r="N603" s="779"/>
      <c r="V603" s="89" t="str">
        <f t="array" ref="V603">IFERROR(IF(INDEX('Disaggregation Records'!$I$69:$I$152,MATCH(RIGHT(Q603,255),RIGHT('Disaggregation Records'!$D$69:$D$152,255),0))="","",INDEX('Disaggregation Records'!$I$69:$I$152,MATCH(RIGHT(Q603,255),RIGHT('Disaggregation Records'!$D$69:$D$152,255),0))),"")</f>
        <v/>
      </c>
    </row>
    <row r="604" spans="1:23" s="89" customFormat="1" ht="40.35" customHeight="1">
      <c r="A604" s="564" t="str">
        <f ca="1">INDIRECT("'update Helper'!C"&amp;U604)</f>
        <v>a1V3p000006h2y4EAA</v>
      </c>
      <c r="B604" s="794">
        <v>15</v>
      </c>
      <c r="C604" s="795" t="str">
        <f ca="1">IFERROR(VLOOKUP(B604,'Outcome Indicators - Section C '!$A$9:$AF$70,32,FALSE),"")</f>
        <v/>
      </c>
      <c r="D604" s="796" t="str">
        <f ca="1">R604</f>
        <v/>
      </c>
      <c r="E604" s="796" t="str">
        <f ca="1">S604</f>
        <v/>
      </c>
      <c r="F604" s="127"/>
      <c r="G604" s="797" t="str">
        <f ca="1">IF(OR(INDIRECT("'update Helper'!E"&amp;U604)="",F604&lt;&gt;0,F605&lt;&gt;0),IF(IFERROR((F604/F605),"")="","",(F604/F605)),INDIRECT("'update Helper'!E"&amp;U604)/100)</f>
        <v/>
      </c>
      <c r="H604" s="784"/>
      <c r="I604" s="798"/>
      <c r="J604" s="777"/>
      <c r="K604" s="795" t="str">
        <f ca="1">W604</f>
        <v/>
      </c>
      <c r="L604" s="795" t="str">
        <f ca="1">V604</f>
        <v/>
      </c>
      <c r="M604" s="777"/>
      <c r="N604" s="777"/>
      <c r="P604" s="89">
        <f ca="1">IF(AND(EXACT(C604,C602),C602&lt;&gt;0),P602+1,0)</f>
        <v>74</v>
      </c>
      <c r="Q604" s="89" t="str">
        <f ca="1">IF(C604&lt;&gt;"",C604&amp;"-"&amp;P604,"")</f>
        <v/>
      </c>
      <c r="R604" s="89" t="str">
        <f t="array" aca="1" ref="R604" ca="1">IFERROR(IF(INDEX('Disaggregation Records'!$E$69:$E$152,MATCH(RIGHT(Q604,255),RIGHT('Disaggregation Records'!$D$69:$D$152,255),0))="","",INDEX('Disaggregation Records'!$E$69:$E$152,MATCH(RIGHT(Q604,255),RIGHT('Disaggregation Records'!$D$69:$D$152,255),0))),"")</f>
        <v/>
      </c>
      <c r="S604" s="89" t="str">
        <f t="array" aca="1" ref="S604" ca="1">IFERROR(IF(INDEX('Disaggregation Records'!$F$69:$F$152,MATCH(RIGHT(Q604,255),RIGHT('Disaggregation Records'!$D$69:$D$152,255),0))="","",INDEX('Disaggregation Records'!$F$69:$F$152,MATCH(RIGHT(Q604,255),RIGHT('Disaggregation Records'!$D$69:$D$152,255),0))),"")</f>
        <v/>
      </c>
      <c r="T604" s="89" t="str">
        <f t="array" aca="1" ref="T604" ca="1">IFERROR(IF(INDEX('Disaggregation Records'!$H$69:$H$152,MATCH(RIGHT(Q604,255),RIGHT('Disaggregation Records'!$D$69:$D$152,255),0))="","",INDEX('Disaggregation Records'!$H$69:$H$152,MATCH(RIGHT(Q604,255),RIGHT('Disaggregation Records'!$D$69:$D$152,255),0))),"")</f>
        <v/>
      </c>
      <c r="U604" s="89">
        <f>U602+1</f>
        <v>1031</v>
      </c>
      <c r="V604" s="89" t="str">
        <f t="array" aca="1" ref="V604" ca="1">IFERROR(IF(INDEX('Disaggregation Records'!$I$69:$I$152,MATCH(RIGHT(Q604,255),RIGHT('Disaggregation Records'!$D$69:$D$152,255),0))="","",INDEX('Disaggregation Records'!$I$69:$I$152,MATCH(RIGHT(Q604,255),RIGHT('Disaggregation Records'!$D$69:$D$152,255),0))),"")</f>
        <v/>
      </c>
      <c r="W604" s="89" t="str">
        <f ca="1">IFERROR(INDEX('Reference Records'!P$23:P$74,MATCH(LEFT(C604,255),'Reference Records'!J$23:J$74,0)),"")</f>
        <v/>
      </c>
    </row>
    <row r="605" spans="1:23" s="89" customFormat="1" ht="40.35" customHeight="1">
      <c r="A605" s="564"/>
      <c r="B605" s="799"/>
      <c r="C605" s="800"/>
      <c r="D605" s="801"/>
      <c r="E605" s="801"/>
      <c r="F605" s="128"/>
      <c r="G605" s="802"/>
      <c r="H605" s="781"/>
      <c r="I605" s="803"/>
      <c r="J605" s="779"/>
      <c r="K605" s="800"/>
      <c r="L605" s="800"/>
      <c r="M605" s="779"/>
      <c r="N605" s="779"/>
      <c r="V605" s="89" t="str">
        <f t="array" ref="V605">IFERROR(IF(INDEX('Disaggregation Records'!$I$69:$I$152,MATCH(RIGHT(Q605,255),RIGHT('Disaggregation Records'!$D$69:$D$152,255),0))="","",INDEX('Disaggregation Records'!$I$69:$I$152,MATCH(RIGHT(Q605,255),RIGHT('Disaggregation Records'!$D$69:$D$152,255),0))),"")</f>
        <v/>
      </c>
    </row>
    <row r="606" spans="1:23" s="89" customFormat="1" ht="40.35" customHeight="1">
      <c r="A606" s="564" t="str">
        <f ca="1">INDIRECT("'update Helper'!C"&amp;U606)</f>
        <v>a1V3p000006h2y5EAA</v>
      </c>
      <c r="B606" s="794">
        <v>15</v>
      </c>
      <c r="C606" s="795" t="str">
        <f ca="1">IFERROR(VLOOKUP(B606,'Outcome Indicators - Section C '!$A$9:$AF$70,32,FALSE),"")</f>
        <v/>
      </c>
      <c r="D606" s="796" t="str">
        <f ca="1">R606</f>
        <v/>
      </c>
      <c r="E606" s="796" t="str">
        <f ca="1">S606</f>
        <v/>
      </c>
      <c r="F606" s="127"/>
      <c r="G606" s="797" t="str">
        <f ca="1">IF(OR(INDIRECT("'update Helper'!E"&amp;U606)="",F606&lt;&gt;0,F607&lt;&gt;0),IF(IFERROR((F606/F607),"")="","",(F606/F607)),INDIRECT("'update Helper'!E"&amp;U606)/100)</f>
        <v/>
      </c>
      <c r="H606" s="784"/>
      <c r="I606" s="798"/>
      <c r="J606" s="777"/>
      <c r="K606" s="795" t="str">
        <f ca="1">W606</f>
        <v/>
      </c>
      <c r="L606" s="795" t="str">
        <f ca="1">V606</f>
        <v/>
      </c>
      <c r="M606" s="777"/>
      <c r="N606" s="777"/>
      <c r="P606" s="89">
        <f ca="1">IF(AND(EXACT(C606,C604),C604&lt;&gt;0),P604+1,0)</f>
        <v>75</v>
      </c>
      <c r="Q606" s="89" t="str">
        <f ca="1">IF(C606&lt;&gt;"",C606&amp;"-"&amp;P606,"")</f>
        <v/>
      </c>
      <c r="R606" s="89" t="str">
        <f t="array" aca="1" ref="R606" ca="1">IFERROR(IF(INDEX('Disaggregation Records'!$E$69:$E$152,MATCH(RIGHT(Q606,255),RIGHT('Disaggregation Records'!$D$69:$D$152,255),0))="","",INDEX('Disaggregation Records'!$E$69:$E$152,MATCH(RIGHT(Q606,255),RIGHT('Disaggregation Records'!$D$69:$D$152,255),0))),"")</f>
        <v/>
      </c>
      <c r="S606" s="89" t="str">
        <f t="array" aca="1" ref="S606" ca="1">IFERROR(IF(INDEX('Disaggregation Records'!$F$69:$F$152,MATCH(RIGHT(Q606,255),RIGHT('Disaggregation Records'!$D$69:$D$152,255),0))="","",INDEX('Disaggregation Records'!$F$69:$F$152,MATCH(RIGHT(Q606,255),RIGHT('Disaggregation Records'!$D$69:$D$152,255),0))),"")</f>
        <v/>
      </c>
      <c r="T606" s="89" t="str">
        <f t="array" aca="1" ref="T606" ca="1">IFERROR(IF(INDEX('Disaggregation Records'!$H$69:$H$152,MATCH(RIGHT(Q606,255),RIGHT('Disaggregation Records'!$D$69:$D$152,255),0))="","",INDEX('Disaggregation Records'!$H$69:$H$152,MATCH(RIGHT(Q606,255),RIGHT('Disaggregation Records'!$D$69:$D$152,255),0))),"")</f>
        <v/>
      </c>
      <c r="U606" s="89">
        <f>U604+1</f>
        <v>1032</v>
      </c>
      <c r="V606" s="89" t="str">
        <f t="array" aca="1" ref="V606" ca="1">IFERROR(IF(INDEX('Disaggregation Records'!$I$69:$I$152,MATCH(RIGHT(Q606,255),RIGHT('Disaggregation Records'!$D$69:$D$152,255),0))="","",INDEX('Disaggregation Records'!$I$69:$I$152,MATCH(RIGHT(Q606,255),RIGHT('Disaggregation Records'!$D$69:$D$152,255),0))),"")</f>
        <v/>
      </c>
      <c r="W606" s="89" t="str">
        <f ca="1">IFERROR(INDEX('Reference Records'!P$23:P$74,MATCH(LEFT(C606,255),'Reference Records'!J$23:J$74,0)),"")</f>
        <v/>
      </c>
    </row>
    <row r="607" spans="1:23" s="89" customFormat="1" ht="40.35" customHeight="1">
      <c r="A607" s="564"/>
      <c r="B607" s="799"/>
      <c r="C607" s="800"/>
      <c r="D607" s="801"/>
      <c r="E607" s="801"/>
      <c r="F607" s="128"/>
      <c r="G607" s="802"/>
      <c r="H607" s="781"/>
      <c r="I607" s="803"/>
      <c r="J607" s="779"/>
      <c r="K607" s="800"/>
      <c r="L607" s="800"/>
      <c r="M607" s="779"/>
      <c r="N607" s="779"/>
      <c r="V607" s="89" t="str">
        <f t="array" ref="V607">IFERROR(IF(INDEX('Disaggregation Records'!$I$69:$I$152,MATCH(RIGHT(Q607,255),RIGHT('Disaggregation Records'!$D$69:$D$152,255),0))="","",INDEX('Disaggregation Records'!$I$69:$I$152,MATCH(RIGHT(Q607,255),RIGHT('Disaggregation Records'!$D$69:$D$152,255),0))),"")</f>
        <v/>
      </c>
    </row>
    <row r="608" spans="1:23" s="89" customFormat="1" ht="40.35" customHeight="1">
      <c r="A608" s="564" t="str">
        <f ca="1">INDIRECT("'update Helper'!C"&amp;U608)</f>
        <v>a1V3p000006h2y6EAA</v>
      </c>
      <c r="B608" s="794">
        <v>15</v>
      </c>
      <c r="C608" s="795" t="str">
        <f ca="1">IFERROR(VLOOKUP(B608,'Outcome Indicators - Section C '!$A$9:$AF$70,32,FALSE),"")</f>
        <v/>
      </c>
      <c r="D608" s="796" t="str">
        <f ca="1">R608</f>
        <v/>
      </c>
      <c r="E608" s="796" t="str">
        <f ca="1">S608</f>
        <v/>
      </c>
      <c r="F608" s="127"/>
      <c r="G608" s="797" t="str">
        <f ca="1">IF(OR(INDIRECT("'update Helper'!E"&amp;U608)="",F608&lt;&gt;0,F609&lt;&gt;0),IF(IFERROR((F608/F609),"")="","",(F608/F609)),INDIRECT("'update Helper'!E"&amp;U608)/100)</f>
        <v/>
      </c>
      <c r="H608" s="784"/>
      <c r="I608" s="798"/>
      <c r="J608" s="777"/>
      <c r="K608" s="795" t="str">
        <f ca="1">W608</f>
        <v/>
      </c>
      <c r="L608" s="795" t="str">
        <f ca="1">V608</f>
        <v/>
      </c>
      <c r="M608" s="777"/>
      <c r="N608" s="777"/>
      <c r="P608" s="89">
        <f ca="1">IF(AND(EXACT(C608,C606),C606&lt;&gt;0),P606+1,0)</f>
        <v>76</v>
      </c>
      <c r="Q608" s="89" t="str">
        <f ca="1">IF(C608&lt;&gt;"",C608&amp;"-"&amp;P608,"")</f>
        <v/>
      </c>
      <c r="R608" s="89" t="str">
        <f t="array" aca="1" ref="R608" ca="1">IFERROR(IF(INDEX('Disaggregation Records'!$E$69:$E$152,MATCH(RIGHT(Q608,255),RIGHT('Disaggregation Records'!$D$69:$D$152,255),0))="","",INDEX('Disaggregation Records'!$E$69:$E$152,MATCH(RIGHT(Q608,255),RIGHT('Disaggregation Records'!$D$69:$D$152,255),0))),"")</f>
        <v/>
      </c>
      <c r="S608" s="89" t="str">
        <f t="array" aca="1" ref="S608" ca="1">IFERROR(IF(INDEX('Disaggregation Records'!$F$69:$F$152,MATCH(RIGHT(Q608,255),RIGHT('Disaggregation Records'!$D$69:$D$152,255),0))="","",INDEX('Disaggregation Records'!$F$69:$F$152,MATCH(RIGHT(Q608,255),RIGHT('Disaggregation Records'!$D$69:$D$152,255),0))),"")</f>
        <v/>
      </c>
      <c r="T608" s="89" t="str">
        <f t="array" aca="1" ref="T608" ca="1">IFERROR(IF(INDEX('Disaggregation Records'!$H$69:$H$152,MATCH(RIGHT(Q608,255),RIGHT('Disaggregation Records'!$D$69:$D$152,255),0))="","",INDEX('Disaggregation Records'!$H$69:$H$152,MATCH(RIGHT(Q608,255),RIGHT('Disaggregation Records'!$D$69:$D$152,255),0))),"")</f>
        <v/>
      </c>
      <c r="U608" s="89">
        <f>U606+1</f>
        <v>1033</v>
      </c>
      <c r="V608" s="89" t="str">
        <f t="array" aca="1" ref="V608" ca="1">IFERROR(IF(INDEX('Disaggregation Records'!$I$69:$I$152,MATCH(RIGHT(Q608,255),RIGHT('Disaggregation Records'!$D$69:$D$152,255),0))="","",INDEX('Disaggregation Records'!$I$69:$I$152,MATCH(RIGHT(Q608,255),RIGHT('Disaggregation Records'!$D$69:$D$152,255),0))),"")</f>
        <v/>
      </c>
      <c r="W608" s="89" t="str">
        <f ca="1">IFERROR(INDEX('Reference Records'!P$23:P$74,MATCH(LEFT(C608,255),'Reference Records'!J$23:J$74,0)),"")</f>
        <v/>
      </c>
    </row>
    <row r="609" spans="1:23" s="89" customFormat="1" ht="40.35" customHeight="1">
      <c r="A609" s="564"/>
      <c r="B609" s="799"/>
      <c r="C609" s="800"/>
      <c r="D609" s="801"/>
      <c r="E609" s="801"/>
      <c r="F609" s="128"/>
      <c r="G609" s="802"/>
      <c r="H609" s="781"/>
      <c r="I609" s="803"/>
      <c r="J609" s="779"/>
      <c r="K609" s="800"/>
      <c r="L609" s="800"/>
      <c r="M609" s="779"/>
      <c r="N609" s="779"/>
      <c r="V609" s="89" t="str">
        <f t="array" ref="V609">IFERROR(IF(INDEX('Disaggregation Records'!$I$69:$I$152,MATCH(RIGHT(Q609,255),RIGHT('Disaggregation Records'!$D$69:$D$152,255),0))="","",INDEX('Disaggregation Records'!$I$69:$I$152,MATCH(RIGHT(Q609,255),RIGHT('Disaggregation Records'!$D$69:$D$152,255),0))),"")</f>
        <v/>
      </c>
    </row>
    <row r="610" spans="1:23" s="89" customFormat="1" ht="40.35" customHeight="1">
      <c r="A610" s="564" t="str">
        <f ca="1">INDIRECT("'update Helper'!C"&amp;U610)</f>
        <v>a1V3p000006h2y7EAA</v>
      </c>
      <c r="B610" s="794">
        <v>15</v>
      </c>
      <c r="C610" s="795" t="str">
        <f ca="1">IFERROR(VLOOKUP(B610,'Outcome Indicators - Section C '!$A$9:$AF$70,32,FALSE),"")</f>
        <v/>
      </c>
      <c r="D610" s="796" t="str">
        <f ca="1">R610</f>
        <v/>
      </c>
      <c r="E610" s="796" t="str">
        <f ca="1">S610</f>
        <v/>
      </c>
      <c r="F610" s="127"/>
      <c r="G610" s="797" t="str">
        <f ca="1">IF(OR(INDIRECT("'update Helper'!E"&amp;U610)="",F610&lt;&gt;0,F611&lt;&gt;0),IF(IFERROR((F610/F611),"")="","",(F610/F611)),INDIRECT("'update Helper'!E"&amp;U610)/100)</f>
        <v/>
      </c>
      <c r="H610" s="784"/>
      <c r="I610" s="798"/>
      <c r="J610" s="777"/>
      <c r="K610" s="795" t="str">
        <f ca="1">W610</f>
        <v/>
      </c>
      <c r="L610" s="795" t="str">
        <f ca="1">V610</f>
        <v/>
      </c>
      <c r="M610" s="777"/>
      <c r="N610" s="777"/>
      <c r="P610" s="89">
        <f ca="1">IF(AND(EXACT(C610,C608),C608&lt;&gt;0),P608+1,0)</f>
        <v>77</v>
      </c>
      <c r="Q610" s="89" t="str">
        <f ca="1">IF(C610&lt;&gt;"",C610&amp;"-"&amp;P610,"")</f>
        <v/>
      </c>
      <c r="R610" s="89" t="str">
        <f t="array" aca="1" ref="R610" ca="1">IFERROR(IF(INDEX('Disaggregation Records'!$E$69:$E$152,MATCH(RIGHT(Q610,255),RIGHT('Disaggregation Records'!$D$69:$D$152,255),0))="","",INDEX('Disaggregation Records'!$E$69:$E$152,MATCH(RIGHT(Q610,255),RIGHT('Disaggregation Records'!$D$69:$D$152,255),0))),"")</f>
        <v/>
      </c>
      <c r="S610" s="89" t="str">
        <f t="array" aca="1" ref="S610" ca="1">IFERROR(IF(INDEX('Disaggregation Records'!$F$69:$F$152,MATCH(RIGHT(Q610,255),RIGHT('Disaggregation Records'!$D$69:$D$152,255),0))="","",INDEX('Disaggregation Records'!$F$69:$F$152,MATCH(RIGHT(Q610,255),RIGHT('Disaggregation Records'!$D$69:$D$152,255),0))),"")</f>
        <v/>
      </c>
      <c r="T610" s="89" t="str">
        <f t="array" aca="1" ref="T610" ca="1">IFERROR(IF(INDEX('Disaggregation Records'!$H$69:$H$152,MATCH(RIGHT(Q610,255),RIGHT('Disaggregation Records'!$D$69:$D$152,255),0))="","",INDEX('Disaggregation Records'!$H$69:$H$152,MATCH(RIGHT(Q610,255),RIGHT('Disaggregation Records'!$D$69:$D$152,255),0))),"")</f>
        <v/>
      </c>
      <c r="U610" s="89">
        <f>U608+1</f>
        <v>1034</v>
      </c>
      <c r="V610" s="89" t="str">
        <f t="array" aca="1" ref="V610" ca="1">IFERROR(IF(INDEX('Disaggregation Records'!$I$69:$I$152,MATCH(RIGHT(Q610,255),RIGHT('Disaggregation Records'!$D$69:$D$152,255),0))="","",INDEX('Disaggregation Records'!$I$69:$I$152,MATCH(RIGHT(Q610,255),RIGHT('Disaggregation Records'!$D$69:$D$152,255),0))),"")</f>
        <v/>
      </c>
      <c r="W610" s="89" t="str">
        <f ca="1">IFERROR(INDEX('Reference Records'!P$23:P$74,MATCH(LEFT(C610,255),'Reference Records'!J$23:J$74,0)),"")</f>
        <v/>
      </c>
    </row>
    <row r="611" spans="1:23" s="89" customFormat="1" ht="40.35" customHeight="1">
      <c r="A611" s="564"/>
      <c r="B611" s="799"/>
      <c r="C611" s="800"/>
      <c r="D611" s="801"/>
      <c r="E611" s="801"/>
      <c r="F611" s="128"/>
      <c r="G611" s="802"/>
      <c r="H611" s="781"/>
      <c r="I611" s="803"/>
      <c r="J611" s="779"/>
      <c r="K611" s="800"/>
      <c r="L611" s="800"/>
      <c r="M611" s="779"/>
      <c r="N611" s="779"/>
      <c r="V611" s="89" t="str">
        <f t="array" ref="V611">IFERROR(IF(INDEX('Disaggregation Records'!$I$69:$I$152,MATCH(RIGHT(Q611,255),RIGHT('Disaggregation Records'!$D$69:$D$152,255),0))="","",INDEX('Disaggregation Records'!$I$69:$I$152,MATCH(RIGHT(Q611,255),RIGHT('Disaggregation Records'!$D$69:$D$152,255),0))),"")</f>
        <v/>
      </c>
    </row>
    <row r="612" spans="1:23" s="89" customFormat="1" ht="40.35" customHeight="1">
      <c r="A612" s="564" t="str">
        <f ca="1">INDIRECT("'update Helper'!C"&amp;U612)</f>
        <v>a1V3p000006h2y8EAA</v>
      </c>
      <c r="B612" s="794">
        <v>15</v>
      </c>
      <c r="C612" s="795" t="str">
        <f ca="1">IFERROR(VLOOKUP(B612,'Outcome Indicators - Section C '!$A$9:$AF$70,32,FALSE),"")</f>
        <v/>
      </c>
      <c r="D612" s="796" t="str">
        <f ca="1">R612</f>
        <v/>
      </c>
      <c r="E612" s="796" t="str">
        <f ca="1">S612</f>
        <v/>
      </c>
      <c r="F612" s="127"/>
      <c r="G612" s="797" t="str">
        <f ca="1">IF(OR(INDIRECT("'update Helper'!E"&amp;U612)="",F612&lt;&gt;0,F613&lt;&gt;0),IF(IFERROR((F612/F613),"")="","",(F612/F613)),INDIRECT("'update Helper'!E"&amp;U612)/100)</f>
        <v/>
      </c>
      <c r="H612" s="784"/>
      <c r="I612" s="798"/>
      <c r="J612" s="777"/>
      <c r="K612" s="795" t="str">
        <f ca="1">W612</f>
        <v/>
      </c>
      <c r="L612" s="795" t="str">
        <f ca="1">V612</f>
        <v/>
      </c>
      <c r="M612" s="777"/>
      <c r="N612" s="777"/>
      <c r="P612" s="89">
        <f ca="1">IF(AND(EXACT(C612,C610),C610&lt;&gt;0),P610+1,0)</f>
        <v>78</v>
      </c>
      <c r="Q612" s="89" t="str">
        <f ca="1">IF(C612&lt;&gt;"",C612&amp;"-"&amp;P612,"")</f>
        <v/>
      </c>
      <c r="R612" s="89" t="str">
        <f t="array" aca="1" ref="R612" ca="1">IFERROR(IF(INDEX('Disaggregation Records'!$E$69:$E$152,MATCH(RIGHT(Q612,255),RIGHT('Disaggregation Records'!$D$69:$D$152,255),0))="","",INDEX('Disaggregation Records'!$E$69:$E$152,MATCH(RIGHT(Q612,255),RIGHT('Disaggregation Records'!$D$69:$D$152,255),0))),"")</f>
        <v/>
      </c>
      <c r="S612" s="89" t="str">
        <f t="array" aca="1" ref="S612" ca="1">IFERROR(IF(INDEX('Disaggregation Records'!$F$69:$F$152,MATCH(RIGHT(Q612,255),RIGHT('Disaggregation Records'!$D$69:$D$152,255),0))="","",INDEX('Disaggregation Records'!$F$69:$F$152,MATCH(RIGHT(Q612,255),RIGHT('Disaggregation Records'!$D$69:$D$152,255),0))),"")</f>
        <v/>
      </c>
      <c r="T612" s="89" t="str">
        <f t="array" aca="1" ref="T612" ca="1">IFERROR(IF(INDEX('Disaggregation Records'!$H$69:$H$152,MATCH(RIGHT(Q612,255),RIGHT('Disaggregation Records'!$D$69:$D$152,255),0))="","",INDEX('Disaggregation Records'!$H$69:$H$152,MATCH(RIGHT(Q612,255),RIGHT('Disaggregation Records'!$D$69:$D$152,255),0))),"")</f>
        <v/>
      </c>
      <c r="U612" s="89">
        <f>U610+1</f>
        <v>1035</v>
      </c>
      <c r="V612" s="89" t="str">
        <f t="array" aca="1" ref="V612" ca="1">IFERROR(IF(INDEX('Disaggregation Records'!$I$69:$I$152,MATCH(RIGHT(Q612,255),RIGHT('Disaggregation Records'!$D$69:$D$152,255),0))="","",INDEX('Disaggregation Records'!$I$69:$I$152,MATCH(RIGHT(Q612,255),RIGHT('Disaggregation Records'!$D$69:$D$152,255),0))),"")</f>
        <v/>
      </c>
      <c r="W612" s="89" t="str">
        <f ca="1">IFERROR(INDEX('Reference Records'!P$23:P$74,MATCH(LEFT(C612,255),'Reference Records'!J$23:J$74,0)),"")</f>
        <v/>
      </c>
    </row>
    <row r="613" spans="1:23" s="89" customFormat="1" ht="40.35" customHeight="1">
      <c r="A613" s="564"/>
      <c r="B613" s="799"/>
      <c r="C613" s="800"/>
      <c r="D613" s="801"/>
      <c r="E613" s="801"/>
      <c r="F613" s="128"/>
      <c r="G613" s="802"/>
      <c r="H613" s="781"/>
      <c r="I613" s="803"/>
      <c r="J613" s="779"/>
      <c r="K613" s="800"/>
      <c r="L613" s="800"/>
      <c r="M613" s="779"/>
      <c r="N613" s="779"/>
      <c r="V613" s="89" t="str">
        <f t="array" ref="V613">IFERROR(IF(INDEX('Disaggregation Records'!$I$69:$I$152,MATCH(RIGHT(Q613,255),RIGHT('Disaggregation Records'!$D$69:$D$152,255),0))="","",INDEX('Disaggregation Records'!$I$69:$I$152,MATCH(RIGHT(Q613,255),RIGHT('Disaggregation Records'!$D$69:$D$152,255),0))),"")</f>
        <v/>
      </c>
    </row>
    <row r="614" spans="1:23" s="89" customFormat="1" ht="40.35" customHeight="1">
      <c r="A614" s="564" t="str">
        <f ca="1">INDIRECT("'update Helper'!C"&amp;U614)</f>
        <v>a1V3p000006h2y9EAA</v>
      </c>
      <c r="B614" s="794">
        <v>15</v>
      </c>
      <c r="C614" s="795" t="str">
        <f ca="1">IFERROR(VLOOKUP(B614,'Outcome Indicators - Section C '!$A$9:$AF$70,32,FALSE),"")</f>
        <v/>
      </c>
      <c r="D614" s="796" t="str">
        <f ca="1">R614</f>
        <v/>
      </c>
      <c r="E614" s="796" t="str">
        <f ca="1">S614</f>
        <v/>
      </c>
      <c r="F614" s="127"/>
      <c r="G614" s="797" t="str">
        <f ca="1">IF(OR(INDIRECT("'update Helper'!E"&amp;U614)="",F614&lt;&gt;0,F615&lt;&gt;0),IF(IFERROR((F614/F615),"")="","",(F614/F615)),INDIRECT("'update Helper'!E"&amp;U614)/100)</f>
        <v/>
      </c>
      <c r="H614" s="784"/>
      <c r="I614" s="798"/>
      <c r="J614" s="777"/>
      <c r="K614" s="795" t="str">
        <f ca="1">W614</f>
        <v/>
      </c>
      <c r="L614" s="795" t="str">
        <f ca="1">V614</f>
        <v/>
      </c>
      <c r="M614" s="777"/>
      <c r="N614" s="777"/>
      <c r="P614" s="89">
        <f ca="1">IF(AND(EXACT(C614,C612),C612&lt;&gt;0),P612+1,0)</f>
        <v>79</v>
      </c>
      <c r="Q614" s="89" t="str">
        <f ca="1">IF(C614&lt;&gt;"",C614&amp;"-"&amp;P614,"")</f>
        <v/>
      </c>
      <c r="R614" s="89" t="str">
        <f t="array" aca="1" ref="R614" ca="1">IFERROR(IF(INDEX('Disaggregation Records'!$E$69:$E$152,MATCH(RIGHT(Q614,255),RIGHT('Disaggregation Records'!$D$69:$D$152,255),0))="","",INDEX('Disaggregation Records'!$E$69:$E$152,MATCH(RIGHT(Q614,255),RIGHT('Disaggregation Records'!$D$69:$D$152,255),0))),"")</f>
        <v/>
      </c>
      <c r="S614" s="89" t="str">
        <f t="array" aca="1" ref="S614" ca="1">IFERROR(IF(INDEX('Disaggregation Records'!$F$69:$F$152,MATCH(RIGHT(Q614,255),RIGHT('Disaggregation Records'!$D$69:$D$152,255),0))="","",INDEX('Disaggregation Records'!$F$69:$F$152,MATCH(RIGHT(Q614,255),RIGHT('Disaggregation Records'!$D$69:$D$152,255),0))),"")</f>
        <v/>
      </c>
      <c r="T614" s="89" t="str">
        <f t="array" aca="1" ref="T614" ca="1">IFERROR(IF(INDEX('Disaggregation Records'!$H$69:$H$152,MATCH(RIGHT(Q614,255),RIGHT('Disaggregation Records'!$D$69:$D$152,255),0))="","",INDEX('Disaggregation Records'!$H$69:$H$152,MATCH(RIGHT(Q614,255),RIGHT('Disaggregation Records'!$D$69:$D$152,255),0))),"")</f>
        <v/>
      </c>
      <c r="U614" s="89">
        <f>U612+1</f>
        <v>1036</v>
      </c>
      <c r="V614" s="89" t="str">
        <f t="array" aca="1" ref="V614" ca="1">IFERROR(IF(INDEX('Disaggregation Records'!$I$69:$I$152,MATCH(RIGHT(Q614,255),RIGHT('Disaggregation Records'!$D$69:$D$152,255),0))="","",INDEX('Disaggregation Records'!$I$69:$I$152,MATCH(RIGHT(Q614,255),RIGHT('Disaggregation Records'!$D$69:$D$152,255),0))),"")</f>
        <v/>
      </c>
      <c r="W614" s="89" t="str">
        <f ca="1">IFERROR(INDEX('Reference Records'!P$23:P$74,MATCH(LEFT(C614,255),'Reference Records'!J$23:J$74,0)),"")</f>
        <v/>
      </c>
    </row>
    <row r="615" spans="1:23" s="89" customFormat="1" ht="40.35" customHeight="1">
      <c r="A615" s="564"/>
      <c r="B615" s="799"/>
      <c r="C615" s="800"/>
      <c r="D615" s="801"/>
      <c r="E615" s="801"/>
      <c r="F615" s="128"/>
      <c r="G615" s="802"/>
      <c r="H615" s="781"/>
      <c r="I615" s="803"/>
      <c r="J615" s="779"/>
      <c r="K615" s="800"/>
      <c r="L615" s="800"/>
      <c r="M615" s="779"/>
      <c r="N615" s="779"/>
      <c r="V615" s="89" t="str">
        <f t="array" ref="V615">IFERROR(IF(INDEX('Disaggregation Records'!$I$69:$I$152,MATCH(RIGHT(Q615,255),RIGHT('Disaggregation Records'!$D$69:$D$152,255),0))="","",INDEX('Disaggregation Records'!$I$69:$I$152,MATCH(RIGHT(Q615,255),RIGHT('Disaggregation Records'!$D$69:$D$152,255),0))),"")</f>
        <v/>
      </c>
    </row>
    <row r="616" spans="1:23">
      <c r="Q616" s="89"/>
      <c r="R616" s="89"/>
      <c r="S616" s="89"/>
      <c r="T616" s="89"/>
      <c r="U616" s="89"/>
    </row>
    <row r="617" spans="1:23">
      <c r="Q617" s="89"/>
      <c r="R617" s="89"/>
      <c r="S617" s="89"/>
      <c r="T617" s="89"/>
      <c r="U617" s="89"/>
    </row>
    <row r="619" spans="1:23" ht="16.350000000000001" customHeight="1">
      <c r="B619" s="565" t="str">
        <f ca="1">Translations!A80</f>
        <v>Desagregación del indicador de cobertura</v>
      </c>
      <c r="C619" s="566"/>
      <c r="D619" s="566"/>
      <c r="E619" s="566"/>
      <c r="F619" s="566"/>
      <c r="G619" s="566"/>
      <c r="H619" s="566"/>
      <c r="I619" s="566"/>
      <c r="J619" s="569"/>
      <c r="K619" s="565"/>
      <c r="L619" s="566"/>
      <c r="M619" s="566"/>
      <c r="N619" s="566"/>
    </row>
    <row r="620" spans="1:23" ht="45" customHeight="1">
      <c r="A620" t="s">
        <v>5492</v>
      </c>
      <c r="B620" s="139" t="str">
        <f ca="1">Translations!A81</f>
        <v>Número del indicador de cobertura</v>
      </c>
      <c r="C620" s="139" t="str">
        <f ca="1">Translations!A82</f>
        <v>Nombre del indicador de cobertura</v>
      </c>
      <c r="D620" s="139" t="str">
        <f ca="1">Translations!$A$74</f>
        <v>Categoría</v>
      </c>
      <c r="E620" s="139" t="str">
        <f ca="1">Translations!$A$75</f>
        <v>Desagregación</v>
      </c>
      <c r="F620" s="139" t="s">
        <v>5305</v>
      </c>
      <c r="G620" s="139" t="str">
        <f ca="1">Translations!$A$41</f>
        <v>Línea de base %</v>
      </c>
      <c r="H620" s="139" t="s">
        <v>3014</v>
      </c>
      <c r="I620" s="139" t="s">
        <v>3015</v>
      </c>
      <c r="J620" s="139" t="s">
        <v>148</v>
      </c>
      <c r="K620" s="119" t="str">
        <f ca="1">Translations!A82&amp;" (EN) "</f>
        <v xml:space="preserve">Nombre del indicador de cobertura (EN) </v>
      </c>
      <c r="L620" s="119" t="str">
        <f ca="1">Translations!$A$74&amp;" (EN)"</f>
        <v>Categoría (EN)</v>
      </c>
      <c r="M620" s="119" t="s">
        <v>5463</v>
      </c>
      <c r="N620" s="119" t="s">
        <v>5464</v>
      </c>
      <c r="R620" s="138"/>
      <c r="S620" s="138"/>
      <c r="T620" s="89"/>
    </row>
    <row r="621" spans="1:23" s="89" customFormat="1" ht="40.35" customHeight="1">
      <c r="A621" s="564" t="str">
        <f ca="1">INDIRECT("'update Helper'!C"&amp;U621)</f>
        <v>a163p000004VjkhAAC</v>
      </c>
      <c r="B621" s="794">
        <v>1</v>
      </c>
      <c r="C621" s="795" t="str">
        <f ca="1">VLOOKUP(B621,'Coverage Indicators - Section D'!$A$9:$AU$70,47,FALSE)</f>
        <v>KP-1a⁽ᴹ⁾ Porcentaje de HSH alcanzados por programas de prevención del VIH - paquete definido de servicios</v>
      </c>
      <c r="D621" s="796" t="str">
        <f ca="1">R621</f>
        <v>Edad</v>
      </c>
      <c r="E621" s="796" t="str">
        <f ca="1">S621</f>
        <v>25+</v>
      </c>
      <c r="F621" s="418">
        <v>6657</v>
      </c>
      <c r="G621" s="806">
        <f ca="1">IF(OR(INDIRECT("'update Helper'!E"&amp;U621)="",F621&lt;&gt;0,F622&lt;&gt;0),IF(IFERROR((F621/F622),"")="","",(F621/F622)),INDIRECT("'update Helper'!E"&amp;U621)/100)</f>
        <v>0.28275920655821263</v>
      </c>
      <c r="H621" s="804">
        <v>2021</v>
      </c>
      <c r="I621" s="798" t="s">
        <v>5497</v>
      </c>
      <c r="J621" s="777" t="s">
        <v>5502</v>
      </c>
      <c r="K621" s="795" t="str">
        <f ca="1">W621</f>
        <v>KP-1a⁽ᴹ⁾ Percentage of men who have sex with men reached with HIV prevention programs - defined package of services</v>
      </c>
      <c r="L621" s="795" t="str">
        <f ca="1">V621</f>
        <v>Age</v>
      </c>
      <c r="M621" s="777"/>
      <c r="N621" s="777"/>
      <c r="P621" s="89">
        <f ca="1">IF(AND(EXACT(C621,C619),C619&lt;&gt;0),P619+1,0)</f>
        <v>0</v>
      </c>
      <c r="Q621" s="89" t="str">
        <f ca="1">IF(C621&lt;&gt;"",C621&amp;"-"&amp;P621,"")</f>
        <v>KP-1a⁽ᴹ⁾ Porcentaje de HSH alcanzados por programas de prevención del VIH - paquete definido de servicios-0</v>
      </c>
      <c r="R621" s="89" t="str">
        <f t="array" aca="1" ref="R621" ca="1">IFERROR(IF(INDEX('Disaggregation Records'!$E$155:$E$385,MATCH(RIGHT(Q621,255),RIGHT('Disaggregation Records'!$D$155:$D$385,255),0))="","",INDEX('Disaggregation Records'!$E$155:$E$385,MATCH(RIGHT(Q621,255),RIGHT('Disaggregation Records'!$D$155:$D$385,255),0))),"")</f>
        <v>Edad</v>
      </c>
      <c r="S621" s="89" t="str">
        <f t="array" aca="1" ref="S621" ca="1">IFERROR(IF(INDEX('Disaggregation Records'!$F$155:$F$385,MATCH(RIGHT(Q621,255),RIGHT('Disaggregation Records'!$D$155:$D$385,255),0))="","",INDEX('Disaggregation Records'!$F$155:$F$385,MATCH(RIGHT(Q621,255),RIGHT('Disaggregation Records'!$D$155:$D$385,255),0))),"")</f>
        <v>25+</v>
      </c>
      <c r="T621" s="89" t="str">
        <f t="array" aca="1" ref="T621" ca="1">IFERROR(IF(INDEX('Disaggregation Records'!$H$155:$H$385,MATCH(RIGHT(Q621,255),RIGHT('Disaggregation Records'!$D$155:$D$385,255),0))="","",INDEX('Disaggregation Records'!$H$155:$H$385,MATCH(RIGHT(Q621,255),RIGHT('Disaggregation Records'!$D$155:$D$385,255),0))),"")</f>
        <v>IDR-00700</v>
      </c>
      <c r="U621" s="89">
        <f>ROW(Coverage_Indicator_Disaggregation)+3</f>
        <v>1420</v>
      </c>
      <c r="V621" s="89" t="str">
        <f t="array" aca="1" ref="V621" ca="1">IFERROR(IF(INDEX('Disaggregation Records'!$I$155:$I$385,MATCH(RIGHT(Q621,255),RIGHT('Disaggregation Records'!$D$155:$D$385,255),0))="","",INDEX('Disaggregation Records'!$I$155:$I$385,MATCH(RIGHT(Q621,255),RIGHT('Disaggregation Records'!$D$155:$D$385,255),0))),"")</f>
        <v>Age</v>
      </c>
      <c r="W621" s="89" t="str">
        <f ca="1">IFERROR(INDEX('Reference Records'!L$77:L$157,MATCH(LEFT(C621,255),'Reference Records'!E$77:E$157,0)),"")</f>
        <v>KP-1a⁽ᴹ⁾ Percentage of men who have sex with men reached with HIV prevention programs - defined package of services</v>
      </c>
    </row>
    <row r="622" spans="1:23" s="89" customFormat="1" ht="40.35" customHeight="1">
      <c r="A622" s="564"/>
      <c r="B622" s="799"/>
      <c r="C622" s="800"/>
      <c r="D622" s="801"/>
      <c r="E622" s="801"/>
      <c r="F622" s="419">
        <v>23543</v>
      </c>
      <c r="G622" s="807"/>
      <c r="H622" s="805"/>
      <c r="I622" s="803"/>
      <c r="J622" s="779"/>
      <c r="K622" s="800"/>
      <c r="L622" s="800"/>
      <c r="M622" s="779"/>
      <c r="N622" s="779"/>
    </row>
    <row r="623" spans="1:23" s="89" customFormat="1" ht="40.35" customHeight="1">
      <c r="A623" s="564" t="str">
        <f ca="1">INDIRECT("'update Helper'!C"&amp;U623)</f>
        <v>a163p000004VjkiAAC</v>
      </c>
      <c r="B623" s="794">
        <v>1</v>
      </c>
      <c r="C623" s="795" t="str">
        <f ca="1">VLOOKUP(B623,'Coverage Indicators - Section D'!$A$9:$AU$70,47,FALSE)</f>
        <v>KP-1a⁽ᴹ⁾ Porcentaje de HSH alcanzados por programas de prevención del VIH - paquete definido de servicios</v>
      </c>
      <c r="D623" s="796" t="str">
        <f ca="1">R623</f>
        <v>Edad</v>
      </c>
      <c r="E623" s="796" t="str">
        <f ca="1">S623</f>
        <v>&lt;25</v>
      </c>
      <c r="F623" s="418">
        <v>6520</v>
      </c>
      <c r="G623" s="806">
        <f ca="1">IF(OR(INDIRECT("'update Helper'!E"&amp;U623)="",F623&lt;&gt;0,F624&lt;&gt;0),IF(IFERROR((F623/F624),"")="","",(F623/F624)),INDIRECT("'update Helper'!E"&amp;U623)/100)</f>
        <v>0.73555956678700363</v>
      </c>
      <c r="H623" s="804">
        <v>2021</v>
      </c>
      <c r="I623" s="798" t="s">
        <v>5497</v>
      </c>
      <c r="J623" s="777" t="s">
        <v>5502</v>
      </c>
      <c r="K623" s="795" t="str">
        <f ca="1">W623</f>
        <v>KP-1a⁽ᴹ⁾ Percentage of men who have sex with men reached with HIV prevention programs - defined package of services</v>
      </c>
      <c r="L623" s="795" t="str">
        <f ca="1">V623</f>
        <v>Age</v>
      </c>
      <c r="M623" s="777"/>
      <c r="N623" s="777"/>
      <c r="P623" s="89">
        <f ca="1">IF(AND(EXACT(C623,C621),C621&lt;&gt;0),P621+1,0)</f>
        <v>1</v>
      </c>
      <c r="Q623" s="89" t="str">
        <f ca="1">IF(C623&lt;&gt;"",C623&amp;"-"&amp;P623,"")</f>
        <v>KP-1a⁽ᴹ⁾ Porcentaje de HSH alcanzados por programas de prevención del VIH - paquete definido de servicios-1</v>
      </c>
      <c r="R623" s="89" t="str">
        <f t="array" aca="1" ref="R623" ca="1">IFERROR(IF(INDEX('Disaggregation Records'!$E$155:$E$385,MATCH(RIGHT(Q623,255),RIGHT('Disaggregation Records'!$D$155:$D$385,255),0))="","",INDEX('Disaggregation Records'!$E$155:$E$385,MATCH(RIGHT(Q623,255),RIGHT('Disaggregation Records'!$D$155:$D$385,255),0))),"")</f>
        <v>Edad</v>
      </c>
      <c r="S623" s="89" t="str">
        <f t="array" aca="1" ref="S623" ca="1">IFERROR(IF(INDEX('Disaggregation Records'!$F$155:$F$385,MATCH(RIGHT(Q623,255),RIGHT('Disaggregation Records'!$D$155:$D$385,255),0))="","",INDEX('Disaggregation Records'!$F$155:$F$385,MATCH(RIGHT(Q623,255),RIGHT('Disaggregation Records'!$D$155:$D$385,255),0))),"")</f>
        <v>&lt;25</v>
      </c>
      <c r="T623" s="89" t="str">
        <f t="array" aca="1" ref="T623" ca="1">IFERROR(IF(INDEX('Disaggregation Records'!$H$155:$H$385,MATCH(RIGHT(Q623,255),RIGHT('Disaggregation Records'!$D$155:$D$385,255),0))="","",INDEX('Disaggregation Records'!$H$155:$H$385,MATCH(RIGHT(Q623,255),RIGHT('Disaggregation Records'!$D$155:$D$385,255),0))),"")</f>
        <v>IDR-00699</v>
      </c>
      <c r="U623" s="89">
        <f>U621+1</f>
        <v>1421</v>
      </c>
      <c r="V623" s="89" t="str">
        <f t="array" aca="1" ref="V623" ca="1">IFERROR(IF(INDEX('Disaggregation Records'!$I$155:$I$385,MATCH(RIGHT(Q623,255),RIGHT('Disaggregation Records'!$D$155:$D$385,255),0))="","",INDEX('Disaggregation Records'!$I$155:$I$385,MATCH(RIGHT(Q623,255),RIGHT('Disaggregation Records'!$D$155:$D$385,255),0))),"")</f>
        <v>Age</v>
      </c>
      <c r="W623" s="89" t="str">
        <f ca="1">IFERROR(INDEX('Reference Records'!L$77:L$157,MATCH(LEFT(C623,255),'Reference Records'!E$77:E$157,0)),"")</f>
        <v>KP-1a⁽ᴹ⁾ Percentage of men who have sex with men reached with HIV prevention programs - defined package of services</v>
      </c>
    </row>
    <row r="624" spans="1:23" s="89" customFormat="1" ht="40.35" customHeight="1">
      <c r="A624" s="564"/>
      <c r="B624" s="799"/>
      <c r="C624" s="800"/>
      <c r="D624" s="801"/>
      <c r="E624" s="801"/>
      <c r="F624" s="419">
        <v>8864</v>
      </c>
      <c r="G624" s="807"/>
      <c r="H624" s="805"/>
      <c r="I624" s="803"/>
      <c r="J624" s="779"/>
      <c r="K624" s="800"/>
      <c r="L624" s="800"/>
      <c r="M624" s="779"/>
      <c r="N624" s="779"/>
    </row>
    <row r="625" spans="1:23" s="89" customFormat="1" ht="40.35" customHeight="1">
      <c r="A625" s="564" t="str">
        <f ca="1">INDIRECT("'update Helper'!C"&amp;U625)</f>
        <v>a163p000004VjkjAAC</v>
      </c>
      <c r="B625" s="794">
        <v>1</v>
      </c>
      <c r="C625" s="795" t="str">
        <f ca="1">VLOOKUP(B625,'Coverage Indicators - Section D'!$A$9:$AU$70,47,FALSE)</f>
        <v>KP-1a⁽ᴹ⁾ Porcentaje de HSH alcanzados por programas de prevención del VIH - paquete definido de servicios</v>
      </c>
      <c r="D625" s="796" t="str">
        <f ca="1">R625</f>
        <v/>
      </c>
      <c r="E625" s="796" t="str">
        <f ca="1">S625</f>
        <v/>
      </c>
      <c r="F625" s="127"/>
      <c r="G625" s="797" t="str">
        <f ca="1">IF(OR(INDIRECT("'update Helper'!E"&amp;U625)="",F625&lt;&gt;0,F626&lt;&gt;0),IF(IFERROR((F625/F626),"")="","",(F625/F626)),INDIRECT("'update Helper'!E"&amp;U625)/100)</f>
        <v/>
      </c>
      <c r="H625" s="784"/>
      <c r="I625" s="798"/>
      <c r="J625" s="777"/>
      <c r="K625" s="795" t="str">
        <f ca="1">W625</f>
        <v>KP-1a⁽ᴹ⁾ Percentage of men who have sex with men reached with HIV prevention programs - defined package of services</v>
      </c>
      <c r="L625" s="795" t="str">
        <f ca="1">V625</f>
        <v/>
      </c>
      <c r="M625" s="777"/>
      <c r="N625" s="777"/>
      <c r="P625" s="89">
        <f ca="1">IF(AND(EXACT(C625,C623),C623&lt;&gt;0),P623+1,0)</f>
        <v>2</v>
      </c>
      <c r="Q625" s="89" t="str">
        <f ca="1">IF(C625&lt;&gt;"",C625&amp;"-"&amp;P625,"")</f>
        <v>KP-1a⁽ᴹ⁾ Porcentaje de HSH alcanzados por programas de prevención del VIH - paquete definido de servicios-2</v>
      </c>
      <c r="R625" s="89" t="str">
        <f t="array" aca="1" ref="R625" ca="1">IFERROR(IF(INDEX('Disaggregation Records'!$E$155:$E$385,MATCH(RIGHT(Q625,255),RIGHT('Disaggregation Records'!$D$155:$D$385,255),0))="","",INDEX('Disaggregation Records'!$E$155:$E$385,MATCH(RIGHT(Q625,255),RIGHT('Disaggregation Records'!$D$155:$D$385,255),0))),"")</f>
        <v/>
      </c>
      <c r="S625" s="89" t="str">
        <f t="array" aca="1" ref="S625" ca="1">IFERROR(IF(INDEX('Disaggregation Records'!$F$155:$F$385,MATCH(RIGHT(Q625,255),RIGHT('Disaggregation Records'!$D$155:$D$385,255),0))="","",INDEX('Disaggregation Records'!$F$155:$F$385,MATCH(RIGHT(Q625,255),RIGHT('Disaggregation Records'!$D$155:$D$385,255),0))),"")</f>
        <v/>
      </c>
      <c r="T625" s="89" t="str">
        <f t="array" aca="1" ref="T625" ca="1">IFERROR(IF(INDEX('Disaggregation Records'!$H$155:$H$385,MATCH(RIGHT(Q625,255),RIGHT('Disaggregation Records'!$D$155:$D$385,255),0))="","",INDEX('Disaggregation Records'!$H$155:$H$385,MATCH(RIGHT(Q625,255),RIGHT('Disaggregation Records'!$D$155:$D$385,255),0))),"")</f>
        <v/>
      </c>
      <c r="U625" s="89">
        <f>U623+1</f>
        <v>1422</v>
      </c>
      <c r="V625" s="89" t="str">
        <f t="array" aca="1" ref="V625" ca="1">IFERROR(IF(INDEX('Disaggregation Records'!$I$155:$I$385,MATCH(RIGHT(Q625,255),RIGHT('Disaggregation Records'!$D$155:$D$385,255),0))="","",INDEX('Disaggregation Records'!$I$155:$I$385,MATCH(RIGHT(Q625,255),RIGHT('Disaggregation Records'!$D$155:$D$385,255),0))),"")</f>
        <v/>
      </c>
      <c r="W625" s="89" t="str">
        <f ca="1">IFERROR(INDEX('Reference Records'!L$77:L$157,MATCH(LEFT(C625,255),'Reference Records'!E$77:E$157,0)),"")</f>
        <v>KP-1a⁽ᴹ⁾ Percentage of men who have sex with men reached with HIV prevention programs - defined package of services</v>
      </c>
    </row>
    <row r="626" spans="1:23" s="89" customFormat="1" ht="40.35" customHeight="1">
      <c r="A626" s="564"/>
      <c r="B626" s="799"/>
      <c r="C626" s="800"/>
      <c r="D626" s="801"/>
      <c r="E626" s="801"/>
      <c r="F626" s="128"/>
      <c r="G626" s="802"/>
      <c r="H626" s="781"/>
      <c r="I626" s="803"/>
      <c r="J626" s="779"/>
      <c r="K626" s="800"/>
      <c r="L626" s="800"/>
      <c r="M626" s="779"/>
      <c r="N626" s="779"/>
    </row>
    <row r="627" spans="1:23" s="89" customFormat="1" ht="40.35" customHeight="1">
      <c r="A627" s="564" t="str">
        <f ca="1">INDIRECT("'update Helper'!C"&amp;U627)</f>
        <v>a163p000004VjkkAAC</v>
      </c>
      <c r="B627" s="794">
        <v>1</v>
      </c>
      <c r="C627" s="795" t="str">
        <f ca="1">VLOOKUP(B627,'Coverage Indicators - Section D'!$A$9:$AU$70,47,FALSE)</f>
        <v>KP-1a⁽ᴹ⁾ Porcentaje de HSH alcanzados por programas de prevención del VIH - paquete definido de servicios</v>
      </c>
      <c r="D627" s="796" t="str">
        <f ca="1">R627</f>
        <v/>
      </c>
      <c r="E627" s="796" t="str">
        <f ca="1">S627</f>
        <v/>
      </c>
      <c r="F627" s="127"/>
      <c r="G627" s="797" t="str">
        <f ca="1">IF(OR(INDIRECT("'update Helper'!E"&amp;U627)="",F627&lt;&gt;0,F628&lt;&gt;0),IF(IFERROR((F627/F628),"")="","",(F627/F628)),INDIRECT("'update Helper'!E"&amp;U627)/100)</f>
        <v/>
      </c>
      <c r="H627" s="784"/>
      <c r="I627" s="798"/>
      <c r="J627" s="777"/>
      <c r="K627" s="795" t="str">
        <f ca="1">W627</f>
        <v>KP-1a⁽ᴹ⁾ Percentage of men who have sex with men reached with HIV prevention programs - defined package of services</v>
      </c>
      <c r="L627" s="795" t="str">
        <f ca="1">V627</f>
        <v/>
      </c>
      <c r="M627" s="777"/>
      <c r="N627" s="777"/>
      <c r="P627" s="89">
        <f ca="1">IF(AND(EXACT(C627,C625),C625&lt;&gt;0),P625+1,0)</f>
        <v>3</v>
      </c>
      <c r="Q627" s="89" t="str">
        <f ca="1">IF(C627&lt;&gt;"",C627&amp;"-"&amp;P627,"")</f>
        <v>KP-1a⁽ᴹ⁾ Porcentaje de HSH alcanzados por programas de prevención del VIH - paquete definido de servicios-3</v>
      </c>
      <c r="R627" s="89" t="str">
        <f t="array" aca="1" ref="R627" ca="1">IFERROR(IF(INDEX('Disaggregation Records'!$E$155:$E$385,MATCH(RIGHT(Q627,255),RIGHT('Disaggregation Records'!$D$155:$D$385,255),0))="","",INDEX('Disaggregation Records'!$E$155:$E$385,MATCH(RIGHT(Q627,255),RIGHT('Disaggregation Records'!$D$155:$D$385,255),0))),"")</f>
        <v/>
      </c>
      <c r="S627" s="89" t="str">
        <f t="array" aca="1" ref="S627" ca="1">IFERROR(IF(INDEX('Disaggregation Records'!$F$155:$F$385,MATCH(RIGHT(Q627,255),RIGHT('Disaggregation Records'!$D$155:$D$385,255),0))="","",INDEX('Disaggregation Records'!$F$155:$F$385,MATCH(RIGHT(Q627,255),RIGHT('Disaggregation Records'!$D$155:$D$385,255),0))),"")</f>
        <v/>
      </c>
      <c r="T627" s="89" t="str">
        <f t="array" aca="1" ref="T627" ca="1">IFERROR(IF(INDEX('Disaggregation Records'!$H$155:$H$385,MATCH(RIGHT(Q627,255),RIGHT('Disaggregation Records'!$D$155:$D$385,255),0))="","",INDEX('Disaggregation Records'!$H$155:$H$385,MATCH(RIGHT(Q627,255),RIGHT('Disaggregation Records'!$D$155:$D$385,255),0))),"")</f>
        <v/>
      </c>
      <c r="U627" s="89">
        <f>U625+1</f>
        <v>1423</v>
      </c>
      <c r="V627" s="89" t="str">
        <f t="array" aca="1" ref="V627" ca="1">IFERROR(IF(INDEX('Disaggregation Records'!$I$155:$I$385,MATCH(RIGHT(Q627,255),RIGHT('Disaggregation Records'!$D$155:$D$385,255),0))="","",INDEX('Disaggregation Records'!$I$155:$I$385,MATCH(RIGHT(Q627,255),RIGHT('Disaggregation Records'!$D$155:$D$385,255),0))),"")</f>
        <v/>
      </c>
      <c r="W627" s="89" t="str">
        <f ca="1">IFERROR(INDEX('Reference Records'!L$77:L$157,MATCH(LEFT(C627,255),'Reference Records'!E$77:E$157,0)),"")</f>
        <v>KP-1a⁽ᴹ⁾ Percentage of men who have sex with men reached with HIV prevention programs - defined package of services</v>
      </c>
    </row>
    <row r="628" spans="1:23" s="89" customFormat="1" ht="40.35" customHeight="1">
      <c r="A628" s="564"/>
      <c r="B628" s="799"/>
      <c r="C628" s="800"/>
      <c r="D628" s="801"/>
      <c r="E628" s="801"/>
      <c r="F628" s="128"/>
      <c r="G628" s="802"/>
      <c r="H628" s="781"/>
      <c r="I628" s="803"/>
      <c r="J628" s="779"/>
      <c r="K628" s="800"/>
      <c r="L628" s="800"/>
      <c r="M628" s="779"/>
      <c r="N628" s="779"/>
    </row>
    <row r="629" spans="1:23" s="89" customFormat="1" ht="40.35" customHeight="1">
      <c r="A629" s="564" t="str">
        <f ca="1">INDIRECT("'update Helper'!C"&amp;U629)</f>
        <v>a163p000004VjklAAC</v>
      </c>
      <c r="B629" s="794">
        <v>1</v>
      </c>
      <c r="C629" s="795" t="str">
        <f ca="1">VLOOKUP(B629,'Coverage Indicators - Section D'!$A$9:$AU$70,47,FALSE)</f>
        <v>KP-1a⁽ᴹ⁾ Porcentaje de HSH alcanzados por programas de prevención del VIH - paquete definido de servicios</v>
      </c>
      <c r="D629" s="796" t="str">
        <f ca="1">R629</f>
        <v/>
      </c>
      <c r="E629" s="796" t="str">
        <f ca="1">S629</f>
        <v/>
      </c>
      <c r="F629" s="127"/>
      <c r="G629" s="797" t="str">
        <f ca="1">IF(OR(INDIRECT("'update Helper'!E"&amp;U629)="",F629&lt;&gt;0,F630&lt;&gt;0),IF(IFERROR((F629/F630),"")="","",(F629/F630)),INDIRECT("'update Helper'!E"&amp;U629)/100)</f>
        <v/>
      </c>
      <c r="H629" s="784"/>
      <c r="I629" s="798"/>
      <c r="J629" s="777"/>
      <c r="K629" s="795" t="str">
        <f ca="1">W629</f>
        <v>KP-1a⁽ᴹ⁾ Percentage of men who have sex with men reached with HIV prevention programs - defined package of services</v>
      </c>
      <c r="L629" s="795" t="str">
        <f ca="1">V629</f>
        <v/>
      </c>
      <c r="M629" s="777"/>
      <c r="N629" s="777"/>
      <c r="P629" s="89">
        <f ca="1">IF(AND(EXACT(C629,C627),C627&lt;&gt;0),P627+1,0)</f>
        <v>4</v>
      </c>
      <c r="Q629" s="89" t="str">
        <f ca="1">IF(C629&lt;&gt;"",C629&amp;"-"&amp;P629,"")</f>
        <v>KP-1a⁽ᴹ⁾ Porcentaje de HSH alcanzados por programas de prevención del VIH - paquete definido de servicios-4</v>
      </c>
      <c r="R629" s="89" t="str">
        <f t="array" aca="1" ref="R629" ca="1">IFERROR(IF(INDEX('Disaggregation Records'!$E$155:$E$385,MATCH(RIGHT(Q629,255),RIGHT('Disaggregation Records'!$D$155:$D$385,255),0))="","",INDEX('Disaggregation Records'!$E$155:$E$385,MATCH(RIGHT(Q629,255),RIGHT('Disaggregation Records'!$D$155:$D$385,255),0))),"")</f>
        <v/>
      </c>
      <c r="S629" s="89" t="str">
        <f t="array" aca="1" ref="S629" ca="1">IFERROR(IF(INDEX('Disaggregation Records'!$F$155:$F$385,MATCH(RIGHT(Q629,255),RIGHT('Disaggregation Records'!$D$155:$D$385,255),0))="","",INDEX('Disaggregation Records'!$F$155:$F$385,MATCH(RIGHT(Q629,255),RIGHT('Disaggregation Records'!$D$155:$D$385,255),0))),"")</f>
        <v/>
      </c>
      <c r="T629" s="89" t="str">
        <f t="array" aca="1" ref="T629" ca="1">IFERROR(IF(INDEX('Disaggregation Records'!$H$155:$H$385,MATCH(RIGHT(Q629,255),RIGHT('Disaggregation Records'!$D$155:$D$385,255),0))="","",INDEX('Disaggregation Records'!$H$155:$H$385,MATCH(RIGHT(Q629,255),RIGHT('Disaggregation Records'!$D$155:$D$385,255),0))),"")</f>
        <v/>
      </c>
      <c r="U629" s="89">
        <f>U627+1</f>
        <v>1424</v>
      </c>
      <c r="V629" s="89" t="str">
        <f t="array" aca="1" ref="V629" ca="1">IFERROR(IF(INDEX('Disaggregation Records'!$I$155:$I$385,MATCH(RIGHT(Q629,255),RIGHT('Disaggregation Records'!$D$155:$D$385,255),0))="","",INDEX('Disaggregation Records'!$I$155:$I$385,MATCH(RIGHT(Q629,255),RIGHT('Disaggregation Records'!$D$155:$D$385,255),0))),"")</f>
        <v/>
      </c>
      <c r="W629" s="89" t="str">
        <f ca="1">IFERROR(INDEX('Reference Records'!L$77:L$157,MATCH(LEFT(C629,255),'Reference Records'!E$77:E$157,0)),"")</f>
        <v>KP-1a⁽ᴹ⁾ Percentage of men who have sex with men reached with HIV prevention programs - defined package of services</v>
      </c>
    </row>
    <row r="630" spans="1:23" s="89" customFormat="1" ht="40.35" customHeight="1">
      <c r="A630" s="564"/>
      <c r="B630" s="799"/>
      <c r="C630" s="800"/>
      <c r="D630" s="801"/>
      <c r="E630" s="801"/>
      <c r="F630" s="128"/>
      <c r="G630" s="802"/>
      <c r="H630" s="781"/>
      <c r="I630" s="803"/>
      <c r="J630" s="779"/>
      <c r="K630" s="800"/>
      <c r="L630" s="800"/>
      <c r="M630" s="779"/>
      <c r="N630" s="779"/>
    </row>
    <row r="631" spans="1:23" s="89" customFormat="1" ht="40.35" customHeight="1">
      <c r="A631" s="564" t="str">
        <f ca="1">INDIRECT("'update Helper'!C"&amp;U631)</f>
        <v>a163p000004VjkmAAC</v>
      </c>
      <c r="B631" s="794">
        <v>1</v>
      </c>
      <c r="C631" s="795" t="str">
        <f ca="1">VLOOKUP(B631,'Coverage Indicators - Section D'!$A$9:$AU$70,47,FALSE)</f>
        <v>KP-1a⁽ᴹ⁾ Porcentaje de HSH alcanzados por programas de prevención del VIH - paquete definido de servicios</v>
      </c>
      <c r="D631" s="796" t="str">
        <f ca="1">R631</f>
        <v/>
      </c>
      <c r="E631" s="796" t="str">
        <f ca="1">S631</f>
        <v/>
      </c>
      <c r="F631" s="127"/>
      <c r="G631" s="797" t="str">
        <f ca="1">IF(OR(INDIRECT("'update Helper'!E"&amp;U631)="",F631&lt;&gt;0,F632&lt;&gt;0),IF(IFERROR((F631/F632),"")="","",(F631/F632)),INDIRECT("'update Helper'!E"&amp;U631)/100)</f>
        <v/>
      </c>
      <c r="H631" s="784"/>
      <c r="I631" s="798"/>
      <c r="J631" s="777"/>
      <c r="K631" s="795" t="str">
        <f ca="1">W631</f>
        <v>KP-1a⁽ᴹ⁾ Percentage of men who have sex with men reached with HIV prevention programs - defined package of services</v>
      </c>
      <c r="L631" s="795" t="str">
        <f ca="1">V631</f>
        <v/>
      </c>
      <c r="M631" s="777"/>
      <c r="N631" s="777"/>
      <c r="P631" s="89">
        <f ca="1">IF(AND(EXACT(C631,C629),C629&lt;&gt;0),P629+1,0)</f>
        <v>5</v>
      </c>
      <c r="Q631" s="89" t="str">
        <f ca="1">IF(C631&lt;&gt;"",C631&amp;"-"&amp;P631,"")</f>
        <v>KP-1a⁽ᴹ⁾ Porcentaje de HSH alcanzados por programas de prevención del VIH - paquete definido de servicios-5</v>
      </c>
      <c r="R631" s="89" t="str">
        <f t="array" aca="1" ref="R631" ca="1">IFERROR(IF(INDEX('Disaggregation Records'!$E$155:$E$385,MATCH(RIGHT(Q631,255),RIGHT('Disaggregation Records'!$D$155:$D$385,255),0))="","",INDEX('Disaggregation Records'!$E$155:$E$385,MATCH(RIGHT(Q631,255),RIGHT('Disaggregation Records'!$D$155:$D$385,255),0))),"")</f>
        <v/>
      </c>
      <c r="S631" s="89" t="str">
        <f t="array" aca="1" ref="S631" ca="1">IFERROR(IF(INDEX('Disaggregation Records'!$F$155:$F$385,MATCH(RIGHT(Q631,255),RIGHT('Disaggregation Records'!$D$155:$D$385,255),0))="","",INDEX('Disaggregation Records'!$F$155:$F$385,MATCH(RIGHT(Q631,255),RIGHT('Disaggregation Records'!$D$155:$D$385,255),0))),"")</f>
        <v/>
      </c>
      <c r="T631" s="89" t="str">
        <f t="array" aca="1" ref="T631" ca="1">IFERROR(IF(INDEX('Disaggregation Records'!$H$155:$H$385,MATCH(RIGHT(Q631,255),RIGHT('Disaggregation Records'!$D$155:$D$385,255),0))="","",INDEX('Disaggregation Records'!$H$155:$H$385,MATCH(RIGHT(Q631,255),RIGHT('Disaggregation Records'!$D$155:$D$385,255),0))),"")</f>
        <v/>
      </c>
      <c r="U631" s="89">
        <f>U629+1</f>
        <v>1425</v>
      </c>
      <c r="V631" s="89" t="str">
        <f t="array" aca="1" ref="V631" ca="1">IFERROR(IF(INDEX('Disaggregation Records'!$I$155:$I$385,MATCH(RIGHT(Q631,255),RIGHT('Disaggregation Records'!$D$155:$D$385,255),0))="","",INDEX('Disaggregation Records'!$I$155:$I$385,MATCH(RIGHT(Q631,255),RIGHT('Disaggregation Records'!$D$155:$D$385,255),0))),"")</f>
        <v/>
      </c>
      <c r="W631" s="89" t="str">
        <f ca="1">IFERROR(INDEX('Reference Records'!L$77:L$157,MATCH(LEFT(C631,255),'Reference Records'!E$77:E$157,0)),"")</f>
        <v>KP-1a⁽ᴹ⁾ Percentage of men who have sex with men reached with HIV prevention programs - defined package of services</v>
      </c>
    </row>
    <row r="632" spans="1:23" s="89" customFormat="1" ht="40.35" customHeight="1">
      <c r="A632" s="564"/>
      <c r="B632" s="799"/>
      <c r="C632" s="800"/>
      <c r="D632" s="801"/>
      <c r="E632" s="801"/>
      <c r="F632" s="128"/>
      <c r="G632" s="802"/>
      <c r="H632" s="781"/>
      <c r="I632" s="803"/>
      <c r="J632" s="779"/>
      <c r="K632" s="800"/>
      <c r="L632" s="800"/>
      <c r="M632" s="779"/>
      <c r="N632" s="779"/>
    </row>
    <row r="633" spans="1:23" s="89" customFormat="1" ht="40.35" customHeight="1">
      <c r="A633" s="564" t="str">
        <f ca="1">INDIRECT("'update Helper'!C"&amp;U633)</f>
        <v>a163p000004VjknAAC</v>
      </c>
      <c r="B633" s="794">
        <v>1</v>
      </c>
      <c r="C633" s="795" t="str">
        <f ca="1">VLOOKUP(B633,'Coverage Indicators - Section D'!$A$9:$AU$70,47,FALSE)</f>
        <v>KP-1a⁽ᴹ⁾ Porcentaje de HSH alcanzados por programas de prevención del VIH - paquete definido de servicios</v>
      </c>
      <c r="D633" s="796" t="str">
        <f ca="1">R633</f>
        <v/>
      </c>
      <c r="E633" s="796" t="str">
        <f ca="1">S633</f>
        <v/>
      </c>
      <c r="F633" s="127"/>
      <c r="G633" s="797" t="str">
        <f ca="1">IF(OR(INDIRECT("'update Helper'!E"&amp;U633)="",F633&lt;&gt;0,F634&lt;&gt;0),IF(IFERROR((F633/F634),"")="","",(F633/F634)),INDIRECT("'update Helper'!E"&amp;U633)/100)</f>
        <v/>
      </c>
      <c r="H633" s="784"/>
      <c r="I633" s="798"/>
      <c r="J633" s="777"/>
      <c r="K633" s="795" t="str">
        <f ca="1">W633</f>
        <v>KP-1a⁽ᴹ⁾ Percentage of men who have sex with men reached with HIV prevention programs - defined package of services</v>
      </c>
      <c r="L633" s="795" t="str">
        <f ca="1">V633</f>
        <v/>
      </c>
      <c r="M633" s="777"/>
      <c r="N633" s="777"/>
      <c r="P633" s="89">
        <f ca="1">IF(AND(EXACT(C633,C631),C631&lt;&gt;0),P631+1,0)</f>
        <v>6</v>
      </c>
      <c r="Q633" s="89" t="str">
        <f ca="1">IF(C633&lt;&gt;"",C633&amp;"-"&amp;P633,"")</f>
        <v>KP-1a⁽ᴹ⁾ Porcentaje de HSH alcanzados por programas de prevención del VIH - paquete definido de servicios-6</v>
      </c>
      <c r="R633" s="89" t="str">
        <f t="array" aca="1" ref="R633" ca="1">IFERROR(IF(INDEX('Disaggregation Records'!$E$155:$E$385,MATCH(RIGHT(Q633,255),RIGHT('Disaggregation Records'!$D$155:$D$385,255),0))="","",INDEX('Disaggregation Records'!$E$155:$E$385,MATCH(RIGHT(Q633,255),RIGHT('Disaggregation Records'!$D$155:$D$385,255),0))),"")</f>
        <v/>
      </c>
      <c r="S633" s="89" t="str">
        <f t="array" aca="1" ref="S633" ca="1">IFERROR(IF(INDEX('Disaggregation Records'!$F$155:$F$385,MATCH(RIGHT(Q633,255),RIGHT('Disaggregation Records'!$D$155:$D$385,255),0))="","",INDEX('Disaggregation Records'!$F$155:$F$385,MATCH(RIGHT(Q633,255),RIGHT('Disaggregation Records'!$D$155:$D$385,255),0))),"")</f>
        <v/>
      </c>
      <c r="T633" s="89" t="str">
        <f t="array" aca="1" ref="T633" ca="1">IFERROR(IF(INDEX('Disaggregation Records'!$H$155:$H$385,MATCH(RIGHT(Q633,255),RIGHT('Disaggregation Records'!$D$155:$D$385,255),0))="","",INDEX('Disaggregation Records'!$H$155:$H$385,MATCH(RIGHT(Q633,255),RIGHT('Disaggregation Records'!$D$155:$D$385,255),0))),"")</f>
        <v/>
      </c>
      <c r="U633" s="89">
        <f>U631+1</f>
        <v>1426</v>
      </c>
      <c r="V633" s="89" t="str">
        <f t="array" aca="1" ref="V633" ca="1">IFERROR(IF(INDEX('Disaggregation Records'!$I$155:$I$385,MATCH(RIGHT(Q633,255),RIGHT('Disaggregation Records'!$D$155:$D$385,255),0))="","",INDEX('Disaggregation Records'!$I$155:$I$385,MATCH(RIGHT(Q633,255),RIGHT('Disaggregation Records'!$D$155:$D$385,255),0))),"")</f>
        <v/>
      </c>
      <c r="W633" s="89" t="str">
        <f ca="1">IFERROR(INDEX('Reference Records'!L$77:L$157,MATCH(LEFT(C633,255),'Reference Records'!E$77:E$157,0)),"")</f>
        <v>KP-1a⁽ᴹ⁾ Percentage of men who have sex with men reached with HIV prevention programs - defined package of services</v>
      </c>
    </row>
    <row r="634" spans="1:23" s="89" customFormat="1" ht="40.35" customHeight="1">
      <c r="A634" s="564"/>
      <c r="B634" s="799"/>
      <c r="C634" s="800"/>
      <c r="D634" s="801"/>
      <c r="E634" s="801"/>
      <c r="F634" s="128"/>
      <c r="G634" s="802"/>
      <c r="H634" s="781"/>
      <c r="I634" s="803"/>
      <c r="J634" s="779"/>
      <c r="K634" s="800"/>
      <c r="L634" s="800"/>
      <c r="M634" s="779"/>
      <c r="N634" s="779"/>
    </row>
    <row r="635" spans="1:23" s="89" customFormat="1" ht="40.35" customHeight="1">
      <c r="A635" s="564" t="str">
        <f ca="1">INDIRECT("'update Helper'!C"&amp;U635)</f>
        <v>a163p000004VjkoAAC</v>
      </c>
      <c r="B635" s="794">
        <v>1</v>
      </c>
      <c r="C635" s="795" t="str">
        <f ca="1">VLOOKUP(B635,'Coverage Indicators - Section D'!$A$9:$AU$70,47,FALSE)</f>
        <v>KP-1a⁽ᴹ⁾ Porcentaje de HSH alcanzados por programas de prevención del VIH - paquete definido de servicios</v>
      </c>
      <c r="D635" s="796" t="str">
        <f ca="1">R635</f>
        <v/>
      </c>
      <c r="E635" s="796" t="str">
        <f ca="1">S635</f>
        <v/>
      </c>
      <c r="F635" s="127"/>
      <c r="G635" s="797" t="str">
        <f ca="1">IF(OR(INDIRECT("'update Helper'!E"&amp;U635)="",F635&lt;&gt;0,F636&lt;&gt;0),IF(IFERROR((F635/F636),"")="","",(F635/F636)),INDIRECT("'update Helper'!E"&amp;U635)/100)</f>
        <v/>
      </c>
      <c r="H635" s="784"/>
      <c r="I635" s="798"/>
      <c r="J635" s="777"/>
      <c r="K635" s="795" t="str">
        <f ca="1">W635</f>
        <v>KP-1a⁽ᴹ⁾ Percentage of men who have sex with men reached with HIV prevention programs - defined package of services</v>
      </c>
      <c r="L635" s="795" t="str">
        <f ca="1">V635</f>
        <v/>
      </c>
      <c r="M635" s="777"/>
      <c r="N635" s="777"/>
      <c r="P635" s="89">
        <f ca="1">IF(AND(EXACT(C635,C633),C633&lt;&gt;0),P633+1,0)</f>
        <v>7</v>
      </c>
      <c r="Q635" s="89" t="str">
        <f ca="1">IF(C635&lt;&gt;"",C635&amp;"-"&amp;P635,"")</f>
        <v>KP-1a⁽ᴹ⁾ Porcentaje de HSH alcanzados por programas de prevención del VIH - paquete definido de servicios-7</v>
      </c>
      <c r="R635" s="89" t="str">
        <f t="array" aca="1" ref="R635" ca="1">IFERROR(IF(INDEX('Disaggregation Records'!$E$155:$E$385,MATCH(RIGHT(Q635,255),RIGHT('Disaggregation Records'!$D$155:$D$385,255),0))="","",INDEX('Disaggregation Records'!$E$155:$E$385,MATCH(RIGHT(Q635,255),RIGHT('Disaggregation Records'!$D$155:$D$385,255),0))),"")</f>
        <v/>
      </c>
      <c r="S635" s="89" t="str">
        <f t="array" aca="1" ref="S635" ca="1">IFERROR(IF(INDEX('Disaggregation Records'!$F$155:$F$385,MATCH(RIGHT(Q635,255),RIGHT('Disaggregation Records'!$D$155:$D$385,255),0))="","",INDEX('Disaggregation Records'!$F$155:$F$385,MATCH(RIGHT(Q635,255),RIGHT('Disaggregation Records'!$D$155:$D$385,255),0))),"")</f>
        <v/>
      </c>
      <c r="T635" s="89" t="str">
        <f t="array" aca="1" ref="T635" ca="1">IFERROR(IF(INDEX('Disaggregation Records'!$H$155:$H$385,MATCH(RIGHT(Q635,255),RIGHT('Disaggregation Records'!$D$155:$D$385,255),0))="","",INDEX('Disaggregation Records'!$H$155:$H$385,MATCH(RIGHT(Q635,255),RIGHT('Disaggregation Records'!$D$155:$D$385,255),0))),"")</f>
        <v/>
      </c>
      <c r="U635" s="89">
        <f>U633+1</f>
        <v>1427</v>
      </c>
      <c r="V635" s="89" t="str">
        <f t="array" aca="1" ref="V635" ca="1">IFERROR(IF(INDEX('Disaggregation Records'!$I$155:$I$385,MATCH(RIGHT(Q635,255),RIGHT('Disaggregation Records'!$D$155:$D$385,255),0))="","",INDEX('Disaggregation Records'!$I$155:$I$385,MATCH(RIGHT(Q635,255),RIGHT('Disaggregation Records'!$D$155:$D$385,255),0))),"")</f>
        <v/>
      </c>
      <c r="W635" s="89" t="str">
        <f ca="1">IFERROR(INDEX('Reference Records'!L$77:L$157,MATCH(LEFT(C635,255),'Reference Records'!E$77:E$157,0)),"")</f>
        <v>KP-1a⁽ᴹ⁾ Percentage of men who have sex with men reached with HIV prevention programs - defined package of services</v>
      </c>
    </row>
    <row r="636" spans="1:23" s="89" customFormat="1" ht="40.35" customHeight="1">
      <c r="A636" s="564"/>
      <c r="B636" s="799"/>
      <c r="C636" s="800"/>
      <c r="D636" s="801"/>
      <c r="E636" s="801"/>
      <c r="F636" s="128"/>
      <c r="G636" s="802"/>
      <c r="H636" s="781"/>
      <c r="I636" s="803"/>
      <c r="J636" s="779"/>
      <c r="K636" s="800"/>
      <c r="L636" s="800"/>
      <c r="M636" s="779"/>
      <c r="N636" s="779"/>
    </row>
    <row r="637" spans="1:23" s="89" customFormat="1" ht="40.35" customHeight="1">
      <c r="A637" s="564" t="str">
        <f ca="1">INDIRECT("'update Helper'!C"&amp;U637)</f>
        <v>a163p000004VjkpAAC</v>
      </c>
      <c r="B637" s="794">
        <v>1</v>
      </c>
      <c r="C637" s="795" t="str">
        <f ca="1">VLOOKUP(B637,'Coverage Indicators - Section D'!$A$9:$AU$70,47,FALSE)</f>
        <v>KP-1a⁽ᴹ⁾ Porcentaje de HSH alcanzados por programas de prevención del VIH - paquete definido de servicios</v>
      </c>
      <c r="D637" s="796" t="str">
        <f ca="1">R637</f>
        <v/>
      </c>
      <c r="E637" s="796" t="str">
        <f ca="1">S637</f>
        <v/>
      </c>
      <c r="F637" s="127"/>
      <c r="G637" s="797" t="str">
        <f ca="1">IF(OR(INDIRECT("'update Helper'!E"&amp;U637)="",F637&lt;&gt;0,F638&lt;&gt;0),IF(IFERROR((F637/F638),"")="","",(F637/F638)),INDIRECT("'update Helper'!E"&amp;U637)/100)</f>
        <v/>
      </c>
      <c r="H637" s="784"/>
      <c r="I637" s="798"/>
      <c r="J637" s="777"/>
      <c r="K637" s="795" t="str">
        <f ca="1">W637</f>
        <v>KP-1a⁽ᴹ⁾ Percentage of men who have sex with men reached with HIV prevention programs - defined package of services</v>
      </c>
      <c r="L637" s="795" t="str">
        <f ca="1">V637</f>
        <v/>
      </c>
      <c r="M637" s="777"/>
      <c r="N637" s="777"/>
      <c r="P637" s="89">
        <f ca="1">IF(AND(EXACT(C637,C635),C635&lt;&gt;0),P635+1,0)</f>
        <v>8</v>
      </c>
      <c r="Q637" s="89" t="str">
        <f ca="1">IF(C637&lt;&gt;"",C637&amp;"-"&amp;P637,"")</f>
        <v>KP-1a⁽ᴹ⁾ Porcentaje de HSH alcanzados por programas de prevención del VIH - paquete definido de servicios-8</v>
      </c>
      <c r="R637" s="89" t="str">
        <f t="array" aca="1" ref="R637" ca="1">IFERROR(IF(INDEX('Disaggregation Records'!$E$155:$E$385,MATCH(RIGHT(Q637,255),RIGHT('Disaggregation Records'!$D$155:$D$385,255),0))="","",INDEX('Disaggregation Records'!$E$155:$E$385,MATCH(RIGHT(Q637,255),RIGHT('Disaggregation Records'!$D$155:$D$385,255),0))),"")</f>
        <v/>
      </c>
      <c r="S637" s="89" t="str">
        <f t="array" aca="1" ref="S637" ca="1">IFERROR(IF(INDEX('Disaggregation Records'!$F$155:$F$385,MATCH(RIGHT(Q637,255),RIGHT('Disaggregation Records'!$D$155:$D$385,255),0))="","",INDEX('Disaggregation Records'!$F$155:$F$385,MATCH(RIGHT(Q637,255),RIGHT('Disaggregation Records'!$D$155:$D$385,255),0))),"")</f>
        <v/>
      </c>
      <c r="T637" s="89" t="str">
        <f t="array" aca="1" ref="T637" ca="1">IFERROR(IF(INDEX('Disaggregation Records'!$H$155:$H$385,MATCH(RIGHT(Q637,255),RIGHT('Disaggregation Records'!$D$155:$D$385,255),0))="","",INDEX('Disaggregation Records'!$H$155:$H$385,MATCH(RIGHT(Q637,255),RIGHT('Disaggregation Records'!$D$155:$D$385,255),0))),"")</f>
        <v/>
      </c>
      <c r="U637" s="89">
        <f>U635+1</f>
        <v>1428</v>
      </c>
      <c r="V637" s="89" t="str">
        <f t="array" aca="1" ref="V637" ca="1">IFERROR(IF(INDEX('Disaggregation Records'!$I$155:$I$385,MATCH(RIGHT(Q637,255),RIGHT('Disaggregation Records'!$D$155:$D$385,255),0))="","",INDEX('Disaggregation Records'!$I$155:$I$385,MATCH(RIGHT(Q637,255),RIGHT('Disaggregation Records'!$D$155:$D$385,255),0))),"")</f>
        <v/>
      </c>
      <c r="W637" s="89" t="str">
        <f ca="1">IFERROR(INDEX('Reference Records'!L$77:L$157,MATCH(LEFT(C637,255),'Reference Records'!E$77:E$157,0)),"")</f>
        <v>KP-1a⁽ᴹ⁾ Percentage of men who have sex with men reached with HIV prevention programs - defined package of services</v>
      </c>
    </row>
    <row r="638" spans="1:23" s="89" customFormat="1" ht="40.35" customHeight="1">
      <c r="A638" s="564"/>
      <c r="B638" s="799"/>
      <c r="C638" s="800"/>
      <c r="D638" s="801"/>
      <c r="E638" s="801"/>
      <c r="F638" s="128"/>
      <c r="G638" s="802"/>
      <c r="H638" s="781"/>
      <c r="I638" s="803"/>
      <c r="J638" s="779"/>
      <c r="K638" s="800"/>
      <c r="L638" s="800"/>
      <c r="M638" s="779"/>
      <c r="N638" s="779"/>
    </row>
    <row r="639" spans="1:23" s="89" customFormat="1" ht="40.35" customHeight="1">
      <c r="A639" s="564" t="str">
        <f ca="1">INDIRECT("'update Helper'!C"&amp;U639)</f>
        <v>a163p000004VjkqAAC</v>
      </c>
      <c r="B639" s="794">
        <v>1</v>
      </c>
      <c r="C639" s="795" t="str">
        <f ca="1">VLOOKUP(B639,'Coverage Indicators - Section D'!$A$9:$AU$70,47,FALSE)</f>
        <v>KP-1a⁽ᴹ⁾ Porcentaje de HSH alcanzados por programas de prevención del VIH - paquete definido de servicios</v>
      </c>
      <c r="D639" s="796" t="str">
        <f ca="1">R639</f>
        <v/>
      </c>
      <c r="E639" s="796" t="str">
        <f ca="1">S639</f>
        <v/>
      </c>
      <c r="F639" s="127"/>
      <c r="G639" s="797" t="str">
        <f ca="1">IF(OR(INDIRECT("'update Helper'!E"&amp;U639)="",F639&lt;&gt;0,F640&lt;&gt;0),IF(IFERROR((F639/F640),"")="","",(F639/F640)),INDIRECT("'update Helper'!E"&amp;U639)/100)</f>
        <v/>
      </c>
      <c r="H639" s="784"/>
      <c r="I639" s="798"/>
      <c r="J639" s="777"/>
      <c r="K639" s="795" t="str">
        <f ca="1">W639</f>
        <v>KP-1a⁽ᴹ⁾ Percentage of men who have sex with men reached with HIV prevention programs - defined package of services</v>
      </c>
      <c r="L639" s="795" t="str">
        <f ca="1">V639</f>
        <v/>
      </c>
      <c r="M639" s="777"/>
      <c r="N639" s="777"/>
      <c r="P639" s="89">
        <f ca="1">IF(AND(EXACT(C639,C637),C637&lt;&gt;0),P637+1,0)</f>
        <v>9</v>
      </c>
      <c r="Q639" s="89" t="str">
        <f ca="1">IF(C639&lt;&gt;"",C639&amp;"-"&amp;P639,"")</f>
        <v>KP-1a⁽ᴹ⁾ Porcentaje de HSH alcanzados por programas de prevención del VIH - paquete definido de servicios-9</v>
      </c>
      <c r="R639" s="89" t="str">
        <f t="array" aca="1" ref="R639" ca="1">IFERROR(IF(INDEX('Disaggregation Records'!$E$155:$E$385,MATCH(RIGHT(Q639,255),RIGHT('Disaggregation Records'!$D$155:$D$385,255),0))="","",INDEX('Disaggregation Records'!$E$155:$E$385,MATCH(RIGHT(Q639,255),RIGHT('Disaggregation Records'!$D$155:$D$385,255),0))),"")</f>
        <v/>
      </c>
      <c r="S639" s="89" t="str">
        <f t="array" aca="1" ref="S639" ca="1">IFERROR(IF(INDEX('Disaggregation Records'!$F$155:$F$385,MATCH(RIGHT(Q639,255),RIGHT('Disaggregation Records'!$D$155:$D$385,255),0))="","",INDEX('Disaggregation Records'!$F$155:$F$385,MATCH(RIGHT(Q639,255),RIGHT('Disaggregation Records'!$D$155:$D$385,255),0))),"")</f>
        <v/>
      </c>
      <c r="T639" s="89" t="str">
        <f t="array" aca="1" ref="T639" ca="1">IFERROR(IF(INDEX('Disaggregation Records'!$H$155:$H$385,MATCH(RIGHT(Q639,255),RIGHT('Disaggregation Records'!$D$155:$D$385,255),0))="","",INDEX('Disaggregation Records'!$H$155:$H$385,MATCH(RIGHT(Q639,255),RIGHT('Disaggregation Records'!$D$155:$D$385,255),0))),"")</f>
        <v/>
      </c>
      <c r="U639" s="89">
        <f>U637+1</f>
        <v>1429</v>
      </c>
      <c r="V639" s="89" t="str">
        <f t="array" aca="1" ref="V639" ca="1">IFERROR(IF(INDEX('Disaggregation Records'!$I$155:$I$385,MATCH(RIGHT(Q639,255),RIGHT('Disaggregation Records'!$D$155:$D$385,255),0))="","",INDEX('Disaggregation Records'!$I$155:$I$385,MATCH(RIGHT(Q639,255),RIGHT('Disaggregation Records'!$D$155:$D$385,255),0))),"")</f>
        <v/>
      </c>
      <c r="W639" s="89" t="str">
        <f ca="1">IFERROR(INDEX('Reference Records'!L$77:L$157,MATCH(LEFT(C639,255),'Reference Records'!E$77:E$157,0)),"")</f>
        <v>KP-1a⁽ᴹ⁾ Percentage of men who have sex with men reached with HIV prevention programs - defined package of services</v>
      </c>
    </row>
    <row r="640" spans="1:23" s="89" customFormat="1" ht="40.35" customHeight="1">
      <c r="A640" s="564"/>
      <c r="B640" s="799"/>
      <c r="C640" s="800"/>
      <c r="D640" s="801"/>
      <c r="E640" s="801"/>
      <c r="F640" s="128"/>
      <c r="G640" s="802"/>
      <c r="H640" s="781"/>
      <c r="I640" s="803"/>
      <c r="J640" s="779"/>
      <c r="K640" s="800"/>
      <c r="L640" s="800"/>
      <c r="M640" s="779"/>
      <c r="N640" s="779"/>
    </row>
    <row r="641" spans="1:23" s="89" customFormat="1" ht="40.35" customHeight="1">
      <c r="A641" s="564" t="str">
        <f ca="1">INDIRECT("'update Helper'!C"&amp;U641)</f>
        <v>a163p000004VjkrAAC</v>
      </c>
      <c r="B641" s="794">
        <v>1</v>
      </c>
      <c r="C641" s="795" t="str">
        <f ca="1">VLOOKUP(B641,'Coverage Indicators - Section D'!$A$9:$AU$70,47,FALSE)</f>
        <v>KP-1a⁽ᴹ⁾ Porcentaje de HSH alcanzados por programas de prevención del VIH - paquete definido de servicios</v>
      </c>
      <c r="D641" s="796" t="str">
        <f ca="1">R641</f>
        <v/>
      </c>
      <c r="E641" s="796" t="str">
        <f ca="1">S641</f>
        <v/>
      </c>
      <c r="F641" s="127"/>
      <c r="G641" s="797" t="str">
        <f ca="1">IF(OR(INDIRECT("'update Helper'!E"&amp;U641)="",F641&lt;&gt;0,F642&lt;&gt;0),IF(IFERROR((F641/F642),"")="","",(F641/F642)),INDIRECT("'update Helper'!E"&amp;U641)/100)</f>
        <v/>
      </c>
      <c r="H641" s="784"/>
      <c r="I641" s="798"/>
      <c r="J641" s="777"/>
      <c r="K641" s="795" t="str">
        <f ca="1">W641</f>
        <v>KP-1a⁽ᴹ⁾ Percentage of men who have sex with men reached with HIV prevention programs - defined package of services</v>
      </c>
      <c r="L641" s="795" t="str">
        <f ca="1">V641</f>
        <v/>
      </c>
      <c r="M641" s="777"/>
      <c r="N641" s="777"/>
      <c r="P641" s="89">
        <f ca="1">IF(AND(EXACT(C641,C639),C639&lt;&gt;0),P639+1,0)</f>
        <v>10</v>
      </c>
      <c r="Q641" s="89" t="str">
        <f ca="1">IF(C641&lt;&gt;"",C641&amp;"-"&amp;P641,"")</f>
        <v>KP-1a⁽ᴹ⁾ Porcentaje de HSH alcanzados por programas de prevención del VIH - paquete definido de servicios-10</v>
      </c>
      <c r="R641" s="89" t="str">
        <f t="array" aca="1" ref="R641" ca="1">IFERROR(IF(INDEX('Disaggregation Records'!$E$155:$E$385,MATCH(RIGHT(Q641,255),RIGHT('Disaggregation Records'!$D$155:$D$385,255),0))="","",INDEX('Disaggregation Records'!$E$155:$E$385,MATCH(RIGHT(Q641,255),RIGHT('Disaggregation Records'!$D$155:$D$385,255),0))),"")</f>
        <v/>
      </c>
      <c r="S641" s="89" t="str">
        <f t="array" aca="1" ref="S641" ca="1">IFERROR(IF(INDEX('Disaggregation Records'!$F$155:$F$385,MATCH(RIGHT(Q641,255),RIGHT('Disaggregation Records'!$D$155:$D$385,255),0))="","",INDEX('Disaggregation Records'!$F$155:$F$385,MATCH(RIGHT(Q641,255),RIGHT('Disaggregation Records'!$D$155:$D$385,255),0))),"")</f>
        <v/>
      </c>
      <c r="T641" s="89" t="str">
        <f t="array" aca="1" ref="T641" ca="1">IFERROR(IF(INDEX('Disaggregation Records'!$H$155:$H$385,MATCH(RIGHT(Q641,255),RIGHT('Disaggregation Records'!$D$155:$D$385,255),0))="","",INDEX('Disaggregation Records'!$H$155:$H$385,MATCH(RIGHT(Q641,255),RIGHT('Disaggregation Records'!$D$155:$D$385,255),0))),"")</f>
        <v/>
      </c>
      <c r="U641" s="89">
        <f>U639+1</f>
        <v>1430</v>
      </c>
      <c r="V641" s="89" t="str">
        <f t="array" aca="1" ref="V641" ca="1">IFERROR(IF(INDEX('Disaggregation Records'!$I$155:$I$385,MATCH(RIGHT(Q641,255),RIGHT('Disaggregation Records'!$D$155:$D$385,255),0))="","",INDEX('Disaggregation Records'!$I$155:$I$385,MATCH(RIGHT(Q641,255),RIGHT('Disaggregation Records'!$D$155:$D$385,255),0))),"")</f>
        <v/>
      </c>
      <c r="W641" s="89" t="str">
        <f ca="1">IFERROR(INDEX('Reference Records'!L$77:L$157,MATCH(LEFT(C641,255),'Reference Records'!E$77:E$157,0)),"")</f>
        <v>KP-1a⁽ᴹ⁾ Percentage of men who have sex with men reached with HIV prevention programs - defined package of services</v>
      </c>
    </row>
    <row r="642" spans="1:23" s="89" customFormat="1" ht="40.35" customHeight="1">
      <c r="A642" s="564"/>
      <c r="B642" s="799"/>
      <c r="C642" s="800"/>
      <c r="D642" s="801"/>
      <c r="E642" s="801"/>
      <c r="F642" s="128"/>
      <c r="G642" s="802"/>
      <c r="H642" s="781"/>
      <c r="I642" s="803"/>
      <c r="J642" s="779"/>
      <c r="K642" s="800"/>
      <c r="L642" s="800"/>
      <c r="M642" s="779"/>
      <c r="N642" s="779"/>
    </row>
    <row r="643" spans="1:23" s="89" customFormat="1" ht="40.35" customHeight="1">
      <c r="A643" s="564" t="str">
        <f ca="1">INDIRECT("'update Helper'!C"&amp;U643)</f>
        <v>a163p000004VjksAAC</v>
      </c>
      <c r="B643" s="794">
        <v>1</v>
      </c>
      <c r="C643" s="795" t="str">
        <f ca="1">VLOOKUP(B643,'Coverage Indicators - Section D'!$A$9:$AU$70,47,FALSE)</f>
        <v>KP-1a⁽ᴹ⁾ Porcentaje de HSH alcanzados por programas de prevención del VIH - paquete definido de servicios</v>
      </c>
      <c r="D643" s="796" t="str">
        <f ca="1">R643</f>
        <v/>
      </c>
      <c r="E643" s="796" t="str">
        <f ca="1">S643</f>
        <v/>
      </c>
      <c r="F643" s="127"/>
      <c r="G643" s="797" t="str">
        <f ca="1">IF(OR(INDIRECT("'update Helper'!E"&amp;U643)="",F643&lt;&gt;0,F644&lt;&gt;0),IF(IFERROR((F643/F644),"")="","",(F643/F644)),INDIRECT("'update Helper'!E"&amp;U643)/100)</f>
        <v/>
      </c>
      <c r="H643" s="784"/>
      <c r="I643" s="798"/>
      <c r="J643" s="777"/>
      <c r="K643" s="795" t="str">
        <f ca="1">W643</f>
        <v>KP-1a⁽ᴹ⁾ Percentage of men who have sex with men reached with HIV prevention programs - defined package of services</v>
      </c>
      <c r="L643" s="795" t="str">
        <f ca="1">V643</f>
        <v/>
      </c>
      <c r="M643" s="777"/>
      <c r="N643" s="777"/>
      <c r="P643" s="89">
        <f ca="1">IF(AND(EXACT(C643,C641),C641&lt;&gt;0),P641+1,0)</f>
        <v>11</v>
      </c>
      <c r="Q643" s="89" t="str">
        <f ca="1">IF(C643&lt;&gt;"",C643&amp;"-"&amp;P643,"")</f>
        <v>KP-1a⁽ᴹ⁾ Porcentaje de HSH alcanzados por programas de prevención del VIH - paquete definido de servicios-11</v>
      </c>
      <c r="R643" s="89" t="str">
        <f t="array" aca="1" ref="R643" ca="1">IFERROR(IF(INDEX('Disaggregation Records'!$E$155:$E$385,MATCH(RIGHT(Q643,255),RIGHT('Disaggregation Records'!$D$155:$D$385,255),0))="","",INDEX('Disaggregation Records'!$E$155:$E$385,MATCH(RIGHT(Q643,255),RIGHT('Disaggregation Records'!$D$155:$D$385,255),0))),"")</f>
        <v/>
      </c>
      <c r="S643" s="89" t="str">
        <f t="array" aca="1" ref="S643" ca="1">IFERROR(IF(INDEX('Disaggregation Records'!$F$155:$F$385,MATCH(RIGHT(Q643,255),RIGHT('Disaggregation Records'!$D$155:$D$385,255),0))="","",INDEX('Disaggregation Records'!$F$155:$F$385,MATCH(RIGHT(Q643,255),RIGHT('Disaggregation Records'!$D$155:$D$385,255),0))),"")</f>
        <v/>
      </c>
      <c r="T643" s="89" t="str">
        <f t="array" aca="1" ref="T643" ca="1">IFERROR(IF(INDEX('Disaggregation Records'!$H$155:$H$385,MATCH(RIGHT(Q643,255),RIGHT('Disaggregation Records'!$D$155:$D$385,255),0))="","",INDEX('Disaggregation Records'!$H$155:$H$385,MATCH(RIGHT(Q643,255),RIGHT('Disaggregation Records'!$D$155:$D$385,255),0))),"")</f>
        <v/>
      </c>
      <c r="U643" s="89">
        <f>U641+1</f>
        <v>1431</v>
      </c>
      <c r="V643" s="89" t="str">
        <f t="array" aca="1" ref="V643" ca="1">IFERROR(IF(INDEX('Disaggregation Records'!$I$155:$I$385,MATCH(RIGHT(Q643,255),RIGHT('Disaggregation Records'!$D$155:$D$385,255),0))="","",INDEX('Disaggregation Records'!$I$155:$I$385,MATCH(RIGHT(Q643,255),RIGHT('Disaggregation Records'!$D$155:$D$385,255),0))),"")</f>
        <v/>
      </c>
      <c r="W643" s="89" t="str">
        <f ca="1">IFERROR(INDEX('Reference Records'!L$77:L$157,MATCH(LEFT(C643,255),'Reference Records'!E$77:E$157,0)),"")</f>
        <v>KP-1a⁽ᴹ⁾ Percentage of men who have sex with men reached with HIV prevention programs - defined package of services</v>
      </c>
    </row>
    <row r="644" spans="1:23" s="89" customFormat="1" ht="40.35" customHeight="1">
      <c r="A644" s="564"/>
      <c r="B644" s="799"/>
      <c r="C644" s="800"/>
      <c r="D644" s="801"/>
      <c r="E644" s="801"/>
      <c r="F644" s="128"/>
      <c r="G644" s="802"/>
      <c r="H644" s="781"/>
      <c r="I644" s="803"/>
      <c r="J644" s="779"/>
      <c r="K644" s="800"/>
      <c r="L644" s="800"/>
      <c r="M644" s="779"/>
      <c r="N644" s="779"/>
    </row>
    <row r="645" spans="1:23" s="89" customFormat="1" ht="40.35" customHeight="1">
      <c r="A645" s="564" t="str">
        <f ca="1">INDIRECT("'update Helper'!C"&amp;U645)</f>
        <v>a163p000004VjktAAC</v>
      </c>
      <c r="B645" s="794">
        <v>1</v>
      </c>
      <c r="C645" s="795" t="str">
        <f ca="1">VLOOKUP(B645,'Coverage Indicators - Section D'!$A$9:$AU$70,47,FALSE)</f>
        <v>KP-1a⁽ᴹ⁾ Porcentaje de HSH alcanzados por programas de prevención del VIH - paquete definido de servicios</v>
      </c>
      <c r="D645" s="796" t="str">
        <f ca="1">R645</f>
        <v/>
      </c>
      <c r="E645" s="796" t="str">
        <f ca="1">S645</f>
        <v/>
      </c>
      <c r="F645" s="127"/>
      <c r="G645" s="797" t="str">
        <f ca="1">IF(OR(INDIRECT("'update Helper'!E"&amp;U645)="",F645&lt;&gt;0,F646&lt;&gt;0),IF(IFERROR((F645/F646),"")="","",(F645/F646)),INDIRECT("'update Helper'!E"&amp;U645)/100)</f>
        <v/>
      </c>
      <c r="H645" s="784"/>
      <c r="I645" s="798"/>
      <c r="J645" s="777"/>
      <c r="K645" s="795" t="str">
        <f ca="1">W645</f>
        <v>KP-1a⁽ᴹ⁾ Percentage of men who have sex with men reached with HIV prevention programs - defined package of services</v>
      </c>
      <c r="L645" s="795" t="str">
        <f ca="1">V645</f>
        <v/>
      </c>
      <c r="M645" s="777"/>
      <c r="N645" s="777"/>
      <c r="P645" s="89">
        <f ca="1">IF(AND(EXACT(C645,C643),C643&lt;&gt;0),P643+1,0)</f>
        <v>12</v>
      </c>
      <c r="Q645" s="89" t="str">
        <f ca="1">IF(C645&lt;&gt;"",C645&amp;"-"&amp;P645,"")</f>
        <v>KP-1a⁽ᴹ⁾ Porcentaje de HSH alcanzados por programas de prevención del VIH - paquete definido de servicios-12</v>
      </c>
      <c r="R645" s="89" t="str">
        <f t="array" aca="1" ref="R645" ca="1">IFERROR(IF(INDEX('Disaggregation Records'!$E$155:$E$385,MATCH(RIGHT(Q645,255),RIGHT('Disaggregation Records'!$D$155:$D$385,255),0))="","",INDEX('Disaggregation Records'!$E$155:$E$385,MATCH(RIGHT(Q645,255),RIGHT('Disaggregation Records'!$D$155:$D$385,255),0))),"")</f>
        <v/>
      </c>
      <c r="S645" s="89" t="str">
        <f t="array" aca="1" ref="S645" ca="1">IFERROR(IF(INDEX('Disaggregation Records'!$F$155:$F$385,MATCH(RIGHT(Q645,255),RIGHT('Disaggregation Records'!$D$155:$D$385,255),0))="","",INDEX('Disaggregation Records'!$F$155:$F$385,MATCH(RIGHT(Q645,255),RIGHT('Disaggregation Records'!$D$155:$D$385,255),0))),"")</f>
        <v/>
      </c>
      <c r="T645" s="89" t="str">
        <f t="array" aca="1" ref="T645" ca="1">IFERROR(IF(INDEX('Disaggregation Records'!$H$155:$H$385,MATCH(RIGHT(Q645,255),RIGHT('Disaggregation Records'!$D$155:$D$385,255),0))="","",INDEX('Disaggregation Records'!$H$155:$H$385,MATCH(RIGHT(Q645,255),RIGHT('Disaggregation Records'!$D$155:$D$385,255),0))),"")</f>
        <v/>
      </c>
      <c r="U645" s="89">
        <f>U643+1</f>
        <v>1432</v>
      </c>
      <c r="V645" s="89" t="str">
        <f t="array" aca="1" ref="V645" ca="1">IFERROR(IF(INDEX('Disaggregation Records'!$I$155:$I$385,MATCH(RIGHT(Q645,255),RIGHT('Disaggregation Records'!$D$155:$D$385,255),0))="","",INDEX('Disaggregation Records'!$I$155:$I$385,MATCH(RIGHT(Q645,255),RIGHT('Disaggregation Records'!$D$155:$D$385,255),0))),"")</f>
        <v/>
      </c>
      <c r="W645" s="89" t="str">
        <f ca="1">IFERROR(INDEX('Reference Records'!L$77:L$157,MATCH(LEFT(C645,255),'Reference Records'!E$77:E$157,0)),"")</f>
        <v>KP-1a⁽ᴹ⁾ Percentage of men who have sex with men reached with HIV prevention programs - defined package of services</v>
      </c>
    </row>
    <row r="646" spans="1:23" s="89" customFormat="1" ht="40.35" customHeight="1">
      <c r="A646" s="564"/>
      <c r="B646" s="799"/>
      <c r="C646" s="800"/>
      <c r="D646" s="801"/>
      <c r="E646" s="801"/>
      <c r="F646" s="128"/>
      <c r="G646" s="802"/>
      <c r="H646" s="781"/>
      <c r="I646" s="803"/>
      <c r="J646" s="779"/>
      <c r="K646" s="800"/>
      <c r="L646" s="800"/>
      <c r="M646" s="779"/>
      <c r="N646" s="779"/>
    </row>
    <row r="647" spans="1:23" s="89" customFormat="1" ht="40.35" customHeight="1">
      <c r="A647" s="564" t="str">
        <f ca="1">INDIRECT("'update Helper'!C"&amp;U647)</f>
        <v>a163p000004VjkuAAC</v>
      </c>
      <c r="B647" s="794">
        <v>1</v>
      </c>
      <c r="C647" s="795" t="str">
        <f ca="1">VLOOKUP(B647,'Coverage Indicators - Section D'!$A$9:$AU$70,47,FALSE)</f>
        <v>KP-1a⁽ᴹ⁾ Porcentaje de HSH alcanzados por programas de prevención del VIH - paquete definido de servicios</v>
      </c>
      <c r="D647" s="796" t="str">
        <f ca="1">R647</f>
        <v/>
      </c>
      <c r="E647" s="796" t="str">
        <f ca="1">S647</f>
        <v/>
      </c>
      <c r="F647" s="127"/>
      <c r="G647" s="797" t="str">
        <f ca="1">IF(OR(INDIRECT("'update Helper'!E"&amp;U647)="",F647&lt;&gt;0,F648&lt;&gt;0),IF(IFERROR((F647/F648),"")="","",(F647/F648)),INDIRECT("'update Helper'!E"&amp;U647)/100)</f>
        <v/>
      </c>
      <c r="H647" s="784"/>
      <c r="I647" s="798"/>
      <c r="J647" s="777"/>
      <c r="K647" s="795" t="str">
        <f ca="1">W647</f>
        <v>KP-1a⁽ᴹ⁾ Percentage of men who have sex with men reached with HIV prevention programs - defined package of services</v>
      </c>
      <c r="L647" s="795" t="str">
        <f ca="1">V647</f>
        <v/>
      </c>
      <c r="M647" s="777"/>
      <c r="N647" s="777"/>
      <c r="P647" s="89">
        <f ca="1">IF(AND(EXACT(C647,C645),C645&lt;&gt;0),P645+1,0)</f>
        <v>13</v>
      </c>
      <c r="Q647" s="89" t="str">
        <f ca="1">IF(C647&lt;&gt;"",C647&amp;"-"&amp;P647,"")</f>
        <v>KP-1a⁽ᴹ⁾ Porcentaje de HSH alcanzados por programas de prevención del VIH - paquete definido de servicios-13</v>
      </c>
      <c r="R647" s="89" t="str">
        <f t="array" aca="1" ref="R647" ca="1">IFERROR(IF(INDEX('Disaggregation Records'!$E$155:$E$385,MATCH(RIGHT(Q647,255),RIGHT('Disaggregation Records'!$D$155:$D$385,255),0))="","",INDEX('Disaggregation Records'!$E$155:$E$385,MATCH(RIGHT(Q647,255),RIGHT('Disaggregation Records'!$D$155:$D$385,255),0))),"")</f>
        <v/>
      </c>
      <c r="S647" s="89" t="str">
        <f t="array" aca="1" ref="S647" ca="1">IFERROR(IF(INDEX('Disaggregation Records'!$F$155:$F$385,MATCH(RIGHT(Q647,255),RIGHT('Disaggregation Records'!$D$155:$D$385,255),0))="","",INDEX('Disaggregation Records'!$F$155:$F$385,MATCH(RIGHT(Q647,255),RIGHT('Disaggregation Records'!$D$155:$D$385,255),0))),"")</f>
        <v/>
      </c>
      <c r="T647" s="89" t="str">
        <f t="array" aca="1" ref="T647" ca="1">IFERROR(IF(INDEX('Disaggregation Records'!$H$155:$H$385,MATCH(RIGHT(Q647,255),RIGHT('Disaggregation Records'!$D$155:$D$385,255),0))="","",INDEX('Disaggregation Records'!$H$155:$H$385,MATCH(RIGHT(Q647,255),RIGHT('Disaggregation Records'!$D$155:$D$385,255),0))),"")</f>
        <v/>
      </c>
      <c r="U647" s="89">
        <f>U645+1</f>
        <v>1433</v>
      </c>
      <c r="V647" s="89" t="str">
        <f t="array" aca="1" ref="V647" ca="1">IFERROR(IF(INDEX('Disaggregation Records'!$I$155:$I$385,MATCH(RIGHT(Q647,255),RIGHT('Disaggregation Records'!$D$155:$D$385,255),0))="","",INDEX('Disaggregation Records'!$I$155:$I$385,MATCH(RIGHT(Q647,255),RIGHT('Disaggregation Records'!$D$155:$D$385,255),0))),"")</f>
        <v/>
      </c>
      <c r="W647" s="89" t="str">
        <f ca="1">IFERROR(INDEX('Reference Records'!L$77:L$157,MATCH(LEFT(C647,255),'Reference Records'!E$77:E$157,0)),"")</f>
        <v>KP-1a⁽ᴹ⁾ Percentage of men who have sex with men reached with HIV prevention programs - defined package of services</v>
      </c>
    </row>
    <row r="648" spans="1:23" s="89" customFormat="1" ht="40.35" customHeight="1">
      <c r="A648" s="564"/>
      <c r="B648" s="799"/>
      <c r="C648" s="800"/>
      <c r="D648" s="801"/>
      <c r="E648" s="801"/>
      <c r="F648" s="128"/>
      <c r="G648" s="802"/>
      <c r="H648" s="781"/>
      <c r="I648" s="803"/>
      <c r="J648" s="779"/>
      <c r="K648" s="800"/>
      <c r="L648" s="800"/>
      <c r="M648" s="779"/>
      <c r="N648" s="779"/>
    </row>
    <row r="649" spans="1:23" s="89" customFormat="1" ht="40.35" customHeight="1">
      <c r="A649" s="564" t="str">
        <f ca="1">INDIRECT("'update Helper'!C"&amp;U649)</f>
        <v>a163p000004VjkvAAC</v>
      </c>
      <c r="B649" s="794">
        <v>1</v>
      </c>
      <c r="C649" s="795" t="str">
        <f ca="1">VLOOKUP(B649,'Coverage Indicators - Section D'!$A$9:$AU$70,47,FALSE)</f>
        <v>KP-1a⁽ᴹ⁾ Porcentaje de HSH alcanzados por programas de prevención del VIH - paquete definido de servicios</v>
      </c>
      <c r="D649" s="796" t="str">
        <f ca="1">R649</f>
        <v/>
      </c>
      <c r="E649" s="796" t="str">
        <f ca="1">S649</f>
        <v/>
      </c>
      <c r="F649" s="127"/>
      <c r="G649" s="797" t="str">
        <f ca="1">IF(OR(INDIRECT("'update Helper'!E"&amp;U649)="",F649&lt;&gt;0,F650&lt;&gt;0),IF(IFERROR((F649/F650),"")="","",(F649/F650)),INDIRECT("'update Helper'!E"&amp;U649)/100)</f>
        <v/>
      </c>
      <c r="H649" s="784"/>
      <c r="I649" s="798"/>
      <c r="J649" s="777"/>
      <c r="K649" s="795" t="str">
        <f ca="1">W649</f>
        <v>KP-1a⁽ᴹ⁾ Percentage of men who have sex with men reached with HIV prevention programs - defined package of services</v>
      </c>
      <c r="L649" s="795" t="str">
        <f ca="1">V649</f>
        <v/>
      </c>
      <c r="M649" s="777"/>
      <c r="N649" s="777"/>
      <c r="P649" s="89">
        <f ca="1">IF(AND(EXACT(C649,C647),C647&lt;&gt;0),P647+1,0)</f>
        <v>14</v>
      </c>
      <c r="Q649" s="89" t="str">
        <f ca="1">IF(C649&lt;&gt;"",C649&amp;"-"&amp;P649,"")</f>
        <v>KP-1a⁽ᴹ⁾ Porcentaje de HSH alcanzados por programas de prevención del VIH - paquete definido de servicios-14</v>
      </c>
      <c r="R649" s="89" t="str">
        <f t="array" aca="1" ref="R649" ca="1">IFERROR(IF(INDEX('Disaggregation Records'!$E$155:$E$385,MATCH(RIGHT(Q649,255),RIGHT('Disaggregation Records'!$D$155:$D$385,255),0))="","",INDEX('Disaggregation Records'!$E$155:$E$385,MATCH(RIGHT(Q649,255),RIGHT('Disaggregation Records'!$D$155:$D$385,255),0))),"")</f>
        <v/>
      </c>
      <c r="S649" s="89" t="str">
        <f t="array" aca="1" ref="S649" ca="1">IFERROR(IF(INDEX('Disaggregation Records'!$F$155:$F$385,MATCH(RIGHT(Q649,255),RIGHT('Disaggregation Records'!$D$155:$D$385,255),0))="","",INDEX('Disaggregation Records'!$F$155:$F$385,MATCH(RIGHT(Q649,255),RIGHT('Disaggregation Records'!$D$155:$D$385,255),0))),"")</f>
        <v/>
      </c>
      <c r="T649" s="89" t="str">
        <f t="array" aca="1" ref="T649" ca="1">IFERROR(IF(INDEX('Disaggregation Records'!$H$155:$H$385,MATCH(RIGHT(Q649,255),RIGHT('Disaggregation Records'!$D$155:$D$385,255),0))="","",INDEX('Disaggregation Records'!$H$155:$H$385,MATCH(RIGHT(Q649,255),RIGHT('Disaggregation Records'!$D$155:$D$385,255),0))),"")</f>
        <v/>
      </c>
      <c r="U649" s="89">
        <f>U647+1</f>
        <v>1434</v>
      </c>
      <c r="V649" s="89" t="str">
        <f t="array" aca="1" ref="V649" ca="1">IFERROR(IF(INDEX('Disaggregation Records'!$I$155:$I$385,MATCH(RIGHT(Q649,255),RIGHT('Disaggregation Records'!$D$155:$D$385,255),0))="","",INDEX('Disaggregation Records'!$I$155:$I$385,MATCH(RIGHT(Q649,255),RIGHT('Disaggregation Records'!$D$155:$D$385,255),0))),"")</f>
        <v/>
      </c>
      <c r="W649" s="89" t="str">
        <f ca="1">IFERROR(INDEX('Reference Records'!L$77:L$157,MATCH(LEFT(C649,255),'Reference Records'!E$77:E$157,0)),"")</f>
        <v>KP-1a⁽ᴹ⁾ Percentage of men who have sex with men reached with HIV prevention programs - defined package of services</v>
      </c>
    </row>
    <row r="650" spans="1:23" s="89" customFormat="1" ht="40.35" customHeight="1">
      <c r="A650" s="564"/>
      <c r="B650" s="799"/>
      <c r="C650" s="800"/>
      <c r="D650" s="801"/>
      <c r="E650" s="801"/>
      <c r="F650" s="128"/>
      <c r="G650" s="802"/>
      <c r="H650" s="781"/>
      <c r="I650" s="803"/>
      <c r="J650" s="779"/>
      <c r="K650" s="800"/>
      <c r="L650" s="800"/>
      <c r="M650" s="779"/>
      <c r="N650" s="779"/>
    </row>
    <row r="651" spans="1:23" s="89" customFormat="1" ht="40.35" customHeight="1">
      <c r="A651" s="564" t="str">
        <f ca="1">INDIRECT("'update Helper'!C"&amp;U651)</f>
        <v>a163p000004VjkwAAC</v>
      </c>
      <c r="B651" s="794">
        <v>1</v>
      </c>
      <c r="C651" s="795" t="str">
        <f ca="1">VLOOKUP(B651,'Coverage Indicators - Section D'!$A$9:$AU$70,47,FALSE)</f>
        <v>KP-1a⁽ᴹ⁾ Porcentaje de HSH alcanzados por programas de prevención del VIH - paquete definido de servicios</v>
      </c>
      <c r="D651" s="796" t="str">
        <f ca="1">R651</f>
        <v/>
      </c>
      <c r="E651" s="796" t="str">
        <f ca="1">S651</f>
        <v/>
      </c>
      <c r="F651" s="127"/>
      <c r="G651" s="797" t="str">
        <f ca="1">IF(OR(INDIRECT("'update Helper'!E"&amp;U651)="",F651&lt;&gt;0,F652&lt;&gt;0),IF(IFERROR((F651/F652),"")="","",(F651/F652)),INDIRECT("'update Helper'!E"&amp;U651)/100)</f>
        <v/>
      </c>
      <c r="H651" s="784"/>
      <c r="I651" s="798"/>
      <c r="J651" s="777"/>
      <c r="K651" s="795" t="str">
        <f ca="1">W651</f>
        <v>KP-1a⁽ᴹ⁾ Percentage of men who have sex with men reached with HIV prevention programs - defined package of services</v>
      </c>
      <c r="L651" s="795" t="str">
        <f ca="1">V651</f>
        <v/>
      </c>
      <c r="M651" s="777"/>
      <c r="N651" s="777"/>
      <c r="P651" s="89">
        <f ca="1">IF(AND(EXACT(C651,C649),C649&lt;&gt;0),P649+1,0)</f>
        <v>15</v>
      </c>
      <c r="Q651" s="89" t="str">
        <f ca="1">IF(C651&lt;&gt;"",C651&amp;"-"&amp;P651,"")</f>
        <v>KP-1a⁽ᴹ⁾ Porcentaje de HSH alcanzados por programas de prevención del VIH - paquete definido de servicios-15</v>
      </c>
      <c r="R651" s="89" t="str">
        <f t="array" aca="1" ref="R651" ca="1">IFERROR(IF(INDEX('Disaggregation Records'!$E$155:$E$385,MATCH(RIGHT(Q651,255),RIGHT('Disaggregation Records'!$D$155:$D$385,255),0))="","",INDEX('Disaggregation Records'!$E$155:$E$385,MATCH(RIGHT(Q651,255),RIGHT('Disaggregation Records'!$D$155:$D$385,255),0))),"")</f>
        <v/>
      </c>
      <c r="S651" s="89" t="str">
        <f t="array" aca="1" ref="S651" ca="1">IFERROR(IF(INDEX('Disaggregation Records'!$F$155:$F$385,MATCH(RIGHT(Q651,255),RIGHT('Disaggregation Records'!$D$155:$D$385,255),0))="","",INDEX('Disaggregation Records'!$F$155:$F$385,MATCH(RIGHT(Q651,255),RIGHT('Disaggregation Records'!$D$155:$D$385,255),0))),"")</f>
        <v/>
      </c>
      <c r="T651" s="89" t="str">
        <f t="array" aca="1" ref="T651" ca="1">IFERROR(IF(INDEX('Disaggregation Records'!$H$155:$H$385,MATCH(RIGHT(Q651,255),RIGHT('Disaggregation Records'!$D$155:$D$385,255),0))="","",INDEX('Disaggregation Records'!$H$155:$H$385,MATCH(RIGHT(Q651,255),RIGHT('Disaggregation Records'!$D$155:$D$385,255),0))),"")</f>
        <v/>
      </c>
      <c r="U651" s="89">
        <f>U649+1</f>
        <v>1435</v>
      </c>
      <c r="V651" s="89" t="str">
        <f t="array" aca="1" ref="V651" ca="1">IFERROR(IF(INDEX('Disaggregation Records'!$I$155:$I$385,MATCH(RIGHT(Q651,255),RIGHT('Disaggregation Records'!$D$155:$D$385,255),0))="","",INDEX('Disaggregation Records'!$I$155:$I$385,MATCH(RIGHT(Q651,255),RIGHT('Disaggregation Records'!$D$155:$D$385,255),0))),"")</f>
        <v/>
      </c>
      <c r="W651" s="89" t="str">
        <f ca="1">IFERROR(INDEX('Reference Records'!L$77:L$157,MATCH(LEFT(C651,255),'Reference Records'!E$77:E$157,0)),"")</f>
        <v>KP-1a⁽ᴹ⁾ Percentage of men who have sex with men reached with HIV prevention programs - defined package of services</v>
      </c>
    </row>
    <row r="652" spans="1:23" s="89" customFormat="1" ht="40.35" customHeight="1">
      <c r="A652" s="564"/>
      <c r="B652" s="799"/>
      <c r="C652" s="800"/>
      <c r="D652" s="801"/>
      <c r="E652" s="801"/>
      <c r="F652" s="128"/>
      <c r="G652" s="802"/>
      <c r="H652" s="781"/>
      <c r="I652" s="803"/>
      <c r="J652" s="779"/>
      <c r="K652" s="800"/>
      <c r="L652" s="800"/>
      <c r="M652" s="779"/>
      <c r="N652" s="779"/>
    </row>
    <row r="653" spans="1:23" s="89" customFormat="1" ht="40.35" customHeight="1">
      <c r="A653" s="564" t="str">
        <f ca="1">INDIRECT("'update Helper'!C"&amp;U653)</f>
        <v>a163p000004VjkxAAC</v>
      </c>
      <c r="B653" s="794">
        <v>1</v>
      </c>
      <c r="C653" s="795" t="str">
        <f ca="1">VLOOKUP(B653,'Coverage Indicators - Section D'!$A$9:$AU$70,47,FALSE)</f>
        <v>KP-1a⁽ᴹ⁾ Porcentaje de HSH alcanzados por programas de prevención del VIH - paquete definido de servicios</v>
      </c>
      <c r="D653" s="796" t="str">
        <f ca="1">R653</f>
        <v/>
      </c>
      <c r="E653" s="796" t="str">
        <f ca="1">S653</f>
        <v/>
      </c>
      <c r="F653" s="127"/>
      <c r="G653" s="797" t="str">
        <f ca="1">IF(OR(INDIRECT("'update Helper'!E"&amp;U653)="",F653&lt;&gt;0,F654&lt;&gt;0),IF(IFERROR((F653/F654),"")="","",(F653/F654)),INDIRECT("'update Helper'!E"&amp;U653)/100)</f>
        <v/>
      </c>
      <c r="H653" s="784"/>
      <c r="I653" s="798"/>
      <c r="J653" s="777"/>
      <c r="K653" s="795" t="str">
        <f ca="1">W653</f>
        <v>KP-1a⁽ᴹ⁾ Percentage of men who have sex with men reached with HIV prevention programs - defined package of services</v>
      </c>
      <c r="L653" s="795" t="str">
        <f ca="1">V653</f>
        <v/>
      </c>
      <c r="M653" s="777"/>
      <c r="N653" s="777"/>
      <c r="P653" s="89">
        <f ca="1">IF(AND(EXACT(C653,C651),C651&lt;&gt;0),P651+1,0)</f>
        <v>16</v>
      </c>
      <c r="Q653" s="89" t="str">
        <f ca="1">IF(C653&lt;&gt;"",C653&amp;"-"&amp;P653,"")</f>
        <v>KP-1a⁽ᴹ⁾ Porcentaje de HSH alcanzados por programas de prevención del VIH - paquete definido de servicios-16</v>
      </c>
      <c r="R653" s="89" t="str">
        <f t="array" aca="1" ref="R653" ca="1">IFERROR(IF(INDEX('Disaggregation Records'!$E$155:$E$385,MATCH(RIGHT(Q653,255),RIGHT('Disaggregation Records'!$D$155:$D$385,255),0))="","",INDEX('Disaggregation Records'!$E$155:$E$385,MATCH(RIGHT(Q653,255),RIGHT('Disaggregation Records'!$D$155:$D$385,255),0))),"")</f>
        <v/>
      </c>
      <c r="S653" s="89" t="str">
        <f t="array" aca="1" ref="S653" ca="1">IFERROR(IF(INDEX('Disaggregation Records'!$F$155:$F$385,MATCH(RIGHT(Q653,255),RIGHT('Disaggregation Records'!$D$155:$D$385,255),0))="","",INDEX('Disaggregation Records'!$F$155:$F$385,MATCH(RIGHT(Q653,255),RIGHT('Disaggregation Records'!$D$155:$D$385,255),0))),"")</f>
        <v/>
      </c>
      <c r="T653" s="89" t="str">
        <f t="array" aca="1" ref="T653" ca="1">IFERROR(IF(INDEX('Disaggregation Records'!$H$155:$H$385,MATCH(RIGHT(Q653,255),RIGHT('Disaggregation Records'!$D$155:$D$385,255),0))="","",INDEX('Disaggregation Records'!$H$155:$H$385,MATCH(RIGHT(Q653,255),RIGHT('Disaggregation Records'!$D$155:$D$385,255),0))),"")</f>
        <v/>
      </c>
      <c r="U653" s="89">
        <f>U651+1</f>
        <v>1436</v>
      </c>
      <c r="V653" s="89" t="str">
        <f t="array" aca="1" ref="V653" ca="1">IFERROR(IF(INDEX('Disaggregation Records'!$I$155:$I$385,MATCH(RIGHT(Q653,255),RIGHT('Disaggregation Records'!$D$155:$D$385,255),0))="","",INDEX('Disaggregation Records'!$I$155:$I$385,MATCH(RIGHT(Q653,255),RIGHT('Disaggregation Records'!$D$155:$D$385,255),0))),"")</f>
        <v/>
      </c>
      <c r="W653" s="89" t="str">
        <f ca="1">IFERROR(INDEX('Reference Records'!L$77:L$157,MATCH(LEFT(C653,255),'Reference Records'!E$77:E$157,0)),"")</f>
        <v>KP-1a⁽ᴹ⁾ Percentage of men who have sex with men reached with HIV prevention programs - defined package of services</v>
      </c>
    </row>
    <row r="654" spans="1:23" s="89" customFormat="1" ht="40.35" customHeight="1">
      <c r="A654" s="564"/>
      <c r="B654" s="799"/>
      <c r="C654" s="800"/>
      <c r="D654" s="801"/>
      <c r="E654" s="801"/>
      <c r="F654" s="128"/>
      <c r="G654" s="802"/>
      <c r="H654" s="781"/>
      <c r="I654" s="803"/>
      <c r="J654" s="779"/>
      <c r="K654" s="800"/>
      <c r="L654" s="800"/>
      <c r="M654" s="779"/>
      <c r="N654" s="779"/>
    </row>
    <row r="655" spans="1:23" s="89" customFormat="1" ht="40.35" customHeight="1">
      <c r="A655" s="564" t="str">
        <f ca="1">INDIRECT("'update Helper'!C"&amp;U655)</f>
        <v>a163p000004VjkyAAC</v>
      </c>
      <c r="B655" s="794">
        <v>1</v>
      </c>
      <c r="C655" s="795" t="str">
        <f ca="1">VLOOKUP(B655,'Coverage Indicators - Section D'!$A$9:$AU$70,47,FALSE)</f>
        <v>KP-1a⁽ᴹ⁾ Porcentaje de HSH alcanzados por programas de prevención del VIH - paquete definido de servicios</v>
      </c>
      <c r="D655" s="796" t="str">
        <f ca="1">R655</f>
        <v/>
      </c>
      <c r="E655" s="796" t="str">
        <f ca="1">S655</f>
        <v/>
      </c>
      <c r="F655" s="127"/>
      <c r="G655" s="797" t="str">
        <f ca="1">IF(OR(INDIRECT("'update Helper'!E"&amp;U655)="",F655&lt;&gt;0,F656&lt;&gt;0),IF(IFERROR((F655/F656),"")="","",(F655/F656)),INDIRECT("'update Helper'!E"&amp;U655)/100)</f>
        <v/>
      </c>
      <c r="H655" s="784"/>
      <c r="I655" s="798"/>
      <c r="J655" s="777"/>
      <c r="K655" s="795" t="str">
        <f ca="1">W655</f>
        <v>KP-1a⁽ᴹ⁾ Percentage of men who have sex with men reached with HIV prevention programs - defined package of services</v>
      </c>
      <c r="L655" s="795" t="str">
        <f ca="1">V655</f>
        <v/>
      </c>
      <c r="M655" s="777"/>
      <c r="N655" s="777"/>
      <c r="P655" s="89">
        <f ca="1">IF(AND(EXACT(C655,C653),C653&lt;&gt;0),P653+1,0)</f>
        <v>17</v>
      </c>
      <c r="Q655" s="89" t="str">
        <f ca="1">IF(C655&lt;&gt;"",C655&amp;"-"&amp;P655,"")</f>
        <v>KP-1a⁽ᴹ⁾ Porcentaje de HSH alcanzados por programas de prevención del VIH - paquete definido de servicios-17</v>
      </c>
      <c r="R655" s="89" t="str">
        <f t="array" aca="1" ref="R655" ca="1">IFERROR(IF(INDEX('Disaggregation Records'!$E$155:$E$385,MATCH(RIGHT(Q655,255),RIGHT('Disaggregation Records'!$D$155:$D$385,255),0))="","",INDEX('Disaggregation Records'!$E$155:$E$385,MATCH(RIGHT(Q655,255),RIGHT('Disaggregation Records'!$D$155:$D$385,255),0))),"")</f>
        <v/>
      </c>
      <c r="S655" s="89" t="str">
        <f t="array" aca="1" ref="S655" ca="1">IFERROR(IF(INDEX('Disaggregation Records'!$F$155:$F$385,MATCH(RIGHT(Q655,255),RIGHT('Disaggregation Records'!$D$155:$D$385,255),0))="","",INDEX('Disaggregation Records'!$F$155:$F$385,MATCH(RIGHT(Q655,255),RIGHT('Disaggregation Records'!$D$155:$D$385,255),0))),"")</f>
        <v/>
      </c>
      <c r="T655" s="89" t="str">
        <f t="array" aca="1" ref="T655" ca="1">IFERROR(IF(INDEX('Disaggregation Records'!$H$155:$H$385,MATCH(RIGHT(Q655,255),RIGHT('Disaggregation Records'!$D$155:$D$385,255),0))="","",INDEX('Disaggregation Records'!$H$155:$H$385,MATCH(RIGHT(Q655,255),RIGHT('Disaggregation Records'!$D$155:$D$385,255),0))),"")</f>
        <v/>
      </c>
      <c r="U655" s="89">
        <f>U653+1</f>
        <v>1437</v>
      </c>
      <c r="V655" s="89" t="str">
        <f t="array" aca="1" ref="V655" ca="1">IFERROR(IF(INDEX('Disaggregation Records'!$I$155:$I$385,MATCH(RIGHT(Q655,255),RIGHT('Disaggregation Records'!$D$155:$D$385,255),0))="","",INDEX('Disaggregation Records'!$I$155:$I$385,MATCH(RIGHT(Q655,255),RIGHT('Disaggregation Records'!$D$155:$D$385,255),0))),"")</f>
        <v/>
      </c>
      <c r="W655" s="89" t="str">
        <f ca="1">IFERROR(INDEX('Reference Records'!L$77:L$157,MATCH(LEFT(C655,255),'Reference Records'!E$77:E$157,0)),"")</f>
        <v>KP-1a⁽ᴹ⁾ Percentage of men who have sex with men reached with HIV prevention programs - defined package of services</v>
      </c>
    </row>
    <row r="656" spans="1:23" s="89" customFormat="1" ht="40.35" customHeight="1">
      <c r="A656" s="564"/>
      <c r="B656" s="799"/>
      <c r="C656" s="800"/>
      <c r="D656" s="801"/>
      <c r="E656" s="801"/>
      <c r="F656" s="128"/>
      <c r="G656" s="802"/>
      <c r="H656" s="781"/>
      <c r="I656" s="803"/>
      <c r="J656" s="779"/>
      <c r="K656" s="800"/>
      <c r="L656" s="800"/>
      <c r="M656" s="779"/>
      <c r="N656" s="779"/>
    </row>
    <row r="657" spans="1:23" s="89" customFormat="1" ht="40.35" customHeight="1">
      <c r="A657" s="564" t="str">
        <f ca="1">INDIRECT("'update Helper'!C"&amp;U657)</f>
        <v>a163p000004VjkzAAC</v>
      </c>
      <c r="B657" s="794">
        <v>1</v>
      </c>
      <c r="C657" s="795" t="str">
        <f ca="1">VLOOKUP(B657,'Coverage Indicators - Section D'!$A$9:$AU$70,47,FALSE)</f>
        <v>KP-1a⁽ᴹ⁾ Porcentaje de HSH alcanzados por programas de prevención del VIH - paquete definido de servicios</v>
      </c>
      <c r="D657" s="796" t="str">
        <f ca="1">R657</f>
        <v/>
      </c>
      <c r="E657" s="796" t="str">
        <f ca="1">S657</f>
        <v/>
      </c>
      <c r="F657" s="127"/>
      <c r="G657" s="797" t="str">
        <f ca="1">IF(OR(INDIRECT("'update Helper'!E"&amp;U657)="",F657&lt;&gt;0,F658&lt;&gt;0),IF(IFERROR((F657/F658),"")="","",(F657/F658)),INDIRECT("'update Helper'!E"&amp;U657)/100)</f>
        <v/>
      </c>
      <c r="H657" s="784"/>
      <c r="I657" s="798"/>
      <c r="J657" s="777"/>
      <c r="K657" s="795" t="str">
        <f ca="1">W657</f>
        <v>KP-1a⁽ᴹ⁾ Percentage of men who have sex with men reached with HIV prevention programs - defined package of services</v>
      </c>
      <c r="L657" s="795" t="str">
        <f ca="1">V657</f>
        <v/>
      </c>
      <c r="M657" s="777"/>
      <c r="N657" s="777"/>
      <c r="P657" s="89">
        <f ca="1">IF(AND(EXACT(C657,C655),C655&lt;&gt;0),P655+1,0)</f>
        <v>18</v>
      </c>
      <c r="Q657" s="89" t="str">
        <f ca="1">IF(C657&lt;&gt;"",C657&amp;"-"&amp;P657,"")</f>
        <v>KP-1a⁽ᴹ⁾ Porcentaje de HSH alcanzados por programas de prevención del VIH - paquete definido de servicios-18</v>
      </c>
      <c r="R657" s="89" t="str">
        <f t="array" aca="1" ref="R657" ca="1">IFERROR(IF(INDEX('Disaggregation Records'!$E$155:$E$385,MATCH(RIGHT(Q657,255),RIGHT('Disaggregation Records'!$D$155:$D$385,255),0))="","",INDEX('Disaggregation Records'!$E$155:$E$385,MATCH(RIGHT(Q657,255),RIGHT('Disaggregation Records'!$D$155:$D$385,255),0))),"")</f>
        <v/>
      </c>
      <c r="S657" s="89" t="str">
        <f t="array" aca="1" ref="S657" ca="1">IFERROR(IF(INDEX('Disaggregation Records'!$F$155:$F$385,MATCH(RIGHT(Q657,255),RIGHT('Disaggregation Records'!$D$155:$D$385,255),0))="","",INDEX('Disaggregation Records'!$F$155:$F$385,MATCH(RIGHT(Q657,255),RIGHT('Disaggregation Records'!$D$155:$D$385,255),0))),"")</f>
        <v/>
      </c>
      <c r="T657" s="89" t="str">
        <f t="array" aca="1" ref="T657" ca="1">IFERROR(IF(INDEX('Disaggregation Records'!$H$155:$H$385,MATCH(RIGHT(Q657,255),RIGHT('Disaggregation Records'!$D$155:$D$385,255),0))="","",INDEX('Disaggregation Records'!$H$155:$H$385,MATCH(RIGHT(Q657,255),RIGHT('Disaggregation Records'!$D$155:$D$385,255),0))),"")</f>
        <v/>
      </c>
      <c r="U657" s="89">
        <f>U655+1</f>
        <v>1438</v>
      </c>
      <c r="V657" s="89" t="str">
        <f t="array" aca="1" ref="V657" ca="1">IFERROR(IF(INDEX('Disaggregation Records'!$I$155:$I$385,MATCH(RIGHT(Q657,255),RIGHT('Disaggregation Records'!$D$155:$D$385,255),0))="","",INDEX('Disaggregation Records'!$I$155:$I$385,MATCH(RIGHT(Q657,255),RIGHT('Disaggregation Records'!$D$155:$D$385,255),0))),"")</f>
        <v/>
      </c>
      <c r="W657" s="89" t="str">
        <f ca="1">IFERROR(INDEX('Reference Records'!L$77:L$157,MATCH(LEFT(C657,255),'Reference Records'!E$77:E$157,0)),"")</f>
        <v>KP-1a⁽ᴹ⁾ Percentage of men who have sex with men reached with HIV prevention programs - defined package of services</v>
      </c>
    </row>
    <row r="658" spans="1:23" s="89" customFormat="1" ht="40.35" customHeight="1">
      <c r="A658" s="564"/>
      <c r="B658" s="799"/>
      <c r="C658" s="800"/>
      <c r="D658" s="801"/>
      <c r="E658" s="801"/>
      <c r="F658" s="128"/>
      <c r="G658" s="802"/>
      <c r="H658" s="781"/>
      <c r="I658" s="803"/>
      <c r="J658" s="779"/>
      <c r="K658" s="800"/>
      <c r="L658" s="800"/>
      <c r="M658" s="779"/>
      <c r="N658" s="779"/>
    </row>
    <row r="659" spans="1:23" s="89" customFormat="1" ht="40.35" customHeight="1">
      <c r="A659" s="564" t="str">
        <f ca="1">INDIRECT("'update Helper'!C"&amp;U659)</f>
        <v>a163p000004Vjl0AAC</v>
      </c>
      <c r="B659" s="794">
        <v>1</v>
      </c>
      <c r="C659" s="795" t="str">
        <f ca="1">VLOOKUP(B659,'Coverage Indicators - Section D'!$A$9:$AU$70,47,FALSE)</f>
        <v>KP-1a⁽ᴹ⁾ Porcentaje de HSH alcanzados por programas de prevención del VIH - paquete definido de servicios</v>
      </c>
      <c r="D659" s="796" t="str">
        <f ca="1">R659</f>
        <v/>
      </c>
      <c r="E659" s="796" t="str">
        <f ca="1">S659</f>
        <v/>
      </c>
      <c r="F659" s="127"/>
      <c r="G659" s="797" t="str">
        <f ca="1">IF(OR(INDIRECT("'update Helper'!E"&amp;U659)="",F659&lt;&gt;0,F660&lt;&gt;0),IF(IFERROR((F659/F660),"")="","",(F659/F660)),INDIRECT("'update Helper'!E"&amp;U659)/100)</f>
        <v/>
      </c>
      <c r="H659" s="784"/>
      <c r="I659" s="798"/>
      <c r="J659" s="777"/>
      <c r="K659" s="795" t="str">
        <f ca="1">W659</f>
        <v>KP-1a⁽ᴹ⁾ Percentage of men who have sex with men reached with HIV prevention programs - defined package of services</v>
      </c>
      <c r="L659" s="795" t="str">
        <f ca="1">V659</f>
        <v/>
      </c>
      <c r="M659" s="777"/>
      <c r="N659" s="777"/>
      <c r="P659" s="89">
        <f ca="1">IF(AND(EXACT(C659,C657),C657&lt;&gt;0),P657+1,0)</f>
        <v>19</v>
      </c>
      <c r="Q659" s="89" t="str">
        <f ca="1">IF(C659&lt;&gt;"",C659&amp;"-"&amp;P659,"")</f>
        <v>KP-1a⁽ᴹ⁾ Porcentaje de HSH alcanzados por programas de prevención del VIH - paquete definido de servicios-19</v>
      </c>
      <c r="R659" s="89" t="str">
        <f t="array" aca="1" ref="R659" ca="1">IFERROR(IF(INDEX('Disaggregation Records'!$E$155:$E$385,MATCH(RIGHT(Q659,255),RIGHT('Disaggregation Records'!$D$155:$D$385,255),0))="","",INDEX('Disaggregation Records'!$E$155:$E$385,MATCH(RIGHT(Q659,255),RIGHT('Disaggregation Records'!$D$155:$D$385,255),0))),"")</f>
        <v/>
      </c>
      <c r="S659" s="89" t="str">
        <f t="array" aca="1" ref="S659" ca="1">IFERROR(IF(INDEX('Disaggregation Records'!$F$155:$F$385,MATCH(RIGHT(Q659,255),RIGHT('Disaggregation Records'!$D$155:$D$385,255),0))="","",INDEX('Disaggregation Records'!$F$155:$F$385,MATCH(RIGHT(Q659,255),RIGHT('Disaggregation Records'!$D$155:$D$385,255),0))),"")</f>
        <v/>
      </c>
      <c r="T659" s="89" t="str">
        <f t="array" aca="1" ref="T659" ca="1">IFERROR(IF(INDEX('Disaggregation Records'!$H$155:$H$385,MATCH(RIGHT(Q659,255),RIGHT('Disaggregation Records'!$D$155:$D$385,255),0))="","",INDEX('Disaggregation Records'!$H$155:$H$385,MATCH(RIGHT(Q659,255),RIGHT('Disaggregation Records'!$D$155:$D$385,255),0))),"")</f>
        <v/>
      </c>
      <c r="U659" s="89">
        <f>U657+1</f>
        <v>1439</v>
      </c>
      <c r="V659" s="89" t="str">
        <f t="array" aca="1" ref="V659" ca="1">IFERROR(IF(INDEX('Disaggregation Records'!$I$155:$I$385,MATCH(RIGHT(Q659,255),RIGHT('Disaggregation Records'!$D$155:$D$385,255),0))="","",INDEX('Disaggregation Records'!$I$155:$I$385,MATCH(RIGHT(Q659,255),RIGHT('Disaggregation Records'!$D$155:$D$385,255),0))),"")</f>
        <v/>
      </c>
      <c r="W659" s="89" t="str">
        <f ca="1">IFERROR(INDEX('Reference Records'!L$77:L$157,MATCH(LEFT(C659,255),'Reference Records'!E$77:E$157,0)),"")</f>
        <v>KP-1a⁽ᴹ⁾ Percentage of men who have sex with men reached with HIV prevention programs - defined package of services</v>
      </c>
    </row>
    <row r="660" spans="1:23" s="89" customFormat="1" ht="40.35" customHeight="1">
      <c r="A660" s="564"/>
      <c r="B660" s="799"/>
      <c r="C660" s="800"/>
      <c r="D660" s="801"/>
      <c r="E660" s="801"/>
      <c r="F660" s="128"/>
      <c r="G660" s="802"/>
      <c r="H660" s="781"/>
      <c r="I660" s="803"/>
      <c r="J660" s="779"/>
      <c r="K660" s="800"/>
      <c r="L660" s="800"/>
      <c r="M660" s="779"/>
      <c r="N660" s="779"/>
    </row>
    <row r="661" spans="1:23" s="89" customFormat="1" ht="40.35" customHeight="1">
      <c r="A661" s="564" t="str">
        <f ca="1">INDIRECT("'update Helper'!C"&amp;U661)</f>
        <v>a163p000004Vjl1AAC</v>
      </c>
      <c r="B661" s="794">
        <v>2</v>
      </c>
      <c r="C661" s="795" t="str">
        <f ca="1">VLOOKUP(B661,'Coverage Indicators - Section D'!$A$9:$AU$70,47,FALSE)</f>
        <v>HTS-3a⁽ᴹ⁾ Porcentaje de HSH a los que se les ha realizado una prueba de VIH durante el período de reporte y que conocen sus resultados</v>
      </c>
      <c r="D661" s="796" t="str">
        <f ca="1">R661</f>
        <v>Resultado de prueba del VIH</v>
      </c>
      <c r="E661" s="796" t="str">
        <f ca="1">S661</f>
        <v>Negativo</v>
      </c>
      <c r="F661" s="418">
        <v>11532</v>
      </c>
      <c r="G661" s="806">
        <f ca="1">IF(OR(INDIRECT("'update Helper'!E"&amp;U661)="",F661&lt;&gt;0,F662&lt;&gt;0),IF(IFERROR((F661/F662),"")="","",(F661/F662)),INDIRECT("'update Helper'!E"&amp;U661)/100)</f>
        <v>0.92567025204687747</v>
      </c>
      <c r="H661" s="804">
        <v>2021</v>
      </c>
      <c r="I661" s="798" t="s">
        <v>5497</v>
      </c>
      <c r="J661" s="777"/>
      <c r="K661" s="795" t="str">
        <f ca="1">W661</f>
        <v>HTS-3a⁽ᴹ⁾ Percentage of men who have sex with men that have received an HIV test during the reporting period and know their results</v>
      </c>
      <c r="L661" s="795" t="str">
        <f ca="1">V661</f>
        <v>HIV test status</v>
      </c>
      <c r="M661" s="777"/>
      <c r="N661" s="777"/>
      <c r="P661" s="89">
        <f ca="1">IF(AND(EXACT(C661,C659),C659&lt;&gt;0),P659+1,0)</f>
        <v>0</v>
      </c>
      <c r="Q661" s="89" t="str">
        <f ca="1">IF(C661&lt;&gt;"",C661&amp;"-"&amp;P661,"")</f>
        <v>HTS-3a⁽ᴹ⁾ Porcentaje de HSH a los que se les ha realizado una prueba de VIH durante el período de reporte y que conocen sus resultados-0</v>
      </c>
      <c r="R661" s="89" t="str">
        <f t="array" aca="1" ref="R661" ca="1">IFERROR(IF(INDEX('Disaggregation Records'!$E$155:$E$385,MATCH(RIGHT(Q661,255),RIGHT('Disaggregation Records'!$D$155:$D$385,255),0))="","",INDEX('Disaggregation Records'!$E$155:$E$385,MATCH(RIGHT(Q661,255),RIGHT('Disaggregation Records'!$D$155:$D$385,255),0))),"")</f>
        <v>Resultado de prueba del VIH</v>
      </c>
      <c r="S661" s="89" t="str">
        <f t="array" aca="1" ref="S661" ca="1">IFERROR(IF(INDEX('Disaggregation Records'!$F$155:$F$385,MATCH(RIGHT(Q661,255),RIGHT('Disaggregation Records'!$D$155:$D$385,255),0))="","",INDEX('Disaggregation Records'!$F$155:$F$385,MATCH(RIGHT(Q661,255),RIGHT('Disaggregation Records'!$D$155:$D$385,255),0))),"")</f>
        <v>Negativo</v>
      </c>
      <c r="T661" s="89" t="str">
        <f t="array" aca="1" ref="T661" ca="1">IFERROR(IF(INDEX('Disaggregation Records'!$H$155:$H$385,MATCH(RIGHT(Q661,255),RIGHT('Disaggregation Records'!$D$155:$D$385,255),0))="","",INDEX('Disaggregation Records'!$H$155:$H$385,MATCH(RIGHT(Q661,255),RIGHT('Disaggregation Records'!$D$155:$D$385,255),0))),"")</f>
        <v>IDR-00920</v>
      </c>
      <c r="U661" s="89">
        <f>U659+1</f>
        <v>1440</v>
      </c>
      <c r="V661" s="89" t="str">
        <f t="array" aca="1" ref="V661" ca="1">IFERROR(IF(INDEX('Disaggregation Records'!$I$155:$I$385,MATCH(RIGHT(Q661,255),RIGHT('Disaggregation Records'!$D$155:$D$385,255),0))="","",INDEX('Disaggregation Records'!$I$155:$I$385,MATCH(RIGHT(Q661,255),RIGHT('Disaggregation Records'!$D$155:$D$385,255),0))),"")</f>
        <v>HIV test status</v>
      </c>
      <c r="W661" s="89" t="str">
        <f ca="1">IFERROR(INDEX('Reference Records'!L$77:L$157,MATCH(LEFT(C661,255),'Reference Records'!E$77:E$157,0)),"")</f>
        <v>HTS-3a⁽ᴹ⁾ Percentage of men who have sex with men that have received an HIV test during the reporting period and know their results</v>
      </c>
    </row>
    <row r="662" spans="1:23" s="89" customFormat="1" ht="40.35" customHeight="1">
      <c r="A662" s="564"/>
      <c r="B662" s="799"/>
      <c r="C662" s="800"/>
      <c r="D662" s="801"/>
      <c r="E662" s="801"/>
      <c r="F662" s="425">
        <v>12458</v>
      </c>
      <c r="G662" s="807"/>
      <c r="H662" s="805"/>
      <c r="I662" s="803"/>
      <c r="J662" s="779"/>
      <c r="K662" s="800"/>
      <c r="L662" s="800"/>
      <c r="M662" s="779"/>
      <c r="N662" s="779"/>
    </row>
    <row r="663" spans="1:23" s="89" customFormat="1" ht="40.35" customHeight="1">
      <c r="A663" s="564" t="str">
        <f ca="1">INDIRECT("'update Helper'!C"&amp;U663)</f>
        <v>a163p000004Vjl2AAC</v>
      </c>
      <c r="B663" s="794">
        <v>2</v>
      </c>
      <c r="C663" s="795" t="str">
        <f ca="1">VLOOKUP(B663,'Coverage Indicators - Section D'!$A$9:$AU$70,47,FALSE)</f>
        <v>HTS-3a⁽ᴹ⁾ Porcentaje de HSH a los que se les ha realizado una prueba de VIH durante el período de reporte y que conocen sus resultados</v>
      </c>
      <c r="D663" s="796" t="str">
        <f ca="1">R663</f>
        <v>Resultado de prueba del VIH</v>
      </c>
      <c r="E663" s="796" t="str">
        <f ca="1">S663</f>
        <v>Positivo</v>
      </c>
      <c r="F663" s="418">
        <v>926</v>
      </c>
      <c r="G663" s="806">
        <f ca="1">IF(OR(INDIRECT("'update Helper'!E"&amp;U663)="",F663&lt;&gt;0,F664&lt;&gt;0),IF(IFERROR((F663/F664),"")="","",(F663/F664)),INDIRECT("'update Helper'!E"&amp;U663)/100)</f>
        <v>7.4329747953122485E-2</v>
      </c>
      <c r="H663" s="804">
        <v>2021</v>
      </c>
      <c r="I663" s="798" t="s">
        <v>5497</v>
      </c>
      <c r="J663" s="777" t="s">
        <v>5503</v>
      </c>
      <c r="K663" s="795" t="str">
        <f ca="1">W663</f>
        <v>HTS-3a⁽ᴹ⁾ Percentage of men who have sex with men that have received an HIV test during the reporting period and know their results</v>
      </c>
      <c r="L663" s="795" t="str">
        <f ca="1">V663</f>
        <v>HIV test status</v>
      </c>
      <c r="M663" s="777"/>
      <c r="N663" s="777"/>
      <c r="P663" s="89">
        <f ca="1">IF(AND(EXACT(C663,C661),C661&lt;&gt;0),P661+1,0)</f>
        <v>1</v>
      </c>
      <c r="Q663" s="89" t="str">
        <f ca="1">IF(C663&lt;&gt;"",C663&amp;"-"&amp;P663,"")</f>
        <v>HTS-3a⁽ᴹ⁾ Porcentaje de HSH a los que se les ha realizado una prueba de VIH durante el período de reporte y que conocen sus resultados-1</v>
      </c>
      <c r="R663" s="89" t="str">
        <f t="array" aca="1" ref="R663" ca="1">IFERROR(IF(INDEX('Disaggregation Records'!$E$155:$E$385,MATCH(RIGHT(Q663,255),RIGHT('Disaggregation Records'!$D$155:$D$385,255),0))="","",INDEX('Disaggregation Records'!$E$155:$E$385,MATCH(RIGHT(Q663,255),RIGHT('Disaggregation Records'!$D$155:$D$385,255),0))),"")</f>
        <v>Resultado de prueba del VIH</v>
      </c>
      <c r="S663" s="89" t="str">
        <f t="array" aca="1" ref="S663" ca="1">IFERROR(IF(INDEX('Disaggregation Records'!$F$155:$F$385,MATCH(RIGHT(Q663,255),RIGHT('Disaggregation Records'!$D$155:$D$385,255),0))="","",INDEX('Disaggregation Records'!$F$155:$F$385,MATCH(RIGHT(Q663,255),RIGHT('Disaggregation Records'!$D$155:$D$385,255),0))),"")</f>
        <v>Positivo</v>
      </c>
      <c r="T663" s="89" t="str">
        <f t="array" aca="1" ref="T663" ca="1">IFERROR(IF(INDEX('Disaggregation Records'!$H$155:$H$385,MATCH(RIGHT(Q663,255),RIGHT('Disaggregation Records'!$D$155:$D$385,255),0))="","",INDEX('Disaggregation Records'!$H$155:$H$385,MATCH(RIGHT(Q663,255),RIGHT('Disaggregation Records'!$D$155:$D$385,255),0))),"")</f>
        <v>IDR-00919</v>
      </c>
      <c r="U663" s="89">
        <f>U661+1</f>
        <v>1441</v>
      </c>
      <c r="V663" s="89" t="str">
        <f t="array" aca="1" ref="V663" ca="1">IFERROR(IF(INDEX('Disaggregation Records'!$I$155:$I$385,MATCH(RIGHT(Q663,255),RIGHT('Disaggregation Records'!$D$155:$D$385,255),0))="","",INDEX('Disaggregation Records'!$I$155:$I$385,MATCH(RIGHT(Q663,255),RIGHT('Disaggregation Records'!$D$155:$D$385,255),0))),"")</f>
        <v>HIV test status</v>
      </c>
      <c r="W663" s="89" t="str">
        <f ca="1">IFERROR(INDEX('Reference Records'!L$77:L$157,MATCH(LEFT(C663,255),'Reference Records'!E$77:E$157,0)),"")</f>
        <v>HTS-3a⁽ᴹ⁾ Percentage of men who have sex with men that have received an HIV test during the reporting period and know their results</v>
      </c>
    </row>
    <row r="664" spans="1:23" s="89" customFormat="1" ht="40.35" customHeight="1">
      <c r="A664" s="564"/>
      <c r="B664" s="799"/>
      <c r="C664" s="800"/>
      <c r="D664" s="801"/>
      <c r="E664" s="801"/>
      <c r="F664" s="425">
        <f>+F662</f>
        <v>12458</v>
      </c>
      <c r="G664" s="807"/>
      <c r="H664" s="805"/>
      <c r="I664" s="803"/>
      <c r="J664" s="779"/>
      <c r="K664" s="800"/>
      <c r="L664" s="800"/>
      <c r="M664" s="779"/>
      <c r="N664" s="779"/>
    </row>
    <row r="665" spans="1:23" s="89" customFormat="1" ht="40.35" customHeight="1">
      <c r="A665" s="564" t="str">
        <f ca="1">INDIRECT("'update Helper'!C"&amp;U665)</f>
        <v>a163p000004Vjl3AAC</v>
      </c>
      <c r="B665" s="794">
        <v>2</v>
      </c>
      <c r="C665" s="795" t="str">
        <f ca="1">VLOOKUP(B665,'Coverage Indicators - Section D'!$A$9:$AU$70,47,FALSE)</f>
        <v>HTS-3a⁽ᴹ⁾ Porcentaje de HSH a los que se les ha realizado una prueba de VIH durante el período de reporte y que conocen sus resultados</v>
      </c>
      <c r="D665" s="796" t="str">
        <f ca="1">R665</f>
        <v>Edad</v>
      </c>
      <c r="E665" s="796" t="str">
        <f ca="1">S665</f>
        <v>25+</v>
      </c>
      <c r="F665" s="418">
        <v>6270</v>
      </c>
      <c r="G665" s="806">
        <f ca="1">IF(OR(INDIRECT("'update Helper'!E"&amp;U665)="",F665&lt;&gt;0,F666&lt;&gt;0),IF(IFERROR((F665/F666),"")="","",(F665/F666)),INDIRECT("'update Helper'!E"&amp;U665)/100)</f>
        <v>0.26632119950728456</v>
      </c>
      <c r="H665" s="804">
        <v>2021</v>
      </c>
      <c r="I665" s="798" t="s">
        <v>5497</v>
      </c>
      <c r="J665" s="777" t="s">
        <v>5504</v>
      </c>
      <c r="K665" s="795" t="str">
        <f ca="1">W665</f>
        <v>HTS-3a⁽ᴹ⁾ Percentage of men who have sex with men that have received an HIV test during the reporting period and know their results</v>
      </c>
      <c r="L665" s="795" t="str">
        <f ca="1">V665</f>
        <v>Age</v>
      </c>
      <c r="M665" s="777"/>
      <c r="N665" s="777"/>
      <c r="P665" s="89">
        <f ca="1">IF(AND(EXACT(C665,C663),C663&lt;&gt;0),P663+1,0)</f>
        <v>2</v>
      </c>
      <c r="Q665" s="89" t="str">
        <f ca="1">IF(C665&lt;&gt;"",C665&amp;"-"&amp;P665,"")</f>
        <v>HTS-3a⁽ᴹ⁾ Porcentaje de HSH a los que se les ha realizado una prueba de VIH durante el período de reporte y que conocen sus resultados-2</v>
      </c>
      <c r="R665" s="89" t="str">
        <f t="array" aca="1" ref="R665" ca="1">IFERROR(IF(INDEX('Disaggregation Records'!$E$155:$E$385,MATCH(RIGHT(Q665,255),RIGHT('Disaggregation Records'!$D$155:$D$385,255),0))="","",INDEX('Disaggregation Records'!$E$155:$E$385,MATCH(RIGHT(Q665,255),RIGHT('Disaggregation Records'!$D$155:$D$385,255),0))),"")</f>
        <v>Edad</v>
      </c>
      <c r="S665" s="89" t="str">
        <f t="array" aca="1" ref="S665" ca="1">IFERROR(IF(INDEX('Disaggregation Records'!$F$155:$F$385,MATCH(RIGHT(Q665,255),RIGHT('Disaggregation Records'!$D$155:$D$385,255),0))="","",INDEX('Disaggregation Records'!$F$155:$F$385,MATCH(RIGHT(Q665,255),RIGHT('Disaggregation Records'!$D$155:$D$385,255),0))),"")</f>
        <v>25+</v>
      </c>
      <c r="T665" s="89" t="str">
        <f t="array" aca="1" ref="T665" ca="1">IFERROR(IF(INDEX('Disaggregation Records'!$H$155:$H$385,MATCH(RIGHT(Q665,255),RIGHT('Disaggregation Records'!$D$155:$D$385,255),0))="","",INDEX('Disaggregation Records'!$H$155:$H$385,MATCH(RIGHT(Q665,255),RIGHT('Disaggregation Records'!$D$155:$D$385,255),0))),"")</f>
        <v>IDR-00714</v>
      </c>
      <c r="U665" s="89">
        <f>U663+1</f>
        <v>1442</v>
      </c>
      <c r="V665" s="89" t="str">
        <f t="array" aca="1" ref="V665" ca="1">IFERROR(IF(INDEX('Disaggregation Records'!$I$155:$I$385,MATCH(RIGHT(Q665,255),RIGHT('Disaggregation Records'!$D$155:$D$385,255),0))="","",INDEX('Disaggregation Records'!$I$155:$I$385,MATCH(RIGHT(Q665,255),RIGHT('Disaggregation Records'!$D$155:$D$385,255),0))),"")</f>
        <v>Age</v>
      </c>
      <c r="W665" s="89" t="str">
        <f ca="1">IFERROR(INDEX('Reference Records'!L$77:L$157,MATCH(LEFT(C665,255),'Reference Records'!E$77:E$157,0)),"")</f>
        <v>HTS-3a⁽ᴹ⁾ Percentage of men who have sex with men that have received an HIV test during the reporting period and know their results</v>
      </c>
    </row>
    <row r="666" spans="1:23" s="89" customFormat="1" ht="40.35" customHeight="1">
      <c r="A666" s="564"/>
      <c r="B666" s="799"/>
      <c r="C666" s="800"/>
      <c r="D666" s="801"/>
      <c r="E666" s="801"/>
      <c r="F666" s="425">
        <v>23543</v>
      </c>
      <c r="G666" s="807"/>
      <c r="H666" s="805"/>
      <c r="I666" s="803"/>
      <c r="J666" s="779"/>
      <c r="K666" s="800"/>
      <c r="L666" s="800"/>
      <c r="M666" s="779"/>
      <c r="N666" s="779"/>
    </row>
    <row r="667" spans="1:23" s="89" customFormat="1" ht="40.35" customHeight="1">
      <c r="A667" s="564" t="str">
        <f ca="1">INDIRECT("'update Helper'!C"&amp;U667)</f>
        <v>a163p000004Vjl4AAC</v>
      </c>
      <c r="B667" s="794">
        <v>2</v>
      </c>
      <c r="C667" s="795" t="str">
        <f ca="1">VLOOKUP(B667,'Coverage Indicators - Section D'!$A$9:$AU$70,47,FALSE)</f>
        <v>HTS-3a⁽ᴹ⁾ Porcentaje de HSH a los que se les ha realizado una prueba de VIH durante el período de reporte y que conocen sus resultados</v>
      </c>
      <c r="D667" s="796" t="str">
        <f ca="1">R667</f>
        <v>Edad</v>
      </c>
      <c r="E667" s="796" t="str">
        <f ca="1">S667</f>
        <v>&lt;25</v>
      </c>
      <c r="F667" s="418">
        <v>6188</v>
      </c>
      <c r="G667" s="806">
        <f ca="1">IF(OR(INDIRECT("'update Helper'!E"&amp;U667)="",F667&lt;&gt;0,F668&lt;&gt;0),IF(IFERROR((F667/F668),"")="","",(F667/F668)),INDIRECT("'update Helper'!E"&amp;U667)/100)</f>
        <v>0.69810469314079426</v>
      </c>
      <c r="H667" s="804">
        <v>2021</v>
      </c>
      <c r="I667" s="798" t="s">
        <v>5497</v>
      </c>
      <c r="J667" s="777" t="s">
        <v>5504</v>
      </c>
      <c r="K667" s="795" t="str">
        <f ca="1">W667</f>
        <v>HTS-3a⁽ᴹ⁾ Percentage of men who have sex with men that have received an HIV test during the reporting period and know their results</v>
      </c>
      <c r="L667" s="795" t="str">
        <f ca="1">V667</f>
        <v>Age</v>
      </c>
      <c r="M667" s="777"/>
      <c r="N667" s="777"/>
      <c r="P667" s="89">
        <f ca="1">IF(AND(EXACT(C667,C665),C665&lt;&gt;0),P665+1,0)</f>
        <v>3</v>
      </c>
      <c r="Q667" s="89" t="str">
        <f ca="1">IF(C667&lt;&gt;"",C667&amp;"-"&amp;P667,"")</f>
        <v>HTS-3a⁽ᴹ⁾ Porcentaje de HSH a los que se les ha realizado una prueba de VIH durante el período de reporte y que conocen sus resultados-3</v>
      </c>
      <c r="R667" s="89" t="str">
        <f t="array" aca="1" ref="R667" ca="1">IFERROR(IF(INDEX('Disaggregation Records'!$E$155:$E$385,MATCH(RIGHT(Q667,255),RIGHT('Disaggregation Records'!$D$155:$D$385,255),0))="","",INDEX('Disaggregation Records'!$E$155:$E$385,MATCH(RIGHT(Q667,255),RIGHT('Disaggregation Records'!$D$155:$D$385,255),0))),"")</f>
        <v>Edad</v>
      </c>
      <c r="S667" s="89" t="str">
        <f t="array" aca="1" ref="S667" ca="1">IFERROR(IF(INDEX('Disaggregation Records'!$F$155:$F$385,MATCH(RIGHT(Q667,255),RIGHT('Disaggregation Records'!$D$155:$D$385,255),0))="","",INDEX('Disaggregation Records'!$F$155:$F$385,MATCH(RIGHT(Q667,255),RIGHT('Disaggregation Records'!$D$155:$D$385,255),0))),"")</f>
        <v>&lt;25</v>
      </c>
      <c r="T667" s="89" t="str">
        <f t="array" aca="1" ref="T667" ca="1">IFERROR(IF(INDEX('Disaggregation Records'!$H$155:$H$385,MATCH(RIGHT(Q667,255),RIGHT('Disaggregation Records'!$D$155:$D$385,255),0))="","",INDEX('Disaggregation Records'!$H$155:$H$385,MATCH(RIGHT(Q667,255),RIGHT('Disaggregation Records'!$D$155:$D$385,255),0))),"")</f>
        <v>IDR-00713</v>
      </c>
      <c r="U667" s="89">
        <f>U665+1</f>
        <v>1443</v>
      </c>
      <c r="V667" s="89" t="str">
        <f t="array" aca="1" ref="V667" ca="1">IFERROR(IF(INDEX('Disaggregation Records'!$I$155:$I$385,MATCH(RIGHT(Q667,255),RIGHT('Disaggregation Records'!$D$155:$D$385,255),0))="","",INDEX('Disaggregation Records'!$I$155:$I$385,MATCH(RIGHT(Q667,255),RIGHT('Disaggregation Records'!$D$155:$D$385,255),0))),"")</f>
        <v>Age</v>
      </c>
      <c r="W667" s="89" t="str">
        <f ca="1">IFERROR(INDEX('Reference Records'!L$77:L$157,MATCH(LEFT(C667,255),'Reference Records'!E$77:E$157,0)),"")</f>
        <v>HTS-3a⁽ᴹ⁾ Percentage of men who have sex with men that have received an HIV test during the reporting period and know their results</v>
      </c>
    </row>
    <row r="668" spans="1:23" s="89" customFormat="1" ht="40.35" customHeight="1">
      <c r="A668" s="564"/>
      <c r="B668" s="799"/>
      <c r="C668" s="800"/>
      <c r="D668" s="801"/>
      <c r="E668" s="801"/>
      <c r="F668" s="425">
        <v>8864</v>
      </c>
      <c r="G668" s="807"/>
      <c r="H668" s="805"/>
      <c r="I668" s="803"/>
      <c r="J668" s="779"/>
      <c r="K668" s="800"/>
      <c r="L668" s="800"/>
      <c r="M668" s="779"/>
      <c r="N668" s="779"/>
    </row>
    <row r="669" spans="1:23" s="89" customFormat="1" ht="40.35" customHeight="1">
      <c r="A669" s="564" t="str">
        <f ca="1">INDIRECT("'update Helper'!C"&amp;U669)</f>
        <v>a163p000004Vjl5AAC</v>
      </c>
      <c r="B669" s="794">
        <v>2</v>
      </c>
      <c r="C669" s="795" t="str">
        <f ca="1">VLOOKUP(B669,'Coverage Indicators - Section D'!$A$9:$AU$70,47,FALSE)</f>
        <v>HTS-3a⁽ᴹ⁾ Porcentaje de HSH a los que se les ha realizado una prueba de VIH durante el período de reporte y que conocen sus resultados</v>
      </c>
      <c r="D669" s="796" t="str">
        <f ca="1">R669</f>
        <v/>
      </c>
      <c r="E669" s="796" t="str">
        <f ca="1">S669</f>
        <v/>
      </c>
      <c r="F669" s="127"/>
      <c r="G669" s="797" t="str">
        <f ca="1">IF(OR(INDIRECT("'update Helper'!E"&amp;U669)="",F669&lt;&gt;0,F670&lt;&gt;0),IF(IFERROR((F669/F670),"")="","",(F669/F670)),INDIRECT("'update Helper'!E"&amp;U669)/100)</f>
        <v/>
      </c>
      <c r="H669" s="784"/>
      <c r="I669" s="798"/>
      <c r="J669" s="777"/>
      <c r="K669" s="795" t="str">
        <f ca="1">W669</f>
        <v>HTS-3a⁽ᴹ⁾ Percentage of men who have sex with men that have received an HIV test during the reporting period and know their results</v>
      </c>
      <c r="L669" s="795" t="str">
        <f ca="1">V669</f>
        <v/>
      </c>
      <c r="M669" s="777"/>
      <c r="N669" s="777"/>
      <c r="P669" s="89">
        <f ca="1">IF(AND(EXACT(C669,C667),C667&lt;&gt;0),P667+1,0)</f>
        <v>4</v>
      </c>
      <c r="Q669" s="89" t="str">
        <f ca="1">IF(C669&lt;&gt;"",C669&amp;"-"&amp;P669,"")</f>
        <v>HTS-3a⁽ᴹ⁾ Porcentaje de HSH a los que se les ha realizado una prueba de VIH durante el período de reporte y que conocen sus resultados-4</v>
      </c>
      <c r="R669" s="89" t="str">
        <f t="array" aca="1" ref="R669" ca="1">IFERROR(IF(INDEX('Disaggregation Records'!$E$155:$E$385,MATCH(RIGHT(Q669,255),RIGHT('Disaggregation Records'!$D$155:$D$385,255),0))="","",INDEX('Disaggregation Records'!$E$155:$E$385,MATCH(RIGHT(Q669,255),RIGHT('Disaggregation Records'!$D$155:$D$385,255),0))),"")</f>
        <v/>
      </c>
      <c r="S669" s="89" t="str">
        <f t="array" aca="1" ref="S669" ca="1">IFERROR(IF(INDEX('Disaggregation Records'!$F$155:$F$385,MATCH(RIGHT(Q669,255),RIGHT('Disaggregation Records'!$D$155:$D$385,255),0))="","",INDEX('Disaggregation Records'!$F$155:$F$385,MATCH(RIGHT(Q669,255),RIGHT('Disaggregation Records'!$D$155:$D$385,255),0))),"")</f>
        <v/>
      </c>
      <c r="T669" s="89" t="str">
        <f t="array" aca="1" ref="T669" ca="1">IFERROR(IF(INDEX('Disaggregation Records'!$H$155:$H$385,MATCH(RIGHT(Q669,255),RIGHT('Disaggregation Records'!$D$155:$D$385,255),0))="","",INDEX('Disaggregation Records'!$H$155:$H$385,MATCH(RIGHT(Q669,255),RIGHT('Disaggregation Records'!$D$155:$D$385,255),0))),"")</f>
        <v/>
      </c>
      <c r="U669" s="89">
        <f>U667+1</f>
        <v>1444</v>
      </c>
      <c r="V669" s="89" t="str">
        <f t="array" aca="1" ref="V669" ca="1">IFERROR(IF(INDEX('Disaggregation Records'!$I$155:$I$385,MATCH(RIGHT(Q669,255),RIGHT('Disaggregation Records'!$D$155:$D$385,255),0))="","",INDEX('Disaggregation Records'!$I$155:$I$385,MATCH(RIGHT(Q669,255),RIGHT('Disaggregation Records'!$D$155:$D$385,255),0))),"")</f>
        <v/>
      </c>
      <c r="W669" s="89" t="str">
        <f ca="1">IFERROR(INDEX('Reference Records'!L$77:L$157,MATCH(LEFT(C669,255),'Reference Records'!E$77:E$157,0)),"")</f>
        <v>HTS-3a⁽ᴹ⁾ Percentage of men who have sex with men that have received an HIV test during the reporting period and know their results</v>
      </c>
    </row>
    <row r="670" spans="1:23" s="89" customFormat="1" ht="40.35" customHeight="1">
      <c r="A670" s="564"/>
      <c r="B670" s="799"/>
      <c r="C670" s="800"/>
      <c r="D670" s="801"/>
      <c r="E670" s="801"/>
      <c r="F670" s="128"/>
      <c r="G670" s="802"/>
      <c r="H670" s="781"/>
      <c r="I670" s="803"/>
      <c r="J670" s="779"/>
      <c r="K670" s="800"/>
      <c r="L670" s="800"/>
      <c r="M670" s="779"/>
      <c r="N670" s="779"/>
    </row>
    <row r="671" spans="1:23" s="89" customFormat="1" ht="40.35" customHeight="1">
      <c r="A671" s="564" t="str">
        <f ca="1">INDIRECT("'update Helper'!C"&amp;U671)</f>
        <v>a163p000004Vjl6AAC</v>
      </c>
      <c r="B671" s="794">
        <v>2</v>
      </c>
      <c r="C671" s="795" t="str">
        <f ca="1">VLOOKUP(B671,'Coverage Indicators - Section D'!$A$9:$AU$70,47,FALSE)</f>
        <v>HTS-3a⁽ᴹ⁾ Porcentaje de HSH a los que se les ha realizado una prueba de VIH durante el período de reporte y que conocen sus resultados</v>
      </c>
      <c r="D671" s="796" t="str">
        <f ca="1">R671</f>
        <v/>
      </c>
      <c r="E671" s="796" t="str">
        <f ca="1">S671</f>
        <v/>
      </c>
      <c r="F671" s="127"/>
      <c r="G671" s="797" t="str">
        <f ca="1">IF(OR(INDIRECT("'update Helper'!E"&amp;U671)="",F671&lt;&gt;0,F672&lt;&gt;0),IF(IFERROR((F671/F672),"")="","",(F671/F672)),INDIRECT("'update Helper'!E"&amp;U671)/100)</f>
        <v/>
      </c>
      <c r="H671" s="784"/>
      <c r="I671" s="798"/>
      <c r="J671" s="777"/>
      <c r="K671" s="795" t="str">
        <f ca="1">W671</f>
        <v>HTS-3a⁽ᴹ⁾ Percentage of men who have sex with men that have received an HIV test during the reporting period and know their results</v>
      </c>
      <c r="L671" s="795" t="str">
        <f ca="1">V671</f>
        <v/>
      </c>
      <c r="M671" s="777"/>
      <c r="N671" s="777"/>
      <c r="P671" s="89">
        <f ca="1">IF(AND(EXACT(C671,C669),C669&lt;&gt;0),P669+1,0)</f>
        <v>5</v>
      </c>
      <c r="Q671" s="89" t="str">
        <f ca="1">IF(C671&lt;&gt;"",C671&amp;"-"&amp;P671,"")</f>
        <v>HTS-3a⁽ᴹ⁾ Porcentaje de HSH a los que se les ha realizado una prueba de VIH durante el período de reporte y que conocen sus resultados-5</v>
      </c>
      <c r="R671" s="89" t="str">
        <f t="array" aca="1" ref="R671" ca="1">IFERROR(IF(INDEX('Disaggregation Records'!$E$155:$E$385,MATCH(RIGHT(Q671,255),RIGHT('Disaggregation Records'!$D$155:$D$385,255),0))="","",INDEX('Disaggregation Records'!$E$155:$E$385,MATCH(RIGHT(Q671,255),RIGHT('Disaggregation Records'!$D$155:$D$385,255),0))),"")</f>
        <v/>
      </c>
      <c r="S671" s="89" t="str">
        <f t="array" aca="1" ref="S671" ca="1">IFERROR(IF(INDEX('Disaggregation Records'!$F$155:$F$385,MATCH(RIGHT(Q671,255),RIGHT('Disaggregation Records'!$D$155:$D$385,255),0))="","",INDEX('Disaggregation Records'!$F$155:$F$385,MATCH(RIGHT(Q671,255),RIGHT('Disaggregation Records'!$D$155:$D$385,255),0))),"")</f>
        <v/>
      </c>
      <c r="T671" s="89" t="str">
        <f t="array" aca="1" ref="T671" ca="1">IFERROR(IF(INDEX('Disaggregation Records'!$H$155:$H$385,MATCH(RIGHT(Q671,255),RIGHT('Disaggregation Records'!$D$155:$D$385,255),0))="","",INDEX('Disaggregation Records'!$H$155:$H$385,MATCH(RIGHT(Q671,255),RIGHT('Disaggregation Records'!$D$155:$D$385,255),0))),"")</f>
        <v/>
      </c>
      <c r="U671" s="89">
        <f>U669+1</f>
        <v>1445</v>
      </c>
      <c r="V671" s="89" t="str">
        <f t="array" aca="1" ref="V671" ca="1">IFERROR(IF(INDEX('Disaggregation Records'!$I$155:$I$385,MATCH(RIGHT(Q671,255),RIGHT('Disaggregation Records'!$D$155:$D$385,255),0))="","",INDEX('Disaggregation Records'!$I$155:$I$385,MATCH(RIGHT(Q671,255),RIGHT('Disaggregation Records'!$D$155:$D$385,255),0))),"")</f>
        <v/>
      </c>
      <c r="W671" s="89" t="str">
        <f ca="1">IFERROR(INDEX('Reference Records'!L$77:L$157,MATCH(LEFT(C671,255),'Reference Records'!E$77:E$157,0)),"")</f>
        <v>HTS-3a⁽ᴹ⁾ Percentage of men who have sex with men that have received an HIV test during the reporting period and know their results</v>
      </c>
    </row>
    <row r="672" spans="1:23" s="89" customFormat="1" ht="40.35" customHeight="1">
      <c r="A672" s="564"/>
      <c r="B672" s="799"/>
      <c r="C672" s="800"/>
      <c r="D672" s="801"/>
      <c r="E672" s="801"/>
      <c r="F672" s="128"/>
      <c r="G672" s="802"/>
      <c r="H672" s="781"/>
      <c r="I672" s="803"/>
      <c r="J672" s="779"/>
      <c r="K672" s="800"/>
      <c r="L672" s="800"/>
      <c r="M672" s="779"/>
      <c r="N672" s="779"/>
    </row>
    <row r="673" spans="1:23" s="89" customFormat="1" ht="40.35" customHeight="1">
      <c r="A673" s="564" t="str">
        <f ca="1">INDIRECT("'update Helper'!C"&amp;U673)</f>
        <v>a163p000004Vjl7AAC</v>
      </c>
      <c r="B673" s="794">
        <v>2</v>
      </c>
      <c r="C673" s="795" t="str">
        <f ca="1">VLOOKUP(B673,'Coverage Indicators - Section D'!$A$9:$AU$70,47,FALSE)</f>
        <v>HTS-3a⁽ᴹ⁾ Porcentaje de HSH a los que se les ha realizado una prueba de VIH durante el período de reporte y que conocen sus resultados</v>
      </c>
      <c r="D673" s="796" t="str">
        <f ca="1">R673</f>
        <v/>
      </c>
      <c r="E673" s="796" t="str">
        <f ca="1">S673</f>
        <v/>
      </c>
      <c r="F673" s="127"/>
      <c r="G673" s="797" t="str">
        <f ca="1">IF(OR(INDIRECT("'update Helper'!E"&amp;U673)="",F673&lt;&gt;0,F674&lt;&gt;0),IF(IFERROR((F673/F674),"")="","",(F673/F674)),INDIRECT("'update Helper'!E"&amp;U673)/100)</f>
        <v/>
      </c>
      <c r="H673" s="784"/>
      <c r="I673" s="798"/>
      <c r="J673" s="777"/>
      <c r="K673" s="795" t="str">
        <f ca="1">W673</f>
        <v>HTS-3a⁽ᴹ⁾ Percentage of men who have sex with men that have received an HIV test during the reporting period and know their results</v>
      </c>
      <c r="L673" s="795" t="str">
        <f ca="1">V673</f>
        <v/>
      </c>
      <c r="M673" s="777"/>
      <c r="N673" s="777"/>
      <c r="P673" s="89">
        <f ca="1">IF(AND(EXACT(C673,C671),C671&lt;&gt;0),P671+1,0)</f>
        <v>6</v>
      </c>
      <c r="Q673" s="89" t="str">
        <f ca="1">IF(C673&lt;&gt;"",C673&amp;"-"&amp;P673,"")</f>
        <v>HTS-3a⁽ᴹ⁾ Porcentaje de HSH a los que se les ha realizado una prueba de VIH durante el período de reporte y que conocen sus resultados-6</v>
      </c>
      <c r="R673" s="89" t="str">
        <f t="array" aca="1" ref="R673" ca="1">IFERROR(IF(INDEX('Disaggregation Records'!$E$155:$E$385,MATCH(RIGHT(Q673,255),RIGHT('Disaggregation Records'!$D$155:$D$385,255),0))="","",INDEX('Disaggregation Records'!$E$155:$E$385,MATCH(RIGHT(Q673,255),RIGHT('Disaggregation Records'!$D$155:$D$385,255),0))),"")</f>
        <v/>
      </c>
      <c r="S673" s="89" t="str">
        <f t="array" aca="1" ref="S673" ca="1">IFERROR(IF(INDEX('Disaggregation Records'!$F$155:$F$385,MATCH(RIGHT(Q673,255),RIGHT('Disaggregation Records'!$D$155:$D$385,255),0))="","",INDEX('Disaggregation Records'!$F$155:$F$385,MATCH(RIGHT(Q673,255),RIGHT('Disaggregation Records'!$D$155:$D$385,255),0))),"")</f>
        <v/>
      </c>
      <c r="T673" s="89" t="str">
        <f t="array" aca="1" ref="T673" ca="1">IFERROR(IF(INDEX('Disaggregation Records'!$H$155:$H$385,MATCH(RIGHT(Q673,255),RIGHT('Disaggregation Records'!$D$155:$D$385,255),0))="","",INDEX('Disaggregation Records'!$H$155:$H$385,MATCH(RIGHT(Q673,255),RIGHT('Disaggregation Records'!$D$155:$D$385,255),0))),"")</f>
        <v/>
      </c>
      <c r="U673" s="89">
        <f>U671+1</f>
        <v>1446</v>
      </c>
      <c r="V673" s="89" t="str">
        <f t="array" aca="1" ref="V673" ca="1">IFERROR(IF(INDEX('Disaggregation Records'!$I$155:$I$385,MATCH(RIGHT(Q673,255),RIGHT('Disaggregation Records'!$D$155:$D$385,255),0))="","",INDEX('Disaggregation Records'!$I$155:$I$385,MATCH(RIGHT(Q673,255),RIGHT('Disaggregation Records'!$D$155:$D$385,255),0))),"")</f>
        <v/>
      </c>
      <c r="W673" s="89" t="str">
        <f ca="1">IFERROR(INDEX('Reference Records'!L$77:L$157,MATCH(LEFT(C673,255),'Reference Records'!E$77:E$157,0)),"")</f>
        <v>HTS-3a⁽ᴹ⁾ Percentage of men who have sex with men that have received an HIV test during the reporting period and know their results</v>
      </c>
    </row>
    <row r="674" spans="1:23" s="89" customFormat="1" ht="40.35" customHeight="1">
      <c r="A674" s="564"/>
      <c r="B674" s="799"/>
      <c r="C674" s="800"/>
      <c r="D674" s="801"/>
      <c r="E674" s="801"/>
      <c r="F674" s="128"/>
      <c r="G674" s="802"/>
      <c r="H674" s="781"/>
      <c r="I674" s="803"/>
      <c r="J674" s="779"/>
      <c r="K674" s="800"/>
      <c r="L674" s="800"/>
      <c r="M674" s="779"/>
      <c r="N674" s="779"/>
    </row>
    <row r="675" spans="1:23" s="89" customFormat="1" ht="40.35" customHeight="1">
      <c r="A675" s="564" t="str">
        <f ca="1">INDIRECT("'update Helper'!C"&amp;U675)</f>
        <v>a163p000004Vjl8AAC</v>
      </c>
      <c r="B675" s="794">
        <v>2</v>
      </c>
      <c r="C675" s="795" t="str">
        <f ca="1">VLOOKUP(B675,'Coverage Indicators - Section D'!$A$9:$AU$70,47,FALSE)</f>
        <v>HTS-3a⁽ᴹ⁾ Porcentaje de HSH a los que se les ha realizado una prueba de VIH durante el período de reporte y que conocen sus resultados</v>
      </c>
      <c r="D675" s="796" t="str">
        <f ca="1">R675</f>
        <v/>
      </c>
      <c r="E675" s="796" t="str">
        <f ca="1">S675</f>
        <v/>
      </c>
      <c r="F675" s="127"/>
      <c r="G675" s="797" t="str">
        <f ca="1">IF(OR(INDIRECT("'update Helper'!E"&amp;U675)="",F675&lt;&gt;0,F676&lt;&gt;0),IF(IFERROR((F675/F676),"")="","",(F675/F676)),INDIRECT("'update Helper'!E"&amp;U675)/100)</f>
        <v/>
      </c>
      <c r="H675" s="784"/>
      <c r="I675" s="798"/>
      <c r="J675" s="777"/>
      <c r="K675" s="795" t="str">
        <f ca="1">W675</f>
        <v>HTS-3a⁽ᴹ⁾ Percentage of men who have sex with men that have received an HIV test during the reporting period and know their results</v>
      </c>
      <c r="L675" s="795" t="str">
        <f ca="1">V675</f>
        <v/>
      </c>
      <c r="M675" s="777"/>
      <c r="N675" s="777"/>
      <c r="P675" s="89">
        <f ca="1">IF(AND(EXACT(C675,C673),C673&lt;&gt;0),P673+1,0)</f>
        <v>7</v>
      </c>
      <c r="Q675" s="89" t="str">
        <f ca="1">IF(C675&lt;&gt;"",C675&amp;"-"&amp;P675,"")</f>
        <v>HTS-3a⁽ᴹ⁾ Porcentaje de HSH a los que se les ha realizado una prueba de VIH durante el período de reporte y que conocen sus resultados-7</v>
      </c>
      <c r="R675" s="89" t="str">
        <f t="array" aca="1" ref="R675" ca="1">IFERROR(IF(INDEX('Disaggregation Records'!$E$155:$E$385,MATCH(RIGHT(Q675,255),RIGHT('Disaggregation Records'!$D$155:$D$385,255),0))="","",INDEX('Disaggregation Records'!$E$155:$E$385,MATCH(RIGHT(Q675,255),RIGHT('Disaggregation Records'!$D$155:$D$385,255),0))),"")</f>
        <v/>
      </c>
      <c r="S675" s="89" t="str">
        <f t="array" aca="1" ref="S675" ca="1">IFERROR(IF(INDEX('Disaggregation Records'!$F$155:$F$385,MATCH(RIGHT(Q675,255),RIGHT('Disaggregation Records'!$D$155:$D$385,255),0))="","",INDEX('Disaggregation Records'!$F$155:$F$385,MATCH(RIGHT(Q675,255),RIGHT('Disaggregation Records'!$D$155:$D$385,255),0))),"")</f>
        <v/>
      </c>
      <c r="T675" s="89" t="str">
        <f t="array" aca="1" ref="T675" ca="1">IFERROR(IF(INDEX('Disaggregation Records'!$H$155:$H$385,MATCH(RIGHT(Q675,255),RIGHT('Disaggregation Records'!$D$155:$D$385,255),0))="","",INDEX('Disaggregation Records'!$H$155:$H$385,MATCH(RIGHT(Q675,255),RIGHT('Disaggregation Records'!$D$155:$D$385,255),0))),"")</f>
        <v/>
      </c>
      <c r="U675" s="89">
        <f>U673+1</f>
        <v>1447</v>
      </c>
      <c r="V675" s="89" t="str">
        <f t="array" aca="1" ref="V675" ca="1">IFERROR(IF(INDEX('Disaggregation Records'!$I$155:$I$385,MATCH(RIGHT(Q675,255),RIGHT('Disaggregation Records'!$D$155:$D$385,255),0))="","",INDEX('Disaggregation Records'!$I$155:$I$385,MATCH(RIGHT(Q675,255),RIGHT('Disaggregation Records'!$D$155:$D$385,255),0))),"")</f>
        <v/>
      </c>
      <c r="W675" s="89" t="str">
        <f ca="1">IFERROR(INDEX('Reference Records'!L$77:L$157,MATCH(LEFT(C675,255),'Reference Records'!E$77:E$157,0)),"")</f>
        <v>HTS-3a⁽ᴹ⁾ Percentage of men who have sex with men that have received an HIV test during the reporting period and know their results</v>
      </c>
    </row>
    <row r="676" spans="1:23" s="89" customFormat="1" ht="40.35" customHeight="1">
      <c r="A676" s="564"/>
      <c r="B676" s="799"/>
      <c r="C676" s="800"/>
      <c r="D676" s="801"/>
      <c r="E676" s="801"/>
      <c r="F676" s="128"/>
      <c r="G676" s="802"/>
      <c r="H676" s="781"/>
      <c r="I676" s="803"/>
      <c r="J676" s="779"/>
      <c r="K676" s="800"/>
      <c r="L676" s="800"/>
      <c r="M676" s="779"/>
      <c r="N676" s="779"/>
    </row>
    <row r="677" spans="1:23" s="89" customFormat="1" ht="40.35" customHeight="1">
      <c r="A677" s="564" t="str">
        <f ca="1">INDIRECT("'update Helper'!C"&amp;U677)</f>
        <v>a163p000004Vjl9AAC</v>
      </c>
      <c r="B677" s="794">
        <v>2</v>
      </c>
      <c r="C677" s="795" t="str">
        <f ca="1">VLOOKUP(B677,'Coverage Indicators - Section D'!$A$9:$AU$70,47,FALSE)</f>
        <v>HTS-3a⁽ᴹ⁾ Porcentaje de HSH a los que se les ha realizado una prueba de VIH durante el período de reporte y que conocen sus resultados</v>
      </c>
      <c r="D677" s="796" t="str">
        <f ca="1">R677</f>
        <v/>
      </c>
      <c r="E677" s="796" t="str">
        <f ca="1">S677</f>
        <v/>
      </c>
      <c r="F677" s="127"/>
      <c r="G677" s="797" t="str">
        <f ca="1">IF(OR(INDIRECT("'update Helper'!E"&amp;U677)="",F677&lt;&gt;0,F678&lt;&gt;0),IF(IFERROR((F677/F678),"")="","",(F677/F678)),INDIRECT("'update Helper'!E"&amp;U677)/100)</f>
        <v/>
      </c>
      <c r="H677" s="784"/>
      <c r="I677" s="798"/>
      <c r="J677" s="777"/>
      <c r="K677" s="795" t="str">
        <f ca="1">W677</f>
        <v>HTS-3a⁽ᴹ⁾ Percentage of men who have sex with men that have received an HIV test during the reporting period and know their results</v>
      </c>
      <c r="L677" s="795" t="str">
        <f ca="1">V677</f>
        <v/>
      </c>
      <c r="M677" s="777"/>
      <c r="N677" s="777"/>
      <c r="P677" s="89">
        <f ca="1">IF(AND(EXACT(C677,C675),C675&lt;&gt;0),P675+1,0)</f>
        <v>8</v>
      </c>
      <c r="Q677" s="89" t="str">
        <f ca="1">IF(C677&lt;&gt;"",C677&amp;"-"&amp;P677,"")</f>
        <v>HTS-3a⁽ᴹ⁾ Porcentaje de HSH a los que se les ha realizado una prueba de VIH durante el período de reporte y que conocen sus resultados-8</v>
      </c>
      <c r="R677" s="89" t="str">
        <f t="array" aca="1" ref="R677" ca="1">IFERROR(IF(INDEX('Disaggregation Records'!$E$155:$E$385,MATCH(RIGHT(Q677,255),RIGHT('Disaggregation Records'!$D$155:$D$385,255),0))="","",INDEX('Disaggregation Records'!$E$155:$E$385,MATCH(RIGHT(Q677,255),RIGHT('Disaggregation Records'!$D$155:$D$385,255),0))),"")</f>
        <v/>
      </c>
      <c r="S677" s="89" t="str">
        <f t="array" aca="1" ref="S677" ca="1">IFERROR(IF(INDEX('Disaggregation Records'!$F$155:$F$385,MATCH(RIGHT(Q677,255),RIGHT('Disaggregation Records'!$D$155:$D$385,255),0))="","",INDEX('Disaggregation Records'!$F$155:$F$385,MATCH(RIGHT(Q677,255),RIGHT('Disaggregation Records'!$D$155:$D$385,255),0))),"")</f>
        <v/>
      </c>
      <c r="T677" s="89" t="str">
        <f t="array" aca="1" ref="T677" ca="1">IFERROR(IF(INDEX('Disaggregation Records'!$H$155:$H$385,MATCH(RIGHT(Q677,255),RIGHT('Disaggregation Records'!$D$155:$D$385,255),0))="","",INDEX('Disaggregation Records'!$H$155:$H$385,MATCH(RIGHT(Q677,255),RIGHT('Disaggregation Records'!$D$155:$D$385,255),0))),"")</f>
        <v/>
      </c>
      <c r="U677" s="89">
        <f>U675+1</f>
        <v>1448</v>
      </c>
      <c r="V677" s="89" t="str">
        <f t="array" aca="1" ref="V677" ca="1">IFERROR(IF(INDEX('Disaggregation Records'!$I$155:$I$385,MATCH(RIGHT(Q677,255),RIGHT('Disaggregation Records'!$D$155:$D$385,255),0))="","",INDEX('Disaggregation Records'!$I$155:$I$385,MATCH(RIGHT(Q677,255),RIGHT('Disaggregation Records'!$D$155:$D$385,255),0))),"")</f>
        <v/>
      </c>
      <c r="W677" s="89" t="str">
        <f ca="1">IFERROR(INDEX('Reference Records'!L$77:L$157,MATCH(LEFT(C677,255),'Reference Records'!E$77:E$157,0)),"")</f>
        <v>HTS-3a⁽ᴹ⁾ Percentage of men who have sex with men that have received an HIV test during the reporting period and know their results</v>
      </c>
    </row>
    <row r="678" spans="1:23" s="89" customFormat="1" ht="40.35" customHeight="1">
      <c r="A678" s="564"/>
      <c r="B678" s="799"/>
      <c r="C678" s="800"/>
      <c r="D678" s="801"/>
      <c r="E678" s="801"/>
      <c r="F678" s="128"/>
      <c r="G678" s="802"/>
      <c r="H678" s="781"/>
      <c r="I678" s="803"/>
      <c r="J678" s="779"/>
      <c r="K678" s="800"/>
      <c r="L678" s="800"/>
      <c r="M678" s="779"/>
      <c r="N678" s="779"/>
    </row>
    <row r="679" spans="1:23" s="89" customFormat="1" ht="40.35" customHeight="1">
      <c r="A679" s="564" t="str">
        <f ca="1">INDIRECT("'update Helper'!C"&amp;U679)</f>
        <v>a163p000004VjlAAAS</v>
      </c>
      <c r="B679" s="794">
        <v>2</v>
      </c>
      <c r="C679" s="795" t="str">
        <f ca="1">VLOOKUP(B679,'Coverage Indicators - Section D'!$A$9:$AU$70,47,FALSE)</f>
        <v>HTS-3a⁽ᴹ⁾ Porcentaje de HSH a los que se les ha realizado una prueba de VIH durante el período de reporte y que conocen sus resultados</v>
      </c>
      <c r="D679" s="796" t="str">
        <f ca="1">R679</f>
        <v/>
      </c>
      <c r="E679" s="796" t="str">
        <f ca="1">S679</f>
        <v/>
      </c>
      <c r="F679" s="127"/>
      <c r="G679" s="797" t="str">
        <f ca="1">IF(OR(INDIRECT("'update Helper'!E"&amp;U679)="",F679&lt;&gt;0,F680&lt;&gt;0),IF(IFERROR((F679/F680),"")="","",(F679/F680)),INDIRECT("'update Helper'!E"&amp;U679)/100)</f>
        <v/>
      </c>
      <c r="H679" s="784"/>
      <c r="I679" s="798"/>
      <c r="J679" s="777"/>
      <c r="K679" s="795" t="str">
        <f ca="1">W679</f>
        <v>HTS-3a⁽ᴹ⁾ Percentage of men who have sex with men that have received an HIV test during the reporting period and know their results</v>
      </c>
      <c r="L679" s="795" t="str">
        <f ca="1">V679</f>
        <v/>
      </c>
      <c r="M679" s="777"/>
      <c r="N679" s="777"/>
      <c r="P679" s="89">
        <f ca="1">IF(AND(EXACT(C679,C677),C677&lt;&gt;0),P677+1,0)</f>
        <v>9</v>
      </c>
      <c r="Q679" s="89" t="str">
        <f ca="1">IF(C679&lt;&gt;"",C679&amp;"-"&amp;P679,"")</f>
        <v>HTS-3a⁽ᴹ⁾ Porcentaje de HSH a los que se les ha realizado una prueba de VIH durante el período de reporte y que conocen sus resultados-9</v>
      </c>
      <c r="R679" s="89" t="str">
        <f t="array" aca="1" ref="R679" ca="1">IFERROR(IF(INDEX('Disaggregation Records'!$E$155:$E$385,MATCH(RIGHT(Q679,255),RIGHT('Disaggregation Records'!$D$155:$D$385,255),0))="","",INDEX('Disaggregation Records'!$E$155:$E$385,MATCH(RIGHT(Q679,255),RIGHT('Disaggregation Records'!$D$155:$D$385,255),0))),"")</f>
        <v/>
      </c>
      <c r="S679" s="89" t="str">
        <f t="array" aca="1" ref="S679" ca="1">IFERROR(IF(INDEX('Disaggregation Records'!$F$155:$F$385,MATCH(RIGHT(Q679,255),RIGHT('Disaggregation Records'!$D$155:$D$385,255),0))="","",INDEX('Disaggregation Records'!$F$155:$F$385,MATCH(RIGHT(Q679,255),RIGHT('Disaggregation Records'!$D$155:$D$385,255),0))),"")</f>
        <v/>
      </c>
      <c r="T679" s="89" t="str">
        <f t="array" aca="1" ref="T679" ca="1">IFERROR(IF(INDEX('Disaggregation Records'!$H$155:$H$385,MATCH(RIGHT(Q679,255),RIGHT('Disaggregation Records'!$D$155:$D$385,255),0))="","",INDEX('Disaggregation Records'!$H$155:$H$385,MATCH(RIGHT(Q679,255),RIGHT('Disaggregation Records'!$D$155:$D$385,255),0))),"")</f>
        <v/>
      </c>
      <c r="U679" s="89">
        <f>U677+1</f>
        <v>1449</v>
      </c>
      <c r="V679" s="89" t="str">
        <f t="array" aca="1" ref="V679" ca="1">IFERROR(IF(INDEX('Disaggregation Records'!$I$155:$I$385,MATCH(RIGHT(Q679,255),RIGHT('Disaggregation Records'!$D$155:$D$385,255),0))="","",INDEX('Disaggregation Records'!$I$155:$I$385,MATCH(RIGHT(Q679,255),RIGHT('Disaggregation Records'!$D$155:$D$385,255),0))),"")</f>
        <v/>
      </c>
      <c r="W679" s="89" t="str">
        <f ca="1">IFERROR(INDEX('Reference Records'!L$77:L$157,MATCH(LEFT(C679,255),'Reference Records'!E$77:E$157,0)),"")</f>
        <v>HTS-3a⁽ᴹ⁾ Percentage of men who have sex with men that have received an HIV test during the reporting period and know their results</v>
      </c>
    </row>
    <row r="680" spans="1:23" s="89" customFormat="1" ht="40.35" customHeight="1">
      <c r="A680" s="564"/>
      <c r="B680" s="799"/>
      <c r="C680" s="800"/>
      <c r="D680" s="801"/>
      <c r="E680" s="801"/>
      <c r="F680" s="128"/>
      <c r="G680" s="802"/>
      <c r="H680" s="781"/>
      <c r="I680" s="803"/>
      <c r="J680" s="779"/>
      <c r="K680" s="800"/>
      <c r="L680" s="800"/>
      <c r="M680" s="779"/>
      <c r="N680" s="779"/>
    </row>
    <row r="681" spans="1:23" s="89" customFormat="1" ht="40.35" customHeight="1">
      <c r="A681" s="564" t="str">
        <f ca="1">INDIRECT("'update Helper'!C"&amp;U681)</f>
        <v>a163p000004VjlBAAS</v>
      </c>
      <c r="B681" s="794">
        <v>2</v>
      </c>
      <c r="C681" s="795" t="str">
        <f ca="1">VLOOKUP(B681,'Coverage Indicators - Section D'!$A$9:$AU$70,47,FALSE)</f>
        <v>HTS-3a⁽ᴹ⁾ Porcentaje de HSH a los que se les ha realizado una prueba de VIH durante el período de reporte y que conocen sus resultados</v>
      </c>
      <c r="D681" s="796" t="str">
        <f ca="1">R681</f>
        <v/>
      </c>
      <c r="E681" s="796" t="str">
        <f ca="1">S681</f>
        <v/>
      </c>
      <c r="F681" s="127"/>
      <c r="G681" s="797" t="str">
        <f ca="1">IF(OR(INDIRECT("'update Helper'!E"&amp;U681)="",F681&lt;&gt;0,F682&lt;&gt;0),IF(IFERROR((F681/F682),"")="","",(F681/F682)),INDIRECT("'update Helper'!E"&amp;U681)/100)</f>
        <v/>
      </c>
      <c r="H681" s="784"/>
      <c r="I681" s="798"/>
      <c r="J681" s="777"/>
      <c r="K681" s="795" t="str">
        <f ca="1">W681</f>
        <v>HTS-3a⁽ᴹ⁾ Percentage of men who have sex with men that have received an HIV test during the reporting period and know their results</v>
      </c>
      <c r="L681" s="795" t="str">
        <f ca="1">V681</f>
        <v/>
      </c>
      <c r="M681" s="777"/>
      <c r="N681" s="777"/>
      <c r="P681" s="89">
        <f ca="1">IF(AND(EXACT(C681,C679),C679&lt;&gt;0),P679+1,0)</f>
        <v>10</v>
      </c>
      <c r="Q681" s="89" t="str">
        <f ca="1">IF(C681&lt;&gt;"",C681&amp;"-"&amp;P681,"")</f>
        <v>HTS-3a⁽ᴹ⁾ Porcentaje de HSH a los que se les ha realizado una prueba de VIH durante el período de reporte y que conocen sus resultados-10</v>
      </c>
      <c r="R681" s="89" t="str">
        <f t="array" aca="1" ref="R681" ca="1">IFERROR(IF(INDEX('Disaggregation Records'!$E$155:$E$385,MATCH(RIGHT(Q681,255),RIGHT('Disaggregation Records'!$D$155:$D$385,255),0))="","",INDEX('Disaggregation Records'!$E$155:$E$385,MATCH(RIGHT(Q681,255),RIGHT('Disaggregation Records'!$D$155:$D$385,255),0))),"")</f>
        <v/>
      </c>
      <c r="S681" s="89" t="str">
        <f t="array" aca="1" ref="S681" ca="1">IFERROR(IF(INDEX('Disaggregation Records'!$F$155:$F$385,MATCH(RIGHT(Q681,255),RIGHT('Disaggregation Records'!$D$155:$D$385,255),0))="","",INDEX('Disaggregation Records'!$F$155:$F$385,MATCH(RIGHT(Q681,255),RIGHT('Disaggregation Records'!$D$155:$D$385,255),0))),"")</f>
        <v/>
      </c>
      <c r="T681" s="89" t="str">
        <f t="array" aca="1" ref="T681" ca="1">IFERROR(IF(INDEX('Disaggregation Records'!$H$155:$H$385,MATCH(RIGHT(Q681,255),RIGHT('Disaggregation Records'!$D$155:$D$385,255),0))="","",INDEX('Disaggregation Records'!$H$155:$H$385,MATCH(RIGHT(Q681,255),RIGHT('Disaggregation Records'!$D$155:$D$385,255),0))),"")</f>
        <v/>
      </c>
      <c r="U681" s="89">
        <f>U679+1</f>
        <v>1450</v>
      </c>
      <c r="V681" s="89" t="str">
        <f t="array" aca="1" ref="V681" ca="1">IFERROR(IF(INDEX('Disaggregation Records'!$I$155:$I$385,MATCH(RIGHT(Q681,255),RIGHT('Disaggregation Records'!$D$155:$D$385,255),0))="","",INDEX('Disaggregation Records'!$I$155:$I$385,MATCH(RIGHT(Q681,255),RIGHT('Disaggregation Records'!$D$155:$D$385,255),0))),"")</f>
        <v/>
      </c>
      <c r="W681" s="89" t="str">
        <f ca="1">IFERROR(INDEX('Reference Records'!L$77:L$157,MATCH(LEFT(C681,255),'Reference Records'!E$77:E$157,0)),"")</f>
        <v>HTS-3a⁽ᴹ⁾ Percentage of men who have sex with men that have received an HIV test during the reporting period and know their results</v>
      </c>
    </row>
    <row r="682" spans="1:23" s="89" customFormat="1" ht="40.35" customHeight="1">
      <c r="A682" s="564"/>
      <c r="B682" s="799"/>
      <c r="C682" s="800"/>
      <c r="D682" s="801"/>
      <c r="E682" s="801"/>
      <c r="F682" s="128"/>
      <c r="G682" s="802"/>
      <c r="H682" s="781"/>
      <c r="I682" s="803"/>
      <c r="J682" s="779"/>
      <c r="K682" s="800"/>
      <c r="L682" s="800"/>
      <c r="M682" s="779"/>
      <c r="N682" s="779"/>
    </row>
    <row r="683" spans="1:23" s="89" customFormat="1" ht="40.35" customHeight="1">
      <c r="A683" s="564" t="str">
        <f ca="1">INDIRECT("'update Helper'!C"&amp;U683)</f>
        <v>a163p000004VjlCAAS</v>
      </c>
      <c r="B683" s="794">
        <v>2</v>
      </c>
      <c r="C683" s="795" t="str">
        <f ca="1">VLOOKUP(B683,'Coverage Indicators - Section D'!$A$9:$AU$70,47,FALSE)</f>
        <v>HTS-3a⁽ᴹ⁾ Porcentaje de HSH a los que se les ha realizado una prueba de VIH durante el período de reporte y que conocen sus resultados</v>
      </c>
      <c r="D683" s="796" t="str">
        <f ca="1">R683</f>
        <v/>
      </c>
      <c r="E683" s="796" t="str">
        <f ca="1">S683</f>
        <v/>
      </c>
      <c r="F683" s="127"/>
      <c r="G683" s="797" t="str">
        <f ca="1">IF(OR(INDIRECT("'update Helper'!E"&amp;U683)="",F683&lt;&gt;0,F684&lt;&gt;0),IF(IFERROR((F683/F684),"")="","",(F683/F684)),INDIRECT("'update Helper'!E"&amp;U683)/100)</f>
        <v/>
      </c>
      <c r="H683" s="784"/>
      <c r="I683" s="798"/>
      <c r="J683" s="777"/>
      <c r="K683" s="795" t="str">
        <f ca="1">W683</f>
        <v>HTS-3a⁽ᴹ⁾ Percentage of men who have sex with men that have received an HIV test during the reporting period and know their results</v>
      </c>
      <c r="L683" s="795" t="str">
        <f ca="1">V683</f>
        <v/>
      </c>
      <c r="M683" s="777"/>
      <c r="N683" s="777"/>
      <c r="P683" s="89">
        <f ca="1">IF(AND(EXACT(C683,C681),C681&lt;&gt;0),P681+1,0)</f>
        <v>11</v>
      </c>
      <c r="Q683" s="89" t="str">
        <f ca="1">IF(C683&lt;&gt;"",C683&amp;"-"&amp;P683,"")</f>
        <v>HTS-3a⁽ᴹ⁾ Porcentaje de HSH a los que se les ha realizado una prueba de VIH durante el período de reporte y que conocen sus resultados-11</v>
      </c>
      <c r="R683" s="89" t="str">
        <f t="array" aca="1" ref="R683" ca="1">IFERROR(IF(INDEX('Disaggregation Records'!$E$155:$E$385,MATCH(RIGHT(Q683,255),RIGHT('Disaggregation Records'!$D$155:$D$385,255),0))="","",INDEX('Disaggregation Records'!$E$155:$E$385,MATCH(RIGHT(Q683,255),RIGHT('Disaggregation Records'!$D$155:$D$385,255),0))),"")</f>
        <v/>
      </c>
      <c r="S683" s="89" t="str">
        <f t="array" aca="1" ref="S683" ca="1">IFERROR(IF(INDEX('Disaggregation Records'!$F$155:$F$385,MATCH(RIGHT(Q683,255),RIGHT('Disaggregation Records'!$D$155:$D$385,255),0))="","",INDEX('Disaggregation Records'!$F$155:$F$385,MATCH(RIGHT(Q683,255),RIGHT('Disaggregation Records'!$D$155:$D$385,255),0))),"")</f>
        <v/>
      </c>
      <c r="T683" s="89" t="str">
        <f t="array" aca="1" ref="T683" ca="1">IFERROR(IF(INDEX('Disaggregation Records'!$H$155:$H$385,MATCH(RIGHT(Q683,255),RIGHT('Disaggregation Records'!$D$155:$D$385,255),0))="","",INDEX('Disaggregation Records'!$H$155:$H$385,MATCH(RIGHT(Q683,255),RIGHT('Disaggregation Records'!$D$155:$D$385,255),0))),"")</f>
        <v/>
      </c>
      <c r="U683" s="89">
        <f>U681+1</f>
        <v>1451</v>
      </c>
      <c r="V683" s="89" t="str">
        <f t="array" aca="1" ref="V683" ca="1">IFERROR(IF(INDEX('Disaggregation Records'!$I$155:$I$385,MATCH(RIGHT(Q683,255),RIGHT('Disaggregation Records'!$D$155:$D$385,255),0))="","",INDEX('Disaggregation Records'!$I$155:$I$385,MATCH(RIGHT(Q683,255),RIGHT('Disaggregation Records'!$D$155:$D$385,255),0))),"")</f>
        <v/>
      </c>
      <c r="W683" s="89" t="str">
        <f ca="1">IFERROR(INDEX('Reference Records'!L$77:L$157,MATCH(LEFT(C683,255),'Reference Records'!E$77:E$157,0)),"")</f>
        <v>HTS-3a⁽ᴹ⁾ Percentage of men who have sex with men that have received an HIV test during the reporting period and know their results</v>
      </c>
    </row>
    <row r="684" spans="1:23" s="89" customFormat="1" ht="40.35" customHeight="1">
      <c r="A684" s="564"/>
      <c r="B684" s="799"/>
      <c r="C684" s="800"/>
      <c r="D684" s="801"/>
      <c r="E684" s="801"/>
      <c r="F684" s="128"/>
      <c r="G684" s="802"/>
      <c r="H684" s="781"/>
      <c r="I684" s="803"/>
      <c r="J684" s="779"/>
      <c r="K684" s="800"/>
      <c r="L684" s="800"/>
      <c r="M684" s="779"/>
      <c r="N684" s="779"/>
    </row>
    <row r="685" spans="1:23" s="89" customFormat="1" ht="40.35" customHeight="1">
      <c r="A685" s="564" t="str">
        <f ca="1">INDIRECT("'update Helper'!C"&amp;U685)</f>
        <v>a163p000004VjlDAAS</v>
      </c>
      <c r="B685" s="794">
        <v>2</v>
      </c>
      <c r="C685" s="795" t="str">
        <f ca="1">VLOOKUP(B685,'Coverage Indicators - Section D'!$A$9:$AU$70,47,FALSE)</f>
        <v>HTS-3a⁽ᴹ⁾ Porcentaje de HSH a los que se les ha realizado una prueba de VIH durante el período de reporte y que conocen sus resultados</v>
      </c>
      <c r="D685" s="796" t="str">
        <f ca="1">R685</f>
        <v/>
      </c>
      <c r="E685" s="796" t="str">
        <f ca="1">S685</f>
        <v/>
      </c>
      <c r="F685" s="127"/>
      <c r="G685" s="797" t="str">
        <f ca="1">IF(OR(INDIRECT("'update Helper'!E"&amp;U685)="",F685&lt;&gt;0,F686&lt;&gt;0),IF(IFERROR((F685/F686),"")="","",(F685/F686)),INDIRECT("'update Helper'!E"&amp;U685)/100)</f>
        <v/>
      </c>
      <c r="H685" s="784"/>
      <c r="I685" s="798"/>
      <c r="J685" s="777"/>
      <c r="K685" s="795" t="str">
        <f ca="1">W685</f>
        <v>HTS-3a⁽ᴹ⁾ Percentage of men who have sex with men that have received an HIV test during the reporting period and know their results</v>
      </c>
      <c r="L685" s="795" t="str">
        <f ca="1">V685</f>
        <v/>
      </c>
      <c r="M685" s="777"/>
      <c r="N685" s="777"/>
      <c r="P685" s="89">
        <f ca="1">IF(AND(EXACT(C685,C683),C683&lt;&gt;0),P683+1,0)</f>
        <v>12</v>
      </c>
      <c r="Q685" s="89" t="str">
        <f ca="1">IF(C685&lt;&gt;"",C685&amp;"-"&amp;P685,"")</f>
        <v>HTS-3a⁽ᴹ⁾ Porcentaje de HSH a los que se les ha realizado una prueba de VIH durante el período de reporte y que conocen sus resultados-12</v>
      </c>
      <c r="R685" s="89" t="str">
        <f t="array" aca="1" ref="R685" ca="1">IFERROR(IF(INDEX('Disaggregation Records'!$E$155:$E$385,MATCH(RIGHT(Q685,255),RIGHT('Disaggregation Records'!$D$155:$D$385,255),0))="","",INDEX('Disaggregation Records'!$E$155:$E$385,MATCH(RIGHT(Q685,255),RIGHT('Disaggregation Records'!$D$155:$D$385,255),0))),"")</f>
        <v/>
      </c>
      <c r="S685" s="89" t="str">
        <f t="array" aca="1" ref="S685" ca="1">IFERROR(IF(INDEX('Disaggregation Records'!$F$155:$F$385,MATCH(RIGHT(Q685,255),RIGHT('Disaggregation Records'!$D$155:$D$385,255),0))="","",INDEX('Disaggregation Records'!$F$155:$F$385,MATCH(RIGHT(Q685,255),RIGHT('Disaggregation Records'!$D$155:$D$385,255),0))),"")</f>
        <v/>
      </c>
      <c r="T685" s="89" t="str">
        <f t="array" aca="1" ref="T685" ca="1">IFERROR(IF(INDEX('Disaggregation Records'!$H$155:$H$385,MATCH(RIGHT(Q685,255),RIGHT('Disaggregation Records'!$D$155:$D$385,255),0))="","",INDEX('Disaggregation Records'!$H$155:$H$385,MATCH(RIGHT(Q685,255),RIGHT('Disaggregation Records'!$D$155:$D$385,255),0))),"")</f>
        <v/>
      </c>
      <c r="U685" s="89">
        <f>U683+1</f>
        <v>1452</v>
      </c>
      <c r="V685" s="89" t="str">
        <f t="array" aca="1" ref="V685" ca="1">IFERROR(IF(INDEX('Disaggregation Records'!$I$155:$I$385,MATCH(RIGHT(Q685,255),RIGHT('Disaggregation Records'!$D$155:$D$385,255),0))="","",INDEX('Disaggregation Records'!$I$155:$I$385,MATCH(RIGHT(Q685,255),RIGHT('Disaggregation Records'!$D$155:$D$385,255),0))),"")</f>
        <v/>
      </c>
      <c r="W685" s="89" t="str">
        <f ca="1">IFERROR(INDEX('Reference Records'!L$77:L$157,MATCH(LEFT(C685,255),'Reference Records'!E$77:E$157,0)),"")</f>
        <v>HTS-3a⁽ᴹ⁾ Percentage of men who have sex with men that have received an HIV test during the reporting period and know their results</v>
      </c>
    </row>
    <row r="686" spans="1:23" s="89" customFormat="1" ht="40.35" customHeight="1">
      <c r="A686" s="564"/>
      <c r="B686" s="799"/>
      <c r="C686" s="800"/>
      <c r="D686" s="801"/>
      <c r="E686" s="801"/>
      <c r="F686" s="128"/>
      <c r="G686" s="802"/>
      <c r="H686" s="781"/>
      <c r="I686" s="803"/>
      <c r="J686" s="779"/>
      <c r="K686" s="800"/>
      <c r="L686" s="800"/>
      <c r="M686" s="779"/>
      <c r="N686" s="779"/>
    </row>
    <row r="687" spans="1:23" s="89" customFormat="1" ht="40.35" customHeight="1">
      <c r="A687" s="564" t="str">
        <f ca="1">INDIRECT("'update Helper'!C"&amp;U687)</f>
        <v>a163p000004VjlEAAS</v>
      </c>
      <c r="B687" s="794">
        <v>2</v>
      </c>
      <c r="C687" s="795" t="str">
        <f ca="1">VLOOKUP(B687,'Coverage Indicators - Section D'!$A$9:$AU$70,47,FALSE)</f>
        <v>HTS-3a⁽ᴹ⁾ Porcentaje de HSH a los que se les ha realizado una prueba de VIH durante el período de reporte y que conocen sus resultados</v>
      </c>
      <c r="D687" s="796" t="str">
        <f ca="1">R687</f>
        <v/>
      </c>
      <c r="E687" s="796" t="str">
        <f ca="1">S687</f>
        <v/>
      </c>
      <c r="F687" s="127"/>
      <c r="G687" s="797" t="str">
        <f ca="1">IF(OR(INDIRECT("'update Helper'!E"&amp;U687)="",F687&lt;&gt;0,F688&lt;&gt;0),IF(IFERROR((F687/F688),"")="","",(F687/F688)),INDIRECT("'update Helper'!E"&amp;U687)/100)</f>
        <v/>
      </c>
      <c r="H687" s="784"/>
      <c r="I687" s="798"/>
      <c r="J687" s="777"/>
      <c r="K687" s="795" t="str">
        <f ca="1">W687</f>
        <v>HTS-3a⁽ᴹ⁾ Percentage of men who have sex with men that have received an HIV test during the reporting period and know their results</v>
      </c>
      <c r="L687" s="795" t="str">
        <f ca="1">V687</f>
        <v/>
      </c>
      <c r="M687" s="777"/>
      <c r="N687" s="777"/>
      <c r="P687" s="89">
        <f ca="1">IF(AND(EXACT(C687,C685),C685&lt;&gt;0),P685+1,0)</f>
        <v>13</v>
      </c>
      <c r="Q687" s="89" t="str">
        <f ca="1">IF(C687&lt;&gt;"",C687&amp;"-"&amp;P687,"")</f>
        <v>HTS-3a⁽ᴹ⁾ Porcentaje de HSH a los que se les ha realizado una prueba de VIH durante el período de reporte y que conocen sus resultados-13</v>
      </c>
      <c r="R687" s="89" t="str">
        <f t="array" aca="1" ref="R687" ca="1">IFERROR(IF(INDEX('Disaggregation Records'!$E$155:$E$385,MATCH(RIGHT(Q687,255),RIGHT('Disaggregation Records'!$D$155:$D$385,255),0))="","",INDEX('Disaggregation Records'!$E$155:$E$385,MATCH(RIGHT(Q687,255),RIGHT('Disaggregation Records'!$D$155:$D$385,255),0))),"")</f>
        <v/>
      </c>
      <c r="S687" s="89" t="str">
        <f t="array" aca="1" ref="S687" ca="1">IFERROR(IF(INDEX('Disaggregation Records'!$F$155:$F$385,MATCH(RIGHT(Q687,255),RIGHT('Disaggregation Records'!$D$155:$D$385,255),0))="","",INDEX('Disaggregation Records'!$F$155:$F$385,MATCH(RIGHT(Q687,255),RIGHT('Disaggregation Records'!$D$155:$D$385,255),0))),"")</f>
        <v/>
      </c>
      <c r="T687" s="89" t="str">
        <f t="array" aca="1" ref="T687" ca="1">IFERROR(IF(INDEX('Disaggregation Records'!$H$155:$H$385,MATCH(RIGHT(Q687,255),RIGHT('Disaggregation Records'!$D$155:$D$385,255),0))="","",INDEX('Disaggregation Records'!$H$155:$H$385,MATCH(RIGHT(Q687,255),RIGHT('Disaggregation Records'!$D$155:$D$385,255),0))),"")</f>
        <v/>
      </c>
      <c r="U687" s="89">
        <f>U685+1</f>
        <v>1453</v>
      </c>
      <c r="V687" s="89" t="str">
        <f t="array" aca="1" ref="V687" ca="1">IFERROR(IF(INDEX('Disaggregation Records'!$I$155:$I$385,MATCH(RIGHT(Q687,255),RIGHT('Disaggregation Records'!$D$155:$D$385,255),0))="","",INDEX('Disaggregation Records'!$I$155:$I$385,MATCH(RIGHT(Q687,255),RIGHT('Disaggregation Records'!$D$155:$D$385,255),0))),"")</f>
        <v/>
      </c>
      <c r="W687" s="89" t="str">
        <f ca="1">IFERROR(INDEX('Reference Records'!L$77:L$157,MATCH(LEFT(C687,255),'Reference Records'!E$77:E$157,0)),"")</f>
        <v>HTS-3a⁽ᴹ⁾ Percentage of men who have sex with men that have received an HIV test during the reporting period and know their results</v>
      </c>
    </row>
    <row r="688" spans="1:23" s="89" customFormat="1" ht="40.35" customHeight="1">
      <c r="A688" s="564"/>
      <c r="B688" s="799"/>
      <c r="C688" s="800"/>
      <c r="D688" s="801"/>
      <c r="E688" s="801"/>
      <c r="F688" s="128"/>
      <c r="G688" s="802"/>
      <c r="H688" s="781"/>
      <c r="I688" s="803"/>
      <c r="J688" s="779"/>
      <c r="K688" s="800"/>
      <c r="L688" s="800"/>
      <c r="M688" s="779"/>
      <c r="N688" s="779"/>
    </row>
    <row r="689" spans="1:23" s="89" customFormat="1" ht="40.35" customHeight="1">
      <c r="A689" s="564" t="str">
        <f ca="1">INDIRECT("'update Helper'!C"&amp;U689)</f>
        <v>a163p000004VjlFAAS</v>
      </c>
      <c r="B689" s="794">
        <v>2</v>
      </c>
      <c r="C689" s="795" t="str">
        <f ca="1">VLOOKUP(B689,'Coverage Indicators - Section D'!$A$9:$AU$70,47,FALSE)</f>
        <v>HTS-3a⁽ᴹ⁾ Porcentaje de HSH a los que se les ha realizado una prueba de VIH durante el período de reporte y que conocen sus resultados</v>
      </c>
      <c r="D689" s="796" t="str">
        <f ca="1">R689</f>
        <v/>
      </c>
      <c r="E689" s="796" t="str">
        <f ca="1">S689</f>
        <v/>
      </c>
      <c r="F689" s="127"/>
      <c r="G689" s="797" t="str">
        <f ca="1">IF(OR(INDIRECT("'update Helper'!E"&amp;U689)="",F689&lt;&gt;0,F690&lt;&gt;0),IF(IFERROR((F689/F690),"")="","",(F689/F690)),INDIRECT("'update Helper'!E"&amp;U689)/100)</f>
        <v/>
      </c>
      <c r="H689" s="784"/>
      <c r="I689" s="798"/>
      <c r="J689" s="777"/>
      <c r="K689" s="795" t="str">
        <f ca="1">W689</f>
        <v>HTS-3a⁽ᴹ⁾ Percentage of men who have sex with men that have received an HIV test during the reporting period and know their results</v>
      </c>
      <c r="L689" s="795" t="str">
        <f ca="1">V689</f>
        <v/>
      </c>
      <c r="M689" s="777"/>
      <c r="N689" s="777"/>
      <c r="P689" s="89">
        <f ca="1">IF(AND(EXACT(C689,C687),C687&lt;&gt;0),P687+1,0)</f>
        <v>14</v>
      </c>
      <c r="Q689" s="89" t="str">
        <f ca="1">IF(C689&lt;&gt;"",C689&amp;"-"&amp;P689,"")</f>
        <v>HTS-3a⁽ᴹ⁾ Porcentaje de HSH a los que se les ha realizado una prueba de VIH durante el período de reporte y que conocen sus resultados-14</v>
      </c>
      <c r="R689" s="89" t="str">
        <f t="array" aca="1" ref="R689" ca="1">IFERROR(IF(INDEX('Disaggregation Records'!$E$155:$E$385,MATCH(RIGHT(Q689,255),RIGHT('Disaggregation Records'!$D$155:$D$385,255),0))="","",INDEX('Disaggregation Records'!$E$155:$E$385,MATCH(RIGHT(Q689,255),RIGHT('Disaggregation Records'!$D$155:$D$385,255),0))),"")</f>
        <v/>
      </c>
      <c r="S689" s="89" t="str">
        <f t="array" aca="1" ref="S689" ca="1">IFERROR(IF(INDEX('Disaggregation Records'!$F$155:$F$385,MATCH(RIGHT(Q689,255),RIGHT('Disaggregation Records'!$D$155:$D$385,255),0))="","",INDEX('Disaggregation Records'!$F$155:$F$385,MATCH(RIGHT(Q689,255),RIGHT('Disaggregation Records'!$D$155:$D$385,255),0))),"")</f>
        <v/>
      </c>
      <c r="T689" s="89" t="str">
        <f t="array" aca="1" ref="T689" ca="1">IFERROR(IF(INDEX('Disaggregation Records'!$H$155:$H$385,MATCH(RIGHT(Q689,255),RIGHT('Disaggregation Records'!$D$155:$D$385,255),0))="","",INDEX('Disaggregation Records'!$H$155:$H$385,MATCH(RIGHT(Q689,255),RIGHT('Disaggregation Records'!$D$155:$D$385,255),0))),"")</f>
        <v/>
      </c>
      <c r="U689" s="89">
        <f>U687+1</f>
        <v>1454</v>
      </c>
      <c r="V689" s="89" t="str">
        <f t="array" aca="1" ref="V689" ca="1">IFERROR(IF(INDEX('Disaggregation Records'!$I$155:$I$385,MATCH(RIGHT(Q689,255),RIGHT('Disaggregation Records'!$D$155:$D$385,255),0))="","",INDEX('Disaggregation Records'!$I$155:$I$385,MATCH(RIGHT(Q689,255),RIGHT('Disaggregation Records'!$D$155:$D$385,255),0))),"")</f>
        <v/>
      </c>
      <c r="W689" s="89" t="str">
        <f ca="1">IFERROR(INDEX('Reference Records'!L$77:L$157,MATCH(LEFT(C689,255),'Reference Records'!E$77:E$157,0)),"")</f>
        <v>HTS-3a⁽ᴹ⁾ Percentage of men who have sex with men that have received an HIV test during the reporting period and know their results</v>
      </c>
    </row>
    <row r="690" spans="1:23" s="89" customFormat="1" ht="40.35" customHeight="1">
      <c r="A690" s="564"/>
      <c r="B690" s="799"/>
      <c r="C690" s="800"/>
      <c r="D690" s="801"/>
      <c r="E690" s="801"/>
      <c r="F690" s="128"/>
      <c r="G690" s="802"/>
      <c r="H690" s="781"/>
      <c r="I690" s="803"/>
      <c r="J690" s="779"/>
      <c r="K690" s="800"/>
      <c r="L690" s="800"/>
      <c r="M690" s="779"/>
      <c r="N690" s="779"/>
    </row>
    <row r="691" spans="1:23" s="89" customFormat="1" ht="40.35" customHeight="1">
      <c r="A691" s="564" t="str">
        <f ca="1">INDIRECT("'update Helper'!C"&amp;U691)</f>
        <v>a163p000004VjlGAAS</v>
      </c>
      <c r="B691" s="794">
        <v>2</v>
      </c>
      <c r="C691" s="795" t="str">
        <f ca="1">VLOOKUP(B691,'Coverage Indicators - Section D'!$A$9:$AU$70,47,FALSE)</f>
        <v>HTS-3a⁽ᴹ⁾ Porcentaje de HSH a los que se les ha realizado una prueba de VIH durante el período de reporte y que conocen sus resultados</v>
      </c>
      <c r="D691" s="796" t="str">
        <f ca="1">R691</f>
        <v/>
      </c>
      <c r="E691" s="796" t="str">
        <f ca="1">S691</f>
        <v/>
      </c>
      <c r="F691" s="127"/>
      <c r="G691" s="797" t="str">
        <f ca="1">IF(OR(INDIRECT("'update Helper'!E"&amp;U691)="",F691&lt;&gt;0,F692&lt;&gt;0),IF(IFERROR((F691/F692),"")="","",(F691/F692)),INDIRECT("'update Helper'!E"&amp;U691)/100)</f>
        <v/>
      </c>
      <c r="H691" s="784"/>
      <c r="I691" s="798"/>
      <c r="J691" s="777"/>
      <c r="K691" s="795" t="str">
        <f ca="1">W691</f>
        <v>HTS-3a⁽ᴹ⁾ Percentage of men who have sex with men that have received an HIV test during the reporting period and know their results</v>
      </c>
      <c r="L691" s="795" t="str">
        <f ca="1">V691</f>
        <v/>
      </c>
      <c r="M691" s="777"/>
      <c r="N691" s="777"/>
      <c r="P691" s="89">
        <f ca="1">IF(AND(EXACT(C691,C689),C689&lt;&gt;0),P689+1,0)</f>
        <v>15</v>
      </c>
      <c r="Q691" s="89" t="str">
        <f ca="1">IF(C691&lt;&gt;"",C691&amp;"-"&amp;P691,"")</f>
        <v>HTS-3a⁽ᴹ⁾ Porcentaje de HSH a los que se les ha realizado una prueba de VIH durante el período de reporte y que conocen sus resultados-15</v>
      </c>
      <c r="R691" s="89" t="str">
        <f t="array" aca="1" ref="R691" ca="1">IFERROR(IF(INDEX('Disaggregation Records'!$E$155:$E$385,MATCH(RIGHT(Q691,255),RIGHT('Disaggregation Records'!$D$155:$D$385,255),0))="","",INDEX('Disaggregation Records'!$E$155:$E$385,MATCH(RIGHT(Q691,255),RIGHT('Disaggregation Records'!$D$155:$D$385,255),0))),"")</f>
        <v/>
      </c>
      <c r="S691" s="89" t="str">
        <f t="array" aca="1" ref="S691" ca="1">IFERROR(IF(INDEX('Disaggregation Records'!$F$155:$F$385,MATCH(RIGHT(Q691,255),RIGHT('Disaggregation Records'!$D$155:$D$385,255),0))="","",INDEX('Disaggregation Records'!$F$155:$F$385,MATCH(RIGHT(Q691,255),RIGHT('Disaggregation Records'!$D$155:$D$385,255),0))),"")</f>
        <v/>
      </c>
      <c r="T691" s="89" t="str">
        <f t="array" aca="1" ref="T691" ca="1">IFERROR(IF(INDEX('Disaggregation Records'!$H$155:$H$385,MATCH(RIGHT(Q691,255),RIGHT('Disaggregation Records'!$D$155:$D$385,255),0))="","",INDEX('Disaggregation Records'!$H$155:$H$385,MATCH(RIGHT(Q691,255),RIGHT('Disaggregation Records'!$D$155:$D$385,255),0))),"")</f>
        <v/>
      </c>
      <c r="U691" s="89">
        <f>U689+1</f>
        <v>1455</v>
      </c>
      <c r="V691" s="89" t="str">
        <f t="array" aca="1" ref="V691" ca="1">IFERROR(IF(INDEX('Disaggregation Records'!$I$155:$I$385,MATCH(RIGHT(Q691,255),RIGHT('Disaggregation Records'!$D$155:$D$385,255),0))="","",INDEX('Disaggregation Records'!$I$155:$I$385,MATCH(RIGHT(Q691,255),RIGHT('Disaggregation Records'!$D$155:$D$385,255),0))),"")</f>
        <v/>
      </c>
      <c r="W691" s="89" t="str">
        <f ca="1">IFERROR(INDEX('Reference Records'!L$77:L$157,MATCH(LEFT(C691,255),'Reference Records'!E$77:E$157,0)),"")</f>
        <v>HTS-3a⁽ᴹ⁾ Percentage of men who have sex with men that have received an HIV test during the reporting period and know their results</v>
      </c>
    </row>
    <row r="692" spans="1:23" s="89" customFormat="1" ht="40.35" customHeight="1">
      <c r="A692" s="564"/>
      <c r="B692" s="799"/>
      <c r="C692" s="800"/>
      <c r="D692" s="801"/>
      <c r="E692" s="801"/>
      <c r="F692" s="128"/>
      <c r="G692" s="802"/>
      <c r="H692" s="781"/>
      <c r="I692" s="803"/>
      <c r="J692" s="779"/>
      <c r="K692" s="800"/>
      <c r="L692" s="800"/>
      <c r="M692" s="779"/>
      <c r="N692" s="779"/>
    </row>
    <row r="693" spans="1:23" s="89" customFormat="1" ht="40.35" customHeight="1">
      <c r="A693" s="564" t="str">
        <f ca="1">INDIRECT("'update Helper'!C"&amp;U693)</f>
        <v>a163p000004VjlHAAS</v>
      </c>
      <c r="B693" s="794">
        <v>2</v>
      </c>
      <c r="C693" s="795" t="str">
        <f ca="1">VLOOKUP(B693,'Coverage Indicators - Section D'!$A$9:$AU$70,47,FALSE)</f>
        <v>HTS-3a⁽ᴹ⁾ Porcentaje de HSH a los que se les ha realizado una prueba de VIH durante el período de reporte y que conocen sus resultados</v>
      </c>
      <c r="D693" s="796" t="str">
        <f ca="1">R693</f>
        <v/>
      </c>
      <c r="E693" s="796" t="str">
        <f ca="1">S693</f>
        <v/>
      </c>
      <c r="F693" s="127"/>
      <c r="G693" s="797" t="str">
        <f ca="1">IF(OR(INDIRECT("'update Helper'!E"&amp;U693)="",F693&lt;&gt;0,F694&lt;&gt;0),IF(IFERROR((F693/F694),"")="","",(F693/F694)),INDIRECT("'update Helper'!E"&amp;U693)/100)</f>
        <v/>
      </c>
      <c r="H693" s="784"/>
      <c r="I693" s="798"/>
      <c r="J693" s="777"/>
      <c r="K693" s="795" t="str">
        <f ca="1">W693</f>
        <v>HTS-3a⁽ᴹ⁾ Percentage of men who have sex with men that have received an HIV test during the reporting period and know their results</v>
      </c>
      <c r="L693" s="795" t="str">
        <f ca="1">V693</f>
        <v/>
      </c>
      <c r="M693" s="777"/>
      <c r="N693" s="777"/>
      <c r="P693" s="89">
        <f ca="1">IF(AND(EXACT(C693,C691),C691&lt;&gt;0),P691+1,0)</f>
        <v>16</v>
      </c>
      <c r="Q693" s="89" t="str">
        <f ca="1">IF(C693&lt;&gt;"",C693&amp;"-"&amp;P693,"")</f>
        <v>HTS-3a⁽ᴹ⁾ Porcentaje de HSH a los que se les ha realizado una prueba de VIH durante el período de reporte y que conocen sus resultados-16</v>
      </c>
      <c r="R693" s="89" t="str">
        <f t="array" aca="1" ref="R693" ca="1">IFERROR(IF(INDEX('Disaggregation Records'!$E$155:$E$385,MATCH(RIGHT(Q693,255),RIGHT('Disaggregation Records'!$D$155:$D$385,255),0))="","",INDEX('Disaggregation Records'!$E$155:$E$385,MATCH(RIGHT(Q693,255),RIGHT('Disaggregation Records'!$D$155:$D$385,255),0))),"")</f>
        <v/>
      </c>
      <c r="S693" s="89" t="str">
        <f t="array" aca="1" ref="S693" ca="1">IFERROR(IF(INDEX('Disaggregation Records'!$F$155:$F$385,MATCH(RIGHT(Q693,255),RIGHT('Disaggregation Records'!$D$155:$D$385,255),0))="","",INDEX('Disaggregation Records'!$F$155:$F$385,MATCH(RIGHT(Q693,255),RIGHT('Disaggregation Records'!$D$155:$D$385,255),0))),"")</f>
        <v/>
      </c>
      <c r="T693" s="89" t="str">
        <f t="array" aca="1" ref="T693" ca="1">IFERROR(IF(INDEX('Disaggregation Records'!$H$155:$H$385,MATCH(RIGHT(Q693,255),RIGHT('Disaggregation Records'!$D$155:$D$385,255),0))="","",INDEX('Disaggregation Records'!$H$155:$H$385,MATCH(RIGHT(Q693,255),RIGHT('Disaggregation Records'!$D$155:$D$385,255),0))),"")</f>
        <v/>
      </c>
      <c r="U693" s="89">
        <f>U691+1</f>
        <v>1456</v>
      </c>
      <c r="V693" s="89" t="str">
        <f t="array" aca="1" ref="V693" ca="1">IFERROR(IF(INDEX('Disaggregation Records'!$I$155:$I$385,MATCH(RIGHT(Q693,255),RIGHT('Disaggregation Records'!$D$155:$D$385,255),0))="","",INDEX('Disaggregation Records'!$I$155:$I$385,MATCH(RIGHT(Q693,255),RIGHT('Disaggregation Records'!$D$155:$D$385,255),0))),"")</f>
        <v/>
      </c>
      <c r="W693" s="89" t="str">
        <f ca="1">IFERROR(INDEX('Reference Records'!L$77:L$157,MATCH(LEFT(C693,255),'Reference Records'!E$77:E$157,0)),"")</f>
        <v>HTS-3a⁽ᴹ⁾ Percentage of men who have sex with men that have received an HIV test during the reporting period and know their results</v>
      </c>
    </row>
    <row r="694" spans="1:23" s="89" customFormat="1" ht="40.35" customHeight="1">
      <c r="A694" s="564"/>
      <c r="B694" s="799"/>
      <c r="C694" s="800"/>
      <c r="D694" s="801"/>
      <c r="E694" s="801"/>
      <c r="F694" s="128"/>
      <c r="G694" s="802"/>
      <c r="H694" s="781"/>
      <c r="I694" s="803"/>
      <c r="J694" s="779"/>
      <c r="K694" s="800"/>
      <c r="L694" s="800"/>
      <c r="M694" s="779"/>
      <c r="N694" s="779"/>
    </row>
    <row r="695" spans="1:23" s="89" customFormat="1" ht="40.35" customHeight="1">
      <c r="A695" s="564" t="str">
        <f ca="1">INDIRECT("'update Helper'!C"&amp;U695)</f>
        <v>a163p000004VjlIAAS</v>
      </c>
      <c r="B695" s="794">
        <v>2</v>
      </c>
      <c r="C695" s="795" t="str">
        <f ca="1">VLOOKUP(B695,'Coverage Indicators - Section D'!$A$9:$AU$70,47,FALSE)</f>
        <v>HTS-3a⁽ᴹ⁾ Porcentaje de HSH a los que se les ha realizado una prueba de VIH durante el período de reporte y que conocen sus resultados</v>
      </c>
      <c r="D695" s="796" t="str">
        <f ca="1">R695</f>
        <v/>
      </c>
      <c r="E695" s="796" t="str">
        <f ca="1">S695</f>
        <v/>
      </c>
      <c r="F695" s="127"/>
      <c r="G695" s="797" t="str">
        <f ca="1">IF(OR(INDIRECT("'update Helper'!E"&amp;U695)="",F695&lt;&gt;0,F696&lt;&gt;0),IF(IFERROR((F695/F696),"")="","",(F695/F696)),INDIRECT("'update Helper'!E"&amp;U695)/100)</f>
        <v/>
      </c>
      <c r="H695" s="784"/>
      <c r="I695" s="798"/>
      <c r="J695" s="777"/>
      <c r="K695" s="795" t="str">
        <f ca="1">W695</f>
        <v>HTS-3a⁽ᴹ⁾ Percentage of men who have sex with men that have received an HIV test during the reporting period and know their results</v>
      </c>
      <c r="L695" s="795" t="str">
        <f ca="1">V695</f>
        <v/>
      </c>
      <c r="M695" s="777"/>
      <c r="N695" s="777"/>
      <c r="P695" s="89">
        <f ca="1">IF(AND(EXACT(C695,C693),C693&lt;&gt;0),P693+1,0)</f>
        <v>17</v>
      </c>
      <c r="Q695" s="89" t="str">
        <f ca="1">IF(C695&lt;&gt;"",C695&amp;"-"&amp;P695,"")</f>
        <v>HTS-3a⁽ᴹ⁾ Porcentaje de HSH a los que se les ha realizado una prueba de VIH durante el período de reporte y que conocen sus resultados-17</v>
      </c>
      <c r="R695" s="89" t="str">
        <f t="array" aca="1" ref="R695" ca="1">IFERROR(IF(INDEX('Disaggregation Records'!$E$155:$E$385,MATCH(RIGHT(Q695,255),RIGHT('Disaggregation Records'!$D$155:$D$385,255),0))="","",INDEX('Disaggregation Records'!$E$155:$E$385,MATCH(RIGHT(Q695,255),RIGHT('Disaggregation Records'!$D$155:$D$385,255),0))),"")</f>
        <v/>
      </c>
      <c r="S695" s="89" t="str">
        <f t="array" aca="1" ref="S695" ca="1">IFERROR(IF(INDEX('Disaggregation Records'!$F$155:$F$385,MATCH(RIGHT(Q695,255),RIGHT('Disaggregation Records'!$D$155:$D$385,255),0))="","",INDEX('Disaggregation Records'!$F$155:$F$385,MATCH(RIGHT(Q695,255),RIGHT('Disaggregation Records'!$D$155:$D$385,255),0))),"")</f>
        <v/>
      </c>
      <c r="T695" s="89" t="str">
        <f t="array" aca="1" ref="T695" ca="1">IFERROR(IF(INDEX('Disaggregation Records'!$H$155:$H$385,MATCH(RIGHT(Q695,255),RIGHT('Disaggregation Records'!$D$155:$D$385,255),0))="","",INDEX('Disaggregation Records'!$H$155:$H$385,MATCH(RIGHT(Q695,255),RIGHT('Disaggregation Records'!$D$155:$D$385,255),0))),"")</f>
        <v/>
      </c>
      <c r="U695" s="89">
        <f>U693+1</f>
        <v>1457</v>
      </c>
      <c r="V695" s="89" t="str">
        <f t="array" aca="1" ref="V695" ca="1">IFERROR(IF(INDEX('Disaggregation Records'!$I$155:$I$385,MATCH(RIGHT(Q695,255),RIGHT('Disaggregation Records'!$D$155:$D$385,255),0))="","",INDEX('Disaggregation Records'!$I$155:$I$385,MATCH(RIGHT(Q695,255),RIGHT('Disaggregation Records'!$D$155:$D$385,255),0))),"")</f>
        <v/>
      </c>
      <c r="W695" s="89" t="str">
        <f ca="1">IFERROR(INDEX('Reference Records'!L$77:L$157,MATCH(LEFT(C695,255),'Reference Records'!E$77:E$157,0)),"")</f>
        <v>HTS-3a⁽ᴹ⁾ Percentage of men who have sex with men that have received an HIV test during the reporting period and know their results</v>
      </c>
    </row>
    <row r="696" spans="1:23" s="89" customFormat="1" ht="40.35" customHeight="1">
      <c r="A696" s="564"/>
      <c r="B696" s="799"/>
      <c r="C696" s="800"/>
      <c r="D696" s="801"/>
      <c r="E696" s="801"/>
      <c r="F696" s="128"/>
      <c r="G696" s="802"/>
      <c r="H696" s="781"/>
      <c r="I696" s="803"/>
      <c r="J696" s="779"/>
      <c r="K696" s="800"/>
      <c r="L696" s="800"/>
      <c r="M696" s="779"/>
      <c r="N696" s="779"/>
    </row>
    <row r="697" spans="1:23" s="89" customFormat="1" ht="40.35" customHeight="1">
      <c r="A697" s="564" t="str">
        <f ca="1">INDIRECT("'update Helper'!C"&amp;U697)</f>
        <v>a163p000004VjlJAAS</v>
      </c>
      <c r="B697" s="794">
        <v>2</v>
      </c>
      <c r="C697" s="795" t="str">
        <f ca="1">VLOOKUP(B697,'Coverage Indicators - Section D'!$A$9:$AU$70,47,FALSE)</f>
        <v>HTS-3a⁽ᴹ⁾ Porcentaje de HSH a los que se les ha realizado una prueba de VIH durante el período de reporte y que conocen sus resultados</v>
      </c>
      <c r="D697" s="796" t="str">
        <f ca="1">R697</f>
        <v/>
      </c>
      <c r="E697" s="796" t="str">
        <f ca="1">S697</f>
        <v/>
      </c>
      <c r="F697" s="127"/>
      <c r="G697" s="797" t="str">
        <f ca="1">IF(OR(INDIRECT("'update Helper'!E"&amp;U697)="",F697&lt;&gt;0,F698&lt;&gt;0),IF(IFERROR((F697/F698),"")="","",(F697/F698)),INDIRECT("'update Helper'!E"&amp;U697)/100)</f>
        <v/>
      </c>
      <c r="H697" s="784"/>
      <c r="I697" s="798"/>
      <c r="J697" s="777"/>
      <c r="K697" s="795" t="str">
        <f ca="1">W697</f>
        <v>HTS-3a⁽ᴹ⁾ Percentage of men who have sex with men that have received an HIV test during the reporting period and know their results</v>
      </c>
      <c r="L697" s="795" t="str">
        <f ca="1">V697</f>
        <v/>
      </c>
      <c r="M697" s="777"/>
      <c r="N697" s="777"/>
      <c r="P697" s="89">
        <f ca="1">IF(AND(EXACT(C697,C695),C695&lt;&gt;0),P695+1,0)</f>
        <v>18</v>
      </c>
      <c r="Q697" s="89" t="str">
        <f ca="1">IF(C697&lt;&gt;"",C697&amp;"-"&amp;P697,"")</f>
        <v>HTS-3a⁽ᴹ⁾ Porcentaje de HSH a los que se les ha realizado una prueba de VIH durante el período de reporte y que conocen sus resultados-18</v>
      </c>
      <c r="R697" s="89" t="str">
        <f t="array" aca="1" ref="R697" ca="1">IFERROR(IF(INDEX('Disaggregation Records'!$E$155:$E$385,MATCH(RIGHT(Q697,255),RIGHT('Disaggregation Records'!$D$155:$D$385,255),0))="","",INDEX('Disaggregation Records'!$E$155:$E$385,MATCH(RIGHT(Q697,255),RIGHT('Disaggregation Records'!$D$155:$D$385,255),0))),"")</f>
        <v/>
      </c>
      <c r="S697" s="89" t="str">
        <f t="array" aca="1" ref="S697" ca="1">IFERROR(IF(INDEX('Disaggregation Records'!$F$155:$F$385,MATCH(RIGHT(Q697,255),RIGHT('Disaggregation Records'!$D$155:$D$385,255),0))="","",INDEX('Disaggregation Records'!$F$155:$F$385,MATCH(RIGHT(Q697,255),RIGHT('Disaggregation Records'!$D$155:$D$385,255),0))),"")</f>
        <v/>
      </c>
      <c r="T697" s="89" t="str">
        <f t="array" aca="1" ref="T697" ca="1">IFERROR(IF(INDEX('Disaggregation Records'!$H$155:$H$385,MATCH(RIGHT(Q697,255),RIGHT('Disaggregation Records'!$D$155:$D$385,255),0))="","",INDEX('Disaggregation Records'!$H$155:$H$385,MATCH(RIGHT(Q697,255),RIGHT('Disaggregation Records'!$D$155:$D$385,255),0))),"")</f>
        <v/>
      </c>
      <c r="U697" s="89">
        <f>U695+1</f>
        <v>1458</v>
      </c>
      <c r="V697" s="89" t="str">
        <f t="array" aca="1" ref="V697" ca="1">IFERROR(IF(INDEX('Disaggregation Records'!$I$155:$I$385,MATCH(RIGHT(Q697,255),RIGHT('Disaggregation Records'!$D$155:$D$385,255),0))="","",INDEX('Disaggregation Records'!$I$155:$I$385,MATCH(RIGHT(Q697,255),RIGHT('Disaggregation Records'!$D$155:$D$385,255),0))),"")</f>
        <v/>
      </c>
      <c r="W697" s="89" t="str">
        <f ca="1">IFERROR(INDEX('Reference Records'!L$77:L$157,MATCH(LEFT(C697,255),'Reference Records'!E$77:E$157,0)),"")</f>
        <v>HTS-3a⁽ᴹ⁾ Percentage of men who have sex with men that have received an HIV test during the reporting period and know their results</v>
      </c>
    </row>
    <row r="698" spans="1:23" s="89" customFormat="1" ht="40.35" customHeight="1">
      <c r="A698" s="564"/>
      <c r="B698" s="799"/>
      <c r="C698" s="800"/>
      <c r="D698" s="801"/>
      <c r="E698" s="801"/>
      <c r="F698" s="128"/>
      <c r="G698" s="802"/>
      <c r="H698" s="781"/>
      <c r="I698" s="803"/>
      <c r="J698" s="779"/>
      <c r="K698" s="800"/>
      <c r="L698" s="800"/>
      <c r="M698" s="779"/>
      <c r="N698" s="779"/>
    </row>
    <row r="699" spans="1:23" s="89" customFormat="1" ht="40.35" customHeight="1">
      <c r="A699" s="564" t="str">
        <f ca="1">INDIRECT("'update Helper'!C"&amp;U699)</f>
        <v>a163p000004VjlKAAS</v>
      </c>
      <c r="B699" s="794">
        <v>2</v>
      </c>
      <c r="C699" s="795" t="str">
        <f ca="1">VLOOKUP(B699,'Coverage Indicators - Section D'!$A$9:$AU$70,47,FALSE)</f>
        <v>HTS-3a⁽ᴹ⁾ Porcentaje de HSH a los que se les ha realizado una prueba de VIH durante el período de reporte y que conocen sus resultados</v>
      </c>
      <c r="D699" s="796" t="str">
        <f ca="1">R699</f>
        <v/>
      </c>
      <c r="E699" s="796" t="str">
        <f ca="1">S699</f>
        <v/>
      </c>
      <c r="F699" s="127"/>
      <c r="G699" s="797" t="str">
        <f ca="1">IF(OR(INDIRECT("'update Helper'!E"&amp;U699)="",F699&lt;&gt;0,F700&lt;&gt;0),IF(IFERROR((F699/F700),"")="","",(F699/F700)),INDIRECT("'update Helper'!E"&amp;U699)/100)</f>
        <v/>
      </c>
      <c r="H699" s="784"/>
      <c r="I699" s="798"/>
      <c r="J699" s="777"/>
      <c r="K699" s="795" t="str">
        <f ca="1">W699</f>
        <v>HTS-3a⁽ᴹ⁾ Percentage of men who have sex with men that have received an HIV test during the reporting period and know their results</v>
      </c>
      <c r="L699" s="795" t="str">
        <f ca="1">V699</f>
        <v/>
      </c>
      <c r="M699" s="777"/>
      <c r="N699" s="777"/>
      <c r="P699" s="89">
        <f ca="1">IF(AND(EXACT(C699,C697),C697&lt;&gt;0),P697+1,0)</f>
        <v>19</v>
      </c>
      <c r="Q699" s="89" t="str">
        <f ca="1">IF(C699&lt;&gt;"",C699&amp;"-"&amp;P699,"")</f>
        <v>HTS-3a⁽ᴹ⁾ Porcentaje de HSH a los que se les ha realizado una prueba de VIH durante el período de reporte y que conocen sus resultados-19</v>
      </c>
      <c r="R699" s="89" t="str">
        <f t="array" aca="1" ref="R699" ca="1">IFERROR(IF(INDEX('Disaggregation Records'!$E$155:$E$385,MATCH(RIGHT(Q699,255),RIGHT('Disaggregation Records'!$D$155:$D$385,255),0))="","",INDEX('Disaggregation Records'!$E$155:$E$385,MATCH(RIGHT(Q699,255),RIGHT('Disaggregation Records'!$D$155:$D$385,255),0))),"")</f>
        <v/>
      </c>
      <c r="S699" s="89" t="str">
        <f t="array" aca="1" ref="S699" ca="1">IFERROR(IF(INDEX('Disaggregation Records'!$F$155:$F$385,MATCH(RIGHT(Q699,255),RIGHT('Disaggregation Records'!$D$155:$D$385,255),0))="","",INDEX('Disaggregation Records'!$F$155:$F$385,MATCH(RIGHT(Q699,255),RIGHT('Disaggregation Records'!$D$155:$D$385,255),0))),"")</f>
        <v/>
      </c>
      <c r="T699" s="89" t="str">
        <f t="array" aca="1" ref="T699" ca="1">IFERROR(IF(INDEX('Disaggregation Records'!$H$155:$H$385,MATCH(RIGHT(Q699,255),RIGHT('Disaggregation Records'!$D$155:$D$385,255),0))="","",INDEX('Disaggregation Records'!$H$155:$H$385,MATCH(RIGHT(Q699,255),RIGHT('Disaggregation Records'!$D$155:$D$385,255),0))),"")</f>
        <v/>
      </c>
      <c r="U699" s="89">
        <f>U697+1</f>
        <v>1459</v>
      </c>
      <c r="V699" s="89" t="str">
        <f t="array" aca="1" ref="V699" ca="1">IFERROR(IF(INDEX('Disaggregation Records'!$I$155:$I$385,MATCH(RIGHT(Q699,255),RIGHT('Disaggregation Records'!$D$155:$D$385,255),0))="","",INDEX('Disaggregation Records'!$I$155:$I$385,MATCH(RIGHT(Q699,255),RIGHT('Disaggregation Records'!$D$155:$D$385,255),0))),"")</f>
        <v/>
      </c>
      <c r="W699" s="89" t="str">
        <f ca="1">IFERROR(INDEX('Reference Records'!L$77:L$157,MATCH(LEFT(C699,255),'Reference Records'!E$77:E$157,0)),"")</f>
        <v>HTS-3a⁽ᴹ⁾ Percentage of men who have sex with men that have received an HIV test during the reporting period and know their results</v>
      </c>
    </row>
    <row r="700" spans="1:23" s="89" customFormat="1" ht="40.35" customHeight="1">
      <c r="A700" s="564"/>
      <c r="B700" s="799"/>
      <c r="C700" s="800"/>
      <c r="D700" s="801"/>
      <c r="E700" s="801"/>
      <c r="F700" s="128"/>
      <c r="G700" s="802"/>
      <c r="H700" s="781"/>
      <c r="I700" s="803"/>
      <c r="J700" s="779"/>
      <c r="K700" s="800"/>
      <c r="L700" s="800"/>
      <c r="M700" s="779"/>
      <c r="N700" s="779"/>
    </row>
    <row r="701" spans="1:23" s="89" customFormat="1" ht="40.35" customHeight="1">
      <c r="A701" s="564" t="str">
        <f ca="1">INDIRECT("'update Helper'!C"&amp;U701)</f>
        <v>a163p000004VjlLAAS</v>
      </c>
      <c r="B701" s="794">
        <v>3</v>
      </c>
      <c r="C701" s="795" t="str">
        <f ca="1">VLOOKUP(B701,'Coverage Indicators - Section D'!$A$9:$AU$70,47,FALSE)</f>
        <v>KP-1b⁽ᴹ⁾ Porcentaje de personas transgénero alcanzados por programas de prevención del VIH - paquete definido de servicios</v>
      </c>
      <c r="D701" s="796" t="str">
        <f ca="1">R701</f>
        <v>Edad</v>
      </c>
      <c r="E701" s="796" t="str">
        <f ca="1">S701</f>
        <v>25+</v>
      </c>
      <c r="F701" s="418">
        <v>895</v>
      </c>
      <c r="G701" s="806">
        <f ca="1">IF(OR(INDIRECT("'update Helper'!E"&amp;U701)="",F701&lt;&gt;0,F702&lt;&gt;0),IF(IFERROR((F701/F702),"")="","",(F701/F702)),INDIRECT("'update Helper'!E"&amp;U701)/100)</f>
        <v>0.72235673930589184</v>
      </c>
      <c r="H701" s="804">
        <v>2021</v>
      </c>
      <c r="I701" s="798" t="s">
        <v>5497</v>
      </c>
      <c r="J701" s="777" t="s">
        <v>5505</v>
      </c>
      <c r="K701" s="795" t="str">
        <f ca="1">W701</f>
        <v>KP-1b⁽ᴹ⁾ Percentage of transgender people reached with HIV prevention programs - defined package of services</v>
      </c>
      <c r="L701" s="795" t="str">
        <f ca="1">V701</f>
        <v>Age</v>
      </c>
      <c r="M701" s="777"/>
      <c r="N701" s="777"/>
      <c r="P701" s="89">
        <f ca="1">IF(AND(EXACT(C701,C699),C699&lt;&gt;0),P699+1,0)</f>
        <v>0</v>
      </c>
      <c r="Q701" s="89" t="str">
        <f ca="1">IF(C701&lt;&gt;"",C701&amp;"-"&amp;P701,"")</f>
        <v>KP-1b⁽ᴹ⁾ Porcentaje de personas transgénero alcanzados por programas de prevención del VIH - paquete definido de servicios-0</v>
      </c>
      <c r="R701" s="89" t="str">
        <f t="array" aca="1" ref="R701" ca="1">IFERROR(IF(INDEX('Disaggregation Records'!$E$155:$E$385,MATCH(RIGHT(Q701,255),RIGHT('Disaggregation Records'!$D$155:$D$385,255),0))="","",INDEX('Disaggregation Records'!$E$155:$E$385,MATCH(RIGHT(Q701,255),RIGHT('Disaggregation Records'!$D$155:$D$385,255),0))),"")</f>
        <v>Edad</v>
      </c>
      <c r="S701" s="89" t="str">
        <f t="array" aca="1" ref="S701" ca="1">IFERROR(IF(INDEX('Disaggregation Records'!$F$155:$F$385,MATCH(RIGHT(Q701,255),RIGHT('Disaggregation Records'!$D$155:$D$385,255),0))="","",INDEX('Disaggregation Records'!$F$155:$F$385,MATCH(RIGHT(Q701,255),RIGHT('Disaggregation Records'!$D$155:$D$385,255),0))),"")</f>
        <v>25+</v>
      </c>
      <c r="T701" s="89" t="str">
        <f t="array" aca="1" ref="T701" ca="1">IFERROR(IF(INDEX('Disaggregation Records'!$H$155:$H$385,MATCH(RIGHT(Q701,255),RIGHT('Disaggregation Records'!$D$155:$D$385,255),0))="","",INDEX('Disaggregation Records'!$H$155:$H$385,MATCH(RIGHT(Q701,255),RIGHT('Disaggregation Records'!$D$155:$D$385,255),0))),"")</f>
        <v>IDR-00702</v>
      </c>
      <c r="U701" s="89">
        <f>U699+1</f>
        <v>1460</v>
      </c>
      <c r="V701" s="89" t="str">
        <f t="array" aca="1" ref="V701" ca="1">IFERROR(IF(INDEX('Disaggregation Records'!$I$155:$I$385,MATCH(RIGHT(Q701,255),RIGHT('Disaggregation Records'!$D$155:$D$385,255),0))="","",INDEX('Disaggregation Records'!$I$155:$I$385,MATCH(RIGHT(Q701,255),RIGHT('Disaggregation Records'!$D$155:$D$385,255),0))),"")</f>
        <v>Age</v>
      </c>
      <c r="W701" s="89" t="str">
        <f ca="1">IFERROR(INDEX('Reference Records'!L$77:L$157,MATCH(LEFT(C701,255),'Reference Records'!E$77:E$157,0)),"")</f>
        <v>KP-1b⁽ᴹ⁾ Percentage of transgender people reached with HIV prevention programs - defined package of services</v>
      </c>
    </row>
    <row r="702" spans="1:23" s="89" customFormat="1" ht="40.35" customHeight="1">
      <c r="A702" s="564"/>
      <c r="B702" s="799"/>
      <c r="C702" s="800"/>
      <c r="D702" s="801"/>
      <c r="E702" s="801"/>
      <c r="F702" s="425">
        <v>1239</v>
      </c>
      <c r="G702" s="807"/>
      <c r="H702" s="805"/>
      <c r="I702" s="803"/>
      <c r="J702" s="779"/>
      <c r="K702" s="800"/>
      <c r="L702" s="800"/>
      <c r="M702" s="779"/>
      <c r="N702" s="779"/>
    </row>
    <row r="703" spans="1:23" s="89" customFormat="1" ht="40.35" customHeight="1">
      <c r="A703" s="564" t="str">
        <f ca="1">INDIRECT("'update Helper'!C"&amp;U703)</f>
        <v>a163p000004VjlMAAS</v>
      </c>
      <c r="B703" s="794">
        <v>3</v>
      </c>
      <c r="C703" s="795" t="str">
        <f ca="1">VLOOKUP(B703,'Coverage Indicators - Section D'!$A$9:$AU$70,47,FALSE)</f>
        <v>KP-1b⁽ᴹ⁾ Porcentaje de personas transgénero alcanzados por programas de prevención del VIH - paquete definido de servicios</v>
      </c>
      <c r="D703" s="796" t="str">
        <f ca="1">R703</f>
        <v>Edad</v>
      </c>
      <c r="E703" s="796" t="str">
        <f ca="1">S703</f>
        <v>&lt;25</v>
      </c>
      <c r="F703" s="418">
        <v>419</v>
      </c>
      <c r="G703" s="806">
        <f ca="1">IF(OR(INDIRECT("'update Helper'!E"&amp;U703)="",F703&lt;&gt;0,F704&lt;&gt;0),IF(IFERROR((F703/F704),"")="","",(F703/F704)),INDIRECT("'update Helper'!E"&amp;U703)/100)</f>
        <v>0.89914163090128751</v>
      </c>
      <c r="H703" s="804">
        <v>2021</v>
      </c>
      <c r="I703" s="798" t="s">
        <v>5497</v>
      </c>
      <c r="J703" s="777" t="s">
        <v>5505</v>
      </c>
      <c r="K703" s="795" t="str">
        <f ca="1">W703</f>
        <v>KP-1b⁽ᴹ⁾ Percentage of transgender people reached with HIV prevention programs - defined package of services</v>
      </c>
      <c r="L703" s="795" t="str">
        <f ca="1">V703</f>
        <v>Age</v>
      </c>
      <c r="M703" s="777"/>
      <c r="N703" s="777"/>
      <c r="P703" s="89">
        <f ca="1">IF(AND(EXACT(C703,C701),C701&lt;&gt;0),P701+1,0)</f>
        <v>1</v>
      </c>
      <c r="Q703" s="89" t="str">
        <f ca="1">IF(C703&lt;&gt;"",C703&amp;"-"&amp;P703,"")</f>
        <v>KP-1b⁽ᴹ⁾ Porcentaje de personas transgénero alcanzados por programas de prevención del VIH - paquete definido de servicios-1</v>
      </c>
      <c r="R703" s="89" t="str">
        <f t="array" aca="1" ref="R703" ca="1">IFERROR(IF(INDEX('Disaggregation Records'!$E$155:$E$385,MATCH(RIGHT(Q703,255),RIGHT('Disaggregation Records'!$D$155:$D$385,255),0))="","",INDEX('Disaggregation Records'!$E$155:$E$385,MATCH(RIGHT(Q703,255),RIGHT('Disaggregation Records'!$D$155:$D$385,255),0))),"")</f>
        <v>Edad</v>
      </c>
      <c r="S703" s="89" t="str">
        <f t="array" aca="1" ref="S703" ca="1">IFERROR(IF(INDEX('Disaggregation Records'!$F$155:$F$385,MATCH(RIGHT(Q703,255),RIGHT('Disaggregation Records'!$D$155:$D$385,255),0))="","",INDEX('Disaggregation Records'!$F$155:$F$385,MATCH(RIGHT(Q703,255),RIGHT('Disaggregation Records'!$D$155:$D$385,255),0))),"")</f>
        <v>&lt;25</v>
      </c>
      <c r="T703" s="89" t="str">
        <f t="array" aca="1" ref="T703" ca="1">IFERROR(IF(INDEX('Disaggregation Records'!$H$155:$H$385,MATCH(RIGHT(Q703,255),RIGHT('Disaggregation Records'!$D$155:$D$385,255),0))="","",INDEX('Disaggregation Records'!$H$155:$H$385,MATCH(RIGHT(Q703,255),RIGHT('Disaggregation Records'!$D$155:$D$385,255),0))),"")</f>
        <v>IDR-00701</v>
      </c>
      <c r="U703" s="89">
        <f>U701+1</f>
        <v>1461</v>
      </c>
      <c r="V703" s="89" t="str">
        <f t="array" aca="1" ref="V703" ca="1">IFERROR(IF(INDEX('Disaggregation Records'!$I$155:$I$385,MATCH(RIGHT(Q703,255),RIGHT('Disaggregation Records'!$D$155:$D$385,255),0))="","",INDEX('Disaggregation Records'!$I$155:$I$385,MATCH(RIGHT(Q703,255),RIGHT('Disaggregation Records'!$D$155:$D$385,255),0))),"")</f>
        <v>Age</v>
      </c>
      <c r="W703" s="89" t="str">
        <f ca="1">IFERROR(INDEX('Reference Records'!L$77:L$157,MATCH(LEFT(C703,255),'Reference Records'!E$77:E$157,0)),"")</f>
        <v>KP-1b⁽ᴹ⁾ Percentage of transgender people reached with HIV prevention programs - defined package of services</v>
      </c>
    </row>
    <row r="704" spans="1:23" s="89" customFormat="1" ht="40.35" customHeight="1">
      <c r="A704" s="564"/>
      <c r="B704" s="799"/>
      <c r="C704" s="800"/>
      <c r="D704" s="801"/>
      <c r="E704" s="801"/>
      <c r="F704" s="425">
        <v>466</v>
      </c>
      <c r="G704" s="807"/>
      <c r="H704" s="805"/>
      <c r="I704" s="803"/>
      <c r="J704" s="779"/>
      <c r="K704" s="800"/>
      <c r="L704" s="800"/>
      <c r="M704" s="779"/>
      <c r="N704" s="779"/>
    </row>
    <row r="705" spans="1:23" s="89" customFormat="1" ht="40.35" customHeight="1">
      <c r="A705" s="564" t="str">
        <f ca="1">INDIRECT("'update Helper'!C"&amp;U705)</f>
        <v>a163p000004VjlNAAS</v>
      </c>
      <c r="B705" s="794">
        <v>3</v>
      </c>
      <c r="C705" s="795" t="str">
        <f ca="1">VLOOKUP(B705,'Coverage Indicators - Section D'!$A$9:$AU$70,47,FALSE)</f>
        <v>KP-1b⁽ᴹ⁾ Porcentaje de personas transgénero alcanzados por programas de prevención del VIH - paquete definido de servicios</v>
      </c>
      <c r="D705" s="796" t="str">
        <f ca="1">R705</f>
        <v/>
      </c>
      <c r="E705" s="796" t="str">
        <f ca="1">S705</f>
        <v/>
      </c>
      <c r="F705" s="127"/>
      <c r="G705" s="797" t="str">
        <f ca="1">IF(OR(INDIRECT("'update Helper'!E"&amp;U705)="",F705&lt;&gt;0,F706&lt;&gt;0),IF(IFERROR((F705/F706),"")="","",(F705/F706)),INDIRECT("'update Helper'!E"&amp;U705)/100)</f>
        <v/>
      </c>
      <c r="H705" s="784"/>
      <c r="I705" s="798"/>
      <c r="J705" s="777"/>
      <c r="K705" s="795" t="str">
        <f ca="1">W705</f>
        <v>KP-1b⁽ᴹ⁾ Percentage of transgender people reached with HIV prevention programs - defined package of services</v>
      </c>
      <c r="L705" s="795" t="str">
        <f ca="1">V705</f>
        <v/>
      </c>
      <c r="M705" s="777"/>
      <c r="N705" s="777"/>
      <c r="P705" s="89">
        <f ca="1">IF(AND(EXACT(C705,C703),C703&lt;&gt;0),P703+1,0)</f>
        <v>2</v>
      </c>
      <c r="Q705" s="89" t="str">
        <f ca="1">IF(C705&lt;&gt;"",C705&amp;"-"&amp;P705,"")</f>
        <v>KP-1b⁽ᴹ⁾ Porcentaje de personas transgénero alcanzados por programas de prevención del VIH - paquete definido de servicios-2</v>
      </c>
      <c r="R705" s="89" t="str">
        <f t="array" aca="1" ref="R705" ca="1">IFERROR(IF(INDEX('Disaggregation Records'!$E$155:$E$385,MATCH(RIGHT(Q705,255),RIGHT('Disaggregation Records'!$D$155:$D$385,255),0))="","",INDEX('Disaggregation Records'!$E$155:$E$385,MATCH(RIGHT(Q705,255),RIGHT('Disaggregation Records'!$D$155:$D$385,255),0))),"")</f>
        <v/>
      </c>
      <c r="S705" s="89" t="str">
        <f t="array" aca="1" ref="S705" ca="1">IFERROR(IF(INDEX('Disaggregation Records'!$F$155:$F$385,MATCH(RIGHT(Q705,255),RIGHT('Disaggregation Records'!$D$155:$D$385,255),0))="","",INDEX('Disaggregation Records'!$F$155:$F$385,MATCH(RIGHT(Q705,255),RIGHT('Disaggregation Records'!$D$155:$D$385,255),0))),"")</f>
        <v/>
      </c>
      <c r="T705" s="89" t="str">
        <f t="array" aca="1" ref="T705" ca="1">IFERROR(IF(INDEX('Disaggregation Records'!$H$155:$H$385,MATCH(RIGHT(Q705,255),RIGHT('Disaggregation Records'!$D$155:$D$385,255),0))="","",INDEX('Disaggregation Records'!$H$155:$H$385,MATCH(RIGHT(Q705,255),RIGHT('Disaggregation Records'!$D$155:$D$385,255),0))),"")</f>
        <v/>
      </c>
      <c r="U705" s="89">
        <f>U703+1</f>
        <v>1462</v>
      </c>
      <c r="V705" s="89" t="str">
        <f t="array" aca="1" ref="V705" ca="1">IFERROR(IF(INDEX('Disaggregation Records'!$I$155:$I$385,MATCH(RIGHT(Q705,255),RIGHT('Disaggregation Records'!$D$155:$D$385,255),0))="","",INDEX('Disaggregation Records'!$I$155:$I$385,MATCH(RIGHT(Q705,255),RIGHT('Disaggregation Records'!$D$155:$D$385,255),0))),"")</f>
        <v/>
      </c>
      <c r="W705" s="89" t="str">
        <f ca="1">IFERROR(INDEX('Reference Records'!L$77:L$157,MATCH(LEFT(C705,255),'Reference Records'!E$77:E$157,0)),"")</f>
        <v>KP-1b⁽ᴹ⁾ Percentage of transgender people reached with HIV prevention programs - defined package of services</v>
      </c>
    </row>
    <row r="706" spans="1:23" s="89" customFormat="1" ht="40.35" customHeight="1">
      <c r="A706" s="564"/>
      <c r="B706" s="799"/>
      <c r="C706" s="800"/>
      <c r="D706" s="801"/>
      <c r="E706" s="801"/>
      <c r="F706" s="128"/>
      <c r="G706" s="802"/>
      <c r="H706" s="781"/>
      <c r="I706" s="803"/>
      <c r="J706" s="779"/>
      <c r="K706" s="800"/>
      <c r="L706" s="800"/>
      <c r="M706" s="779"/>
      <c r="N706" s="779"/>
    </row>
    <row r="707" spans="1:23" s="89" customFormat="1" ht="40.35" customHeight="1">
      <c r="A707" s="564" t="str">
        <f ca="1">INDIRECT("'update Helper'!C"&amp;U707)</f>
        <v>a163p000004VjlOAAS</v>
      </c>
      <c r="B707" s="794">
        <v>3</v>
      </c>
      <c r="C707" s="795" t="str">
        <f ca="1">VLOOKUP(B707,'Coverage Indicators - Section D'!$A$9:$AU$70,47,FALSE)</f>
        <v>KP-1b⁽ᴹ⁾ Porcentaje de personas transgénero alcanzados por programas de prevención del VIH - paquete definido de servicios</v>
      </c>
      <c r="D707" s="796" t="str">
        <f ca="1">R707</f>
        <v/>
      </c>
      <c r="E707" s="796" t="str">
        <f ca="1">S707</f>
        <v/>
      </c>
      <c r="F707" s="127"/>
      <c r="G707" s="797" t="str">
        <f ca="1">IF(OR(INDIRECT("'update Helper'!E"&amp;U707)="",F707&lt;&gt;0,F708&lt;&gt;0),IF(IFERROR((F707/F708),"")="","",(F707/F708)),INDIRECT("'update Helper'!E"&amp;U707)/100)</f>
        <v/>
      </c>
      <c r="H707" s="784"/>
      <c r="I707" s="798"/>
      <c r="J707" s="777"/>
      <c r="K707" s="795" t="str">
        <f ca="1">W707</f>
        <v>KP-1b⁽ᴹ⁾ Percentage of transgender people reached with HIV prevention programs - defined package of services</v>
      </c>
      <c r="L707" s="795" t="str">
        <f ca="1">V707</f>
        <v/>
      </c>
      <c r="M707" s="777"/>
      <c r="N707" s="777"/>
      <c r="P707" s="89">
        <f ca="1">IF(AND(EXACT(C707,C705),C705&lt;&gt;0),P705+1,0)</f>
        <v>3</v>
      </c>
      <c r="Q707" s="89" t="str">
        <f ca="1">IF(C707&lt;&gt;"",C707&amp;"-"&amp;P707,"")</f>
        <v>KP-1b⁽ᴹ⁾ Porcentaje de personas transgénero alcanzados por programas de prevención del VIH - paquete definido de servicios-3</v>
      </c>
      <c r="R707" s="89" t="str">
        <f t="array" aca="1" ref="R707" ca="1">IFERROR(IF(INDEX('Disaggregation Records'!$E$155:$E$385,MATCH(RIGHT(Q707,255),RIGHT('Disaggregation Records'!$D$155:$D$385,255),0))="","",INDEX('Disaggregation Records'!$E$155:$E$385,MATCH(RIGHT(Q707,255),RIGHT('Disaggregation Records'!$D$155:$D$385,255),0))),"")</f>
        <v/>
      </c>
      <c r="S707" s="89" t="str">
        <f t="array" aca="1" ref="S707" ca="1">IFERROR(IF(INDEX('Disaggregation Records'!$F$155:$F$385,MATCH(RIGHT(Q707,255),RIGHT('Disaggregation Records'!$D$155:$D$385,255),0))="","",INDEX('Disaggregation Records'!$F$155:$F$385,MATCH(RIGHT(Q707,255),RIGHT('Disaggregation Records'!$D$155:$D$385,255),0))),"")</f>
        <v/>
      </c>
      <c r="T707" s="89" t="str">
        <f t="array" aca="1" ref="T707" ca="1">IFERROR(IF(INDEX('Disaggregation Records'!$H$155:$H$385,MATCH(RIGHT(Q707,255),RIGHT('Disaggregation Records'!$D$155:$D$385,255),0))="","",INDEX('Disaggregation Records'!$H$155:$H$385,MATCH(RIGHT(Q707,255),RIGHT('Disaggregation Records'!$D$155:$D$385,255),0))),"")</f>
        <v/>
      </c>
      <c r="U707" s="89">
        <f>U705+1</f>
        <v>1463</v>
      </c>
      <c r="V707" s="89" t="str">
        <f t="array" aca="1" ref="V707" ca="1">IFERROR(IF(INDEX('Disaggregation Records'!$I$155:$I$385,MATCH(RIGHT(Q707,255),RIGHT('Disaggregation Records'!$D$155:$D$385,255),0))="","",INDEX('Disaggregation Records'!$I$155:$I$385,MATCH(RIGHT(Q707,255),RIGHT('Disaggregation Records'!$D$155:$D$385,255),0))),"")</f>
        <v/>
      </c>
      <c r="W707" s="89" t="str">
        <f ca="1">IFERROR(INDEX('Reference Records'!L$77:L$157,MATCH(LEFT(C707,255),'Reference Records'!E$77:E$157,0)),"")</f>
        <v>KP-1b⁽ᴹ⁾ Percentage of transgender people reached with HIV prevention programs - defined package of services</v>
      </c>
    </row>
    <row r="708" spans="1:23" s="89" customFormat="1" ht="40.35" customHeight="1">
      <c r="A708" s="564"/>
      <c r="B708" s="799"/>
      <c r="C708" s="800"/>
      <c r="D708" s="801"/>
      <c r="E708" s="801"/>
      <c r="F708" s="128"/>
      <c r="G708" s="802"/>
      <c r="H708" s="781"/>
      <c r="I708" s="803"/>
      <c r="J708" s="779"/>
      <c r="K708" s="800"/>
      <c r="L708" s="800"/>
      <c r="M708" s="779"/>
      <c r="N708" s="779"/>
    </row>
    <row r="709" spans="1:23" s="89" customFormat="1" ht="40.35" customHeight="1">
      <c r="A709" s="564" t="str">
        <f ca="1">INDIRECT("'update Helper'!C"&amp;U709)</f>
        <v>a163p000004VjlPAAS</v>
      </c>
      <c r="B709" s="794">
        <v>3</v>
      </c>
      <c r="C709" s="795" t="str">
        <f ca="1">VLOOKUP(B709,'Coverage Indicators - Section D'!$A$9:$AU$70,47,FALSE)</f>
        <v>KP-1b⁽ᴹ⁾ Porcentaje de personas transgénero alcanzados por programas de prevención del VIH - paquete definido de servicios</v>
      </c>
      <c r="D709" s="796" t="str">
        <f ca="1">R709</f>
        <v/>
      </c>
      <c r="E709" s="796" t="str">
        <f ca="1">S709</f>
        <v/>
      </c>
      <c r="F709" s="127"/>
      <c r="G709" s="797" t="str">
        <f ca="1">IF(OR(INDIRECT("'update Helper'!E"&amp;U709)="",F709&lt;&gt;0,F710&lt;&gt;0),IF(IFERROR((F709/F710),"")="","",(F709/F710)),INDIRECT("'update Helper'!E"&amp;U709)/100)</f>
        <v/>
      </c>
      <c r="H709" s="784"/>
      <c r="I709" s="798"/>
      <c r="J709" s="777"/>
      <c r="K709" s="795" t="str">
        <f ca="1">W709</f>
        <v>KP-1b⁽ᴹ⁾ Percentage of transgender people reached with HIV prevention programs - defined package of services</v>
      </c>
      <c r="L709" s="795" t="str">
        <f ca="1">V709</f>
        <v/>
      </c>
      <c r="M709" s="777"/>
      <c r="N709" s="777"/>
      <c r="P709" s="89">
        <f ca="1">IF(AND(EXACT(C709,C707),C707&lt;&gt;0),P707+1,0)</f>
        <v>4</v>
      </c>
      <c r="Q709" s="89" t="str">
        <f ca="1">IF(C709&lt;&gt;"",C709&amp;"-"&amp;P709,"")</f>
        <v>KP-1b⁽ᴹ⁾ Porcentaje de personas transgénero alcanzados por programas de prevención del VIH - paquete definido de servicios-4</v>
      </c>
      <c r="R709" s="89" t="str">
        <f t="array" aca="1" ref="R709" ca="1">IFERROR(IF(INDEX('Disaggregation Records'!$E$155:$E$385,MATCH(RIGHT(Q709,255),RIGHT('Disaggregation Records'!$D$155:$D$385,255),0))="","",INDEX('Disaggregation Records'!$E$155:$E$385,MATCH(RIGHT(Q709,255),RIGHT('Disaggregation Records'!$D$155:$D$385,255),0))),"")</f>
        <v/>
      </c>
      <c r="S709" s="89" t="str">
        <f t="array" aca="1" ref="S709" ca="1">IFERROR(IF(INDEX('Disaggregation Records'!$F$155:$F$385,MATCH(RIGHT(Q709,255),RIGHT('Disaggregation Records'!$D$155:$D$385,255),0))="","",INDEX('Disaggregation Records'!$F$155:$F$385,MATCH(RIGHT(Q709,255),RIGHT('Disaggregation Records'!$D$155:$D$385,255),0))),"")</f>
        <v/>
      </c>
      <c r="T709" s="89" t="str">
        <f t="array" aca="1" ref="T709" ca="1">IFERROR(IF(INDEX('Disaggregation Records'!$H$155:$H$385,MATCH(RIGHT(Q709,255),RIGHT('Disaggregation Records'!$D$155:$D$385,255),0))="","",INDEX('Disaggregation Records'!$H$155:$H$385,MATCH(RIGHT(Q709,255),RIGHT('Disaggregation Records'!$D$155:$D$385,255),0))),"")</f>
        <v/>
      </c>
      <c r="U709" s="89">
        <f>U707+1</f>
        <v>1464</v>
      </c>
      <c r="V709" s="89" t="str">
        <f t="array" aca="1" ref="V709" ca="1">IFERROR(IF(INDEX('Disaggregation Records'!$I$155:$I$385,MATCH(RIGHT(Q709,255),RIGHT('Disaggregation Records'!$D$155:$D$385,255),0))="","",INDEX('Disaggregation Records'!$I$155:$I$385,MATCH(RIGHT(Q709,255),RIGHT('Disaggregation Records'!$D$155:$D$385,255),0))),"")</f>
        <v/>
      </c>
      <c r="W709" s="89" t="str">
        <f ca="1">IFERROR(INDEX('Reference Records'!L$77:L$157,MATCH(LEFT(C709,255),'Reference Records'!E$77:E$157,0)),"")</f>
        <v>KP-1b⁽ᴹ⁾ Percentage of transgender people reached with HIV prevention programs - defined package of services</v>
      </c>
    </row>
    <row r="710" spans="1:23" s="89" customFormat="1" ht="40.35" customHeight="1">
      <c r="A710" s="564"/>
      <c r="B710" s="799"/>
      <c r="C710" s="800"/>
      <c r="D710" s="801"/>
      <c r="E710" s="801"/>
      <c r="F710" s="128"/>
      <c r="G710" s="802"/>
      <c r="H710" s="781"/>
      <c r="I710" s="803"/>
      <c r="J710" s="779"/>
      <c r="K710" s="800"/>
      <c r="L710" s="800"/>
      <c r="M710" s="779"/>
      <c r="N710" s="779"/>
    </row>
    <row r="711" spans="1:23" s="89" customFormat="1" ht="40.35" customHeight="1">
      <c r="A711" s="564" t="str">
        <f ca="1">INDIRECT("'update Helper'!C"&amp;U711)</f>
        <v>a163p000004VjlQAAS</v>
      </c>
      <c r="B711" s="794">
        <v>3</v>
      </c>
      <c r="C711" s="795" t="str">
        <f ca="1">VLOOKUP(B711,'Coverage Indicators - Section D'!$A$9:$AU$70,47,FALSE)</f>
        <v>KP-1b⁽ᴹ⁾ Porcentaje de personas transgénero alcanzados por programas de prevención del VIH - paquete definido de servicios</v>
      </c>
      <c r="D711" s="796" t="str">
        <f ca="1">R711</f>
        <v/>
      </c>
      <c r="E711" s="796" t="str">
        <f ca="1">S711</f>
        <v/>
      </c>
      <c r="F711" s="127"/>
      <c r="G711" s="797" t="str">
        <f ca="1">IF(OR(INDIRECT("'update Helper'!E"&amp;U711)="",F711&lt;&gt;0,F712&lt;&gt;0),IF(IFERROR((F711/F712),"")="","",(F711/F712)),INDIRECT("'update Helper'!E"&amp;U711)/100)</f>
        <v/>
      </c>
      <c r="H711" s="784"/>
      <c r="I711" s="798"/>
      <c r="J711" s="777"/>
      <c r="K711" s="795" t="str">
        <f ca="1">W711</f>
        <v>KP-1b⁽ᴹ⁾ Percentage of transgender people reached with HIV prevention programs - defined package of services</v>
      </c>
      <c r="L711" s="795" t="str">
        <f ca="1">V711</f>
        <v/>
      </c>
      <c r="M711" s="777"/>
      <c r="N711" s="777"/>
      <c r="P711" s="89">
        <f ca="1">IF(AND(EXACT(C711,C709),C709&lt;&gt;0),P709+1,0)</f>
        <v>5</v>
      </c>
      <c r="Q711" s="89" t="str">
        <f ca="1">IF(C711&lt;&gt;"",C711&amp;"-"&amp;P711,"")</f>
        <v>KP-1b⁽ᴹ⁾ Porcentaje de personas transgénero alcanzados por programas de prevención del VIH - paquete definido de servicios-5</v>
      </c>
      <c r="R711" s="89" t="str">
        <f t="array" aca="1" ref="R711" ca="1">IFERROR(IF(INDEX('Disaggregation Records'!$E$155:$E$385,MATCH(RIGHT(Q711,255),RIGHT('Disaggregation Records'!$D$155:$D$385,255),0))="","",INDEX('Disaggregation Records'!$E$155:$E$385,MATCH(RIGHT(Q711,255),RIGHT('Disaggregation Records'!$D$155:$D$385,255),0))),"")</f>
        <v/>
      </c>
      <c r="S711" s="89" t="str">
        <f t="array" aca="1" ref="S711" ca="1">IFERROR(IF(INDEX('Disaggregation Records'!$F$155:$F$385,MATCH(RIGHT(Q711,255),RIGHT('Disaggregation Records'!$D$155:$D$385,255),0))="","",INDEX('Disaggregation Records'!$F$155:$F$385,MATCH(RIGHT(Q711,255),RIGHT('Disaggregation Records'!$D$155:$D$385,255),0))),"")</f>
        <v/>
      </c>
      <c r="T711" s="89" t="str">
        <f t="array" aca="1" ref="T711" ca="1">IFERROR(IF(INDEX('Disaggregation Records'!$H$155:$H$385,MATCH(RIGHT(Q711,255),RIGHT('Disaggregation Records'!$D$155:$D$385,255),0))="","",INDEX('Disaggregation Records'!$H$155:$H$385,MATCH(RIGHT(Q711,255),RIGHT('Disaggregation Records'!$D$155:$D$385,255),0))),"")</f>
        <v/>
      </c>
      <c r="U711" s="89">
        <f>U709+1</f>
        <v>1465</v>
      </c>
      <c r="V711" s="89" t="str">
        <f t="array" aca="1" ref="V711" ca="1">IFERROR(IF(INDEX('Disaggregation Records'!$I$155:$I$385,MATCH(RIGHT(Q711,255),RIGHT('Disaggregation Records'!$D$155:$D$385,255),0))="","",INDEX('Disaggregation Records'!$I$155:$I$385,MATCH(RIGHT(Q711,255),RIGHT('Disaggregation Records'!$D$155:$D$385,255),0))),"")</f>
        <v/>
      </c>
      <c r="W711" s="89" t="str">
        <f ca="1">IFERROR(INDEX('Reference Records'!L$77:L$157,MATCH(LEFT(C711,255),'Reference Records'!E$77:E$157,0)),"")</f>
        <v>KP-1b⁽ᴹ⁾ Percentage of transgender people reached with HIV prevention programs - defined package of services</v>
      </c>
    </row>
    <row r="712" spans="1:23" s="89" customFormat="1" ht="40.35" customHeight="1">
      <c r="A712" s="564"/>
      <c r="B712" s="799"/>
      <c r="C712" s="800"/>
      <c r="D712" s="801"/>
      <c r="E712" s="801"/>
      <c r="F712" s="128"/>
      <c r="G712" s="802"/>
      <c r="H712" s="781"/>
      <c r="I712" s="803"/>
      <c r="J712" s="779"/>
      <c r="K712" s="800"/>
      <c r="L712" s="800"/>
      <c r="M712" s="779"/>
      <c r="N712" s="779"/>
    </row>
    <row r="713" spans="1:23" s="89" customFormat="1" ht="40.35" customHeight="1">
      <c r="A713" s="564" t="str">
        <f ca="1">INDIRECT("'update Helper'!C"&amp;U713)</f>
        <v>a163p000004VjlRAAS</v>
      </c>
      <c r="B713" s="794">
        <v>3</v>
      </c>
      <c r="C713" s="795" t="str">
        <f ca="1">VLOOKUP(B713,'Coverage Indicators - Section D'!$A$9:$AU$70,47,FALSE)</f>
        <v>KP-1b⁽ᴹ⁾ Porcentaje de personas transgénero alcanzados por programas de prevención del VIH - paquete definido de servicios</v>
      </c>
      <c r="D713" s="796" t="str">
        <f ca="1">R713</f>
        <v/>
      </c>
      <c r="E713" s="796" t="str">
        <f ca="1">S713</f>
        <v/>
      </c>
      <c r="F713" s="127"/>
      <c r="G713" s="797" t="str">
        <f ca="1">IF(OR(INDIRECT("'update Helper'!E"&amp;U713)="",F713&lt;&gt;0,F714&lt;&gt;0),IF(IFERROR((F713/F714),"")="","",(F713/F714)),INDIRECT("'update Helper'!E"&amp;U713)/100)</f>
        <v/>
      </c>
      <c r="H713" s="784"/>
      <c r="I713" s="798"/>
      <c r="J713" s="777"/>
      <c r="K713" s="795" t="str">
        <f ca="1">W713</f>
        <v>KP-1b⁽ᴹ⁾ Percentage of transgender people reached with HIV prevention programs - defined package of services</v>
      </c>
      <c r="L713" s="795" t="str">
        <f ca="1">V713</f>
        <v/>
      </c>
      <c r="M713" s="777"/>
      <c r="N713" s="777"/>
      <c r="P713" s="89">
        <f ca="1">IF(AND(EXACT(C713,C711),C711&lt;&gt;0),P711+1,0)</f>
        <v>6</v>
      </c>
      <c r="Q713" s="89" t="str">
        <f ca="1">IF(C713&lt;&gt;"",C713&amp;"-"&amp;P713,"")</f>
        <v>KP-1b⁽ᴹ⁾ Porcentaje de personas transgénero alcanzados por programas de prevención del VIH - paquete definido de servicios-6</v>
      </c>
      <c r="R713" s="89" t="str">
        <f t="array" aca="1" ref="R713" ca="1">IFERROR(IF(INDEX('Disaggregation Records'!$E$155:$E$385,MATCH(RIGHT(Q713,255),RIGHT('Disaggregation Records'!$D$155:$D$385,255),0))="","",INDEX('Disaggregation Records'!$E$155:$E$385,MATCH(RIGHT(Q713,255),RIGHT('Disaggregation Records'!$D$155:$D$385,255),0))),"")</f>
        <v/>
      </c>
      <c r="S713" s="89" t="str">
        <f t="array" aca="1" ref="S713" ca="1">IFERROR(IF(INDEX('Disaggregation Records'!$F$155:$F$385,MATCH(RIGHT(Q713,255),RIGHT('Disaggregation Records'!$D$155:$D$385,255),0))="","",INDEX('Disaggregation Records'!$F$155:$F$385,MATCH(RIGHT(Q713,255),RIGHT('Disaggregation Records'!$D$155:$D$385,255),0))),"")</f>
        <v/>
      </c>
      <c r="T713" s="89" t="str">
        <f t="array" aca="1" ref="T713" ca="1">IFERROR(IF(INDEX('Disaggregation Records'!$H$155:$H$385,MATCH(RIGHT(Q713,255),RIGHT('Disaggregation Records'!$D$155:$D$385,255),0))="","",INDEX('Disaggregation Records'!$H$155:$H$385,MATCH(RIGHT(Q713,255),RIGHT('Disaggregation Records'!$D$155:$D$385,255),0))),"")</f>
        <v/>
      </c>
      <c r="U713" s="89">
        <f>U711+1</f>
        <v>1466</v>
      </c>
      <c r="V713" s="89" t="str">
        <f t="array" aca="1" ref="V713" ca="1">IFERROR(IF(INDEX('Disaggregation Records'!$I$155:$I$385,MATCH(RIGHT(Q713,255),RIGHT('Disaggregation Records'!$D$155:$D$385,255),0))="","",INDEX('Disaggregation Records'!$I$155:$I$385,MATCH(RIGHT(Q713,255),RIGHT('Disaggregation Records'!$D$155:$D$385,255),0))),"")</f>
        <v/>
      </c>
      <c r="W713" s="89" t="str">
        <f ca="1">IFERROR(INDEX('Reference Records'!L$77:L$157,MATCH(LEFT(C713,255),'Reference Records'!E$77:E$157,0)),"")</f>
        <v>KP-1b⁽ᴹ⁾ Percentage of transgender people reached with HIV prevention programs - defined package of services</v>
      </c>
    </row>
    <row r="714" spans="1:23" s="89" customFormat="1" ht="40.35" customHeight="1">
      <c r="A714" s="564"/>
      <c r="B714" s="799"/>
      <c r="C714" s="800"/>
      <c r="D714" s="801"/>
      <c r="E714" s="801"/>
      <c r="F714" s="128"/>
      <c r="G714" s="802"/>
      <c r="H714" s="781"/>
      <c r="I714" s="803"/>
      <c r="J714" s="779"/>
      <c r="K714" s="800"/>
      <c r="L714" s="800"/>
      <c r="M714" s="779"/>
      <c r="N714" s="779"/>
    </row>
    <row r="715" spans="1:23" s="89" customFormat="1" ht="40.35" customHeight="1">
      <c r="A715" s="564" t="str">
        <f ca="1">INDIRECT("'update Helper'!C"&amp;U715)</f>
        <v>a163p000004VjlSAAS</v>
      </c>
      <c r="B715" s="794">
        <v>3</v>
      </c>
      <c r="C715" s="795" t="str">
        <f ca="1">VLOOKUP(B715,'Coverage Indicators - Section D'!$A$9:$AU$70,47,FALSE)</f>
        <v>KP-1b⁽ᴹ⁾ Porcentaje de personas transgénero alcanzados por programas de prevención del VIH - paquete definido de servicios</v>
      </c>
      <c r="D715" s="796" t="str">
        <f ca="1">R715</f>
        <v/>
      </c>
      <c r="E715" s="796" t="str">
        <f ca="1">S715</f>
        <v/>
      </c>
      <c r="F715" s="127"/>
      <c r="G715" s="797" t="str">
        <f ca="1">IF(OR(INDIRECT("'update Helper'!E"&amp;U715)="",F715&lt;&gt;0,F716&lt;&gt;0),IF(IFERROR((F715/F716),"")="","",(F715/F716)),INDIRECT("'update Helper'!E"&amp;U715)/100)</f>
        <v/>
      </c>
      <c r="H715" s="784"/>
      <c r="I715" s="798"/>
      <c r="J715" s="777"/>
      <c r="K715" s="795" t="str">
        <f ca="1">W715</f>
        <v>KP-1b⁽ᴹ⁾ Percentage of transgender people reached with HIV prevention programs - defined package of services</v>
      </c>
      <c r="L715" s="795" t="str">
        <f ca="1">V715</f>
        <v/>
      </c>
      <c r="M715" s="777"/>
      <c r="N715" s="777"/>
      <c r="P715" s="89">
        <f ca="1">IF(AND(EXACT(C715,C713),C713&lt;&gt;0),P713+1,0)</f>
        <v>7</v>
      </c>
      <c r="Q715" s="89" t="str">
        <f ca="1">IF(C715&lt;&gt;"",C715&amp;"-"&amp;P715,"")</f>
        <v>KP-1b⁽ᴹ⁾ Porcentaje de personas transgénero alcanzados por programas de prevención del VIH - paquete definido de servicios-7</v>
      </c>
      <c r="R715" s="89" t="str">
        <f t="array" aca="1" ref="R715" ca="1">IFERROR(IF(INDEX('Disaggregation Records'!$E$155:$E$385,MATCH(RIGHT(Q715,255),RIGHT('Disaggregation Records'!$D$155:$D$385,255),0))="","",INDEX('Disaggregation Records'!$E$155:$E$385,MATCH(RIGHT(Q715,255),RIGHT('Disaggregation Records'!$D$155:$D$385,255),0))),"")</f>
        <v/>
      </c>
      <c r="S715" s="89" t="str">
        <f t="array" aca="1" ref="S715" ca="1">IFERROR(IF(INDEX('Disaggregation Records'!$F$155:$F$385,MATCH(RIGHT(Q715,255),RIGHT('Disaggregation Records'!$D$155:$D$385,255),0))="","",INDEX('Disaggregation Records'!$F$155:$F$385,MATCH(RIGHT(Q715,255),RIGHT('Disaggregation Records'!$D$155:$D$385,255),0))),"")</f>
        <v/>
      </c>
      <c r="T715" s="89" t="str">
        <f t="array" aca="1" ref="T715" ca="1">IFERROR(IF(INDEX('Disaggregation Records'!$H$155:$H$385,MATCH(RIGHT(Q715,255),RIGHT('Disaggregation Records'!$D$155:$D$385,255),0))="","",INDEX('Disaggregation Records'!$H$155:$H$385,MATCH(RIGHT(Q715,255),RIGHT('Disaggregation Records'!$D$155:$D$385,255),0))),"")</f>
        <v/>
      </c>
      <c r="U715" s="89">
        <f>U713+1</f>
        <v>1467</v>
      </c>
      <c r="V715" s="89" t="str">
        <f t="array" aca="1" ref="V715" ca="1">IFERROR(IF(INDEX('Disaggregation Records'!$I$155:$I$385,MATCH(RIGHT(Q715,255),RIGHT('Disaggregation Records'!$D$155:$D$385,255),0))="","",INDEX('Disaggregation Records'!$I$155:$I$385,MATCH(RIGHT(Q715,255),RIGHT('Disaggregation Records'!$D$155:$D$385,255),0))),"")</f>
        <v/>
      </c>
      <c r="W715" s="89" t="str">
        <f ca="1">IFERROR(INDEX('Reference Records'!L$77:L$157,MATCH(LEFT(C715,255),'Reference Records'!E$77:E$157,0)),"")</f>
        <v>KP-1b⁽ᴹ⁾ Percentage of transgender people reached with HIV prevention programs - defined package of services</v>
      </c>
    </row>
    <row r="716" spans="1:23" s="89" customFormat="1" ht="40.35" customHeight="1">
      <c r="A716" s="564"/>
      <c r="B716" s="799"/>
      <c r="C716" s="800"/>
      <c r="D716" s="801"/>
      <c r="E716" s="801"/>
      <c r="F716" s="128"/>
      <c r="G716" s="802"/>
      <c r="H716" s="781"/>
      <c r="I716" s="803"/>
      <c r="J716" s="779"/>
      <c r="K716" s="800"/>
      <c r="L716" s="800"/>
      <c r="M716" s="779"/>
      <c r="N716" s="779"/>
    </row>
    <row r="717" spans="1:23" s="89" customFormat="1" ht="40.35" customHeight="1">
      <c r="A717" s="564" t="str">
        <f ca="1">INDIRECT("'update Helper'!C"&amp;U717)</f>
        <v>a163p000004VjlTAAS</v>
      </c>
      <c r="B717" s="794">
        <v>3</v>
      </c>
      <c r="C717" s="795" t="str">
        <f ca="1">VLOOKUP(B717,'Coverage Indicators - Section D'!$A$9:$AU$70,47,FALSE)</f>
        <v>KP-1b⁽ᴹ⁾ Porcentaje de personas transgénero alcanzados por programas de prevención del VIH - paquete definido de servicios</v>
      </c>
      <c r="D717" s="796" t="str">
        <f ca="1">R717</f>
        <v/>
      </c>
      <c r="E717" s="796" t="str">
        <f ca="1">S717</f>
        <v/>
      </c>
      <c r="F717" s="127"/>
      <c r="G717" s="797" t="str">
        <f ca="1">IF(OR(INDIRECT("'update Helper'!E"&amp;U717)="",F717&lt;&gt;0,F718&lt;&gt;0),IF(IFERROR((F717/F718),"")="","",(F717/F718)),INDIRECT("'update Helper'!E"&amp;U717)/100)</f>
        <v/>
      </c>
      <c r="H717" s="784"/>
      <c r="I717" s="798"/>
      <c r="J717" s="777"/>
      <c r="K717" s="795" t="str">
        <f ca="1">W717</f>
        <v>KP-1b⁽ᴹ⁾ Percentage of transgender people reached with HIV prevention programs - defined package of services</v>
      </c>
      <c r="L717" s="795" t="str">
        <f ca="1">V717</f>
        <v/>
      </c>
      <c r="M717" s="777"/>
      <c r="N717" s="777"/>
      <c r="P717" s="89">
        <f ca="1">IF(AND(EXACT(C717,C715),C715&lt;&gt;0),P715+1,0)</f>
        <v>8</v>
      </c>
      <c r="Q717" s="89" t="str">
        <f ca="1">IF(C717&lt;&gt;"",C717&amp;"-"&amp;P717,"")</f>
        <v>KP-1b⁽ᴹ⁾ Porcentaje de personas transgénero alcanzados por programas de prevención del VIH - paquete definido de servicios-8</v>
      </c>
      <c r="R717" s="89" t="str">
        <f t="array" aca="1" ref="R717" ca="1">IFERROR(IF(INDEX('Disaggregation Records'!$E$155:$E$385,MATCH(RIGHT(Q717,255),RIGHT('Disaggregation Records'!$D$155:$D$385,255),0))="","",INDEX('Disaggregation Records'!$E$155:$E$385,MATCH(RIGHT(Q717,255),RIGHT('Disaggregation Records'!$D$155:$D$385,255),0))),"")</f>
        <v/>
      </c>
      <c r="S717" s="89" t="str">
        <f t="array" aca="1" ref="S717" ca="1">IFERROR(IF(INDEX('Disaggregation Records'!$F$155:$F$385,MATCH(RIGHT(Q717,255),RIGHT('Disaggregation Records'!$D$155:$D$385,255),0))="","",INDEX('Disaggregation Records'!$F$155:$F$385,MATCH(RIGHT(Q717,255),RIGHT('Disaggregation Records'!$D$155:$D$385,255),0))),"")</f>
        <v/>
      </c>
      <c r="T717" s="89" t="str">
        <f t="array" aca="1" ref="T717" ca="1">IFERROR(IF(INDEX('Disaggregation Records'!$H$155:$H$385,MATCH(RIGHT(Q717,255),RIGHT('Disaggregation Records'!$D$155:$D$385,255),0))="","",INDEX('Disaggregation Records'!$H$155:$H$385,MATCH(RIGHT(Q717,255),RIGHT('Disaggregation Records'!$D$155:$D$385,255),0))),"")</f>
        <v/>
      </c>
      <c r="U717" s="89">
        <f>U715+1</f>
        <v>1468</v>
      </c>
      <c r="V717" s="89" t="str">
        <f t="array" aca="1" ref="V717" ca="1">IFERROR(IF(INDEX('Disaggregation Records'!$I$155:$I$385,MATCH(RIGHT(Q717,255),RIGHT('Disaggregation Records'!$D$155:$D$385,255),0))="","",INDEX('Disaggregation Records'!$I$155:$I$385,MATCH(RIGHT(Q717,255),RIGHT('Disaggregation Records'!$D$155:$D$385,255),0))),"")</f>
        <v/>
      </c>
      <c r="W717" s="89" t="str">
        <f ca="1">IFERROR(INDEX('Reference Records'!L$77:L$157,MATCH(LEFT(C717,255),'Reference Records'!E$77:E$157,0)),"")</f>
        <v>KP-1b⁽ᴹ⁾ Percentage of transgender people reached with HIV prevention programs - defined package of services</v>
      </c>
    </row>
    <row r="718" spans="1:23" s="89" customFormat="1" ht="40.35" customHeight="1">
      <c r="A718" s="564"/>
      <c r="B718" s="799"/>
      <c r="C718" s="800"/>
      <c r="D718" s="801"/>
      <c r="E718" s="801"/>
      <c r="F718" s="128"/>
      <c r="G718" s="802"/>
      <c r="H718" s="781"/>
      <c r="I718" s="803"/>
      <c r="J718" s="779"/>
      <c r="K718" s="800"/>
      <c r="L718" s="800"/>
      <c r="M718" s="779"/>
      <c r="N718" s="779"/>
    </row>
    <row r="719" spans="1:23" s="89" customFormat="1" ht="40.35" customHeight="1">
      <c r="A719" s="564" t="str">
        <f ca="1">INDIRECT("'update Helper'!C"&amp;U719)</f>
        <v>a163p000004VjlUAAS</v>
      </c>
      <c r="B719" s="794">
        <v>3</v>
      </c>
      <c r="C719" s="795" t="str">
        <f ca="1">VLOOKUP(B719,'Coverage Indicators - Section D'!$A$9:$AU$70,47,FALSE)</f>
        <v>KP-1b⁽ᴹ⁾ Porcentaje de personas transgénero alcanzados por programas de prevención del VIH - paquete definido de servicios</v>
      </c>
      <c r="D719" s="796" t="str">
        <f ca="1">R719</f>
        <v/>
      </c>
      <c r="E719" s="796" t="str">
        <f ca="1">S719</f>
        <v/>
      </c>
      <c r="F719" s="127"/>
      <c r="G719" s="797" t="str">
        <f ca="1">IF(OR(INDIRECT("'update Helper'!E"&amp;U719)="",F719&lt;&gt;0,F720&lt;&gt;0),IF(IFERROR((F719/F720),"")="","",(F719/F720)),INDIRECT("'update Helper'!E"&amp;U719)/100)</f>
        <v/>
      </c>
      <c r="H719" s="784"/>
      <c r="I719" s="798"/>
      <c r="J719" s="777"/>
      <c r="K719" s="795" t="str">
        <f ca="1">W719</f>
        <v>KP-1b⁽ᴹ⁾ Percentage of transgender people reached with HIV prevention programs - defined package of services</v>
      </c>
      <c r="L719" s="795" t="str">
        <f ca="1">V719</f>
        <v/>
      </c>
      <c r="M719" s="777"/>
      <c r="N719" s="777"/>
      <c r="P719" s="89">
        <f ca="1">IF(AND(EXACT(C719,C717),C717&lt;&gt;0),P717+1,0)</f>
        <v>9</v>
      </c>
      <c r="Q719" s="89" t="str">
        <f ca="1">IF(C719&lt;&gt;"",C719&amp;"-"&amp;P719,"")</f>
        <v>KP-1b⁽ᴹ⁾ Porcentaje de personas transgénero alcanzados por programas de prevención del VIH - paquete definido de servicios-9</v>
      </c>
      <c r="R719" s="89" t="str">
        <f t="array" aca="1" ref="R719" ca="1">IFERROR(IF(INDEX('Disaggregation Records'!$E$155:$E$385,MATCH(RIGHT(Q719,255),RIGHT('Disaggregation Records'!$D$155:$D$385,255),0))="","",INDEX('Disaggregation Records'!$E$155:$E$385,MATCH(RIGHT(Q719,255),RIGHT('Disaggregation Records'!$D$155:$D$385,255),0))),"")</f>
        <v/>
      </c>
      <c r="S719" s="89" t="str">
        <f t="array" aca="1" ref="S719" ca="1">IFERROR(IF(INDEX('Disaggregation Records'!$F$155:$F$385,MATCH(RIGHT(Q719,255),RIGHT('Disaggregation Records'!$D$155:$D$385,255),0))="","",INDEX('Disaggregation Records'!$F$155:$F$385,MATCH(RIGHT(Q719,255),RIGHT('Disaggregation Records'!$D$155:$D$385,255),0))),"")</f>
        <v/>
      </c>
      <c r="T719" s="89" t="str">
        <f t="array" aca="1" ref="T719" ca="1">IFERROR(IF(INDEX('Disaggregation Records'!$H$155:$H$385,MATCH(RIGHT(Q719,255),RIGHT('Disaggregation Records'!$D$155:$D$385,255),0))="","",INDEX('Disaggregation Records'!$H$155:$H$385,MATCH(RIGHT(Q719,255),RIGHT('Disaggregation Records'!$D$155:$D$385,255),0))),"")</f>
        <v/>
      </c>
      <c r="U719" s="89">
        <f>U717+1</f>
        <v>1469</v>
      </c>
      <c r="V719" s="89" t="str">
        <f t="array" aca="1" ref="V719" ca="1">IFERROR(IF(INDEX('Disaggregation Records'!$I$155:$I$385,MATCH(RIGHT(Q719,255),RIGHT('Disaggregation Records'!$D$155:$D$385,255),0))="","",INDEX('Disaggregation Records'!$I$155:$I$385,MATCH(RIGHT(Q719,255),RIGHT('Disaggregation Records'!$D$155:$D$385,255),0))),"")</f>
        <v/>
      </c>
      <c r="W719" s="89" t="str">
        <f ca="1">IFERROR(INDEX('Reference Records'!L$77:L$157,MATCH(LEFT(C719,255),'Reference Records'!E$77:E$157,0)),"")</f>
        <v>KP-1b⁽ᴹ⁾ Percentage of transgender people reached with HIV prevention programs - defined package of services</v>
      </c>
    </row>
    <row r="720" spans="1:23" s="89" customFormat="1" ht="40.35" customHeight="1">
      <c r="A720" s="564"/>
      <c r="B720" s="799"/>
      <c r="C720" s="800"/>
      <c r="D720" s="801"/>
      <c r="E720" s="801"/>
      <c r="F720" s="128"/>
      <c r="G720" s="802"/>
      <c r="H720" s="781"/>
      <c r="I720" s="803"/>
      <c r="J720" s="779"/>
      <c r="K720" s="800"/>
      <c r="L720" s="800"/>
      <c r="M720" s="779"/>
      <c r="N720" s="779"/>
    </row>
    <row r="721" spans="1:23" s="89" customFormat="1" ht="40.35" customHeight="1">
      <c r="A721" s="564" t="str">
        <f ca="1">INDIRECT("'update Helper'!C"&amp;U721)</f>
        <v>a163p000004VjlVAAS</v>
      </c>
      <c r="B721" s="794">
        <v>3</v>
      </c>
      <c r="C721" s="795" t="str">
        <f ca="1">VLOOKUP(B721,'Coverage Indicators - Section D'!$A$9:$AU$70,47,FALSE)</f>
        <v>KP-1b⁽ᴹ⁾ Porcentaje de personas transgénero alcanzados por programas de prevención del VIH - paquete definido de servicios</v>
      </c>
      <c r="D721" s="796" t="str">
        <f ca="1">R721</f>
        <v/>
      </c>
      <c r="E721" s="796" t="str">
        <f ca="1">S721</f>
        <v/>
      </c>
      <c r="F721" s="127"/>
      <c r="G721" s="797" t="str">
        <f ca="1">IF(OR(INDIRECT("'update Helper'!E"&amp;U721)="",F721&lt;&gt;0,F722&lt;&gt;0),IF(IFERROR((F721/F722),"")="","",(F721/F722)),INDIRECT("'update Helper'!E"&amp;U721)/100)</f>
        <v/>
      </c>
      <c r="H721" s="784"/>
      <c r="I721" s="798"/>
      <c r="J721" s="777"/>
      <c r="K721" s="795" t="str">
        <f ca="1">W721</f>
        <v>KP-1b⁽ᴹ⁾ Percentage of transgender people reached with HIV prevention programs - defined package of services</v>
      </c>
      <c r="L721" s="795" t="str">
        <f ca="1">V721</f>
        <v/>
      </c>
      <c r="M721" s="777"/>
      <c r="N721" s="777"/>
      <c r="P721" s="89">
        <f ca="1">IF(AND(EXACT(C721,C719),C719&lt;&gt;0),P719+1,0)</f>
        <v>10</v>
      </c>
      <c r="Q721" s="89" t="str">
        <f ca="1">IF(C721&lt;&gt;"",C721&amp;"-"&amp;P721,"")</f>
        <v>KP-1b⁽ᴹ⁾ Porcentaje de personas transgénero alcanzados por programas de prevención del VIH - paquete definido de servicios-10</v>
      </c>
      <c r="R721" s="89" t="str">
        <f t="array" aca="1" ref="R721" ca="1">IFERROR(IF(INDEX('Disaggregation Records'!$E$155:$E$385,MATCH(RIGHT(Q721,255),RIGHT('Disaggregation Records'!$D$155:$D$385,255),0))="","",INDEX('Disaggregation Records'!$E$155:$E$385,MATCH(RIGHT(Q721,255),RIGHT('Disaggregation Records'!$D$155:$D$385,255),0))),"")</f>
        <v/>
      </c>
      <c r="S721" s="89" t="str">
        <f t="array" aca="1" ref="S721" ca="1">IFERROR(IF(INDEX('Disaggregation Records'!$F$155:$F$385,MATCH(RIGHT(Q721,255),RIGHT('Disaggregation Records'!$D$155:$D$385,255),0))="","",INDEX('Disaggregation Records'!$F$155:$F$385,MATCH(RIGHT(Q721,255),RIGHT('Disaggregation Records'!$D$155:$D$385,255),0))),"")</f>
        <v/>
      </c>
      <c r="T721" s="89" t="str">
        <f t="array" aca="1" ref="T721" ca="1">IFERROR(IF(INDEX('Disaggregation Records'!$H$155:$H$385,MATCH(RIGHT(Q721,255),RIGHT('Disaggregation Records'!$D$155:$D$385,255),0))="","",INDEX('Disaggregation Records'!$H$155:$H$385,MATCH(RIGHT(Q721,255),RIGHT('Disaggregation Records'!$D$155:$D$385,255),0))),"")</f>
        <v/>
      </c>
      <c r="U721" s="89">
        <f>U719+1</f>
        <v>1470</v>
      </c>
      <c r="V721" s="89" t="str">
        <f t="array" aca="1" ref="V721" ca="1">IFERROR(IF(INDEX('Disaggregation Records'!$I$155:$I$385,MATCH(RIGHT(Q721,255),RIGHT('Disaggregation Records'!$D$155:$D$385,255),0))="","",INDEX('Disaggregation Records'!$I$155:$I$385,MATCH(RIGHT(Q721,255),RIGHT('Disaggregation Records'!$D$155:$D$385,255),0))),"")</f>
        <v/>
      </c>
      <c r="W721" s="89" t="str">
        <f ca="1">IFERROR(INDEX('Reference Records'!L$77:L$157,MATCH(LEFT(C721,255),'Reference Records'!E$77:E$157,0)),"")</f>
        <v>KP-1b⁽ᴹ⁾ Percentage of transgender people reached with HIV prevention programs - defined package of services</v>
      </c>
    </row>
    <row r="722" spans="1:23" s="89" customFormat="1" ht="40.35" customHeight="1">
      <c r="A722" s="564"/>
      <c r="B722" s="799"/>
      <c r="C722" s="800"/>
      <c r="D722" s="801"/>
      <c r="E722" s="801"/>
      <c r="F722" s="128"/>
      <c r="G722" s="802"/>
      <c r="H722" s="781"/>
      <c r="I722" s="803"/>
      <c r="J722" s="779"/>
      <c r="K722" s="800"/>
      <c r="L722" s="800"/>
      <c r="M722" s="779"/>
      <c r="N722" s="779"/>
    </row>
    <row r="723" spans="1:23" s="89" customFormat="1" ht="40.35" customHeight="1">
      <c r="A723" s="564" t="str">
        <f ca="1">INDIRECT("'update Helper'!C"&amp;U723)</f>
        <v>a163p000004VjlWAAS</v>
      </c>
      <c r="B723" s="794">
        <v>3</v>
      </c>
      <c r="C723" s="795" t="str">
        <f ca="1">VLOOKUP(B723,'Coverage Indicators - Section D'!$A$9:$AU$70,47,FALSE)</f>
        <v>KP-1b⁽ᴹ⁾ Porcentaje de personas transgénero alcanzados por programas de prevención del VIH - paquete definido de servicios</v>
      </c>
      <c r="D723" s="796" t="str">
        <f ca="1">R723</f>
        <v/>
      </c>
      <c r="E723" s="796" t="str">
        <f ca="1">S723</f>
        <v/>
      </c>
      <c r="F723" s="127"/>
      <c r="G723" s="797" t="str">
        <f ca="1">IF(OR(INDIRECT("'update Helper'!E"&amp;U723)="",F723&lt;&gt;0,F724&lt;&gt;0),IF(IFERROR((F723/F724),"")="","",(F723/F724)),INDIRECT("'update Helper'!E"&amp;U723)/100)</f>
        <v/>
      </c>
      <c r="H723" s="784"/>
      <c r="I723" s="798"/>
      <c r="J723" s="777"/>
      <c r="K723" s="795" t="str">
        <f ca="1">W723</f>
        <v>KP-1b⁽ᴹ⁾ Percentage of transgender people reached with HIV prevention programs - defined package of services</v>
      </c>
      <c r="L723" s="795" t="str">
        <f ca="1">V723</f>
        <v/>
      </c>
      <c r="M723" s="777"/>
      <c r="N723" s="777"/>
      <c r="P723" s="89">
        <f ca="1">IF(AND(EXACT(C723,C721),C721&lt;&gt;0),P721+1,0)</f>
        <v>11</v>
      </c>
      <c r="Q723" s="89" t="str">
        <f ca="1">IF(C723&lt;&gt;"",C723&amp;"-"&amp;P723,"")</f>
        <v>KP-1b⁽ᴹ⁾ Porcentaje de personas transgénero alcanzados por programas de prevención del VIH - paquete definido de servicios-11</v>
      </c>
      <c r="R723" s="89" t="str">
        <f t="array" aca="1" ref="R723" ca="1">IFERROR(IF(INDEX('Disaggregation Records'!$E$155:$E$385,MATCH(RIGHT(Q723,255),RIGHT('Disaggregation Records'!$D$155:$D$385,255),0))="","",INDEX('Disaggregation Records'!$E$155:$E$385,MATCH(RIGHT(Q723,255),RIGHT('Disaggregation Records'!$D$155:$D$385,255),0))),"")</f>
        <v/>
      </c>
      <c r="S723" s="89" t="str">
        <f t="array" aca="1" ref="S723" ca="1">IFERROR(IF(INDEX('Disaggregation Records'!$F$155:$F$385,MATCH(RIGHT(Q723,255),RIGHT('Disaggregation Records'!$D$155:$D$385,255),0))="","",INDEX('Disaggregation Records'!$F$155:$F$385,MATCH(RIGHT(Q723,255),RIGHT('Disaggregation Records'!$D$155:$D$385,255),0))),"")</f>
        <v/>
      </c>
      <c r="T723" s="89" t="str">
        <f t="array" aca="1" ref="T723" ca="1">IFERROR(IF(INDEX('Disaggregation Records'!$H$155:$H$385,MATCH(RIGHT(Q723,255),RIGHT('Disaggregation Records'!$D$155:$D$385,255),0))="","",INDEX('Disaggregation Records'!$H$155:$H$385,MATCH(RIGHT(Q723,255),RIGHT('Disaggregation Records'!$D$155:$D$385,255),0))),"")</f>
        <v/>
      </c>
      <c r="U723" s="89">
        <f>U721+1</f>
        <v>1471</v>
      </c>
      <c r="V723" s="89" t="str">
        <f t="array" aca="1" ref="V723" ca="1">IFERROR(IF(INDEX('Disaggregation Records'!$I$155:$I$385,MATCH(RIGHT(Q723,255),RIGHT('Disaggregation Records'!$D$155:$D$385,255),0))="","",INDEX('Disaggregation Records'!$I$155:$I$385,MATCH(RIGHT(Q723,255),RIGHT('Disaggregation Records'!$D$155:$D$385,255),0))),"")</f>
        <v/>
      </c>
      <c r="W723" s="89" t="str">
        <f ca="1">IFERROR(INDEX('Reference Records'!L$77:L$157,MATCH(LEFT(C723,255),'Reference Records'!E$77:E$157,0)),"")</f>
        <v>KP-1b⁽ᴹ⁾ Percentage of transgender people reached with HIV prevention programs - defined package of services</v>
      </c>
    </row>
    <row r="724" spans="1:23" s="89" customFormat="1" ht="40.35" customHeight="1">
      <c r="A724" s="564"/>
      <c r="B724" s="799"/>
      <c r="C724" s="800"/>
      <c r="D724" s="801"/>
      <c r="E724" s="801"/>
      <c r="F724" s="128"/>
      <c r="G724" s="802"/>
      <c r="H724" s="781"/>
      <c r="I724" s="803"/>
      <c r="J724" s="779"/>
      <c r="K724" s="800"/>
      <c r="L724" s="800"/>
      <c r="M724" s="779"/>
      <c r="N724" s="779"/>
    </row>
    <row r="725" spans="1:23" s="89" customFormat="1" ht="40.35" customHeight="1">
      <c r="A725" s="564" t="str">
        <f ca="1">INDIRECT("'update Helper'!C"&amp;U725)</f>
        <v>a163p000004VjlXAAS</v>
      </c>
      <c r="B725" s="794">
        <v>3</v>
      </c>
      <c r="C725" s="795" t="str">
        <f ca="1">VLOOKUP(B725,'Coverage Indicators - Section D'!$A$9:$AU$70,47,FALSE)</f>
        <v>KP-1b⁽ᴹ⁾ Porcentaje de personas transgénero alcanzados por programas de prevención del VIH - paquete definido de servicios</v>
      </c>
      <c r="D725" s="796" t="str">
        <f ca="1">R725</f>
        <v/>
      </c>
      <c r="E725" s="796" t="str">
        <f ca="1">S725</f>
        <v/>
      </c>
      <c r="F725" s="127"/>
      <c r="G725" s="797" t="str">
        <f ca="1">IF(OR(INDIRECT("'update Helper'!E"&amp;U725)="",F725&lt;&gt;0,F726&lt;&gt;0),IF(IFERROR((F725/F726),"")="","",(F725/F726)),INDIRECT("'update Helper'!E"&amp;U725)/100)</f>
        <v/>
      </c>
      <c r="H725" s="784"/>
      <c r="I725" s="798"/>
      <c r="J725" s="777"/>
      <c r="K725" s="795" t="str">
        <f ca="1">W725</f>
        <v>KP-1b⁽ᴹ⁾ Percentage of transgender people reached with HIV prevention programs - defined package of services</v>
      </c>
      <c r="L725" s="795" t="str">
        <f ca="1">V725</f>
        <v/>
      </c>
      <c r="M725" s="777"/>
      <c r="N725" s="777"/>
      <c r="P725" s="89">
        <f ca="1">IF(AND(EXACT(C725,C723),C723&lt;&gt;0),P723+1,0)</f>
        <v>12</v>
      </c>
      <c r="Q725" s="89" t="str">
        <f ca="1">IF(C725&lt;&gt;"",C725&amp;"-"&amp;P725,"")</f>
        <v>KP-1b⁽ᴹ⁾ Porcentaje de personas transgénero alcanzados por programas de prevención del VIH - paquete definido de servicios-12</v>
      </c>
      <c r="R725" s="89" t="str">
        <f t="array" aca="1" ref="R725" ca="1">IFERROR(IF(INDEX('Disaggregation Records'!$E$155:$E$385,MATCH(RIGHT(Q725,255),RIGHT('Disaggregation Records'!$D$155:$D$385,255),0))="","",INDEX('Disaggregation Records'!$E$155:$E$385,MATCH(RIGHT(Q725,255),RIGHT('Disaggregation Records'!$D$155:$D$385,255),0))),"")</f>
        <v/>
      </c>
      <c r="S725" s="89" t="str">
        <f t="array" aca="1" ref="S725" ca="1">IFERROR(IF(INDEX('Disaggregation Records'!$F$155:$F$385,MATCH(RIGHT(Q725,255),RIGHT('Disaggregation Records'!$D$155:$D$385,255),0))="","",INDEX('Disaggregation Records'!$F$155:$F$385,MATCH(RIGHT(Q725,255),RIGHT('Disaggregation Records'!$D$155:$D$385,255),0))),"")</f>
        <v/>
      </c>
      <c r="T725" s="89" t="str">
        <f t="array" aca="1" ref="T725" ca="1">IFERROR(IF(INDEX('Disaggregation Records'!$H$155:$H$385,MATCH(RIGHT(Q725,255),RIGHT('Disaggregation Records'!$D$155:$D$385,255),0))="","",INDEX('Disaggregation Records'!$H$155:$H$385,MATCH(RIGHT(Q725,255),RIGHT('Disaggregation Records'!$D$155:$D$385,255),0))),"")</f>
        <v/>
      </c>
      <c r="U725" s="89">
        <f>U723+1</f>
        <v>1472</v>
      </c>
      <c r="V725" s="89" t="str">
        <f t="array" aca="1" ref="V725" ca="1">IFERROR(IF(INDEX('Disaggregation Records'!$I$155:$I$385,MATCH(RIGHT(Q725,255),RIGHT('Disaggregation Records'!$D$155:$D$385,255),0))="","",INDEX('Disaggregation Records'!$I$155:$I$385,MATCH(RIGHT(Q725,255),RIGHT('Disaggregation Records'!$D$155:$D$385,255),0))),"")</f>
        <v/>
      </c>
      <c r="W725" s="89" t="str">
        <f ca="1">IFERROR(INDEX('Reference Records'!L$77:L$157,MATCH(LEFT(C725,255),'Reference Records'!E$77:E$157,0)),"")</f>
        <v>KP-1b⁽ᴹ⁾ Percentage of transgender people reached with HIV prevention programs - defined package of services</v>
      </c>
    </row>
    <row r="726" spans="1:23" s="89" customFormat="1" ht="40.35" customHeight="1">
      <c r="A726" s="564"/>
      <c r="B726" s="799"/>
      <c r="C726" s="800"/>
      <c r="D726" s="801"/>
      <c r="E726" s="801"/>
      <c r="F726" s="128"/>
      <c r="G726" s="802"/>
      <c r="H726" s="781"/>
      <c r="I726" s="803"/>
      <c r="J726" s="779"/>
      <c r="K726" s="800"/>
      <c r="L726" s="800"/>
      <c r="M726" s="779"/>
      <c r="N726" s="779"/>
    </row>
    <row r="727" spans="1:23" s="89" customFormat="1" ht="40.35" customHeight="1">
      <c r="A727" s="564" t="str">
        <f ca="1">INDIRECT("'update Helper'!C"&amp;U727)</f>
        <v>a163p000004VjlYAAS</v>
      </c>
      <c r="B727" s="794">
        <v>3</v>
      </c>
      <c r="C727" s="795" t="str">
        <f ca="1">VLOOKUP(B727,'Coverage Indicators - Section D'!$A$9:$AU$70,47,FALSE)</f>
        <v>KP-1b⁽ᴹ⁾ Porcentaje de personas transgénero alcanzados por programas de prevención del VIH - paquete definido de servicios</v>
      </c>
      <c r="D727" s="796" t="str">
        <f ca="1">R727</f>
        <v/>
      </c>
      <c r="E727" s="796" t="str">
        <f ca="1">S727</f>
        <v/>
      </c>
      <c r="F727" s="127"/>
      <c r="G727" s="797" t="str">
        <f ca="1">IF(OR(INDIRECT("'update Helper'!E"&amp;U727)="",F727&lt;&gt;0,F728&lt;&gt;0),IF(IFERROR((F727/F728),"")="","",(F727/F728)),INDIRECT("'update Helper'!E"&amp;U727)/100)</f>
        <v/>
      </c>
      <c r="H727" s="784"/>
      <c r="I727" s="798"/>
      <c r="J727" s="777"/>
      <c r="K727" s="795" t="str">
        <f ca="1">W727</f>
        <v>KP-1b⁽ᴹ⁾ Percentage of transgender people reached with HIV prevention programs - defined package of services</v>
      </c>
      <c r="L727" s="795" t="str">
        <f ca="1">V727</f>
        <v/>
      </c>
      <c r="M727" s="777"/>
      <c r="N727" s="777"/>
      <c r="P727" s="89">
        <f ca="1">IF(AND(EXACT(C727,C725),C725&lt;&gt;0),P725+1,0)</f>
        <v>13</v>
      </c>
      <c r="Q727" s="89" t="str">
        <f ca="1">IF(C727&lt;&gt;"",C727&amp;"-"&amp;P727,"")</f>
        <v>KP-1b⁽ᴹ⁾ Porcentaje de personas transgénero alcanzados por programas de prevención del VIH - paquete definido de servicios-13</v>
      </c>
      <c r="R727" s="89" t="str">
        <f t="array" aca="1" ref="R727" ca="1">IFERROR(IF(INDEX('Disaggregation Records'!$E$155:$E$385,MATCH(RIGHT(Q727,255),RIGHT('Disaggregation Records'!$D$155:$D$385,255),0))="","",INDEX('Disaggregation Records'!$E$155:$E$385,MATCH(RIGHT(Q727,255),RIGHT('Disaggregation Records'!$D$155:$D$385,255),0))),"")</f>
        <v/>
      </c>
      <c r="S727" s="89" t="str">
        <f t="array" aca="1" ref="S727" ca="1">IFERROR(IF(INDEX('Disaggregation Records'!$F$155:$F$385,MATCH(RIGHT(Q727,255),RIGHT('Disaggregation Records'!$D$155:$D$385,255),0))="","",INDEX('Disaggregation Records'!$F$155:$F$385,MATCH(RIGHT(Q727,255),RIGHT('Disaggregation Records'!$D$155:$D$385,255),0))),"")</f>
        <v/>
      </c>
      <c r="T727" s="89" t="str">
        <f t="array" aca="1" ref="T727" ca="1">IFERROR(IF(INDEX('Disaggregation Records'!$H$155:$H$385,MATCH(RIGHT(Q727,255),RIGHT('Disaggregation Records'!$D$155:$D$385,255),0))="","",INDEX('Disaggregation Records'!$H$155:$H$385,MATCH(RIGHT(Q727,255),RIGHT('Disaggregation Records'!$D$155:$D$385,255),0))),"")</f>
        <v/>
      </c>
      <c r="U727" s="89">
        <f>U725+1</f>
        <v>1473</v>
      </c>
      <c r="V727" s="89" t="str">
        <f t="array" aca="1" ref="V727" ca="1">IFERROR(IF(INDEX('Disaggregation Records'!$I$155:$I$385,MATCH(RIGHT(Q727,255),RIGHT('Disaggregation Records'!$D$155:$D$385,255),0))="","",INDEX('Disaggregation Records'!$I$155:$I$385,MATCH(RIGHT(Q727,255),RIGHT('Disaggregation Records'!$D$155:$D$385,255),0))),"")</f>
        <v/>
      </c>
      <c r="W727" s="89" t="str">
        <f ca="1">IFERROR(INDEX('Reference Records'!L$77:L$157,MATCH(LEFT(C727,255),'Reference Records'!E$77:E$157,0)),"")</f>
        <v>KP-1b⁽ᴹ⁾ Percentage of transgender people reached with HIV prevention programs - defined package of services</v>
      </c>
    </row>
    <row r="728" spans="1:23" s="89" customFormat="1" ht="40.35" customHeight="1">
      <c r="A728" s="564"/>
      <c r="B728" s="799"/>
      <c r="C728" s="800"/>
      <c r="D728" s="801"/>
      <c r="E728" s="801"/>
      <c r="F728" s="128"/>
      <c r="G728" s="802"/>
      <c r="H728" s="781"/>
      <c r="I728" s="803"/>
      <c r="J728" s="779"/>
      <c r="K728" s="800"/>
      <c r="L728" s="800"/>
      <c r="M728" s="779"/>
      <c r="N728" s="779"/>
    </row>
    <row r="729" spans="1:23" s="89" customFormat="1" ht="40.35" customHeight="1">
      <c r="A729" s="564" t="str">
        <f ca="1">INDIRECT("'update Helper'!C"&amp;U729)</f>
        <v>a163p000004VjlZAAS</v>
      </c>
      <c r="B729" s="794">
        <v>3</v>
      </c>
      <c r="C729" s="795" t="str">
        <f ca="1">VLOOKUP(B729,'Coverage Indicators - Section D'!$A$9:$AU$70,47,FALSE)</f>
        <v>KP-1b⁽ᴹ⁾ Porcentaje de personas transgénero alcanzados por programas de prevención del VIH - paquete definido de servicios</v>
      </c>
      <c r="D729" s="796" t="str">
        <f ca="1">R729</f>
        <v/>
      </c>
      <c r="E729" s="796" t="str">
        <f ca="1">S729</f>
        <v/>
      </c>
      <c r="F729" s="127"/>
      <c r="G729" s="797" t="str">
        <f ca="1">IF(OR(INDIRECT("'update Helper'!E"&amp;U729)="",F729&lt;&gt;0,F730&lt;&gt;0),IF(IFERROR((F729/F730),"")="","",(F729/F730)),INDIRECT("'update Helper'!E"&amp;U729)/100)</f>
        <v/>
      </c>
      <c r="H729" s="784"/>
      <c r="I729" s="798"/>
      <c r="J729" s="777"/>
      <c r="K729" s="795" t="str">
        <f ca="1">W729</f>
        <v>KP-1b⁽ᴹ⁾ Percentage of transgender people reached with HIV prevention programs - defined package of services</v>
      </c>
      <c r="L729" s="795" t="str">
        <f ca="1">V729</f>
        <v/>
      </c>
      <c r="M729" s="777"/>
      <c r="N729" s="777"/>
      <c r="P729" s="89">
        <f ca="1">IF(AND(EXACT(C729,C727),C727&lt;&gt;0),P727+1,0)</f>
        <v>14</v>
      </c>
      <c r="Q729" s="89" t="str">
        <f ca="1">IF(C729&lt;&gt;"",C729&amp;"-"&amp;P729,"")</f>
        <v>KP-1b⁽ᴹ⁾ Porcentaje de personas transgénero alcanzados por programas de prevención del VIH - paquete definido de servicios-14</v>
      </c>
      <c r="R729" s="89" t="str">
        <f t="array" aca="1" ref="R729" ca="1">IFERROR(IF(INDEX('Disaggregation Records'!$E$155:$E$385,MATCH(RIGHT(Q729,255),RIGHT('Disaggregation Records'!$D$155:$D$385,255),0))="","",INDEX('Disaggregation Records'!$E$155:$E$385,MATCH(RIGHT(Q729,255),RIGHT('Disaggregation Records'!$D$155:$D$385,255),0))),"")</f>
        <v/>
      </c>
      <c r="S729" s="89" t="str">
        <f t="array" aca="1" ref="S729" ca="1">IFERROR(IF(INDEX('Disaggregation Records'!$F$155:$F$385,MATCH(RIGHT(Q729,255),RIGHT('Disaggregation Records'!$D$155:$D$385,255),0))="","",INDEX('Disaggregation Records'!$F$155:$F$385,MATCH(RIGHT(Q729,255),RIGHT('Disaggregation Records'!$D$155:$D$385,255),0))),"")</f>
        <v/>
      </c>
      <c r="T729" s="89" t="str">
        <f t="array" aca="1" ref="T729" ca="1">IFERROR(IF(INDEX('Disaggregation Records'!$H$155:$H$385,MATCH(RIGHT(Q729,255),RIGHT('Disaggregation Records'!$D$155:$D$385,255),0))="","",INDEX('Disaggregation Records'!$H$155:$H$385,MATCH(RIGHT(Q729,255),RIGHT('Disaggregation Records'!$D$155:$D$385,255),0))),"")</f>
        <v/>
      </c>
      <c r="U729" s="89">
        <f>U727+1</f>
        <v>1474</v>
      </c>
      <c r="V729" s="89" t="str">
        <f t="array" aca="1" ref="V729" ca="1">IFERROR(IF(INDEX('Disaggregation Records'!$I$155:$I$385,MATCH(RIGHT(Q729,255),RIGHT('Disaggregation Records'!$D$155:$D$385,255),0))="","",INDEX('Disaggregation Records'!$I$155:$I$385,MATCH(RIGHT(Q729,255),RIGHT('Disaggregation Records'!$D$155:$D$385,255),0))),"")</f>
        <v/>
      </c>
      <c r="W729" s="89" t="str">
        <f ca="1">IFERROR(INDEX('Reference Records'!L$77:L$157,MATCH(LEFT(C729,255),'Reference Records'!E$77:E$157,0)),"")</f>
        <v>KP-1b⁽ᴹ⁾ Percentage of transgender people reached with HIV prevention programs - defined package of services</v>
      </c>
    </row>
    <row r="730" spans="1:23" s="89" customFormat="1" ht="40.35" customHeight="1">
      <c r="A730" s="564"/>
      <c r="B730" s="799"/>
      <c r="C730" s="800"/>
      <c r="D730" s="801"/>
      <c r="E730" s="801"/>
      <c r="F730" s="128"/>
      <c r="G730" s="802"/>
      <c r="H730" s="781"/>
      <c r="I730" s="803"/>
      <c r="J730" s="779"/>
      <c r="K730" s="800"/>
      <c r="L730" s="800"/>
      <c r="M730" s="779"/>
      <c r="N730" s="779"/>
    </row>
    <row r="731" spans="1:23" s="89" customFormat="1" ht="40.35" customHeight="1">
      <c r="A731" s="564" t="str">
        <f ca="1">INDIRECT("'update Helper'!C"&amp;U731)</f>
        <v>a163p000004VjlaAAC</v>
      </c>
      <c r="B731" s="794">
        <v>3</v>
      </c>
      <c r="C731" s="795" t="str">
        <f ca="1">VLOOKUP(B731,'Coverage Indicators - Section D'!$A$9:$AU$70,47,FALSE)</f>
        <v>KP-1b⁽ᴹ⁾ Porcentaje de personas transgénero alcanzados por programas de prevención del VIH - paquete definido de servicios</v>
      </c>
      <c r="D731" s="796" t="str">
        <f ca="1">R731</f>
        <v/>
      </c>
      <c r="E731" s="796" t="str">
        <f ca="1">S731</f>
        <v/>
      </c>
      <c r="F731" s="127"/>
      <c r="G731" s="797" t="str">
        <f ca="1">IF(OR(INDIRECT("'update Helper'!E"&amp;U731)="",F731&lt;&gt;0,F732&lt;&gt;0),IF(IFERROR((F731/F732),"")="","",(F731/F732)),INDIRECT("'update Helper'!E"&amp;U731)/100)</f>
        <v/>
      </c>
      <c r="H731" s="784"/>
      <c r="I731" s="798"/>
      <c r="J731" s="777"/>
      <c r="K731" s="795" t="str">
        <f ca="1">W731</f>
        <v>KP-1b⁽ᴹ⁾ Percentage of transgender people reached with HIV prevention programs - defined package of services</v>
      </c>
      <c r="L731" s="795" t="str">
        <f ca="1">V731</f>
        <v/>
      </c>
      <c r="M731" s="777"/>
      <c r="N731" s="777"/>
      <c r="P731" s="89">
        <f ca="1">IF(AND(EXACT(C731,C729),C729&lt;&gt;0),P729+1,0)</f>
        <v>15</v>
      </c>
      <c r="Q731" s="89" t="str">
        <f ca="1">IF(C731&lt;&gt;"",C731&amp;"-"&amp;P731,"")</f>
        <v>KP-1b⁽ᴹ⁾ Porcentaje de personas transgénero alcanzados por programas de prevención del VIH - paquete definido de servicios-15</v>
      </c>
      <c r="R731" s="89" t="str">
        <f t="array" aca="1" ref="R731" ca="1">IFERROR(IF(INDEX('Disaggregation Records'!$E$155:$E$385,MATCH(RIGHT(Q731,255),RIGHT('Disaggregation Records'!$D$155:$D$385,255),0))="","",INDEX('Disaggregation Records'!$E$155:$E$385,MATCH(RIGHT(Q731,255),RIGHT('Disaggregation Records'!$D$155:$D$385,255),0))),"")</f>
        <v/>
      </c>
      <c r="S731" s="89" t="str">
        <f t="array" aca="1" ref="S731" ca="1">IFERROR(IF(INDEX('Disaggregation Records'!$F$155:$F$385,MATCH(RIGHT(Q731,255),RIGHT('Disaggregation Records'!$D$155:$D$385,255),0))="","",INDEX('Disaggregation Records'!$F$155:$F$385,MATCH(RIGHT(Q731,255),RIGHT('Disaggregation Records'!$D$155:$D$385,255),0))),"")</f>
        <v/>
      </c>
      <c r="T731" s="89" t="str">
        <f t="array" aca="1" ref="T731" ca="1">IFERROR(IF(INDEX('Disaggregation Records'!$H$155:$H$385,MATCH(RIGHT(Q731,255),RIGHT('Disaggregation Records'!$D$155:$D$385,255),0))="","",INDEX('Disaggregation Records'!$H$155:$H$385,MATCH(RIGHT(Q731,255),RIGHT('Disaggregation Records'!$D$155:$D$385,255),0))),"")</f>
        <v/>
      </c>
      <c r="U731" s="89">
        <f>U729+1</f>
        <v>1475</v>
      </c>
      <c r="V731" s="89" t="str">
        <f t="array" aca="1" ref="V731" ca="1">IFERROR(IF(INDEX('Disaggregation Records'!$I$155:$I$385,MATCH(RIGHT(Q731,255),RIGHT('Disaggregation Records'!$D$155:$D$385,255),0))="","",INDEX('Disaggregation Records'!$I$155:$I$385,MATCH(RIGHT(Q731,255),RIGHT('Disaggregation Records'!$D$155:$D$385,255),0))),"")</f>
        <v/>
      </c>
      <c r="W731" s="89" t="str">
        <f ca="1">IFERROR(INDEX('Reference Records'!L$77:L$157,MATCH(LEFT(C731,255),'Reference Records'!E$77:E$157,0)),"")</f>
        <v>KP-1b⁽ᴹ⁾ Percentage of transgender people reached with HIV prevention programs - defined package of services</v>
      </c>
    </row>
    <row r="732" spans="1:23" s="89" customFormat="1" ht="40.35" customHeight="1">
      <c r="A732" s="564"/>
      <c r="B732" s="799"/>
      <c r="C732" s="800"/>
      <c r="D732" s="801"/>
      <c r="E732" s="801"/>
      <c r="F732" s="128"/>
      <c r="G732" s="802"/>
      <c r="H732" s="781"/>
      <c r="I732" s="803"/>
      <c r="J732" s="779"/>
      <c r="K732" s="800"/>
      <c r="L732" s="800"/>
      <c r="M732" s="779"/>
      <c r="N732" s="779"/>
    </row>
    <row r="733" spans="1:23" s="89" customFormat="1" ht="40.35" customHeight="1">
      <c r="A733" s="564" t="str">
        <f ca="1">INDIRECT("'update Helper'!C"&amp;U733)</f>
        <v>a163p000004VjlbAAC</v>
      </c>
      <c r="B733" s="794">
        <v>3</v>
      </c>
      <c r="C733" s="795" t="str">
        <f ca="1">VLOOKUP(B733,'Coverage Indicators - Section D'!$A$9:$AU$70,47,FALSE)</f>
        <v>KP-1b⁽ᴹ⁾ Porcentaje de personas transgénero alcanzados por programas de prevención del VIH - paquete definido de servicios</v>
      </c>
      <c r="D733" s="796" t="str">
        <f ca="1">R733</f>
        <v/>
      </c>
      <c r="E733" s="796" t="str">
        <f ca="1">S733</f>
        <v/>
      </c>
      <c r="F733" s="127"/>
      <c r="G733" s="797" t="str">
        <f ca="1">IF(OR(INDIRECT("'update Helper'!E"&amp;U733)="",F733&lt;&gt;0,F734&lt;&gt;0),IF(IFERROR((F733/F734),"")="","",(F733/F734)),INDIRECT("'update Helper'!E"&amp;U733)/100)</f>
        <v/>
      </c>
      <c r="H733" s="784"/>
      <c r="I733" s="798"/>
      <c r="J733" s="777"/>
      <c r="K733" s="795" t="str">
        <f ca="1">W733</f>
        <v>KP-1b⁽ᴹ⁾ Percentage of transgender people reached with HIV prevention programs - defined package of services</v>
      </c>
      <c r="L733" s="795" t="str">
        <f ca="1">V733</f>
        <v/>
      </c>
      <c r="M733" s="777"/>
      <c r="N733" s="777"/>
      <c r="P733" s="89">
        <f ca="1">IF(AND(EXACT(C733,C731),C731&lt;&gt;0),P731+1,0)</f>
        <v>16</v>
      </c>
      <c r="Q733" s="89" t="str">
        <f ca="1">IF(C733&lt;&gt;"",C733&amp;"-"&amp;P733,"")</f>
        <v>KP-1b⁽ᴹ⁾ Porcentaje de personas transgénero alcanzados por programas de prevención del VIH - paquete definido de servicios-16</v>
      </c>
      <c r="R733" s="89" t="str">
        <f t="array" aca="1" ref="R733" ca="1">IFERROR(IF(INDEX('Disaggregation Records'!$E$155:$E$385,MATCH(RIGHT(Q733,255),RIGHT('Disaggregation Records'!$D$155:$D$385,255),0))="","",INDEX('Disaggregation Records'!$E$155:$E$385,MATCH(RIGHT(Q733,255),RIGHT('Disaggregation Records'!$D$155:$D$385,255),0))),"")</f>
        <v/>
      </c>
      <c r="S733" s="89" t="str">
        <f t="array" aca="1" ref="S733" ca="1">IFERROR(IF(INDEX('Disaggregation Records'!$F$155:$F$385,MATCH(RIGHT(Q733,255),RIGHT('Disaggregation Records'!$D$155:$D$385,255),0))="","",INDEX('Disaggregation Records'!$F$155:$F$385,MATCH(RIGHT(Q733,255),RIGHT('Disaggregation Records'!$D$155:$D$385,255),0))),"")</f>
        <v/>
      </c>
      <c r="T733" s="89" t="str">
        <f t="array" aca="1" ref="T733" ca="1">IFERROR(IF(INDEX('Disaggregation Records'!$H$155:$H$385,MATCH(RIGHT(Q733,255),RIGHT('Disaggregation Records'!$D$155:$D$385,255),0))="","",INDEX('Disaggregation Records'!$H$155:$H$385,MATCH(RIGHT(Q733,255),RIGHT('Disaggregation Records'!$D$155:$D$385,255),0))),"")</f>
        <v/>
      </c>
      <c r="U733" s="89">
        <f>U731+1</f>
        <v>1476</v>
      </c>
      <c r="V733" s="89" t="str">
        <f t="array" aca="1" ref="V733" ca="1">IFERROR(IF(INDEX('Disaggregation Records'!$I$155:$I$385,MATCH(RIGHT(Q733,255),RIGHT('Disaggregation Records'!$D$155:$D$385,255),0))="","",INDEX('Disaggregation Records'!$I$155:$I$385,MATCH(RIGHT(Q733,255),RIGHT('Disaggregation Records'!$D$155:$D$385,255),0))),"")</f>
        <v/>
      </c>
      <c r="W733" s="89" t="str">
        <f ca="1">IFERROR(INDEX('Reference Records'!L$77:L$157,MATCH(LEFT(C733,255),'Reference Records'!E$77:E$157,0)),"")</f>
        <v>KP-1b⁽ᴹ⁾ Percentage of transgender people reached with HIV prevention programs - defined package of services</v>
      </c>
    </row>
    <row r="734" spans="1:23" s="89" customFormat="1" ht="40.35" customHeight="1">
      <c r="A734" s="564"/>
      <c r="B734" s="799"/>
      <c r="C734" s="800"/>
      <c r="D734" s="801"/>
      <c r="E734" s="801"/>
      <c r="F734" s="128"/>
      <c r="G734" s="802"/>
      <c r="H734" s="781"/>
      <c r="I734" s="803"/>
      <c r="J734" s="779"/>
      <c r="K734" s="800"/>
      <c r="L734" s="800"/>
      <c r="M734" s="779"/>
      <c r="N734" s="779"/>
    </row>
    <row r="735" spans="1:23" s="89" customFormat="1" ht="40.35" customHeight="1">
      <c r="A735" s="564" t="str">
        <f ca="1">INDIRECT("'update Helper'!C"&amp;U735)</f>
        <v>a163p000004VjlcAAC</v>
      </c>
      <c r="B735" s="794">
        <v>3</v>
      </c>
      <c r="C735" s="795" t="str">
        <f ca="1">VLOOKUP(B735,'Coverage Indicators - Section D'!$A$9:$AU$70,47,FALSE)</f>
        <v>KP-1b⁽ᴹ⁾ Porcentaje de personas transgénero alcanzados por programas de prevención del VIH - paquete definido de servicios</v>
      </c>
      <c r="D735" s="796" t="str">
        <f ca="1">R735</f>
        <v/>
      </c>
      <c r="E735" s="796" t="str">
        <f ca="1">S735</f>
        <v/>
      </c>
      <c r="F735" s="127"/>
      <c r="G735" s="797" t="str">
        <f ca="1">IF(OR(INDIRECT("'update Helper'!E"&amp;U735)="",F735&lt;&gt;0,F736&lt;&gt;0),IF(IFERROR((F735/F736),"")="","",(F735/F736)),INDIRECT("'update Helper'!E"&amp;U735)/100)</f>
        <v/>
      </c>
      <c r="H735" s="784"/>
      <c r="I735" s="798"/>
      <c r="J735" s="777"/>
      <c r="K735" s="795" t="str">
        <f ca="1">W735</f>
        <v>KP-1b⁽ᴹ⁾ Percentage of transgender people reached with HIV prevention programs - defined package of services</v>
      </c>
      <c r="L735" s="795" t="str">
        <f ca="1">V735</f>
        <v/>
      </c>
      <c r="M735" s="777"/>
      <c r="N735" s="777"/>
      <c r="P735" s="89">
        <f ca="1">IF(AND(EXACT(C735,C733),C733&lt;&gt;0),P733+1,0)</f>
        <v>17</v>
      </c>
      <c r="Q735" s="89" t="str">
        <f ca="1">IF(C735&lt;&gt;"",C735&amp;"-"&amp;P735,"")</f>
        <v>KP-1b⁽ᴹ⁾ Porcentaje de personas transgénero alcanzados por programas de prevención del VIH - paquete definido de servicios-17</v>
      </c>
      <c r="R735" s="89" t="str">
        <f t="array" aca="1" ref="R735" ca="1">IFERROR(IF(INDEX('Disaggregation Records'!$E$155:$E$385,MATCH(RIGHT(Q735,255),RIGHT('Disaggregation Records'!$D$155:$D$385,255),0))="","",INDEX('Disaggregation Records'!$E$155:$E$385,MATCH(RIGHT(Q735,255),RIGHT('Disaggregation Records'!$D$155:$D$385,255),0))),"")</f>
        <v/>
      </c>
      <c r="S735" s="89" t="str">
        <f t="array" aca="1" ref="S735" ca="1">IFERROR(IF(INDEX('Disaggregation Records'!$F$155:$F$385,MATCH(RIGHT(Q735,255),RIGHT('Disaggregation Records'!$D$155:$D$385,255),0))="","",INDEX('Disaggregation Records'!$F$155:$F$385,MATCH(RIGHT(Q735,255),RIGHT('Disaggregation Records'!$D$155:$D$385,255),0))),"")</f>
        <v/>
      </c>
      <c r="T735" s="89" t="str">
        <f t="array" aca="1" ref="T735" ca="1">IFERROR(IF(INDEX('Disaggregation Records'!$H$155:$H$385,MATCH(RIGHT(Q735,255),RIGHT('Disaggregation Records'!$D$155:$D$385,255),0))="","",INDEX('Disaggregation Records'!$H$155:$H$385,MATCH(RIGHT(Q735,255),RIGHT('Disaggregation Records'!$D$155:$D$385,255),0))),"")</f>
        <v/>
      </c>
      <c r="U735" s="89">
        <f>U733+1</f>
        <v>1477</v>
      </c>
      <c r="V735" s="89" t="str">
        <f t="array" aca="1" ref="V735" ca="1">IFERROR(IF(INDEX('Disaggregation Records'!$I$155:$I$385,MATCH(RIGHT(Q735,255),RIGHT('Disaggregation Records'!$D$155:$D$385,255),0))="","",INDEX('Disaggregation Records'!$I$155:$I$385,MATCH(RIGHT(Q735,255),RIGHT('Disaggregation Records'!$D$155:$D$385,255),0))),"")</f>
        <v/>
      </c>
      <c r="W735" s="89" t="str">
        <f ca="1">IFERROR(INDEX('Reference Records'!L$77:L$157,MATCH(LEFT(C735,255),'Reference Records'!E$77:E$157,0)),"")</f>
        <v>KP-1b⁽ᴹ⁾ Percentage of transgender people reached with HIV prevention programs - defined package of services</v>
      </c>
    </row>
    <row r="736" spans="1:23" s="89" customFormat="1" ht="40.35" customHeight="1">
      <c r="A736" s="564"/>
      <c r="B736" s="799"/>
      <c r="C736" s="800"/>
      <c r="D736" s="801"/>
      <c r="E736" s="801"/>
      <c r="F736" s="128"/>
      <c r="G736" s="802"/>
      <c r="H736" s="781"/>
      <c r="I736" s="803"/>
      <c r="J736" s="779"/>
      <c r="K736" s="800"/>
      <c r="L736" s="800"/>
      <c r="M736" s="779"/>
      <c r="N736" s="779"/>
    </row>
    <row r="737" spans="1:23" s="89" customFormat="1" ht="40.35" customHeight="1">
      <c r="A737" s="564" t="str">
        <f ca="1">INDIRECT("'update Helper'!C"&amp;U737)</f>
        <v>a163p000004VjldAAC</v>
      </c>
      <c r="B737" s="794">
        <v>3</v>
      </c>
      <c r="C737" s="795" t="str">
        <f ca="1">VLOOKUP(B737,'Coverage Indicators - Section D'!$A$9:$AU$70,47,FALSE)</f>
        <v>KP-1b⁽ᴹ⁾ Porcentaje de personas transgénero alcanzados por programas de prevención del VIH - paquete definido de servicios</v>
      </c>
      <c r="D737" s="796" t="str">
        <f ca="1">R737</f>
        <v/>
      </c>
      <c r="E737" s="796" t="str">
        <f ca="1">S737</f>
        <v/>
      </c>
      <c r="F737" s="127"/>
      <c r="G737" s="797" t="str">
        <f ca="1">IF(OR(INDIRECT("'update Helper'!E"&amp;U737)="",F737&lt;&gt;0,F738&lt;&gt;0),IF(IFERROR((F737/F738),"")="","",(F737/F738)),INDIRECT("'update Helper'!E"&amp;U737)/100)</f>
        <v/>
      </c>
      <c r="H737" s="784"/>
      <c r="I737" s="798"/>
      <c r="J737" s="777"/>
      <c r="K737" s="795" t="str">
        <f ca="1">W737</f>
        <v>KP-1b⁽ᴹ⁾ Percentage of transgender people reached with HIV prevention programs - defined package of services</v>
      </c>
      <c r="L737" s="795" t="str">
        <f ca="1">V737</f>
        <v/>
      </c>
      <c r="M737" s="777"/>
      <c r="N737" s="777"/>
      <c r="P737" s="89">
        <f ca="1">IF(AND(EXACT(C737,C735),C735&lt;&gt;0),P735+1,0)</f>
        <v>18</v>
      </c>
      <c r="Q737" s="89" t="str">
        <f ca="1">IF(C737&lt;&gt;"",C737&amp;"-"&amp;P737,"")</f>
        <v>KP-1b⁽ᴹ⁾ Porcentaje de personas transgénero alcanzados por programas de prevención del VIH - paquete definido de servicios-18</v>
      </c>
      <c r="R737" s="89" t="str">
        <f t="array" aca="1" ref="R737" ca="1">IFERROR(IF(INDEX('Disaggregation Records'!$E$155:$E$385,MATCH(RIGHT(Q737,255),RIGHT('Disaggregation Records'!$D$155:$D$385,255),0))="","",INDEX('Disaggregation Records'!$E$155:$E$385,MATCH(RIGHT(Q737,255),RIGHT('Disaggregation Records'!$D$155:$D$385,255),0))),"")</f>
        <v/>
      </c>
      <c r="S737" s="89" t="str">
        <f t="array" aca="1" ref="S737" ca="1">IFERROR(IF(INDEX('Disaggregation Records'!$F$155:$F$385,MATCH(RIGHT(Q737,255),RIGHT('Disaggregation Records'!$D$155:$D$385,255),0))="","",INDEX('Disaggregation Records'!$F$155:$F$385,MATCH(RIGHT(Q737,255),RIGHT('Disaggregation Records'!$D$155:$D$385,255),0))),"")</f>
        <v/>
      </c>
      <c r="T737" s="89" t="str">
        <f t="array" aca="1" ref="T737" ca="1">IFERROR(IF(INDEX('Disaggregation Records'!$H$155:$H$385,MATCH(RIGHT(Q737,255),RIGHT('Disaggregation Records'!$D$155:$D$385,255),0))="","",INDEX('Disaggregation Records'!$H$155:$H$385,MATCH(RIGHT(Q737,255),RIGHT('Disaggregation Records'!$D$155:$D$385,255),0))),"")</f>
        <v/>
      </c>
      <c r="U737" s="89">
        <f>U735+1</f>
        <v>1478</v>
      </c>
      <c r="V737" s="89" t="str">
        <f t="array" aca="1" ref="V737" ca="1">IFERROR(IF(INDEX('Disaggregation Records'!$I$155:$I$385,MATCH(RIGHT(Q737,255),RIGHT('Disaggregation Records'!$D$155:$D$385,255),0))="","",INDEX('Disaggregation Records'!$I$155:$I$385,MATCH(RIGHT(Q737,255),RIGHT('Disaggregation Records'!$D$155:$D$385,255),0))),"")</f>
        <v/>
      </c>
      <c r="W737" s="89" t="str">
        <f ca="1">IFERROR(INDEX('Reference Records'!L$77:L$157,MATCH(LEFT(C737,255),'Reference Records'!E$77:E$157,0)),"")</f>
        <v>KP-1b⁽ᴹ⁾ Percentage of transgender people reached with HIV prevention programs - defined package of services</v>
      </c>
    </row>
    <row r="738" spans="1:23" s="89" customFormat="1" ht="40.35" customHeight="1">
      <c r="A738" s="564"/>
      <c r="B738" s="799"/>
      <c r="C738" s="800"/>
      <c r="D738" s="801"/>
      <c r="E738" s="801"/>
      <c r="F738" s="128"/>
      <c r="G738" s="802"/>
      <c r="H738" s="781"/>
      <c r="I738" s="803"/>
      <c r="J738" s="779"/>
      <c r="K738" s="800"/>
      <c r="L738" s="800"/>
      <c r="M738" s="779"/>
      <c r="N738" s="779"/>
    </row>
    <row r="739" spans="1:23" s="89" customFormat="1" ht="40.35" customHeight="1">
      <c r="A739" s="564" t="str">
        <f ca="1">INDIRECT("'update Helper'!C"&amp;U739)</f>
        <v>a163p000004VjleAAC</v>
      </c>
      <c r="B739" s="794">
        <v>3</v>
      </c>
      <c r="C739" s="795" t="str">
        <f ca="1">VLOOKUP(B739,'Coverage Indicators - Section D'!$A$9:$AU$70,47,FALSE)</f>
        <v>KP-1b⁽ᴹ⁾ Porcentaje de personas transgénero alcanzados por programas de prevención del VIH - paquete definido de servicios</v>
      </c>
      <c r="D739" s="796" t="str">
        <f ca="1">R739</f>
        <v/>
      </c>
      <c r="E739" s="796" t="str">
        <f ca="1">S739</f>
        <v/>
      </c>
      <c r="F739" s="127"/>
      <c r="G739" s="797" t="str">
        <f ca="1">IF(OR(INDIRECT("'update Helper'!E"&amp;U739)="",F739&lt;&gt;0,F740&lt;&gt;0),IF(IFERROR((F739/F740),"")="","",(F739/F740)),INDIRECT("'update Helper'!E"&amp;U739)/100)</f>
        <v/>
      </c>
      <c r="H739" s="784"/>
      <c r="I739" s="798"/>
      <c r="J739" s="777"/>
      <c r="K739" s="795" t="str">
        <f ca="1">W739</f>
        <v>KP-1b⁽ᴹ⁾ Percentage of transgender people reached with HIV prevention programs - defined package of services</v>
      </c>
      <c r="L739" s="795" t="str">
        <f ca="1">V739</f>
        <v/>
      </c>
      <c r="M739" s="777"/>
      <c r="N739" s="777"/>
      <c r="P739" s="89">
        <f ca="1">IF(AND(EXACT(C739,C737),C737&lt;&gt;0),P737+1,0)</f>
        <v>19</v>
      </c>
      <c r="Q739" s="89" t="str">
        <f ca="1">IF(C739&lt;&gt;"",C739&amp;"-"&amp;P739,"")</f>
        <v>KP-1b⁽ᴹ⁾ Porcentaje de personas transgénero alcanzados por programas de prevención del VIH - paquete definido de servicios-19</v>
      </c>
      <c r="R739" s="89" t="str">
        <f t="array" aca="1" ref="R739" ca="1">IFERROR(IF(INDEX('Disaggregation Records'!$E$155:$E$385,MATCH(RIGHT(Q739,255),RIGHT('Disaggregation Records'!$D$155:$D$385,255),0))="","",INDEX('Disaggregation Records'!$E$155:$E$385,MATCH(RIGHT(Q739,255),RIGHT('Disaggregation Records'!$D$155:$D$385,255),0))),"")</f>
        <v/>
      </c>
      <c r="S739" s="89" t="str">
        <f t="array" aca="1" ref="S739" ca="1">IFERROR(IF(INDEX('Disaggregation Records'!$F$155:$F$385,MATCH(RIGHT(Q739,255),RIGHT('Disaggregation Records'!$D$155:$D$385,255),0))="","",INDEX('Disaggregation Records'!$F$155:$F$385,MATCH(RIGHT(Q739,255),RIGHT('Disaggregation Records'!$D$155:$D$385,255),0))),"")</f>
        <v/>
      </c>
      <c r="T739" s="89" t="str">
        <f t="array" aca="1" ref="T739" ca="1">IFERROR(IF(INDEX('Disaggregation Records'!$H$155:$H$385,MATCH(RIGHT(Q739,255),RIGHT('Disaggregation Records'!$D$155:$D$385,255),0))="","",INDEX('Disaggregation Records'!$H$155:$H$385,MATCH(RIGHT(Q739,255),RIGHT('Disaggregation Records'!$D$155:$D$385,255),0))),"")</f>
        <v/>
      </c>
      <c r="U739" s="89">
        <f>U737+1</f>
        <v>1479</v>
      </c>
      <c r="V739" s="89" t="str">
        <f t="array" aca="1" ref="V739" ca="1">IFERROR(IF(INDEX('Disaggregation Records'!$I$155:$I$385,MATCH(RIGHT(Q739,255),RIGHT('Disaggregation Records'!$D$155:$D$385,255),0))="","",INDEX('Disaggregation Records'!$I$155:$I$385,MATCH(RIGHT(Q739,255),RIGHT('Disaggregation Records'!$D$155:$D$385,255),0))),"")</f>
        <v/>
      </c>
      <c r="W739" s="89" t="str">
        <f ca="1">IFERROR(INDEX('Reference Records'!L$77:L$157,MATCH(LEFT(C739,255),'Reference Records'!E$77:E$157,0)),"")</f>
        <v>KP-1b⁽ᴹ⁾ Percentage of transgender people reached with HIV prevention programs - defined package of services</v>
      </c>
    </row>
    <row r="740" spans="1:23" s="89" customFormat="1" ht="40.35" customHeight="1">
      <c r="A740" s="564"/>
      <c r="B740" s="799"/>
      <c r="C740" s="800"/>
      <c r="D740" s="801"/>
      <c r="E740" s="801"/>
      <c r="F740" s="128"/>
      <c r="G740" s="802"/>
      <c r="H740" s="781"/>
      <c r="I740" s="803"/>
      <c r="J740" s="779"/>
      <c r="K740" s="800"/>
      <c r="L740" s="800"/>
      <c r="M740" s="779"/>
      <c r="N740" s="779"/>
    </row>
    <row r="741" spans="1:23" s="89" customFormat="1" ht="40.35" customHeight="1">
      <c r="A741" s="564" t="str">
        <f ca="1">INDIRECT("'update Helper'!C"&amp;U741)</f>
        <v>a163p000004VjlfAAC</v>
      </c>
      <c r="B741" s="794">
        <v>4</v>
      </c>
      <c r="C741" s="795" t="str">
        <f ca="1">VLOOKUP(B741,'Coverage Indicators - Section D'!$A$9:$AU$70,47,FALSE)</f>
        <v>HTS-3b⁽ᴹ⁾ Porcentaje de personas transgénero a los que se les ha realizado una prueba de VIH durante el período de reporte y que conocen sus resultados</v>
      </c>
      <c r="D741" s="796" t="str">
        <f ca="1">R741</f>
        <v>Resultado de prueba del VIH</v>
      </c>
      <c r="E741" s="796" t="str">
        <f ca="1">S741</f>
        <v>Negativo</v>
      </c>
      <c r="F741" s="418">
        <v>381</v>
      </c>
      <c r="G741" s="806">
        <f ca="1">IF(OR(INDIRECT("'update Helper'!E"&amp;U741)="",F741&lt;&gt;0,F742&lt;&gt;0),IF(IFERROR((F741/F742),"")="","",(F741/F742)),INDIRECT("'update Helper'!E"&amp;U741)/100)</f>
        <v>0.87788018433179726</v>
      </c>
      <c r="H741" s="804">
        <v>2021</v>
      </c>
      <c r="I741" s="798"/>
      <c r="J741" s="777"/>
      <c r="K741" s="795" t="str">
        <f ca="1">W741</f>
        <v>HTS-3b⁽ᴹ⁾ Percentage of transgender people that have received an HIV test during the reporting period and know their results</v>
      </c>
      <c r="L741" s="795" t="str">
        <f ca="1">V741</f>
        <v>HIV test status</v>
      </c>
      <c r="M741" s="777"/>
      <c r="N741" s="777"/>
      <c r="P741" s="89">
        <f ca="1">IF(AND(EXACT(C741,C739),C739&lt;&gt;0),P739+1,0)</f>
        <v>0</v>
      </c>
      <c r="Q741" s="89" t="str">
        <f ca="1">IF(C741&lt;&gt;"",C741&amp;"-"&amp;P741,"")</f>
        <v>HTS-3b⁽ᴹ⁾ Porcentaje de personas transgénero a los que se les ha realizado una prueba de VIH durante el período de reporte y que conocen sus resultados-0</v>
      </c>
      <c r="R741" s="89" t="str">
        <f t="array" aca="1" ref="R741" ca="1">IFERROR(IF(INDEX('Disaggregation Records'!$E$155:$E$385,MATCH(RIGHT(Q741,255),RIGHT('Disaggregation Records'!$D$155:$D$385,255),0))="","",INDEX('Disaggregation Records'!$E$155:$E$385,MATCH(RIGHT(Q741,255),RIGHT('Disaggregation Records'!$D$155:$D$385,255),0))),"")</f>
        <v>Resultado de prueba del VIH</v>
      </c>
      <c r="S741" s="89" t="str">
        <f t="array" aca="1" ref="S741" ca="1">IFERROR(IF(INDEX('Disaggregation Records'!$F$155:$F$385,MATCH(RIGHT(Q741,255),RIGHT('Disaggregation Records'!$D$155:$D$385,255),0))="","",INDEX('Disaggregation Records'!$F$155:$F$385,MATCH(RIGHT(Q741,255),RIGHT('Disaggregation Records'!$D$155:$D$385,255),0))),"")</f>
        <v>Negativo</v>
      </c>
      <c r="T741" s="89" t="str">
        <f t="array" aca="1" ref="T741" ca="1">IFERROR(IF(INDEX('Disaggregation Records'!$H$155:$H$385,MATCH(RIGHT(Q741,255),RIGHT('Disaggregation Records'!$D$155:$D$385,255),0))="","",INDEX('Disaggregation Records'!$H$155:$H$385,MATCH(RIGHT(Q741,255),RIGHT('Disaggregation Records'!$D$155:$D$385,255),0))),"")</f>
        <v>IDR-00922</v>
      </c>
      <c r="U741" s="89">
        <f>U739+1</f>
        <v>1480</v>
      </c>
      <c r="V741" s="89" t="str">
        <f t="array" aca="1" ref="V741" ca="1">IFERROR(IF(INDEX('Disaggregation Records'!$I$155:$I$385,MATCH(RIGHT(Q741,255),RIGHT('Disaggregation Records'!$D$155:$D$385,255),0))="","",INDEX('Disaggregation Records'!$I$155:$I$385,MATCH(RIGHT(Q741,255),RIGHT('Disaggregation Records'!$D$155:$D$385,255),0))),"")</f>
        <v>HIV test status</v>
      </c>
      <c r="W741" s="89" t="str">
        <f ca="1">IFERROR(INDEX('Reference Records'!L$77:L$157,MATCH(LEFT(C741,255),'Reference Records'!E$77:E$157,0)),"")</f>
        <v>HTS-3b⁽ᴹ⁾ Percentage of transgender people that have received an HIV test during the reporting period and know their results</v>
      </c>
    </row>
    <row r="742" spans="1:23" s="89" customFormat="1" ht="40.35" customHeight="1">
      <c r="A742" s="564"/>
      <c r="B742" s="799"/>
      <c r="C742" s="800"/>
      <c r="D742" s="801"/>
      <c r="E742" s="801"/>
      <c r="F742" s="425">
        <v>434</v>
      </c>
      <c r="G742" s="807"/>
      <c r="H742" s="805"/>
      <c r="I742" s="803"/>
      <c r="J742" s="779"/>
      <c r="K742" s="800"/>
      <c r="L742" s="800"/>
      <c r="M742" s="779"/>
      <c r="N742" s="779"/>
    </row>
    <row r="743" spans="1:23" s="89" customFormat="1" ht="40.35" customHeight="1">
      <c r="A743" s="564" t="str">
        <f ca="1">INDIRECT("'update Helper'!C"&amp;U743)</f>
        <v>a163p000004VjlgAAC</v>
      </c>
      <c r="B743" s="794">
        <v>4</v>
      </c>
      <c r="C743" s="795" t="str">
        <f ca="1">VLOOKUP(B743,'Coverage Indicators - Section D'!$A$9:$AU$70,47,FALSE)</f>
        <v>HTS-3b⁽ᴹ⁾ Porcentaje de personas transgénero a los que se les ha realizado una prueba de VIH durante el período de reporte y que conocen sus resultados</v>
      </c>
      <c r="D743" s="796" t="str">
        <f ca="1">R743</f>
        <v>Resultado de prueba del VIH</v>
      </c>
      <c r="E743" s="796" t="str">
        <f ca="1">S743</f>
        <v>Positivo</v>
      </c>
      <c r="F743" s="418">
        <v>53</v>
      </c>
      <c r="G743" s="806">
        <f ca="1">IF(OR(INDIRECT("'update Helper'!E"&amp;U743)="",F743&lt;&gt;0,F744&lt;&gt;0),IF(IFERROR((F743/F744),"")="","",(F743/F744)),INDIRECT("'update Helper'!E"&amp;U743)/100)</f>
        <v>0.12211981566820276</v>
      </c>
      <c r="H743" s="804">
        <v>2021</v>
      </c>
      <c r="I743" s="798"/>
      <c r="J743" s="777" t="s">
        <v>5506</v>
      </c>
      <c r="K743" s="795" t="str">
        <f ca="1">W743</f>
        <v>HTS-3b⁽ᴹ⁾ Percentage of transgender people that have received an HIV test during the reporting period and know their results</v>
      </c>
      <c r="L743" s="795" t="str">
        <f ca="1">V743</f>
        <v>HIV test status</v>
      </c>
      <c r="M743" s="777"/>
      <c r="N743" s="777"/>
      <c r="P743" s="89">
        <f ca="1">IF(AND(EXACT(C743,C741),C741&lt;&gt;0),P741+1,0)</f>
        <v>1</v>
      </c>
      <c r="Q743" s="89" t="str">
        <f ca="1">IF(C743&lt;&gt;"",C743&amp;"-"&amp;P743,"")</f>
        <v>HTS-3b⁽ᴹ⁾ Porcentaje de personas transgénero a los que se les ha realizado una prueba de VIH durante el período de reporte y que conocen sus resultados-1</v>
      </c>
      <c r="R743" s="89" t="str">
        <f t="array" aca="1" ref="R743" ca="1">IFERROR(IF(INDEX('Disaggregation Records'!$E$155:$E$385,MATCH(RIGHT(Q743,255),RIGHT('Disaggregation Records'!$D$155:$D$385,255),0))="","",INDEX('Disaggregation Records'!$E$155:$E$385,MATCH(RIGHT(Q743,255),RIGHT('Disaggregation Records'!$D$155:$D$385,255),0))),"")</f>
        <v>Resultado de prueba del VIH</v>
      </c>
      <c r="S743" s="89" t="str">
        <f t="array" aca="1" ref="S743" ca="1">IFERROR(IF(INDEX('Disaggregation Records'!$F$155:$F$385,MATCH(RIGHT(Q743,255),RIGHT('Disaggregation Records'!$D$155:$D$385,255),0))="","",INDEX('Disaggregation Records'!$F$155:$F$385,MATCH(RIGHT(Q743,255),RIGHT('Disaggregation Records'!$D$155:$D$385,255),0))),"")</f>
        <v>Positivo</v>
      </c>
      <c r="T743" s="89" t="str">
        <f t="array" aca="1" ref="T743" ca="1">IFERROR(IF(INDEX('Disaggregation Records'!$H$155:$H$385,MATCH(RIGHT(Q743,255),RIGHT('Disaggregation Records'!$D$155:$D$385,255),0))="","",INDEX('Disaggregation Records'!$H$155:$H$385,MATCH(RIGHT(Q743,255),RIGHT('Disaggregation Records'!$D$155:$D$385,255),0))),"")</f>
        <v>IDR-00921</v>
      </c>
      <c r="U743" s="89">
        <f>U741+1</f>
        <v>1481</v>
      </c>
      <c r="V743" s="89" t="str">
        <f t="array" aca="1" ref="V743" ca="1">IFERROR(IF(INDEX('Disaggregation Records'!$I$155:$I$385,MATCH(RIGHT(Q743,255),RIGHT('Disaggregation Records'!$D$155:$D$385,255),0))="","",INDEX('Disaggregation Records'!$I$155:$I$385,MATCH(RIGHT(Q743,255),RIGHT('Disaggregation Records'!$D$155:$D$385,255),0))),"")</f>
        <v>HIV test status</v>
      </c>
      <c r="W743" s="89" t="str">
        <f ca="1">IFERROR(INDEX('Reference Records'!L$77:L$157,MATCH(LEFT(C743,255),'Reference Records'!E$77:E$157,0)),"")</f>
        <v>HTS-3b⁽ᴹ⁾ Percentage of transgender people that have received an HIV test during the reporting period and know their results</v>
      </c>
    </row>
    <row r="744" spans="1:23" s="89" customFormat="1" ht="40.35" customHeight="1">
      <c r="A744" s="564"/>
      <c r="B744" s="799"/>
      <c r="C744" s="800"/>
      <c r="D744" s="801"/>
      <c r="E744" s="801"/>
      <c r="F744" s="425">
        <f>+F742</f>
        <v>434</v>
      </c>
      <c r="G744" s="807"/>
      <c r="H744" s="805"/>
      <c r="I744" s="803"/>
      <c r="J744" s="779"/>
      <c r="K744" s="800"/>
      <c r="L744" s="800"/>
      <c r="M744" s="779"/>
      <c r="N744" s="779"/>
    </row>
    <row r="745" spans="1:23" s="89" customFormat="1" ht="40.35" customHeight="1">
      <c r="A745" s="564" t="str">
        <f ca="1">INDIRECT("'update Helper'!C"&amp;U745)</f>
        <v>a163p000004VjlhAAC</v>
      </c>
      <c r="B745" s="794">
        <v>4</v>
      </c>
      <c r="C745" s="795" t="str">
        <f ca="1">VLOOKUP(B745,'Coverage Indicators - Section D'!$A$9:$AU$70,47,FALSE)</f>
        <v>HTS-3b⁽ᴹ⁾ Porcentaje de personas transgénero a los que se les ha realizado una prueba de VIH durante el período de reporte y que conocen sus resultados</v>
      </c>
      <c r="D745" s="796" t="str">
        <f ca="1">R745</f>
        <v>Edad</v>
      </c>
      <c r="E745" s="796" t="str">
        <f ca="1">S745</f>
        <v>25+</v>
      </c>
      <c r="F745" s="418">
        <v>296</v>
      </c>
      <c r="G745" s="806">
        <f ca="1">IF(OR(INDIRECT("'update Helper'!E"&amp;U745)="",F745&lt;&gt;0,F746&lt;&gt;0),IF(IFERROR((F745/F746),"")="","",(F745/F746)),INDIRECT("'update Helper'!E"&amp;U745)/100)</f>
        <v>0.23890234059725585</v>
      </c>
      <c r="H745" s="804">
        <v>2021</v>
      </c>
      <c r="I745" s="798"/>
      <c r="J745" s="777" t="s">
        <v>5505</v>
      </c>
      <c r="K745" s="795" t="str">
        <f ca="1">W745</f>
        <v>HTS-3b⁽ᴹ⁾ Percentage of transgender people that have received an HIV test during the reporting period and know their results</v>
      </c>
      <c r="L745" s="795" t="str">
        <f ca="1">V745</f>
        <v>Age</v>
      </c>
      <c r="M745" s="777"/>
      <c r="N745" s="777"/>
      <c r="P745" s="89">
        <f ca="1">IF(AND(EXACT(C745,C743),C743&lt;&gt;0),P743+1,0)</f>
        <v>2</v>
      </c>
      <c r="Q745" s="89" t="str">
        <f ca="1">IF(C745&lt;&gt;"",C745&amp;"-"&amp;P745,"")</f>
        <v>HTS-3b⁽ᴹ⁾ Porcentaje de personas transgénero a los que se les ha realizado una prueba de VIH durante el período de reporte y que conocen sus resultados-2</v>
      </c>
      <c r="R745" s="89" t="str">
        <f t="array" aca="1" ref="R745" ca="1">IFERROR(IF(INDEX('Disaggregation Records'!$E$155:$E$385,MATCH(RIGHT(Q745,255),RIGHT('Disaggregation Records'!$D$155:$D$385,255),0))="","",INDEX('Disaggregation Records'!$E$155:$E$385,MATCH(RIGHT(Q745,255),RIGHT('Disaggregation Records'!$D$155:$D$385,255),0))),"")</f>
        <v>Edad</v>
      </c>
      <c r="S745" s="89" t="str">
        <f t="array" aca="1" ref="S745" ca="1">IFERROR(IF(INDEX('Disaggregation Records'!$F$155:$F$385,MATCH(RIGHT(Q745,255),RIGHT('Disaggregation Records'!$D$155:$D$385,255),0))="","",INDEX('Disaggregation Records'!$F$155:$F$385,MATCH(RIGHT(Q745,255),RIGHT('Disaggregation Records'!$D$155:$D$385,255),0))),"")</f>
        <v>25+</v>
      </c>
      <c r="T745" s="89" t="str">
        <f t="array" aca="1" ref="T745" ca="1">IFERROR(IF(INDEX('Disaggregation Records'!$H$155:$H$385,MATCH(RIGHT(Q745,255),RIGHT('Disaggregation Records'!$D$155:$D$385,255),0))="","",INDEX('Disaggregation Records'!$H$155:$H$385,MATCH(RIGHT(Q745,255),RIGHT('Disaggregation Records'!$D$155:$D$385,255),0))),"")</f>
        <v>IDR-00716</v>
      </c>
      <c r="U745" s="89">
        <f>U743+1</f>
        <v>1482</v>
      </c>
      <c r="V745" s="89" t="str">
        <f t="array" aca="1" ref="V745" ca="1">IFERROR(IF(INDEX('Disaggregation Records'!$I$155:$I$385,MATCH(RIGHT(Q745,255),RIGHT('Disaggregation Records'!$D$155:$D$385,255),0))="","",INDEX('Disaggregation Records'!$I$155:$I$385,MATCH(RIGHT(Q745,255),RIGHT('Disaggregation Records'!$D$155:$D$385,255),0))),"")</f>
        <v>Age</v>
      </c>
      <c r="W745" s="89" t="str">
        <f ca="1">IFERROR(INDEX('Reference Records'!L$77:L$157,MATCH(LEFT(C745,255),'Reference Records'!E$77:E$157,0)),"")</f>
        <v>HTS-3b⁽ᴹ⁾ Percentage of transgender people that have received an HIV test during the reporting period and know their results</v>
      </c>
    </row>
    <row r="746" spans="1:23" s="89" customFormat="1" ht="40.35" customHeight="1">
      <c r="A746" s="564"/>
      <c r="B746" s="799"/>
      <c r="C746" s="800"/>
      <c r="D746" s="801"/>
      <c r="E746" s="801"/>
      <c r="F746" s="425">
        <v>1239</v>
      </c>
      <c r="G746" s="807"/>
      <c r="H746" s="805"/>
      <c r="I746" s="803"/>
      <c r="J746" s="779"/>
      <c r="K746" s="800"/>
      <c r="L746" s="800"/>
      <c r="M746" s="779"/>
      <c r="N746" s="779"/>
    </row>
    <row r="747" spans="1:23" s="89" customFormat="1" ht="40.35" customHeight="1">
      <c r="A747" s="564" t="str">
        <f ca="1">INDIRECT("'update Helper'!C"&amp;U747)</f>
        <v>a163p000004VjliAAC</v>
      </c>
      <c r="B747" s="794">
        <v>4</v>
      </c>
      <c r="C747" s="795" t="str">
        <f ca="1">VLOOKUP(B747,'Coverage Indicators - Section D'!$A$9:$AU$70,47,FALSE)</f>
        <v>HTS-3b⁽ᴹ⁾ Porcentaje de personas transgénero a los que se les ha realizado una prueba de VIH durante el período de reporte y que conocen sus resultados</v>
      </c>
      <c r="D747" s="796" t="str">
        <f ca="1">R747</f>
        <v>Edad</v>
      </c>
      <c r="E747" s="796" t="str">
        <f ca="1">S747</f>
        <v>&lt;25</v>
      </c>
      <c r="F747" s="418">
        <v>138</v>
      </c>
      <c r="G747" s="806">
        <f ca="1">IF(OR(INDIRECT("'update Helper'!E"&amp;U747)="",F747&lt;&gt;0,F748&lt;&gt;0),IF(IFERROR((F747/F748),"")="","",(F747/F748)),INDIRECT("'update Helper'!E"&amp;U747)/100)</f>
        <v>0.29613733905579398</v>
      </c>
      <c r="H747" s="804">
        <v>2021</v>
      </c>
      <c r="I747" s="798"/>
      <c r="J747" s="777" t="s">
        <v>5505</v>
      </c>
      <c r="K747" s="795" t="str">
        <f ca="1">W747</f>
        <v>HTS-3b⁽ᴹ⁾ Percentage of transgender people that have received an HIV test during the reporting period and know their results</v>
      </c>
      <c r="L747" s="795" t="str">
        <f ca="1">V747</f>
        <v>Age</v>
      </c>
      <c r="M747" s="777"/>
      <c r="N747" s="777"/>
      <c r="P747" s="89">
        <f ca="1">IF(AND(EXACT(C747,C745),C745&lt;&gt;0),P745+1,0)</f>
        <v>3</v>
      </c>
      <c r="Q747" s="89" t="str">
        <f ca="1">IF(C747&lt;&gt;"",C747&amp;"-"&amp;P747,"")</f>
        <v>HTS-3b⁽ᴹ⁾ Porcentaje de personas transgénero a los que se les ha realizado una prueba de VIH durante el período de reporte y que conocen sus resultados-3</v>
      </c>
      <c r="R747" s="89" t="str">
        <f t="array" aca="1" ref="R747" ca="1">IFERROR(IF(INDEX('Disaggregation Records'!$E$155:$E$385,MATCH(RIGHT(Q747,255),RIGHT('Disaggregation Records'!$D$155:$D$385,255),0))="","",INDEX('Disaggregation Records'!$E$155:$E$385,MATCH(RIGHT(Q747,255),RIGHT('Disaggregation Records'!$D$155:$D$385,255),0))),"")</f>
        <v>Edad</v>
      </c>
      <c r="S747" s="89" t="str">
        <f t="array" aca="1" ref="S747" ca="1">IFERROR(IF(INDEX('Disaggregation Records'!$F$155:$F$385,MATCH(RIGHT(Q747,255),RIGHT('Disaggregation Records'!$D$155:$D$385,255),0))="","",INDEX('Disaggregation Records'!$F$155:$F$385,MATCH(RIGHT(Q747,255),RIGHT('Disaggregation Records'!$D$155:$D$385,255),0))),"")</f>
        <v>&lt;25</v>
      </c>
      <c r="T747" s="89" t="str">
        <f t="array" aca="1" ref="T747" ca="1">IFERROR(IF(INDEX('Disaggregation Records'!$H$155:$H$385,MATCH(RIGHT(Q747,255),RIGHT('Disaggregation Records'!$D$155:$D$385,255),0))="","",INDEX('Disaggregation Records'!$H$155:$H$385,MATCH(RIGHT(Q747,255),RIGHT('Disaggregation Records'!$D$155:$D$385,255),0))),"")</f>
        <v>IDR-00715</v>
      </c>
      <c r="U747" s="89">
        <f>U745+1</f>
        <v>1483</v>
      </c>
      <c r="V747" s="89" t="str">
        <f t="array" aca="1" ref="V747" ca="1">IFERROR(IF(INDEX('Disaggregation Records'!$I$155:$I$385,MATCH(RIGHT(Q747,255),RIGHT('Disaggregation Records'!$D$155:$D$385,255),0))="","",INDEX('Disaggregation Records'!$I$155:$I$385,MATCH(RIGHT(Q747,255),RIGHT('Disaggregation Records'!$D$155:$D$385,255),0))),"")</f>
        <v>Age</v>
      </c>
      <c r="W747" s="89" t="str">
        <f ca="1">IFERROR(INDEX('Reference Records'!L$77:L$157,MATCH(LEFT(C747,255),'Reference Records'!E$77:E$157,0)),"")</f>
        <v>HTS-3b⁽ᴹ⁾ Percentage of transgender people that have received an HIV test during the reporting period and know their results</v>
      </c>
    </row>
    <row r="748" spans="1:23" s="89" customFormat="1" ht="40.35" customHeight="1">
      <c r="A748" s="564"/>
      <c r="B748" s="799"/>
      <c r="C748" s="800"/>
      <c r="D748" s="801"/>
      <c r="E748" s="801"/>
      <c r="F748" s="425">
        <v>466</v>
      </c>
      <c r="G748" s="807"/>
      <c r="H748" s="805"/>
      <c r="I748" s="803"/>
      <c r="J748" s="779"/>
      <c r="K748" s="800"/>
      <c r="L748" s="800"/>
      <c r="M748" s="779"/>
      <c r="N748" s="779"/>
    </row>
    <row r="749" spans="1:23" s="89" customFormat="1" ht="40.35" customHeight="1">
      <c r="A749" s="564" t="str">
        <f ca="1">INDIRECT("'update Helper'!C"&amp;U749)</f>
        <v>a163p000004VjljAAC</v>
      </c>
      <c r="B749" s="794">
        <v>4</v>
      </c>
      <c r="C749" s="795" t="str">
        <f ca="1">VLOOKUP(B749,'Coverage Indicators - Section D'!$A$9:$AU$70,47,FALSE)</f>
        <v>HTS-3b⁽ᴹ⁾ Porcentaje de personas transgénero a los que se les ha realizado una prueba de VIH durante el período de reporte y que conocen sus resultados</v>
      </c>
      <c r="D749" s="796" t="str">
        <f ca="1">R749</f>
        <v/>
      </c>
      <c r="E749" s="796" t="str">
        <f ca="1">S749</f>
        <v/>
      </c>
      <c r="F749" s="127"/>
      <c r="G749" s="797" t="str">
        <f ca="1">IF(OR(INDIRECT("'update Helper'!E"&amp;U749)="",F749&lt;&gt;0,F750&lt;&gt;0),IF(IFERROR((F749/F750),"")="","",(F749/F750)),INDIRECT("'update Helper'!E"&amp;U749)/100)</f>
        <v/>
      </c>
      <c r="H749" s="784"/>
      <c r="I749" s="798"/>
      <c r="J749" s="777"/>
      <c r="K749" s="795" t="str">
        <f ca="1">W749</f>
        <v>HTS-3b⁽ᴹ⁾ Percentage of transgender people that have received an HIV test during the reporting period and know their results</v>
      </c>
      <c r="L749" s="795" t="str">
        <f ca="1">V749</f>
        <v/>
      </c>
      <c r="M749" s="777"/>
      <c r="N749" s="777"/>
      <c r="P749" s="89">
        <f ca="1">IF(AND(EXACT(C749,C747),C747&lt;&gt;0),P747+1,0)</f>
        <v>4</v>
      </c>
      <c r="Q749" s="89" t="str">
        <f ca="1">IF(C749&lt;&gt;"",C749&amp;"-"&amp;P749,"")</f>
        <v>HTS-3b⁽ᴹ⁾ Porcentaje de personas transgénero a los que se les ha realizado una prueba de VIH durante el período de reporte y que conocen sus resultados-4</v>
      </c>
      <c r="R749" s="89" t="str">
        <f t="array" aca="1" ref="R749" ca="1">IFERROR(IF(INDEX('Disaggregation Records'!$E$155:$E$385,MATCH(RIGHT(Q749,255),RIGHT('Disaggregation Records'!$D$155:$D$385,255),0))="","",INDEX('Disaggregation Records'!$E$155:$E$385,MATCH(RIGHT(Q749,255),RIGHT('Disaggregation Records'!$D$155:$D$385,255),0))),"")</f>
        <v/>
      </c>
      <c r="S749" s="89" t="str">
        <f t="array" aca="1" ref="S749" ca="1">IFERROR(IF(INDEX('Disaggregation Records'!$F$155:$F$385,MATCH(RIGHT(Q749,255),RIGHT('Disaggregation Records'!$D$155:$D$385,255),0))="","",INDEX('Disaggregation Records'!$F$155:$F$385,MATCH(RIGHT(Q749,255),RIGHT('Disaggregation Records'!$D$155:$D$385,255),0))),"")</f>
        <v/>
      </c>
      <c r="T749" s="89" t="str">
        <f t="array" aca="1" ref="T749" ca="1">IFERROR(IF(INDEX('Disaggregation Records'!$H$155:$H$385,MATCH(RIGHT(Q749,255),RIGHT('Disaggregation Records'!$D$155:$D$385,255),0))="","",INDEX('Disaggregation Records'!$H$155:$H$385,MATCH(RIGHT(Q749,255),RIGHT('Disaggregation Records'!$D$155:$D$385,255),0))),"")</f>
        <v/>
      </c>
      <c r="U749" s="89">
        <f>U747+1</f>
        <v>1484</v>
      </c>
      <c r="V749" s="89" t="str">
        <f t="array" aca="1" ref="V749" ca="1">IFERROR(IF(INDEX('Disaggregation Records'!$I$155:$I$385,MATCH(RIGHT(Q749,255),RIGHT('Disaggregation Records'!$D$155:$D$385,255),0))="","",INDEX('Disaggregation Records'!$I$155:$I$385,MATCH(RIGHT(Q749,255),RIGHT('Disaggregation Records'!$D$155:$D$385,255),0))),"")</f>
        <v/>
      </c>
      <c r="W749" s="89" t="str">
        <f ca="1">IFERROR(INDEX('Reference Records'!L$77:L$157,MATCH(LEFT(C749,255),'Reference Records'!E$77:E$157,0)),"")</f>
        <v>HTS-3b⁽ᴹ⁾ Percentage of transgender people that have received an HIV test during the reporting period and know their results</v>
      </c>
    </row>
    <row r="750" spans="1:23" s="89" customFormat="1" ht="40.35" customHeight="1">
      <c r="A750" s="564"/>
      <c r="B750" s="799"/>
      <c r="C750" s="800"/>
      <c r="D750" s="801"/>
      <c r="E750" s="801"/>
      <c r="F750" s="128"/>
      <c r="G750" s="802"/>
      <c r="H750" s="781"/>
      <c r="I750" s="803"/>
      <c r="J750" s="779"/>
      <c r="K750" s="800"/>
      <c r="L750" s="800"/>
      <c r="M750" s="779"/>
      <c r="N750" s="779"/>
    </row>
    <row r="751" spans="1:23" s="89" customFormat="1" ht="40.35" customHeight="1">
      <c r="A751" s="564" t="str">
        <f ca="1">INDIRECT("'update Helper'!C"&amp;U751)</f>
        <v>a163p000004VjlkAAC</v>
      </c>
      <c r="B751" s="794">
        <v>4</v>
      </c>
      <c r="C751" s="795" t="str">
        <f ca="1">VLOOKUP(B751,'Coverage Indicators - Section D'!$A$9:$AU$70,47,FALSE)</f>
        <v>HTS-3b⁽ᴹ⁾ Porcentaje de personas transgénero a los que se les ha realizado una prueba de VIH durante el período de reporte y que conocen sus resultados</v>
      </c>
      <c r="D751" s="796" t="str">
        <f ca="1">R751</f>
        <v/>
      </c>
      <c r="E751" s="796" t="str">
        <f ca="1">S751</f>
        <v/>
      </c>
      <c r="F751" s="127"/>
      <c r="G751" s="797" t="str">
        <f ca="1">IF(OR(INDIRECT("'update Helper'!E"&amp;U751)="",F751&lt;&gt;0,F752&lt;&gt;0),IF(IFERROR((F751/F752),"")="","",(F751/F752)),INDIRECT("'update Helper'!E"&amp;U751)/100)</f>
        <v/>
      </c>
      <c r="H751" s="784"/>
      <c r="I751" s="798"/>
      <c r="J751" s="777"/>
      <c r="K751" s="795" t="str">
        <f ca="1">W751</f>
        <v>HTS-3b⁽ᴹ⁾ Percentage of transgender people that have received an HIV test during the reporting period and know their results</v>
      </c>
      <c r="L751" s="795" t="str">
        <f ca="1">V751</f>
        <v/>
      </c>
      <c r="M751" s="777"/>
      <c r="N751" s="777"/>
      <c r="P751" s="89">
        <f ca="1">IF(AND(EXACT(C751,C749),C749&lt;&gt;0),P749+1,0)</f>
        <v>5</v>
      </c>
      <c r="Q751" s="89" t="str">
        <f ca="1">IF(C751&lt;&gt;"",C751&amp;"-"&amp;P751,"")</f>
        <v>HTS-3b⁽ᴹ⁾ Porcentaje de personas transgénero a los que se les ha realizado una prueba de VIH durante el período de reporte y que conocen sus resultados-5</v>
      </c>
      <c r="R751" s="89" t="str">
        <f t="array" aca="1" ref="R751" ca="1">IFERROR(IF(INDEX('Disaggregation Records'!$E$155:$E$385,MATCH(RIGHT(Q751,255),RIGHT('Disaggregation Records'!$D$155:$D$385,255),0))="","",INDEX('Disaggregation Records'!$E$155:$E$385,MATCH(RIGHT(Q751,255),RIGHT('Disaggregation Records'!$D$155:$D$385,255),0))),"")</f>
        <v/>
      </c>
      <c r="S751" s="89" t="str">
        <f t="array" aca="1" ref="S751" ca="1">IFERROR(IF(INDEX('Disaggregation Records'!$F$155:$F$385,MATCH(RIGHT(Q751,255),RIGHT('Disaggregation Records'!$D$155:$D$385,255),0))="","",INDEX('Disaggregation Records'!$F$155:$F$385,MATCH(RIGHT(Q751,255),RIGHT('Disaggregation Records'!$D$155:$D$385,255),0))),"")</f>
        <v/>
      </c>
      <c r="T751" s="89" t="str">
        <f t="array" aca="1" ref="T751" ca="1">IFERROR(IF(INDEX('Disaggregation Records'!$H$155:$H$385,MATCH(RIGHT(Q751,255),RIGHT('Disaggregation Records'!$D$155:$D$385,255),0))="","",INDEX('Disaggregation Records'!$H$155:$H$385,MATCH(RIGHT(Q751,255),RIGHT('Disaggregation Records'!$D$155:$D$385,255),0))),"")</f>
        <v/>
      </c>
      <c r="U751" s="89">
        <f>U749+1</f>
        <v>1485</v>
      </c>
      <c r="V751" s="89" t="str">
        <f t="array" aca="1" ref="V751" ca="1">IFERROR(IF(INDEX('Disaggregation Records'!$I$155:$I$385,MATCH(RIGHT(Q751,255),RIGHT('Disaggregation Records'!$D$155:$D$385,255),0))="","",INDEX('Disaggregation Records'!$I$155:$I$385,MATCH(RIGHT(Q751,255),RIGHT('Disaggregation Records'!$D$155:$D$385,255),0))),"")</f>
        <v/>
      </c>
      <c r="W751" s="89" t="str">
        <f ca="1">IFERROR(INDEX('Reference Records'!L$77:L$157,MATCH(LEFT(C751,255),'Reference Records'!E$77:E$157,0)),"")</f>
        <v>HTS-3b⁽ᴹ⁾ Percentage of transgender people that have received an HIV test during the reporting period and know their results</v>
      </c>
    </row>
    <row r="752" spans="1:23" s="89" customFormat="1" ht="40.35" customHeight="1">
      <c r="A752" s="564"/>
      <c r="B752" s="799"/>
      <c r="C752" s="800"/>
      <c r="D752" s="801"/>
      <c r="E752" s="801"/>
      <c r="F752" s="128"/>
      <c r="G752" s="802"/>
      <c r="H752" s="781"/>
      <c r="I752" s="803"/>
      <c r="J752" s="779"/>
      <c r="K752" s="800"/>
      <c r="L752" s="800"/>
      <c r="M752" s="779"/>
      <c r="N752" s="779"/>
    </row>
    <row r="753" spans="1:23" s="89" customFormat="1" ht="40.35" customHeight="1">
      <c r="A753" s="564" t="str">
        <f ca="1">INDIRECT("'update Helper'!C"&amp;U753)</f>
        <v>a163p000004VjllAAC</v>
      </c>
      <c r="B753" s="794">
        <v>4</v>
      </c>
      <c r="C753" s="795" t="str">
        <f ca="1">VLOOKUP(B753,'Coverage Indicators - Section D'!$A$9:$AU$70,47,FALSE)</f>
        <v>HTS-3b⁽ᴹ⁾ Porcentaje de personas transgénero a los que se les ha realizado una prueba de VIH durante el período de reporte y que conocen sus resultados</v>
      </c>
      <c r="D753" s="796" t="str">
        <f ca="1">R753</f>
        <v/>
      </c>
      <c r="E753" s="796" t="str">
        <f ca="1">S753</f>
        <v/>
      </c>
      <c r="F753" s="127"/>
      <c r="G753" s="797" t="str">
        <f ca="1">IF(OR(INDIRECT("'update Helper'!E"&amp;U753)="",F753&lt;&gt;0,F754&lt;&gt;0),IF(IFERROR((F753/F754),"")="","",(F753/F754)),INDIRECT("'update Helper'!E"&amp;U753)/100)</f>
        <v/>
      </c>
      <c r="H753" s="784"/>
      <c r="I753" s="798"/>
      <c r="J753" s="777"/>
      <c r="K753" s="795" t="str">
        <f ca="1">W753</f>
        <v>HTS-3b⁽ᴹ⁾ Percentage of transgender people that have received an HIV test during the reporting period and know their results</v>
      </c>
      <c r="L753" s="795" t="str">
        <f ca="1">V753</f>
        <v/>
      </c>
      <c r="M753" s="777"/>
      <c r="N753" s="777"/>
      <c r="P753" s="89">
        <f ca="1">IF(AND(EXACT(C753,C751),C751&lt;&gt;0),P751+1,0)</f>
        <v>6</v>
      </c>
      <c r="Q753" s="89" t="str">
        <f ca="1">IF(C753&lt;&gt;"",C753&amp;"-"&amp;P753,"")</f>
        <v>HTS-3b⁽ᴹ⁾ Porcentaje de personas transgénero a los que se les ha realizado una prueba de VIH durante el período de reporte y que conocen sus resultados-6</v>
      </c>
      <c r="R753" s="89" t="str">
        <f t="array" aca="1" ref="R753" ca="1">IFERROR(IF(INDEX('Disaggregation Records'!$E$155:$E$385,MATCH(RIGHT(Q753,255),RIGHT('Disaggregation Records'!$D$155:$D$385,255),0))="","",INDEX('Disaggregation Records'!$E$155:$E$385,MATCH(RIGHT(Q753,255),RIGHT('Disaggregation Records'!$D$155:$D$385,255),0))),"")</f>
        <v/>
      </c>
      <c r="S753" s="89" t="str">
        <f t="array" aca="1" ref="S753" ca="1">IFERROR(IF(INDEX('Disaggregation Records'!$F$155:$F$385,MATCH(RIGHT(Q753,255),RIGHT('Disaggregation Records'!$D$155:$D$385,255),0))="","",INDEX('Disaggregation Records'!$F$155:$F$385,MATCH(RIGHT(Q753,255),RIGHT('Disaggregation Records'!$D$155:$D$385,255),0))),"")</f>
        <v/>
      </c>
      <c r="T753" s="89" t="str">
        <f t="array" aca="1" ref="T753" ca="1">IFERROR(IF(INDEX('Disaggregation Records'!$H$155:$H$385,MATCH(RIGHT(Q753,255),RIGHT('Disaggregation Records'!$D$155:$D$385,255),0))="","",INDEX('Disaggregation Records'!$H$155:$H$385,MATCH(RIGHT(Q753,255),RIGHT('Disaggregation Records'!$D$155:$D$385,255),0))),"")</f>
        <v/>
      </c>
      <c r="U753" s="89">
        <f>U751+1</f>
        <v>1486</v>
      </c>
      <c r="V753" s="89" t="str">
        <f t="array" aca="1" ref="V753" ca="1">IFERROR(IF(INDEX('Disaggregation Records'!$I$155:$I$385,MATCH(RIGHT(Q753,255),RIGHT('Disaggregation Records'!$D$155:$D$385,255),0))="","",INDEX('Disaggregation Records'!$I$155:$I$385,MATCH(RIGHT(Q753,255),RIGHT('Disaggregation Records'!$D$155:$D$385,255),0))),"")</f>
        <v/>
      </c>
      <c r="W753" s="89" t="str">
        <f ca="1">IFERROR(INDEX('Reference Records'!L$77:L$157,MATCH(LEFT(C753,255),'Reference Records'!E$77:E$157,0)),"")</f>
        <v>HTS-3b⁽ᴹ⁾ Percentage of transgender people that have received an HIV test during the reporting period and know their results</v>
      </c>
    </row>
    <row r="754" spans="1:23" s="89" customFormat="1" ht="40.35" customHeight="1">
      <c r="A754" s="564"/>
      <c r="B754" s="799"/>
      <c r="C754" s="800"/>
      <c r="D754" s="801"/>
      <c r="E754" s="801"/>
      <c r="F754" s="128"/>
      <c r="G754" s="802"/>
      <c r="H754" s="781"/>
      <c r="I754" s="803"/>
      <c r="J754" s="779"/>
      <c r="K754" s="800"/>
      <c r="L754" s="800"/>
      <c r="M754" s="779"/>
      <c r="N754" s="779"/>
    </row>
    <row r="755" spans="1:23" s="89" customFormat="1" ht="40.35" customHeight="1">
      <c r="A755" s="564" t="str">
        <f ca="1">INDIRECT("'update Helper'!C"&amp;U755)</f>
        <v>a163p000004VjlmAAC</v>
      </c>
      <c r="B755" s="794">
        <v>4</v>
      </c>
      <c r="C755" s="795" t="str">
        <f ca="1">VLOOKUP(B755,'Coverage Indicators - Section D'!$A$9:$AU$70,47,FALSE)</f>
        <v>HTS-3b⁽ᴹ⁾ Porcentaje de personas transgénero a los que se les ha realizado una prueba de VIH durante el período de reporte y que conocen sus resultados</v>
      </c>
      <c r="D755" s="796" t="str">
        <f ca="1">R755</f>
        <v/>
      </c>
      <c r="E755" s="796" t="str">
        <f ca="1">S755</f>
        <v/>
      </c>
      <c r="F755" s="127"/>
      <c r="G755" s="797" t="str">
        <f ca="1">IF(OR(INDIRECT("'update Helper'!E"&amp;U755)="",F755&lt;&gt;0,F756&lt;&gt;0),IF(IFERROR((F755/F756),"")="","",(F755/F756)),INDIRECT("'update Helper'!E"&amp;U755)/100)</f>
        <v/>
      </c>
      <c r="H755" s="784"/>
      <c r="I755" s="798"/>
      <c r="J755" s="777"/>
      <c r="K755" s="795" t="str">
        <f ca="1">W755</f>
        <v>HTS-3b⁽ᴹ⁾ Percentage of transgender people that have received an HIV test during the reporting period and know their results</v>
      </c>
      <c r="L755" s="795" t="str">
        <f ca="1">V755</f>
        <v/>
      </c>
      <c r="M755" s="777"/>
      <c r="N755" s="777"/>
      <c r="P755" s="89">
        <f ca="1">IF(AND(EXACT(C755,C753),C753&lt;&gt;0),P753+1,0)</f>
        <v>7</v>
      </c>
      <c r="Q755" s="89" t="str">
        <f ca="1">IF(C755&lt;&gt;"",C755&amp;"-"&amp;P755,"")</f>
        <v>HTS-3b⁽ᴹ⁾ Porcentaje de personas transgénero a los que se les ha realizado una prueba de VIH durante el período de reporte y que conocen sus resultados-7</v>
      </c>
      <c r="R755" s="89" t="str">
        <f t="array" aca="1" ref="R755" ca="1">IFERROR(IF(INDEX('Disaggregation Records'!$E$155:$E$385,MATCH(RIGHT(Q755,255),RIGHT('Disaggregation Records'!$D$155:$D$385,255),0))="","",INDEX('Disaggregation Records'!$E$155:$E$385,MATCH(RIGHT(Q755,255),RIGHT('Disaggregation Records'!$D$155:$D$385,255),0))),"")</f>
        <v/>
      </c>
      <c r="S755" s="89" t="str">
        <f t="array" aca="1" ref="S755" ca="1">IFERROR(IF(INDEX('Disaggregation Records'!$F$155:$F$385,MATCH(RIGHT(Q755,255),RIGHT('Disaggregation Records'!$D$155:$D$385,255),0))="","",INDEX('Disaggregation Records'!$F$155:$F$385,MATCH(RIGHT(Q755,255),RIGHT('Disaggregation Records'!$D$155:$D$385,255),0))),"")</f>
        <v/>
      </c>
      <c r="T755" s="89" t="str">
        <f t="array" aca="1" ref="T755" ca="1">IFERROR(IF(INDEX('Disaggregation Records'!$H$155:$H$385,MATCH(RIGHT(Q755,255),RIGHT('Disaggregation Records'!$D$155:$D$385,255),0))="","",INDEX('Disaggregation Records'!$H$155:$H$385,MATCH(RIGHT(Q755,255),RIGHT('Disaggregation Records'!$D$155:$D$385,255),0))),"")</f>
        <v/>
      </c>
      <c r="U755" s="89">
        <f>U753+1</f>
        <v>1487</v>
      </c>
      <c r="V755" s="89" t="str">
        <f t="array" aca="1" ref="V755" ca="1">IFERROR(IF(INDEX('Disaggregation Records'!$I$155:$I$385,MATCH(RIGHT(Q755,255),RIGHT('Disaggregation Records'!$D$155:$D$385,255),0))="","",INDEX('Disaggregation Records'!$I$155:$I$385,MATCH(RIGHT(Q755,255),RIGHT('Disaggregation Records'!$D$155:$D$385,255),0))),"")</f>
        <v/>
      </c>
      <c r="W755" s="89" t="str">
        <f ca="1">IFERROR(INDEX('Reference Records'!L$77:L$157,MATCH(LEFT(C755,255),'Reference Records'!E$77:E$157,0)),"")</f>
        <v>HTS-3b⁽ᴹ⁾ Percentage of transgender people that have received an HIV test during the reporting period and know their results</v>
      </c>
    </row>
    <row r="756" spans="1:23" s="89" customFormat="1" ht="40.35" customHeight="1">
      <c r="A756" s="564"/>
      <c r="B756" s="799"/>
      <c r="C756" s="800"/>
      <c r="D756" s="801"/>
      <c r="E756" s="801"/>
      <c r="F756" s="128"/>
      <c r="G756" s="802"/>
      <c r="H756" s="781"/>
      <c r="I756" s="803"/>
      <c r="J756" s="779"/>
      <c r="K756" s="800"/>
      <c r="L756" s="800"/>
      <c r="M756" s="779"/>
      <c r="N756" s="779"/>
    </row>
    <row r="757" spans="1:23" s="89" customFormat="1" ht="40.35" customHeight="1">
      <c r="A757" s="564" t="str">
        <f ca="1">INDIRECT("'update Helper'!C"&amp;U757)</f>
        <v>a163p000004VjlnAAC</v>
      </c>
      <c r="B757" s="794">
        <v>4</v>
      </c>
      <c r="C757" s="795" t="str">
        <f ca="1">VLOOKUP(B757,'Coverage Indicators - Section D'!$A$9:$AU$70,47,FALSE)</f>
        <v>HTS-3b⁽ᴹ⁾ Porcentaje de personas transgénero a los que se les ha realizado una prueba de VIH durante el período de reporte y que conocen sus resultados</v>
      </c>
      <c r="D757" s="796" t="str">
        <f ca="1">R757</f>
        <v/>
      </c>
      <c r="E757" s="796" t="str">
        <f ca="1">S757</f>
        <v/>
      </c>
      <c r="F757" s="127"/>
      <c r="G757" s="797" t="str">
        <f ca="1">IF(OR(INDIRECT("'update Helper'!E"&amp;U757)="",F757&lt;&gt;0,F758&lt;&gt;0),IF(IFERROR((F757/F758),"")="","",(F757/F758)),INDIRECT("'update Helper'!E"&amp;U757)/100)</f>
        <v/>
      </c>
      <c r="H757" s="784"/>
      <c r="I757" s="798"/>
      <c r="J757" s="777"/>
      <c r="K757" s="795" t="str">
        <f ca="1">W757</f>
        <v>HTS-3b⁽ᴹ⁾ Percentage of transgender people that have received an HIV test during the reporting period and know their results</v>
      </c>
      <c r="L757" s="795" t="str">
        <f ca="1">V757</f>
        <v/>
      </c>
      <c r="M757" s="777"/>
      <c r="N757" s="777"/>
      <c r="P757" s="89">
        <f ca="1">IF(AND(EXACT(C757,C755),C755&lt;&gt;0),P755+1,0)</f>
        <v>8</v>
      </c>
      <c r="Q757" s="89" t="str">
        <f ca="1">IF(C757&lt;&gt;"",C757&amp;"-"&amp;P757,"")</f>
        <v>HTS-3b⁽ᴹ⁾ Porcentaje de personas transgénero a los que se les ha realizado una prueba de VIH durante el período de reporte y que conocen sus resultados-8</v>
      </c>
      <c r="R757" s="89" t="str">
        <f t="array" aca="1" ref="R757" ca="1">IFERROR(IF(INDEX('Disaggregation Records'!$E$155:$E$385,MATCH(RIGHT(Q757,255),RIGHT('Disaggregation Records'!$D$155:$D$385,255),0))="","",INDEX('Disaggregation Records'!$E$155:$E$385,MATCH(RIGHT(Q757,255),RIGHT('Disaggregation Records'!$D$155:$D$385,255),0))),"")</f>
        <v/>
      </c>
      <c r="S757" s="89" t="str">
        <f t="array" aca="1" ref="S757" ca="1">IFERROR(IF(INDEX('Disaggregation Records'!$F$155:$F$385,MATCH(RIGHT(Q757,255),RIGHT('Disaggregation Records'!$D$155:$D$385,255),0))="","",INDEX('Disaggregation Records'!$F$155:$F$385,MATCH(RIGHT(Q757,255),RIGHT('Disaggregation Records'!$D$155:$D$385,255),0))),"")</f>
        <v/>
      </c>
      <c r="T757" s="89" t="str">
        <f t="array" aca="1" ref="T757" ca="1">IFERROR(IF(INDEX('Disaggregation Records'!$H$155:$H$385,MATCH(RIGHT(Q757,255),RIGHT('Disaggregation Records'!$D$155:$D$385,255),0))="","",INDEX('Disaggregation Records'!$H$155:$H$385,MATCH(RIGHT(Q757,255),RIGHT('Disaggregation Records'!$D$155:$D$385,255),0))),"")</f>
        <v/>
      </c>
      <c r="U757" s="89">
        <f>U755+1</f>
        <v>1488</v>
      </c>
      <c r="V757" s="89" t="str">
        <f t="array" aca="1" ref="V757" ca="1">IFERROR(IF(INDEX('Disaggregation Records'!$I$155:$I$385,MATCH(RIGHT(Q757,255),RIGHT('Disaggregation Records'!$D$155:$D$385,255),0))="","",INDEX('Disaggregation Records'!$I$155:$I$385,MATCH(RIGHT(Q757,255),RIGHT('Disaggregation Records'!$D$155:$D$385,255),0))),"")</f>
        <v/>
      </c>
      <c r="W757" s="89" t="str">
        <f ca="1">IFERROR(INDEX('Reference Records'!L$77:L$157,MATCH(LEFT(C757,255),'Reference Records'!E$77:E$157,0)),"")</f>
        <v>HTS-3b⁽ᴹ⁾ Percentage of transgender people that have received an HIV test during the reporting period and know their results</v>
      </c>
    </row>
    <row r="758" spans="1:23" s="89" customFormat="1" ht="40.35" customHeight="1">
      <c r="A758" s="564"/>
      <c r="B758" s="799"/>
      <c r="C758" s="800"/>
      <c r="D758" s="801"/>
      <c r="E758" s="801"/>
      <c r="F758" s="128"/>
      <c r="G758" s="802"/>
      <c r="H758" s="781"/>
      <c r="I758" s="803"/>
      <c r="J758" s="779"/>
      <c r="K758" s="800"/>
      <c r="L758" s="800"/>
      <c r="M758" s="779"/>
      <c r="N758" s="779"/>
    </row>
    <row r="759" spans="1:23" s="89" customFormat="1" ht="40.35" customHeight="1">
      <c r="A759" s="564" t="str">
        <f ca="1">INDIRECT("'update Helper'!C"&amp;U759)</f>
        <v>a163p000004VjloAAC</v>
      </c>
      <c r="B759" s="794">
        <v>4</v>
      </c>
      <c r="C759" s="795" t="str">
        <f ca="1">VLOOKUP(B759,'Coverage Indicators - Section D'!$A$9:$AU$70,47,FALSE)</f>
        <v>HTS-3b⁽ᴹ⁾ Porcentaje de personas transgénero a los que se les ha realizado una prueba de VIH durante el período de reporte y que conocen sus resultados</v>
      </c>
      <c r="D759" s="796" t="str">
        <f ca="1">R759</f>
        <v/>
      </c>
      <c r="E759" s="796" t="str">
        <f ca="1">S759</f>
        <v/>
      </c>
      <c r="F759" s="127"/>
      <c r="G759" s="797" t="str">
        <f ca="1">IF(OR(INDIRECT("'update Helper'!E"&amp;U759)="",F759&lt;&gt;0,F760&lt;&gt;0),IF(IFERROR((F759/F760),"")="","",(F759/F760)),INDIRECT("'update Helper'!E"&amp;U759)/100)</f>
        <v/>
      </c>
      <c r="H759" s="784"/>
      <c r="I759" s="798"/>
      <c r="J759" s="777"/>
      <c r="K759" s="795" t="str">
        <f ca="1">W759</f>
        <v>HTS-3b⁽ᴹ⁾ Percentage of transgender people that have received an HIV test during the reporting period and know their results</v>
      </c>
      <c r="L759" s="795" t="str">
        <f ca="1">V759</f>
        <v/>
      </c>
      <c r="M759" s="777"/>
      <c r="N759" s="777"/>
      <c r="P759" s="89">
        <f ca="1">IF(AND(EXACT(C759,C757),C757&lt;&gt;0),P757+1,0)</f>
        <v>9</v>
      </c>
      <c r="Q759" s="89" t="str">
        <f ca="1">IF(C759&lt;&gt;"",C759&amp;"-"&amp;P759,"")</f>
        <v>HTS-3b⁽ᴹ⁾ Porcentaje de personas transgénero a los que se les ha realizado una prueba de VIH durante el período de reporte y que conocen sus resultados-9</v>
      </c>
      <c r="R759" s="89" t="str">
        <f t="array" aca="1" ref="R759" ca="1">IFERROR(IF(INDEX('Disaggregation Records'!$E$155:$E$385,MATCH(RIGHT(Q759,255),RIGHT('Disaggregation Records'!$D$155:$D$385,255),0))="","",INDEX('Disaggregation Records'!$E$155:$E$385,MATCH(RIGHT(Q759,255),RIGHT('Disaggregation Records'!$D$155:$D$385,255),0))),"")</f>
        <v/>
      </c>
      <c r="S759" s="89" t="str">
        <f t="array" aca="1" ref="S759" ca="1">IFERROR(IF(INDEX('Disaggregation Records'!$F$155:$F$385,MATCH(RIGHT(Q759,255),RIGHT('Disaggregation Records'!$D$155:$D$385,255),0))="","",INDEX('Disaggregation Records'!$F$155:$F$385,MATCH(RIGHT(Q759,255),RIGHT('Disaggregation Records'!$D$155:$D$385,255),0))),"")</f>
        <v/>
      </c>
      <c r="T759" s="89" t="str">
        <f t="array" aca="1" ref="T759" ca="1">IFERROR(IF(INDEX('Disaggregation Records'!$H$155:$H$385,MATCH(RIGHT(Q759,255),RIGHT('Disaggregation Records'!$D$155:$D$385,255),0))="","",INDEX('Disaggregation Records'!$H$155:$H$385,MATCH(RIGHT(Q759,255),RIGHT('Disaggregation Records'!$D$155:$D$385,255),0))),"")</f>
        <v/>
      </c>
      <c r="U759" s="89">
        <f>U757+1</f>
        <v>1489</v>
      </c>
      <c r="V759" s="89" t="str">
        <f t="array" aca="1" ref="V759" ca="1">IFERROR(IF(INDEX('Disaggregation Records'!$I$155:$I$385,MATCH(RIGHT(Q759,255),RIGHT('Disaggregation Records'!$D$155:$D$385,255),0))="","",INDEX('Disaggregation Records'!$I$155:$I$385,MATCH(RIGHT(Q759,255),RIGHT('Disaggregation Records'!$D$155:$D$385,255),0))),"")</f>
        <v/>
      </c>
      <c r="W759" s="89" t="str">
        <f ca="1">IFERROR(INDEX('Reference Records'!L$77:L$157,MATCH(LEFT(C759,255),'Reference Records'!E$77:E$157,0)),"")</f>
        <v>HTS-3b⁽ᴹ⁾ Percentage of transgender people that have received an HIV test during the reporting period and know their results</v>
      </c>
    </row>
    <row r="760" spans="1:23" s="89" customFormat="1" ht="40.35" customHeight="1">
      <c r="A760" s="564"/>
      <c r="B760" s="799"/>
      <c r="C760" s="800"/>
      <c r="D760" s="801"/>
      <c r="E760" s="801"/>
      <c r="F760" s="128"/>
      <c r="G760" s="802"/>
      <c r="H760" s="781"/>
      <c r="I760" s="803"/>
      <c r="J760" s="779"/>
      <c r="K760" s="800"/>
      <c r="L760" s="800"/>
      <c r="M760" s="779"/>
      <c r="N760" s="779"/>
    </row>
    <row r="761" spans="1:23" s="89" customFormat="1" ht="40.35" customHeight="1">
      <c r="A761" s="564" t="str">
        <f ca="1">INDIRECT("'update Helper'!C"&amp;U761)</f>
        <v>a163p000004VjlpAAC</v>
      </c>
      <c r="B761" s="794">
        <v>4</v>
      </c>
      <c r="C761" s="795" t="str">
        <f ca="1">VLOOKUP(B761,'Coverage Indicators - Section D'!$A$9:$AU$70,47,FALSE)</f>
        <v>HTS-3b⁽ᴹ⁾ Porcentaje de personas transgénero a los que se les ha realizado una prueba de VIH durante el período de reporte y que conocen sus resultados</v>
      </c>
      <c r="D761" s="796" t="str">
        <f ca="1">R761</f>
        <v/>
      </c>
      <c r="E761" s="796" t="str">
        <f ca="1">S761</f>
        <v/>
      </c>
      <c r="F761" s="127"/>
      <c r="G761" s="797" t="str">
        <f ca="1">IF(OR(INDIRECT("'update Helper'!E"&amp;U761)="",F761&lt;&gt;0,F762&lt;&gt;0),IF(IFERROR((F761/F762),"")="","",(F761/F762)),INDIRECT("'update Helper'!E"&amp;U761)/100)</f>
        <v/>
      </c>
      <c r="H761" s="784"/>
      <c r="I761" s="798"/>
      <c r="J761" s="777"/>
      <c r="K761" s="795" t="str">
        <f ca="1">W761</f>
        <v>HTS-3b⁽ᴹ⁾ Percentage of transgender people that have received an HIV test during the reporting period and know their results</v>
      </c>
      <c r="L761" s="795" t="str">
        <f ca="1">V761</f>
        <v/>
      </c>
      <c r="M761" s="777"/>
      <c r="N761" s="777"/>
      <c r="P761" s="89">
        <f ca="1">IF(AND(EXACT(C761,C759),C759&lt;&gt;0),P759+1,0)</f>
        <v>10</v>
      </c>
      <c r="Q761" s="89" t="str">
        <f ca="1">IF(C761&lt;&gt;"",C761&amp;"-"&amp;P761,"")</f>
        <v>HTS-3b⁽ᴹ⁾ Porcentaje de personas transgénero a los que se les ha realizado una prueba de VIH durante el período de reporte y que conocen sus resultados-10</v>
      </c>
      <c r="R761" s="89" t="str">
        <f t="array" aca="1" ref="R761" ca="1">IFERROR(IF(INDEX('Disaggregation Records'!$E$155:$E$385,MATCH(RIGHT(Q761,255),RIGHT('Disaggregation Records'!$D$155:$D$385,255),0))="","",INDEX('Disaggregation Records'!$E$155:$E$385,MATCH(RIGHT(Q761,255),RIGHT('Disaggregation Records'!$D$155:$D$385,255),0))),"")</f>
        <v/>
      </c>
      <c r="S761" s="89" t="str">
        <f t="array" aca="1" ref="S761" ca="1">IFERROR(IF(INDEX('Disaggregation Records'!$F$155:$F$385,MATCH(RIGHT(Q761,255),RIGHT('Disaggregation Records'!$D$155:$D$385,255),0))="","",INDEX('Disaggregation Records'!$F$155:$F$385,MATCH(RIGHT(Q761,255),RIGHT('Disaggregation Records'!$D$155:$D$385,255),0))),"")</f>
        <v/>
      </c>
      <c r="T761" s="89" t="str">
        <f t="array" aca="1" ref="T761" ca="1">IFERROR(IF(INDEX('Disaggregation Records'!$H$155:$H$385,MATCH(RIGHT(Q761,255),RIGHT('Disaggregation Records'!$D$155:$D$385,255),0))="","",INDEX('Disaggregation Records'!$H$155:$H$385,MATCH(RIGHT(Q761,255),RIGHT('Disaggregation Records'!$D$155:$D$385,255),0))),"")</f>
        <v/>
      </c>
      <c r="U761" s="89">
        <f>U759+1</f>
        <v>1490</v>
      </c>
      <c r="V761" s="89" t="str">
        <f t="array" aca="1" ref="V761" ca="1">IFERROR(IF(INDEX('Disaggregation Records'!$I$155:$I$385,MATCH(RIGHT(Q761,255),RIGHT('Disaggregation Records'!$D$155:$D$385,255),0))="","",INDEX('Disaggregation Records'!$I$155:$I$385,MATCH(RIGHT(Q761,255),RIGHT('Disaggregation Records'!$D$155:$D$385,255),0))),"")</f>
        <v/>
      </c>
      <c r="W761" s="89" t="str">
        <f ca="1">IFERROR(INDEX('Reference Records'!L$77:L$157,MATCH(LEFT(C761,255),'Reference Records'!E$77:E$157,0)),"")</f>
        <v>HTS-3b⁽ᴹ⁾ Percentage of transgender people that have received an HIV test during the reporting period and know their results</v>
      </c>
    </row>
    <row r="762" spans="1:23" s="89" customFormat="1" ht="40.35" customHeight="1">
      <c r="A762" s="564"/>
      <c r="B762" s="799"/>
      <c r="C762" s="800"/>
      <c r="D762" s="801"/>
      <c r="E762" s="801"/>
      <c r="F762" s="128"/>
      <c r="G762" s="802"/>
      <c r="H762" s="781"/>
      <c r="I762" s="803"/>
      <c r="J762" s="779"/>
      <c r="K762" s="800"/>
      <c r="L762" s="800"/>
      <c r="M762" s="779"/>
      <c r="N762" s="779"/>
    </row>
    <row r="763" spans="1:23" s="89" customFormat="1" ht="40.35" customHeight="1">
      <c r="A763" s="564" t="str">
        <f ca="1">INDIRECT("'update Helper'!C"&amp;U763)</f>
        <v>a163p000004VjlqAAC</v>
      </c>
      <c r="B763" s="794">
        <v>4</v>
      </c>
      <c r="C763" s="795" t="str">
        <f ca="1">VLOOKUP(B763,'Coverage Indicators - Section D'!$A$9:$AU$70,47,FALSE)</f>
        <v>HTS-3b⁽ᴹ⁾ Porcentaje de personas transgénero a los que se les ha realizado una prueba de VIH durante el período de reporte y que conocen sus resultados</v>
      </c>
      <c r="D763" s="796" t="str">
        <f ca="1">R763</f>
        <v/>
      </c>
      <c r="E763" s="796" t="str">
        <f ca="1">S763</f>
        <v/>
      </c>
      <c r="F763" s="127"/>
      <c r="G763" s="797" t="str">
        <f ca="1">IF(OR(INDIRECT("'update Helper'!E"&amp;U763)="",F763&lt;&gt;0,F764&lt;&gt;0),IF(IFERROR((F763/F764),"")="","",(F763/F764)),INDIRECT("'update Helper'!E"&amp;U763)/100)</f>
        <v/>
      </c>
      <c r="H763" s="784"/>
      <c r="I763" s="798"/>
      <c r="J763" s="777"/>
      <c r="K763" s="795" t="str">
        <f ca="1">W763</f>
        <v>HTS-3b⁽ᴹ⁾ Percentage of transgender people that have received an HIV test during the reporting period and know their results</v>
      </c>
      <c r="L763" s="795" t="str">
        <f ca="1">V763</f>
        <v/>
      </c>
      <c r="M763" s="777"/>
      <c r="N763" s="777"/>
      <c r="P763" s="89">
        <f ca="1">IF(AND(EXACT(C763,C761),C761&lt;&gt;0),P761+1,0)</f>
        <v>11</v>
      </c>
      <c r="Q763" s="89" t="str">
        <f ca="1">IF(C763&lt;&gt;"",C763&amp;"-"&amp;P763,"")</f>
        <v>HTS-3b⁽ᴹ⁾ Porcentaje de personas transgénero a los que se les ha realizado una prueba de VIH durante el período de reporte y que conocen sus resultados-11</v>
      </c>
      <c r="R763" s="89" t="str">
        <f t="array" aca="1" ref="R763" ca="1">IFERROR(IF(INDEX('Disaggregation Records'!$E$155:$E$385,MATCH(RIGHT(Q763,255),RIGHT('Disaggregation Records'!$D$155:$D$385,255),0))="","",INDEX('Disaggregation Records'!$E$155:$E$385,MATCH(RIGHT(Q763,255),RIGHT('Disaggregation Records'!$D$155:$D$385,255),0))),"")</f>
        <v/>
      </c>
      <c r="S763" s="89" t="str">
        <f t="array" aca="1" ref="S763" ca="1">IFERROR(IF(INDEX('Disaggregation Records'!$F$155:$F$385,MATCH(RIGHT(Q763,255),RIGHT('Disaggregation Records'!$D$155:$D$385,255),0))="","",INDEX('Disaggregation Records'!$F$155:$F$385,MATCH(RIGHT(Q763,255),RIGHT('Disaggregation Records'!$D$155:$D$385,255),0))),"")</f>
        <v/>
      </c>
      <c r="T763" s="89" t="str">
        <f t="array" aca="1" ref="T763" ca="1">IFERROR(IF(INDEX('Disaggregation Records'!$H$155:$H$385,MATCH(RIGHT(Q763,255),RIGHT('Disaggregation Records'!$D$155:$D$385,255),0))="","",INDEX('Disaggregation Records'!$H$155:$H$385,MATCH(RIGHT(Q763,255),RIGHT('Disaggregation Records'!$D$155:$D$385,255),0))),"")</f>
        <v/>
      </c>
      <c r="U763" s="89">
        <f>U761+1</f>
        <v>1491</v>
      </c>
      <c r="V763" s="89" t="str">
        <f t="array" aca="1" ref="V763" ca="1">IFERROR(IF(INDEX('Disaggregation Records'!$I$155:$I$385,MATCH(RIGHT(Q763,255),RIGHT('Disaggregation Records'!$D$155:$D$385,255),0))="","",INDEX('Disaggregation Records'!$I$155:$I$385,MATCH(RIGHT(Q763,255),RIGHT('Disaggregation Records'!$D$155:$D$385,255),0))),"")</f>
        <v/>
      </c>
      <c r="W763" s="89" t="str">
        <f ca="1">IFERROR(INDEX('Reference Records'!L$77:L$157,MATCH(LEFT(C763,255),'Reference Records'!E$77:E$157,0)),"")</f>
        <v>HTS-3b⁽ᴹ⁾ Percentage of transgender people that have received an HIV test during the reporting period and know their results</v>
      </c>
    </row>
    <row r="764" spans="1:23" s="89" customFormat="1" ht="40.35" customHeight="1">
      <c r="A764" s="564"/>
      <c r="B764" s="799"/>
      <c r="C764" s="800"/>
      <c r="D764" s="801"/>
      <c r="E764" s="801"/>
      <c r="F764" s="128"/>
      <c r="G764" s="802"/>
      <c r="H764" s="781"/>
      <c r="I764" s="803"/>
      <c r="J764" s="779"/>
      <c r="K764" s="800"/>
      <c r="L764" s="800"/>
      <c r="M764" s="779"/>
      <c r="N764" s="779"/>
    </row>
    <row r="765" spans="1:23" s="89" customFormat="1" ht="40.35" customHeight="1">
      <c r="A765" s="564" t="str">
        <f ca="1">INDIRECT("'update Helper'!C"&amp;U765)</f>
        <v>a163p000004VjlrAAC</v>
      </c>
      <c r="B765" s="794">
        <v>4</v>
      </c>
      <c r="C765" s="795" t="str">
        <f ca="1">VLOOKUP(B765,'Coverage Indicators - Section D'!$A$9:$AU$70,47,FALSE)</f>
        <v>HTS-3b⁽ᴹ⁾ Porcentaje de personas transgénero a los que se les ha realizado una prueba de VIH durante el período de reporte y que conocen sus resultados</v>
      </c>
      <c r="D765" s="796" t="str">
        <f ca="1">R765</f>
        <v/>
      </c>
      <c r="E765" s="796" t="str">
        <f ca="1">S765</f>
        <v/>
      </c>
      <c r="F765" s="127"/>
      <c r="G765" s="797" t="str">
        <f ca="1">IF(OR(INDIRECT("'update Helper'!E"&amp;U765)="",F765&lt;&gt;0,F766&lt;&gt;0),IF(IFERROR((F765/F766),"")="","",(F765/F766)),INDIRECT("'update Helper'!E"&amp;U765)/100)</f>
        <v/>
      </c>
      <c r="H765" s="784"/>
      <c r="I765" s="798"/>
      <c r="J765" s="777"/>
      <c r="K765" s="795" t="str">
        <f ca="1">W765</f>
        <v>HTS-3b⁽ᴹ⁾ Percentage of transgender people that have received an HIV test during the reporting period and know their results</v>
      </c>
      <c r="L765" s="795" t="str">
        <f ca="1">V765</f>
        <v/>
      </c>
      <c r="M765" s="777"/>
      <c r="N765" s="777"/>
      <c r="P765" s="89">
        <f ca="1">IF(AND(EXACT(C765,C763),C763&lt;&gt;0),P763+1,0)</f>
        <v>12</v>
      </c>
      <c r="Q765" s="89" t="str">
        <f ca="1">IF(C765&lt;&gt;"",C765&amp;"-"&amp;P765,"")</f>
        <v>HTS-3b⁽ᴹ⁾ Porcentaje de personas transgénero a los que se les ha realizado una prueba de VIH durante el período de reporte y que conocen sus resultados-12</v>
      </c>
      <c r="R765" s="89" t="str">
        <f t="array" aca="1" ref="R765" ca="1">IFERROR(IF(INDEX('Disaggregation Records'!$E$155:$E$385,MATCH(RIGHT(Q765,255),RIGHT('Disaggregation Records'!$D$155:$D$385,255),0))="","",INDEX('Disaggregation Records'!$E$155:$E$385,MATCH(RIGHT(Q765,255),RIGHT('Disaggregation Records'!$D$155:$D$385,255),0))),"")</f>
        <v/>
      </c>
      <c r="S765" s="89" t="str">
        <f t="array" aca="1" ref="S765" ca="1">IFERROR(IF(INDEX('Disaggregation Records'!$F$155:$F$385,MATCH(RIGHT(Q765,255),RIGHT('Disaggregation Records'!$D$155:$D$385,255),0))="","",INDEX('Disaggregation Records'!$F$155:$F$385,MATCH(RIGHT(Q765,255),RIGHT('Disaggregation Records'!$D$155:$D$385,255),0))),"")</f>
        <v/>
      </c>
      <c r="T765" s="89" t="str">
        <f t="array" aca="1" ref="T765" ca="1">IFERROR(IF(INDEX('Disaggregation Records'!$H$155:$H$385,MATCH(RIGHT(Q765,255),RIGHT('Disaggregation Records'!$D$155:$D$385,255),0))="","",INDEX('Disaggregation Records'!$H$155:$H$385,MATCH(RIGHT(Q765,255),RIGHT('Disaggregation Records'!$D$155:$D$385,255),0))),"")</f>
        <v/>
      </c>
      <c r="U765" s="89">
        <f>U763+1</f>
        <v>1492</v>
      </c>
      <c r="V765" s="89" t="str">
        <f t="array" aca="1" ref="V765" ca="1">IFERROR(IF(INDEX('Disaggregation Records'!$I$155:$I$385,MATCH(RIGHT(Q765,255),RIGHT('Disaggregation Records'!$D$155:$D$385,255),0))="","",INDEX('Disaggregation Records'!$I$155:$I$385,MATCH(RIGHT(Q765,255),RIGHT('Disaggregation Records'!$D$155:$D$385,255),0))),"")</f>
        <v/>
      </c>
      <c r="W765" s="89" t="str">
        <f ca="1">IFERROR(INDEX('Reference Records'!L$77:L$157,MATCH(LEFT(C765,255),'Reference Records'!E$77:E$157,0)),"")</f>
        <v>HTS-3b⁽ᴹ⁾ Percentage of transgender people that have received an HIV test during the reporting period and know their results</v>
      </c>
    </row>
    <row r="766" spans="1:23" s="89" customFormat="1" ht="40.35" customHeight="1">
      <c r="A766" s="564"/>
      <c r="B766" s="799"/>
      <c r="C766" s="800"/>
      <c r="D766" s="801"/>
      <c r="E766" s="801"/>
      <c r="F766" s="128"/>
      <c r="G766" s="802"/>
      <c r="H766" s="781"/>
      <c r="I766" s="803"/>
      <c r="J766" s="779"/>
      <c r="K766" s="800"/>
      <c r="L766" s="800"/>
      <c r="M766" s="779"/>
      <c r="N766" s="779"/>
    </row>
    <row r="767" spans="1:23" s="89" customFormat="1" ht="40.35" customHeight="1">
      <c r="A767" s="564" t="str">
        <f ca="1">INDIRECT("'update Helper'!C"&amp;U767)</f>
        <v>a163p000004VjlsAAC</v>
      </c>
      <c r="B767" s="794">
        <v>4</v>
      </c>
      <c r="C767" s="795" t="str">
        <f ca="1">VLOOKUP(B767,'Coverage Indicators - Section D'!$A$9:$AU$70,47,FALSE)</f>
        <v>HTS-3b⁽ᴹ⁾ Porcentaje de personas transgénero a los que se les ha realizado una prueba de VIH durante el período de reporte y que conocen sus resultados</v>
      </c>
      <c r="D767" s="796" t="str">
        <f ca="1">R767</f>
        <v/>
      </c>
      <c r="E767" s="796" t="str">
        <f ca="1">S767</f>
        <v/>
      </c>
      <c r="F767" s="127"/>
      <c r="G767" s="797" t="str">
        <f ca="1">IF(OR(INDIRECT("'update Helper'!E"&amp;U767)="",F767&lt;&gt;0,F768&lt;&gt;0),IF(IFERROR((F767/F768),"")="","",(F767/F768)),INDIRECT("'update Helper'!E"&amp;U767)/100)</f>
        <v/>
      </c>
      <c r="H767" s="784"/>
      <c r="I767" s="798"/>
      <c r="J767" s="777"/>
      <c r="K767" s="795" t="str">
        <f ca="1">W767</f>
        <v>HTS-3b⁽ᴹ⁾ Percentage of transgender people that have received an HIV test during the reporting period and know their results</v>
      </c>
      <c r="L767" s="795" t="str">
        <f ca="1">V767</f>
        <v/>
      </c>
      <c r="M767" s="777"/>
      <c r="N767" s="777"/>
      <c r="P767" s="89">
        <f ca="1">IF(AND(EXACT(C767,C765),C765&lt;&gt;0),P765+1,0)</f>
        <v>13</v>
      </c>
      <c r="Q767" s="89" t="str">
        <f ca="1">IF(C767&lt;&gt;"",C767&amp;"-"&amp;P767,"")</f>
        <v>HTS-3b⁽ᴹ⁾ Porcentaje de personas transgénero a los que se les ha realizado una prueba de VIH durante el período de reporte y que conocen sus resultados-13</v>
      </c>
      <c r="R767" s="89" t="str">
        <f t="array" aca="1" ref="R767" ca="1">IFERROR(IF(INDEX('Disaggregation Records'!$E$155:$E$385,MATCH(RIGHT(Q767,255),RIGHT('Disaggregation Records'!$D$155:$D$385,255),0))="","",INDEX('Disaggregation Records'!$E$155:$E$385,MATCH(RIGHT(Q767,255),RIGHT('Disaggregation Records'!$D$155:$D$385,255),0))),"")</f>
        <v/>
      </c>
      <c r="S767" s="89" t="str">
        <f t="array" aca="1" ref="S767" ca="1">IFERROR(IF(INDEX('Disaggregation Records'!$F$155:$F$385,MATCH(RIGHT(Q767,255),RIGHT('Disaggregation Records'!$D$155:$D$385,255),0))="","",INDEX('Disaggregation Records'!$F$155:$F$385,MATCH(RIGHT(Q767,255),RIGHT('Disaggregation Records'!$D$155:$D$385,255),0))),"")</f>
        <v/>
      </c>
      <c r="T767" s="89" t="str">
        <f t="array" aca="1" ref="T767" ca="1">IFERROR(IF(INDEX('Disaggregation Records'!$H$155:$H$385,MATCH(RIGHT(Q767,255),RIGHT('Disaggregation Records'!$D$155:$D$385,255),0))="","",INDEX('Disaggregation Records'!$H$155:$H$385,MATCH(RIGHT(Q767,255),RIGHT('Disaggregation Records'!$D$155:$D$385,255),0))),"")</f>
        <v/>
      </c>
      <c r="U767" s="89">
        <f>U765+1</f>
        <v>1493</v>
      </c>
      <c r="V767" s="89" t="str">
        <f t="array" aca="1" ref="V767" ca="1">IFERROR(IF(INDEX('Disaggregation Records'!$I$155:$I$385,MATCH(RIGHT(Q767,255),RIGHT('Disaggregation Records'!$D$155:$D$385,255),0))="","",INDEX('Disaggregation Records'!$I$155:$I$385,MATCH(RIGHT(Q767,255),RIGHT('Disaggregation Records'!$D$155:$D$385,255),0))),"")</f>
        <v/>
      </c>
      <c r="W767" s="89" t="str">
        <f ca="1">IFERROR(INDEX('Reference Records'!L$77:L$157,MATCH(LEFT(C767,255),'Reference Records'!E$77:E$157,0)),"")</f>
        <v>HTS-3b⁽ᴹ⁾ Percentage of transgender people that have received an HIV test during the reporting period and know their results</v>
      </c>
    </row>
    <row r="768" spans="1:23" s="89" customFormat="1" ht="40.35" customHeight="1">
      <c r="A768" s="564"/>
      <c r="B768" s="799"/>
      <c r="C768" s="800"/>
      <c r="D768" s="801"/>
      <c r="E768" s="801"/>
      <c r="F768" s="128"/>
      <c r="G768" s="802"/>
      <c r="H768" s="781"/>
      <c r="I768" s="803"/>
      <c r="J768" s="779"/>
      <c r="K768" s="800"/>
      <c r="L768" s="800"/>
      <c r="M768" s="779"/>
      <c r="N768" s="779"/>
    </row>
    <row r="769" spans="1:23" s="89" customFormat="1" ht="40.35" customHeight="1">
      <c r="A769" s="564" t="str">
        <f ca="1">INDIRECT("'update Helper'!C"&amp;U769)</f>
        <v>a163p000004VjltAAC</v>
      </c>
      <c r="B769" s="794">
        <v>4</v>
      </c>
      <c r="C769" s="795" t="str">
        <f ca="1">VLOOKUP(B769,'Coverage Indicators - Section D'!$A$9:$AU$70,47,FALSE)</f>
        <v>HTS-3b⁽ᴹ⁾ Porcentaje de personas transgénero a los que se les ha realizado una prueba de VIH durante el período de reporte y que conocen sus resultados</v>
      </c>
      <c r="D769" s="796" t="str">
        <f ca="1">R769</f>
        <v/>
      </c>
      <c r="E769" s="796" t="str">
        <f ca="1">S769</f>
        <v/>
      </c>
      <c r="F769" s="127"/>
      <c r="G769" s="797" t="str">
        <f ca="1">IF(OR(INDIRECT("'update Helper'!E"&amp;U769)="",F769&lt;&gt;0,F770&lt;&gt;0),IF(IFERROR((F769/F770),"")="","",(F769/F770)),INDIRECT("'update Helper'!E"&amp;U769)/100)</f>
        <v/>
      </c>
      <c r="H769" s="784"/>
      <c r="I769" s="798"/>
      <c r="J769" s="777"/>
      <c r="K769" s="795" t="str">
        <f ca="1">W769</f>
        <v>HTS-3b⁽ᴹ⁾ Percentage of transgender people that have received an HIV test during the reporting period and know their results</v>
      </c>
      <c r="L769" s="795" t="str">
        <f ca="1">V769</f>
        <v/>
      </c>
      <c r="M769" s="777"/>
      <c r="N769" s="777"/>
      <c r="P769" s="89">
        <f ca="1">IF(AND(EXACT(C769,C767),C767&lt;&gt;0),P767+1,0)</f>
        <v>14</v>
      </c>
      <c r="Q769" s="89" t="str">
        <f ca="1">IF(C769&lt;&gt;"",C769&amp;"-"&amp;P769,"")</f>
        <v>HTS-3b⁽ᴹ⁾ Porcentaje de personas transgénero a los que se les ha realizado una prueba de VIH durante el período de reporte y que conocen sus resultados-14</v>
      </c>
      <c r="R769" s="89" t="str">
        <f t="array" aca="1" ref="R769" ca="1">IFERROR(IF(INDEX('Disaggregation Records'!$E$155:$E$385,MATCH(RIGHT(Q769,255),RIGHT('Disaggregation Records'!$D$155:$D$385,255),0))="","",INDEX('Disaggregation Records'!$E$155:$E$385,MATCH(RIGHT(Q769,255),RIGHT('Disaggregation Records'!$D$155:$D$385,255),0))),"")</f>
        <v/>
      </c>
      <c r="S769" s="89" t="str">
        <f t="array" aca="1" ref="S769" ca="1">IFERROR(IF(INDEX('Disaggregation Records'!$F$155:$F$385,MATCH(RIGHT(Q769,255),RIGHT('Disaggregation Records'!$D$155:$D$385,255),0))="","",INDEX('Disaggregation Records'!$F$155:$F$385,MATCH(RIGHT(Q769,255),RIGHT('Disaggregation Records'!$D$155:$D$385,255),0))),"")</f>
        <v/>
      </c>
      <c r="T769" s="89" t="str">
        <f t="array" aca="1" ref="T769" ca="1">IFERROR(IF(INDEX('Disaggregation Records'!$H$155:$H$385,MATCH(RIGHT(Q769,255),RIGHT('Disaggregation Records'!$D$155:$D$385,255),0))="","",INDEX('Disaggregation Records'!$H$155:$H$385,MATCH(RIGHT(Q769,255),RIGHT('Disaggregation Records'!$D$155:$D$385,255),0))),"")</f>
        <v/>
      </c>
      <c r="U769" s="89">
        <f>U767+1</f>
        <v>1494</v>
      </c>
      <c r="V769" s="89" t="str">
        <f t="array" aca="1" ref="V769" ca="1">IFERROR(IF(INDEX('Disaggregation Records'!$I$155:$I$385,MATCH(RIGHT(Q769,255),RIGHT('Disaggregation Records'!$D$155:$D$385,255),0))="","",INDEX('Disaggregation Records'!$I$155:$I$385,MATCH(RIGHT(Q769,255),RIGHT('Disaggregation Records'!$D$155:$D$385,255),0))),"")</f>
        <v/>
      </c>
      <c r="W769" s="89" t="str">
        <f ca="1">IFERROR(INDEX('Reference Records'!L$77:L$157,MATCH(LEFT(C769,255),'Reference Records'!E$77:E$157,0)),"")</f>
        <v>HTS-3b⁽ᴹ⁾ Percentage of transgender people that have received an HIV test during the reporting period and know their results</v>
      </c>
    </row>
    <row r="770" spans="1:23" s="89" customFormat="1" ht="40.35" customHeight="1">
      <c r="A770" s="564"/>
      <c r="B770" s="799"/>
      <c r="C770" s="800"/>
      <c r="D770" s="801"/>
      <c r="E770" s="801"/>
      <c r="F770" s="128"/>
      <c r="G770" s="802"/>
      <c r="H770" s="781"/>
      <c r="I770" s="803"/>
      <c r="J770" s="779"/>
      <c r="K770" s="800"/>
      <c r="L770" s="800"/>
      <c r="M770" s="779"/>
      <c r="N770" s="779"/>
    </row>
    <row r="771" spans="1:23" s="89" customFormat="1" ht="40.35" customHeight="1">
      <c r="A771" s="564" t="str">
        <f ca="1">INDIRECT("'update Helper'!C"&amp;U771)</f>
        <v>a163p000004VjluAAC</v>
      </c>
      <c r="B771" s="794">
        <v>4</v>
      </c>
      <c r="C771" s="795" t="str">
        <f ca="1">VLOOKUP(B771,'Coverage Indicators - Section D'!$A$9:$AU$70,47,FALSE)</f>
        <v>HTS-3b⁽ᴹ⁾ Porcentaje de personas transgénero a los que se les ha realizado una prueba de VIH durante el período de reporte y que conocen sus resultados</v>
      </c>
      <c r="D771" s="796" t="str">
        <f ca="1">R771</f>
        <v/>
      </c>
      <c r="E771" s="796" t="str">
        <f ca="1">S771</f>
        <v/>
      </c>
      <c r="F771" s="127"/>
      <c r="G771" s="797" t="str">
        <f ca="1">IF(OR(INDIRECT("'update Helper'!E"&amp;U771)="",F771&lt;&gt;0,F772&lt;&gt;0),IF(IFERROR((F771/F772),"")="","",(F771/F772)),INDIRECT("'update Helper'!E"&amp;U771)/100)</f>
        <v/>
      </c>
      <c r="H771" s="784"/>
      <c r="I771" s="798"/>
      <c r="J771" s="777"/>
      <c r="K771" s="795" t="str">
        <f ca="1">W771</f>
        <v>HTS-3b⁽ᴹ⁾ Percentage of transgender people that have received an HIV test during the reporting period and know their results</v>
      </c>
      <c r="L771" s="795" t="str">
        <f ca="1">V771</f>
        <v/>
      </c>
      <c r="M771" s="777"/>
      <c r="N771" s="777"/>
      <c r="P771" s="89">
        <f ca="1">IF(AND(EXACT(C771,C769),C769&lt;&gt;0),P769+1,0)</f>
        <v>15</v>
      </c>
      <c r="Q771" s="89" t="str">
        <f ca="1">IF(C771&lt;&gt;"",C771&amp;"-"&amp;P771,"")</f>
        <v>HTS-3b⁽ᴹ⁾ Porcentaje de personas transgénero a los que se les ha realizado una prueba de VIH durante el período de reporte y que conocen sus resultados-15</v>
      </c>
      <c r="R771" s="89" t="str">
        <f t="array" aca="1" ref="R771" ca="1">IFERROR(IF(INDEX('Disaggregation Records'!$E$155:$E$385,MATCH(RIGHT(Q771,255),RIGHT('Disaggregation Records'!$D$155:$D$385,255),0))="","",INDEX('Disaggregation Records'!$E$155:$E$385,MATCH(RIGHT(Q771,255),RIGHT('Disaggregation Records'!$D$155:$D$385,255),0))),"")</f>
        <v/>
      </c>
      <c r="S771" s="89" t="str">
        <f t="array" aca="1" ref="S771" ca="1">IFERROR(IF(INDEX('Disaggregation Records'!$F$155:$F$385,MATCH(RIGHT(Q771,255),RIGHT('Disaggregation Records'!$D$155:$D$385,255),0))="","",INDEX('Disaggregation Records'!$F$155:$F$385,MATCH(RIGHT(Q771,255),RIGHT('Disaggregation Records'!$D$155:$D$385,255),0))),"")</f>
        <v/>
      </c>
      <c r="T771" s="89" t="str">
        <f t="array" aca="1" ref="T771" ca="1">IFERROR(IF(INDEX('Disaggregation Records'!$H$155:$H$385,MATCH(RIGHT(Q771,255),RIGHT('Disaggregation Records'!$D$155:$D$385,255),0))="","",INDEX('Disaggregation Records'!$H$155:$H$385,MATCH(RIGHT(Q771,255),RIGHT('Disaggregation Records'!$D$155:$D$385,255),0))),"")</f>
        <v/>
      </c>
      <c r="U771" s="89">
        <f>U769+1</f>
        <v>1495</v>
      </c>
      <c r="V771" s="89" t="str">
        <f t="array" aca="1" ref="V771" ca="1">IFERROR(IF(INDEX('Disaggregation Records'!$I$155:$I$385,MATCH(RIGHT(Q771,255),RIGHT('Disaggregation Records'!$D$155:$D$385,255),0))="","",INDEX('Disaggregation Records'!$I$155:$I$385,MATCH(RIGHT(Q771,255),RIGHT('Disaggregation Records'!$D$155:$D$385,255),0))),"")</f>
        <v/>
      </c>
      <c r="W771" s="89" t="str">
        <f ca="1">IFERROR(INDEX('Reference Records'!L$77:L$157,MATCH(LEFT(C771,255),'Reference Records'!E$77:E$157,0)),"")</f>
        <v>HTS-3b⁽ᴹ⁾ Percentage of transgender people that have received an HIV test during the reporting period and know their results</v>
      </c>
    </row>
    <row r="772" spans="1:23" s="89" customFormat="1" ht="40.35" customHeight="1">
      <c r="A772" s="564"/>
      <c r="B772" s="799"/>
      <c r="C772" s="800"/>
      <c r="D772" s="801"/>
      <c r="E772" s="801"/>
      <c r="F772" s="128"/>
      <c r="G772" s="802"/>
      <c r="H772" s="781"/>
      <c r="I772" s="803"/>
      <c r="J772" s="779"/>
      <c r="K772" s="800"/>
      <c r="L772" s="800"/>
      <c r="M772" s="779"/>
      <c r="N772" s="779"/>
    </row>
    <row r="773" spans="1:23" s="89" customFormat="1" ht="40.35" customHeight="1">
      <c r="A773" s="564" t="str">
        <f ca="1">INDIRECT("'update Helper'!C"&amp;U773)</f>
        <v>a163p000004VjlvAAC</v>
      </c>
      <c r="B773" s="794">
        <v>4</v>
      </c>
      <c r="C773" s="795" t="str">
        <f ca="1">VLOOKUP(B773,'Coverage Indicators - Section D'!$A$9:$AU$70,47,FALSE)</f>
        <v>HTS-3b⁽ᴹ⁾ Porcentaje de personas transgénero a los que se les ha realizado una prueba de VIH durante el período de reporte y que conocen sus resultados</v>
      </c>
      <c r="D773" s="796" t="str">
        <f ca="1">R773</f>
        <v/>
      </c>
      <c r="E773" s="796" t="str">
        <f ca="1">S773</f>
        <v/>
      </c>
      <c r="F773" s="127"/>
      <c r="G773" s="797" t="str">
        <f ca="1">IF(OR(INDIRECT("'update Helper'!E"&amp;U773)="",F773&lt;&gt;0,F774&lt;&gt;0),IF(IFERROR((F773/F774),"")="","",(F773/F774)),INDIRECT("'update Helper'!E"&amp;U773)/100)</f>
        <v/>
      </c>
      <c r="H773" s="784"/>
      <c r="I773" s="798"/>
      <c r="J773" s="777"/>
      <c r="K773" s="795" t="str">
        <f ca="1">W773</f>
        <v>HTS-3b⁽ᴹ⁾ Percentage of transgender people that have received an HIV test during the reporting period and know their results</v>
      </c>
      <c r="L773" s="795" t="str">
        <f ca="1">V773</f>
        <v/>
      </c>
      <c r="M773" s="777"/>
      <c r="N773" s="777"/>
      <c r="P773" s="89">
        <f ca="1">IF(AND(EXACT(C773,C771),C771&lt;&gt;0),P771+1,0)</f>
        <v>16</v>
      </c>
      <c r="Q773" s="89" t="str">
        <f ca="1">IF(C773&lt;&gt;"",C773&amp;"-"&amp;P773,"")</f>
        <v>HTS-3b⁽ᴹ⁾ Porcentaje de personas transgénero a los que se les ha realizado una prueba de VIH durante el período de reporte y que conocen sus resultados-16</v>
      </c>
      <c r="R773" s="89" t="str">
        <f t="array" aca="1" ref="R773" ca="1">IFERROR(IF(INDEX('Disaggregation Records'!$E$155:$E$385,MATCH(RIGHT(Q773,255),RIGHT('Disaggregation Records'!$D$155:$D$385,255),0))="","",INDEX('Disaggregation Records'!$E$155:$E$385,MATCH(RIGHT(Q773,255),RIGHT('Disaggregation Records'!$D$155:$D$385,255),0))),"")</f>
        <v/>
      </c>
      <c r="S773" s="89" t="str">
        <f t="array" aca="1" ref="S773" ca="1">IFERROR(IF(INDEX('Disaggregation Records'!$F$155:$F$385,MATCH(RIGHT(Q773,255),RIGHT('Disaggregation Records'!$D$155:$D$385,255),0))="","",INDEX('Disaggregation Records'!$F$155:$F$385,MATCH(RIGHT(Q773,255),RIGHT('Disaggregation Records'!$D$155:$D$385,255),0))),"")</f>
        <v/>
      </c>
      <c r="T773" s="89" t="str">
        <f t="array" aca="1" ref="T773" ca="1">IFERROR(IF(INDEX('Disaggregation Records'!$H$155:$H$385,MATCH(RIGHT(Q773,255),RIGHT('Disaggregation Records'!$D$155:$D$385,255),0))="","",INDEX('Disaggregation Records'!$H$155:$H$385,MATCH(RIGHT(Q773,255),RIGHT('Disaggregation Records'!$D$155:$D$385,255),0))),"")</f>
        <v/>
      </c>
      <c r="U773" s="89">
        <f>U771+1</f>
        <v>1496</v>
      </c>
      <c r="V773" s="89" t="str">
        <f t="array" aca="1" ref="V773" ca="1">IFERROR(IF(INDEX('Disaggregation Records'!$I$155:$I$385,MATCH(RIGHT(Q773,255),RIGHT('Disaggregation Records'!$D$155:$D$385,255),0))="","",INDEX('Disaggregation Records'!$I$155:$I$385,MATCH(RIGHT(Q773,255),RIGHT('Disaggregation Records'!$D$155:$D$385,255),0))),"")</f>
        <v/>
      </c>
      <c r="W773" s="89" t="str">
        <f ca="1">IFERROR(INDEX('Reference Records'!L$77:L$157,MATCH(LEFT(C773,255),'Reference Records'!E$77:E$157,0)),"")</f>
        <v>HTS-3b⁽ᴹ⁾ Percentage of transgender people that have received an HIV test during the reporting period and know their results</v>
      </c>
    </row>
    <row r="774" spans="1:23" s="89" customFormat="1" ht="40.35" customHeight="1">
      <c r="A774" s="564"/>
      <c r="B774" s="799"/>
      <c r="C774" s="800"/>
      <c r="D774" s="801"/>
      <c r="E774" s="801"/>
      <c r="F774" s="128"/>
      <c r="G774" s="802"/>
      <c r="H774" s="781"/>
      <c r="I774" s="803"/>
      <c r="J774" s="779"/>
      <c r="K774" s="800"/>
      <c r="L774" s="800"/>
      <c r="M774" s="779"/>
      <c r="N774" s="779"/>
    </row>
    <row r="775" spans="1:23" s="89" customFormat="1" ht="40.35" customHeight="1">
      <c r="A775" s="564" t="str">
        <f ca="1">INDIRECT("'update Helper'!C"&amp;U775)</f>
        <v>a163p000004VjlwAAC</v>
      </c>
      <c r="B775" s="794">
        <v>4</v>
      </c>
      <c r="C775" s="795" t="str">
        <f ca="1">VLOOKUP(B775,'Coverage Indicators - Section D'!$A$9:$AU$70,47,FALSE)</f>
        <v>HTS-3b⁽ᴹ⁾ Porcentaje de personas transgénero a los que se les ha realizado una prueba de VIH durante el período de reporte y que conocen sus resultados</v>
      </c>
      <c r="D775" s="796" t="str">
        <f ca="1">R775</f>
        <v/>
      </c>
      <c r="E775" s="796" t="str">
        <f ca="1">S775</f>
        <v/>
      </c>
      <c r="F775" s="127"/>
      <c r="G775" s="797" t="str">
        <f ca="1">IF(OR(INDIRECT("'update Helper'!E"&amp;U775)="",F775&lt;&gt;0,F776&lt;&gt;0),IF(IFERROR((F775/F776),"")="","",(F775/F776)),INDIRECT("'update Helper'!E"&amp;U775)/100)</f>
        <v/>
      </c>
      <c r="H775" s="784"/>
      <c r="I775" s="798"/>
      <c r="J775" s="777"/>
      <c r="K775" s="795" t="str">
        <f ca="1">W775</f>
        <v>HTS-3b⁽ᴹ⁾ Percentage of transgender people that have received an HIV test during the reporting period and know their results</v>
      </c>
      <c r="L775" s="795" t="str">
        <f ca="1">V775</f>
        <v/>
      </c>
      <c r="M775" s="777"/>
      <c r="N775" s="777"/>
      <c r="P775" s="89">
        <f ca="1">IF(AND(EXACT(C775,C773),C773&lt;&gt;0),P773+1,0)</f>
        <v>17</v>
      </c>
      <c r="Q775" s="89" t="str">
        <f ca="1">IF(C775&lt;&gt;"",C775&amp;"-"&amp;P775,"")</f>
        <v>HTS-3b⁽ᴹ⁾ Porcentaje de personas transgénero a los que se les ha realizado una prueba de VIH durante el período de reporte y que conocen sus resultados-17</v>
      </c>
      <c r="R775" s="89" t="str">
        <f t="array" aca="1" ref="R775" ca="1">IFERROR(IF(INDEX('Disaggregation Records'!$E$155:$E$385,MATCH(RIGHT(Q775,255),RIGHT('Disaggregation Records'!$D$155:$D$385,255),0))="","",INDEX('Disaggregation Records'!$E$155:$E$385,MATCH(RIGHT(Q775,255),RIGHT('Disaggregation Records'!$D$155:$D$385,255),0))),"")</f>
        <v/>
      </c>
      <c r="S775" s="89" t="str">
        <f t="array" aca="1" ref="S775" ca="1">IFERROR(IF(INDEX('Disaggregation Records'!$F$155:$F$385,MATCH(RIGHT(Q775,255),RIGHT('Disaggregation Records'!$D$155:$D$385,255),0))="","",INDEX('Disaggregation Records'!$F$155:$F$385,MATCH(RIGHT(Q775,255),RIGHT('Disaggregation Records'!$D$155:$D$385,255),0))),"")</f>
        <v/>
      </c>
      <c r="T775" s="89" t="str">
        <f t="array" aca="1" ref="T775" ca="1">IFERROR(IF(INDEX('Disaggregation Records'!$H$155:$H$385,MATCH(RIGHT(Q775,255),RIGHT('Disaggregation Records'!$D$155:$D$385,255),0))="","",INDEX('Disaggregation Records'!$H$155:$H$385,MATCH(RIGHT(Q775,255),RIGHT('Disaggregation Records'!$D$155:$D$385,255),0))),"")</f>
        <v/>
      </c>
      <c r="U775" s="89">
        <f>U773+1</f>
        <v>1497</v>
      </c>
      <c r="V775" s="89" t="str">
        <f t="array" aca="1" ref="V775" ca="1">IFERROR(IF(INDEX('Disaggregation Records'!$I$155:$I$385,MATCH(RIGHT(Q775,255),RIGHT('Disaggregation Records'!$D$155:$D$385,255),0))="","",INDEX('Disaggregation Records'!$I$155:$I$385,MATCH(RIGHT(Q775,255),RIGHT('Disaggregation Records'!$D$155:$D$385,255),0))),"")</f>
        <v/>
      </c>
      <c r="W775" s="89" t="str">
        <f ca="1">IFERROR(INDEX('Reference Records'!L$77:L$157,MATCH(LEFT(C775,255),'Reference Records'!E$77:E$157,0)),"")</f>
        <v>HTS-3b⁽ᴹ⁾ Percentage of transgender people that have received an HIV test during the reporting period and know their results</v>
      </c>
    </row>
    <row r="776" spans="1:23" s="89" customFormat="1" ht="40.35" customHeight="1">
      <c r="A776" s="564"/>
      <c r="B776" s="799"/>
      <c r="C776" s="800"/>
      <c r="D776" s="801"/>
      <c r="E776" s="801"/>
      <c r="F776" s="128"/>
      <c r="G776" s="802"/>
      <c r="H776" s="781"/>
      <c r="I776" s="803"/>
      <c r="J776" s="779"/>
      <c r="K776" s="800"/>
      <c r="L776" s="800"/>
      <c r="M776" s="779"/>
      <c r="N776" s="779"/>
    </row>
    <row r="777" spans="1:23" s="89" customFormat="1" ht="40.35" customHeight="1">
      <c r="A777" s="564" t="str">
        <f ca="1">INDIRECT("'update Helper'!C"&amp;U777)</f>
        <v>a163p000004VjlxAAC</v>
      </c>
      <c r="B777" s="794">
        <v>4</v>
      </c>
      <c r="C777" s="795" t="str">
        <f ca="1">VLOOKUP(B777,'Coverage Indicators - Section D'!$A$9:$AU$70,47,FALSE)</f>
        <v>HTS-3b⁽ᴹ⁾ Porcentaje de personas transgénero a los que se les ha realizado una prueba de VIH durante el período de reporte y que conocen sus resultados</v>
      </c>
      <c r="D777" s="796" t="str">
        <f ca="1">R777</f>
        <v/>
      </c>
      <c r="E777" s="796" t="str">
        <f ca="1">S777</f>
        <v/>
      </c>
      <c r="F777" s="127"/>
      <c r="G777" s="797" t="str">
        <f ca="1">IF(OR(INDIRECT("'update Helper'!E"&amp;U777)="",F777&lt;&gt;0,F778&lt;&gt;0),IF(IFERROR((F777/F778),"")="","",(F777/F778)),INDIRECT("'update Helper'!E"&amp;U777)/100)</f>
        <v/>
      </c>
      <c r="H777" s="784"/>
      <c r="I777" s="798"/>
      <c r="J777" s="777"/>
      <c r="K777" s="795" t="str">
        <f ca="1">W777</f>
        <v>HTS-3b⁽ᴹ⁾ Percentage of transgender people that have received an HIV test during the reporting period and know their results</v>
      </c>
      <c r="L777" s="795" t="str">
        <f ca="1">V777</f>
        <v/>
      </c>
      <c r="M777" s="777"/>
      <c r="N777" s="777"/>
      <c r="P777" s="89">
        <f ca="1">IF(AND(EXACT(C777,C775),C775&lt;&gt;0),P775+1,0)</f>
        <v>18</v>
      </c>
      <c r="Q777" s="89" t="str">
        <f ca="1">IF(C777&lt;&gt;"",C777&amp;"-"&amp;P777,"")</f>
        <v>HTS-3b⁽ᴹ⁾ Porcentaje de personas transgénero a los que se les ha realizado una prueba de VIH durante el período de reporte y que conocen sus resultados-18</v>
      </c>
      <c r="R777" s="89" t="str">
        <f t="array" aca="1" ref="R777" ca="1">IFERROR(IF(INDEX('Disaggregation Records'!$E$155:$E$385,MATCH(RIGHT(Q777,255),RIGHT('Disaggregation Records'!$D$155:$D$385,255),0))="","",INDEX('Disaggregation Records'!$E$155:$E$385,MATCH(RIGHT(Q777,255),RIGHT('Disaggregation Records'!$D$155:$D$385,255),0))),"")</f>
        <v/>
      </c>
      <c r="S777" s="89" t="str">
        <f t="array" aca="1" ref="S777" ca="1">IFERROR(IF(INDEX('Disaggregation Records'!$F$155:$F$385,MATCH(RIGHT(Q777,255),RIGHT('Disaggregation Records'!$D$155:$D$385,255),0))="","",INDEX('Disaggregation Records'!$F$155:$F$385,MATCH(RIGHT(Q777,255),RIGHT('Disaggregation Records'!$D$155:$D$385,255),0))),"")</f>
        <v/>
      </c>
      <c r="T777" s="89" t="str">
        <f t="array" aca="1" ref="T777" ca="1">IFERROR(IF(INDEX('Disaggregation Records'!$H$155:$H$385,MATCH(RIGHT(Q777,255),RIGHT('Disaggregation Records'!$D$155:$D$385,255),0))="","",INDEX('Disaggregation Records'!$H$155:$H$385,MATCH(RIGHT(Q777,255),RIGHT('Disaggregation Records'!$D$155:$D$385,255),0))),"")</f>
        <v/>
      </c>
      <c r="U777" s="89">
        <f>U775+1</f>
        <v>1498</v>
      </c>
      <c r="V777" s="89" t="str">
        <f t="array" aca="1" ref="V777" ca="1">IFERROR(IF(INDEX('Disaggregation Records'!$I$155:$I$385,MATCH(RIGHT(Q777,255),RIGHT('Disaggregation Records'!$D$155:$D$385,255),0))="","",INDEX('Disaggregation Records'!$I$155:$I$385,MATCH(RIGHT(Q777,255),RIGHT('Disaggregation Records'!$D$155:$D$385,255),0))),"")</f>
        <v/>
      </c>
      <c r="W777" s="89" t="str">
        <f ca="1">IFERROR(INDEX('Reference Records'!L$77:L$157,MATCH(LEFT(C777,255),'Reference Records'!E$77:E$157,0)),"")</f>
        <v>HTS-3b⁽ᴹ⁾ Percentage of transgender people that have received an HIV test during the reporting period and know their results</v>
      </c>
    </row>
    <row r="778" spans="1:23" s="89" customFormat="1" ht="40.35" customHeight="1">
      <c r="A778" s="564"/>
      <c r="B778" s="799"/>
      <c r="C778" s="800"/>
      <c r="D778" s="801"/>
      <c r="E778" s="801"/>
      <c r="F778" s="128"/>
      <c r="G778" s="802"/>
      <c r="H778" s="781"/>
      <c r="I778" s="803"/>
      <c r="J778" s="779"/>
      <c r="K778" s="800"/>
      <c r="L778" s="800"/>
      <c r="M778" s="779"/>
      <c r="N778" s="779"/>
    </row>
    <row r="779" spans="1:23" s="89" customFormat="1" ht="40.35" customHeight="1">
      <c r="A779" s="564" t="str">
        <f ca="1">INDIRECT("'update Helper'!C"&amp;U779)</f>
        <v>a163p000004VjlyAAC</v>
      </c>
      <c r="B779" s="794">
        <v>4</v>
      </c>
      <c r="C779" s="795" t="str">
        <f ca="1">VLOOKUP(B779,'Coverage Indicators - Section D'!$A$9:$AU$70,47,FALSE)</f>
        <v>HTS-3b⁽ᴹ⁾ Porcentaje de personas transgénero a los que se les ha realizado una prueba de VIH durante el período de reporte y que conocen sus resultados</v>
      </c>
      <c r="D779" s="796" t="str">
        <f ca="1">R779</f>
        <v/>
      </c>
      <c r="E779" s="796" t="str">
        <f ca="1">S779</f>
        <v/>
      </c>
      <c r="F779" s="127"/>
      <c r="G779" s="797" t="str">
        <f ca="1">IF(OR(INDIRECT("'update Helper'!E"&amp;U779)="",F779&lt;&gt;0,F780&lt;&gt;0),IF(IFERROR((F779/F780),"")="","",(F779/F780)),INDIRECT("'update Helper'!E"&amp;U779)/100)</f>
        <v/>
      </c>
      <c r="H779" s="784"/>
      <c r="I779" s="798"/>
      <c r="J779" s="777"/>
      <c r="K779" s="795" t="str">
        <f ca="1">W779</f>
        <v>HTS-3b⁽ᴹ⁾ Percentage of transgender people that have received an HIV test during the reporting period and know their results</v>
      </c>
      <c r="L779" s="795" t="str">
        <f ca="1">V779</f>
        <v/>
      </c>
      <c r="M779" s="777"/>
      <c r="N779" s="777"/>
      <c r="P779" s="89">
        <f ca="1">IF(AND(EXACT(C779,C777),C777&lt;&gt;0),P777+1,0)</f>
        <v>19</v>
      </c>
      <c r="Q779" s="89" t="str">
        <f ca="1">IF(C779&lt;&gt;"",C779&amp;"-"&amp;P779,"")</f>
        <v>HTS-3b⁽ᴹ⁾ Porcentaje de personas transgénero a los que se les ha realizado una prueba de VIH durante el período de reporte y que conocen sus resultados-19</v>
      </c>
      <c r="R779" s="89" t="str">
        <f t="array" aca="1" ref="R779" ca="1">IFERROR(IF(INDEX('Disaggregation Records'!$E$155:$E$385,MATCH(RIGHT(Q779,255),RIGHT('Disaggregation Records'!$D$155:$D$385,255),0))="","",INDEX('Disaggregation Records'!$E$155:$E$385,MATCH(RIGHT(Q779,255),RIGHT('Disaggregation Records'!$D$155:$D$385,255),0))),"")</f>
        <v/>
      </c>
      <c r="S779" s="89" t="str">
        <f t="array" aca="1" ref="S779" ca="1">IFERROR(IF(INDEX('Disaggregation Records'!$F$155:$F$385,MATCH(RIGHT(Q779,255),RIGHT('Disaggregation Records'!$D$155:$D$385,255),0))="","",INDEX('Disaggregation Records'!$F$155:$F$385,MATCH(RIGHT(Q779,255),RIGHT('Disaggregation Records'!$D$155:$D$385,255),0))),"")</f>
        <v/>
      </c>
      <c r="T779" s="89" t="str">
        <f t="array" aca="1" ref="T779" ca="1">IFERROR(IF(INDEX('Disaggregation Records'!$H$155:$H$385,MATCH(RIGHT(Q779,255),RIGHT('Disaggregation Records'!$D$155:$D$385,255),0))="","",INDEX('Disaggregation Records'!$H$155:$H$385,MATCH(RIGHT(Q779,255),RIGHT('Disaggregation Records'!$D$155:$D$385,255),0))),"")</f>
        <v/>
      </c>
      <c r="U779" s="89">
        <f>U777+1</f>
        <v>1499</v>
      </c>
      <c r="V779" s="89" t="str">
        <f t="array" aca="1" ref="V779" ca="1">IFERROR(IF(INDEX('Disaggregation Records'!$I$155:$I$385,MATCH(RIGHT(Q779,255),RIGHT('Disaggregation Records'!$D$155:$D$385,255),0))="","",INDEX('Disaggregation Records'!$I$155:$I$385,MATCH(RIGHT(Q779,255),RIGHT('Disaggregation Records'!$D$155:$D$385,255),0))),"")</f>
        <v/>
      </c>
      <c r="W779" s="89" t="str">
        <f ca="1">IFERROR(INDEX('Reference Records'!L$77:L$157,MATCH(LEFT(C779,255),'Reference Records'!E$77:E$157,0)),"")</f>
        <v>HTS-3b⁽ᴹ⁾ Percentage of transgender people that have received an HIV test during the reporting period and know their results</v>
      </c>
    </row>
    <row r="780" spans="1:23" s="89" customFormat="1" ht="40.35" customHeight="1">
      <c r="A780" s="564"/>
      <c r="B780" s="799"/>
      <c r="C780" s="800"/>
      <c r="D780" s="801"/>
      <c r="E780" s="801"/>
      <c r="F780" s="128"/>
      <c r="G780" s="802"/>
      <c r="H780" s="781"/>
      <c r="I780" s="803"/>
      <c r="J780" s="779"/>
      <c r="K780" s="800"/>
      <c r="L780" s="800"/>
      <c r="M780" s="779"/>
      <c r="N780" s="779"/>
    </row>
    <row r="781" spans="1:23" s="89" customFormat="1" ht="40.35" customHeight="1">
      <c r="A781" s="564" t="str">
        <f ca="1">INDIRECT("'update Helper'!C"&amp;U781)</f>
        <v>a163p000004VjlzAAC</v>
      </c>
      <c r="B781" s="794">
        <v>5</v>
      </c>
      <c r="C781" s="795" t="str">
        <f ca="1">VLOOKUP(B781,'Coverage Indicators - Section D'!$A$9:$AU$70,47,FALSE)</f>
        <v>TCS-1.1⁽ᴹ⁾ Porcentaje de personas en TARV entre todas las personas viviendo con VIH al final del período de reporte</v>
      </c>
      <c r="D781" s="796" t="str">
        <f ca="1">R781</f>
        <v>Grupo de riesgo objetivo</v>
      </c>
      <c r="E781" s="796" t="str">
        <f ca="1">S781</f>
        <v>Reclusos</v>
      </c>
      <c r="F781" s="127"/>
      <c r="G781" s="797" t="str">
        <f ca="1">IF(OR(INDIRECT("'update Helper'!E"&amp;U781)="",F781&lt;&gt;0,F782&lt;&gt;0),IF(IFERROR((F781/F782),"")="","",(F781/F782)),INDIRECT("'update Helper'!E"&amp;U781)/100)</f>
        <v/>
      </c>
      <c r="H781" s="784"/>
      <c r="I781" s="798"/>
      <c r="J781" s="777"/>
      <c r="K781" s="795" t="str">
        <f ca="1">W781</f>
        <v>TCS-1.1⁽ᴹ⁾ Percentage of people on ART among all people living with HIV at the end of the reporting period</v>
      </c>
      <c r="L781" s="795" t="str">
        <f ca="1">V781</f>
        <v>Target / Risk population group</v>
      </c>
      <c r="M781" s="777"/>
      <c r="N781" s="777"/>
      <c r="P781" s="89">
        <f ca="1">IF(AND(EXACT(C781,C779),C779&lt;&gt;0),P779+1,0)</f>
        <v>0</v>
      </c>
      <c r="Q781" s="89" t="str">
        <f ca="1">IF(C781&lt;&gt;"",C781&amp;"-"&amp;P781,"")</f>
        <v>TCS-1.1⁽ᴹ⁾ Porcentaje de personas en TARV entre todas las personas viviendo con VIH al final del período de reporte-0</v>
      </c>
      <c r="R781" s="89" t="str">
        <f t="array" aca="1" ref="R781" ca="1">IFERROR(IF(INDEX('Disaggregation Records'!$E$155:$E$385,MATCH(RIGHT(Q781,255),RIGHT('Disaggregation Records'!$D$155:$D$385,255),0))="","",INDEX('Disaggregation Records'!$E$155:$E$385,MATCH(RIGHT(Q781,255),RIGHT('Disaggregation Records'!$D$155:$D$385,255),0))),"")</f>
        <v>Grupo de riesgo objetivo</v>
      </c>
      <c r="S781" s="89" t="str">
        <f t="array" aca="1" ref="S781" ca="1">IFERROR(IF(INDEX('Disaggregation Records'!$F$155:$F$385,MATCH(RIGHT(Q781,255),RIGHT('Disaggregation Records'!$D$155:$D$385,255),0))="","",INDEX('Disaggregation Records'!$F$155:$F$385,MATCH(RIGHT(Q781,255),RIGHT('Disaggregation Records'!$D$155:$D$385,255),0))),"")</f>
        <v>Reclusos</v>
      </c>
      <c r="T781" s="89" t="str">
        <f t="array" aca="1" ref="T781" ca="1">IFERROR(IF(INDEX('Disaggregation Records'!$H$155:$H$385,MATCH(RIGHT(Q781,255),RIGHT('Disaggregation Records'!$D$155:$D$385,255),0))="","",INDEX('Disaggregation Records'!$H$155:$H$385,MATCH(RIGHT(Q781,255),RIGHT('Disaggregation Records'!$D$155:$D$385,255),0))),"")</f>
        <v>IDR-00980</v>
      </c>
      <c r="U781" s="89">
        <f>U779+1</f>
        <v>1500</v>
      </c>
      <c r="V781" s="89" t="str">
        <f t="array" aca="1" ref="V781" ca="1">IFERROR(IF(INDEX('Disaggregation Records'!$I$155:$I$385,MATCH(RIGHT(Q781,255),RIGHT('Disaggregation Records'!$D$155:$D$385,255),0))="","",INDEX('Disaggregation Records'!$I$155:$I$385,MATCH(RIGHT(Q781,255),RIGHT('Disaggregation Records'!$D$155:$D$385,255),0))),"")</f>
        <v>Target / Risk population group</v>
      </c>
      <c r="W781" s="89" t="str">
        <f ca="1">IFERROR(INDEX('Reference Records'!L$77:L$157,MATCH(LEFT(C781,255),'Reference Records'!E$77:E$157,0)),"")</f>
        <v>TCS-1.1⁽ᴹ⁾ Percentage of people on ART among all people living with HIV at the end of the reporting period</v>
      </c>
    </row>
    <row r="782" spans="1:23" s="89" customFormat="1" ht="40.35" customHeight="1">
      <c r="A782" s="564"/>
      <c r="B782" s="799"/>
      <c r="C782" s="800"/>
      <c r="D782" s="801"/>
      <c r="E782" s="801"/>
      <c r="F782" s="128"/>
      <c r="G782" s="802"/>
      <c r="H782" s="781"/>
      <c r="I782" s="803"/>
      <c r="J782" s="779"/>
      <c r="K782" s="800"/>
      <c r="L782" s="800"/>
      <c r="M782" s="779"/>
      <c r="N782" s="779"/>
    </row>
    <row r="783" spans="1:23" s="89" customFormat="1" ht="40.35" customHeight="1">
      <c r="A783" s="564" t="str">
        <f ca="1">INDIRECT("'update Helper'!C"&amp;U783)</f>
        <v>a163p000004Vjm0AAC</v>
      </c>
      <c r="B783" s="794">
        <v>5</v>
      </c>
      <c r="C783" s="795" t="str">
        <f ca="1">VLOOKUP(B783,'Coverage Indicators - Section D'!$A$9:$AU$70,47,FALSE)</f>
        <v>TCS-1.1⁽ᴹ⁾ Porcentaje de personas en TARV entre todas las personas viviendo con VIH al final del período de reporte</v>
      </c>
      <c r="D783" s="796" t="str">
        <f ca="1">R783</f>
        <v>Grupo de riesgo objetivo</v>
      </c>
      <c r="E783" s="796" t="str">
        <f ca="1">S783</f>
        <v>PWID</v>
      </c>
      <c r="F783" s="127"/>
      <c r="G783" s="797" t="str">
        <f ca="1">IF(OR(INDIRECT("'update Helper'!E"&amp;U783)="",F783&lt;&gt;0,F784&lt;&gt;0),IF(IFERROR((F783/F784),"")="","",(F783/F784)),INDIRECT("'update Helper'!E"&amp;U783)/100)</f>
        <v/>
      </c>
      <c r="H783" s="784"/>
      <c r="I783" s="798"/>
      <c r="J783" s="777"/>
      <c r="K783" s="795" t="str">
        <f ca="1">W783</f>
        <v>TCS-1.1⁽ᴹ⁾ Percentage of people on ART among all people living with HIV at the end of the reporting period</v>
      </c>
      <c r="L783" s="795" t="str">
        <f ca="1">V783</f>
        <v>Target / Risk population group</v>
      </c>
      <c r="M783" s="777"/>
      <c r="N783" s="777"/>
      <c r="P783" s="89">
        <f ca="1">IF(AND(EXACT(C783,C781),C781&lt;&gt;0),P781+1,0)</f>
        <v>1</v>
      </c>
      <c r="Q783" s="89" t="str">
        <f ca="1">IF(C783&lt;&gt;"",C783&amp;"-"&amp;P783,"")</f>
        <v>TCS-1.1⁽ᴹ⁾ Porcentaje de personas en TARV entre todas las personas viviendo con VIH al final del período de reporte-1</v>
      </c>
      <c r="R783" s="89" t="str">
        <f t="array" aca="1" ref="R783" ca="1">IFERROR(IF(INDEX('Disaggregation Records'!$E$155:$E$385,MATCH(RIGHT(Q783,255),RIGHT('Disaggregation Records'!$D$155:$D$385,255),0))="","",INDEX('Disaggregation Records'!$E$155:$E$385,MATCH(RIGHT(Q783,255),RIGHT('Disaggregation Records'!$D$155:$D$385,255),0))),"")</f>
        <v>Grupo de riesgo objetivo</v>
      </c>
      <c r="S783" s="89" t="str">
        <f t="array" aca="1" ref="S783" ca="1">IFERROR(IF(INDEX('Disaggregation Records'!$F$155:$F$385,MATCH(RIGHT(Q783,255),RIGHT('Disaggregation Records'!$D$155:$D$385,255),0))="","",INDEX('Disaggregation Records'!$F$155:$F$385,MATCH(RIGHT(Q783,255),RIGHT('Disaggregation Records'!$D$155:$D$385,255),0))),"")</f>
        <v>PWID</v>
      </c>
      <c r="T783" s="89" t="str">
        <f t="array" aca="1" ref="T783" ca="1">IFERROR(IF(INDEX('Disaggregation Records'!$H$155:$H$385,MATCH(RIGHT(Q783,255),RIGHT('Disaggregation Records'!$D$155:$D$385,255),0))="","",INDEX('Disaggregation Records'!$H$155:$H$385,MATCH(RIGHT(Q783,255),RIGHT('Disaggregation Records'!$D$155:$D$385,255),0))),"")</f>
        <v>IDR-00979</v>
      </c>
      <c r="U783" s="89">
        <f>U781+1</f>
        <v>1501</v>
      </c>
      <c r="V783" s="89" t="str">
        <f t="array" aca="1" ref="V783" ca="1">IFERROR(IF(INDEX('Disaggregation Records'!$I$155:$I$385,MATCH(RIGHT(Q783,255),RIGHT('Disaggregation Records'!$D$155:$D$385,255),0))="","",INDEX('Disaggregation Records'!$I$155:$I$385,MATCH(RIGHT(Q783,255),RIGHT('Disaggregation Records'!$D$155:$D$385,255),0))),"")</f>
        <v>Target / Risk population group</v>
      </c>
      <c r="W783" s="89" t="str">
        <f ca="1">IFERROR(INDEX('Reference Records'!L$77:L$157,MATCH(LEFT(C783,255),'Reference Records'!E$77:E$157,0)),"")</f>
        <v>TCS-1.1⁽ᴹ⁾ Percentage of people on ART among all people living with HIV at the end of the reporting period</v>
      </c>
    </row>
    <row r="784" spans="1:23" s="89" customFormat="1" ht="40.35" customHeight="1">
      <c r="A784" s="564"/>
      <c r="B784" s="799"/>
      <c r="C784" s="800"/>
      <c r="D784" s="801"/>
      <c r="E784" s="801"/>
      <c r="F784" s="128"/>
      <c r="G784" s="802"/>
      <c r="H784" s="781"/>
      <c r="I784" s="803"/>
      <c r="J784" s="779"/>
      <c r="K784" s="800"/>
      <c r="L784" s="800"/>
      <c r="M784" s="779"/>
      <c r="N784" s="779"/>
    </row>
    <row r="785" spans="1:23" s="89" customFormat="1" ht="40.35" customHeight="1">
      <c r="A785" s="564" t="str">
        <f ca="1">INDIRECT("'update Helper'!C"&amp;U785)</f>
        <v>a163p000004Vjm1AAC</v>
      </c>
      <c r="B785" s="794">
        <v>5</v>
      </c>
      <c r="C785" s="795" t="str">
        <f ca="1">VLOOKUP(B785,'Coverage Indicators - Section D'!$A$9:$AU$70,47,FALSE)</f>
        <v>TCS-1.1⁽ᴹ⁾ Porcentaje de personas en TARV entre todas las personas viviendo con VIH al final del período de reporte</v>
      </c>
      <c r="D785" s="796" t="str">
        <f ca="1">R785</f>
        <v>Grupo de riesgo objetivo</v>
      </c>
      <c r="E785" s="796" t="str">
        <f ca="1">S785</f>
        <v>Trabajadores sexuales</v>
      </c>
      <c r="F785" s="418">
        <v>131</v>
      </c>
      <c r="G785" s="806">
        <f ca="1">IF(OR(INDIRECT("'update Helper'!E"&amp;U785)="",F785&lt;&gt;0,F786&lt;&gt;0),IF(IFERROR((F785/F786),"")="","",(F785/F786)),INDIRECT("'update Helper'!E"&amp;U785)/100)</f>
        <v>1.2843137254901962</v>
      </c>
      <c r="H785" s="804">
        <v>2021</v>
      </c>
      <c r="I785" s="798"/>
      <c r="J785" s="777"/>
      <c r="K785" s="795" t="str">
        <f ca="1">W785</f>
        <v>TCS-1.1⁽ᴹ⁾ Percentage of people on ART among all people living with HIV at the end of the reporting period</v>
      </c>
      <c r="L785" s="795" t="str">
        <f ca="1">V785</f>
        <v>Target / Risk population group</v>
      </c>
      <c r="M785" s="777"/>
      <c r="N785" s="777"/>
      <c r="P785" s="89">
        <f ca="1">IF(AND(EXACT(C785,C783),C783&lt;&gt;0),P783+1,0)</f>
        <v>2</v>
      </c>
      <c r="Q785" s="89" t="str">
        <f ca="1">IF(C785&lt;&gt;"",C785&amp;"-"&amp;P785,"")</f>
        <v>TCS-1.1⁽ᴹ⁾ Porcentaje de personas en TARV entre todas las personas viviendo con VIH al final del período de reporte-2</v>
      </c>
      <c r="R785" s="89" t="str">
        <f t="array" aca="1" ref="R785" ca="1">IFERROR(IF(INDEX('Disaggregation Records'!$E$155:$E$385,MATCH(RIGHT(Q785,255),RIGHT('Disaggregation Records'!$D$155:$D$385,255),0))="","",INDEX('Disaggregation Records'!$E$155:$E$385,MATCH(RIGHT(Q785,255),RIGHT('Disaggregation Records'!$D$155:$D$385,255),0))),"")</f>
        <v>Grupo de riesgo objetivo</v>
      </c>
      <c r="S785" s="89" t="str">
        <f t="array" aca="1" ref="S785" ca="1">IFERROR(IF(INDEX('Disaggregation Records'!$F$155:$F$385,MATCH(RIGHT(Q785,255),RIGHT('Disaggregation Records'!$D$155:$D$385,255),0))="","",INDEX('Disaggregation Records'!$F$155:$F$385,MATCH(RIGHT(Q785,255),RIGHT('Disaggregation Records'!$D$155:$D$385,255),0))),"")</f>
        <v>Trabajadores sexuales</v>
      </c>
      <c r="T785" s="89" t="str">
        <f t="array" aca="1" ref="T785" ca="1">IFERROR(IF(INDEX('Disaggregation Records'!$H$155:$H$385,MATCH(RIGHT(Q785,255),RIGHT('Disaggregation Records'!$D$155:$D$385,255),0))="","",INDEX('Disaggregation Records'!$H$155:$H$385,MATCH(RIGHT(Q785,255),RIGHT('Disaggregation Records'!$D$155:$D$385,255),0))),"")</f>
        <v>IDR-00978</v>
      </c>
      <c r="U785" s="89">
        <f>U783+1</f>
        <v>1502</v>
      </c>
      <c r="V785" s="89" t="str">
        <f t="array" aca="1" ref="V785" ca="1">IFERROR(IF(INDEX('Disaggregation Records'!$I$155:$I$385,MATCH(RIGHT(Q785,255),RIGHT('Disaggregation Records'!$D$155:$D$385,255),0))="","",INDEX('Disaggregation Records'!$I$155:$I$385,MATCH(RIGHT(Q785,255),RIGHT('Disaggregation Records'!$D$155:$D$385,255),0))),"")</f>
        <v>Target / Risk population group</v>
      </c>
      <c r="W785" s="89" t="str">
        <f ca="1">IFERROR(INDEX('Reference Records'!L$77:L$157,MATCH(LEFT(C785,255),'Reference Records'!E$77:E$157,0)),"")</f>
        <v>TCS-1.1⁽ᴹ⁾ Percentage of people on ART among all people living with HIV at the end of the reporting period</v>
      </c>
    </row>
    <row r="786" spans="1:23" s="89" customFormat="1" ht="40.35" customHeight="1">
      <c r="A786" s="564"/>
      <c r="B786" s="799"/>
      <c r="C786" s="800"/>
      <c r="D786" s="801"/>
      <c r="E786" s="801"/>
      <c r="F786" s="419">
        <v>102</v>
      </c>
      <c r="G786" s="807"/>
      <c r="H786" s="805"/>
      <c r="I786" s="803"/>
      <c r="J786" s="779"/>
      <c r="K786" s="800"/>
      <c r="L786" s="800"/>
      <c r="M786" s="779"/>
      <c r="N786" s="779"/>
    </row>
    <row r="787" spans="1:23" s="89" customFormat="1" ht="40.35" customHeight="1">
      <c r="A787" s="564" t="str">
        <f ca="1">INDIRECT("'update Helper'!C"&amp;U787)</f>
        <v>a163p000004Vjm2AAC</v>
      </c>
      <c r="B787" s="794">
        <v>5</v>
      </c>
      <c r="C787" s="795" t="str">
        <f ca="1">VLOOKUP(B787,'Coverage Indicators - Section D'!$A$9:$AU$70,47,FALSE)</f>
        <v>TCS-1.1⁽ᴹ⁾ Porcentaje de personas en TARV entre todas las personas viviendo con VIH al final del período de reporte</v>
      </c>
      <c r="D787" s="796" t="str">
        <f ca="1">R787</f>
        <v>Grupo de riesgo objetivo</v>
      </c>
      <c r="E787" s="796" t="str">
        <f ca="1">S787</f>
        <v>HSH</v>
      </c>
      <c r="F787" s="418">
        <v>4429</v>
      </c>
      <c r="G787" s="806">
        <f ca="1">IF(OR(INDIRECT("'update Helper'!E"&amp;U787)="",F787&lt;&gt;0,F788&lt;&gt;0),IF(IFERROR((F787/F788),"")="","",(F787/F788)),INDIRECT("'update Helper'!E"&amp;U787)/100)</f>
        <v>0.50605575868372943</v>
      </c>
      <c r="H787" s="804">
        <v>2021</v>
      </c>
      <c r="I787" s="798"/>
      <c r="J787" s="777"/>
      <c r="K787" s="795" t="str">
        <f ca="1">W787</f>
        <v>TCS-1.1⁽ᴹ⁾ Percentage of people on ART among all people living with HIV at the end of the reporting period</v>
      </c>
      <c r="L787" s="795" t="str">
        <f ca="1">V787</f>
        <v>Target / Risk population group</v>
      </c>
      <c r="M787" s="777"/>
      <c r="N787" s="777"/>
      <c r="P787" s="89">
        <f ca="1">IF(AND(EXACT(C787,C785),C785&lt;&gt;0),P785+1,0)</f>
        <v>3</v>
      </c>
      <c r="Q787" s="89" t="str">
        <f ca="1">IF(C787&lt;&gt;"",C787&amp;"-"&amp;P787,"")</f>
        <v>TCS-1.1⁽ᴹ⁾ Porcentaje de personas en TARV entre todas las personas viviendo con VIH al final del período de reporte-3</v>
      </c>
      <c r="R787" s="89" t="str">
        <f t="array" aca="1" ref="R787" ca="1">IFERROR(IF(INDEX('Disaggregation Records'!$E$155:$E$385,MATCH(RIGHT(Q787,255),RIGHT('Disaggregation Records'!$D$155:$D$385,255),0))="","",INDEX('Disaggregation Records'!$E$155:$E$385,MATCH(RIGHT(Q787,255),RIGHT('Disaggregation Records'!$D$155:$D$385,255),0))),"")</f>
        <v>Grupo de riesgo objetivo</v>
      </c>
      <c r="S787" s="89" t="str">
        <f t="array" aca="1" ref="S787" ca="1">IFERROR(IF(INDEX('Disaggregation Records'!$F$155:$F$385,MATCH(RIGHT(Q787,255),RIGHT('Disaggregation Records'!$D$155:$D$385,255),0))="","",INDEX('Disaggregation Records'!$F$155:$F$385,MATCH(RIGHT(Q787,255),RIGHT('Disaggregation Records'!$D$155:$D$385,255),0))),"")</f>
        <v>HSH</v>
      </c>
      <c r="T787" s="89" t="str">
        <f t="array" aca="1" ref="T787" ca="1">IFERROR(IF(INDEX('Disaggregation Records'!$H$155:$H$385,MATCH(RIGHT(Q787,255),RIGHT('Disaggregation Records'!$D$155:$D$385,255),0))="","",INDEX('Disaggregation Records'!$H$155:$H$385,MATCH(RIGHT(Q787,255),RIGHT('Disaggregation Records'!$D$155:$D$385,255),0))),"")</f>
        <v>IDR-00977</v>
      </c>
      <c r="U787" s="89">
        <f>U785+1</f>
        <v>1503</v>
      </c>
      <c r="V787" s="89" t="str">
        <f t="array" aca="1" ref="V787" ca="1">IFERROR(IF(INDEX('Disaggregation Records'!$I$155:$I$385,MATCH(RIGHT(Q787,255),RIGHT('Disaggregation Records'!$D$155:$D$385,255),0))="","",INDEX('Disaggregation Records'!$I$155:$I$385,MATCH(RIGHT(Q787,255),RIGHT('Disaggregation Records'!$D$155:$D$385,255),0))),"")</f>
        <v>Target / Risk population group</v>
      </c>
      <c r="W787" s="89" t="str">
        <f ca="1">IFERROR(INDEX('Reference Records'!L$77:L$157,MATCH(LEFT(C787,255),'Reference Records'!E$77:E$157,0)),"")</f>
        <v>TCS-1.1⁽ᴹ⁾ Percentage of people on ART among all people living with HIV at the end of the reporting period</v>
      </c>
    </row>
    <row r="788" spans="1:23" s="89" customFormat="1" ht="40.35" customHeight="1">
      <c r="A788" s="564"/>
      <c r="B788" s="799"/>
      <c r="C788" s="800"/>
      <c r="D788" s="801"/>
      <c r="E788" s="801"/>
      <c r="F788" s="419">
        <v>8752</v>
      </c>
      <c r="G788" s="807"/>
      <c r="H788" s="805"/>
      <c r="I788" s="803"/>
      <c r="J788" s="779"/>
      <c r="K788" s="800"/>
      <c r="L788" s="800"/>
      <c r="M788" s="779"/>
      <c r="N788" s="779"/>
    </row>
    <row r="789" spans="1:23" s="89" customFormat="1" ht="40.35" customHeight="1">
      <c r="A789" s="564" t="str">
        <f ca="1">INDIRECT("'update Helper'!C"&amp;U789)</f>
        <v>a163p000004Vjm3AAC</v>
      </c>
      <c r="B789" s="794">
        <v>5</v>
      </c>
      <c r="C789" s="795" t="str">
        <f ca="1">VLOOKUP(B789,'Coverage Indicators - Section D'!$A$9:$AU$70,47,FALSE)</f>
        <v>TCS-1.1⁽ᴹ⁾ Porcentaje de personas en TARV entre todas las personas viviendo con VIH al final del período de reporte</v>
      </c>
      <c r="D789" s="796" t="str">
        <f ca="1">R789</f>
        <v>Duración del tratamiento</v>
      </c>
      <c r="E789" s="796" t="str">
        <f ca="1">S789</f>
        <v>Iniciaron TARV recientemente</v>
      </c>
      <c r="F789" s="418">
        <v>2211</v>
      </c>
      <c r="G789" s="806">
        <f ca="1">IF(OR(INDIRECT("'update Helper'!E"&amp;U789)="",F789&lt;&gt;0,F790&lt;&gt;0),IF(IFERROR((F789/F790),"")="","",(F789/F790)),INDIRECT("'update Helper'!E"&amp;U789)/100)</f>
        <v>0.15666406858924395</v>
      </c>
      <c r="H789" s="804">
        <v>2021</v>
      </c>
      <c r="I789" s="798"/>
      <c r="J789" s="777"/>
      <c r="K789" s="795" t="str">
        <f ca="1">W789</f>
        <v>TCS-1.1⁽ᴹ⁾ Percentage of people on ART among all people living with HIV at the end of the reporting period</v>
      </c>
      <c r="L789" s="795" t="str">
        <f ca="1">V789</f>
        <v>Duration of treatment</v>
      </c>
      <c r="M789" s="777"/>
      <c r="N789" s="777"/>
      <c r="P789" s="89">
        <f ca="1">IF(AND(EXACT(C789,C787),C787&lt;&gt;0),P787+1,0)</f>
        <v>4</v>
      </c>
      <c r="Q789" s="89" t="str">
        <f ca="1">IF(C789&lt;&gt;"",C789&amp;"-"&amp;P789,"")</f>
        <v>TCS-1.1⁽ᴹ⁾ Porcentaje de personas en TARV entre todas las personas viviendo con VIH al final del período de reporte-4</v>
      </c>
      <c r="R789" s="89" t="str">
        <f t="array" aca="1" ref="R789" ca="1">IFERROR(IF(INDEX('Disaggregation Records'!$E$155:$E$385,MATCH(RIGHT(Q789,255),RIGHT('Disaggregation Records'!$D$155:$D$385,255),0))="","",INDEX('Disaggregation Records'!$E$155:$E$385,MATCH(RIGHT(Q789,255),RIGHT('Disaggregation Records'!$D$155:$D$385,255),0))),"")</f>
        <v>Duración del tratamiento</v>
      </c>
      <c r="S789" s="89" t="str">
        <f t="array" aca="1" ref="S789" ca="1">IFERROR(IF(INDEX('Disaggregation Records'!$F$155:$F$385,MATCH(RIGHT(Q789,255),RIGHT('Disaggregation Records'!$D$155:$D$385,255),0))="","",INDEX('Disaggregation Records'!$F$155:$F$385,MATCH(RIGHT(Q789,255),RIGHT('Disaggregation Records'!$D$155:$D$385,255),0))),"")</f>
        <v>Iniciaron TARV recientemente</v>
      </c>
      <c r="T789" s="89" t="str">
        <f t="array" aca="1" ref="T789" ca="1">IFERROR(IF(INDEX('Disaggregation Records'!$H$155:$H$385,MATCH(RIGHT(Q789,255),RIGHT('Disaggregation Records'!$D$155:$D$385,255),0))="","",INDEX('Disaggregation Records'!$H$155:$H$385,MATCH(RIGHT(Q789,255),RIGHT('Disaggregation Records'!$D$155:$D$385,255),0))),"")</f>
        <v>IDR-00904</v>
      </c>
      <c r="U789" s="89">
        <f>U787+1</f>
        <v>1504</v>
      </c>
      <c r="V789" s="89" t="str">
        <f t="array" aca="1" ref="V789" ca="1">IFERROR(IF(INDEX('Disaggregation Records'!$I$155:$I$385,MATCH(RIGHT(Q789,255),RIGHT('Disaggregation Records'!$D$155:$D$385,255),0))="","",INDEX('Disaggregation Records'!$I$155:$I$385,MATCH(RIGHT(Q789,255),RIGHT('Disaggregation Records'!$D$155:$D$385,255),0))),"")</f>
        <v>Duration of treatment</v>
      </c>
      <c r="W789" s="89" t="str">
        <f ca="1">IFERROR(INDEX('Reference Records'!L$77:L$157,MATCH(LEFT(C789,255),'Reference Records'!E$77:E$157,0)),"")</f>
        <v>TCS-1.1⁽ᴹ⁾ Percentage of people on ART among all people living with HIV at the end of the reporting period</v>
      </c>
    </row>
    <row r="790" spans="1:23" s="89" customFormat="1" ht="40.35" customHeight="1">
      <c r="A790" s="564"/>
      <c r="B790" s="799"/>
      <c r="C790" s="800"/>
      <c r="D790" s="801"/>
      <c r="E790" s="801"/>
      <c r="F790" s="419">
        <v>14113</v>
      </c>
      <c r="G790" s="807"/>
      <c r="H790" s="805"/>
      <c r="I790" s="803"/>
      <c r="J790" s="779"/>
      <c r="K790" s="800"/>
      <c r="L790" s="800"/>
      <c r="M790" s="779"/>
      <c r="N790" s="779"/>
    </row>
    <row r="791" spans="1:23" s="89" customFormat="1" ht="40.35" customHeight="1">
      <c r="A791" s="564" t="str">
        <f ca="1">INDIRECT("'update Helper'!C"&amp;U791)</f>
        <v>a163p000004Vjm4AAC</v>
      </c>
      <c r="B791" s="794">
        <v>5</v>
      </c>
      <c r="C791" s="795" t="str">
        <f ca="1">VLOOKUP(B791,'Coverage Indicators - Section D'!$A$9:$AU$70,47,FALSE)</f>
        <v>TCS-1.1⁽ᴹ⁾ Porcentaje de personas en TARV entre todas las personas viviendo con VIH al final del período de reporte</v>
      </c>
      <c r="D791" s="796" t="str">
        <f ca="1">R791</f>
        <v>Género | Edad</v>
      </c>
      <c r="E791" s="796" t="str">
        <f ca="1">S791</f>
        <v>Mujeres 15-24</v>
      </c>
      <c r="F791" s="418">
        <f>+F795+F799</f>
        <v>789</v>
      </c>
      <c r="G791" s="797">
        <f ca="1">IF(OR(INDIRECT("'update Helper'!E"&amp;U791)="",F791&lt;&gt;0,F792&lt;&gt;0),IF(IFERROR((F791/F792),"")="","",(F791/F792)),INDIRECT("'update Helper'!E"&amp;U791)/100)</f>
        <v>0.44029017857142855</v>
      </c>
      <c r="H791" s="804">
        <v>2021</v>
      </c>
      <c r="I791" s="798"/>
      <c r="J791" s="777"/>
      <c r="K791" s="795" t="str">
        <f ca="1">W791</f>
        <v>TCS-1.1⁽ᴹ⁾ Percentage of people on ART among all people living with HIV at the end of the reporting period</v>
      </c>
      <c r="L791" s="795" t="str">
        <f ca="1">V791</f>
        <v>Gender | Age</v>
      </c>
      <c r="M791" s="777"/>
      <c r="N791" s="777"/>
      <c r="P791" s="89">
        <f ca="1">IF(AND(EXACT(C791,C789),C789&lt;&gt;0),P789+1,0)</f>
        <v>5</v>
      </c>
      <c r="Q791" s="89" t="str">
        <f ca="1">IF(C791&lt;&gt;"",C791&amp;"-"&amp;P791,"")</f>
        <v>TCS-1.1⁽ᴹ⁾ Porcentaje de personas en TARV entre todas las personas viviendo con VIH al final del período de reporte-5</v>
      </c>
      <c r="R791" s="89" t="str">
        <f t="array" aca="1" ref="R791" ca="1">IFERROR(IF(INDEX('Disaggregation Records'!$E$155:$E$385,MATCH(RIGHT(Q791,255),RIGHT('Disaggregation Records'!$D$155:$D$385,255),0))="","",INDEX('Disaggregation Records'!$E$155:$E$385,MATCH(RIGHT(Q791,255),RIGHT('Disaggregation Records'!$D$155:$D$385,255),0))),"")</f>
        <v>Género | Edad</v>
      </c>
      <c r="S791" s="89" t="str">
        <f t="array" aca="1" ref="S791" ca="1">IFERROR(IF(INDEX('Disaggregation Records'!$F$155:$F$385,MATCH(RIGHT(Q791,255),RIGHT('Disaggregation Records'!$D$155:$D$385,255),0))="","",INDEX('Disaggregation Records'!$F$155:$F$385,MATCH(RIGHT(Q791,255),RIGHT('Disaggregation Records'!$D$155:$D$385,255),0))),"")</f>
        <v>Mujeres 15-24</v>
      </c>
      <c r="T791" s="89" t="str">
        <f t="array" aca="1" ref="T791" ca="1">IFERROR(IF(INDEX('Disaggregation Records'!$H$155:$H$385,MATCH(RIGHT(Q791,255),RIGHT('Disaggregation Records'!$D$155:$D$385,255),0))="","",INDEX('Disaggregation Records'!$H$155:$H$385,MATCH(RIGHT(Q791,255),RIGHT('Disaggregation Records'!$D$155:$D$385,255),0))),"")</f>
        <v>IDR-00891</v>
      </c>
      <c r="U791" s="89">
        <f>U789+1</f>
        <v>1505</v>
      </c>
      <c r="V791" s="89" t="str">
        <f t="array" aca="1" ref="V791" ca="1">IFERROR(IF(INDEX('Disaggregation Records'!$I$155:$I$385,MATCH(RIGHT(Q791,255),RIGHT('Disaggregation Records'!$D$155:$D$385,255),0))="","",INDEX('Disaggregation Records'!$I$155:$I$385,MATCH(RIGHT(Q791,255),RIGHT('Disaggregation Records'!$D$155:$D$385,255),0))),"")</f>
        <v>Gender | Age</v>
      </c>
      <c r="W791" s="89" t="str">
        <f ca="1">IFERROR(INDEX('Reference Records'!L$77:L$157,MATCH(LEFT(C791,255),'Reference Records'!E$77:E$157,0)),"")</f>
        <v>TCS-1.1⁽ᴹ⁾ Percentage of people on ART among all people living with HIV at the end of the reporting period</v>
      </c>
    </row>
    <row r="792" spans="1:23" s="89" customFormat="1" ht="40.35" customHeight="1">
      <c r="A792" s="564"/>
      <c r="B792" s="799"/>
      <c r="C792" s="800"/>
      <c r="D792" s="801"/>
      <c r="E792" s="801"/>
      <c r="F792" s="420">
        <v>1792</v>
      </c>
      <c r="G792" s="802"/>
      <c r="H792" s="805"/>
      <c r="I792" s="803"/>
      <c r="J792" s="779"/>
      <c r="K792" s="800"/>
      <c r="L792" s="800"/>
      <c r="M792" s="779"/>
      <c r="N792" s="779"/>
    </row>
    <row r="793" spans="1:23" s="89" customFormat="1" ht="40.35" customHeight="1">
      <c r="A793" s="564" t="str">
        <f ca="1">INDIRECT("'update Helper'!C"&amp;U793)</f>
        <v>a163p000004Vjm5AAC</v>
      </c>
      <c r="B793" s="794">
        <v>5</v>
      </c>
      <c r="C793" s="795" t="str">
        <f ca="1">VLOOKUP(B793,'Coverage Indicators - Section D'!$A$9:$AU$70,47,FALSE)</f>
        <v>TCS-1.1⁽ᴹ⁾ Porcentaje de personas en TARV entre todas las personas viviendo con VIH al final del período de reporte</v>
      </c>
      <c r="D793" s="796" t="str">
        <f ca="1">R793</f>
        <v>Género | Edad</v>
      </c>
      <c r="E793" s="796" t="str">
        <f ca="1">S793</f>
        <v>Hombres 15-24</v>
      </c>
      <c r="F793" s="418">
        <f>+F797+F801</f>
        <v>1534</v>
      </c>
      <c r="G793" s="797">
        <f ca="1">IF(OR(INDIRECT("'update Helper'!E"&amp;U793)="",F793&lt;&gt;0,F794&lt;&gt;0),IF(IFERROR((F793/F794),"")="","",(F793/F794)),INDIRECT("'update Helper'!E"&amp;U793)/100)</f>
        <v>0.59526581296080716</v>
      </c>
      <c r="H793" s="804">
        <v>2021</v>
      </c>
      <c r="I793" s="798"/>
      <c r="J793" s="777"/>
      <c r="K793" s="795" t="str">
        <f ca="1">W793</f>
        <v>TCS-1.1⁽ᴹ⁾ Percentage of people on ART among all people living with HIV at the end of the reporting period</v>
      </c>
      <c r="L793" s="795" t="str">
        <f ca="1">V793</f>
        <v>Gender | Age</v>
      </c>
      <c r="M793" s="777"/>
      <c r="N793" s="777"/>
      <c r="P793" s="89">
        <f ca="1">IF(AND(EXACT(C793,C791),C791&lt;&gt;0),P791+1,0)</f>
        <v>6</v>
      </c>
      <c r="Q793" s="89" t="str">
        <f ca="1">IF(C793&lt;&gt;"",C793&amp;"-"&amp;P793,"")</f>
        <v>TCS-1.1⁽ᴹ⁾ Porcentaje de personas en TARV entre todas las personas viviendo con VIH al final del período de reporte-6</v>
      </c>
      <c r="R793" s="89" t="str">
        <f t="array" aca="1" ref="R793" ca="1">IFERROR(IF(INDEX('Disaggregation Records'!$E$155:$E$385,MATCH(RIGHT(Q793,255),RIGHT('Disaggregation Records'!$D$155:$D$385,255),0))="","",INDEX('Disaggregation Records'!$E$155:$E$385,MATCH(RIGHT(Q793,255),RIGHT('Disaggregation Records'!$D$155:$D$385,255),0))),"")</f>
        <v>Género | Edad</v>
      </c>
      <c r="S793" s="89" t="str">
        <f t="array" aca="1" ref="S793" ca="1">IFERROR(IF(INDEX('Disaggregation Records'!$F$155:$F$385,MATCH(RIGHT(Q793,255),RIGHT('Disaggregation Records'!$D$155:$D$385,255),0))="","",INDEX('Disaggregation Records'!$F$155:$F$385,MATCH(RIGHT(Q793,255),RIGHT('Disaggregation Records'!$D$155:$D$385,255),0))),"")</f>
        <v>Hombres 15-24</v>
      </c>
      <c r="T793" s="89" t="str">
        <f t="array" aca="1" ref="T793" ca="1">IFERROR(IF(INDEX('Disaggregation Records'!$H$155:$H$385,MATCH(RIGHT(Q793,255),RIGHT('Disaggregation Records'!$D$155:$D$385,255),0))="","",INDEX('Disaggregation Records'!$H$155:$H$385,MATCH(RIGHT(Q793,255),RIGHT('Disaggregation Records'!$D$155:$D$385,255),0))),"")</f>
        <v>IDR-00890</v>
      </c>
      <c r="U793" s="89">
        <f>U791+1</f>
        <v>1506</v>
      </c>
      <c r="V793" s="89" t="str">
        <f t="array" aca="1" ref="V793" ca="1">IFERROR(IF(INDEX('Disaggregation Records'!$I$155:$I$385,MATCH(RIGHT(Q793,255),RIGHT('Disaggregation Records'!$D$155:$D$385,255),0))="","",INDEX('Disaggregation Records'!$I$155:$I$385,MATCH(RIGHT(Q793,255),RIGHT('Disaggregation Records'!$D$155:$D$385,255),0))),"")</f>
        <v>Gender | Age</v>
      </c>
      <c r="W793" s="89" t="str">
        <f ca="1">IFERROR(INDEX('Reference Records'!L$77:L$157,MATCH(LEFT(C793,255),'Reference Records'!E$77:E$157,0)),"")</f>
        <v>TCS-1.1⁽ᴹ⁾ Percentage of people on ART among all people living with HIV at the end of the reporting period</v>
      </c>
    </row>
    <row r="794" spans="1:23" s="89" customFormat="1" ht="40.35" customHeight="1">
      <c r="A794" s="564"/>
      <c r="B794" s="799"/>
      <c r="C794" s="800"/>
      <c r="D794" s="801"/>
      <c r="E794" s="801"/>
      <c r="F794" s="420">
        <v>2577</v>
      </c>
      <c r="G794" s="802"/>
      <c r="H794" s="805"/>
      <c r="I794" s="803"/>
      <c r="J794" s="779"/>
      <c r="K794" s="800"/>
      <c r="L794" s="800"/>
      <c r="M794" s="779"/>
      <c r="N794" s="779"/>
    </row>
    <row r="795" spans="1:23" s="89" customFormat="1" ht="40.35" customHeight="1">
      <c r="A795" s="564" t="str">
        <f ca="1">INDIRECT("'update Helper'!C"&amp;U795)</f>
        <v>a163p000004Vjm6AAC</v>
      </c>
      <c r="B795" s="794">
        <v>5</v>
      </c>
      <c r="C795" s="795" t="str">
        <f ca="1">VLOOKUP(B795,'Coverage Indicators - Section D'!$A$9:$AU$70,47,FALSE)</f>
        <v>TCS-1.1⁽ᴹ⁾ Porcentaje de personas en TARV entre todas las personas viviendo con VIH al final del período de reporte</v>
      </c>
      <c r="D795" s="796" t="str">
        <f ca="1">R795</f>
        <v>Género | Edad</v>
      </c>
      <c r="E795" s="796" t="str">
        <f ca="1">S795</f>
        <v>Mujeres 20-24</v>
      </c>
      <c r="F795" s="418">
        <v>575</v>
      </c>
      <c r="G795" s="797">
        <f ca="1">IF(OR(INDIRECT("'update Helper'!E"&amp;U795)="",F795&lt;&gt;0,F796&lt;&gt;0),IF(IFERROR((F795/F796),"")="","",(F795/F796)),INDIRECT("'update Helper'!E"&amp;U795)/100)</f>
        <v>0.42561065877128051</v>
      </c>
      <c r="H795" s="804">
        <v>2021</v>
      </c>
      <c r="I795" s="798"/>
      <c r="J795" s="777"/>
      <c r="K795" s="795" t="str">
        <f ca="1">W795</f>
        <v>TCS-1.1⁽ᴹ⁾ Percentage of people on ART among all people living with HIV at the end of the reporting period</v>
      </c>
      <c r="L795" s="795" t="str">
        <f ca="1">V795</f>
        <v>Gender | Age</v>
      </c>
      <c r="M795" s="777"/>
      <c r="N795" s="777"/>
      <c r="P795" s="89">
        <f ca="1">IF(AND(EXACT(C795,C793),C793&lt;&gt;0),P793+1,0)</f>
        <v>7</v>
      </c>
      <c r="Q795" s="89" t="str">
        <f ca="1">IF(C795&lt;&gt;"",C795&amp;"-"&amp;P795,"")</f>
        <v>TCS-1.1⁽ᴹ⁾ Porcentaje de personas en TARV entre todas las personas viviendo con VIH al final del período de reporte-7</v>
      </c>
      <c r="R795" s="89" t="str">
        <f t="array" aca="1" ref="R795" ca="1">IFERROR(IF(INDEX('Disaggregation Records'!$E$155:$E$385,MATCH(RIGHT(Q795,255),RIGHT('Disaggregation Records'!$D$155:$D$385,255),0))="","",INDEX('Disaggregation Records'!$E$155:$E$385,MATCH(RIGHT(Q795,255),RIGHT('Disaggregation Records'!$D$155:$D$385,255),0))),"")</f>
        <v>Género | Edad</v>
      </c>
      <c r="S795" s="89" t="str">
        <f t="array" aca="1" ref="S795" ca="1">IFERROR(IF(INDEX('Disaggregation Records'!$F$155:$F$385,MATCH(RIGHT(Q795,255),RIGHT('Disaggregation Records'!$D$155:$D$385,255),0))="","",INDEX('Disaggregation Records'!$F$155:$F$385,MATCH(RIGHT(Q795,255),RIGHT('Disaggregation Records'!$D$155:$D$385,255),0))),"")</f>
        <v>Mujeres 20-24</v>
      </c>
      <c r="T795" s="89" t="str">
        <f t="array" aca="1" ref="T795" ca="1">IFERROR(IF(INDEX('Disaggregation Records'!$H$155:$H$385,MATCH(RIGHT(Q795,255),RIGHT('Disaggregation Records'!$D$155:$D$385,255),0))="","",INDEX('Disaggregation Records'!$H$155:$H$385,MATCH(RIGHT(Q795,255),RIGHT('Disaggregation Records'!$D$155:$D$385,255),0))),"")</f>
        <v>IDR-00889</v>
      </c>
      <c r="U795" s="89">
        <f>U793+1</f>
        <v>1507</v>
      </c>
      <c r="V795" s="89" t="str">
        <f t="array" aca="1" ref="V795" ca="1">IFERROR(IF(INDEX('Disaggregation Records'!$I$155:$I$385,MATCH(RIGHT(Q795,255),RIGHT('Disaggregation Records'!$D$155:$D$385,255),0))="","",INDEX('Disaggregation Records'!$I$155:$I$385,MATCH(RIGHT(Q795,255),RIGHT('Disaggregation Records'!$D$155:$D$385,255),0))),"")</f>
        <v>Gender | Age</v>
      </c>
      <c r="W795" s="89" t="str">
        <f ca="1">IFERROR(INDEX('Reference Records'!L$77:L$157,MATCH(LEFT(C795,255),'Reference Records'!E$77:E$157,0)),"")</f>
        <v>TCS-1.1⁽ᴹ⁾ Percentage of people on ART among all people living with HIV at the end of the reporting period</v>
      </c>
    </row>
    <row r="796" spans="1:23" s="89" customFormat="1" ht="40.35" customHeight="1">
      <c r="A796" s="564"/>
      <c r="B796" s="799"/>
      <c r="C796" s="800"/>
      <c r="D796" s="801"/>
      <c r="E796" s="801"/>
      <c r="F796" s="420">
        <v>1351</v>
      </c>
      <c r="G796" s="802"/>
      <c r="H796" s="805"/>
      <c r="I796" s="803"/>
      <c r="J796" s="779"/>
      <c r="K796" s="800"/>
      <c r="L796" s="800"/>
      <c r="M796" s="779"/>
      <c r="N796" s="779"/>
    </row>
    <row r="797" spans="1:23" s="89" customFormat="1" ht="40.35" customHeight="1">
      <c r="A797" s="564" t="str">
        <f ca="1">INDIRECT("'update Helper'!C"&amp;U797)</f>
        <v>a163p000004Vjm7AAC</v>
      </c>
      <c r="B797" s="794">
        <v>5</v>
      </c>
      <c r="C797" s="795" t="str">
        <f ca="1">VLOOKUP(B797,'Coverage Indicators - Section D'!$A$9:$AU$70,47,FALSE)</f>
        <v>TCS-1.1⁽ᴹ⁾ Porcentaje de personas en TARV entre todas las personas viviendo con VIH al final del período de reporte</v>
      </c>
      <c r="D797" s="796" t="str">
        <f ca="1">R797</f>
        <v>Género | Edad</v>
      </c>
      <c r="E797" s="796" t="str">
        <f ca="1">S797</f>
        <v>Hombres 20-24</v>
      </c>
      <c r="F797" s="418">
        <v>1309</v>
      </c>
      <c r="G797" s="797">
        <f ca="1">IF(OR(INDIRECT("'update Helper'!E"&amp;U797)="",F797&lt;&gt;0,F798&lt;&gt;0),IF(IFERROR((F797/F798),"")="","",(F797/F798)),INDIRECT("'update Helper'!E"&amp;U797)/100)</f>
        <v>0.70795024337479717</v>
      </c>
      <c r="H797" s="804">
        <v>2021</v>
      </c>
      <c r="I797" s="798"/>
      <c r="J797" s="777"/>
      <c r="K797" s="795" t="str">
        <f ca="1">W797</f>
        <v>TCS-1.1⁽ᴹ⁾ Percentage of people on ART among all people living with HIV at the end of the reporting period</v>
      </c>
      <c r="L797" s="795" t="str">
        <f ca="1">V797</f>
        <v>Gender | Age</v>
      </c>
      <c r="M797" s="777"/>
      <c r="N797" s="777"/>
      <c r="P797" s="89">
        <f ca="1">IF(AND(EXACT(C797,C795),C795&lt;&gt;0),P795+1,0)</f>
        <v>8</v>
      </c>
      <c r="Q797" s="89" t="str">
        <f ca="1">IF(C797&lt;&gt;"",C797&amp;"-"&amp;P797,"")</f>
        <v>TCS-1.1⁽ᴹ⁾ Porcentaje de personas en TARV entre todas las personas viviendo con VIH al final del período de reporte-8</v>
      </c>
      <c r="R797" s="89" t="str">
        <f t="array" aca="1" ref="R797" ca="1">IFERROR(IF(INDEX('Disaggregation Records'!$E$155:$E$385,MATCH(RIGHT(Q797,255),RIGHT('Disaggregation Records'!$D$155:$D$385,255),0))="","",INDEX('Disaggregation Records'!$E$155:$E$385,MATCH(RIGHT(Q797,255),RIGHT('Disaggregation Records'!$D$155:$D$385,255),0))),"")</f>
        <v>Género | Edad</v>
      </c>
      <c r="S797" s="89" t="str">
        <f t="array" aca="1" ref="S797" ca="1">IFERROR(IF(INDEX('Disaggregation Records'!$F$155:$F$385,MATCH(RIGHT(Q797,255),RIGHT('Disaggregation Records'!$D$155:$D$385,255),0))="","",INDEX('Disaggregation Records'!$F$155:$F$385,MATCH(RIGHT(Q797,255),RIGHT('Disaggregation Records'!$D$155:$D$385,255),0))),"")</f>
        <v>Hombres 20-24</v>
      </c>
      <c r="T797" s="89" t="str">
        <f t="array" aca="1" ref="T797" ca="1">IFERROR(IF(INDEX('Disaggregation Records'!$H$155:$H$385,MATCH(RIGHT(Q797,255),RIGHT('Disaggregation Records'!$D$155:$D$385,255),0))="","",INDEX('Disaggregation Records'!$H$155:$H$385,MATCH(RIGHT(Q797,255),RIGHT('Disaggregation Records'!$D$155:$D$385,255),0))),"")</f>
        <v>IDR-00888</v>
      </c>
      <c r="U797" s="89">
        <f>U795+1</f>
        <v>1508</v>
      </c>
      <c r="V797" s="89" t="str">
        <f t="array" aca="1" ref="V797" ca="1">IFERROR(IF(INDEX('Disaggregation Records'!$I$155:$I$385,MATCH(RIGHT(Q797,255),RIGHT('Disaggregation Records'!$D$155:$D$385,255),0))="","",INDEX('Disaggregation Records'!$I$155:$I$385,MATCH(RIGHT(Q797,255),RIGHT('Disaggregation Records'!$D$155:$D$385,255),0))),"")</f>
        <v>Gender | Age</v>
      </c>
      <c r="W797" s="89" t="str">
        <f ca="1">IFERROR(INDEX('Reference Records'!L$77:L$157,MATCH(LEFT(C797,255),'Reference Records'!E$77:E$157,0)),"")</f>
        <v>TCS-1.1⁽ᴹ⁾ Percentage of people on ART among all people living with HIV at the end of the reporting period</v>
      </c>
    </row>
    <row r="798" spans="1:23" s="89" customFormat="1" ht="40.35" customHeight="1">
      <c r="A798" s="564"/>
      <c r="B798" s="799"/>
      <c r="C798" s="800"/>
      <c r="D798" s="801"/>
      <c r="E798" s="801"/>
      <c r="F798" s="420">
        <v>1849</v>
      </c>
      <c r="G798" s="802"/>
      <c r="H798" s="805"/>
      <c r="I798" s="803"/>
      <c r="J798" s="779"/>
      <c r="K798" s="800"/>
      <c r="L798" s="800"/>
      <c r="M798" s="779"/>
      <c r="N798" s="779"/>
    </row>
    <row r="799" spans="1:23" s="89" customFormat="1" ht="40.35" customHeight="1">
      <c r="A799" s="564" t="str">
        <f ca="1">INDIRECT("'update Helper'!C"&amp;U799)</f>
        <v>a163p000004Vjm8AAC</v>
      </c>
      <c r="B799" s="794">
        <v>5</v>
      </c>
      <c r="C799" s="795" t="str">
        <f ca="1">VLOOKUP(B799,'Coverage Indicators - Section D'!$A$9:$AU$70,47,FALSE)</f>
        <v>TCS-1.1⁽ᴹ⁾ Porcentaje de personas en TARV entre todas las personas viviendo con VIH al final del período de reporte</v>
      </c>
      <c r="D799" s="796" t="str">
        <f ca="1">R799</f>
        <v>Género | Edad</v>
      </c>
      <c r="E799" s="796" t="str">
        <f ca="1">S799</f>
        <v>Mujeres 15-19</v>
      </c>
      <c r="F799" s="418">
        <v>214</v>
      </c>
      <c r="G799" s="797">
        <f ca="1">IF(OR(INDIRECT("'update Helper'!E"&amp;U799)="",F799&lt;&gt;0,F800&lt;&gt;0),IF(IFERROR((F799/F800),"")="","",(F799/F800)),INDIRECT("'update Helper'!E"&amp;U799)/100)</f>
        <v>0.48526077097505671</v>
      </c>
      <c r="H799" s="804">
        <v>2021</v>
      </c>
      <c r="I799" s="798"/>
      <c r="J799" s="777"/>
      <c r="K799" s="795" t="str">
        <f ca="1">W799</f>
        <v>TCS-1.1⁽ᴹ⁾ Percentage of people on ART among all people living with HIV at the end of the reporting period</v>
      </c>
      <c r="L799" s="795" t="str">
        <f ca="1">V799</f>
        <v>Gender | Age</v>
      </c>
      <c r="M799" s="777"/>
      <c r="N799" s="777"/>
      <c r="P799" s="89">
        <f ca="1">IF(AND(EXACT(C799,C797),C797&lt;&gt;0),P797+1,0)</f>
        <v>9</v>
      </c>
      <c r="Q799" s="89" t="str">
        <f ca="1">IF(C799&lt;&gt;"",C799&amp;"-"&amp;P799,"")</f>
        <v>TCS-1.1⁽ᴹ⁾ Porcentaje de personas en TARV entre todas las personas viviendo con VIH al final del período de reporte-9</v>
      </c>
      <c r="R799" s="89" t="str">
        <f t="array" aca="1" ref="R799" ca="1">IFERROR(IF(INDEX('Disaggregation Records'!$E$155:$E$385,MATCH(RIGHT(Q799,255),RIGHT('Disaggregation Records'!$D$155:$D$385,255),0))="","",INDEX('Disaggregation Records'!$E$155:$E$385,MATCH(RIGHT(Q799,255),RIGHT('Disaggregation Records'!$D$155:$D$385,255),0))),"")</f>
        <v>Género | Edad</v>
      </c>
      <c r="S799" s="89" t="str">
        <f t="array" aca="1" ref="S799" ca="1">IFERROR(IF(INDEX('Disaggregation Records'!$F$155:$F$385,MATCH(RIGHT(Q799,255),RIGHT('Disaggregation Records'!$D$155:$D$385,255),0))="","",INDEX('Disaggregation Records'!$F$155:$F$385,MATCH(RIGHT(Q799,255),RIGHT('Disaggregation Records'!$D$155:$D$385,255),0))),"")</f>
        <v>Mujeres 15-19</v>
      </c>
      <c r="T799" s="89" t="str">
        <f t="array" aca="1" ref="T799" ca="1">IFERROR(IF(INDEX('Disaggregation Records'!$H$155:$H$385,MATCH(RIGHT(Q799,255),RIGHT('Disaggregation Records'!$D$155:$D$385,255),0))="","",INDEX('Disaggregation Records'!$H$155:$H$385,MATCH(RIGHT(Q799,255),RIGHT('Disaggregation Records'!$D$155:$D$385,255),0))),"")</f>
        <v>IDR-00887</v>
      </c>
      <c r="U799" s="89">
        <f>U797+1</f>
        <v>1509</v>
      </c>
      <c r="V799" s="89" t="str">
        <f t="array" aca="1" ref="V799" ca="1">IFERROR(IF(INDEX('Disaggregation Records'!$I$155:$I$385,MATCH(RIGHT(Q799,255),RIGHT('Disaggregation Records'!$D$155:$D$385,255),0))="","",INDEX('Disaggregation Records'!$I$155:$I$385,MATCH(RIGHT(Q799,255),RIGHT('Disaggregation Records'!$D$155:$D$385,255),0))),"")</f>
        <v>Gender | Age</v>
      </c>
      <c r="W799" s="89" t="str">
        <f ca="1">IFERROR(INDEX('Reference Records'!L$77:L$157,MATCH(LEFT(C799,255),'Reference Records'!E$77:E$157,0)),"")</f>
        <v>TCS-1.1⁽ᴹ⁾ Percentage of people on ART among all people living with HIV at the end of the reporting period</v>
      </c>
    </row>
    <row r="800" spans="1:23" s="89" customFormat="1" ht="40.35" customHeight="1">
      <c r="A800" s="564"/>
      <c r="B800" s="799"/>
      <c r="C800" s="800"/>
      <c r="D800" s="801"/>
      <c r="E800" s="801"/>
      <c r="F800" s="420">
        <v>441</v>
      </c>
      <c r="G800" s="802"/>
      <c r="H800" s="805"/>
      <c r="I800" s="803"/>
      <c r="J800" s="779"/>
      <c r="K800" s="800"/>
      <c r="L800" s="800"/>
      <c r="M800" s="779"/>
      <c r="N800" s="779"/>
    </row>
    <row r="801" spans="1:23" s="89" customFormat="1" ht="40.35" customHeight="1">
      <c r="A801" s="564" t="str">
        <f ca="1">INDIRECT("'update Helper'!C"&amp;U801)</f>
        <v>a163p000004Vjm9AAC</v>
      </c>
      <c r="B801" s="794">
        <v>5</v>
      </c>
      <c r="C801" s="795" t="str">
        <f ca="1">VLOOKUP(B801,'Coverage Indicators - Section D'!$A$9:$AU$70,47,FALSE)</f>
        <v>TCS-1.1⁽ᴹ⁾ Porcentaje de personas en TARV entre todas las personas viviendo con VIH al final del período de reporte</v>
      </c>
      <c r="D801" s="796" t="str">
        <f ca="1">R801</f>
        <v>Género | Edad</v>
      </c>
      <c r="E801" s="796" t="str">
        <f ca="1">S801</f>
        <v>Hombres 15-19</v>
      </c>
      <c r="F801" s="418">
        <v>225</v>
      </c>
      <c r="G801" s="797">
        <f ca="1">IF(OR(INDIRECT("'update Helper'!E"&amp;U801)="",F801&lt;&gt;0,F802&lt;&gt;0),IF(IFERROR((F801/F802),"")="","",(F801/F802)),INDIRECT("'update Helper'!E"&amp;U801)/100)</f>
        <v>0.30906593406593408</v>
      </c>
      <c r="H801" s="804">
        <v>2021</v>
      </c>
      <c r="I801" s="798"/>
      <c r="J801" s="777"/>
      <c r="K801" s="795" t="str">
        <f ca="1">W801</f>
        <v>TCS-1.1⁽ᴹ⁾ Percentage of people on ART among all people living with HIV at the end of the reporting period</v>
      </c>
      <c r="L801" s="795" t="str">
        <f ca="1">V801</f>
        <v>Gender | Age</v>
      </c>
      <c r="M801" s="777"/>
      <c r="N801" s="777"/>
      <c r="P801" s="89">
        <f ca="1">IF(AND(EXACT(C801,C799),C799&lt;&gt;0),P799+1,0)</f>
        <v>10</v>
      </c>
      <c r="Q801" s="89" t="str">
        <f ca="1">IF(C801&lt;&gt;"",C801&amp;"-"&amp;P801,"")</f>
        <v>TCS-1.1⁽ᴹ⁾ Porcentaje de personas en TARV entre todas las personas viviendo con VIH al final del período de reporte-10</v>
      </c>
      <c r="R801" s="89" t="str">
        <f t="array" aca="1" ref="R801" ca="1">IFERROR(IF(INDEX('Disaggregation Records'!$E$155:$E$385,MATCH(RIGHT(Q801,255),RIGHT('Disaggregation Records'!$D$155:$D$385,255),0))="","",INDEX('Disaggregation Records'!$E$155:$E$385,MATCH(RIGHT(Q801,255),RIGHT('Disaggregation Records'!$D$155:$D$385,255),0))),"")</f>
        <v>Género | Edad</v>
      </c>
      <c r="S801" s="89" t="str">
        <f t="array" aca="1" ref="S801" ca="1">IFERROR(IF(INDEX('Disaggregation Records'!$F$155:$F$385,MATCH(RIGHT(Q801,255),RIGHT('Disaggregation Records'!$D$155:$D$385,255),0))="","",INDEX('Disaggregation Records'!$F$155:$F$385,MATCH(RIGHT(Q801,255),RIGHT('Disaggregation Records'!$D$155:$D$385,255),0))),"")</f>
        <v>Hombres 15-19</v>
      </c>
      <c r="T801" s="89" t="str">
        <f t="array" aca="1" ref="T801" ca="1">IFERROR(IF(INDEX('Disaggregation Records'!$H$155:$H$385,MATCH(RIGHT(Q801,255),RIGHT('Disaggregation Records'!$D$155:$D$385,255),0))="","",INDEX('Disaggregation Records'!$H$155:$H$385,MATCH(RIGHT(Q801,255),RIGHT('Disaggregation Records'!$D$155:$D$385,255),0))),"")</f>
        <v>IDR-00886</v>
      </c>
      <c r="U801" s="89">
        <f>U799+1</f>
        <v>1510</v>
      </c>
      <c r="V801" s="89" t="str">
        <f t="array" aca="1" ref="V801" ca="1">IFERROR(IF(INDEX('Disaggregation Records'!$I$155:$I$385,MATCH(RIGHT(Q801,255),RIGHT('Disaggregation Records'!$D$155:$D$385,255),0))="","",INDEX('Disaggregation Records'!$I$155:$I$385,MATCH(RIGHT(Q801,255),RIGHT('Disaggregation Records'!$D$155:$D$385,255),0))),"")</f>
        <v>Gender | Age</v>
      </c>
      <c r="W801" s="89" t="str">
        <f ca="1">IFERROR(INDEX('Reference Records'!L$77:L$157,MATCH(LEFT(C801,255),'Reference Records'!E$77:E$157,0)),"")</f>
        <v>TCS-1.1⁽ᴹ⁾ Percentage of people on ART among all people living with HIV at the end of the reporting period</v>
      </c>
    </row>
    <row r="802" spans="1:23" s="89" customFormat="1" ht="40.35" customHeight="1">
      <c r="A802" s="564"/>
      <c r="B802" s="799"/>
      <c r="C802" s="800"/>
      <c r="D802" s="801"/>
      <c r="E802" s="801"/>
      <c r="F802" s="420">
        <v>728</v>
      </c>
      <c r="G802" s="802"/>
      <c r="H802" s="805"/>
      <c r="I802" s="803"/>
      <c r="J802" s="779"/>
      <c r="K802" s="800"/>
      <c r="L802" s="800"/>
      <c r="M802" s="779"/>
      <c r="N802" s="779"/>
    </row>
    <row r="803" spans="1:23" s="89" customFormat="1" ht="40.35" customHeight="1">
      <c r="A803" s="564" t="str">
        <f ca="1">INDIRECT("'update Helper'!C"&amp;U803)</f>
        <v>a163p000004VjmAAAS</v>
      </c>
      <c r="B803" s="794">
        <v>5</v>
      </c>
      <c r="C803" s="795" t="str">
        <f ca="1">VLOOKUP(B803,'Coverage Indicators - Section D'!$A$9:$AU$70,47,FALSE)</f>
        <v>TCS-1.1⁽ᴹ⁾ Porcentaje de personas en TARV entre todas las personas viviendo con VIH al final del período de reporte</v>
      </c>
      <c r="D803" s="796" t="str">
        <f ca="1">R803</f>
        <v>Género | Edad</v>
      </c>
      <c r="E803" s="796" t="str">
        <f ca="1">S803</f>
        <v>Mujeres 15+</v>
      </c>
      <c r="F803" s="418">
        <v>3988</v>
      </c>
      <c r="G803" s="806">
        <f ca="1">IF(OR(INDIRECT("'update Helper'!E"&amp;U803)="",F803&lt;&gt;0,F804&lt;&gt;0),IF(IFERROR((F803/F804),"")="","",(F803/F804)),INDIRECT("'update Helper'!E"&amp;U803)/100)</f>
        <v>0.44247198491068457</v>
      </c>
      <c r="H803" s="804">
        <v>2021</v>
      </c>
      <c r="I803" s="798"/>
      <c r="J803" s="777"/>
      <c r="K803" s="795" t="str">
        <f ca="1">W803</f>
        <v>TCS-1.1⁽ᴹ⁾ Percentage of people on ART among all people living with HIV at the end of the reporting period</v>
      </c>
      <c r="L803" s="795" t="str">
        <f ca="1">V803</f>
        <v>Gender | Age</v>
      </c>
      <c r="M803" s="777"/>
      <c r="N803" s="777"/>
      <c r="P803" s="89">
        <f ca="1">IF(AND(EXACT(C803,C801),C801&lt;&gt;0),P801+1,0)</f>
        <v>11</v>
      </c>
      <c r="Q803" s="89" t="str">
        <f ca="1">IF(C803&lt;&gt;"",C803&amp;"-"&amp;P803,"")</f>
        <v>TCS-1.1⁽ᴹ⁾ Porcentaje de personas en TARV entre todas las personas viviendo con VIH al final del período de reporte-11</v>
      </c>
      <c r="R803" s="89" t="str">
        <f t="array" aca="1" ref="R803" ca="1">IFERROR(IF(INDEX('Disaggregation Records'!$E$155:$E$385,MATCH(RIGHT(Q803,255),RIGHT('Disaggregation Records'!$D$155:$D$385,255),0))="","",INDEX('Disaggregation Records'!$E$155:$E$385,MATCH(RIGHT(Q803,255),RIGHT('Disaggregation Records'!$D$155:$D$385,255),0))),"")</f>
        <v>Género | Edad</v>
      </c>
      <c r="S803" s="89" t="str">
        <f t="array" aca="1" ref="S803" ca="1">IFERROR(IF(INDEX('Disaggregation Records'!$F$155:$F$385,MATCH(RIGHT(Q803,255),RIGHT('Disaggregation Records'!$D$155:$D$385,255),0))="","",INDEX('Disaggregation Records'!$F$155:$F$385,MATCH(RIGHT(Q803,255),RIGHT('Disaggregation Records'!$D$155:$D$385,255),0))),"")</f>
        <v>Mujeres 15+</v>
      </c>
      <c r="T803" s="89" t="str">
        <f t="array" aca="1" ref="T803" ca="1">IFERROR(IF(INDEX('Disaggregation Records'!$H$155:$H$385,MATCH(RIGHT(Q803,255),RIGHT('Disaggregation Records'!$D$155:$D$385,255),0))="","",INDEX('Disaggregation Records'!$H$155:$H$385,MATCH(RIGHT(Q803,255),RIGHT('Disaggregation Records'!$D$155:$D$385,255),0))),"")</f>
        <v>IDR-00885</v>
      </c>
      <c r="U803" s="89">
        <f>U801+1</f>
        <v>1511</v>
      </c>
      <c r="V803" s="89" t="str">
        <f t="array" aca="1" ref="V803" ca="1">IFERROR(IF(INDEX('Disaggregation Records'!$I$155:$I$385,MATCH(RIGHT(Q803,255),RIGHT('Disaggregation Records'!$D$155:$D$385,255),0))="","",INDEX('Disaggregation Records'!$I$155:$I$385,MATCH(RIGHT(Q803,255),RIGHT('Disaggregation Records'!$D$155:$D$385,255),0))),"")</f>
        <v>Gender | Age</v>
      </c>
      <c r="W803" s="89" t="str">
        <f ca="1">IFERROR(INDEX('Reference Records'!L$77:L$157,MATCH(LEFT(C803,255),'Reference Records'!E$77:E$157,0)),"")</f>
        <v>TCS-1.1⁽ᴹ⁾ Percentage of people on ART among all people living with HIV at the end of the reporting period</v>
      </c>
    </row>
    <row r="804" spans="1:23" s="89" customFormat="1" ht="40.35" customHeight="1">
      <c r="A804" s="564"/>
      <c r="B804" s="799"/>
      <c r="C804" s="800"/>
      <c r="D804" s="801"/>
      <c r="E804" s="801"/>
      <c r="F804" s="419">
        <v>9013</v>
      </c>
      <c r="G804" s="807"/>
      <c r="H804" s="805"/>
      <c r="I804" s="803"/>
      <c r="J804" s="779"/>
      <c r="K804" s="800"/>
      <c r="L804" s="800"/>
      <c r="M804" s="779"/>
      <c r="N804" s="779"/>
    </row>
    <row r="805" spans="1:23" s="89" customFormat="1" ht="40.35" customHeight="1">
      <c r="A805" s="564" t="str">
        <f ca="1">INDIRECT("'update Helper'!C"&amp;U805)</f>
        <v>a163p000004VjmBAAS</v>
      </c>
      <c r="B805" s="794">
        <v>5</v>
      </c>
      <c r="C805" s="795" t="str">
        <f ca="1">VLOOKUP(B805,'Coverage Indicators - Section D'!$A$9:$AU$70,47,FALSE)</f>
        <v>TCS-1.1⁽ᴹ⁾ Porcentaje de personas en TARV entre todas las personas viviendo con VIH al final del período de reporte</v>
      </c>
      <c r="D805" s="796" t="str">
        <f ca="1">R805</f>
        <v>Género | Edad</v>
      </c>
      <c r="E805" s="796" t="str">
        <f ca="1">S805</f>
        <v>Hombres 15+</v>
      </c>
      <c r="F805" s="418">
        <v>9832</v>
      </c>
      <c r="G805" s="806">
        <f ca="1">IF(OR(INDIRECT("'update Helper'!E"&amp;U805)="",F805&lt;&gt;0,F806&lt;&gt;0),IF(IFERROR((F805/F806),"")="","",(F805/F806)),INDIRECT("'update Helper'!E"&amp;U805)/100)</f>
        <v>0.59973160912528978</v>
      </c>
      <c r="H805" s="804">
        <v>2021</v>
      </c>
      <c r="I805" s="798"/>
      <c r="J805" s="777"/>
      <c r="K805" s="795" t="str">
        <f ca="1">W805</f>
        <v>TCS-1.1⁽ᴹ⁾ Percentage of people on ART among all people living with HIV at the end of the reporting period</v>
      </c>
      <c r="L805" s="795" t="str">
        <f ca="1">V805</f>
        <v>Gender | Age</v>
      </c>
      <c r="M805" s="777"/>
      <c r="N805" s="777"/>
      <c r="P805" s="89">
        <f ca="1">IF(AND(EXACT(C805,C803),C803&lt;&gt;0),P803+1,0)</f>
        <v>12</v>
      </c>
      <c r="Q805" s="89" t="str">
        <f ca="1">IF(C805&lt;&gt;"",C805&amp;"-"&amp;P805,"")</f>
        <v>TCS-1.1⁽ᴹ⁾ Porcentaje de personas en TARV entre todas las personas viviendo con VIH al final del período de reporte-12</v>
      </c>
      <c r="R805" s="89" t="str">
        <f t="array" aca="1" ref="R805" ca="1">IFERROR(IF(INDEX('Disaggregation Records'!$E$155:$E$385,MATCH(RIGHT(Q805,255),RIGHT('Disaggregation Records'!$D$155:$D$385,255),0))="","",INDEX('Disaggregation Records'!$E$155:$E$385,MATCH(RIGHT(Q805,255),RIGHT('Disaggregation Records'!$D$155:$D$385,255),0))),"")</f>
        <v>Género | Edad</v>
      </c>
      <c r="S805" s="89" t="str">
        <f t="array" aca="1" ref="S805" ca="1">IFERROR(IF(INDEX('Disaggregation Records'!$F$155:$F$385,MATCH(RIGHT(Q805,255),RIGHT('Disaggregation Records'!$D$155:$D$385,255),0))="","",INDEX('Disaggregation Records'!$F$155:$F$385,MATCH(RIGHT(Q805,255),RIGHT('Disaggregation Records'!$D$155:$D$385,255),0))),"")</f>
        <v>Hombres 15+</v>
      </c>
      <c r="T805" s="89" t="str">
        <f t="array" aca="1" ref="T805" ca="1">IFERROR(IF(INDEX('Disaggregation Records'!$H$155:$H$385,MATCH(RIGHT(Q805,255),RIGHT('Disaggregation Records'!$D$155:$D$385,255),0))="","",INDEX('Disaggregation Records'!$H$155:$H$385,MATCH(RIGHT(Q805,255),RIGHT('Disaggregation Records'!$D$155:$D$385,255),0))),"")</f>
        <v>IDR-00884</v>
      </c>
      <c r="U805" s="89">
        <f>U803+1</f>
        <v>1512</v>
      </c>
      <c r="V805" s="89" t="str">
        <f t="array" aca="1" ref="V805" ca="1">IFERROR(IF(INDEX('Disaggregation Records'!$I$155:$I$385,MATCH(RIGHT(Q805,255),RIGHT('Disaggregation Records'!$D$155:$D$385,255),0))="","",INDEX('Disaggregation Records'!$I$155:$I$385,MATCH(RIGHT(Q805,255),RIGHT('Disaggregation Records'!$D$155:$D$385,255),0))),"")</f>
        <v>Gender | Age</v>
      </c>
      <c r="W805" s="89" t="str">
        <f ca="1">IFERROR(INDEX('Reference Records'!L$77:L$157,MATCH(LEFT(C805,255),'Reference Records'!E$77:E$157,0)),"")</f>
        <v>TCS-1.1⁽ᴹ⁾ Percentage of people on ART among all people living with HIV at the end of the reporting period</v>
      </c>
    </row>
    <row r="806" spans="1:23" s="89" customFormat="1" ht="40.35" customHeight="1">
      <c r="A806" s="564"/>
      <c r="B806" s="799"/>
      <c r="C806" s="800"/>
      <c r="D806" s="801"/>
      <c r="E806" s="801"/>
      <c r="F806" s="419">
        <v>16394</v>
      </c>
      <c r="G806" s="807"/>
      <c r="H806" s="805"/>
      <c r="I806" s="803"/>
      <c r="J806" s="779"/>
      <c r="K806" s="800"/>
      <c r="L806" s="800"/>
      <c r="M806" s="779"/>
      <c r="N806" s="779"/>
    </row>
    <row r="807" spans="1:23" s="89" customFormat="1" ht="40.35" customHeight="1">
      <c r="A807" s="564" t="str">
        <f ca="1">INDIRECT("'update Helper'!C"&amp;U807)</f>
        <v>a163p000004VjmCAAS</v>
      </c>
      <c r="B807" s="794">
        <v>5</v>
      </c>
      <c r="C807" s="795" t="str">
        <f ca="1">VLOOKUP(B807,'Coverage Indicators - Section D'!$A$9:$AU$70,47,FALSE)</f>
        <v>TCS-1.1⁽ᴹ⁾ Porcentaje de personas en TARV entre todas las personas viviendo con VIH al final del período de reporte</v>
      </c>
      <c r="D807" s="796" t="str">
        <f ca="1">R807</f>
        <v>Género</v>
      </c>
      <c r="E807" s="796" t="str">
        <f ca="1">S807</f>
        <v>Transgénero</v>
      </c>
      <c r="F807" s="127"/>
      <c r="G807" s="797" t="str">
        <f ca="1">IF(OR(INDIRECT("'update Helper'!E"&amp;U807)="",F807&lt;&gt;0,F808&lt;&gt;0),IF(IFERROR((F807/F808),"")="","",(F807/F808)),INDIRECT("'update Helper'!E"&amp;U807)/100)</f>
        <v/>
      </c>
      <c r="H807" s="784"/>
      <c r="I807" s="798"/>
      <c r="J807" s="777"/>
      <c r="K807" s="795" t="str">
        <f ca="1">W807</f>
        <v>TCS-1.1⁽ᴹ⁾ Percentage of people on ART among all people living with HIV at the end of the reporting period</v>
      </c>
      <c r="L807" s="795" t="str">
        <f ca="1">V807</f>
        <v>Gender</v>
      </c>
      <c r="M807" s="777"/>
      <c r="N807" s="777"/>
      <c r="P807" s="89">
        <f ca="1">IF(AND(EXACT(C807,C805),C805&lt;&gt;0),P805+1,0)</f>
        <v>13</v>
      </c>
      <c r="Q807" s="89" t="str">
        <f ca="1">IF(C807&lt;&gt;"",C807&amp;"-"&amp;P807,"")</f>
        <v>TCS-1.1⁽ᴹ⁾ Porcentaje de personas en TARV entre todas las personas viviendo con VIH al final del período de reporte-13</v>
      </c>
      <c r="R807" s="89" t="str">
        <f t="array" aca="1" ref="R807" ca="1">IFERROR(IF(INDEX('Disaggregation Records'!$E$155:$E$385,MATCH(RIGHT(Q807,255),RIGHT('Disaggregation Records'!$D$155:$D$385,255),0))="","",INDEX('Disaggregation Records'!$E$155:$E$385,MATCH(RIGHT(Q807,255),RIGHT('Disaggregation Records'!$D$155:$D$385,255),0))),"")</f>
        <v>Género</v>
      </c>
      <c r="S807" s="89" t="str">
        <f t="array" aca="1" ref="S807" ca="1">IFERROR(IF(INDEX('Disaggregation Records'!$F$155:$F$385,MATCH(RIGHT(Q807,255),RIGHT('Disaggregation Records'!$D$155:$D$385,255),0))="","",INDEX('Disaggregation Records'!$F$155:$F$385,MATCH(RIGHT(Q807,255),RIGHT('Disaggregation Records'!$D$155:$D$385,255),0))),"")</f>
        <v>Transgénero</v>
      </c>
      <c r="T807" s="89" t="str">
        <f t="array" aca="1" ref="T807" ca="1">IFERROR(IF(INDEX('Disaggregation Records'!$H$155:$H$385,MATCH(RIGHT(Q807,255),RIGHT('Disaggregation Records'!$D$155:$D$385,255),0))="","",INDEX('Disaggregation Records'!$H$155:$H$385,MATCH(RIGHT(Q807,255),RIGHT('Disaggregation Records'!$D$155:$D$385,255),0))),"")</f>
        <v>IDR-00846</v>
      </c>
      <c r="U807" s="89">
        <f>U805+1</f>
        <v>1513</v>
      </c>
      <c r="V807" s="89" t="str">
        <f t="array" aca="1" ref="V807" ca="1">IFERROR(IF(INDEX('Disaggregation Records'!$I$155:$I$385,MATCH(RIGHT(Q807,255),RIGHT('Disaggregation Records'!$D$155:$D$385,255),0))="","",INDEX('Disaggregation Records'!$I$155:$I$385,MATCH(RIGHT(Q807,255),RIGHT('Disaggregation Records'!$D$155:$D$385,255),0))),"")</f>
        <v>Gender</v>
      </c>
      <c r="W807" s="89" t="str">
        <f ca="1">IFERROR(INDEX('Reference Records'!L$77:L$157,MATCH(LEFT(C807,255),'Reference Records'!E$77:E$157,0)),"")</f>
        <v>TCS-1.1⁽ᴹ⁾ Percentage of people on ART among all people living with HIV at the end of the reporting period</v>
      </c>
    </row>
    <row r="808" spans="1:23" s="89" customFormat="1" ht="40.35" customHeight="1">
      <c r="A808" s="564"/>
      <c r="B808" s="799"/>
      <c r="C808" s="800"/>
      <c r="D808" s="801"/>
      <c r="E808" s="801"/>
      <c r="F808" s="128"/>
      <c r="G808" s="802"/>
      <c r="H808" s="781"/>
      <c r="I808" s="803"/>
      <c r="J808" s="779"/>
      <c r="K808" s="800"/>
      <c r="L808" s="800"/>
      <c r="M808" s="779"/>
      <c r="N808" s="779"/>
    </row>
    <row r="809" spans="1:23" s="89" customFormat="1" ht="40.35" customHeight="1">
      <c r="A809" s="564" t="str">
        <f ca="1">INDIRECT("'update Helper'!C"&amp;U809)</f>
        <v>a163p000004VjmDAAS</v>
      </c>
      <c r="B809" s="794">
        <v>5</v>
      </c>
      <c r="C809" s="795" t="str">
        <f ca="1">VLOOKUP(B809,'Coverage Indicators - Section D'!$A$9:$AU$70,47,FALSE)</f>
        <v>TCS-1.1⁽ᴹ⁾ Porcentaje de personas en TARV entre todas las personas viviendo con VIH al final del período de reporte</v>
      </c>
      <c r="D809" s="796" t="str">
        <f ca="1">R809</f>
        <v>Género</v>
      </c>
      <c r="E809" s="796" t="str">
        <f ca="1">S809</f>
        <v>Mujeres</v>
      </c>
      <c r="F809" s="418">
        <v>4128</v>
      </c>
      <c r="G809" s="806">
        <f ca="1">IF(OR(INDIRECT("'update Helper'!E"&amp;U809)="",F809&lt;&gt;0,F810&lt;&gt;0),IF(IFERROR((F809/F810),"")="","",(F809/F810)),INDIRECT("'update Helper'!E"&amp;U809)/100)</f>
        <v>0.44031999999999999</v>
      </c>
      <c r="H809" s="804">
        <v>2021</v>
      </c>
      <c r="I809" s="798"/>
      <c r="J809" s="777"/>
      <c r="K809" s="795" t="str">
        <f ca="1">W809</f>
        <v>TCS-1.1⁽ᴹ⁾ Percentage of people on ART among all people living with HIV at the end of the reporting period</v>
      </c>
      <c r="L809" s="795" t="str">
        <f ca="1">V809</f>
        <v>Gender</v>
      </c>
      <c r="M809" s="777"/>
      <c r="N809" s="777"/>
      <c r="P809" s="89">
        <f ca="1">IF(AND(EXACT(C809,C807),C807&lt;&gt;0),P807+1,0)</f>
        <v>14</v>
      </c>
      <c r="Q809" s="89" t="str">
        <f ca="1">IF(C809&lt;&gt;"",C809&amp;"-"&amp;P809,"")</f>
        <v>TCS-1.1⁽ᴹ⁾ Porcentaje de personas en TARV entre todas las personas viviendo con VIH al final del período de reporte-14</v>
      </c>
      <c r="R809" s="89" t="str">
        <f t="array" aca="1" ref="R809" ca="1">IFERROR(IF(INDEX('Disaggregation Records'!$E$155:$E$385,MATCH(RIGHT(Q809,255),RIGHT('Disaggregation Records'!$D$155:$D$385,255),0))="","",INDEX('Disaggregation Records'!$E$155:$E$385,MATCH(RIGHT(Q809,255),RIGHT('Disaggregation Records'!$D$155:$D$385,255),0))),"")</f>
        <v>Género</v>
      </c>
      <c r="S809" s="89" t="str">
        <f t="array" aca="1" ref="S809" ca="1">IFERROR(IF(INDEX('Disaggregation Records'!$F$155:$F$385,MATCH(RIGHT(Q809,255),RIGHT('Disaggregation Records'!$D$155:$D$385,255),0))="","",INDEX('Disaggregation Records'!$F$155:$F$385,MATCH(RIGHT(Q809,255),RIGHT('Disaggregation Records'!$D$155:$D$385,255),0))),"")</f>
        <v>Mujeres</v>
      </c>
      <c r="T809" s="89" t="str">
        <f t="array" aca="1" ref="T809" ca="1">IFERROR(IF(INDEX('Disaggregation Records'!$H$155:$H$385,MATCH(RIGHT(Q809,255),RIGHT('Disaggregation Records'!$D$155:$D$385,255),0))="","",INDEX('Disaggregation Records'!$H$155:$H$385,MATCH(RIGHT(Q809,255),RIGHT('Disaggregation Records'!$D$155:$D$385,255),0))),"")</f>
        <v>IDR-00845</v>
      </c>
      <c r="U809" s="89">
        <f>U807+1</f>
        <v>1514</v>
      </c>
      <c r="V809" s="89" t="str">
        <f t="array" aca="1" ref="V809" ca="1">IFERROR(IF(INDEX('Disaggregation Records'!$I$155:$I$385,MATCH(RIGHT(Q809,255),RIGHT('Disaggregation Records'!$D$155:$D$385,255),0))="","",INDEX('Disaggregation Records'!$I$155:$I$385,MATCH(RIGHT(Q809,255),RIGHT('Disaggregation Records'!$D$155:$D$385,255),0))),"")</f>
        <v>Gender</v>
      </c>
      <c r="W809" s="89" t="str">
        <f ca="1">IFERROR(INDEX('Reference Records'!L$77:L$157,MATCH(LEFT(C809,255),'Reference Records'!E$77:E$157,0)),"")</f>
        <v>TCS-1.1⁽ᴹ⁾ Percentage of people on ART among all people living with HIV at the end of the reporting period</v>
      </c>
    </row>
    <row r="810" spans="1:23" s="89" customFormat="1" ht="40.35" customHeight="1">
      <c r="A810" s="564"/>
      <c r="B810" s="799"/>
      <c r="C810" s="800"/>
      <c r="D810" s="801"/>
      <c r="E810" s="801"/>
      <c r="F810" s="419">
        <v>9375</v>
      </c>
      <c r="G810" s="807"/>
      <c r="H810" s="805"/>
      <c r="I810" s="803"/>
      <c r="J810" s="779"/>
      <c r="K810" s="800"/>
      <c r="L810" s="800"/>
      <c r="M810" s="779"/>
      <c r="N810" s="779"/>
    </row>
    <row r="811" spans="1:23" s="89" customFormat="1" ht="40.35" customHeight="1">
      <c r="A811" s="564" t="str">
        <f ca="1">INDIRECT("'update Helper'!C"&amp;U811)</f>
        <v>a163p000004VjmEAAS</v>
      </c>
      <c r="B811" s="794">
        <v>5</v>
      </c>
      <c r="C811" s="795" t="str">
        <f ca="1">VLOOKUP(B811,'Coverage Indicators - Section D'!$A$9:$AU$70,47,FALSE)</f>
        <v>TCS-1.1⁽ᴹ⁾ Porcentaje de personas en TARV entre todas las personas viviendo con VIH al final del período de reporte</v>
      </c>
      <c r="D811" s="796" t="str">
        <f ca="1">R811</f>
        <v>Género</v>
      </c>
      <c r="E811" s="796" t="str">
        <f ca="1">S811</f>
        <v>Hombres</v>
      </c>
      <c r="F811" s="418">
        <v>9985</v>
      </c>
      <c r="G811" s="806">
        <f ca="1">IF(OR(INDIRECT("'update Helper'!E"&amp;U811)="",F811&lt;&gt;0,F812&lt;&gt;0),IF(IFERROR((F811/F812),"")="","",(F811/F812)),INDIRECT("'update Helper'!E"&amp;U811)/100)</f>
        <v>0.59530197340964641</v>
      </c>
      <c r="H811" s="804">
        <v>2021</v>
      </c>
      <c r="I811" s="798"/>
      <c r="J811" s="777"/>
      <c r="K811" s="795" t="str">
        <f ca="1">W811</f>
        <v>TCS-1.1⁽ᴹ⁾ Percentage of people on ART among all people living with HIV at the end of the reporting period</v>
      </c>
      <c r="L811" s="795" t="str">
        <f ca="1">V811</f>
        <v>Gender</v>
      </c>
      <c r="M811" s="777"/>
      <c r="N811" s="777"/>
      <c r="P811" s="89">
        <f ca="1">IF(AND(EXACT(C811,C809),C809&lt;&gt;0),P809+1,0)</f>
        <v>15</v>
      </c>
      <c r="Q811" s="89" t="str">
        <f ca="1">IF(C811&lt;&gt;"",C811&amp;"-"&amp;P811,"")</f>
        <v>TCS-1.1⁽ᴹ⁾ Porcentaje de personas en TARV entre todas las personas viviendo con VIH al final del período de reporte-15</v>
      </c>
      <c r="R811" s="89" t="str">
        <f t="array" aca="1" ref="R811" ca="1">IFERROR(IF(INDEX('Disaggregation Records'!$E$155:$E$385,MATCH(RIGHT(Q811,255),RIGHT('Disaggregation Records'!$D$155:$D$385,255),0))="","",INDEX('Disaggregation Records'!$E$155:$E$385,MATCH(RIGHT(Q811,255),RIGHT('Disaggregation Records'!$D$155:$D$385,255),0))),"")</f>
        <v>Género</v>
      </c>
      <c r="S811" s="89" t="str">
        <f t="array" aca="1" ref="S811" ca="1">IFERROR(IF(INDEX('Disaggregation Records'!$F$155:$F$385,MATCH(RIGHT(Q811,255),RIGHT('Disaggregation Records'!$D$155:$D$385,255),0))="","",INDEX('Disaggregation Records'!$F$155:$F$385,MATCH(RIGHT(Q811,255),RIGHT('Disaggregation Records'!$D$155:$D$385,255),0))),"")</f>
        <v>Hombres</v>
      </c>
      <c r="T811" s="89" t="str">
        <f t="array" aca="1" ref="T811" ca="1">IFERROR(IF(INDEX('Disaggregation Records'!$H$155:$H$385,MATCH(RIGHT(Q811,255),RIGHT('Disaggregation Records'!$D$155:$D$385,255),0))="","",INDEX('Disaggregation Records'!$H$155:$H$385,MATCH(RIGHT(Q811,255),RIGHT('Disaggregation Records'!$D$155:$D$385,255),0))),"")</f>
        <v>IDR-00844</v>
      </c>
      <c r="U811" s="89">
        <f>U809+1</f>
        <v>1515</v>
      </c>
      <c r="V811" s="89" t="str">
        <f t="array" aca="1" ref="V811" ca="1">IFERROR(IF(INDEX('Disaggregation Records'!$I$155:$I$385,MATCH(RIGHT(Q811,255),RIGHT('Disaggregation Records'!$D$155:$D$385,255),0))="","",INDEX('Disaggregation Records'!$I$155:$I$385,MATCH(RIGHT(Q811,255),RIGHT('Disaggregation Records'!$D$155:$D$385,255),0))),"")</f>
        <v>Gender</v>
      </c>
      <c r="W811" s="89" t="str">
        <f ca="1">IFERROR(INDEX('Reference Records'!L$77:L$157,MATCH(LEFT(C811,255),'Reference Records'!E$77:E$157,0)),"")</f>
        <v>TCS-1.1⁽ᴹ⁾ Percentage of people on ART among all people living with HIV at the end of the reporting period</v>
      </c>
    </row>
    <row r="812" spans="1:23" s="89" customFormat="1" ht="40.35" customHeight="1">
      <c r="A812" s="564"/>
      <c r="B812" s="799"/>
      <c r="C812" s="800"/>
      <c r="D812" s="801"/>
      <c r="E812" s="801"/>
      <c r="F812" s="419">
        <v>16773</v>
      </c>
      <c r="G812" s="807"/>
      <c r="H812" s="805"/>
      <c r="I812" s="803"/>
      <c r="J812" s="779"/>
      <c r="K812" s="800"/>
      <c r="L812" s="800"/>
      <c r="M812" s="779"/>
      <c r="N812" s="779"/>
    </row>
    <row r="813" spans="1:23" s="89" customFormat="1" ht="40.35" customHeight="1">
      <c r="A813" s="564" t="str">
        <f ca="1">INDIRECT("'update Helper'!C"&amp;U813)</f>
        <v>a163p000004VjmFAAS</v>
      </c>
      <c r="B813" s="794">
        <v>5</v>
      </c>
      <c r="C813" s="795" t="str">
        <f ca="1">VLOOKUP(B813,'Coverage Indicators - Section D'!$A$9:$AU$70,47,FALSE)</f>
        <v>TCS-1.1⁽ᴹ⁾ Porcentaje de personas en TARV entre todas las personas viviendo con VIH al final del período de reporte</v>
      </c>
      <c r="D813" s="796" t="str">
        <f ca="1">R813</f>
        <v>Edad</v>
      </c>
      <c r="E813" s="796" t="str">
        <f ca="1">S813</f>
        <v>15+</v>
      </c>
      <c r="F813" s="418">
        <v>13820</v>
      </c>
      <c r="G813" s="806">
        <f ca="1">IF(OR(INDIRECT("'update Helper'!E"&amp;U813)="",F813&lt;&gt;0,F814&lt;&gt;0),IF(IFERROR((F813/F814),"")="","",(F813/F814)),INDIRECT("'update Helper'!E"&amp;U813)/100)</f>
        <v>0.54394458220175546</v>
      </c>
      <c r="H813" s="804">
        <v>2021</v>
      </c>
      <c r="I813" s="798"/>
      <c r="J813" s="777"/>
      <c r="K813" s="795" t="str">
        <f ca="1">W813</f>
        <v>TCS-1.1⁽ᴹ⁾ Percentage of people on ART among all people living with HIV at the end of the reporting period</v>
      </c>
      <c r="L813" s="795" t="str">
        <f ca="1">V813</f>
        <v>Age</v>
      </c>
      <c r="M813" s="777"/>
      <c r="N813" s="777"/>
      <c r="P813" s="89">
        <f ca="1">IF(AND(EXACT(C813,C811),C811&lt;&gt;0),P811+1,0)</f>
        <v>16</v>
      </c>
      <c r="Q813" s="89" t="str">
        <f ca="1">IF(C813&lt;&gt;"",C813&amp;"-"&amp;P813,"")</f>
        <v>TCS-1.1⁽ᴹ⁾ Porcentaje de personas en TARV entre todas las personas viviendo con VIH al final del período de reporte-16</v>
      </c>
      <c r="R813" s="89" t="str">
        <f t="array" aca="1" ref="R813" ca="1">IFERROR(IF(INDEX('Disaggregation Records'!$E$155:$E$385,MATCH(RIGHT(Q813,255),RIGHT('Disaggregation Records'!$D$155:$D$385,255),0))="","",INDEX('Disaggregation Records'!$E$155:$E$385,MATCH(RIGHT(Q813,255),RIGHT('Disaggregation Records'!$D$155:$D$385,255),0))),"")</f>
        <v>Edad</v>
      </c>
      <c r="S813" s="89" t="str">
        <f t="array" aca="1" ref="S813" ca="1">IFERROR(IF(INDEX('Disaggregation Records'!$F$155:$F$385,MATCH(RIGHT(Q813,255),RIGHT('Disaggregation Records'!$D$155:$D$385,255),0))="","",INDEX('Disaggregation Records'!$F$155:$F$385,MATCH(RIGHT(Q813,255),RIGHT('Disaggregation Records'!$D$155:$D$385,255),0))),"")</f>
        <v>15+</v>
      </c>
      <c r="T813" s="89" t="str">
        <f t="array" aca="1" ref="T813" ca="1">IFERROR(IF(INDEX('Disaggregation Records'!$H$155:$H$385,MATCH(RIGHT(Q813,255),RIGHT('Disaggregation Records'!$D$155:$D$385,255),0))="","",INDEX('Disaggregation Records'!$H$155:$H$385,MATCH(RIGHT(Q813,255),RIGHT('Disaggregation Records'!$D$155:$D$385,255),0))),"")</f>
        <v>IDR-00724</v>
      </c>
      <c r="U813" s="89">
        <f>U811+1</f>
        <v>1516</v>
      </c>
      <c r="V813" s="89" t="str">
        <f t="array" aca="1" ref="V813" ca="1">IFERROR(IF(INDEX('Disaggregation Records'!$I$155:$I$385,MATCH(RIGHT(Q813,255),RIGHT('Disaggregation Records'!$D$155:$D$385,255),0))="","",INDEX('Disaggregation Records'!$I$155:$I$385,MATCH(RIGHT(Q813,255),RIGHT('Disaggregation Records'!$D$155:$D$385,255),0))),"")</f>
        <v>Age</v>
      </c>
      <c r="W813" s="89" t="str">
        <f ca="1">IFERROR(INDEX('Reference Records'!L$77:L$157,MATCH(LEFT(C813,255),'Reference Records'!E$77:E$157,0)),"")</f>
        <v>TCS-1.1⁽ᴹ⁾ Percentage of people on ART among all people living with HIV at the end of the reporting period</v>
      </c>
    </row>
    <row r="814" spans="1:23" s="89" customFormat="1" ht="40.35" customHeight="1">
      <c r="A814" s="564"/>
      <c r="B814" s="799"/>
      <c r="C814" s="800"/>
      <c r="D814" s="801"/>
      <c r="E814" s="801"/>
      <c r="F814" s="419">
        <v>25407</v>
      </c>
      <c r="G814" s="807"/>
      <c r="H814" s="805"/>
      <c r="I814" s="803"/>
      <c r="J814" s="779"/>
      <c r="K814" s="800"/>
      <c r="L814" s="800"/>
      <c r="M814" s="779"/>
      <c r="N814" s="779"/>
    </row>
    <row r="815" spans="1:23" s="89" customFormat="1" ht="40.35" customHeight="1">
      <c r="A815" s="564" t="str">
        <f ca="1">INDIRECT("'update Helper'!C"&amp;U815)</f>
        <v>a163p000004VjmGAAS</v>
      </c>
      <c r="B815" s="794">
        <v>5</v>
      </c>
      <c r="C815" s="795" t="str">
        <f ca="1">VLOOKUP(B815,'Coverage Indicators - Section D'!$A$9:$AU$70,47,FALSE)</f>
        <v>TCS-1.1⁽ᴹ⁾ Porcentaje de personas en TARV entre todas las personas viviendo con VIH al final del período de reporte</v>
      </c>
      <c r="D815" s="796" t="str">
        <f ca="1">R815</f>
        <v>Edad</v>
      </c>
      <c r="E815" s="796" t="str">
        <f ca="1">S815</f>
        <v>&lt;15</v>
      </c>
      <c r="F815" s="418">
        <v>293</v>
      </c>
      <c r="G815" s="806">
        <f ca="1">IF(OR(INDIRECT("'update Helper'!E"&amp;U815)="",F815&lt;&gt;0,F816&lt;&gt;0),IF(IFERROR((F815/F816),"")="","",(F815/F816)),INDIRECT("'update Helper'!E"&amp;U815)/100)</f>
        <v>0.39541160593792174</v>
      </c>
      <c r="H815" s="804">
        <v>2021</v>
      </c>
      <c r="I815" s="798"/>
      <c r="J815" s="777"/>
      <c r="K815" s="795" t="str">
        <f ca="1">W815</f>
        <v>TCS-1.1⁽ᴹ⁾ Percentage of people on ART among all people living with HIV at the end of the reporting period</v>
      </c>
      <c r="L815" s="795" t="str">
        <f ca="1">V815</f>
        <v>Age</v>
      </c>
      <c r="M815" s="777"/>
      <c r="N815" s="777"/>
      <c r="P815" s="89">
        <f ca="1">IF(AND(EXACT(C815,C813),C813&lt;&gt;0),P813+1,0)</f>
        <v>17</v>
      </c>
      <c r="Q815" s="89" t="str">
        <f ca="1">IF(C815&lt;&gt;"",C815&amp;"-"&amp;P815,"")</f>
        <v>TCS-1.1⁽ᴹ⁾ Porcentaje de personas en TARV entre todas las personas viviendo con VIH al final del período de reporte-17</v>
      </c>
      <c r="R815" s="89" t="str">
        <f t="array" aca="1" ref="R815" ca="1">IFERROR(IF(INDEX('Disaggregation Records'!$E$155:$E$385,MATCH(RIGHT(Q815,255),RIGHT('Disaggregation Records'!$D$155:$D$385,255),0))="","",INDEX('Disaggregation Records'!$E$155:$E$385,MATCH(RIGHT(Q815,255),RIGHT('Disaggregation Records'!$D$155:$D$385,255),0))),"")</f>
        <v>Edad</v>
      </c>
      <c r="S815" s="89" t="str">
        <f t="array" aca="1" ref="S815" ca="1">IFERROR(IF(INDEX('Disaggregation Records'!$F$155:$F$385,MATCH(RIGHT(Q815,255),RIGHT('Disaggregation Records'!$D$155:$D$385,255),0))="","",INDEX('Disaggregation Records'!$F$155:$F$385,MATCH(RIGHT(Q815,255),RIGHT('Disaggregation Records'!$D$155:$D$385,255),0))),"")</f>
        <v>&lt;15</v>
      </c>
      <c r="T815" s="89" t="str">
        <f t="array" aca="1" ref="T815" ca="1">IFERROR(IF(INDEX('Disaggregation Records'!$H$155:$H$385,MATCH(RIGHT(Q815,255),RIGHT('Disaggregation Records'!$D$155:$D$385,255),0))="","",INDEX('Disaggregation Records'!$H$155:$H$385,MATCH(RIGHT(Q815,255),RIGHT('Disaggregation Records'!$D$155:$D$385,255),0))),"")</f>
        <v>IDR-00723</v>
      </c>
      <c r="U815" s="89">
        <f>U813+1</f>
        <v>1517</v>
      </c>
      <c r="V815" s="89" t="str">
        <f t="array" aca="1" ref="V815" ca="1">IFERROR(IF(INDEX('Disaggregation Records'!$I$155:$I$385,MATCH(RIGHT(Q815,255),RIGHT('Disaggregation Records'!$D$155:$D$385,255),0))="","",INDEX('Disaggregation Records'!$I$155:$I$385,MATCH(RIGHT(Q815,255),RIGHT('Disaggregation Records'!$D$155:$D$385,255),0))),"")</f>
        <v>Age</v>
      </c>
      <c r="W815" s="89" t="str">
        <f ca="1">IFERROR(INDEX('Reference Records'!L$77:L$157,MATCH(LEFT(C815,255),'Reference Records'!E$77:E$157,0)),"")</f>
        <v>TCS-1.1⁽ᴹ⁾ Percentage of people on ART among all people living with HIV at the end of the reporting period</v>
      </c>
    </row>
    <row r="816" spans="1:23" s="89" customFormat="1" ht="40.35" customHeight="1">
      <c r="A816" s="564"/>
      <c r="B816" s="799"/>
      <c r="C816" s="800"/>
      <c r="D816" s="801"/>
      <c r="E816" s="801"/>
      <c r="F816" s="419">
        <v>741</v>
      </c>
      <c r="G816" s="807"/>
      <c r="H816" s="805"/>
      <c r="I816" s="803"/>
      <c r="J816" s="779"/>
      <c r="K816" s="800"/>
      <c r="L816" s="800"/>
      <c r="M816" s="779"/>
      <c r="N816" s="779"/>
    </row>
    <row r="817" spans="1:23" s="89" customFormat="1" ht="40.35" customHeight="1">
      <c r="A817" s="564" t="str">
        <f ca="1">INDIRECT("'update Helper'!C"&amp;U817)</f>
        <v>a163p000004VjmHAAS</v>
      </c>
      <c r="B817" s="794">
        <v>5</v>
      </c>
      <c r="C817" s="795" t="str">
        <f ca="1">VLOOKUP(B817,'Coverage Indicators - Section D'!$A$9:$AU$70,47,FALSE)</f>
        <v>TCS-1.1⁽ᴹ⁾ Porcentaje de personas en TARV entre todas las personas viviendo con VIH al final del período de reporte</v>
      </c>
      <c r="D817" s="796" t="str">
        <f ca="1">R817</f>
        <v/>
      </c>
      <c r="E817" s="796" t="str">
        <f ca="1">S817</f>
        <v/>
      </c>
      <c r="F817" s="127"/>
      <c r="G817" s="797" t="str">
        <f ca="1">IF(OR(INDIRECT("'update Helper'!E"&amp;U817)="",F817&lt;&gt;0,F818&lt;&gt;0),IF(IFERROR((F817/F818),"")="","",(F817/F818)),INDIRECT("'update Helper'!E"&amp;U817)/100)</f>
        <v/>
      </c>
      <c r="H817" s="784"/>
      <c r="I817" s="798"/>
      <c r="J817" s="777"/>
      <c r="K817" s="795" t="str">
        <f ca="1">W817</f>
        <v>TCS-1.1⁽ᴹ⁾ Percentage of people on ART among all people living with HIV at the end of the reporting period</v>
      </c>
      <c r="L817" s="795" t="str">
        <f ca="1">V817</f>
        <v/>
      </c>
      <c r="M817" s="777"/>
      <c r="N817" s="777"/>
      <c r="P817" s="89">
        <f ca="1">IF(AND(EXACT(C817,C815),C815&lt;&gt;0),P815+1,0)</f>
        <v>18</v>
      </c>
      <c r="Q817" s="89" t="str">
        <f ca="1">IF(C817&lt;&gt;"",C817&amp;"-"&amp;P817,"")</f>
        <v>TCS-1.1⁽ᴹ⁾ Porcentaje de personas en TARV entre todas las personas viviendo con VIH al final del período de reporte-18</v>
      </c>
      <c r="R817" s="89" t="str">
        <f t="array" aca="1" ref="R817" ca="1">IFERROR(IF(INDEX('Disaggregation Records'!$E$155:$E$385,MATCH(RIGHT(Q817,255),RIGHT('Disaggregation Records'!$D$155:$D$385,255),0))="","",INDEX('Disaggregation Records'!$E$155:$E$385,MATCH(RIGHT(Q817,255),RIGHT('Disaggregation Records'!$D$155:$D$385,255),0))),"")</f>
        <v/>
      </c>
      <c r="S817" s="89" t="str">
        <f t="array" aca="1" ref="S817" ca="1">IFERROR(IF(INDEX('Disaggregation Records'!$F$155:$F$385,MATCH(RIGHT(Q817,255),RIGHT('Disaggregation Records'!$D$155:$D$385,255),0))="","",INDEX('Disaggregation Records'!$F$155:$F$385,MATCH(RIGHT(Q817,255),RIGHT('Disaggregation Records'!$D$155:$D$385,255),0))),"")</f>
        <v/>
      </c>
      <c r="T817" s="89" t="str">
        <f t="array" aca="1" ref="T817" ca="1">IFERROR(IF(INDEX('Disaggregation Records'!$H$155:$H$385,MATCH(RIGHT(Q817,255),RIGHT('Disaggregation Records'!$D$155:$D$385,255),0))="","",INDEX('Disaggregation Records'!$H$155:$H$385,MATCH(RIGHT(Q817,255),RIGHT('Disaggregation Records'!$D$155:$D$385,255),0))),"")</f>
        <v/>
      </c>
      <c r="U817" s="89">
        <f>U815+1</f>
        <v>1518</v>
      </c>
      <c r="V817" s="89" t="str">
        <f t="array" aca="1" ref="V817" ca="1">IFERROR(IF(INDEX('Disaggregation Records'!$I$155:$I$385,MATCH(RIGHT(Q817,255),RIGHT('Disaggregation Records'!$D$155:$D$385,255),0))="","",INDEX('Disaggregation Records'!$I$155:$I$385,MATCH(RIGHT(Q817,255),RIGHT('Disaggregation Records'!$D$155:$D$385,255),0))),"")</f>
        <v/>
      </c>
      <c r="W817" s="89" t="str">
        <f ca="1">IFERROR(INDEX('Reference Records'!L$77:L$157,MATCH(LEFT(C817,255),'Reference Records'!E$77:E$157,0)),"")</f>
        <v>TCS-1.1⁽ᴹ⁾ Percentage of people on ART among all people living with HIV at the end of the reporting period</v>
      </c>
    </row>
    <row r="818" spans="1:23" s="89" customFormat="1" ht="40.35" customHeight="1">
      <c r="A818" s="564"/>
      <c r="B818" s="799"/>
      <c r="C818" s="800"/>
      <c r="D818" s="801"/>
      <c r="E818" s="801"/>
      <c r="F818" s="128"/>
      <c r="G818" s="802"/>
      <c r="H818" s="781"/>
      <c r="I818" s="803"/>
      <c r="J818" s="779"/>
      <c r="K818" s="800"/>
      <c r="L818" s="800"/>
      <c r="M818" s="779"/>
      <c r="N818" s="779"/>
    </row>
    <row r="819" spans="1:23" s="89" customFormat="1" ht="40.35" customHeight="1">
      <c r="A819" s="564" t="str">
        <f ca="1">INDIRECT("'update Helper'!C"&amp;U819)</f>
        <v>a163p000004VjmIAAS</v>
      </c>
      <c r="B819" s="794">
        <v>5</v>
      </c>
      <c r="C819" s="795" t="str">
        <f ca="1">VLOOKUP(B819,'Coverage Indicators - Section D'!$A$9:$AU$70,47,FALSE)</f>
        <v>TCS-1.1⁽ᴹ⁾ Porcentaje de personas en TARV entre todas las personas viviendo con VIH al final del período de reporte</v>
      </c>
      <c r="D819" s="796" t="str">
        <f ca="1">R819</f>
        <v/>
      </c>
      <c r="E819" s="796" t="str">
        <f ca="1">S819</f>
        <v/>
      </c>
      <c r="F819" s="127"/>
      <c r="G819" s="797" t="str">
        <f ca="1">IF(OR(INDIRECT("'update Helper'!E"&amp;U819)="",F819&lt;&gt;0,F820&lt;&gt;0),IF(IFERROR((F819/F820),"")="","",(F819/F820)),INDIRECT("'update Helper'!E"&amp;U819)/100)</f>
        <v/>
      </c>
      <c r="H819" s="784"/>
      <c r="I819" s="798"/>
      <c r="J819" s="777"/>
      <c r="K819" s="795" t="str">
        <f ca="1">W819</f>
        <v>TCS-1.1⁽ᴹ⁾ Percentage of people on ART among all people living with HIV at the end of the reporting period</v>
      </c>
      <c r="L819" s="795" t="str">
        <f ca="1">V819</f>
        <v/>
      </c>
      <c r="M819" s="777"/>
      <c r="N819" s="777"/>
      <c r="P819" s="89">
        <f ca="1">IF(AND(EXACT(C819,C817),C817&lt;&gt;0),P817+1,0)</f>
        <v>19</v>
      </c>
      <c r="Q819" s="89" t="str">
        <f ca="1">IF(C819&lt;&gt;"",C819&amp;"-"&amp;P819,"")</f>
        <v>TCS-1.1⁽ᴹ⁾ Porcentaje de personas en TARV entre todas las personas viviendo con VIH al final del período de reporte-19</v>
      </c>
      <c r="R819" s="89" t="str">
        <f t="array" aca="1" ref="R819" ca="1">IFERROR(IF(INDEX('Disaggregation Records'!$E$155:$E$385,MATCH(RIGHT(Q819,255),RIGHT('Disaggregation Records'!$D$155:$D$385,255),0))="","",INDEX('Disaggregation Records'!$E$155:$E$385,MATCH(RIGHT(Q819,255),RIGHT('Disaggregation Records'!$D$155:$D$385,255),0))),"")</f>
        <v/>
      </c>
      <c r="S819" s="89" t="str">
        <f t="array" aca="1" ref="S819" ca="1">IFERROR(IF(INDEX('Disaggregation Records'!$F$155:$F$385,MATCH(RIGHT(Q819,255),RIGHT('Disaggregation Records'!$D$155:$D$385,255),0))="","",INDEX('Disaggregation Records'!$F$155:$F$385,MATCH(RIGHT(Q819,255),RIGHT('Disaggregation Records'!$D$155:$D$385,255),0))),"")</f>
        <v/>
      </c>
      <c r="T819" s="89" t="str">
        <f t="array" aca="1" ref="T819" ca="1">IFERROR(IF(INDEX('Disaggregation Records'!$H$155:$H$385,MATCH(RIGHT(Q819,255),RIGHT('Disaggregation Records'!$D$155:$D$385,255),0))="","",INDEX('Disaggregation Records'!$H$155:$H$385,MATCH(RIGHT(Q819,255),RIGHT('Disaggregation Records'!$D$155:$D$385,255),0))),"")</f>
        <v/>
      </c>
      <c r="U819" s="89">
        <f>U817+1</f>
        <v>1519</v>
      </c>
      <c r="V819" s="89" t="str">
        <f t="array" aca="1" ref="V819" ca="1">IFERROR(IF(INDEX('Disaggregation Records'!$I$155:$I$385,MATCH(RIGHT(Q819,255),RIGHT('Disaggregation Records'!$D$155:$D$385,255),0))="","",INDEX('Disaggregation Records'!$I$155:$I$385,MATCH(RIGHT(Q819,255),RIGHT('Disaggregation Records'!$D$155:$D$385,255),0))),"")</f>
        <v/>
      </c>
      <c r="W819" s="89" t="str">
        <f ca="1">IFERROR(INDEX('Reference Records'!L$77:L$157,MATCH(LEFT(C819,255),'Reference Records'!E$77:E$157,0)),"")</f>
        <v>TCS-1.1⁽ᴹ⁾ Percentage of people on ART among all people living with HIV at the end of the reporting period</v>
      </c>
    </row>
    <row r="820" spans="1:23" s="89" customFormat="1" ht="40.35" customHeight="1">
      <c r="A820" s="564"/>
      <c r="B820" s="799"/>
      <c r="C820" s="800"/>
      <c r="D820" s="801"/>
      <c r="E820" s="801"/>
      <c r="F820" s="128"/>
      <c r="G820" s="802"/>
      <c r="H820" s="781"/>
      <c r="I820" s="803"/>
      <c r="J820" s="779"/>
      <c r="K820" s="800"/>
      <c r="L820" s="800"/>
      <c r="M820" s="779"/>
      <c r="N820" s="779"/>
    </row>
    <row r="821" spans="1:23" s="89" customFormat="1" ht="40.35" customHeight="1">
      <c r="A821" s="564" t="str">
        <f ca="1">INDIRECT("'update Helper'!C"&amp;U821)</f>
        <v>a163p000004VjmJAAS</v>
      </c>
      <c r="B821" s="794">
        <v>6</v>
      </c>
      <c r="C821" s="795" t="str">
        <f ca="1">VLOOKUP(B821,'Coverage Indicators - Section D'!$A$9:$AU$70,47,FALSE)</f>
        <v>KP-1c⁽ᴹ⁾ Porcentaje de trabajadores sexuales alcanzados por programas de prevención del VIH - paquete definido de servicios</v>
      </c>
      <c r="D821" s="796" t="str">
        <f ca="1">R821</f>
        <v>Género</v>
      </c>
      <c r="E821" s="796" t="str">
        <f ca="1">S821</f>
        <v>Transgénero</v>
      </c>
      <c r="F821" s="127"/>
      <c r="G821" s="797" t="str">
        <f ca="1">IF(OR(INDIRECT("'update Helper'!E"&amp;U821)="",F821&lt;&gt;0,F822&lt;&gt;0),IF(IFERROR((F821/F822),"")="","",(F821/F822)),INDIRECT("'update Helper'!E"&amp;U821)/100)</f>
        <v/>
      </c>
      <c r="H821" s="784"/>
      <c r="I821" s="798"/>
      <c r="J821" s="777"/>
      <c r="K821" s="795" t="str">
        <f ca="1">W821</f>
        <v>KP-1c⁽ᴹ⁾ Percentage of sex workers reached with HIV prevention programs - defined package of services</v>
      </c>
      <c r="L821" s="795" t="str">
        <f ca="1">V821</f>
        <v>Gender</v>
      </c>
      <c r="M821" s="777"/>
      <c r="N821" s="777"/>
      <c r="P821" s="89">
        <f ca="1">IF(AND(EXACT(C821,C819),C819&lt;&gt;0),P819+1,0)</f>
        <v>0</v>
      </c>
      <c r="Q821" s="89" t="str">
        <f ca="1">IF(C821&lt;&gt;"",C821&amp;"-"&amp;P821,"")</f>
        <v>KP-1c⁽ᴹ⁾ Porcentaje de trabajadores sexuales alcanzados por programas de prevención del VIH - paquete definido de servicios-0</v>
      </c>
      <c r="R821" s="89" t="str">
        <f t="array" aca="1" ref="R821" ca="1">IFERROR(IF(INDEX('Disaggregation Records'!$E$155:$E$385,MATCH(RIGHT(Q821,255),RIGHT('Disaggregation Records'!$D$155:$D$385,255),0))="","",INDEX('Disaggregation Records'!$E$155:$E$385,MATCH(RIGHT(Q821,255),RIGHT('Disaggregation Records'!$D$155:$D$385,255),0))),"")</f>
        <v>Género</v>
      </c>
      <c r="S821" s="89" t="str">
        <f t="array" aca="1" ref="S821" ca="1">IFERROR(IF(INDEX('Disaggregation Records'!$F$155:$F$385,MATCH(RIGHT(Q821,255),RIGHT('Disaggregation Records'!$D$155:$D$385,255),0))="","",INDEX('Disaggregation Records'!$F$155:$F$385,MATCH(RIGHT(Q821,255),RIGHT('Disaggregation Records'!$D$155:$D$385,255),0))),"")</f>
        <v>Transgénero</v>
      </c>
      <c r="T821" s="89" t="str">
        <f t="array" aca="1" ref="T821" ca="1">IFERROR(IF(INDEX('Disaggregation Records'!$H$155:$H$385,MATCH(RIGHT(Q821,255),RIGHT('Disaggregation Records'!$D$155:$D$385,255),0))="","",INDEX('Disaggregation Records'!$H$155:$H$385,MATCH(RIGHT(Q821,255),RIGHT('Disaggregation Records'!$D$155:$D$385,255),0))),"")</f>
        <v>IDR-00825</v>
      </c>
      <c r="U821" s="89">
        <f>U819+1</f>
        <v>1520</v>
      </c>
      <c r="V821" s="89" t="str">
        <f t="array" aca="1" ref="V821" ca="1">IFERROR(IF(INDEX('Disaggregation Records'!$I$155:$I$385,MATCH(RIGHT(Q821,255),RIGHT('Disaggregation Records'!$D$155:$D$385,255),0))="","",INDEX('Disaggregation Records'!$I$155:$I$385,MATCH(RIGHT(Q821,255),RIGHT('Disaggregation Records'!$D$155:$D$385,255),0))),"")</f>
        <v>Gender</v>
      </c>
      <c r="W821" s="89" t="str">
        <f ca="1">IFERROR(INDEX('Reference Records'!L$77:L$157,MATCH(LEFT(C821,255),'Reference Records'!E$77:E$157,0)),"")</f>
        <v>KP-1c⁽ᴹ⁾ Percentage of sex workers reached with HIV prevention programs - defined package of services</v>
      </c>
    </row>
    <row r="822" spans="1:23" s="89" customFormat="1" ht="40.35" customHeight="1">
      <c r="A822" s="564"/>
      <c r="B822" s="799"/>
      <c r="C822" s="800"/>
      <c r="D822" s="801"/>
      <c r="E822" s="801"/>
      <c r="F822" s="128"/>
      <c r="G822" s="802"/>
      <c r="H822" s="781"/>
      <c r="I822" s="803"/>
      <c r="J822" s="779"/>
      <c r="K822" s="800"/>
      <c r="L822" s="800"/>
      <c r="M822" s="779"/>
      <c r="N822" s="779"/>
    </row>
    <row r="823" spans="1:23" s="89" customFormat="1" ht="40.35" customHeight="1">
      <c r="A823" s="564" t="str">
        <f ca="1">INDIRECT("'update Helper'!C"&amp;U823)</f>
        <v>a163p000004VjmKAAS</v>
      </c>
      <c r="B823" s="794">
        <v>6</v>
      </c>
      <c r="C823" s="795" t="str">
        <f ca="1">VLOOKUP(B823,'Coverage Indicators - Section D'!$A$9:$AU$70,47,FALSE)</f>
        <v>KP-1c⁽ᴹ⁾ Porcentaje de trabajadores sexuales alcanzados por programas de prevención del VIH - paquete definido de servicios</v>
      </c>
      <c r="D823" s="796" t="str">
        <f ca="1">R823</f>
        <v>Género</v>
      </c>
      <c r="E823" s="796" t="str">
        <f ca="1">S823</f>
        <v>Mujeres</v>
      </c>
      <c r="F823" s="418">
        <v>2045</v>
      </c>
      <c r="G823" s="806">
        <f ca="1">IF(OR(INDIRECT("'update Helper'!E"&amp;U823)="",F823&lt;&gt;0,F824&lt;&gt;0),IF(IFERROR((F823/F824),"")="","",(F823/F824)),INDIRECT("'update Helper'!E"&amp;U823)/100)</f>
        <v>9.9916939463526658E-2</v>
      </c>
      <c r="H823" s="804">
        <v>2021</v>
      </c>
      <c r="I823" s="798"/>
      <c r="J823" s="777"/>
      <c r="K823" s="795" t="str">
        <f ca="1">W823</f>
        <v>KP-1c⁽ᴹ⁾ Percentage of sex workers reached with HIV prevention programs - defined package of services</v>
      </c>
      <c r="L823" s="795" t="str">
        <f ca="1">V823</f>
        <v>Gender</v>
      </c>
      <c r="M823" s="777"/>
      <c r="N823" s="777"/>
      <c r="P823" s="89">
        <f ca="1">IF(AND(EXACT(C823,C821),C821&lt;&gt;0),P821+1,0)</f>
        <v>1</v>
      </c>
      <c r="Q823" s="89" t="str">
        <f ca="1">IF(C823&lt;&gt;"",C823&amp;"-"&amp;P823,"")</f>
        <v>KP-1c⁽ᴹ⁾ Porcentaje de trabajadores sexuales alcanzados por programas de prevención del VIH - paquete definido de servicios-1</v>
      </c>
      <c r="R823" s="89" t="str">
        <f t="array" aca="1" ref="R823" ca="1">IFERROR(IF(INDEX('Disaggregation Records'!$E$155:$E$385,MATCH(RIGHT(Q823,255),RIGHT('Disaggregation Records'!$D$155:$D$385,255),0))="","",INDEX('Disaggregation Records'!$E$155:$E$385,MATCH(RIGHT(Q823,255),RIGHT('Disaggregation Records'!$D$155:$D$385,255),0))),"")</f>
        <v>Género</v>
      </c>
      <c r="S823" s="89" t="str">
        <f t="array" aca="1" ref="S823" ca="1">IFERROR(IF(INDEX('Disaggregation Records'!$F$155:$F$385,MATCH(RIGHT(Q823,255),RIGHT('Disaggregation Records'!$D$155:$D$385,255),0))="","",INDEX('Disaggregation Records'!$F$155:$F$385,MATCH(RIGHT(Q823,255),RIGHT('Disaggregation Records'!$D$155:$D$385,255),0))),"")</f>
        <v>Mujeres</v>
      </c>
      <c r="T823" s="89" t="str">
        <f t="array" aca="1" ref="T823" ca="1">IFERROR(IF(INDEX('Disaggregation Records'!$H$155:$H$385,MATCH(RIGHT(Q823,255),RIGHT('Disaggregation Records'!$D$155:$D$385,255),0))="","",INDEX('Disaggregation Records'!$H$155:$H$385,MATCH(RIGHT(Q823,255),RIGHT('Disaggregation Records'!$D$155:$D$385,255),0))),"")</f>
        <v>IDR-00824</v>
      </c>
      <c r="U823" s="89">
        <f>U821+1</f>
        <v>1521</v>
      </c>
      <c r="V823" s="89" t="str">
        <f t="array" aca="1" ref="V823" ca="1">IFERROR(IF(INDEX('Disaggregation Records'!$I$155:$I$385,MATCH(RIGHT(Q823,255),RIGHT('Disaggregation Records'!$D$155:$D$385,255),0))="","",INDEX('Disaggregation Records'!$I$155:$I$385,MATCH(RIGHT(Q823,255),RIGHT('Disaggregation Records'!$D$155:$D$385,255),0))),"")</f>
        <v>Gender</v>
      </c>
      <c r="W823" s="89" t="str">
        <f ca="1">IFERROR(INDEX('Reference Records'!L$77:L$157,MATCH(LEFT(C823,255),'Reference Records'!E$77:E$157,0)),"")</f>
        <v>KP-1c⁽ᴹ⁾ Percentage of sex workers reached with HIV prevention programs - defined package of services</v>
      </c>
    </row>
    <row r="824" spans="1:23" s="89" customFormat="1" ht="40.35" customHeight="1">
      <c r="A824" s="564"/>
      <c r="B824" s="799"/>
      <c r="C824" s="800"/>
      <c r="D824" s="801"/>
      <c r="E824" s="801"/>
      <c r="F824" s="419">
        <v>20467</v>
      </c>
      <c r="G824" s="807"/>
      <c r="H824" s="805"/>
      <c r="I824" s="803"/>
      <c r="J824" s="779"/>
      <c r="K824" s="800"/>
      <c r="L824" s="800"/>
      <c r="M824" s="779"/>
      <c r="N824" s="779"/>
    </row>
    <row r="825" spans="1:23" s="89" customFormat="1" ht="40.35" customHeight="1">
      <c r="A825" s="564" t="str">
        <f ca="1">INDIRECT("'update Helper'!C"&amp;U825)</f>
        <v>a163p000004VjmLAAS</v>
      </c>
      <c r="B825" s="794">
        <v>6</v>
      </c>
      <c r="C825" s="795" t="str">
        <f ca="1">VLOOKUP(B825,'Coverage Indicators - Section D'!$A$9:$AU$70,47,FALSE)</f>
        <v>KP-1c⁽ᴹ⁾ Porcentaje de trabajadores sexuales alcanzados por programas de prevención del VIH - paquete definido de servicios</v>
      </c>
      <c r="D825" s="796" t="str">
        <f ca="1">R825</f>
        <v>Género</v>
      </c>
      <c r="E825" s="796" t="str">
        <f ca="1">S825</f>
        <v>Hombres</v>
      </c>
      <c r="F825" s="127"/>
      <c r="G825" s="797" t="str">
        <f ca="1">IF(OR(INDIRECT("'update Helper'!E"&amp;U825)="",F825&lt;&gt;0,F826&lt;&gt;0),IF(IFERROR((F825/F826),"")="","",(F825/F826)),INDIRECT("'update Helper'!E"&amp;U825)/100)</f>
        <v/>
      </c>
      <c r="H825" s="784"/>
      <c r="I825" s="798"/>
      <c r="J825" s="777"/>
      <c r="K825" s="795" t="str">
        <f ca="1">W825</f>
        <v>KP-1c⁽ᴹ⁾ Percentage of sex workers reached with HIV prevention programs - defined package of services</v>
      </c>
      <c r="L825" s="795" t="str">
        <f ca="1">V825</f>
        <v>Gender</v>
      </c>
      <c r="M825" s="777"/>
      <c r="N825" s="777"/>
      <c r="P825" s="89">
        <f ca="1">IF(AND(EXACT(C825,C823),C823&lt;&gt;0),P823+1,0)</f>
        <v>2</v>
      </c>
      <c r="Q825" s="89" t="str">
        <f ca="1">IF(C825&lt;&gt;"",C825&amp;"-"&amp;P825,"")</f>
        <v>KP-1c⁽ᴹ⁾ Porcentaje de trabajadores sexuales alcanzados por programas de prevención del VIH - paquete definido de servicios-2</v>
      </c>
      <c r="R825" s="89" t="str">
        <f t="array" aca="1" ref="R825" ca="1">IFERROR(IF(INDEX('Disaggregation Records'!$E$155:$E$385,MATCH(RIGHT(Q825,255),RIGHT('Disaggregation Records'!$D$155:$D$385,255),0))="","",INDEX('Disaggregation Records'!$E$155:$E$385,MATCH(RIGHT(Q825,255),RIGHT('Disaggregation Records'!$D$155:$D$385,255),0))),"")</f>
        <v>Género</v>
      </c>
      <c r="S825" s="89" t="str">
        <f t="array" aca="1" ref="S825" ca="1">IFERROR(IF(INDEX('Disaggregation Records'!$F$155:$F$385,MATCH(RIGHT(Q825,255),RIGHT('Disaggregation Records'!$D$155:$D$385,255),0))="","",INDEX('Disaggregation Records'!$F$155:$F$385,MATCH(RIGHT(Q825,255),RIGHT('Disaggregation Records'!$D$155:$D$385,255),0))),"")</f>
        <v>Hombres</v>
      </c>
      <c r="T825" s="89" t="str">
        <f t="array" aca="1" ref="T825" ca="1">IFERROR(IF(INDEX('Disaggregation Records'!$H$155:$H$385,MATCH(RIGHT(Q825,255),RIGHT('Disaggregation Records'!$D$155:$D$385,255),0))="","",INDEX('Disaggregation Records'!$H$155:$H$385,MATCH(RIGHT(Q825,255),RIGHT('Disaggregation Records'!$D$155:$D$385,255),0))),"")</f>
        <v>IDR-00823</v>
      </c>
      <c r="U825" s="89">
        <f>U823+1</f>
        <v>1522</v>
      </c>
      <c r="V825" s="89" t="str">
        <f t="array" aca="1" ref="V825" ca="1">IFERROR(IF(INDEX('Disaggregation Records'!$I$155:$I$385,MATCH(RIGHT(Q825,255),RIGHT('Disaggregation Records'!$D$155:$D$385,255),0))="","",INDEX('Disaggregation Records'!$I$155:$I$385,MATCH(RIGHT(Q825,255),RIGHT('Disaggregation Records'!$D$155:$D$385,255),0))),"")</f>
        <v>Gender</v>
      </c>
      <c r="W825" s="89" t="str">
        <f ca="1">IFERROR(INDEX('Reference Records'!L$77:L$157,MATCH(LEFT(C825,255),'Reference Records'!E$77:E$157,0)),"")</f>
        <v>KP-1c⁽ᴹ⁾ Percentage of sex workers reached with HIV prevention programs - defined package of services</v>
      </c>
    </row>
    <row r="826" spans="1:23" s="89" customFormat="1" ht="40.35" customHeight="1">
      <c r="A826" s="564"/>
      <c r="B826" s="799"/>
      <c r="C826" s="800"/>
      <c r="D826" s="801"/>
      <c r="E826" s="801"/>
      <c r="F826" s="128"/>
      <c r="G826" s="802"/>
      <c r="H826" s="781"/>
      <c r="I826" s="803"/>
      <c r="J826" s="779"/>
      <c r="K826" s="800"/>
      <c r="L826" s="800"/>
      <c r="M826" s="779"/>
      <c r="N826" s="779"/>
    </row>
    <row r="827" spans="1:23" s="89" customFormat="1" ht="40.35" customHeight="1">
      <c r="A827" s="564" t="str">
        <f ca="1">INDIRECT("'update Helper'!C"&amp;U827)</f>
        <v>a163p000004VjmMAAS</v>
      </c>
      <c r="B827" s="794">
        <v>6</v>
      </c>
      <c r="C827" s="795" t="str">
        <f ca="1">VLOOKUP(B827,'Coverage Indicators - Section D'!$A$9:$AU$70,47,FALSE)</f>
        <v>KP-1c⁽ᴹ⁾ Porcentaje de trabajadores sexuales alcanzados por programas de prevención del VIH - paquete definido de servicios</v>
      </c>
      <c r="D827" s="796" t="str">
        <f ca="1">R827</f>
        <v>Edad</v>
      </c>
      <c r="E827" s="796" t="str">
        <f ca="1">S827</f>
        <v>25+</v>
      </c>
      <c r="F827" s="418">
        <v>1599</v>
      </c>
      <c r="G827" s="810" t="str">
        <f ca="1">IF(OR(INDIRECT("'update Helper'!E"&amp;U827)="",F827&lt;&gt;0,F828&lt;&gt;0),IF(IFERROR((F827/F828),"")="","",(F827/F828)),INDIRECT("'update Helper'!E"&amp;U827)/100)</f>
        <v/>
      </c>
      <c r="H827" s="804">
        <v>2021</v>
      </c>
      <c r="I827" s="798"/>
      <c r="J827" s="777"/>
      <c r="K827" s="795" t="str">
        <f ca="1">W827</f>
        <v>KP-1c⁽ᴹ⁾ Percentage of sex workers reached with HIV prevention programs - defined package of services</v>
      </c>
      <c r="L827" s="795" t="str">
        <f ca="1">V827</f>
        <v>Age</v>
      </c>
      <c r="M827" s="777"/>
      <c r="N827" s="777"/>
      <c r="P827" s="89">
        <f ca="1">IF(AND(EXACT(C827,C825),C825&lt;&gt;0),P825+1,0)</f>
        <v>3</v>
      </c>
      <c r="Q827" s="89" t="str">
        <f ca="1">IF(C827&lt;&gt;"",C827&amp;"-"&amp;P827,"")</f>
        <v>KP-1c⁽ᴹ⁾ Porcentaje de trabajadores sexuales alcanzados por programas de prevención del VIH - paquete definido de servicios-3</v>
      </c>
      <c r="R827" s="89" t="str">
        <f t="array" aca="1" ref="R827" ca="1">IFERROR(IF(INDEX('Disaggregation Records'!$E$155:$E$385,MATCH(RIGHT(Q827,255),RIGHT('Disaggregation Records'!$D$155:$D$385,255),0))="","",INDEX('Disaggregation Records'!$E$155:$E$385,MATCH(RIGHT(Q827,255),RIGHT('Disaggregation Records'!$D$155:$D$385,255),0))),"")</f>
        <v>Edad</v>
      </c>
      <c r="S827" s="89" t="str">
        <f t="array" aca="1" ref="S827" ca="1">IFERROR(IF(INDEX('Disaggregation Records'!$F$155:$F$385,MATCH(RIGHT(Q827,255),RIGHT('Disaggregation Records'!$D$155:$D$385,255),0))="","",INDEX('Disaggregation Records'!$F$155:$F$385,MATCH(RIGHT(Q827,255),RIGHT('Disaggregation Records'!$D$155:$D$385,255),0))),"")</f>
        <v>25+</v>
      </c>
      <c r="T827" s="89" t="str">
        <f t="array" aca="1" ref="T827" ca="1">IFERROR(IF(INDEX('Disaggregation Records'!$H$155:$H$385,MATCH(RIGHT(Q827,255),RIGHT('Disaggregation Records'!$D$155:$D$385,255),0))="","",INDEX('Disaggregation Records'!$H$155:$H$385,MATCH(RIGHT(Q827,255),RIGHT('Disaggregation Records'!$D$155:$D$385,255),0))),"")</f>
        <v>IDR-00704</v>
      </c>
      <c r="U827" s="89">
        <f>U825+1</f>
        <v>1523</v>
      </c>
      <c r="V827" s="89" t="str">
        <f t="array" aca="1" ref="V827" ca="1">IFERROR(IF(INDEX('Disaggregation Records'!$I$155:$I$385,MATCH(RIGHT(Q827,255),RIGHT('Disaggregation Records'!$D$155:$D$385,255),0))="","",INDEX('Disaggregation Records'!$I$155:$I$385,MATCH(RIGHT(Q827,255),RIGHT('Disaggregation Records'!$D$155:$D$385,255),0))),"")</f>
        <v>Age</v>
      </c>
      <c r="W827" s="89" t="str">
        <f ca="1">IFERROR(INDEX('Reference Records'!L$77:L$157,MATCH(LEFT(C827,255),'Reference Records'!E$77:E$157,0)),"")</f>
        <v>KP-1c⁽ᴹ⁾ Percentage of sex workers reached with HIV prevention programs - defined package of services</v>
      </c>
    </row>
    <row r="828" spans="1:23" s="89" customFormat="1" ht="40.35" customHeight="1">
      <c r="A828" s="564"/>
      <c r="B828" s="799"/>
      <c r="C828" s="800"/>
      <c r="D828" s="801"/>
      <c r="E828" s="801"/>
      <c r="F828" s="425"/>
      <c r="G828" s="811"/>
      <c r="H828" s="805"/>
      <c r="I828" s="803"/>
      <c r="J828" s="779"/>
      <c r="K828" s="800"/>
      <c r="L828" s="800"/>
      <c r="M828" s="779"/>
      <c r="N828" s="779"/>
    </row>
    <row r="829" spans="1:23" s="89" customFormat="1" ht="40.35" customHeight="1">
      <c r="A829" s="564" t="str">
        <f ca="1">INDIRECT("'update Helper'!C"&amp;U829)</f>
        <v>a163p000004VjmNAAS</v>
      </c>
      <c r="B829" s="794">
        <v>6</v>
      </c>
      <c r="C829" s="795" t="str">
        <f ca="1">VLOOKUP(B829,'Coverage Indicators - Section D'!$A$9:$AU$70,47,FALSE)</f>
        <v>KP-1c⁽ᴹ⁾ Porcentaje de trabajadores sexuales alcanzados por programas de prevención del VIH - paquete definido de servicios</v>
      </c>
      <c r="D829" s="796" t="str">
        <f ca="1">R829</f>
        <v>Edad</v>
      </c>
      <c r="E829" s="796" t="str">
        <f ca="1">S829</f>
        <v>&lt;25</v>
      </c>
      <c r="F829" s="418">
        <v>446</v>
      </c>
      <c r="G829" s="810" t="str">
        <f ca="1">IF(OR(INDIRECT("'update Helper'!E"&amp;U829)="",F829&lt;&gt;0,F830&lt;&gt;0),IF(IFERROR((F829/F830),"")="","",(F829/F830)),INDIRECT("'update Helper'!E"&amp;U829)/100)</f>
        <v/>
      </c>
      <c r="H829" s="804">
        <v>2021</v>
      </c>
      <c r="I829" s="798"/>
      <c r="J829" s="777"/>
      <c r="K829" s="795" t="str">
        <f ca="1">W829</f>
        <v>KP-1c⁽ᴹ⁾ Percentage of sex workers reached with HIV prevention programs - defined package of services</v>
      </c>
      <c r="L829" s="795" t="str">
        <f ca="1">V829</f>
        <v>Age</v>
      </c>
      <c r="M829" s="777"/>
      <c r="N829" s="777"/>
      <c r="P829" s="89">
        <f ca="1">IF(AND(EXACT(C829,C827),C827&lt;&gt;0),P827+1,0)</f>
        <v>4</v>
      </c>
      <c r="Q829" s="89" t="str">
        <f ca="1">IF(C829&lt;&gt;"",C829&amp;"-"&amp;P829,"")</f>
        <v>KP-1c⁽ᴹ⁾ Porcentaje de trabajadores sexuales alcanzados por programas de prevención del VIH - paquete definido de servicios-4</v>
      </c>
      <c r="R829" s="89" t="str">
        <f t="array" aca="1" ref="R829" ca="1">IFERROR(IF(INDEX('Disaggregation Records'!$E$155:$E$385,MATCH(RIGHT(Q829,255),RIGHT('Disaggregation Records'!$D$155:$D$385,255),0))="","",INDEX('Disaggregation Records'!$E$155:$E$385,MATCH(RIGHT(Q829,255),RIGHT('Disaggregation Records'!$D$155:$D$385,255),0))),"")</f>
        <v>Edad</v>
      </c>
      <c r="S829" s="89" t="str">
        <f t="array" aca="1" ref="S829" ca="1">IFERROR(IF(INDEX('Disaggregation Records'!$F$155:$F$385,MATCH(RIGHT(Q829,255),RIGHT('Disaggregation Records'!$D$155:$D$385,255),0))="","",INDEX('Disaggregation Records'!$F$155:$F$385,MATCH(RIGHT(Q829,255),RIGHT('Disaggregation Records'!$D$155:$D$385,255),0))),"")</f>
        <v>&lt;25</v>
      </c>
      <c r="T829" s="89" t="str">
        <f t="array" aca="1" ref="T829" ca="1">IFERROR(IF(INDEX('Disaggregation Records'!$H$155:$H$385,MATCH(RIGHT(Q829,255),RIGHT('Disaggregation Records'!$D$155:$D$385,255),0))="","",INDEX('Disaggregation Records'!$H$155:$H$385,MATCH(RIGHT(Q829,255),RIGHT('Disaggregation Records'!$D$155:$D$385,255),0))),"")</f>
        <v>IDR-00703</v>
      </c>
      <c r="U829" s="89">
        <f>U827+1</f>
        <v>1524</v>
      </c>
      <c r="V829" s="89" t="str">
        <f t="array" aca="1" ref="V829" ca="1">IFERROR(IF(INDEX('Disaggregation Records'!$I$155:$I$385,MATCH(RIGHT(Q829,255),RIGHT('Disaggregation Records'!$D$155:$D$385,255),0))="","",INDEX('Disaggregation Records'!$I$155:$I$385,MATCH(RIGHT(Q829,255),RIGHT('Disaggregation Records'!$D$155:$D$385,255),0))),"")</f>
        <v>Age</v>
      </c>
      <c r="W829" s="89" t="str">
        <f ca="1">IFERROR(INDEX('Reference Records'!L$77:L$157,MATCH(LEFT(C829,255),'Reference Records'!E$77:E$157,0)),"")</f>
        <v>KP-1c⁽ᴹ⁾ Percentage of sex workers reached with HIV prevention programs - defined package of services</v>
      </c>
    </row>
    <row r="830" spans="1:23" s="89" customFormat="1" ht="40.35" customHeight="1">
      <c r="A830" s="564"/>
      <c r="B830" s="799"/>
      <c r="C830" s="800"/>
      <c r="D830" s="801"/>
      <c r="E830" s="801"/>
      <c r="F830" s="425"/>
      <c r="G830" s="811"/>
      <c r="H830" s="805"/>
      <c r="I830" s="803"/>
      <c r="J830" s="779"/>
      <c r="K830" s="800"/>
      <c r="L830" s="800"/>
      <c r="M830" s="779"/>
      <c r="N830" s="779"/>
    </row>
    <row r="831" spans="1:23" s="89" customFormat="1" ht="40.35" customHeight="1">
      <c r="A831" s="564" t="str">
        <f ca="1">INDIRECT("'update Helper'!C"&amp;U831)</f>
        <v>a163p000004VjmOAAS</v>
      </c>
      <c r="B831" s="794">
        <v>6</v>
      </c>
      <c r="C831" s="795" t="str">
        <f ca="1">VLOOKUP(B831,'Coverage Indicators - Section D'!$A$9:$AU$70,47,FALSE)</f>
        <v>KP-1c⁽ᴹ⁾ Porcentaje de trabajadores sexuales alcanzados por programas de prevención del VIH - paquete definido de servicios</v>
      </c>
      <c r="D831" s="796" t="str">
        <f ca="1">R831</f>
        <v/>
      </c>
      <c r="E831" s="796" t="str">
        <f ca="1">S831</f>
        <v/>
      </c>
      <c r="F831" s="127"/>
      <c r="G831" s="797" t="str">
        <f ca="1">IF(OR(INDIRECT("'update Helper'!E"&amp;U831)="",F831&lt;&gt;0,F832&lt;&gt;0),IF(IFERROR((F831/F832),"")="","",(F831/F832)),INDIRECT("'update Helper'!E"&amp;U831)/100)</f>
        <v/>
      </c>
      <c r="H831" s="784"/>
      <c r="I831" s="798"/>
      <c r="J831" s="777"/>
      <c r="K831" s="795" t="str">
        <f ca="1">W831</f>
        <v>KP-1c⁽ᴹ⁾ Percentage of sex workers reached with HIV prevention programs - defined package of services</v>
      </c>
      <c r="L831" s="795" t="str">
        <f ca="1">V831</f>
        <v/>
      </c>
      <c r="M831" s="777"/>
      <c r="N831" s="777"/>
      <c r="P831" s="89">
        <f ca="1">IF(AND(EXACT(C831,C829),C829&lt;&gt;0),P829+1,0)</f>
        <v>5</v>
      </c>
      <c r="Q831" s="89" t="str">
        <f ca="1">IF(C831&lt;&gt;"",C831&amp;"-"&amp;P831,"")</f>
        <v>KP-1c⁽ᴹ⁾ Porcentaje de trabajadores sexuales alcanzados por programas de prevención del VIH - paquete definido de servicios-5</v>
      </c>
      <c r="R831" s="89" t="str">
        <f t="array" aca="1" ref="R831" ca="1">IFERROR(IF(INDEX('Disaggregation Records'!$E$155:$E$385,MATCH(RIGHT(Q831,255),RIGHT('Disaggregation Records'!$D$155:$D$385,255),0))="","",INDEX('Disaggregation Records'!$E$155:$E$385,MATCH(RIGHT(Q831,255),RIGHT('Disaggregation Records'!$D$155:$D$385,255),0))),"")</f>
        <v/>
      </c>
      <c r="S831" s="89" t="str">
        <f t="array" aca="1" ref="S831" ca="1">IFERROR(IF(INDEX('Disaggregation Records'!$F$155:$F$385,MATCH(RIGHT(Q831,255),RIGHT('Disaggregation Records'!$D$155:$D$385,255),0))="","",INDEX('Disaggregation Records'!$F$155:$F$385,MATCH(RIGHT(Q831,255),RIGHT('Disaggregation Records'!$D$155:$D$385,255),0))),"")</f>
        <v/>
      </c>
      <c r="T831" s="89" t="str">
        <f t="array" aca="1" ref="T831" ca="1">IFERROR(IF(INDEX('Disaggregation Records'!$H$155:$H$385,MATCH(RIGHT(Q831,255),RIGHT('Disaggregation Records'!$D$155:$D$385,255),0))="","",INDEX('Disaggregation Records'!$H$155:$H$385,MATCH(RIGHT(Q831,255),RIGHT('Disaggregation Records'!$D$155:$D$385,255),0))),"")</f>
        <v/>
      </c>
      <c r="U831" s="89">
        <f>U829+1</f>
        <v>1525</v>
      </c>
      <c r="V831" s="89" t="str">
        <f t="array" aca="1" ref="V831" ca="1">IFERROR(IF(INDEX('Disaggregation Records'!$I$155:$I$385,MATCH(RIGHT(Q831,255),RIGHT('Disaggregation Records'!$D$155:$D$385,255),0))="","",INDEX('Disaggregation Records'!$I$155:$I$385,MATCH(RIGHT(Q831,255),RIGHT('Disaggregation Records'!$D$155:$D$385,255),0))),"")</f>
        <v/>
      </c>
      <c r="W831" s="89" t="str">
        <f ca="1">IFERROR(INDEX('Reference Records'!L$77:L$157,MATCH(LEFT(C831,255),'Reference Records'!E$77:E$157,0)),"")</f>
        <v>KP-1c⁽ᴹ⁾ Percentage of sex workers reached with HIV prevention programs - defined package of services</v>
      </c>
    </row>
    <row r="832" spans="1:23" s="89" customFormat="1" ht="40.35" customHeight="1">
      <c r="A832" s="564"/>
      <c r="B832" s="799"/>
      <c r="C832" s="800"/>
      <c r="D832" s="801"/>
      <c r="E832" s="801"/>
      <c r="F832" s="128"/>
      <c r="G832" s="802"/>
      <c r="H832" s="781"/>
      <c r="I832" s="803"/>
      <c r="J832" s="779"/>
      <c r="K832" s="800"/>
      <c r="L832" s="800"/>
      <c r="M832" s="779"/>
      <c r="N832" s="779"/>
    </row>
    <row r="833" spans="1:23" s="89" customFormat="1" ht="40.35" customHeight="1">
      <c r="A833" s="564" t="str">
        <f ca="1">INDIRECT("'update Helper'!C"&amp;U833)</f>
        <v>a163p000004VjmPAAS</v>
      </c>
      <c r="B833" s="794">
        <v>6</v>
      </c>
      <c r="C833" s="795" t="str">
        <f ca="1">VLOOKUP(B833,'Coverage Indicators - Section D'!$A$9:$AU$70,47,FALSE)</f>
        <v>KP-1c⁽ᴹ⁾ Porcentaje de trabajadores sexuales alcanzados por programas de prevención del VIH - paquete definido de servicios</v>
      </c>
      <c r="D833" s="796" t="str">
        <f ca="1">R833</f>
        <v/>
      </c>
      <c r="E833" s="796" t="str">
        <f ca="1">S833</f>
        <v/>
      </c>
      <c r="F833" s="127"/>
      <c r="G833" s="797" t="str">
        <f ca="1">IF(OR(INDIRECT("'update Helper'!E"&amp;U833)="",F833&lt;&gt;0,F834&lt;&gt;0),IF(IFERROR((F833/F834),"")="","",(F833/F834)),INDIRECT("'update Helper'!E"&amp;U833)/100)</f>
        <v/>
      </c>
      <c r="H833" s="784"/>
      <c r="I833" s="798"/>
      <c r="J833" s="777"/>
      <c r="K833" s="795" t="str">
        <f ca="1">W833</f>
        <v>KP-1c⁽ᴹ⁾ Percentage of sex workers reached with HIV prevention programs - defined package of services</v>
      </c>
      <c r="L833" s="795" t="str">
        <f ca="1">V833</f>
        <v/>
      </c>
      <c r="M833" s="777"/>
      <c r="N833" s="777"/>
      <c r="P833" s="89">
        <f ca="1">IF(AND(EXACT(C833,C831),C831&lt;&gt;0),P831+1,0)</f>
        <v>6</v>
      </c>
      <c r="Q833" s="89" t="str">
        <f ca="1">IF(C833&lt;&gt;"",C833&amp;"-"&amp;P833,"")</f>
        <v>KP-1c⁽ᴹ⁾ Porcentaje de trabajadores sexuales alcanzados por programas de prevención del VIH - paquete definido de servicios-6</v>
      </c>
      <c r="R833" s="89" t="str">
        <f t="array" aca="1" ref="R833" ca="1">IFERROR(IF(INDEX('Disaggregation Records'!$E$155:$E$385,MATCH(RIGHT(Q833,255),RIGHT('Disaggregation Records'!$D$155:$D$385,255),0))="","",INDEX('Disaggregation Records'!$E$155:$E$385,MATCH(RIGHT(Q833,255),RIGHT('Disaggregation Records'!$D$155:$D$385,255),0))),"")</f>
        <v/>
      </c>
      <c r="S833" s="89" t="str">
        <f t="array" aca="1" ref="S833" ca="1">IFERROR(IF(INDEX('Disaggregation Records'!$F$155:$F$385,MATCH(RIGHT(Q833,255),RIGHT('Disaggregation Records'!$D$155:$D$385,255),0))="","",INDEX('Disaggregation Records'!$F$155:$F$385,MATCH(RIGHT(Q833,255),RIGHT('Disaggregation Records'!$D$155:$D$385,255),0))),"")</f>
        <v/>
      </c>
      <c r="T833" s="89" t="str">
        <f t="array" aca="1" ref="T833" ca="1">IFERROR(IF(INDEX('Disaggregation Records'!$H$155:$H$385,MATCH(RIGHT(Q833,255),RIGHT('Disaggregation Records'!$D$155:$D$385,255),0))="","",INDEX('Disaggregation Records'!$H$155:$H$385,MATCH(RIGHT(Q833,255),RIGHT('Disaggregation Records'!$D$155:$D$385,255),0))),"")</f>
        <v/>
      </c>
      <c r="U833" s="89">
        <f>U831+1</f>
        <v>1526</v>
      </c>
      <c r="V833" s="89" t="str">
        <f t="array" aca="1" ref="V833" ca="1">IFERROR(IF(INDEX('Disaggregation Records'!$I$155:$I$385,MATCH(RIGHT(Q833,255),RIGHT('Disaggregation Records'!$D$155:$D$385,255),0))="","",INDEX('Disaggregation Records'!$I$155:$I$385,MATCH(RIGHT(Q833,255),RIGHT('Disaggregation Records'!$D$155:$D$385,255),0))),"")</f>
        <v/>
      </c>
      <c r="W833" s="89" t="str">
        <f ca="1">IFERROR(INDEX('Reference Records'!L$77:L$157,MATCH(LEFT(C833,255),'Reference Records'!E$77:E$157,0)),"")</f>
        <v>KP-1c⁽ᴹ⁾ Percentage of sex workers reached with HIV prevention programs - defined package of services</v>
      </c>
    </row>
    <row r="834" spans="1:23" s="89" customFormat="1" ht="40.35" customHeight="1">
      <c r="A834" s="564"/>
      <c r="B834" s="799"/>
      <c r="C834" s="800"/>
      <c r="D834" s="801"/>
      <c r="E834" s="801"/>
      <c r="F834" s="128"/>
      <c r="G834" s="802"/>
      <c r="H834" s="781"/>
      <c r="I834" s="803"/>
      <c r="J834" s="779"/>
      <c r="K834" s="800"/>
      <c r="L834" s="800"/>
      <c r="M834" s="779"/>
      <c r="N834" s="779"/>
    </row>
    <row r="835" spans="1:23" s="89" customFormat="1" ht="40.35" customHeight="1">
      <c r="A835" s="564" t="str">
        <f ca="1">INDIRECT("'update Helper'!C"&amp;U835)</f>
        <v>a163p000004VjmQAAS</v>
      </c>
      <c r="B835" s="794">
        <v>6</v>
      </c>
      <c r="C835" s="795" t="str">
        <f ca="1">VLOOKUP(B835,'Coverage Indicators - Section D'!$A$9:$AU$70,47,FALSE)</f>
        <v>KP-1c⁽ᴹ⁾ Porcentaje de trabajadores sexuales alcanzados por programas de prevención del VIH - paquete definido de servicios</v>
      </c>
      <c r="D835" s="796" t="str">
        <f ca="1">R835</f>
        <v/>
      </c>
      <c r="E835" s="796" t="str">
        <f ca="1">S835</f>
        <v/>
      </c>
      <c r="F835" s="127"/>
      <c r="G835" s="797" t="str">
        <f ca="1">IF(OR(INDIRECT("'update Helper'!E"&amp;U835)="",F835&lt;&gt;0,F836&lt;&gt;0),IF(IFERROR((F835/F836),"")="","",(F835/F836)),INDIRECT("'update Helper'!E"&amp;U835)/100)</f>
        <v/>
      </c>
      <c r="H835" s="784"/>
      <c r="I835" s="798"/>
      <c r="J835" s="777"/>
      <c r="K835" s="795" t="str">
        <f ca="1">W835</f>
        <v>KP-1c⁽ᴹ⁾ Percentage of sex workers reached with HIV prevention programs - defined package of services</v>
      </c>
      <c r="L835" s="795" t="str">
        <f ca="1">V835</f>
        <v/>
      </c>
      <c r="M835" s="777"/>
      <c r="N835" s="777"/>
      <c r="P835" s="89">
        <f ca="1">IF(AND(EXACT(C835,C833),C833&lt;&gt;0),P833+1,0)</f>
        <v>7</v>
      </c>
      <c r="Q835" s="89" t="str">
        <f ca="1">IF(C835&lt;&gt;"",C835&amp;"-"&amp;P835,"")</f>
        <v>KP-1c⁽ᴹ⁾ Porcentaje de trabajadores sexuales alcanzados por programas de prevención del VIH - paquete definido de servicios-7</v>
      </c>
      <c r="R835" s="89" t="str">
        <f t="array" aca="1" ref="R835" ca="1">IFERROR(IF(INDEX('Disaggregation Records'!$E$155:$E$385,MATCH(RIGHT(Q835,255),RIGHT('Disaggregation Records'!$D$155:$D$385,255),0))="","",INDEX('Disaggregation Records'!$E$155:$E$385,MATCH(RIGHT(Q835,255),RIGHT('Disaggregation Records'!$D$155:$D$385,255),0))),"")</f>
        <v/>
      </c>
      <c r="S835" s="89" t="str">
        <f t="array" aca="1" ref="S835" ca="1">IFERROR(IF(INDEX('Disaggregation Records'!$F$155:$F$385,MATCH(RIGHT(Q835,255),RIGHT('Disaggregation Records'!$D$155:$D$385,255),0))="","",INDEX('Disaggregation Records'!$F$155:$F$385,MATCH(RIGHT(Q835,255),RIGHT('Disaggregation Records'!$D$155:$D$385,255),0))),"")</f>
        <v/>
      </c>
      <c r="T835" s="89" t="str">
        <f t="array" aca="1" ref="T835" ca="1">IFERROR(IF(INDEX('Disaggregation Records'!$H$155:$H$385,MATCH(RIGHT(Q835,255),RIGHT('Disaggregation Records'!$D$155:$D$385,255),0))="","",INDEX('Disaggregation Records'!$H$155:$H$385,MATCH(RIGHT(Q835,255),RIGHT('Disaggregation Records'!$D$155:$D$385,255),0))),"")</f>
        <v/>
      </c>
      <c r="U835" s="89">
        <f>U833+1</f>
        <v>1527</v>
      </c>
      <c r="V835" s="89" t="str">
        <f t="array" aca="1" ref="V835" ca="1">IFERROR(IF(INDEX('Disaggregation Records'!$I$155:$I$385,MATCH(RIGHT(Q835,255),RIGHT('Disaggregation Records'!$D$155:$D$385,255),0))="","",INDEX('Disaggregation Records'!$I$155:$I$385,MATCH(RIGHT(Q835,255),RIGHT('Disaggregation Records'!$D$155:$D$385,255),0))),"")</f>
        <v/>
      </c>
      <c r="W835" s="89" t="str">
        <f ca="1">IFERROR(INDEX('Reference Records'!L$77:L$157,MATCH(LEFT(C835,255),'Reference Records'!E$77:E$157,0)),"")</f>
        <v>KP-1c⁽ᴹ⁾ Percentage of sex workers reached with HIV prevention programs - defined package of services</v>
      </c>
    </row>
    <row r="836" spans="1:23" s="89" customFormat="1" ht="40.35" customHeight="1">
      <c r="A836" s="564"/>
      <c r="B836" s="799"/>
      <c r="C836" s="800"/>
      <c r="D836" s="801"/>
      <c r="E836" s="801"/>
      <c r="F836" s="128"/>
      <c r="G836" s="802"/>
      <c r="H836" s="781"/>
      <c r="I836" s="803"/>
      <c r="J836" s="779"/>
      <c r="K836" s="800"/>
      <c r="L836" s="800"/>
      <c r="M836" s="779"/>
      <c r="N836" s="779"/>
    </row>
    <row r="837" spans="1:23" s="89" customFormat="1" ht="40.35" customHeight="1">
      <c r="A837" s="564" t="str">
        <f ca="1">INDIRECT("'update Helper'!C"&amp;U837)</f>
        <v>a163p000004VjmRAAS</v>
      </c>
      <c r="B837" s="794">
        <v>6</v>
      </c>
      <c r="C837" s="795" t="str">
        <f ca="1">VLOOKUP(B837,'Coverage Indicators - Section D'!$A$9:$AU$70,47,FALSE)</f>
        <v>KP-1c⁽ᴹ⁾ Porcentaje de trabajadores sexuales alcanzados por programas de prevención del VIH - paquete definido de servicios</v>
      </c>
      <c r="D837" s="796" t="str">
        <f ca="1">R837</f>
        <v/>
      </c>
      <c r="E837" s="796" t="str">
        <f ca="1">S837</f>
        <v/>
      </c>
      <c r="F837" s="127"/>
      <c r="G837" s="797" t="str">
        <f ca="1">IF(OR(INDIRECT("'update Helper'!E"&amp;U837)="",F837&lt;&gt;0,F838&lt;&gt;0),IF(IFERROR((F837/F838),"")="","",(F837/F838)),INDIRECT("'update Helper'!E"&amp;U837)/100)</f>
        <v/>
      </c>
      <c r="H837" s="784"/>
      <c r="I837" s="798"/>
      <c r="J837" s="777"/>
      <c r="K837" s="795" t="str">
        <f ca="1">W837</f>
        <v>KP-1c⁽ᴹ⁾ Percentage of sex workers reached with HIV prevention programs - defined package of services</v>
      </c>
      <c r="L837" s="795" t="str">
        <f ca="1">V837</f>
        <v/>
      </c>
      <c r="M837" s="777"/>
      <c r="N837" s="777"/>
      <c r="P837" s="89">
        <f ca="1">IF(AND(EXACT(C837,C835),C835&lt;&gt;0),P835+1,0)</f>
        <v>8</v>
      </c>
      <c r="Q837" s="89" t="str">
        <f ca="1">IF(C837&lt;&gt;"",C837&amp;"-"&amp;P837,"")</f>
        <v>KP-1c⁽ᴹ⁾ Porcentaje de trabajadores sexuales alcanzados por programas de prevención del VIH - paquete definido de servicios-8</v>
      </c>
      <c r="R837" s="89" t="str">
        <f t="array" aca="1" ref="R837" ca="1">IFERROR(IF(INDEX('Disaggregation Records'!$E$155:$E$385,MATCH(RIGHT(Q837,255),RIGHT('Disaggregation Records'!$D$155:$D$385,255),0))="","",INDEX('Disaggregation Records'!$E$155:$E$385,MATCH(RIGHT(Q837,255),RIGHT('Disaggregation Records'!$D$155:$D$385,255),0))),"")</f>
        <v/>
      </c>
      <c r="S837" s="89" t="str">
        <f t="array" aca="1" ref="S837" ca="1">IFERROR(IF(INDEX('Disaggregation Records'!$F$155:$F$385,MATCH(RIGHT(Q837,255),RIGHT('Disaggregation Records'!$D$155:$D$385,255),0))="","",INDEX('Disaggregation Records'!$F$155:$F$385,MATCH(RIGHT(Q837,255),RIGHT('Disaggregation Records'!$D$155:$D$385,255),0))),"")</f>
        <v/>
      </c>
      <c r="T837" s="89" t="str">
        <f t="array" aca="1" ref="T837" ca="1">IFERROR(IF(INDEX('Disaggregation Records'!$H$155:$H$385,MATCH(RIGHT(Q837,255),RIGHT('Disaggregation Records'!$D$155:$D$385,255),0))="","",INDEX('Disaggregation Records'!$H$155:$H$385,MATCH(RIGHT(Q837,255),RIGHT('Disaggregation Records'!$D$155:$D$385,255),0))),"")</f>
        <v/>
      </c>
      <c r="U837" s="89">
        <f>U835+1</f>
        <v>1528</v>
      </c>
      <c r="V837" s="89" t="str">
        <f t="array" aca="1" ref="V837" ca="1">IFERROR(IF(INDEX('Disaggregation Records'!$I$155:$I$385,MATCH(RIGHT(Q837,255),RIGHT('Disaggregation Records'!$D$155:$D$385,255),0))="","",INDEX('Disaggregation Records'!$I$155:$I$385,MATCH(RIGHT(Q837,255),RIGHT('Disaggregation Records'!$D$155:$D$385,255),0))),"")</f>
        <v/>
      </c>
      <c r="W837" s="89" t="str">
        <f ca="1">IFERROR(INDEX('Reference Records'!L$77:L$157,MATCH(LEFT(C837,255),'Reference Records'!E$77:E$157,0)),"")</f>
        <v>KP-1c⁽ᴹ⁾ Percentage of sex workers reached with HIV prevention programs - defined package of services</v>
      </c>
    </row>
    <row r="838" spans="1:23" s="89" customFormat="1" ht="40.35" customHeight="1">
      <c r="A838" s="564"/>
      <c r="B838" s="799"/>
      <c r="C838" s="800"/>
      <c r="D838" s="801"/>
      <c r="E838" s="801"/>
      <c r="F838" s="128"/>
      <c r="G838" s="802"/>
      <c r="H838" s="781"/>
      <c r="I838" s="803"/>
      <c r="J838" s="779"/>
      <c r="K838" s="800"/>
      <c r="L838" s="800"/>
      <c r="M838" s="779"/>
      <c r="N838" s="779"/>
    </row>
    <row r="839" spans="1:23" s="89" customFormat="1" ht="40.35" customHeight="1">
      <c r="A839" s="564" t="str">
        <f ca="1">INDIRECT("'update Helper'!C"&amp;U839)</f>
        <v>a163p000004VjmSAAS</v>
      </c>
      <c r="B839" s="794">
        <v>6</v>
      </c>
      <c r="C839" s="795" t="str">
        <f ca="1">VLOOKUP(B839,'Coverage Indicators - Section D'!$A$9:$AU$70,47,FALSE)</f>
        <v>KP-1c⁽ᴹ⁾ Porcentaje de trabajadores sexuales alcanzados por programas de prevención del VIH - paquete definido de servicios</v>
      </c>
      <c r="D839" s="796" t="str">
        <f ca="1">R839</f>
        <v/>
      </c>
      <c r="E839" s="796" t="str">
        <f ca="1">S839</f>
        <v/>
      </c>
      <c r="F839" s="127"/>
      <c r="G839" s="797" t="str">
        <f ca="1">IF(OR(INDIRECT("'update Helper'!E"&amp;U839)="",F839&lt;&gt;0,F840&lt;&gt;0),IF(IFERROR((F839/F840),"")="","",(F839/F840)),INDIRECT("'update Helper'!E"&amp;U839)/100)</f>
        <v/>
      </c>
      <c r="H839" s="784"/>
      <c r="I839" s="798"/>
      <c r="J839" s="777"/>
      <c r="K839" s="795" t="str">
        <f ca="1">W839</f>
        <v>KP-1c⁽ᴹ⁾ Percentage of sex workers reached with HIV prevention programs - defined package of services</v>
      </c>
      <c r="L839" s="795" t="str">
        <f ca="1">V839</f>
        <v/>
      </c>
      <c r="M839" s="777"/>
      <c r="N839" s="777"/>
      <c r="P839" s="89">
        <f ca="1">IF(AND(EXACT(C839,C837),C837&lt;&gt;0),P837+1,0)</f>
        <v>9</v>
      </c>
      <c r="Q839" s="89" t="str">
        <f ca="1">IF(C839&lt;&gt;"",C839&amp;"-"&amp;P839,"")</f>
        <v>KP-1c⁽ᴹ⁾ Porcentaje de trabajadores sexuales alcanzados por programas de prevención del VIH - paquete definido de servicios-9</v>
      </c>
      <c r="R839" s="89" t="str">
        <f t="array" aca="1" ref="R839" ca="1">IFERROR(IF(INDEX('Disaggregation Records'!$E$155:$E$385,MATCH(RIGHT(Q839,255),RIGHT('Disaggregation Records'!$D$155:$D$385,255),0))="","",INDEX('Disaggregation Records'!$E$155:$E$385,MATCH(RIGHT(Q839,255),RIGHT('Disaggregation Records'!$D$155:$D$385,255),0))),"")</f>
        <v/>
      </c>
      <c r="S839" s="89" t="str">
        <f t="array" aca="1" ref="S839" ca="1">IFERROR(IF(INDEX('Disaggregation Records'!$F$155:$F$385,MATCH(RIGHT(Q839,255),RIGHT('Disaggregation Records'!$D$155:$D$385,255),0))="","",INDEX('Disaggregation Records'!$F$155:$F$385,MATCH(RIGHT(Q839,255),RIGHT('Disaggregation Records'!$D$155:$D$385,255),0))),"")</f>
        <v/>
      </c>
      <c r="T839" s="89" t="str">
        <f t="array" aca="1" ref="T839" ca="1">IFERROR(IF(INDEX('Disaggregation Records'!$H$155:$H$385,MATCH(RIGHT(Q839,255),RIGHT('Disaggregation Records'!$D$155:$D$385,255),0))="","",INDEX('Disaggregation Records'!$H$155:$H$385,MATCH(RIGHT(Q839,255),RIGHT('Disaggregation Records'!$D$155:$D$385,255),0))),"")</f>
        <v/>
      </c>
      <c r="U839" s="89">
        <f>U837+1</f>
        <v>1529</v>
      </c>
      <c r="V839" s="89" t="str">
        <f t="array" aca="1" ref="V839" ca="1">IFERROR(IF(INDEX('Disaggregation Records'!$I$155:$I$385,MATCH(RIGHT(Q839,255),RIGHT('Disaggregation Records'!$D$155:$D$385,255),0))="","",INDEX('Disaggregation Records'!$I$155:$I$385,MATCH(RIGHT(Q839,255),RIGHT('Disaggregation Records'!$D$155:$D$385,255),0))),"")</f>
        <v/>
      </c>
      <c r="W839" s="89" t="str">
        <f ca="1">IFERROR(INDEX('Reference Records'!L$77:L$157,MATCH(LEFT(C839,255),'Reference Records'!E$77:E$157,0)),"")</f>
        <v>KP-1c⁽ᴹ⁾ Percentage of sex workers reached with HIV prevention programs - defined package of services</v>
      </c>
    </row>
    <row r="840" spans="1:23" s="89" customFormat="1" ht="40.35" customHeight="1">
      <c r="A840" s="564"/>
      <c r="B840" s="799"/>
      <c r="C840" s="800"/>
      <c r="D840" s="801"/>
      <c r="E840" s="801"/>
      <c r="F840" s="128"/>
      <c r="G840" s="802"/>
      <c r="H840" s="781"/>
      <c r="I840" s="803"/>
      <c r="J840" s="779"/>
      <c r="K840" s="800"/>
      <c r="L840" s="800"/>
      <c r="M840" s="779"/>
      <c r="N840" s="779"/>
    </row>
    <row r="841" spans="1:23" s="89" customFormat="1" ht="40.35" customHeight="1">
      <c r="A841" s="564" t="str">
        <f ca="1">INDIRECT("'update Helper'!C"&amp;U841)</f>
        <v>a163p000004VjmTAAS</v>
      </c>
      <c r="B841" s="794">
        <v>6</v>
      </c>
      <c r="C841" s="795" t="str">
        <f ca="1">VLOOKUP(B841,'Coverage Indicators - Section D'!$A$9:$AU$70,47,FALSE)</f>
        <v>KP-1c⁽ᴹ⁾ Porcentaje de trabajadores sexuales alcanzados por programas de prevención del VIH - paquete definido de servicios</v>
      </c>
      <c r="D841" s="796" t="str">
        <f ca="1">R841</f>
        <v/>
      </c>
      <c r="E841" s="796" t="str">
        <f ca="1">S841</f>
        <v/>
      </c>
      <c r="F841" s="127"/>
      <c r="G841" s="797" t="str">
        <f ca="1">IF(OR(INDIRECT("'update Helper'!E"&amp;U841)="",F841&lt;&gt;0,F842&lt;&gt;0),IF(IFERROR((F841/F842),"")="","",(F841/F842)),INDIRECT("'update Helper'!E"&amp;U841)/100)</f>
        <v/>
      </c>
      <c r="H841" s="784"/>
      <c r="I841" s="798"/>
      <c r="J841" s="777"/>
      <c r="K841" s="795" t="str">
        <f ca="1">W841</f>
        <v>KP-1c⁽ᴹ⁾ Percentage of sex workers reached with HIV prevention programs - defined package of services</v>
      </c>
      <c r="L841" s="795" t="str">
        <f ca="1">V841</f>
        <v/>
      </c>
      <c r="M841" s="777"/>
      <c r="N841" s="777"/>
      <c r="P841" s="89">
        <f ca="1">IF(AND(EXACT(C841,C839),C839&lt;&gt;0),P839+1,0)</f>
        <v>10</v>
      </c>
      <c r="Q841" s="89" t="str">
        <f ca="1">IF(C841&lt;&gt;"",C841&amp;"-"&amp;P841,"")</f>
        <v>KP-1c⁽ᴹ⁾ Porcentaje de trabajadores sexuales alcanzados por programas de prevención del VIH - paquete definido de servicios-10</v>
      </c>
      <c r="R841" s="89" t="str">
        <f t="array" aca="1" ref="R841" ca="1">IFERROR(IF(INDEX('Disaggregation Records'!$E$155:$E$385,MATCH(RIGHT(Q841,255),RIGHT('Disaggregation Records'!$D$155:$D$385,255),0))="","",INDEX('Disaggregation Records'!$E$155:$E$385,MATCH(RIGHT(Q841,255),RIGHT('Disaggregation Records'!$D$155:$D$385,255),0))),"")</f>
        <v/>
      </c>
      <c r="S841" s="89" t="str">
        <f t="array" aca="1" ref="S841" ca="1">IFERROR(IF(INDEX('Disaggregation Records'!$F$155:$F$385,MATCH(RIGHT(Q841,255),RIGHT('Disaggregation Records'!$D$155:$D$385,255),0))="","",INDEX('Disaggregation Records'!$F$155:$F$385,MATCH(RIGHT(Q841,255),RIGHT('Disaggregation Records'!$D$155:$D$385,255),0))),"")</f>
        <v/>
      </c>
      <c r="T841" s="89" t="str">
        <f t="array" aca="1" ref="T841" ca="1">IFERROR(IF(INDEX('Disaggregation Records'!$H$155:$H$385,MATCH(RIGHT(Q841,255),RIGHT('Disaggregation Records'!$D$155:$D$385,255),0))="","",INDEX('Disaggregation Records'!$H$155:$H$385,MATCH(RIGHT(Q841,255),RIGHT('Disaggregation Records'!$D$155:$D$385,255),0))),"")</f>
        <v/>
      </c>
      <c r="U841" s="89">
        <f>U839+1</f>
        <v>1530</v>
      </c>
      <c r="V841" s="89" t="str">
        <f t="array" aca="1" ref="V841" ca="1">IFERROR(IF(INDEX('Disaggregation Records'!$I$155:$I$385,MATCH(RIGHT(Q841,255),RIGHT('Disaggregation Records'!$D$155:$D$385,255),0))="","",INDEX('Disaggregation Records'!$I$155:$I$385,MATCH(RIGHT(Q841,255),RIGHT('Disaggregation Records'!$D$155:$D$385,255),0))),"")</f>
        <v/>
      </c>
      <c r="W841" s="89" t="str">
        <f ca="1">IFERROR(INDEX('Reference Records'!L$77:L$157,MATCH(LEFT(C841,255),'Reference Records'!E$77:E$157,0)),"")</f>
        <v>KP-1c⁽ᴹ⁾ Percentage of sex workers reached with HIV prevention programs - defined package of services</v>
      </c>
    </row>
    <row r="842" spans="1:23" s="89" customFormat="1" ht="40.35" customHeight="1">
      <c r="A842" s="564"/>
      <c r="B842" s="799"/>
      <c r="C842" s="800"/>
      <c r="D842" s="801"/>
      <c r="E842" s="801"/>
      <c r="F842" s="128"/>
      <c r="G842" s="802"/>
      <c r="H842" s="781"/>
      <c r="I842" s="803"/>
      <c r="J842" s="779"/>
      <c r="K842" s="800"/>
      <c r="L842" s="800"/>
      <c r="M842" s="779"/>
      <c r="N842" s="779"/>
    </row>
    <row r="843" spans="1:23" s="89" customFormat="1" ht="40.35" customHeight="1">
      <c r="A843" s="564" t="str">
        <f ca="1">INDIRECT("'update Helper'!C"&amp;U843)</f>
        <v>a163p000004VjmUAAS</v>
      </c>
      <c r="B843" s="794">
        <v>6</v>
      </c>
      <c r="C843" s="795" t="str">
        <f ca="1">VLOOKUP(B843,'Coverage Indicators - Section D'!$A$9:$AU$70,47,FALSE)</f>
        <v>KP-1c⁽ᴹ⁾ Porcentaje de trabajadores sexuales alcanzados por programas de prevención del VIH - paquete definido de servicios</v>
      </c>
      <c r="D843" s="796" t="str">
        <f ca="1">R843</f>
        <v/>
      </c>
      <c r="E843" s="796" t="str">
        <f ca="1">S843</f>
        <v/>
      </c>
      <c r="F843" s="127"/>
      <c r="G843" s="797" t="str">
        <f ca="1">IF(OR(INDIRECT("'update Helper'!E"&amp;U843)="",F843&lt;&gt;0,F844&lt;&gt;0),IF(IFERROR((F843/F844),"")="","",(F843/F844)),INDIRECT("'update Helper'!E"&amp;U843)/100)</f>
        <v/>
      </c>
      <c r="H843" s="784"/>
      <c r="I843" s="798"/>
      <c r="J843" s="777"/>
      <c r="K843" s="795" t="str">
        <f ca="1">W843</f>
        <v>KP-1c⁽ᴹ⁾ Percentage of sex workers reached with HIV prevention programs - defined package of services</v>
      </c>
      <c r="L843" s="795" t="str">
        <f ca="1">V843</f>
        <v/>
      </c>
      <c r="M843" s="777"/>
      <c r="N843" s="777"/>
      <c r="P843" s="89">
        <f ca="1">IF(AND(EXACT(C843,C841),C841&lt;&gt;0),P841+1,0)</f>
        <v>11</v>
      </c>
      <c r="Q843" s="89" t="str">
        <f ca="1">IF(C843&lt;&gt;"",C843&amp;"-"&amp;P843,"")</f>
        <v>KP-1c⁽ᴹ⁾ Porcentaje de trabajadores sexuales alcanzados por programas de prevención del VIH - paquete definido de servicios-11</v>
      </c>
      <c r="R843" s="89" t="str">
        <f t="array" aca="1" ref="R843" ca="1">IFERROR(IF(INDEX('Disaggregation Records'!$E$155:$E$385,MATCH(RIGHT(Q843,255),RIGHT('Disaggregation Records'!$D$155:$D$385,255),0))="","",INDEX('Disaggregation Records'!$E$155:$E$385,MATCH(RIGHT(Q843,255),RIGHT('Disaggregation Records'!$D$155:$D$385,255),0))),"")</f>
        <v/>
      </c>
      <c r="S843" s="89" t="str">
        <f t="array" aca="1" ref="S843" ca="1">IFERROR(IF(INDEX('Disaggregation Records'!$F$155:$F$385,MATCH(RIGHT(Q843,255),RIGHT('Disaggregation Records'!$D$155:$D$385,255),0))="","",INDEX('Disaggregation Records'!$F$155:$F$385,MATCH(RIGHT(Q843,255),RIGHT('Disaggregation Records'!$D$155:$D$385,255),0))),"")</f>
        <v/>
      </c>
      <c r="T843" s="89" t="str">
        <f t="array" aca="1" ref="T843" ca="1">IFERROR(IF(INDEX('Disaggregation Records'!$H$155:$H$385,MATCH(RIGHT(Q843,255),RIGHT('Disaggregation Records'!$D$155:$D$385,255),0))="","",INDEX('Disaggregation Records'!$H$155:$H$385,MATCH(RIGHT(Q843,255),RIGHT('Disaggregation Records'!$D$155:$D$385,255),0))),"")</f>
        <v/>
      </c>
      <c r="U843" s="89">
        <f>U841+1</f>
        <v>1531</v>
      </c>
      <c r="V843" s="89" t="str">
        <f t="array" aca="1" ref="V843" ca="1">IFERROR(IF(INDEX('Disaggregation Records'!$I$155:$I$385,MATCH(RIGHT(Q843,255),RIGHT('Disaggregation Records'!$D$155:$D$385,255),0))="","",INDEX('Disaggregation Records'!$I$155:$I$385,MATCH(RIGHT(Q843,255),RIGHT('Disaggregation Records'!$D$155:$D$385,255),0))),"")</f>
        <v/>
      </c>
      <c r="W843" s="89" t="str">
        <f ca="1">IFERROR(INDEX('Reference Records'!L$77:L$157,MATCH(LEFT(C843,255),'Reference Records'!E$77:E$157,0)),"")</f>
        <v>KP-1c⁽ᴹ⁾ Percentage of sex workers reached with HIV prevention programs - defined package of services</v>
      </c>
    </row>
    <row r="844" spans="1:23" s="89" customFormat="1" ht="40.35" customHeight="1">
      <c r="A844" s="564"/>
      <c r="B844" s="799"/>
      <c r="C844" s="800"/>
      <c r="D844" s="801"/>
      <c r="E844" s="801"/>
      <c r="F844" s="128"/>
      <c r="G844" s="802"/>
      <c r="H844" s="781"/>
      <c r="I844" s="803"/>
      <c r="J844" s="779"/>
      <c r="K844" s="800"/>
      <c r="L844" s="800"/>
      <c r="M844" s="779"/>
      <c r="N844" s="779"/>
    </row>
    <row r="845" spans="1:23" s="89" customFormat="1" ht="40.35" customHeight="1">
      <c r="A845" s="564" t="str">
        <f ca="1">INDIRECT("'update Helper'!C"&amp;U845)</f>
        <v>a163p000004VjmVAAS</v>
      </c>
      <c r="B845" s="794">
        <v>6</v>
      </c>
      <c r="C845" s="795" t="str">
        <f ca="1">VLOOKUP(B845,'Coverage Indicators - Section D'!$A$9:$AU$70,47,FALSE)</f>
        <v>KP-1c⁽ᴹ⁾ Porcentaje de trabajadores sexuales alcanzados por programas de prevención del VIH - paquete definido de servicios</v>
      </c>
      <c r="D845" s="796" t="str">
        <f ca="1">R845</f>
        <v/>
      </c>
      <c r="E845" s="796" t="str">
        <f ca="1">S845</f>
        <v/>
      </c>
      <c r="F845" s="127"/>
      <c r="G845" s="797" t="str">
        <f ca="1">IF(OR(INDIRECT("'update Helper'!E"&amp;U845)="",F845&lt;&gt;0,F846&lt;&gt;0),IF(IFERROR((F845/F846),"")="","",(F845/F846)),INDIRECT("'update Helper'!E"&amp;U845)/100)</f>
        <v/>
      </c>
      <c r="H845" s="784"/>
      <c r="I845" s="798"/>
      <c r="J845" s="777"/>
      <c r="K845" s="795" t="str">
        <f ca="1">W845</f>
        <v>KP-1c⁽ᴹ⁾ Percentage of sex workers reached with HIV prevention programs - defined package of services</v>
      </c>
      <c r="L845" s="795" t="str">
        <f ca="1">V845</f>
        <v/>
      </c>
      <c r="M845" s="777"/>
      <c r="N845" s="777"/>
      <c r="P845" s="89">
        <f ca="1">IF(AND(EXACT(C845,C843),C843&lt;&gt;0),P843+1,0)</f>
        <v>12</v>
      </c>
      <c r="Q845" s="89" t="str">
        <f ca="1">IF(C845&lt;&gt;"",C845&amp;"-"&amp;P845,"")</f>
        <v>KP-1c⁽ᴹ⁾ Porcentaje de trabajadores sexuales alcanzados por programas de prevención del VIH - paquete definido de servicios-12</v>
      </c>
      <c r="R845" s="89" t="str">
        <f t="array" aca="1" ref="R845" ca="1">IFERROR(IF(INDEX('Disaggregation Records'!$E$155:$E$385,MATCH(RIGHT(Q845,255),RIGHT('Disaggregation Records'!$D$155:$D$385,255),0))="","",INDEX('Disaggregation Records'!$E$155:$E$385,MATCH(RIGHT(Q845,255),RIGHT('Disaggregation Records'!$D$155:$D$385,255),0))),"")</f>
        <v/>
      </c>
      <c r="S845" s="89" t="str">
        <f t="array" aca="1" ref="S845" ca="1">IFERROR(IF(INDEX('Disaggregation Records'!$F$155:$F$385,MATCH(RIGHT(Q845,255),RIGHT('Disaggregation Records'!$D$155:$D$385,255),0))="","",INDEX('Disaggregation Records'!$F$155:$F$385,MATCH(RIGHT(Q845,255),RIGHT('Disaggregation Records'!$D$155:$D$385,255),0))),"")</f>
        <v/>
      </c>
      <c r="T845" s="89" t="str">
        <f t="array" aca="1" ref="T845" ca="1">IFERROR(IF(INDEX('Disaggregation Records'!$H$155:$H$385,MATCH(RIGHT(Q845,255),RIGHT('Disaggregation Records'!$D$155:$D$385,255),0))="","",INDEX('Disaggregation Records'!$H$155:$H$385,MATCH(RIGHT(Q845,255),RIGHT('Disaggregation Records'!$D$155:$D$385,255),0))),"")</f>
        <v/>
      </c>
      <c r="U845" s="89">
        <f>U843+1</f>
        <v>1532</v>
      </c>
      <c r="V845" s="89" t="str">
        <f t="array" aca="1" ref="V845" ca="1">IFERROR(IF(INDEX('Disaggregation Records'!$I$155:$I$385,MATCH(RIGHT(Q845,255),RIGHT('Disaggregation Records'!$D$155:$D$385,255),0))="","",INDEX('Disaggregation Records'!$I$155:$I$385,MATCH(RIGHT(Q845,255),RIGHT('Disaggregation Records'!$D$155:$D$385,255),0))),"")</f>
        <v/>
      </c>
      <c r="W845" s="89" t="str">
        <f ca="1">IFERROR(INDEX('Reference Records'!L$77:L$157,MATCH(LEFT(C845,255),'Reference Records'!E$77:E$157,0)),"")</f>
        <v>KP-1c⁽ᴹ⁾ Percentage of sex workers reached with HIV prevention programs - defined package of services</v>
      </c>
    </row>
    <row r="846" spans="1:23" s="89" customFormat="1" ht="40.35" customHeight="1">
      <c r="A846" s="564"/>
      <c r="B846" s="799"/>
      <c r="C846" s="800"/>
      <c r="D846" s="801"/>
      <c r="E846" s="801"/>
      <c r="F846" s="128"/>
      <c r="G846" s="802"/>
      <c r="H846" s="781"/>
      <c r="I846" s="803"/>
      <c r="J846" s="779"/>
      <c r="K846" s="800"/>
      <c r="L846" s="800"/>
      <c r="M846" s="779"/>
      <c r="N846" s="779"/>
    </row>
    <row r="847" spans="1:23" s="89" customFormat="1" ht="40.35" customHeight="1">
      <c r="A847" s="564" t="str">
        <f ca="1">INDIRECT("'update Helper'!C"&amp;U847)</f>
        <v>a163p000004VjmWAAS</v>
      </c>
      <c r="B847" s="794">
        <v>6</v>
      </c>
      <c r="C847" s="795" t="str">
        <f ca="1">VLOOKUP(B847,'Coverage Indicators - Section D'!$A$9:$AU$70,47,FALSE)</f>
        <v>KP-1c⁽ᴹ⁾ Porcentaje de trabajadores sexuales alcanzados por programas de prevención del VIH - paquete definido de servicios</v>
      </c>
      <c r="D847" s="796" t="str">
        <f ca="1">R847</f>
        <v/>
      </c>
      <c r="E847" s="796" t="str">
        <f ca="1">S847</f>
        <v/>
      </c>
      <c r="F847" s="127"/>
      <c r="G847" s="797" t="str">
        <f ca="1">IF(OR(INDIRECT("'update Helper'!E"&amp;U847)="",F847&lt;&gt;0,F848&lt;&gt;0),IF(IFERROR((F847/F848),"")="","",(F847/F848)),INDIRECT("'update Helper'!E"&amp;U847)/100)</f>
        <v/>
      </c>
      <c r="H847" s="784"/>
      <c r="I847" s="798"/>
      <c r="J847" s="777"/>
      <c r="K847" s="795" t="str">
        <f ca="1">W847</f>
        <v>KP-1c⁽ᴹ⁾ Percentage of sex workers reached with HIV prevention programs - defined package of services</v>
      </c>
      <c r="L847" s="795" t="str">
        <f ca="1">V847</f>
        <v/>
      </c>
      <c r="M847" s="777"/>
      <c r="N847" s="777"/>
      <c r="P847" s="89">
        <f ca="1">IF(AND(EXACT(C847,C845),C845&lt;&gt;0),P845+1,0)</f>
        <v>13</v>
      </c>
      <c r="Q847" s="89" t="str">
        <f ca="1">IF(C847&lt;&gt;"",C847&amp;"-"&amp;P847,"")</f>
        <v>KP-1c⁽ᴹ⁾ Porcentaje de trabajadores sexuales alcanzados por programas de prevención del VIH - paquete definido de servicios-13</v>
      </c>
      <c r="R847" s="89" t="str">
        <f t="array" aca="1" ref="R847" ca="1">IFERROR(IF(INDEX('Disaggregation Records'!$E$155:$E$385,MATCH(RIGHT(Q847,255),RIGHT('Disaggregation Records'!$D$155:$D$385,255),0))="","",INDEX('Disaggregation Records'!$E$155:$E$385,MATCH(RIGHT(Q847,255),RIGHT('Disaggregation Records'!$D$155:$D$385,255),0))),"")</f>
        <v/>
      </c>
      <c r="S847" s="89" t="str">
        <f t="array" aca="1" ref="S847" ca="1">IFERROR(IF(INDEX('Disaggregation Records'!$F$155:$F$385,MATCH(RIGHT(Q847,255),RIGHT('Disaggregation Records'!$D$155:$D$385,255),0))="","",INDEX('Disaggregation Records'!$F$155:$F$385,MATCH(RIGHT(Q847,255),RIGHT('Disaggregation Records'!$D$155:$D$385,255),0))),"")</f>
        <v/>
      </c>
      <c r="T847" s="89" t="str">
        <f t="array" aca="1" ref="T847" ca="1">IFERROR(IF(INDEX('Disaggregation Records'!$H$155:$H$385,MATCH(RIGHT(Q847,255),RIGHT('Disaggregation Records'!$D$155:$D$385,255),0))="","",INDEX('Disaggregation Records'!$H$155:$H$385,MATCH(RIGHT(Q847,255),RIGHT('Disaggregation Records'!$D$155:$D$385,255),0))),"")</f>
        <v/>
      </c>
      <c r="U847" s="89">
        <f>U845+1</f>
        <v>1533</v>
      </c>
      <c r="V847" s="89" t="str">
        <f t="array" aca="1" ref="V847" ca="1">IFERROR(IF(INDEX('Disaggregation Records'!$I$155:$I$385,MATCH(RIGHT(Q847,255),RIGHT('Disaggregation Records'!$D$155:$D$385,255),0))="","",INDEX('Disaggregation Records'!$I$155:$I$385,MATCH(RIGHT(Q847,255),RIGHT('Disaggregation Records'!$D$155:$D$385,255),0))),"")</f>
        <v/>
      </c>
      <c r="W847" s="89" t="str">
        <f ca="1">IFERROR(INDEX('Reference Records'!L$77:L$157,MATCH(LEFT(C847,255),'Reference Records'!E$77:E$157,0)),"")</f>
        <v>KP-1c⁽ᴹ⁾ Percentage of sex workers reached with HIV prevention programs - defined package of services</v>
      </c>
    </row>
    <row r="848" spans="1:23" s="89" customFormat="1" ht="40.35" customHeight="1">
      <c r="A848" s="564"/>
      <c r="B848" s="799"/>
      <c r="C848" s="800"/>
      <c r="D848" s="801"/>
      <c r="E848" s="801"/>
      <c r="F848" s="128"/>
      <c r="G848" s="802"/>
      <c r="H848" s="781"/>
      <c r="I848" s="803"/>
      <c r="J848" s="779"/>
      <c r="K848" s="800"/>
      <c r="L848" s="800"/>
      <c r="M848" s="779"/>
      <c r="N848" s="779"/>
    </row>
    <row r="849" spans="1:23" s="89" customFormat="1" ht="40.35" customHeight="1">
      <c r="A849" s="564" t="str">
        <f ca="1">INDIRECT("'update Helper'!C"&amp;U849)</f>
        <v>a163p000004VjmXAAS</v>
      </c>
      <c r="B849" s="794">
        <v>6</v>
      </c>
      <c r="C849" s="795" t="str">
        <f ca="1">VLOOKUP(B849,'Coverage Indicators - Section D'!$A$9:$AU$70,47,FALSE)</f>
        <v>KP-1c⁽ᴹ⁾ Porcentaje de trabajadores sexuales alcanzados por programas de prevención del VIH - paquete definido de servicios</v>
      </c>
      <c r="D849" s="796" t="str">
        <f ca="1">R849</f>
        <v/>
      </c>
      <c r="E849" s="796" t="str">
        <f ca="1">S849</f>
        <v/>
      </c>
      <c r="F849" s="127"/>
      <c r="G849" s="797" t="str">
        <f ca="1">IF(OR(INDIRECT("'update Helper'!E"&amp;U849)="",F849&lt;&gt;0,F850&lt;&gt;0),IF(IFERROR((F849/F850),"")="","",(F849/F850)),INDIRECT("'update Helper'!E"&amp;U849)/100)</f>
        <v/>
      </c>
      <c r="H849" s="784"/>
      <c r="I849" s="798"/>
      <c r="J849" s="777"/>
      <c r="K849" s="795" t="str">
        <f ca="1">W849</f>
        <v>KP-1c⁽ᴹ⁾ Percentage of sex workers reached with HIV prevention programs - defined package of services</v>
      </c>
      <c r="L849" s="795" t="str">
        <f ca="1">V849</f>
        <v/>
      </c>
      <c r="M849" s="777"/>
      <c r="N849" s="777"/>
      <c r="P849" s="89">
        <f ca="1">IF(AND(EXACT(C849,C847),C847&lt;&gt;0),P847+1,0)</f>
        <v>14</v>
      </c>
      <c r="Q849" s="89" t="str">
        <f ca="1">IF(C849&lt;&gt;"",C849&amp;"-"&amp;P849,"")</f>
        <v>KP-1c⁽ᴹ⁾ Porcentaje de trabajadores sexuales alcanzados por programas de prevención del VIH - paquete definido de servicios-14</v>
      </c>
      <c r="R849" s="89" t="str">
        <f t="array" aca="1" ref="R849" ca="1">IFERROR(IF(INDEX('Disaggregation Records'!$E$155:$E$385,MATCH(RIGHT(Q849,255),RIGHT('Disaggregation Records'!$D$155:$D$385,255),0))="","",INDEX('Disaggregation Records'!$E$155:$E$385,MATCH(RIGHT(Q849,255),RIGHT('Disaggregation Records'!$D$155:$D$385,255),0))),"")</f>
        <v/>
      </c>
      <c r="S849" s="89" t="str">
        <f t="array" aca="1" ref="S849" ca="1">IFERROR(IF(INDEX('Disaggregation Records'!$F$155:$F$385,MATCH(RIGHT(Q849,255),RIGHT('Disaggregation Records'!$D$155:$D$385,255),0))="","",INDEX('Disaggregation Records'!$F$155:$F$385,MATCH(RIGHT(Q849,255),RIGHT('Disaggregation Records'!$D$155:$D$385,255),0))),"")</f>
        <v/>
      </c>
      <c r="T849" s="89" t="str">
        <f t="array" aca="1" ref="T849" ca="1">IFERROR(IF(INDEX('Disaggregation Records'!$H$155:$H$385,MATCH(RIGHT(Q849,255),RIGHT('Disaggregation Records'!$D$155:$D$385,255),0))="","",INDEX('Disaggregation Records'!$H$155:$H$385,MATCH(RIGHT(Q849,255),RIGHT('Disaggregation Records'!$D$155:$D$385,255),0))),"")</f>
        <v/>
      </c>
      <c r="U849" s="89">
        <f>U847+1</f>
        <v>1534</v>
      </c>
      <c r="V849" s="89" t="str">
        <f t="array" aca="1" ref="V849" ca="1">IFERROR(IF(INDEX('Disaggregation Records'!$I$155:$I$385,MATCH(RIGHT(Q849,255),RIGHT('Disaggregation Records'!$D$155:$D$385,255),0))="","",INDEX('Disaggregation Records'!$I$155:$I$385,MATCH(RIGHT(Q849,255),RIGHT('Disaggregation Records'!$D$155:$D$385,255),0))),"")</f>
        <v/>
      </c>
      <c r="W849" s="89" t="str">
        <f ca="1">IFERROR(INDEX('Reference Records'!L$77:L$157,MATCH(LEFT(C849,255),'Reference Records'!E$77:E$157,0)),"")</f>
        <v>KP-1c⁽ᴹ⁾ Percentage of sex workers reached with HIV prevention programs - defined package of services</v>
      </c>
    </row>
    <row r="850" spans="1:23" s="89" customFormat="1" ht="40.35" customHeight="1">
      <c r="A850" s="564"/>
      <c r="B850" s="799"/>
      <c r="C850" s="800"/>
      <c r="D850" s="801"/>
      <c r="E850" s="801"/>
      <c r="F850" s="128"/>
      <c r="G850" s="802"/>
      <c r="H850" s="781"/>
      <c r="I850" s="803"/>
      <c r="J850" s="779"/>
      <c r="K850" s="800"/>
      <c r="L850" s="800"/>
      <c r="M850" s="779"/>
      <c r="N850" s="779"/>
    </row>
    <row r="851" spans="1:23" s="89" customFormat="1" ht="40.35" customHeight="1">
      <c r="A851" s="564" t="str">
        <f ca="1">INDIRECT("'update Helper'!C"&amp;U851)</f>
        <v>a163p000004VjmYAAS</v>
      </c>
      <c r="B851" s="794">
        <v>6</v>
      </c>
      <c r="C851" s="795" t="str">
        <f ca="1">VLOOKUP(B851,'Coverage Indicators - Section D'!$A$9:$AU$70,47,FALSE)</f>
        <v>KP-1c⁽ᴹ⁾ Porcentaje de trabajadores sexuales alcanzados por programas de prevención del VIH - paquete definido de servicios</v>
      </c>
      <c r="D851" s="796" t="str">
        <f ca="1">R851</f>
        <v/>
      </c>
      <c r="E851" s="796" t="str">
        <f ca="1">S851</f>
        <v/>
      </c>
      <c r="F851" s="127"/>
      <c r="G851" s="797" t="str">
        <f ca="1">IF(OR(INDIRECT("'update Helper'!E"&amp;U851)="",F851&lt;&gt;0,F852&lt;&gt;0),IF(IFERROR((F851/F852),"")="","",(F851/F852)),INDIRECT("'update Helper'!E"&amp;U851)/100)</f>
        <v/>
      </c>
      <c r="H851" s="784"/>
      <c r="I851" s="798"/>
      <c r="J851" s="777"/>
      <c r="K851" s="795" t="str">
        <f ca="1">W851</f>
        <v>KP-1c⁽ᴹ⁾ Percentage of sex workers reached with HIV prevention programs - defined package of services</v>
      </c>
      <c r="L851" s="795" t="str">
        <f ca="1">V851</f>
        <v/>
      </c>
      <c r="M851" s="777"/>
      <c r="N851" s="777"/>
      <c r="P851" s="89">
        <f ca="1">IF(AND(EXACT(C851,C849),C849&lt;&gt;0),P849+1,0)</f>
        <v>15</v>
      </c>
      <c r="Q851" s="89" t="str">
        <f ca="1">IF(C851&lt;&gt;"",C851&amp;"-"&amp;P851,"")</f>
        <v>KP-1c⁽ᴹ⁾ Porcentaje de trabajadores sexuales alcanzados por programas de prevención del VIH - paquete definido de servicios-15</v>
      </c>
      <c r="R851" s="89" t="str">
        <f t="array" aca="1" ref="R851" ca="1">IFERROR(IF(INDEX('Disaggregation Records'!$E$155:$E$385,MATCH(RIGHT(Q851,255),RIGHT('Disaggregation Records'!$D$155:$D$385,255),0))="","",INDEX('Disaggregation Records'!$E$155:$E$385,MATCH(RIGHT(Q851,255),RIGHT('Disaggregation Records'!$D$155:$D$385,255),0))),"")</f>
        <v/>
      </c>
      <c r="S851" s="89" t="str">
        <f t="array" aca="1" ref="S851" ca="1">IFERROR(IF(INDEX('Disaggregation Records'!$F$155:$F$385,MATCH(RIGHT(Q851,255),RIGHT('Disaggregation Records'!$D$155:$D$385,255),0))="","",INDEX('Disaggregation Records'!$F$155:$F$385,MATCH(RIGHT(Q851,255),RIGHT('Disaggregation Records'!$D$155:$D$385,255),0))),"")</f>
        <v/>
      </c>
      <c r="T851" s="89" t="str">
        <f t="array" aca="1" ref="T851" ca="1">IFERROR(IF(INDEX('Disaggregation Records'!$H$155:$H$385,MATCH(RIGHT(Q851,255),RIGHT('Disaggregation Records'!$D$155:$D$385,255),0))="","",INDEX('Disaggregation Records'!$H$155:$H$385,MATCH(RIGHT(Q851,255),RIGHT('Disaggregation Records'!$D$155:$D$385,255),0))),"")</f>
        <v/>
      </c>
      <c r="U851" s="89">
        <f>U849+1</f>
        <v>1535</v>
      </c>
      <c r="V851" s="89" t="str">
        <f t="array" aca="1" ref="V851" ca="1">IFERROR(IF(INDEX('Disaggregation Records'!$I$155:$I$385,MATCH(RIGHT(Q851,255),RIGHT('Disaggregation Records'!$D$155:$D$385,255),0))="","",INDEX('Disaggregation Records'!$I$155:$I$385,MATCH(RIGHT(Q851,255),RIGHT('Disaggregation Records'!$D$155:$D$385,255),0))),"")</f>
        <v/>
      </c>
      <c r="W851" s="89" t="str">
        <f ca="1">IFERROR(INDEX('Reference Records'!L$77:L$157,MATCH(LEFT(C851,255),'Reference Records'!E$77:E$157,0)),"")</f>
        <v>KP-1c⁽ᴹ⁾ Percentage of sex workers reached with HIV prevention programs - defined package of services</v>
      </c>
    </row>
    <row r="852" spans="1:23" s="89" customFormat="1" ht="40.35" customHeight="1">
      <c r="A852" s="564"/>
      <c r="B852" s="799"/>
      <c r="C852" s="800"/>
      <c r="D852" s="801"/>
      <c r="E852" s="801"/>
      <c r="F852" s="128"/>
      <c r="G852" s="802"/>
      <c r="H852" s="781"/>
      <c r="I852" s="803"/>
      <c r="J852" s="779"/>
      <c r="K852" s="800"/>
      <c r="L852" s="800"/>
      <c r="M852" s="779"/>
      <c r="N852" s="779"/>
    </row>
    <row r="853" spans="1:23" s="89" customFormat="1" ht="40.35" customHeight="1">
      <c r="A853" s="564" t="str">
        <f ca="1">INDIRECT("'update Helper'!C"&amp;U853)</f>
        <v>a163p000004VjmZAAS</v>
      </c>
      <c r="B853" s="794">
        <v>6</v>
      </c>
      <c r="C853" s="795" t="str">
        <f ca="1">VLOOKUP(B853,'Coverage Indicators - Section D'!$A$9:$AU$70,47,FALSE)</f>
        <v>KP-1c⁽ᴹ⁾ Porcentaje de trabajadores sexuales alcanzados por programas de prevención del VIH - paquete definido de servicios</v>
      </c>
      <c r="D853" s="796" t="str">
        <f ca="1">R853</f>
        <v/>
      </c>
      <c r="E853" s="796" t="str">
        <f ca="1">S853</f>
        <v/>
      </c>
      <c r="F853" s="127"/>
      <c r="G853" s="797" t="str">
        <f ca="1">IF(OR(INDIRECT("'update Helper'!E"&amp;U853)="",F853&lt;&gt;0,F854&lt;&gt;0),IF(IFERROR((F853/F854),"")="","",(F853/F854)),INDIRECT("'update Helper'!E"&amp;U853)/100)</f>
        <v/>
      </c>
      <c r="H853" s="784"/>
      <c r="I853" s="798"/>
      <c r="J853" s="777"/>
      <c r="K853" s="795" t="str">
        <f ca="1">W853</f>
        <v>KP-1c⁽ᴹ⁾ Percentage of sex workers reached with HIV prevention programs - defined package of services</v>
      </c>
      <c r="L853" s="795" t="str">
        <f ca="1">V853</f>
        <v/>
      </c>
      <c r="M853" s="777"/>
      <c r="N853" s="777"/>
      <c r="P853" s="89">
        <f ca="1">IF(AND(EXACT(C853,C851),C851&lt;&gt;0),P851+1,0)</f>
        <v>16</v>
      </c>
      <c r="Q853" s="89" t="str">
        <f ca="1">IF(C853&lt;&gt;"",C853&amp;"-"&amp;P853,"")</f>
        <v>KP-1c⁽ᴹ⁾ Porcentaje de trabajadores sexuales alcanzados por programas de prevención del VIH - paquete definido de servicios-16</v>
      </c>
      <c r="R853" s="89" t="str">
        <f t="array" aca="1" ref="R853" ca="1">IFERROR(IF(INDEX('Disaggregation Records'!$E$155:$E$385,MATCH(RIGHT(Q853,255),RIGHT('Disaggregation Records'!$D$155:$D$385,255),0))="","",INDEX('Disaggregation Records'!$E$155:$E$385,MATCH(RIGHT(Q853,255),RIGHT('Disaggregation Records'!$D$155:$D$385,255),0))),"")</f>
        <v/>
      </c>
      <c r="S853" s="89" t="str">
        <f t="array" aca="1" ref="S853" ca="1">IFERROR(IF(INDEX('Disaggregation Records'!$F$155:$F$385,MATCH(RIGHT(Q853,255),RIGHT('Disaggregation Records'!$D$155:$D$385,255),0))="","",INDEX('Disaggregation Records'!$F$155:$F$385,MATCH(RIGHT(Q853,255),RIGHT('Disaggregation Records'!$D$155:$D$385,255),0))),"")</f>
        <v/>
      </c>
      <c r="T853" s="89" t="str">
        <f t="array" aca="1" ref="T853" ca="1">IFERROR(IF(INDEX('Disaggregation Records'!$H$155:$H$385,MATCH(RIGHT(Q853,255),RIGHT('Disaggregation Records'!$D$155:$D$385,255),0))="","",INDEX('Disaggregation Records'!$H$155:$H$385,MATCH(RIGHT(Q853,255),RIGHT('Disaggregation Records'!$D$155:$D$385,255),0))),"")</f>
        <v/>
      </c>
      <c r="U853" s="89">
        <f>U851+1</f>
        <v>1536</v>
      </c>
      <c r="V853" s="89" t="str">
        <f t="array" aca="1" ref="V853" ca="1">IFERROR(IF(INDEX('Disaggregation Records'!$I$155:$I$385,MATCH(RIGHT(Q853,255),RIGHT('Disaggregation Records'!$D$155:$D$385,255),0))="","",INDEX('Disaggregation Records'!$I$155:$I$385,MATCH(RIGHT(Q853,255),RIGHT('Disaggregation Records'!$D$155:$D$385,255),0))),"")</f>
        <v/>
      </c>
      <c r="W853" s="89" t="str">
        <f ca="1">IFERROR(INDEX('Reference Records'!L$77:L$157,MATCH(LEFT(C853,255),'Reference Records'!E$77:E$157,0)),"")</f>
        <v>KP-1c⁽ᴹ⁾ Percentage of sex workers reached with HIV prevention programs - defined package of services</v>
      </c>
    </row>
    <row r="854" spans="1:23" s="89" customFormat="1" ht="40.35" customHeight="1">
      <c r="A854" s="564"/>
      <c r="B854" s="799"/>
      <c r="C854" s="800"/>
      <c r="D854" s="801"/>
      <c r="E854" s="801"/>
      <c r="F854" s="128"/>
      <c r="G854" s="802"/>
      <c r="H854" s="781"/>
      <c r="I854" s="803"/>
      <c r="J854" s="779"/>
      <c r="K854" s="800"/>
      <c r="L854" s="800"/>
      <c r="M854" s="779"/>
      <c r="N854" s="779"/>
    </row>
    <row r="855" spans="1:23" s="89" customFormat="1" ht="40.35" customHeight="1">
      <c r="A855" s="564" t="str">
        <f ca="1">INDIRECT("'update Helper'!C"&amp;U855)</f>
        <v>a163p000004VjmaAAC</v>
      </c>
      <c r="B855" s="794">
        <v>6</v>
      </c>
      <c r="C855" s="795" t="str">
        <f ca="1">VLOOKUP(B855,'Coverage Indicators - Section D'!$A$9:$AU$70,47,FALSE)</f>
        <v>KP-1c⁽ᴹ⁾ Porcentaje de trabajadores sexuales alcanzados por programas de prevención del VIH - paquete definido de servicios</v>
      </c>
      <c r="D855" s="796" t="str">
        <f ca="1">R855</f>
        <v/>
      </c>
      <c r="E855" s="796" t="str">
        <f ca="1">S855</f>
        <v/>
      </c>
      <c r="F855" s="127"/>
      <c r="G855" s="797" t="str">
        <f ca="1">IF(OR(INDIRECT("'update Helper'!E"&amp;U855)="",F855&lt;&gt;0,F856&lt;&gt;0),IF(IFERROR((F855/F856),"")="","",(F855/F856)),INDIRECT("'update Helper'!E"&amp;U855)/100)</f>
        <v/>
      </c>
      <c r="H855" s="784"/>
      <c r="I855" s="798"/>
      <c r="J855" s="777"/>
      <c r="K855" s="795" t="str">
        <f ca="1">W855</f>
        <v>KP-1c⁽ᴹ⁾ Percentage of sex workers reached with HIV prevention programs - defined package of services</v>
      </c>
      <c r="L855" s="795" t="str">
        <f ca="1">V855</f>
        <v/>
      </c>
      <c r="M855" s="777"/>
      <c r="N855" s="777"/>
      <c r="P855" s="89">
        <f ca="1">IF(AND(EXACT(C855,C853),C853&lt;&gt;0),P853+1,0)</f>
        <v>17</v>
      </c>
      <c r="Q855" s="89" t="str">
        <f ca="1">IF(C855&lt;&gt;"",C855&amp;"-"&amp;P855,"")</f>
        <v>KP-1c⁽ᴹ⁾ Porcentaje de trabajadores sexuales alcanzados por programas de prevención del VIH - paquete definido de servicios-17</v>
      </c>
      <c r="R855" s="89" t="str">
        <f t="array" aca="1" ref="R855" ca="1">IFERROR(IF(INDEX('Disaggregation Records'!$E$155:$E$385,MATCH(RIGHT(Q855,255),RIGHT('Disaggregation Records'!$D$155:$D$385,255),0))="","",INDEX('Disaggregation Records'!$E$155:$E$385,MATCH(RIGHT(Q855,255),RIGHT('Disaggregation Records'!$D$155:$D$385,255),0))),"")</f>
        <v/>
      </c>
      <c r="S855" s="89" t="str">
        <f t="array" aca="1" ref="S855" ca="1">IFERROR(IF(INDEX('Disaggregation Records'!$F$155:$F$385,MATCH(RIGHT(Q855,255),RIGHT('Disaggregation Records'!$D$155:$D$385,255),0))="","",INDEX('Disaggregation Records'!$F$155:$F$385,MATCH(RIGHT(Q855,255),RIGHT('Disaggregation Records'!$D$155:$D$385,255),0))),"")</f>
        <v/>
      </c>
      <c r="T855" s="89" t="str">
        <f t="array" aca="1" ref="T855" ca="1">IFERROR(IF(INDEX('Disaggregation Records'!$H$155:$H$385,MATCH(RIGHT(Q855,255),RIGHT('Disaggregation Records'!$D$155:$D$385,255),0))="","",INDEX('Disaggregation Records'!$H$155:$H$385,MATCH(RIGHT(Q855,255),RIGHT('Disaggregation Records'!$D$155:$D$385,255),0))),"")</f>
        <v/>
      </c>
      <c r="U855" s="89">
        <f>U853+1</f>
        <v>1537</v>
      </c>
      <c r="V855" s="89" t="str">
        <f t="array" aca="1" ref="V855" ca="1">IFERROR(IF(INDEX('Disaggregation Records'!$I$155:$I$385,MATCH(RIGHT(Q855,255),RIGHT('Disaggregation Records'!$D$155:$D$385,255),0))="","",INDEX('Disaggregation Records'!$I$155:$I$385,MATCH(RIGHT(Q855,255),RIGHT('Disaggregation Records'!$D$155:$D$385,255),0))),"")</f>
        <v/>
      </c>
      <c r="W855" s="89" t="str">
        <f ca="1">IFERROR(INDEX('Reference Records'!L$77:L$157,MATCH(LEFT(C855,255),'Reference Records'!E$77:E$157,0)),"")</f>
        <v>KP-1c⁽ᴹ⁾ Percentage of sex workers reached with HIV prevention programs - defined package of services</v>
      </c>
    </row>
    <row r="856" spans="1:23" s="89" customFormat="1" ht="40.35" customHeight="1">
      <c r="A856" s="564"/>
      <c r="B856" s="799"/>
      <c r="C856" s="800"/>
      <c r="D856" s="801"/>
      <c r="E856" s="801"/>
      <c r="F856" s="128"/>
      <c r="G856" s="802"/>
      <c r="H856" s="781"/>
      <c r="I856" s="803"/>
      <c r="J856" s="779"/>
      <c r="K856" s="800"/>
      <c r="L856" s="800"/>
      <c r="M856" s="779"/>
      <c r="N856" s="779"/>
    </row>
    <row r="857" spans="1:23" s="89" customFormat="1" ht="40.35" customHeight="1">
      <c r="A857" s="564" t="str">
        <f ca="1">INDIRECT("'update Helper'!C"&amp;U857)</f>
        <v>a163p000004VjmbAAC</v>
      </c>
      <c r="B857" s="794">
        <v>6</v>
      </c>
      <c r="C857" s="795" t="str">
        <f ca="1">VLOOKUP(B857,'Coverage Indicators - Section D'!$A$9:$AU$70,47,FALSE)</f>
        <v>KP-1c⁽ᴹ⁾ Porcentaje de trabajadores sexuales alcanzados por programas de prevención del VIH - paquete definido de servicios</v>
      </c>
      <c r="D857" s="796" t="str">
        <f ca="1">R857</f>
        <v/>
      </c>
      <c r="E857" s="796" t="str">
        <f ca="1">S857</f>
        <v/>
      </c>
      <c r="F857" s="127"/>
      <c r="G857" s="797" t="str">
        <f ca="1">IF(OR(INDIRECT("'update Helper'!E"&amp;U857)="",F857&lt;&gt;0,F858&lt;&gt;0),IF(IFERROR((F857/F858),"")="","",(F857/F858)),INDIRECT("'update Helper'!E"&amp;U857)/100)</f>
        <v/>
      </c>
      <c r="H857" s="784"/>
      <c r="I857" s="798"/>
      <c r="J857" s="777"/>
      <c r="K857" s="795" t="str">
        <f ca="1">W857</f>
        <v>KP-1c⁽ᴹ⁾ Percentage of sex workers reached with HIV prevention programs - defined package of services</v>
      </c>
      <c r="L857" s="795" t="str">
        <f ca="1">V857</f>
        <v/>
      </c>
      <c r="M857" s="777"/>
      <c r="N857" s="777"/>
      <c r="P857" s="89">
        <f ca="1">IF(AND(EXACT(C857,C855),C855&lt;&gt;0),P855+1,0)</f>
        <v>18</v>
      </c>
      <c r="Q857" s="89" t="str">
        <f ca="1">IF(C857&lt;&gt;"",C857&amp;"-"&amp;P857,"")</f>
        <v>KP-1c⁽ᴹ⁾ Porcentaje de trabajadores sexuales alcanzados por programas de prevención del VIH - paquete definido de servicios-18</v>
      </c>
      <c r="R857" s="89" t="str">
        <f t="array" aca="1" ref="R857" ca="1">IFERROR(IF(INDEX('Disaggregation Records'!$E$155:$E$385,MATCH(RIGHT(Q857,255),RIGHT('Disaggregation Records'!$D$155:$D$385,255),0))="","",INDEX('Disaggregation Records'!$E$155:$E$385,MATCH(RIGHT(Q857,255),RIGHT('Disaggregation Records'!$D$155:$D$385,255),0))),"")</f>
        <v/>
      </c>
      <c r="S857" s="89" t="str">
        <f t="array" aca="1" ref="S857" ca="1">IFERROR(IF(INDEX('Disaggregation Records'!$F$155:$F$385,MATCH(RIGHT(Q857,255),RIGHT('Disaggregation Records'!$D$155:$D$385,255),0))="","",INDEX('Disaggregation Records'!$F$155:$F$385,MATCH(RIGHT(Q857,255),RIGHT('Disaggregation Records'!$D$155:$D$385,255),0))),"")</f>
        <v/>
      </c>
      <c r="T857" s="89" t="str">
        <f t="array" aca="1" ref="T857" ca="1">IFERROR(IF(INDEX('Disaggregation Records'!$H$155:$H$385,MATCH(RIGHT(Q857,255),RIGHT('Disaggregation Records'!$D$155:$D$385,255),0))="","",INDEX('Disaggregation Records'!$H$155:$H$385,MATCH(RIGHT(Q857,255),RIGHT('Disaggregation Records'!$D$155:$D$385,255),0))),"")</f>
        <v/>
      </c>
      <c r="U857" s="89">
        <f>U855+1</f>
        <v>1538</v>
      </c>
      <c r="V857" s="89" t="str">
        <f t="array" aca="1" ref="V857" ca="1">IFERROR(IF(INDEX('Disaggregation Records'!$I$155:$I$385,MATCH(RIGHT(Q857,255),RIGHT('Disaggregation Records'!$D$155:$D$385,255),0))="","",INDEX('Disaggregation Records'!$I$155:$I$385,MATCH(RIGHT(Q857,255),RIGHT('Disaggregation Records'!$D$155:$D$385,255),0))),"")</f>
        <v/>
      </c>
      <c r="W857" s="89" t="str">
        <f ca="1">IFERROR(INDEX('Reference Records'!L$77:L$157,MATCH(LEFT(C857,255),'Reference Records'!E$77:E$157,0)),"")</f>
        <v>KP-1c⁽ᴹ⁾ Percentage of sex workers reached with HIV prevention programs - defined package of services</v>
      </c>
    </row>
    <row r="858" spans="1:23" s="89" customFormat="1" ht="40.35" customHeight="1">
      <c r="A858" s="564"/>
      <c r="B858" s="799"/>
      <c r="C858" s="800"/>
      <c r="D858" s="801"/>
      <c r="E858" s="801"/>
      <c r="F858" s="128"/>
      <c r="G858" s="802"/>
      <c r="H858" s="781"/>
      <c r="I858" s="803"/>
      <c r="J858" s="779"/>
      <c r="K858" s="800"/>
      <c r="L858" s="800"/>
      <c r="M858" s="779"/>
      <c r="N858" s="779"/>
    </row>
    <row r="859" spans="1:23" s="89" customFormat="1" ht="40.35" customHeight="1">
      <c r="A859" s="564" t="str">
        <f ca="1">INDIRECT("'update Helper'!C"&amp;U859)</f>
        <v>a163p000004VjmcAAC</v>
      </c>
      <c r="B859" s="794">
        <v>6</v>
      </c>
      <c r="C859" s="795" t="str">
        <f ca="1">VLOOKUP(B859,'Coverage Indicators - Section D'!$A$9:$AU$70,47,FALSE)</f>
        <v>KP-1c⁽ᴹ⁾ Porcentaje de trabajadores sexuales alcanzados por programas de prevención del VIH - paquete definido de servicios</v>
      </c>
      <c r="D859" s="796" t="str">
        <f ca="1">R859</f>
        <v/>
      </c>
      <c r="E859" s="796" t="str">
        <f ca="1">S859</f>
        <v/>
      </c>
      <c r="F859" s="127"/>
      <c r="G859" s="797" t="str">
        <f ca="1">IF(OR(INDIRECT("'update Helper'!E"&amp;U859)="",F859&lt;&gt;0,F860&lt;&gt;0),IF(IFERROR((F859/F860),"")="","",(F859/F860)),INDIRECT("'update Helper'!E"&amp;U859)/100)</f>
        <v/>
      </c>
      <c r="H859" s="784"/>
      <c r="I859" s="798"/>
      <c r="J859" s="777"/>
      <c r="K859" s="795" t="str">
        <f ca="1">W859</f>
        <v>KP-1c⁽ᴹ⁾ Percentage of sex workers reached with HIV prevention programs - defined package of services</v>
      </c>
      <c r="L859" s="795" t="str">
        <f ca="1">V859</f>
        <v/>
      </c>
      <c r="M859" s="777"/>
      <c r="N859" s="777"/>
      <c r="P859" s="89">
        <f ca="1">IF(AND(EXACT(C859,C857),C857&lt;&gt;0),P857+1,0)</f>
        <v>19</v>
      </c>
      <c r="Q859" s="89" t="str">
        <f ca="1">IF(C859&lt;&gt;"",C859&amp;"-"&amp;P859,"")</f>
        <v>KP-1c⁽ᴹ⁾ Porcentaje de trabajadores sexuales alcanzados por programas de prevención del VIH - paquete definido de servicios-19</v>
      </c>
      <c r="R859" s="89" t="str">
        <f t="array" aca="1" ref="R859" ca="1">IFERROR(IF(INDEX('Disaggregation Records'!$E$155:$E$385,MATCH(RIGHT(Q859,255),RIGHT('Disaggregation Records'!$D$155:$D$385,255),0))="","",INDEX('Disaggregation Records'!$E$155:$E$385,MATCH(RIGHT(Q859,255),RIGHT('Disaggregation Records'!$D$155:$D$385,255),0))),"")</f>
        <v/>
      </c>
      <c r="S859" s="89" t="str">
        <f t="array" aca="1" ref="S859" ca="1">IFERROR(IF(INDEX('Disaggregation Records'!$F$155:$F$385,MATCH(RIGHT(Q859,255),RIGHT('Disaggregation Records'!$D$155:$D$385,255),0))="","",INDEX('Disaggregation Records'!$F$155:$F$385,MATCH(RIGHT(Q859,255),RIGHT('Disaggregation Records'!$D$155:$D$385,255),0))),"")</f>
        <v/>
      </c>
      <c r="T859" s="89" t="str">
        <f t="array" aca="1" ref="T859" ca="1">IFERROR(IF(INDEX('Disaggregation Records'!$H$155:$H$385,MATCH(RIGHT(Q859,255),RIGHT('Disaggregation Records'!$D$155:$D$385,255),0))="","",INDEX('Disaggregation Records'!$H$155:$H$385,MATCH(RIGHT(Q859,255),RIGHT('Disaggregation Records'!$D$155:$D$385,255),0))),"")</f>
        <v/>
      </c>
      <c r="U859" s="89">
        <f>U857+1</f>
        <v>1539</v>
      </c>
      <c r="V859" s="89" t="str">
        <f t="array" aca="1" ref="V859" ca="1">IFERROR(IF(INDEX('Disaggregation Records'!$I$155:$I$385,MATCH(RIGHT(Q859,255),RIGHT('Disaggregation Records'!$D$155:$D$385,255),0))="","",INDEX('Disaggregation Records'!$I$155:$I$385,MATCH(RIGHT(Q859,255),RIGHT('Disaggregation Records'!$D$155:$D$385,255),0))),"")</f>
        <v/>
      </c>
      <c r="W859" s="89" t="str">
        <f ca="1">IFERROR(INDEX('Reference Records'!L$77:L$157,MATCH(LEFT(C859,255),'Reference Records'!E$77:E$157,0)),"")</f>
        <v>KP-1c⁽ᴹ⁾ Percentage of sex workers reached with HIV prevention programs - defined package of services</v>
      </c>
    </row>
    <row r="860" spans="1:23" s="89" customFormat="1" ht="40.35" customHeight="1">
      <c r="A860" s="564"/>
      <c r="B860" s="799"/>
      <c r="C860" s="800"/>
      <c r="D860" s="801"/>
      <c r="E860" s="801"/>
      <c r="F860" s="128"/>
      <c r="G860" s="802"/>
      <c r="H860" s="781"/>
      <c r="I860" s="803"/>
      <c r="J860" s="779"/>
      <c r="K860" s="800"/>
      <c r="L860" s="800"/>
      <c r="M860" s="779"/>
      <c r="N860" s="779"/>
    </row>
    <row r="861" spans="1:23" s="89" customFormat="1" ht="40.35" customHeight="1">
      <c r="A861" s="564" t="str">
        <f ca="1">INDIRECT("'update Helper'!C"&amp;U861)</f>
        <v>a163p000004VjmdAAC</v>
      </c>
      <c r="B861" s="794">
        <v>7</v>
      </c>
      <c r="C861" s="795" t="str">
        <f ca="1">VLOOKUP(B861,'Coverage Indicators - Section D'!$A$9:$AU$70,47,FALSE)</f>
        <v>HTS-3c⁽ᴹ⁾ Porcentaje de trabajadores sexuales a los que se les ha realizado una prueba de VIH durante el período de reporte y que conocen sus resultados</v>
      </c>
      <c r="D861" s="796" t="str">
        <f ca="1">R861</f>
        <v>Resultado de prueba del VIH</v>
      </c>
      <c r="E861" s="796" t="str">
        <f ca="1">S861</f>
        <v>Negativo</v>
      </c>
      <c r="F861" s="418">
        <v>1750</v>
      </c>
      <c r="G861" s="806">
        <f ca="1">IF(OR(INDIRECT("'update Helper'!E"&amp;U861)="",F861&lt;&gt;0,F862&lt;&gt;0),IF(IFERROR((F861/F862),"")="","",(F861/F862)),INDIRECT("'update Helper'!E"&amp;U861)/100)</f>
        <v>0.98814229249011853</v>
      </c>
      <c r="H861" s="804">
        <v>2021</v>
      </c>
      <c r="I861" s="798"/>
      <c r="J861" s="777"/>
      <c r="K861" s="795" t="str">
        <f ca="1">W861</f>
        <v>HTS-3c⁽ᴹ⁾ Percentage of sex workers that have received an HIV test during the reporting period and know their results</v>
      </c>
      <c r="L861" s="795" t="str">
        <f ca="1">V861</f>
        <v>HIV test status</v>
      </c>
      <c r="M861" s="777"/>
      <c r="N861" s="777"/>
      <c r="P861" s="89">
        <f ca="1">IF(AND(EXACT(C861,C859),C859&lt;&gt;0),P859+1,0)</f>
        <v>0</v>
      </c>
      <c r="Q861" s="89" t="str">
        <f ca="1">IF(C861&lt;&gt;"",C861&amp;"-"&amp;P861,"")</f>
        <v>HTS-3c⁽ᴹ⁾ Porcentaje de trabajadores sexuales a los que se les ha realizado una prueba de VIH durante el período de reporte y que conocen sus resultados-0</v>
      </c>
      <c r="R861" s="89" t="str">
        <f t="array" aca="1" ref="R861" ca="1">IFERROR(IF(INDEX('Disaggregation Records'!$E$155:$E$385,MATCH(RIGHT(Q861,255),RIGHT('Disaggregation Records'!$D$155:$D$385,255),0))="","",INDEX('Disaggregation Records'!$E$155:$E$385,MATCH(RIGHT(Q861,255),RIGHT('Disaggregation Records'!$D$155:$D$385,255),0))),"")</f>
        <v>Resultado de prueba del VIH</v>
      </c>
      <c r="S861" s="89" t="str">
        <f t="array" aca="1" ref="S861" ca="1">IFERROR(IF(INDEX('Disaggregation Records'!$F$155:$F$385,MATCH(RIGHT(Q861,255),RIGHT('Disaggregation Records'!$D$155:$D$385,255),0))="","",INDEX('Disaggregation Records'!$F$155:$F$385,MATCH(RIGHT(Q861,255),RIGHT('Disaggregation Records'!$D$155:$D$385,255),0))),"")</f>
        <v>Negativo</v>
      </c>
      <c r="T861" s="89" t="str">
        <f t="array" aca="1" ref="T861" ca="1">IFERROR(IF(INDEX('Disaggregation Records'!$H$155:$H$385,MATCH(RIGHT(Q861,255),RIGHT('Disaggregation Records'!$D$155:$D$385,255),0))="","",INDEX('Disaggregation Records'!$H$155:$H$385,MATCH(RIGHT(Q861,255),RIGHT('Disaggregation Records'!$D$155:$D$385,255),0))),"")</f>
        <v>IDR-00924</v>
      </c>
      <c r="U861" s="89">
        <f>U859+1</f>
        <v>1540</v>
      </c>
      <c r="V861" s="89" t="str">
        <f t="array" aca="1" ref="V861" ca="1">IFERROR(IF(INDEX('Disaggregation Records'!$I$155:$I$385,MATCH(RIGHT(Q861,255),RIGHT('Disaggregation Records'!$D$155:$D$385,255),0))="","",INDEX('Disaggregation Records'!$I$155:$I$385,MATCH(RIGHT(Q861,255),RIGHT('Disaggregation Records'!$D$155:$D$385,255),0))),"")</f>
        <v>HIV test status</v>
      </c>
      <c r="W861" s="89" t="str">
        <f ca="1">IFERROR(INDEX('Reference Records'!L$77:L$157,MATCH(LEFT(C861,255),'Reference Records'!E$77:E$157,0)),"")</f>
        <v>HTS-3c⁽ᴹ⁾ Percentage of sex workers that have received an HIV test during the reporting period and know their results</v>
      </c>
    </row>
    <row r="862" spans="1:23" s="89" customFormat="1" ht="40.35" customHeight="1">
      <c r="A862" s="564"/>
      <c r="B862" s="799"/>
      <c r="C862" s="800"/>
      <c r="D862" s="801"/>
      <c r="E862" s="801"/>
      <c r="F862" s="419">
        <v>1771</v>
      </c>
      <c r="G862" s="807"/>
      <c r="H862" s="805"/>
      <c r="I862" s="803"/>
      <c r="J862" s="779"/>
      <c r="K862" s="800"/>
      <c r="L862" s="800"/>
      <c r="M862" s="779"/>
      <c r="N862" s="779"/>
    </row>
    <row r="863" spans="1:23" s="89" customFormat="1" ht="40.35" customHeight="1">
      <c r="A863" s="564" t="str">
        <f ca="1">INDIRECT("'update Helper'!C"&amp;U863)</f>
        <v>a163p000004VjmeAAC</v>
      </c>
      <c r="B863" s="794">
        <v>7</v>
      </c>
      <c r="C863" s="795" t="str">
        <f ca="1">VLOOKUP(B863,'Coverage Indicators - Section D'!$A$9:$AU$70,47,FALSE)</f>
        <v>HTS-3c⁽ᴹ⁾ Porcentaje de trabajadores sexuales a los que se les ha realizado una prueba de VIH durante el período de reporte y que conocen sus resultados</v>
      </c>
      <c r="D863" s="796" t="str">
        <f ca="1">R863</f>
        <v>Resultado de prueba del VIH</v>
      </c>
      <c r="E863" s="796" t="str">
        <f ca="1">S863</f>
        <v>Positivo</v>
      </c>
      <c r="F863" s="418">
        <v>21</v>
      </c>
      <c r="G863" s="806">
        <f ca="1">IF(OR(INDIRECT("'update Helper'!E"&amp;U863)="",F863&lt;&gt;0,F864&lt;&gt;0),IF(IFERROR((F863/F864),"")="","",(F863/F864)),INDIRECT("'update Helper'!E"&amp;U863)/100)</f>
        <v>1.1857707509881422E-2</v>
      </c>
      <c r="H863" s="804">
        <v>2021</v>
      </c>
      <c r="I863" s="798"/>
      <c r="J863" s="777"/>
      <c r="K863" s="795" t="str">
        <f ca="1">W863</f>
        <v>HTS-3c⁽ᴹ⁾ Percentage of sex workers that have received an HIV test during the reporting period and know their results</v>
      </c>
      <c r="L863" s="795" t="str">
        <f ca="1">V863</f>
        <v>HIV test status</v>
      </c>
      <c r="M863" s="777"/>
      <c r="N863" s="777"/>
      <c r="P863" s="89">
        <f ca="1">IF(AND(EXACT(C863,C861),C861&lt;&gt;0),P861+1,0)</f>
        <v>1</v>
      </c>
      <c r="Q863" s="89" t="str">
        <f ca="1">IF(C863&lt;&gt;"",C863&amp;"-"&amp;P863,"")</f>
        <v>HTS-3c⁽ᴹ⁾ Porcentaje de trabajadores sexuales a los que se les ha realizado una prueba de VIH durante el período de reporte y que conocen sus resultados-1</v>
      </c>
      <c r="R863" s="89" t="str">
        <f t="array" aca="1" ref="R863" ca="1">IFERROR(IF(INDEX('Disaggregation Records'!$E$155:$E$385,MATCH(RIGHT(Q863,255),RIGHT('Disaggregation Records'!$D$155:$D$385,255),0))="","",INDEX('Disaggregation Records'!$E$155:$E$385,MATCH(RIGHT(Q863,255),RIGHT('Disaggregation Records'!$D$155:$D$385,255),0))),"")</f>
        <v>Resultado de prueba del VIH</v>
      </c>
      <c r="S863" s="89" t="str">
        <f t="array" aca="1" ref="S863" ca="1">IFERROR(IF(INDEX('Disaggregation Records'!$F$155:$F$385,MATCH(RIGHT(Q863,255),RIGHT('Disaggregation Records'!$D$155:$D$385,255),0))="","",INDEX('Disaggregation Records'!$F$155:$F$385,MATCH(RIGHT(Q863,255),RIGHT('Disaggregation Records'!$D$155:$D$385,255),0))),"")</f>
        <v>Positivo</v>
      </c>
      <c r="T863" s="89" t="str">
        <f t="array" aca="1" ref="T863" ca="1">IFERROR(IF(INDEX('Disaggregation Records'!$H$155:$H$385,MATCH(RIGHT(Q863,255),RIGHT('Disaggregation Records'!$D$155:$D$385,255),0))="","",INDEX('Disaggregation Records'!$H$155:$H$385,MATCH(RIGHT(Q863,255),RIGHT('Disaggregation Records'!$D$155:$D$385,255),0))),"")</f>
        <v>IDR-00923</v>
      </c>
      <c r="U863" s="89">
        <f>U861+1</f>
        <v>1541</v>
      </c>
      <c r="V863" s="89" t="str">
        <f t="array" aca="1" ref="V863" ca="1">IFERROR(IF(INDEX('Disaggregation Records'!$I$155:$I$385,MATCH(RIGHT(Q863,255),RIGHT('Disaggregation Records'!$D$155:$D$385,255),0))="","",INDEX('Disaggregation Records'!$I$155:$I$385,MATCH(RIGHT(Q863,255),RIGHT('Disaggregation Records'!$D$155:$D$385,255),0))),"")</f>
        <v>HIV test status</v>
      </c>
      <c r="W863" s="89" t="str">
        <f ca="1">IFERROR(INDEX('Reference Records'!L$77:L$157,MATCH(LEFT(C863,255),'Reference Records'!E$77:E$157,0)),"")</f>
        <v>HTS-3c⁽ᴹ⁾ Percentage of sex workers that have received an HIV test during the reporting period and know their results</v>
      </c>
    </row>
    <row r="864" spans="1:23" s="89" customFormat="1" ht="40.35" customHeight="1">
      <c r="A864" s="564"/>
      <c r="B864" s="799"/>
      <c r="C864" s="800"/>
      <c r="D864" s="801"/>
      <c r="E864" s="801"/>
      <c r="F864" s="419">
        <f>+F862</f>
        <v>1771</v>
      </c>
      <c r="G864" s="807"/>
      <c r="H864" s="805"/>
      <c r="I864" s="803"/>
      <c r="J864" s="779"/>
      <c r="K864" s="800"/>
      <c r="L864" s="800"/>
      <c r="M864" s="779"/>
      <c r="N864" s="779"/>
    </row>
    <row r="865" spans="1:23" s="89" customFormat="1" ht="40.35" customHeight="1">
      <c r="A865" s="564" t="str">
        <f ca="1">INDIRECT("'update Helper'!C"&amp;U865)</f>
        <v>a163p000004VjmfAAC</v>
      </c>
      <c r="B865" s="794">
        <v>7</v>
      </c>
      <c r="C865" s="795" t="str">
        <f ca="1">VLOOKUP(B865,'Coverage Indicators - Section D'!$A$9:$AU$70,47,FALSE)</f>
        <v>HTS-3c⁽ᴹ⁾ Porcentaje de trabajadores sexuales a los que se les ha realizado una prueba de VIH durante el período de reporte y que conocen sus resultados</v>
      </c>
      <c r="D865" s="796" t="str">
        <f ca="1">R865</f>
        <v>Género</v>
      </c>
      <c r="E865" s="796" t="str">
        <f ca="1">S865</f>
        <v>Transgénero</v>
      </c>
      <c r="F865" s="426"/>
      <c r="G865" s="812" t="str">
        <f ca="1">IF(OR(INDIRECT("'update Helper'!E"&amp;U865)="",F865&lt;&gt;0,F866&lt;&gt;0),IF(IFERROR((F865/F866),"")="","",(F865/F866)),INDIRECT("'update Helper'!E"&amp;U865)/100)</f>
        <v/>
      </c>
      <c r="H865" s="813"/>
      <c r="I865" s="798"/>
      <c r="J865" s="777"/>
      <c r="K865" s="795" t="str">
        <f ca="1">W865</f>
        <v>HTS-3c⁽ᴹ⁾ Percentage of sex workers that have received an HIV test during the reporting period and know their results</v>
      </c>
      <c r="L865" s="795" t="str">
        <f ca="1">V865</f>
        <v>Gender</v>
      </c>
      <c r="M865" s="777"/>
      <c r="N865" s="777"/>
      <c r="P865" s="89">
        <f ca="1">IF(AND(EXACT(C865,C863),C863&lt;&gt;0),P863+1,0)</f>
        <v>2</v>
      </c>
      <c r="Q865" s="89" t="str">
        <f ca="1">IF(C865&lt;&gt;"",C865&amp;"-"&amp;P865,"")</f>
        <v>HTS-3c⁽ᴹ⁾ Porcentaje de trabajadores sexuales a los que se les ha realizado una prueba de VIH durante el período de reporte y que conocen sus resultados-2</v>
      </c>
      <c r="R865" s="89" t="str">
        <f t="array" aca="1" ref="R865" ca="1">IFERROR(IF(INDEX('Disaggregation Records'!$E$155:$E$385,MATCH(RIGHT(Q865,255),RIGHT('Disaggregation Records'!$D$155:$D$385,255),0))="","",INDEX('Disaggregation Records'!$E$155:$E$385,MATCH(RIGHT(Q865,255),RIGHT('Disaggregation Records'!$D$155:$D$385,255),0))),"")</f>
        <v>Género</v>
      </c>
      <c r="S865" s="89" t="str">
        <f t="array" aca="1" ref="S865" ca="1">IFERROR(IF(INDEX('Disaggregation Records'!$F$155:$F$385,MATCH(RIGHT(Q865,255),RIGHT('Disaggregation Records'!$D$155:$D$385,255),0))="","",INDEX('Disaggregation Records'!$F$155:$F$385,MATCH(RIGHT(Q865,255),RIGHT('Disaggregation Records'!$D$155:$D$385,255),0))),"")</f>
        <v>Transgénero</v>
      </c>
      <c r="T865" s="89" t="str">
        <f t="array" aca="1" ref="T865" ca="1">IFERROR(IF(INDEX('Disaggregation Records'!$H$155:$H$385,MATCH(RIGHT(Q865,255),RIGHT('Disaggregation Records'!$D$155:$D$385,255),0))="","",INDEX('Disaggregation Records'!$H$155:$H$385,MATCH(RIGHT(Q865,255),RIGHT('Disaggregation Records'!$D$155:$D$385,255),0))),"")</f>
        <v>IDR-00835</v>
      </c>
      <c r="U865" s="89">
        <f>U863+1</f>
        <v>1542</v>
      </c>
      <c r="V865" s="89" t="str">
        <f t="array" aca="1" ref="V865" ca="1">IFERROR(IF(INDEX('Disaggregation Records'!$I$155:$I$385,MATCH(RIGHT(Q865,255),RIGHT('Disaggregation Records'!$D$155:$D$385,255),0))="","",INDEX('Disaggregation Records'!$I$155:$I$385,MATCH(RIGHT(Q865,255),RIGHT('Disaggregation Records'!$D$155:$D$385,255),0))),"")</f>
        <v>Gender</v>
      </c>
      <c r="W865" s="89" t="str">
        <f ca="1">IFERROR(INDEX('Reference Records'!L$77:L$157,MATCH(LEFT(C865,255),'Reference Records'!E$77:E$157,0)),"")</f>
        <v>HTS-3c⁽ᴹ⁾ Percentage of sex workers that have received an HIV test during the reporting period and know their results</v>
      </c>
    </row>
    <row r="866" spans="1:23" s="89" customFormat="1" ht="40.35" customHeight="1">
      <c r="A866" s="564"/>
      <c r="B866" s="799"/>
      <c r="C866" s="800"/>
      <c r="D866" s="801"/>
      <c r="E866" s="801"/>
      <c r="F866" s="427"/>
      <c r="G866" s="814"/>
      <c r="H866" s="815"/>
      <c r="I866" s="803"/>
      <c r="J866" s="779"/>
      <c r="K866" s="800"/>
      <c r="L866" s="800"/>
      <c r="M866" s="779"/>
      <c r="N866" s="779"/>
    </row>
    <row r="867" spans="1:23" s="89" customFormat="1" ht="40.35" customHeight="1">
      <c r="A867" s="564" t="str">
        <f ca="1">INDIRECT("'update Helper'!C"&amp;U867)</f>
        <v>a163p000004VjmgAAC</v>
      </c>
      <c r="B867" s="794">
        <v>7</v>
      </c>
      <c r="C867" s="795" t="str">
        <f ca="1">VLOOKUP(B867,'Coverage Indicators - Section D'!$A$9:$AU$70,47,FALSE)</f>
        <v>HTS-3c⁽ᴹ⁾ Porcentaje de trabajadores sexuales a los que se les ha realizado una prueba de VIH durante el período de reporte y que conocen sus resultados</v>
      </c>
      <c r="D867" s="796" t="str">
        <f ca="1">R867</f>
        <v>Género</v>
      </c>
      <c r="E867" s="796" t="str">
        <f ca="1">S867</f>
        <v>Mujeres</v>
      </c>
      <c r="F867" s="418">
        <v>1771</v>
      </c>
      <c r="G867" s="806">
        <f ca="1">IF(OR(INDIRECT("'update Helper'!E"&amp;U867)="",F867&lt;&gt;0,F868&lt;&gt;0),IF(IFERROR((F867/F868),"")="","",(F867/F868)),INDIRECT("'update Helper'!E"&amp;U867)/100)</f>
        <v>8.6529535349587142E-2</v>
      </c>
      <c r="H867" s="804">
        <v>2021</v>
      </c>
      <c r="I867" s="798"/>
      <c r="J867" s="777"/>
      <c r="K867" s="795" t="str">
        <f ca="1">W867</f>
        <v>HTS-3c⁽ᴹ⁾ Percentage of sex workers that have received an HIV test during the reporting period and know their results</v>
      </c>
      <c r="L867" s="795" t="str">
        <f ca="1">V867</f>
        <v>Gender</v>
      </c>
      <c r="M867" s="777"/>
      <c r="N867" s="777"/>
      <c r="P867" s="89">
        <f ca="1">IF(AND(EXACT(C867,C865),C865&lt;&gt;0),P865+1,0)</f>
        <v>3</v>
      </c>
      <c r="Q867" s="89" t="str">
        <f ca="1">IF(C867&lt;&gt;"",C867&amp;"-"&amp;P867,"")</f>
        <v>HTS-3c⁽ᴹ⁾ Porcentaje de trabajadores sexuales a los que se les ha realizado una prueba de VIH durante el período de reporte y que conocen sus resultados-3</v>
      </c>
      <c r="R867" s="89" t="str">
        <f t="array" aca="1" ref="R867" ca="1">IFERROR(IF(INDEX('Disaggregation Records'!$E$155:$E$385,MATCH(RIGHT(Q867,255),RIGHT('Disaggregation Records'!$D$155:$D$385,255),0))="","",INDEX('Disaggregation Records'!$E$155:$E$385,MATCH(RIGHT(Q867,255),RIGHT('Disaggregation Records'!$D$155:$D$385,255),0))),"")</f>
        <v>Género</v>
      </c>
      <c r="S867" s="89" t="str">
        <f t="array" aca="1" ref="S867" ca="1">IFERROR(IF(INDEX('Disaggregation Records'!$F$155:$F$385,MATCH(RIGHT(Q867,255),RIGHT('Disaggregation Records'!$D$155:$D$385,255),0))="","",INDEX('Disaggregation Records'!$F$155:$F$385,MATCH(RIGHT(Q867,255),RIGHT('Disaggregation Records'!$D$155:$D$385,255),0))),"")</f>
        <v>Mujeres</v>
      </c>
      <c r="T867" s="89" t="str">
        <f t="array" aca="1" ref="T867" ca="1">IFERROR(IF(INDEX('Disaggregation Records'!$H$155:$H$385,MATCH(RIGHT(Q867,255),RIGHT('Disaggregation Records'!$D$155:$D$385,255),0))="","",INDEX('Disaggregation Records'!$H$155:$H$385,MATCH(RIGHT(Q867,255),RIGHT('Disaggregation Records'!$D$155:$D$385,255),0))),"")</f>
        <v>IDR-00834</v>
      </c>
      <c r="U867" s="89">
        <f>U865+1</f>
        <v>1543</v>
      </c>
      <c r="V867" s="89" t="str">
        <f t="array" aca="1" ref="V867" ca="1">IFERROR(IF(INDEX('Disaggregation Records'!$I$155:$I$385,MATCH(RIGHT(Q867,255),RIGHT('Disaggregation Records'!$D$155:$D$385,255),0))="","",INDEX('Disaggregation Records'!$I$155:$I$385,MATCH(RIGHT(Q867,255),RIGHT('Disaggregation Records'!$D$155:$D$385,255),0))),"")</f>
        <v>Gender</v>
      </c>
      <c r="W867" s="89" t="str">
        <f ca="1">IFERROR(INDEX('Reference Records'!L$77:L$157,MATCH(LEFT(C867,255),'Reference Records'!E$77:E$157,0)),"")</f>
        <v>HTS-3c⁽ᴹ⁾ Percentage of sex workers that have received an HIV test during the reporting period and know their results</v>
      </c>
    </row>
    <row r="868" spans="1:23" s="89" customFormat="1" ht="40.35" customHeight="1">
      <c r="A868" s="564"/>
      <c r="B868" s="799"/>
      <c r="C868" s="800"/>
      <c r="D868" s="801"/>
      <c r="E868" s="801"/>
      <c r="F868" s="419">
        <f>+F824</f>
        <v>20467</v>
      </c>
      <c r="G868" s="807"/>
      <c r="H868" s="805"/>
      <c r="I868" s="803"/>
      <c r="J868" s="779"/>
      <c r="K868" s="800"/>
      <c r="L868" s="800"/>
      <c r="M868" s="779"/>
      <c r="N868" s="779"/>
    </row>
    <row r="869" spans="1:23" s="89" customFormat="1" ht="40.35" customHeight="1">
      <c r="A869" s="564" t="str">
        <f ca="1">INDIRECT("'update Helper'!C"&amp;U869)</f>
        <v>a163p000004VjmhAAC</v>
      </c>
      <c r="B869" s="794">
        <v>7</v>
      </c>
      <c r="C869" s="795" t="str">
        <f ca="1">VLOOKUP(B869,'Coverage Indicators - Section D'!$A$9:$AU$70,47,FALSE)</f>
        <v>HTS-3c⁽ᴹ⁾ Porcentaje de trabajadores sexuales a los que se les ha realizado una prueba de VIH durante el período de reporte y que conocen sus resultados</v>
      </c>
      <c r="D869" s="796" t="str">
        <f ca="1">R869</f>
        <v>Género</v>
      </c>
      <c r="E869" s="796" t="str">
        <f ca="1">S869</f>
        <v>Hombres</v>
      </c>
      <c r="F869" s="426"/>
      <c r="G869" s="812" t="str">
        <f ca="1">IF(OR(INDIRECT("'update Helper'!E"&amp;U869)="",F869&lt;&gt;0,F870&lt;&gt;0),IF(IFERROR((F869/F870),"")="","",(F869/F870)),INDIRECT("'update Helper'!E"&amp;U869)/100)</f>
        <v/>
      </c>
      <c r="H869" s="813"/>
      <c r="I869" s="798"/>
      <c r="J869" s="777"/>
      <c r="K869" s="795" t="str">
        <f ca="1">W869</f>
        <v>HTS-3c⁽ᴹ⁾ Percentage of sex workers that have received an HIV test during the reporting period and know their results</v>
      </c>
      <c r="L869" s="795" t="str">
        <f ca="1">V869</f>
        <v>Gender</v>
      </c>
      <c r="M869" s="777"/>
      <c r="N869" s="777"/>
      <c r="P869" s="89">
        <f ca="1">IF(AND(EXACT(C869,C867),C867&lt;&gt;0),P867+1,0)</f>
        <v>4</v>
      </c>
      <c r="Q869" s="89" t="str">
        <f ca="1">IF(C869&lt;&gt;"",C869&amp;"-"&amp;P869,"")</f>
        <v>HTS-3c⁽ᴹ⁾ Porcentaje de trabajadores sexuales a los que se les ha realizado una prueba de VIH durante el período de reporte y que conocen sus resultados-4</v>
      </c>
      <c r="R869" s="89" t="str">
        <f t="array" aca="1" ref="R869" ca="1">IFERROR(IF(INDEX('Disaggregation Records'!$E$155:$E$385,MATCH(RIGHT(Q869,255),RIGHT('Disaggregation Records'!$D$155:$D$385,255),0))="","",INDEX('Disaggregation Records'!$E$155:$E$385,MATCH(RIGHT(Q869,255),RIGHT('Disaggregation Records'!$D$155:$D$385,255),0))),"")</f>
        <v>Género</v>
      </c>
      <c r="S869" s="89" t="str">
        <f t="array" aca="1" ref="S869" ca="1">IFERROR(IF(INDEX('Disaggregation Records'!$F$155:$F$385,MATCH(RIGHT(Q869,255),RIGHT('Disaggregation Records'!$D$155:$D$385,255),0))="","",INDEX('Disaggregation Records'!$F$155:$F$385,MATCH(RIGHT(Q869,255),RIGHT('Disaggregation Records'!$D$155:$D$385,255),0))),"")</f>
        <v>Hombres</v>
      </c>
      <c r="T869" s="89" t="str">
        <f t="array" aca="1" ref="T869" ca="1">IFERROR(IF(INDEX('Disaggregation Records'!$H$155:$H$385,MATCH(RIGHT(Q869,255),RIGHT('Disaggregation Records'!$D$155:$D$385,255),0))="","",INDEX('Disaggregation Records'!$H$155:$H$385,MATCH(RIGHT(Q869,255),RIGHT('Disaggregation Records'!$D$155:$D$385,255),0))),"")</f>
        <v>IDR-00833</v>
      </c>
      <c r="U869" s="89">
        <f>U867+1</f>
        <v>1544</v>
      </c>
      <c r="V869" s="89" t="str">
        <f t="array" aca="1" ref="V869" ca="1">IFERROR(IF(INDEX('Disaggregation Records'!$I$155:$I$385,MATCH(RIGHT(Q869,255),RIGHT('Disaggregation Records'!$D$155:$D$385,255),0))="","",INDEX('Disaggregation Records'!$I$155:$I$385,MATCH(RIGHT(Q869,255),RIGHT('Disaggregation Records'!$D$155:$D$385,255),0))),"")</f>
        <v>Gender</v>
      </c>
      <c r="W869" s="89" t="str">
        <f ca="1">IFERROR(INDEX('Reference Records'!L$77:L$157,MATCH(LEFT(C869,255),'Reference Records'!E$77:E$157,0)),"")</f>
        <v>HTS-3c⁽ᴹ⁾ Percentage of sex workers that have received an HIV test during the reporting period and know their results</v>
      </c>
    </row>
    <row r="870" spans="1:23" s="89" customFormat="1" ht="40.35" customHeight="1">
      <c r="A870" s="564"/>
      <c r="B870" s="799"/>
      <c r="C870" s="800"/>
      <c r="D870" s="801"/>
      <c r="E870" s="801"/>
      <c r="F870" s="427"/>
      <c r="G870" s="814"/>
      <c r="H870" s="815"/>
      <c r="I870" s="803"/>
      <c r="J870" s="779"/>
      <c r="K870" s="800"/>
      <c r="L870" s="800"/>
      <c r="M870" s="779"/>
      <c r="N870" s="779"/>
    </row>
    <row r="871" spans="1:23" s="89" customFormat="1" ht="40.35" customHeight="1">
      <c r="A871" s="564" t="str">
        <f ca="1">INDIRECT("'update Helper'!C"&amp;U871)</f>
        <v>a163p000004VjmiAAC</v>
      </c>
      <c r="B871" s="794">
        <v>7</v>
      </c>
      <c r="C871" s="795" t="str">
        <f ca="1">VLOOKUP(B871,'Coverage Indicators - Section D'!$A$9:$AU$70,47,FALSE)</f>
        <v>HTS-3c⁽ᴹ⁾ Porcentaje de trabajadores sexuales a los que se les ha realizado una prueba de VIH durante el período de reporte y que conocen sus resultados</v>
      </c>
      <c r="D871" s="796" t="str">
        <f ca="1">R871</f>
        <v>Edad</v>
      </c>
      <c r="E871" s="796" t="str">
        <f ca="1">S871</f>
        <v>25+</v>
      </c>
      <c r="F871" s="418">
        <v>1392</v>
      </c>
      <c r="G871" s="810" t="str">
        <f ca="1">IF(OR(INDIRECT("'update Helper'!E"&amp;U871)="",F871&lt;&gt;0,F872&lt;&gt;0),IF(IFERROR((F871/F872),"")="","",(F871/F872)),INDIRECT("'update Helper'!E"&amp;U871)/100)</f>
        <v/>
      </c>
      <c r="H871" s="804">
        <v>2021</v>
      </c>
      <c r="I871" s="798"/>
      <c r="J871" s="777"/>
      <c r="K871" s="795" t="str">
        <f ca="1">W871</f>
        <v>HTS-3c⁽ᴹ⁾ Percentage of sex workers that have received an HIV test during the reporting period and know their results</v>
      </c>
      <c r="L871" s="795" t="str">
        <f ca="1">V871</f>
        <v>Age</v>
      </c>
      <c r="M871" s="777"/>
      <c r="N871" s="777"/>
      <c r="P871" s="89">
        <f ca="1">IF(AND(EXACT(C871,C869),C869&lt;&gt;0),P869+1,0)</f>
        <v>5</v>
      </c>
      <c r="Q871" s="89" t="str">
        <f ca="1">IF(C871&lt;&gt;"",C871&amp;"-"&amp;P871,"")</f>
        <v>HTS-3c⁽ᴹ⁾ Porcentaje de trabajadores sexuales a los que se les ha realizado una prueba de VIH durante el período de reporte y que conocen sus resultados-5</v>
      </c>
      <c r="R871" s="89" t="str">
        <f t="array" aca="1" ref="R871" ca="1">IFERROR(IF(INDEX('Disaggregation Records'!$E$155:$E$385,MATCH(RIGHT(Q871,255),RIGHT('Disaggregation Records'!$D$155:$D$385,255),0))="","",INDEX('Disaggregation Records'!$E$155:$E$385,MATCH(RIGHT(Q871,255),RIGHT('Disaggregation Records'!$D$155:$D$385,255),0))),"")</f>
        <v>Edad</v>
      </c>
      <c r="S871" s="89" t="str">
        <f t="array" aca="1" ref="S871" ca="1">IFERROR(IF(INDEX('Disaggregation Records'!$F$155:$F$385,MATCH(RIGHT(Q871,255),RIGHT('Disaggregation Records'!$D$155:$D$385,255),0))="","",INDEX('Disaggregation Records'!$F$155:$F$385,MATCH(RIGHT(Q871,255),RIGHT('Disaggregation Records'!$D$155:$D$385,255),0))),"")</f>
        <v>25+</v>
      </c>
      <c r="T871" s="89" t="str">
        <f t="array" aca="1" ref="T871" ca="1">IFERROR(IF(INDEX('Disaggregation Records'!$H$155:$H$385,MATCH(RIGHT(Q871,255),RIGHT('Disaggregation Records'!$D$155:$D$385,255),0))="","",INDEX('Disaggregation Records'!$H$155:$H$385,MATCH(RIGHT(Q871,255),RIGHT('Disaggregation Records'!$D$155:$D$385,255),0))),"")</f>
        <v>IDR-00718</v>
      </c>
      <c r="U871" s="89">
        <f>U869+1</f>
        <v>1545</v>
      </c>
      <c r="V871" s="89" t="str">
        <f t="array" aca="1" ref="V871" ca="1">IFERROR(IF(INDEX('Disaggregation Records'!$I$155:$I$385,MATCH(RIGHT(Q871,255),RIGHT('Disaggregation Records'!$D$155:$D$385,255),0))="","",INDEX('Disaggregation Records'!$I$155:$I$385,MATCH(RIGHT(Q871,255),RIGHT('Disaggregation Records'!$D$155:$D$385,255),0))),"")</f>
        <v>Age</v>
      </c>
      <c r="W871" s="89" t="str">
        <f ca="1">IFERROR(INDEX('Reference Records'!L$77:L$157,MATCH(LEFT(C871,255),'Reference Records'!E$77:E$157,0)),"")</f>
        <v>HTS-3c⁽ᴹ⁾ Percentage of sex workers that have received an HIV test during the reporting period and know their results</v>
      </c>
    </row>
    <row r="872" spans="1:23" s="89" customFormat="1" ht="40.35" customHeight="1">
      <c r="A872" s="564"/>
      <c r="B872" s="799"/>
      <c r="C872" s="800"/>
      <c r="D872" s="801"/>
      <c r="E872" s="801"/>
      <c r="F872" s="428"/>
      <c r="G872" s="811"/>
      <c r="H872" s="805"/>
      <c r="I872" s="803"/>
      <c r="J872" s="779"/>
      <c r="K872" s="800"/>
      <c r="L872" s="800"/>
      <c r="M872" s="779"/>
      <c r="N872" s="779"/>
    </row>
    <row r="873" spans="1:23" s="89" customFormat="1" ht="40.35" customHeight="1">
      <c r="A873" s="564" t="str">
        <f ca="1">INDIRECT("'update Helper'!C"&amp;U873)</f>
        <v>a163p000004VjmjAAC</v>
      </c>
      <c r="B873" s="794">
        <v>7</v>
      </c>
      <c r="C873" s="795" t="str">
        <f ca="1">VLOOKUP(B873,'Coverage Indicators - Section D'!$A$9:$AU$70,47,FALSE)</f>
        <v>HTS-3c⁽ᴹ⁾ Porcentaje de trabajadores sexuales a los que se les ha realizado una prueba de VIH durante el período de reporte y que conocen sus resultados</v>
      </c>
      <c r="D873" s="796" t="str">
        <f ca="1">R873</f>
        <v>Edad</v>
      </c>
      <c r="E873" s="796" t="str">
        <f ca="1">S873</f>
        <v>&lt;25</v>
      </c>
      <c r="F873" s="418">
        <v>379</v>
      </c>
      <c r="G873" s="810" t="str">
        <f ca="1">IF(OR(INDIRECT("'update Helper'!E"&amp;U873)="",F873&lt;&gt;0,F874&lt;&gt;0),IF(IFERROR((F873/F874),"")="","",(F873/F874)),INDIRECT("'update Helper'!E"&amp;U873)/100)</f>
        <v/>
      </c>
      <c r="H873" s="804">
        <v>2021</v>
      </c>
      <c r="I873" s="798"/>
      <c r="J873" s="777"/>
      <c r="K873" s="795" t="str">
        <f ca="1">W873</f>
        <v>HTS-3c⁽ᴹ⁾ Percentage of sex workers that have received an HIV test during the reporting period and know their results</v>
      </c>
      <c r="L873" s="795" t="str">
        <f ca="1">V873</f>
        <v>Age</v>
      </c>
      <c r="M873" s="777"/>
      <c r="N873" s="777"/>
      <c r="P873" s="89">
        <f ca="1">IF(AND(EXACT(C873,C871),C871&lt;&gt;0),P871+1,0)</f>
        <v>6</v>
      </c>
      <c r="Q873" s="89" t="str">
        <f ca="1">IF(C873&lt;&gt;"",C873&amp;"-"&amp;P873,"")</f>
        <v>HTS-3c⁽ᴹ⁾ Porcentaje de trabajadores sexuales a los que se les ha realizado una prueba de VIH durante el período de reporte y que conocen sus resultados-6</v>
      </c>
      <c r="R873" s="89" t="str">
        <f t="array" aca="1" ref="R873" ca="1">IFERROR(IF(INDEX('Disaggregation Records'!$E$155:$E$385,MATCH(RIGHT(Q873,255),RIGHT('Disaggregation Records'!$D$155:$D$385,255),0))="","",INDEX('Disaggregation Records'!$E$155:$E$385,MATCH(RIGHT(Q873,255),RIGHT('Disaggregation Records'!$D$155:$D$385,255),0))),"")</f>
        <v>Edad</v>
      </c>
      <c r="S873" s="89" t="str">
        <f t="array" aca="1" ref="S873" ca="1">IFERROR(IF(INDEX('Disaggregation Records'!$F$155:$F$385,MATCH(RIGHT(Q873,255),RIGHT('Disaggregation Records'!$D$155:$D$385,255),0))="","",INDEX('Disaggregation Records'!$F$155:$F$385,MATCH(RIGHT(Q873,255),RIGHT('Disaggregation Records'!$D$155:$D$385,255),0))),"")</f>
        <v>&lt;25</v>
      </c>
      <c r="T873" s="89" t="str">
        <f t="array" aca="1" ref="T873" ca="1">IFERROR(IF(INDEX('Disaggregation Records'!$H$155:$H$385,MATCH(RIGHT(Q873,255),RIGHT('Disaggregation Records'!$D$155:$D$385,255),0))="","",INDEX('Disaggregation Records'!$H$155:$H$385,MATCH(RIGHT(Q873,255),RIGHT('Disaggregation Records'!$D$155:$D$385,255),0))),"")</f>
        <v>IDR-00717</v>
      </c>
      <c r="U873" s="89">
        <f>U871+1</f>
        <v>1546</v>
      </c>
      <c r="V873" s="89" t="str">
        <f t="array" aca="1" ref="V873" ca="1">IFERROR(IF(INDEX('Disaggregation Records'!$I$155:$I$385,MATCH(RIGHT(Q873,255),RIGHT('Disaggregation Records'!$D$155:$D$385,255),0))="","",INDEX('Disaggregation Records'!$I$155:$I$385,MATCH(RIGHT(Q873,255),RIGHT('Disaggregation Records'!$D$155:$D$385,255),0))),"")</f>
        <v>Age</v>
      </c>
      <c r="W873" s="89" t="str">
        <f ca="1">IFERROR(INDEX('Reference Records'!L$77:L$157,MATCH(LEFT(C873,255),'Reference Records'!E$77:E$157,0)),"")</f>
        <v>HTS-3c⁽ᴹ⁾ Percentage of sex workers that have received an HIV test during the reporting period and know their results</v>
      </c>
    </row>
    <row r="874" spans="1:23" s="89" customFormat="1" ht="40.35" customHeight="1">
      <c r="A874" s="564"/>
      <c r="B874" s="799"/>
      <c r="C874" s="800"/>
      <c r="D874" s="801"/>
      <c r="E874" s="801"/>
      <c r="F874" s="428"/>
      <c r="G874" s="811"/>
      <c r="H874" s="805"/>
      <c r="I874" s="803"/>
      <c r="J874" s="779"/>
      <c r="K874" s="800"/>
      <c r="L874" s="800"/>
      <c r="M874" s="779"/>
      <c r="N874" s="779"/>
    </row>
    <row r="875" spans="1:23" s="89" customFormat="1" ht="40.35" customHeight="1">
      <c r="A875" s="564" t="str">
        <f ca="1">INDIRECT("'update Helper'!C"&amp;U875)</f>
        <v>a163p000004VjmkAAC</v>
      </c>
      <c r="B875" s="794">
        <v>7</v>
      </c>
      <c r="C875" s="795" t="str">
        <f ca="1">VLOOKUP(B875,'Coverage Indicators - Section D'!$A$9:$AU$70,47,FALSE)</f>
        <v>HTS-3c⁽ᴹ⁾ Porcentaje de trabajadores sexuales a los que se les ha realizado una prueba de VIH durante el período de reporte y que conocen sus resultados</v>
      </c>
      <c r="D875" s="796" t="str">
        <f ca="1">R875</f>
        <v/>
      </c>
      <c r="E875" s="796" t="str">
        <f ca="1">S875</f>
        <v/>
      </c>
      <c r="F875" s="127"/>
      <c r="G875" s="797" t="str">
        <f ca="1">IF(OR(INDIRECT("'update Helper'!E"&amp;U875)="",F875&lt;&gt;0,F876&lt;&gt;0),IF(IFERROR((F875/F876),"")="","",(F875/F876)),INDIRECT("'update Helper'!E"&amp;U875)/100)</f>
        <v/>
      </c>
      <c r="H875" s="784"/>
      <c r="I875" s="798"/>
      <c r="J875" s="777"/>
      <c r="K875" s="795" t="str">
        <f ca="1">W875</f>
        <v>HTS-3c⁽ᴹ⁾ Percentage of sex workers that have received an HIV test during the reporting period and know their results</v>
      </c>
      <c r="L875" s="795" t="str">
        <f ca="1">V875</f>
        <v/>
      </c>
      <c r="M875" s="777"/>
      <c r="N875" s="777"/>
      <c r="P875" s="89">
        <f ca="1">IF(AND(EXACT(C875,C873),C873&lt;&gt;0),P873+1,0)</f>
        <v>7</v>
      </c>
      <c r="Q875" s="89" t="str">
        <f ca="1">IF(C875&lt;&gt;"",C875&amp;"-"&amp;P875,"")</f>
        <v>HTS-3c⁽ᴹ⁾ Porcentaje de trabajadores sexuales a los que se les ha realizado una prueba de VIH durante el período de reporte y que conocen sus resultados-7</v>
      </c>
      <c r="R875" s="89" t="str">
        <f t="array" aca="1" ref="R875" ca="1">IFERROR(IF(INDEX('Disaggregation Records'!$E$155:$E$385,MATCH(RIGHT(Q875,255),RIGHT('Disaggregation Records'!$D$155:$D$385,255),0))="","",INDEX('Disaggregation Records'!$E$155:$E$385,MATCH(RIGHT(Q875,255),RIGHT('Disaggregation Records'!$D$155:$D$385,255),0))),"")</f>
        <v/>
      </c>
      <c r="S875" s="89" t="str">
        <f t="array" aca="1" ref="S875" ca="1">IFERROR(IF(INDEX('Disaggregation Records'!$F$155:$F$385,MATCH(RIGHT(Q875,255),RIGHT('Disaggregation Records'!$D$155:$D$385,255),0))="","",INDEX('Disaggregation Records'!$F$155:$F$385,MATCH(RIGHT(Q875,255),RIGHT('Disaggregation Records'!$D$155:$D$385,255),0))),"")</f>
        <v/>
      </c>
      <c r="T875" s="89" t="str">
        <f t="array" aca="1" ref="T875" ca="1">IFERROR(IF(INDEX('Disaggregation Records'!$H$155:$H$385,MATCH(RIGHT(Q875,255),RIGHT('Disaggregation Records'!$D$155:$D$385,255),0))="","",INDEX('Disaggregation Records'!$H$155:$H$385,MATCH(RIGHT(Q875,255),RIGHT('Disaggregation Records'!$D$155:$D$385,255),0))),"")</f>
        <v/>
      </c>
      <c r="U875" s="89">
        <f>U873+1</f>
        <v>1547</v>
      </c>
      <c r="V875" s="89" t="str">
        <f t="array" aca="1" ref="V875" ca="1">IFERROR(IF(INDEX('Disaggregation Records'!$I$155:$I$385,MATCH(RIGHT(Q875,255),RIGHT('Disaggregation Records'!$D$155:$D$385,255),0))="","",INDEX('Disaggregation Records'!$I$155:$I$385,MATCH(RIGHT(Q875,255),RIGHT('Disaggregation Records'!$D$155:$D$385,255),0))),"")</f>
        <v/>
      </c>
      <c r="W875" s="89" t="str">
        <f ca="1">IFERROR(INDEX('Reference Records'!L$77:L$157,MATCH(LEFT(C875,255),'Reference Records'!E$77:E$157,0)),"")</f>
        <v>HTS-3c⁽ᴹ⁾ Percentage of sex workers that have received an HIV test during the reporting period and know their results</v>
      </c>
    </row>
    <row r="876" spans="1:23" s="89" customFormat="1" ht="40.35" customHeight="1">
      <c r="A876" s="564"/>
      <c r="B876" s="799"/>
      <c r="C876" s="800"/>
      <c r="D876" s="801"/>
      <c r="E876" s="801"/>
      <c r="F876" s="128"/>
      <c r="G876" s="802"/>
      <c r="H876" s="781"/>
      <c r="I876" s="803"/>
      <c r="J876" s="779"/>
      <c r="K876" s="800"/>
      <c r="L876" s="800"/>
      <c r="M876" s="779"/>
      <c r="N876" s="779"/>
    </row>
    <row r="877" spans="1:23" s="89" customFormat="1" ht="40.35" customHeight="1">
      <c r="A877" s="564" t="str">
        <f ca="1">INDIRECT("'update Helper'!C"&amp;U877)</f>
        <v>a163p000004VjmlAAC</v>
      </c>
      <c r="B877" s="794">
        <v>7</v>
      </c>
      <c r="C877" s="795" t="str">
        <f ca="1">VLOOKUP(B877,'Coverage Indicators - Section D'!$A$9:$AU$70,47,FALSE)</f>
        <v>HTS-3c⁽ᴹ⁾ Porcentaje de trabajadores sexuales a los que se les ha realizado una prueba de VIH durante el período de reporte y que conocen sus resultados</v>
      </c>
      <c r="D877" s="796" t="str">
        <f ca="1">R877</f>
        <v/>
      </c>
      <c r="E877" s="796" t="str">
        <f ca="1">S877</f>
        <v/>
      </c>
      <c r="F877" s="127"/>
      <c r="G877" s="797" t="str">
        <f ca="1">IF(OR(INDIRECT("'update Helper'!E"&amp;U877)="",F877&lt;&gt;0,F878&lt;&gt;0),IF(IFERROR((F877/F878),"")="","",(F877/F878)),INDIRECT("'update Helper'!E"&amp;U877)/100)</f>
        <v/>
      </c>
      <c r="H877" s="784"/>
      <c r="I877" s="798"/>
      <c r="J877" s="777"/>
      <c r="K877" s="795" t="str">
        <f ca="1">W877</f>
        <v>HTS-3c⁽ᴹ⁾ Percentage of sex workers that have received an HIV test during the reporting period and know their results</v>
      </c>
      <c r="L877" s="795" t="str">
        <f ca="1">V877</f>
        <v/>
      </c>
      <c r="M877" s="777"/>
      <c r="N877" s="777"/>
      <c r="P877" s="89">
        <f ca="1">IF(AND(EXACT(C877,C875),C875&lt;&gt;0),P875+1,0)</f>
        <v>8</v>
      </c>
      <c r="Q877" s="89" t="str">
        <f ca="1">IF(C877&lt;&gt;"",C877&amp;"-"&amp;P877,"")</f>
        <v>HTS-3c⁽ᴹ⁾ Porcentaje de trabajadores sexuales a los que se les ha realizado una prueba de VIH durante el período de reporte y que conocen sus resultados-8</v>
      </c>
      <c r="R877" s="89" t="str">
        <f t="array" aca="1" ref="R877" ca="1">IFERROR(IF(INDEX('Disaggregation Records'!$E$155:$E$385,MATCH(RIGHT(Q877,255),RIGHT('Disaggregation Records'!$D$155:$D$385,255),0))="","",INDEX('Disaggregation Records'!$E$155:$E$385,MATCH(RIGHT(Q877,255),RIGHT('Disaggregation Records'!$D$155:$D$385,255),0))),"")</f>
        <v/>
      </c>
      <c r="S877" s="89" t="str">
        <f t="array" aca="1" ref="S877" ca="1">IFERROR(IF(INDEX('Disaggregation Records'!$F$155:$F$385,MATCH(RIGHT(Q877,255),RIGHT('Disaggregation Records'!$D$155:$D$385,255),0))="","",INDEX('Disaggregation Records'!$F$155:$F$385,MATCH(RIGHT(Q877,255),RIGHT('Disaggregation Records'!$D$155:$D$385,255),0))),"")</f>
        <v/>
      </c>
      <c r="T877" s="89" t="str">
        <f t="array" aca="1" ref="T877" ca="1">IFERROR(IF(INDEX('Disaggregation Records'!$H$155:$H$385,MATCH(RIGHT(Q877,255),RIGHT('Disaggregation Records'!$D$155:$D$385,255),0))="","",INDEX('Disaggregation Records'!$H$155:$H$385,MATCH(RIGHT(Q877,255),RIGHT('Disaggregation Records'!$D$155:$D$385,255),0))),"")</f>
        <v/>
      </c>
      <c r="U877" s="89">
        <f>U875+1</f>
        <v>1548</v>
      </c>
      <c r="V877" s="89" t="str">
        <f t="array" aca="1" ref="V877" ca="1">IFERROR(IF(INDEX('Disaggregation Records'!$I$155:$I$385,MATCH(RIGHT(Q877,255),RIGHT('Disaggregation Records'!$D$155:$D$385,255),0))="","",INDEX('Disaggregation Records'!$I$155:$I$385,MATCH(RIGHT(Q877,255),RIGHT('Disaggregation Records'!$D$155:$D$385,255),0))),"")</f>
        <v/>
      </c>
      <c r="W877" s="89" t="str">
        <f ca="1">IFERROR(INDEX('Reference Records'!L$77:L$157,MATCH(LEFT(C877,255),'Reference Records'!E$77:E$157,0)),"")</f>
        <v>HTS-3c⁽ᴹ⁾ Percentage of sex workers that have received an HIV test during the reporting period and know their results</v>
      </c>
    </row>
    <row r="878" spans="1:23" s="89" customFormat="1" ht="40.35" customHeight="1">
      <c r="A878" s="564"/>
      <c r="B878" s="799"/>
      <c r="C878" s="800"/>
      <c r="D878" s="801"/>
      <c r="E878" s="801"/>
      <c r="F878" s="128"/>
      <c r="G878" s="802"/>
      <c r="H878" s="781"/>
      <c r="I878" s="803"/>
      <c r="J878" s="779"/>
      <c r="K878" s="800"/>
      <c r="L878" s="800"/>
      <c r="M878" s="779"/>
      <c r="N878" s="779"/>
    </row>
    <row r="879" spans="1:23" s="89" customFormat="1" ht="40.35" customHeight="1">
      <c r="A879" s="564" t="str">
        <f ca="1">INDIRECT("'update Helper'!C"&amp;U879)</f>
        <v>a163p000004VjmmAAC</v>
      </c>
      <c r="B879" s="794">
        <v>7</v>
      </c>
      <c r="C879" s="795" t="str">
        <f ca="1">VLOOKUP(B879,'Coverage Indicators - Section D'!$A$9:$AU$70,47,FALSE)</f>
        <v>HTS-3c⁽ᴹ⁾ Porcentaje de trabajadores sexuales a los que se les ha realizado una prueba de VIH durante el período de reporte y que conocen sus resultados</v>
      </c>
      <c r="D879" s="796" t="str">
        <f ca="1">R879</f>
        <v/>
      </c>
      <c r="E879" s="796" t="str">
        <f ca="1">S879</f>
        <v/>
      </c>
      <c r="F879" s="127"/>
      <c r="G879" s="797" t="str">
        <f ca="1">IF(OR(INDIRECT("'update Helper'!E"&amp;U879)="",F879&lt;&gt;0,F880&lt;&gt;0),IF(IFERROR((F879/F880),"")="","",(F879/F880)),INDIRECT("'update Helper'!E"&amp;U879)/100)</f>
        <v/>
      </c>
      <c r="H879" s="784"/>
      <c r="I879" s="798"/>
      <c r="J879" s="777"/>
      <c r="K879" s="795" t="str">
        <f ca="1">W879</f>
        <v>HTS-3c⁽ᴹ⁾ Percentage of sex workers that have received an HIV test during the reporting period and know their results</v>
      </c>
      <c r="L879" s="795" t="str">
        <f ca="1">V879</f>
        <v/>
      </c>
      <c r="M879" s="777"/>
      <c r="N879" s="777"/>
      <c r="P879" s="89">
        <f ca="1">IF(AND(EXACT(C879,C877),C877&lt;&gt;0),P877+1,0)</f>
        <v>9</v>
      </c>
      <c r="Q879" s="89" t="str">
        <f ca="1">IF(C879&lt;&gt;"",C879&amp;"-"&amp;P879,"")</f>
        <v>HTS-3c⁽ᴹ⁾ Porcentaje de trabajadores sexuales a los que se les ha realizado una prueba de VIH durante el período de reporte y que conocen sus resultados-9</v>
      </c>
      <c r="R879" s="89" t="str">
        <f t="array" aca="1" ref="R879" ca="1">IFERROR(IF(INDEX('Disaggregation Records'!$E$155:$E$385,MATCH(RIGHT(Q879,255),RIGHT('Disaggregation Records'!$D$155:$D$385,255),0))="","",INDEX('Disaggregation Records'!$E$155:$E$385,MATCH(RIGHT(Q879,255),RIGHT('Disaggregation Records'!$D$155:$D$385,255),0))),"")</f>
        <v/>
      </c>
      <c r="S879" s="89" t="str">
        <f t="array" aca="1" ref="S879" ca="1">IFERROR(IF(INDEX('Disaggregation Records'!$F$155:$F$385,MATCH(RIGHT(Q879,255),RIGHT('Disaggregation Records'!$D$155:$D$385,255),0))="","",INDEX('Disaggregation Records'!$F$155:$F$385,MATCH(RIGHT(Q879,255),RIGHT('Disaggregation Records'!$D$155:$D$385,255),0))),"")</f>
        <v/>
      </c>
      <c r="T879" s="89" t="str">
        <f t="array" aca="1" ref="T879" ca="1">IFERROR(IF(INDEX('Disaggregation Records'!$H$155:$H$385,MATCH(RIGHT(Q879,255),RIGHT('Disaggregation Records'!$D$155:$D$385,255),0))="","",INDEX('Disaggregation Records'!$H$155:$H$385,MATCH(RIGHT(Q879,255),RIGHT('Disaggregation Records'!$D$155:$D$385,255),0))),"")</f>
        <v/>
      </c>
      <c r="U879" s="89">
        <f>U877+1</f>
        <v>1549</v>
      </c>
      <c r="V879" s="89" t="str">
        <f t="array" aca="1" ref="V879" ca="1">IFERROR(IF(INDEX('Disaggregation Records'!$I$155:$I$385,MATCH(RIGHT(Q879,255),RIGHT('Disaggregation Records'!$D$155:$D$385,255),0))="","",INDEX('Disaggregation Records'!$I$155:$I$385,MATCH(RIGHT(Q879,255),RIGHT('Disaggregation Records'!$D$155:$D$385,255),0))),"")</f>
        <v/>
      </c>
      <c r="W879" s="89" t="str">
        <f ca="1">IFERROR(INDEX('Reference Records'!L$77:L$157,MATCH(LEFT(C879,255),'Reference Records'!E$77:E$157,0)),"")</f>
        <v>HTS-3c⁽ᴹ⁾ Percentage of sex workers that have received an HIV test during the reporting period and know their results</v>
      </c>
    </row>
    <row r="880" spans="1:23" s="89" customFormat="1" ht="40.35" customHeight="1">
      <c r="A880" s="564"/>
      <c r="B880" s="799"/>
      <c r="C880" s="800"/>
      <c r="D880" s="801"/>
      <c r="E880" s="801"/>
      <c r="F880" s="128"/>
      <c r="G880" s="802"/>
      <c r="H880" s="781"/>
      <c r="I880" s="803"/>
      <c r="J880" s="779"/>
      <c r="K880" s="800"/>
      <c r="L880" s="800"/>
      <c r="M880" s="779"/>
      <c r="N880" s="779"/>
    </row>
    <row r="881" spans="1:23" s="89" customFormat="1" ht="40.35" customHeight="1">
      <c r="A881" s="564" t="str">
        <f ca="1">INDIRECT("'update Helper'!C"&amp;U881)</f>
        <v>a163p000004VjmnAAC</v>
      </c>
      <c r="B881" s="794">
        <v>7</v>
      </c>
      <c r="C881" s="795" t="str">
        <f ca="1">VLOOKUP(B881,'Coverage Indicators - Section D'!$A$9:$AU$70,47,FALSE)</f>
        <v>HTS-3c⁽ᴹ⁾ Porcentaje de trabajadores sexuales a los que se les ha realizado una prueba de VIH durante el período de reporte y que conocen sus resultados</v>
      </c>
      <c r="D881" s="796" t="str">
        <f ca="1">R881</f>
        <v/>
      </c>
      <c r="E881" s="796" t="str">
        <f ca="1">S881</f>
        <v/>
      </c>
      <c r="F881" s="127"/>
      <c r="G881" s="797" t="str">
        <f ca="1">IF(OR(INDIRECT("'update Helper'!E"&amp;U881)="",F881&lt;&gt;0,F882&lt;&gt;0),IF(IFERROR((F881/F882),"")="","",(F881/F882)),INDIRECT("'update Helper'!E"&amp;U881)/100)</f>
        <v/>
      </c>
      <c r="H881" s="784"/>
      <c r="I881" s="798"/>
      <c r="J881" s="777"/>
      <c r="K881" s="795" t="str">
        <f ca="1">W881</f>
        <v>HTS-3c⁽ᴹ⁾ Percentage of sex workers that have received an HIV test during the reporting period and know their results</v>
      </c>
      <c r="L881" s="795" t="str">
        <f ca="1">V881</f>
        <v/>
      </c>
      <c r="M881" s="777"/>
      <c r="N881" s="777"/>
      <c r="P881" s="89">
        <f ca="1">IF(AND(EXACT(C881,C879),C879&lt;&gt;0),P879+1,0)</f>
        <v>10</v>
      </c>
      <c r="Q881" s="89" t="str">
        <f ca="1">IF(C881&lt;&gt;"",C881&amp;"-"&amp;P881,"")</f>
        <v>HTS-3c⁽ᴹ⁾ Porcentaje de trabajadores sexuales a los que se les ha realizado una prueba de VIH durante el período de reporte y que conocen sus resultados-10</v>
      </c>
      <c r="R881" s="89" t="str">
        <f t="array" aca="1" ref="R881" ca="1">IFERROR(IF(INDEX('Disaggregation Records'!$E$155:$E$385,MATCH(RIGHT(Q881,255),RIGHT('Disaggregation Records'!$D$155:$D$385,255),0))="","",INDEX('Disaggregation Records'!$E$155:$E$385,MATCH(RIGHT(Q881,255),RIGHT('Disaggregation Records'!$D$155:$D$385,255),0))),"")</f>
        <v/>
      </c>
      <c r="S881" s="89" t="str">
        <f t="array" aca="1" ref="S881" ca="1">IFERROR(IF(INDEX('Disaggregation Records'!$F$155:$F$385,MATCH(RIGHT(Q881,255),RIGHT('Disaggregation Records'!$D$155:$D$385,255),0))="","",INDEX('Disaggregation Records'!$F$155:$F$385,MATCH(RIGHT(Q881,255),RIGHT('Disaggregation Records'!$D$155:$D$385,255),0))),"")</f>
        <v/>
      </c>
      <c r="T881" s="89" t="str">
        <f t="array" aca="1" ref="T881" ca="1">IFERROR(IF(INDEX('Disaggregation Records'!$H$155:$H$385,MATCH(RIGHT(Q881,255),RIGHT('Disaggregation Records'!$D$155:$D$385,255),0))="","",INDEX('Disaggregation Records'!$H$155:$H$385,MATCH(RIGHT(Q881,255),RIGHT('Disaggregation Records'!$D$155:$D$385,255),0))),"")</f>
        <v/>
      </c>
      <c r="U881" s="89">
        <f>U879+1</f>
        <v>1550</v>
      </c>
      <c r="V881" s="89" t="str">
        <f t="array" aca="1" ref="V881" ca="1">IFERROR(IF(INDEX('Disaggregation Records'!$I$155:$I$385,MATCH(RIGHT(Q881,255),RIGHT('Disaggregation Records'!$D$155:$D$385,255),0))="","",INDEX('Disaggregation Records'!$I$155:$I$385,MATCH(RIGHT(Q881,255),RIGHT('Disaggregation Records'!$D$155:$D$385,255),0))),"")</f>
        <v/>
      </c>
      <c r="W881" s="89" t="str">
        <f ca="1">IFERROR(INDEX('Reference Records'!L$77:L$157,MATCH(LEFT(C881,255),'Reference Records'!E$77:E$157,0)),"")</f>
        <v>HTS-3c⁽ᴹ⁾ Percentage of sex workers that have received an HIV test during the reporting period and know their results</v>
      </c>
    </row>
    <row r="882" spans="1:23" s="89" customFormat="1" ht="40.35" customHeight="1">
      <c r="A882" s="564"/>
      <c r="B882" s="799"/>
      <c r="C882" s="800"/>
      <c r="D882" s="801"/>
      <c r="E882" s="801"/>
      <c r="F882" s="128"/>
      <c r="G882" s="802"/>
      <c r="H882" s="781"/>
      <c r="I882" s="803"/>
      <c r="J882" s="779"/>
      <c r="K882" s="800"/>
      <c r="L882" s="800"/>
      <c r="M882" s="779"/>
      <c r="N882" s="779"/>
    </row>
    <row r="883" spans="1:23" s="89" customFormat="1" ht="40.35" customHeight="1">
      <c r="A883" s="564" t="str">
        <f ca="1">INDIRECT("'update Helper'!C"&amp;U883)</f>
        <v>a163p000004VjmoAAC</v>
      </c>
      <c r="B883" s="794">
        <v>7</v>
      </c>
      <c r="C883" s="795" t="str">
        <f ca="1">VLOOKUP(B883,'Coverage Indicators - Section D'!$A$9:$AU$70,47,FALSE)</f>
        <v>HTS-3c⁽ᴹ⁾ Porcentaje de trabajadores sexuales a los que se les ha realizado una prueba de VIH durante el período de reporte y que conocen sus resultados</v>
      </c>
      <c r="D883" s="796" t="str">
        <f ca="1">R883</f>
        <v/>
      </c>
      <c r="E883" s="796" t="str">
        <f ca="1">S883</f>
        <v/>
      </c>
      <c r="F883" s="127"/>
      <c r="G883" s="797" t="str">
        <f ca="1">IF(OR(INDIRECT("'update Helper'!E"&amp;U883)="",F883&lt;&gt;0,F884&lt;&gt;0),IF(IFERROR((F883/F884),"")="","",(F883/F884)),INDIRECT("'update Helper'!E"&amp;U883)/100)</f>
        <v/>
      </c>
      <c r="H883" s="784"/>
      <c r="I883" s="798"/>
      <c r="J883" s="777"/>
      <c r="K883" s="795" t="str">
        <f ca="1">W883</f>
        <v>HTS-3c⁽ᴹ⁾ Percentage of sex workers that have received an HIV test during the reporting period and know their results</v>
      </c>
      <c r="L883" s="795" t="str">
        <f ca="1">V883</f>
        <v/>
      </c>
      <c r="M883" s="777"/>
      <c r="N883" s="777"/>
      <c r="P883" s="89">
        <f ca="1">IF(AND(EXACT(C883,C881),C881&lt;&gt;0),P881+1,0)</f>
        <v>11</v>
      </c>
      <c r="Q883" s="89" t="str">
        <f ca="1">IF(C883&lt;&gt;"",C883&amp;"-"&amp;P883,"")</f>
        <v>HTS-3c⁽ᴹ⁾ Porcentaje de trabajadores sexuales a los que se les ha realizado una prueba de VIH durante el período de reporte y que conocen sus resultados-11</v>
      </c>
      <c r="R883" s="89" t="str">
        <f t="array" aca="1" ref="R883" ca="1">IFERROR(IF(INDEX('Disaggregation Records'!$E$155:$E$385,MATCH(RIGHT(Q883,255),RIGHT('Disaggregation Records'!$D$155:$D$385,255),0))="","",INDEX('Disaggregation Records'!$E$155:$E$385,MATCH(RIGHT(Q883,255),RIGHT('Disaggregation Records'!$D$155:$D$385,255),0))),"")</f>
        <v/>
      </c>
      <c r="S883" s="89" t="str">
        <f t="array" aca="1" ref="S883" ca="1">IFERROR(IF(INDEX('Disaggregation Records'!$F$155:$F$385,MATCH(RIGHT(Q883,255),RIGHT('Disaggregation Records'!$D$155:$D$385,255),0))="","",INDEX('Disaggregation Records'!$F$155:$F$385,MATCH(RIGHT(Q883,255),RIGHT('Disaggregation Records'!$D$155:$D$385,255),0))),"")</f>
        <v/>
      </c>
      <c r="T883" s="89" t="str">
        <f t="array" aca="1" ref="T883" ca="1">IFERROR(IF(INDEX('Disaggregation Records'!$H$155:$H$385,MATCH(RIGHT(Q883,255),RIGHT('Disaggregation Records'!$D$155:$D$385,255),0))="","",INDEX('Disaggregation Records'!$H$155:$H$385,MATCH(RIGHT(Q883,255),RIGHT('Disaggregation Records'!$D$155:$D$385,255),0))),"")</f>
        <v/>
      </c>
      <c r="U883" s="89">
        <f>U881+1</f>
        <v>1551</v>
      </c>
      <c r="V883" s="89" t="str">
        <f t="array" aca="1" ref="V883" ca="1">IFERROR(IF(INDEX('Disaggregation Records'!$I$155:$I$385,MATCH(RIGHT(Q883,255),RIGHT('Disaggregation Records'!$D$155:$D$385,255),0))="","",INDEX('Disaggregation Records'!$I$155:$I$385,MATCH(RIGHT(Q883,255),RIGHT('Disaggregation Records'!$D$155:$D$385,255),0))),"")</f>
        <v/>
      </c>
      <c r="W883" s="89" t="str">
        <f ca="1">IFERROR(INDEX('Reference Records'!L$77:L$157,MATCH(LEFT(C883,255),'Reference Records'!E$77:E$157,0)),"")</f>
        <v>HTS-3c⁽ᴹ⁾ Percentage of sex workers that have received an HIV test during the reporting period and know their results</v>
      </c>
    </row>
    <row r="884" spans="1:23" s="89" customFormat="1" ht="40.35" customHeight="1">
      <c r="A884" s="564"/>
      <c r="B884" s="799"/>
      <c r="C884" s="800"/>
      <c r="D884" s="801"/>
      <c r="E884" s="801"/>
      <c r="F884" s="128"/>
      <c r="G884" s="802"/>
      <c r="H884" s="781"/>
      <c r="I884" s="803"/>
      <c r="J884" s="779"/>
      <c r="K884" s="800"/>
      <c r="L884" s="800"/>
      <c r="M884" s="779"/>
      <c r="N884" s="779"/>
    </row>
    <row r="885" spans="1:23" s="89" customFormat="1" ht="40.35" customHeight="1">
      <c r="A885" s="564" t="str">
        <f ca="1">INDIRECT("'update Helper'!C"&amp;U885)</f>
        <v>a163p000004VjmpAAC</v>
      </c>
      <c r="B885" s="794">
        <v>7</v>
      </c>
      <c r="C885" s="795" t="str">
        <f ca="1">VLOOKUP(B885,'Coverage Indicators - Section D'!$A$9:$AU$70,47,FALSE)</f>
        <v>HTS-3c⁽ᴹ⁾ Porcentaje de trabajadores sexuales a los que se les ha realizado una prueba de VIH durante el período de reporte y que conocen sus resultados</v>
      </c>
      <c r="D885" s="796" t="str">
        <f ca="1">R885</f>
        <v/>
      </c>
      <c r="E885" s="796" t="str">
        <f ca="1">S885</f>
        <v/>
      </c>
      <c r="F885" s="127"/>
      <c r="G885" s="797" t="str">
        <f ca="1">IF(OR(INDIRECT("'update Helper'!E"&amp;U885)="",F885&lt;&gt;0,F886&lt;&gt;0),IF(IFERROR((F885/F886),"")="","",(F885/F886)),INDIRECT("'update Helper'!E"&amp;U885)/100)</f>
        <v/>
      </c>
      <c r="H885" s="784"/>
      <c r="I885" s="798"/>
      <c r="J885" s="777"/>
      <c r="K885" s="795" t="str">
        <f ca="1">W885</f>
        <v>HTS-3c⁽ᴹ⁾ Percentage of sex workers that have received an HIV test during the reporting period and know their results</v>
      </c>
      <c r="L885" s="795" t="str">
        <f ca="1">V885</f>
        <v/>
      </c>
      <c r="M885" s="777"/>
      <c r="N885" s="777"/>
      <c r="P885" s="89">
        <f ca="1">IF(AND(EXACT(C885,C883),C883&lt;&gt;0),P883+1,0)</f>
        <v>12</v>
      </c>
      <c r="Q885" s="89" t="str">
        <f ca="1">IF(C885&lt;&gt;"",C885&amp;"-"&amp;P885,"")</f>
        <v>HTS-3c⁽ᴹ⁾ Porcentaje de trabajadores sexuales a los que se les ha realizado una prueba de VIH durante el período de reporte y que conocen sus resultados-12</v>
      </c>
      <c r="R885" s="89" t="str">
        <f t="array" aca="1" ref="R885" ca="1">IFERROR(IF(INDEX('Disaggregation Records'!$E$155:$E$385,MATCH(RIGHT(Q885,255),RIGHT('Disaggregation Records'!$D$155:$D$385,255),0))="","",INDEX('Disaggregation Records'!$E$155:$E$385,MATCH(RIGHT(Q885,255),RIGHT('Disaggregation Records'!$D$155:$D$385,255),0))),"")</f>
        <v/>
      </c>
      <c r="S885" s="89" t="str">
        <f t="array" aca="1" ref="S885" ca="1">IFERROR(IF(INDEX('Disaggregation Records'!$F$155:$F$385,MATCH(RIGHT(Q885,255),RIGHT('Disaggregation Records'!$D$155:$D$385,255),0))="","",INDEX('Disaggregation Records'!$F$155:$F$385,MATCH(RIGHT(Q885,255),RIGHT('Disaggregation Records'!$D$155:$D$385,255),0))),"")</f>
        <v/>
      </c>
      <c r="T885" s="89" t="str">
        <f t="array" aca="1" ref="T885" ca="1">IFERROR(IF(INDEX('Disaggregation Records'!$H$155:$H$385,MATCH(RIGHT(Q885,255),RIGHT('Disaggregation Records'!$D$155:$D$385,255),0))="","",INDEX('Disaggregation Records'!$H$155:$H$385,MATCH(RIGHT(Q885,255),RIGHT('Disaggregation Records'!$D$155:$D$385,255),0))),"")</f>
        <v/>
      </c>
      <c r="U885" s="89">
        <f>U883+1</f>
        <v>1552</v>
      </c>
      <c r="V885" s="89" t="str">
        <f t="array" aca="1" ref="V885" ca="1">IFERROR(IF(INDEX('Disaggregation Records'!$I$155:$I$385,MATCH(RIGHT(Q885,255),RIGHT('Disaggregation Records'!$D$155:$D$385,255),0))="","",INDEX('Disaggregation Records'!$I$155:$I$385,MATCH(RIGHT(Q885,255),RIGHT('Disaggregation Records'!$D$155:$D$385,255),0))),"")</f>
        <v/>
      </c>
      <c r="W885" s="89" t="str">
        <f ca="1">IFERROR(INDEX('Reference Records'!L$77:L$157,MATCH(LEFT(C885,255),'Reference Records'!E$77:E$157,0)),"")</f>
        <v>HTS-3c⁽ᴹ⁾ Percentage of sex workers that have received an HIV test during the reporting period and know their results</v>
      </c>
    </row>
    <row r="886" spans="1:23" s="89" customFormat="1" ht="40.35" customHeight="1">
      <c r="A886" s="564"/>
      <c r="B886" s="799"/>
      <c r="C886" s="800"/>
      <c r="D886" s="801"/>
      <c r="E886" s="801"/>
      <c r="F886" s="128"/>
      <c r="G886" s="802"/>
      <c r="H886" s="781"/>
      <c r="I886" s="803"/>
      <c r="J886" s="779"/>
      <c r="K886" s="800"/>
      <c r="L886" s="800"/>
      <c r="M886" s="779"/>
      <c r="N886" s="779"/>
    </row>
    <row r="887" spans="1:23" s="89" customFormat="1" ht="40.35" customHeight="1">
      <c r="A887" s="564" t="str">
        <f ca="1">INDIRECT("'update Helper'!C"&amp;U887)</f>
        <v>a163p000004VjmqAAC</v>
      </c>
      <c r="B887" s="794">
        <v>7</v>
      </c>
      <c r="C887" s="795" t="str">
        <f ca="1">VLOOKUP(B887,'Coverage Indicators - Section D'!$A$9:$AU$70,47,FALSE)</f>
        <v>HTS-3c⁽ᴹ⁾ Porcentaje de trabajadores sexuales a los que se les ha realizado una prueba de VIH durante el período de reporte y que conocen sus resultados</v>
      </c>
      <c r="D887" s="796" t="str">
        <f ca="1">R887</f>
        <v/>
      </c>
      <c r="E887" s="796" t="str">
        <f ca="1">S887</f>
        <v/>
      </c>
      <c r="F887" s="127"/>
      <c r="G887" s="797" t="str">
        <f ca="1">IF(OR(INDIRECT("'update Helper'!E"&amp;U887)="",F887&lt;&gt;0,F888&lt;&gt;0),IF(IFERROR((F887/F888),"")="","",(F887/F888)),INDIRECT("'update Helper'!E"&amp;U887)/100)</f>
        <v/>
      </c>
      <c r="H887" s="784"/>
      <c r="I887" s="798"/>
      <c r="J887" s="777"/>
      <c r="K887" s="795" t="str">
        <f ca="1">W887</f>
        <v>HTS-3c⁽ᴹ⁾ Percentage of sex workers that have received an HIV test during the reporting period and know their results</v>
      </c>
      <c r="L887" s="795" t="str">
        <f ca="1">V887</f>
        <v/>
      </c>
      <c r="M887" s="777"/>
      <c r="N887" s="777"/>
      <c r="P887" s="89">
        <f ca="1">IF(AND(EXACT(C887,C885),C885&lt;&gt;0),P885+1,0)</f>
        <v>13</v>
      </c>
      <c r="Q887" s="89" t="str">
        <f ca="1">IF(C887&lt;&gt;"",C887&amp;"-"&amp;P887,"")</f>
        <v>HTS-3c⁽ᴹ⁾ Porcentaje de trabajadores sexuales a los que se les ha realizado una prueba de VIH durante el período de reporte y que conocen sus resultados-13</v>
      </c>
      <c r="R887" s="89" t="str">
        <f t="array" aca="1" ref="R887" ca="1">IFERROR(IF(INDEX('Disaggregation Records'!$E$155:$E$385,MATCH(RIGHT(Q887,255),RIGHT('Disaggregation Records'!$D$155:$D$385,255),0))="","",INDEX('Disaggregation Records'!$E$155:$E$385,MATCH(RIGHT(Q887,255),RIGHT('Disaggregation Records'!$D$155:$D$385,255),0))),"")</f>
        <v/>
      </c>
      <c r="S887" s="89" t="str">
        <f t="array" aca="1" ref="S887" ca="1">IFERROR(IF(INDEX('Disaggregation Records'!$F$155:$F$385,MATCH(RIGHT(Q887,255),RIGHT('Disaggregation Records'!$D$155:$D$385,255),0))="","",INDEX('Disaggregation Records'!$F$155:$F$385,MATCH(RIGHT(Q887,255),RIGHT('Disaggregation Records'!$D$155:$D$385,255),0))),"")</f>
        <v/>
      </c>
      <c r="T887" s="89" t="str">
        <f t="array" aca="1" ref="T887" ca="1">IFERROR(IF(INDEX('Disaggregation Records'!$H$155:$H$385,MATCH(RIGHT(Q887,255),RIGHT('Disaggregation Records'!$D$155:$D$385,255),0))="","",INDEX('Disaggregation Records'!$H$155:$H$385,MATCH(RIGHT(Q887,255),RIGHT('Disaggregation Records'!$D$155:$D$385,255),0))),"")</f>
        <v/>
      </c>
      <c r="U887" s="89">
        <f>U885+1</f>
        <v>1553</v>
      </c>
      <c r="V887" s="89" t="str">
        <f t="array" aca="1" ref="V887" ca="1">IFERROR(IF(INDEX('Disaggregation Records'!$I$155:$I$385,MATCH(RIGHT(Q887,255),RIGHT('Disaggregation Records'!$D$155:$D$385,255),0))="","",INDEX('Disaggregation Records'!$I$155:$I$385,MATCH(RIGHT(Q887,255),RIGHT('Disaggregation Records'!$D$155:$D$385,255),0))),"")</f>
        <v/>
      </c>
      <c r="W887" s="89" t="str">
        <f ca="1">IFERROR(INDEX('Reference Records'!L$77:L$157,MATCH(LEFT(C887,255),'Reference Records'!E$77:E$157,0)),"")</f>
        <v>HTS-3c⁽ᴹ⁾ Percentage of sex workers that have received an HIV test during the reporting period and know their results</v>
      </c>
    </row>
    <row r="888" spans="1:23" s="89" customFormat="1" ht="40.35" customHeight="1">
      <c r="A888" s="564"/>
      <c r="B888" s="799"/>
      <c r="C888" s="800"/>
      <c r="D888" s="801"/>
      <c r="E888" s="801"/>
      <c r="F888" s="128"/>
      <c r="G888" s="802"/>
      <c r="H888" s="781"/>
      <c r="I888" s="803"/>
      <c r="J888" s="779"/>
      <c r="K888" s="800"/>
      <c r="L888" s="800"/>
      <c r="M888" s="779"/>
      <c r="N888" s="779"/>
    </row>
    <row r="889" spans="1:23" s="89" customFormat="1" ht="40.35" customHeight="1">
      <c r="A889" s="564" t="str">
        <f ca="1">INDIRECT("'update Helper'!C"&amp;U889)</f>
        <v>a163p000004VjmrAAC</v>
      </c>
      <c r="B889" s="794">
        <v>7</v>
      </c>
      <c r="C889" s="795" t="str">
        <f ca="1">VLOOKUP(B889,'Coverage Indicators - Section D'!$A$9:$AU$70,47,FALSE)</f>
        <v>HTS-3c⁽ᴹ⁾ Porcentaje de trabajadores sexuales a los que se les ha realizado una prueba de VIH durante el período de reporte y que conocen sus resultados</v>
      </c>
      <c r="D889" s="796" t="str">
        <f ca="1">R889</f>
        <v/>
      </c>
      <c r="E889" s="796" t="str">
        <f ca="1">S889</f>
        <v/>
      </c>
      <c r="F889" s="127"/>
      <c r="G889" s="797" t="str">
        <f ca="1">IF(OR(INDIRECT("'update Helper'!E"&amp;U889)="",F889&lt;&gt;0,F890&lt;&gt;0),IF(IFERROR((F889/F890),"")="","",(F889/F890)),INDIRECT("'update Helper'!E"&amp;U889)/100)</f>
        <v/>
      </c>
      <c r="H889" s="784"/>
      <c r="I889" s="798"/>
      <c r="J889" s="777"/>
      <c r="K889" s="795" t="str">
        <f ca="1">W889</f>
        <v>HTS-3c⁽ᴹ⁾ Percentage of sex workers that have received an HIV test during the reporting period and know their results</v>
      </c>
      <c r="L889" s="795" t="str">
        <f ca="1">V889</f>
        <v/>
      </c>
      <c r="M889" s="777"/>
      <c r="N889" s="777"/>
      <c r="P889" s="89">
        <f ca="1">IF(AND(EXACT(C889,C887),C887&lt;&gt;0),P887+1,0)</f>
        <v>14</v>
      </c>
      <c r="Q889" s="89" t="str">
        <f ca="1">IF(C889&lt;&gt;"",C889&amp;"-"&amp;P889,"")</f>
        <v>HTS-3c⁽ᴹ⁾ Porcentaje de trabajadores sexuales a los que se les ha realizado una prueba de VIH durante el período de reporte y que conocen sus resultados-14</v>
      </c>
      <c r="R889" s="89" t="str">
        <f t="array" aca="1" ref="R889" ca="1">IFERROR(IF(INDEX('Disaggregation Records'!$E$155:$E$385,MATCH(RIGHT(Q889,255),RIGHT('Disaggregation Records'!$D$155:$D$385,255),0))="","",INDEX('Disaggregation Records'!$E$155:$E$385,MATCH(RIGHT(Q889,255),RIGHT('Disaggregation Records'!$D$155:$D$385,255),0))),"")</f>
        <v/>
      </c>
      <c r="S889" s="89" t="str">
        <f t="array" aca="1" ref="S889" ca="1">IFERROR(IF(INDEX('Disaggregation Records'!$F$155:$F$385,MATCH(RIGHT(Q889,255),RIGHT('Disaggregation Records'!$D$155:$D$385,255),0))="","",INDEX('Disaggregation Records'!$F$155:$F$385,MATCH(RIGHT(Q889,255),RIGHT('Disaggregation Records'!$D$155:$D$385,255),0))),"")</f>
        <v/>
      </c>
      <c r="T889" s="89" t="str">
        <f t="array" aca="1" ref="T889" ca="1">IFERROR(IF(INDEX('Disaggregation Records'!$H$155:$H$385,MATCH(RIGHT(Q889,255),RIGHT('Disaggregation Records'!$D$155:$D$385,255),0))="","",INDEX('Disaggregation Records'!$H$155:$H$385,MATCH(RIGHT(Q889,255),RIGHT('Disaggregation Records'!$D$155:$D$385,255),0))),"")</f>
        <v/>
      </c>
      <c r="U889" s="89">
        <f>U887+1</f>
        <v>1554</v>
      </c>
      <c r="V889" s="89" t="str">
        <f t="array" aca="1" ref="V889" ca="1">IFERROR(IF(INDEX('Disaggregation Records'!$I$155:$I$385,MATCH(RIGHT(Q889,255),RIGHT('Disaggregation Records'!$D$155:$D$385,255),0))="","",INDEX('Disaggregation Records'!$I$155:$I$385,MATCH(RIGHT(Q889,255),RIGHT('Disaggregation Records'!$D$155:$D$385,255),0))),"")</f>
        <v/>
      </c>
      <c r="W889" s="89" t="str">
        <f ca="1">IFERROR(INDEX('Reference Records'!L$77:L$157,MATCH(LEFT(C889,255),'Reference Records'!E$77:E$157,0)),"")</f>
        <v>HTS-3c⁽ᴹ⁾ Percentage of sex workers that have received an HIV test during the reporting period and know their results</v>
      </c>
    </row>
    <row r="890" spans="1:23" s="89" customFormat="1" ht="40.35" customHeight="1">
      <c r="A890" s="564"/>
      <c r="B890" s="799"/>
      <c r="C890" s="800"/>
      <c r="D890" s="801"/>
      <c r="E890" s="801"/>
      <c r="F890" s="128"/>
      <c r="G890" s="802"/>
      <c r="H890" s="781"/>
      <c r="I890" s="803"/>
      <c r="J890" s="779"/>
      <c r="K890" s="800"/>
      <c r="L890" s="800"/>
      <c r="M890" s="779"/>
      <c r="N890" s="779"/>
    </row>
    <row r="891" spans="1:23" s="89" customFormat="1" ht="40.35" customHeight="1">
      <c r="A891" s="564" t="str">
        <f ca="1">INDIRECT("'update Helper'!C"&amp;U891)</f>
        <v>a163p000004VjmsAAC</v>
      </c>
      <c r="B891" s="794">
        <v>7</v>
      </c>
      <c r="C891" s="795" t="str">
        <f ca="1">VLOOKUP(B891,'Coverage Indicators - Section D'!$A$9:$AU$70,47,FALSE)</f>
        <v>HTS-3c⁽ᴹ⁾ Porcentaje de trabajadores sexuales a los que se les ha realizado una prueba de VIH durante el período de reporte y que conocen sus resultados</v>
      </c>
      <c r="D891" s="796" t="str">
        <f ca="1">R891</f>
        <v/>
      </c>
      <c r="E891" s="796" t="str">
        <f ca="1">S891</f>
        <v/>
      </c>
      <c r="F891" s="127"/>
      <c r="G891" s="797" t="str">
        <f ca="1">IF(OR(INDIRECT("'update Helper'!E"&amp;U891)="",F891&lt;&gt;0,F892&lt;&gt;0),IF(IFERROR((F891/F892),"")="","",(F891/F892)),INDIRECT("'update Helper'!E"&amp;U891)/100)</f>
        <v/>
      </c>
      <c r="H891" s="784"/>
      <c r="I891" s="798"/>
      <c r="J891" s="777"/>
      <c r="K891" s="795" t="str">
        <f ca="1">W891</f>
        <v>HTS-3c⁽ᴹ⁾ Percentage of sex workers that have received an HIV test during the reporting period and know their results</v>
      </c>
      <c r="L891" s="795" t="str">
        <f ca="1">V891</f>
        <v/>
      </c>
      <c r="M891" s="777"/>
      <c r="N891" s="777"/>
      <c r="P891" s="89">
        <f ca="1">IF(AND(EXACT(C891,C889),C889&lt;&gt;0),P889+1,0)</f>
        <v>15</v>
      </c>
      <c r="Q891" s="89" t="str">
        <f ca="1">IF(C891&lt;&gt;"",C891&amp;"-"&amp;P891,"")</f>
        <v>HTS-3c⁽ᴹ⁾ Porcentaje de trabajadores sexuales a los que se les ha realizado una prueba de VIH durante el período de reporte y que conocen sus resultados-15</v>
      </c>
      <c r="R891" s="89" t="str">
        <f t="array" aca="1" ref="R891" ca="1">IFERROR(IF(INDEX('Disaggregation Records'!$E$155:$E$385,MATCH(RIGHT(Q891,255),RIGHT('Disaggregation Records'!$D$155:$D$385,255),0))="","",INDEX('Disaggregation Records'!$E$155:$E$385,MATCH(RIGHT(Q891,255),RIGHT('Disaggregation Records'!$D$155:$D$385,255),0))),"")</f>
        <v/>
      </c>
      <c r="S891" s="89" t="str">
        <f t="array" aca="1" ref="S891" ca="1">IFERROR(IF(INDEX('Disaggregation Records'!$F$155:$F$385,MATCH(RIGHT(Q891,255),RIGHT('Disaggregation Records'!$D$155:$D$385,255),0))="","",INDEX('Disaggregation Records'!$F$155:$F$385,MATCH(RIGHT(Q891,255),RIGHT('Disaggregation Records'!$D$155:$D$385,255),0))),"")</f>
        <v/>
      </c>
      <c r="T891" s="89" t="str">
        <f t="array" aca="1" ref="T891" ca="1">IFERROR(IF(INDEX('Disaggregation Records'!$H$155:$H$385,MATCH(RIGHT(Q891,255),RIGHT('Disaggregation Records'!$D$155:$D$385,255),0))="","",INDEX('Disaggregation Records'!$H$155:$H$385,MATCH(RIGHT(Q891,255),RIGHT('Disaggregation Records'!$D$155:$D$385,255),0))),"")</f>
        <v/>
      </c>
      <c r="U891" s="89">
        <f>U889+1</f>
        <v>1555</v>
      </c>
      <c r="V891" s="89" t="str">
        <f t="array" aca="1" ref="V891" ca="1">IFERROR(IF(INDEX('Disaggregation Records'!$I$155:$I$385,MATCH(RIGHT(Q891,255),RIGHT('Disaggregation Records'!$D$155:$D$385,255),0))="","",INDEX('Disaggregation Records'!$I$155:$I$385,MATCH(RIGHT(Q891,255),RIGHT('Disaggregation Records'!$D$155:$D$385,255),0))),"")</f>
        <v/>
      </c>
      <c r="W891" s="89" t="str">
        <f ca="1">IFERROR(INDEX('Reference Records'!L$77:L$157,MATCH(LEFT(C891,255),'Reference Records'!E$77:E$157,0)),"")</f>
        <v>HTS-3c⁽ᴹ⁾ Percentage of sex workers that have received an HIV test during the reporting period and know their results</v>
      </c>
    </row>
    <row r="892" spans="1:23" s="89" customFormat="1" ht="40.35" customHeight="1">
      <c r="A892" s="564"/>
      <c r="B892" s="799"/>
      <c r="C892" s="800"/>
      <c r="D892" s="801"/>
      <c r="E892" s="801"/>
      <c r="F892" s="128"/>
      <c r="G892" s="802"/>
      <c r="H892" s="781"/>
      <c r="I892" s="803"/>
      <c r="J892" s="779"/>
      <c r="K892" s="800"/>
      <c r="L892" s="800"/>
      <c r="M892" s="779"/>
      <c r="N892" s="779"/>
    </row>
    <row r="893" spans="1:23" s="89" customFormat="1" ht="40.35" customHeight="1">
      <c r="A893" s="564" t="str">
        <f ca="1">INDIRECT("'update Helper'!C"&amp;U893)</f>
        <v>a163p000004VjmtAAC</v>
      </c>
      <c r="B893" s="794">
        <v>7</v>
      </c>
      <c r="C893" s="795" t="str">
        <f ca="1">VLOOKUP(B893,'Coverage Indicators - Section D'!$A$9:$AU$70,47,FALSE)</f>
        <v>HTS-3c⁽ᴹ⁾ Porcentaje de trabajadores sexuales a los que se les ha realizado una prueba de VIH durante el período de reporte y que conocen sus resultados</v>
      </c>
      <c r="D893" s="796" t="str">
        <f ca="1">R893</f>
        <v/>
      </c>
      <c r="E893" s="796" t="str">
        <f ca="1">S893</f>
        <v/>
      </c>
      <c r="F893" s="127"/>
      <c r="G893" s="797" t="str">
        <f ca="1">IF(OR(INDIRECT("'update Helper'!E"&amp;U893)="",F893&lt;&gt;0,F894&lt;&gt;0),IF(IFERROR((F893/F894),"")="","",(F893/F894)),INDIRECT("'update Helper'!E"&amp;U893)/100)</f>
        <v/>
      </c>
      <c r="H893" s="784"/>
      <c r="I893" s="798"/>
      <c r="J893" s="777"/>
      <c r="K893" s="795" t="str">
        <f ca="1">W893</f>
        <v>HTS-3c⁽ᴹ⁾ Percentage of sex workers that have received an HIV test during the reporting period and know their results</v>
      </c>
      <c r="L893" s="795" t="str">
        <f ca="1">V893</f>
        <v/>
      </c>
      <c r="M893" s="777"/>
      <c r="N893" s="777"/>
      <c r="P893" s="89">
        <f ca="1">IF(AND(EXACT(C893,C891),C891&lt;&gt;0),P891+1,0)</f>
        <v>16</v>
      </c>
      <c r="Q893" s="89" t="str">
        <f ca="1">IF(C893&lt;&gt;"",C893&amp;"-"&amp;P893,"")</f>
        <v>HTS-3c⁽ᴹ⁾ Porcentaje de trabajadores sexuales a los que se les ha realizado una prueba de VIH durante el período de reporte y que conocen sus resultados-16</v>
      </c>
      <c r="R893" s="89" t="str">
        <f t="array" aca="1" ref="R893" ca="1">IFERROR(IF(INDEX('Disaggregation Records'!$E$155:$E$385,MATCH(RIGHT(Q893,255),RIGHT('Disaggregation Records'!$D$155:$D$385,255),0))="","",INDEX('Disaggregation Records'!$E$155:$E$385,MATCH(RIGHT(Q893,255),RIGHT('Disaggregation Records'!$D$155:$D$385,255),0))),"")</f>
        <v/>
      </c>
      <c r="S893" s="89" t="str">
        <f t="array" aca="1" ref="S893" ca="1">IFERROR(IF(INDEX('Disaggregation Records'!$F$155:$F$385,MATCH(RIGHT(Q893,255),RIGHT('Disaggregation Records'!$D$155:$D$385,255),0))="","",INDEX('Disaggregation Records'!$F$155:$F$385,MATCH(RIGHT(Q893,255),RIGHT('Disaggregation Records'!$D$155:$D$385,255),0))),"")</f>
        <v/>
      </c>
      <c r="T893" s="89" t="str">
        <f t="array" aca="1" ref="T893" ca="1">IFERROR(IF(INDEX('Disaggregation Records'!$H$155:$H$385,MATCH(RIGHT(Q893,255),RIGHT('Disaggregation Records'!$D$155:$D$385,255),0))="","",INDEX('Disaggregation Records'!$H$155:$H$385,MATCH(RIGHT(Q893,255),RIGHT('Disaggregation Records'!$D$155:$D$385,255),0))),"")</f>
        <v/>
      </c>
      <c r="U893" s="89">
        <f>U891+1</f>
        <v>1556</v>
      </c>
      <c r="V893" s="89" t="str">
        <f t="array" aca="1" ref="V893" ca="1">IFERROR(IF(INDEX('Disaggregation Records'!$I$155:$I$385,MATCH(RIGHT(Q893,255),RIGHT('Disaggregation Records'!$D$155:$D$385,255),0))="","",INDEX('Disaggregation Records'!$I$155:$I$385,MATCH(RIGHT(Q893,255),RIGHT('Disaggregation Records'!$D$155:$D$385,255),0))),"")</f>
        <v/>
      </c>
      <c r="W893" s="89" t="str">
        <f ca="1">IFERROR(INDEX('Reference Records'!L$77:L$157,MATCH(LEFT(C893,255),'Reference Records'!E$77:E$157,0)),"")</f>
        <v>HTS-3c⁽ᴹ⁾ Percentage of sex workers that have received an HIV test during the reporting period and know their results</v>
      </c>
    </row>
    <row r="894" spans="1:23" s="89" customFormat="1" ht="40.35" customHeight="1">
      <c r="A894" s="564"/>
      <c r="B894" s="799"/>
      <c r="C894" s="800"/>
      <c r="D894" s="801"/>
      <c r="E894" s="801"/>
      <c r="F894" s="128"/>
      <c r="G894" s="802"/>
      <c r="H894" s="781"/>
      <c r="I894" s="803"/>
      <c r="J894" s="779"/>
      <c r="K894" s="800"/>
      <c r="L894" s="800"/>
      <c r="M894" s="779"/>
      <c r="N894" s="779"/>
    </row>
    <row r="895" spans="1:23" s="89" customFormat="1" ht="40.35" customHeight="1">
      <c r="A895" s="564" t="str">
        <f ca="1">INDIRECT("'update Helper'!C"&amp;U895)</f>
        <v>a163p000004VjmuAAC</v>
      </c>
      <c r="B895" s="794">
        <v>7</v>
      </c>
      <c r="C895" s="795" t="str">
        <f ca="1">VLOOKUP(B895,'Coverage Indicators - Section D'!$A$9:$AU$70,47,FALSE)</f>
        <v>HTS-3c⁽ᴹ⁾ Porcentaje de trabajadores sexuales a los que se les ha realizado una prueba de VIH durante el período de reporte y que conocen sus resultados</v>
      </c>
      <c r="D895" s="796" t="str">
        <f ca="1">R895</f>
        <v/>
      </c>
      <c r="E895" s="796" t="str">
        <f ca="1">S895</f>
        <v/>
      </c>
      <c r="F895" s="127"/>
      <c r="G895" s="797" t="str">
        <f ca="1">IF(OR(INDIRECT("'update Helper'!E"&amp;U895)="",F895&lt;&gt;0,F896&lt;&gt;0),IF(IFERROR((F895/F896),"")="","",(F895/F896)),INDIRECT("'update Helper'!E"&amp;U895)/100)</f>
        <v/>
      </c>
      <c r="H895" s="784"/>
      <c r="I895" s="798"/>
      <c r="J895" s="777"/>
      <c r="K895" s="795" t="str">
        <f ca="1">W895</f>
        <v>HTS-3c⁽ᴹ⁾ Percentage of sex workers that have received an HIV test during the reporting period and know their results</v>
      </c>
      <c r="L895" s="795" t="str">
        <f ca="1">V895</f>
        <v/>
      </c>
      <c r="M895" s="777"/>
      <c r="N895" s="777"/>
      <c r="P895" s="89">
        <f ca="1">IF(AND(EXACT(C895,C893),C893&lt;&gt;0),P893+1,0)</f>
        <v>17</v>
      </c>
      <c r="Q895" s="89" t="str">
        <f ca="1">IF(C895&lt;&gt;"",C895&amp;"-"&amp;P895,"")</f>
        <v>HTS-3c⁽ᴹ⁾ Porcentaje de trabajadores sexuales a los que se les ha realizado una prueba de VIH durante el período de reporte y que conocen sus resultados-17</v>
      </c>
      <c r="R895" s="89" t="str">
        <f t="array" aca="1" ref="R895" ca="1">IFERROR(IF(INDEX('Disaggregation Records'!$E$155:$E$385,MATCH(RIGHT(Q895,255),RIGHT('Disaggregation Records'!$D$155:$D$385,255),0))="","",INDEX('Disaggregation Records'!$E$155:$E$385,MATCH(RIGHT(Q895,255),RIGHT('Disaggregation Records'!$D$155:$D$385,255),0))),"")</f>
        <v/>
      </c>
      <c r="S895" s="89" t="str">
        <f t="array" aca="1" ref="S895" ca="1">IFERROR(IF(INDEX('Disaggregation Records'!$F$155:$F$385,MATCH(RIGHT(Q895,255),RIGHT('Disaggregation Records'!$D$155:$D$385,255),0))="","",INDEX('Disaggregation Records'!$F$155:$F$385,MATCH(RIGHT(Q895,255),RIGHT('Disaggregation Records'!$D$155:$D$385,255),0))),"")</f>
        <v/>
      </c>
      <c r="T895" s="89" t="str">
        <f t="array" aca="1" ref="T895" ca="1">IFERROR(IF(INDEX('Disaggregation Records'!$H$155:$H$385,MATCH(RIGHT(Q895,255),RIGHT('Disaggregation Records'!$D$155:$D$385,255),0))="","",INDEX('Disaggregation Records'!$H$155:$H$385,MATCH(RIGHT(Q895,255),RIGHT('Disaggregation Records'!$D$155:$D$385,255),0))),"")</f>
        <v/>
      </c>
      <c r="U895" s="89">
        <f>U893+1</f>
        <v>1557</v>
      </c>
      <c r="V895" s="89" t="str">
        <f t="array" aca="1" ref="V895" ca="1">IFERROR(IF(INDEX('Disaggregation Records'!$I$155:$I$385,MATCH(RIGHT(Q895,255),RIGHT('Disaggregation Records'!$D$155:$D$385,255),0))="","",INDEX('Disaggregation Records'!$I$155:$I$385,MATCH(RIGHT(Q895,255),RIGHT('Disaggregation Records'!$D$155:$D$385,255),0))),"")</f>
        <v/>
      </c>
      <c r="W895" s="89" t="str">
        <f ca="1">IFERROR(INDEX('Reference Records'!L$77:L$157,MATCH(LEFT(C895,255),'Reference Records'!E$77:E$157,0)),"")</f>
        <v>HTS-3c⁽ᴹ⁾ Percentage of sex workers that have received an HIV test during the reporting period and know their results</v>
      </c>
    </row>
    <row r="896" spans="1:23" s="89" customFormat="1" ht="40.35" customHeight="1">
      <c r="A896" s="564"/>
      <c r="B896" s="799"/>
      <c r="C896" s="800"/>
      <c r="D896" s="801"/>
      <c r="E896" s="801"/>
      <c r="F896" s="128"/>
      <c r="G896" s="802"/>
      <c r="H896" s="781"/>
      <c r="I896" s="803"/>
      <c r="J896" s="779"/>
      <c r="K896" s="800"/>
      <c r="L896" s="800"/>
      <c r="M896" s="779"/>
      <c r="N896" s="779"/>
    </row>
    <row r="897" spans="1:23" s="89" customFormat="1" ht="40.35" customHeight="1">
      <c r="A897" s="564" t="str">
        <f ca="1">INDIRECT("'update Helper'!C"&amp;U897)</f>
        <v>a163p000004VjmvAAC</v>
      </c>
      <c r="B897" s="794">
        <v>7</v>
      </c>
      <c r="C897" s="795" t="str">
        <f ca="1">VLOOKUP(B897,'Coverage Indicators - Section D'!$A$9:$AU$70,47,FALSE)</f>
        <v>HTS-3c⁽ᴹ⁾ Porcentaje de trabajadores sexuales a los que se les ha realizado una prueba de VIH durante el período de reporte y que conocen sus resultados</v>
      </c>
      <c r="D897" s="796" t="str">
        <f ca="1">R897</f>
        <v/>
      </c>
      <c r="E897" s="796" t="str">
        <f ca="1">S897</f>
        <v/>
      </c>
      <c r="F897" s="127"/>
      <c r="G897" s="797" t="str">
        <f ca="1">IF(OR(INDIRECT("'update Helper'!E"&amp;U897)="",F897&lt;&gt;0,F898&lt;&gt;0),IF(IFERROR((F897/F898),"")="","",(F897/F898)),INDIRECT("'update Helper'!E"&amp;U897)/100)</f>
        <v/>
      </c>
      <c r="H897" s="784"/>
      <c r="I897" s="798"/>
      <c r="J897" s="777"/>
      <c r="K897" s="795" t="str">
        <f ca="1">W897</f>
        <v>HTS-3c⁽ᴹ⁾ Percentage of sex workers that have received an HIV test during the reporting period and know their results</v>
      </c>
      <c r="L897" s="795" t="str">
        <f ca="1">V897</f>
        <v/>
      </c>
      <c r="M897" s="777"/>
      <c r="N897" s="777"/>
      <c r="P897" s="89">
        <f ca="1">IF(AND(EXACT(C897,C895),C895&lt;&gt;0),P895+1,0)</f>
        <v>18</v>
      </c>
      <c r="Q897" s="89" t="str">
        <f ca="1">IF(C897&lt;&gt;"",C897&amp;"-"&amp;P897,"")</f>
        <v>HTS-3c⁽ᴹ⁾ Porcentaje de trabajadores sexuales a los que se les ha realizado una prueba de VIH durante el período de reporte y que conocen sus resultados-18</v>
      </c>
      <c r="R897" s="89" t="str">
        <f t="array" aca="1" ref="R897" ca="1">IFERROR(IF(INDEX('Disaggregation Records'!$E$155:$E$385,MATCH(RIGHT(Q897,255),RIGHT('Disaggregation Records'!$D$155:$D$385,255),0))="","",INDEX('Disaggregation Records'!$E$155:$E$385,MATCH(RIGHT(Q897,255),RIGHT('Disaggregation Records'!$D$155:$D$385,255),0))),"")</f>
        <v/>
      </c>
      <c r="S897" s="89" t="str">
        <f t="array" aca="1" ref="S897" ca="1">IFERROR(IF(INDEX('Disaggregation Records'!$F$155:$F$385,MATCH(RIGHT(Q897,255),RIGHT('Disaggregation Records'!$D$155:$D$385,255),0))="","",INDEX('Disaggregation Records'!$F$155:$F$385,MATCH(RIGHT(Q897,255),RIGHT('Disaggregation Records'!$D$155:$D$385,255),0))),"")</f>
        <v/>
      </c>
      <c r="T897" s="89" t="str">
        <f t="array" aca="1" ref="T897" ca="1">IFERROR(IF(INDEX('Disaggregation Records'!$H$155:$H$385,MATCH(RIGHT(Q897,255),RIGHT('Disaggregation Records'!$D$155:$D$385,255),0))="","",INDEX('Disaggregation Records'!$H$155:$H$385,MATCH(RIGHT(Q897,255),RIGHT('Disaggregation Records'!$D$155:$D$385,255),0))),"")</f>
        <v/>
      </c>
      <c r="U897" s="89">
        <f>U895+1</f>
        <v>1558</v>
      </c>
      <c r="V897" s="89" t="str">
        <f t="array" aca="1" ref="V897" ca="1">IFERROR(IF(INDEX('Disaggregation Records'!$I$155:$I$385,MATCH(RIGHT(Q897,255),RIGHT('Disaggregation Records'!$D$155:$D$385,255),0))="","",INDEX('Disaggregation Records'!$I$155:$I$385,MATCH(RIGHT(Q897,255),RIGHT('Disaggregation Records'!$D$155:$D$385,255),0))),"")</f>
        <v/>
      </c>
      <c r="W897" s="89" t="str">
        <f ca="1">IFERROR(INDEX('Reference Records'!L$77:L$157,MATCH(LEFT(C897,255),'Reference Records'!E$77:E$157,0)),"")</f>
        <v>HTS-3c⁽ᴹ⁾ Percentage of sex workers that have received an HIV test during the reporting period and know their results</v>
      </c>
    </row>
    <row r="898" spans="1:23" s="89" customFormat="1" ht="40.35" customHeight="1">
      <c r="A898" s="564"/>
      <c r="B898" s="799"/>
      <c r="C898" s="800"/>
      <c r="D898" s="801"/>
      <c r="E898" s="801"/>
      <c r="F898" s="128"/>
      <c r="G898" s="802"/>
      <c r="H898" s="781"/>
      <c r="I898" s="803"/>
      <c r="J898" s="779"/>
      <c r="K898" s="800"/>
      <c r="L898" s="800"/>
      <c r="M898" s="779"/>
      <c r="N898" s="779"/>
    </row>
    <row r="899" spans="1:23" s="89" customFormat="1" ht="40.35" customHeight="1">
      <c r="A899" s="564" t="str">
        <f ca="1">INDIRECT("'update Helper'!C"&amp;U899)</f>
        <v>a163p000004VjmwAAC</v>
      </c>
      <c r="B899" s="794">
        <v>7</v>
      </c>
      <c r="C899" s="795" t="str">
        <f ca="1">VLOOKUP(B899,'Coverage Indicators - Section D'!$A$9:$AU$70,47,FALSE)</f>
        <v>HTS-3c⁽ᴹ⁾ Porcentaje de trabajadores sexuales a los que se les ha realizado una prueba de VIH durante el período de reporte y que conocen sus resultados</v>
      </c>
      <c r="D899" s="796" t="str">
        <f ca="1">R899</f>
        <v/>
      </c>
      <c r="E899" s="796" t="str">
        <f ca="1">S899</f>
        <v/>
      </c>
      <c r="F899" s="127"/>
      <c r="G899" s="797" t="str">
        <f ca="1">IF(OR(INDIRECT("'update Helper'!E"&amp;U899)="",F899&lt;&gt;0,F900&lt;&gt;0),IF(IFERROR((F899/F900),"")="","",(F899/F900)),INDIRECT("'update Helper'!E"&amp;U899)/100)</f>
        <v/>
      </c>
      <c r="H899" s="784"/>
      <c r="I899" s="798"/>
      <c r="J899" s="777"/>
      <c r="K899" s="795" t="str">
        <f ca="1">W899</f>
        <v>HTS-3c⁽ᴹ⁾ Percentage of sex workers that have received an HIV test during the reporting period and know their results</v>
      </c>
      <c r="L899" s="795" t="str">
        <f ca="1">V899</f>
        <v/>
      </c>
      <c r="M899" s="777"/>
      <c r="N899" s="777"/>
      <c r="P899" s="89">
        <f ca="1">IF(AND(EXACT(C899,C897),C897&lt;&gt;0),P897+1,0)</f>
        <v>19</v>
      </c>
      <c r="Q899" s="89" t="str">
        <f ca="1">IF(C899&lt;&gt;"",C899&amp;"-"&amp;P899,"")</f>
        <v>HTS-3c⁽ᴹ⁾ Porcentaje de trabajadores sexuales a los que se les ha realizado una prueba de VIH durante el período de reporte y que conocen sus resultados-19</v>
      </c>
      <c r="R899" s="89" t="str">
        <f t="array" aca="1" ref="R899" ca="1">IFERROR(IF(INDEX('Disaggregation Records'!$E$155:$E$385,MATCH(RIGHT(Q899,255),RIGHT('Disaggregation Records'!$D$155:$D$385,255),0))="","",INDEX('Disaggregation Records'!$E$155:$E$385,MATCH(RIGHT(Q899,255),RIGHT('Disaggregation Records'!$D$155:$D$385,255),0))),"")</f>
        <v/>
      </c>
      <c r="S899" s="89" t="str">
        <f t="array" aca="1" ref="S899" ca="1">IFERROR(IF(INDEX('Disaggregation Records'!$F$155:$F$385,MATCH(RIGHT(Q899,255),RIGHT('Disaggregation Records'!$D$155:$D$385,255),0))="","",INDEX('Disaggregation Records'!$F$155:$F$385,MATCH(RIGHT(Q899,255),RIGHT('Disaggregation Records'!$D$155:$D$385,255),0))),"")</f>
        <v/>
      </c>
      <c r="T899" s="89" t="str">
        <f t="array" aca="1" ref="T899" ca="1">IFERROR(IF(INDEX('Disaggregation Records'!$H$155:$H$385,MATCH(RIGHT(Q899,255),RIGHT('Disaggregation Records'!$D$155:$D$385,255),0))="","",INDEX('Disaggregation Records'!$H$155:$H$385,MATCH(RIGHT(Q899,255),RIGHT('Disaggregation Records'!$D$155:$D$385,255),0))),"")</f>
        <v/>
      </c>
      <c r="U899" s="89">
        <f>U897+1</f>
        <v>1559</v>
      </c>
      <c r="V899" s="89" t="str">
        <f t="array" aca="1" ref="V899" ca="1">IFERROR(IF(INDEX('Disaggregation Records'!$I$155:$I$385,MATCH(RIGHT(Q899,255),RIGHT('Disaggregation Records'!$D$155:$D$385,255),0))="","",INDEX('Disaggregation Records'!$I$155:$I$385,MATCH(RIGHT(Q899,255),RIGHT('Disaggregation Records'!$D$155:$D$385,255),0))),"")</f>
        <v/>
      </c>
      <c r="W899" s="89" t="str">
        <f ca="1">IFERROR(INDEX('Reference Records'!L$77:L$157,MATCH(LEFT(C899,255),'Reference Records'!E$77:E$157,0)),"")</f>
        <v>HTS-3c⁽ᴹ⁾ Percentage of sex workers that have received an HIV test during the reporting period and know their results</v>
      </c>
    </row>
    <row r="900" spans="1:23" s="89" customFormat="1" ht="40.35" customHeight="1">
      <c r="A900" s="564"/>
      <c r="B900" s="799"/>
      <c r="C900" s="800"/>
      <c r="D900" s="801"/>
      <c r="E900" s="801"/>
      <c r="F900" s="128"/>
      <c r="G900" s="802"/>
      <c r="H900" s="781"/>
      <c r="I900" s="803"/>
      <c r="J900" s="779"/>
      <c r="K900" s="800"/>
      <c r="L900" s="800"/>
      <c r="M900" s="779"/>
      <c r="N900" s="779"/>
    </row>
    <row r="901" spans="1:23" s="89" customFormat="1" ht="86.45" customHeight="1">
      <c r="A901" s="564" t="str">
        <f ca="1">INDIRECT("'update Helper'!C"&amp;U901)</f>
        <v>a163p000004VjmxAAC</v>
      </c>
      <c r="B901" s="794">
        <v>8</v>
      </c>
      <c r="C901" s="795" t="str">
        <f ca="1">VLOOKUP(B901,'Coverage Indicators - Section D'!$A$9:$AU$70,47,FALSE)</f>
        <v>TCP-1⁽ᴹ⁾ Número de casos notificados de todas las formas de tuberculosis (esto es, confirmados bacteriológicamente y con diagnóstico clínico), casos nuevos y recaídas.</v>
      </c>
      <c r="D901" s="796" t="str">
        <f ca="1">R901</f>
        <v>Definición de caso</v>
      </c>
      <c r="E901" s="796" t="str">
        <f ca="1">S901</f>
        <v>Confirmado bacteriológicamente</v>
      </c>
      <c r="F901" s="422">
        <v>6016</v>
      </c>
      <c r="G901" s="797">
        <f ca="1">IF(OR(INDIRECT("'update Helper'!E"&amp;U901)="",F901&lt;&gt;0,F902&lt;&gt;0),IF(IFERROR((F901/F902),"")="","",(F901/F902)),INDIRECT("'update Helper'!E"&amp;U901)/100)</f>
        <v>0.5013333333333333</v>
      </c>
      <c r="H901" s="784">
        <v>2020</v>
      </c>
      <c r="I901" s="798"/>
      <c r="J901" s="777"/>
      <c r="K901" s="795" t="str">
        <f ca="1">W901</f>
        <v>TCP-1⁽ᴹ⁾ Number of notified cases of all forms of TB (i.e. bacteriologically confirmed + clinically diagnosed), new and relapse cases</v>
      </c>
      <c r="L901" s="795" t="str">
        <f ca="1">V901</f>
        <v>TB case definition</v>
      </c>
      <c r="M901" s="777"/>
      <c r="N901" s="777"/>
      <c r="P901" s="89">
        <f ca="1">IF(AND(EXACT(C901,C899),C899&lt;&gt;0),P899+1,0)</f>
        <v>0</v>
      </c>
      <c r="Q901" s="89" t="str">
        <f ca="1">IF(C901&lt;&gt;"",C901&amp;"-"&amp;P901,"")</f>
        <v>TCP-1⁽ᴹ⁾ Número de casos notificados de todas las formas de tuberculosis (esto es, confirmados bacteriológicamente y con diagnóstico clínico), casos nuevos y recaídas.-0</v>
      </c>
      <c r="R901" s="89" t="str">
        <f t="array" aca="1" ref="R901" ca="1">IFERROR(IF(INDEX('Disaggregation Records'!$E$155:$E$385,MATCH(RIGHT(Q901,255),RIGHT('Disaggregation Records'!$D$155:$D$385,255),0))="","",INDEX('Disaggregation Records'!$E$155:$E$385,MATCH(RIGHT(Q901,255),RIGHT('Disaggregation Records'!$D$155:$D$385,255),0))),"")</f>
        <v>Definición de caso</v>
      </c>
      <c r="S901" s="89" t="str">
        <f t="array" aca="1" ref="S901" ca="1">IFERROR(IF(INDEX('Disaggregation Records'!$F$155:$F$385,MATCH(RIGHT(Q901,255),RIGHT('Disaggregation Records'!$D$155:$D$385,255),0))="","",INDEX('Disaggregation Records'!$F$155:$F$385,MATCH(RIGHT(Q901,255),RIGHT('Disaggregation Records'!$D$155:$D$385,255),0))),"")</f>
        <v>Confirmado bacteriológicamente</v>
      </c>
      <c r="T901" s="89" t="str">
        <f t="array" aca="1" ref="T901" ca="1">IFERROR(IF(INDEX('Disaggregation Records'!$H$155:$H$385,MATCH(RIGHT(Q901,255),RIGHT('Disaggregation Records'!$D$155:$D$385,255),0))="","",INDEX('Disaggregation Records'!$H$155:$H$385,MATCH(RIGHT(Q901,255),RIGHT('Disaggregation Records'!$D$155:$D$385,255),0))),"")</f>
        <v>IDR-00994</v>
      </c>
      <c r="U901" s="89">
        <f>U899+1</f>
        <v>1560</v>
      </c>
      <c r="V901" s="89" t="str">
        <f t="array" aca="1" ref="V901" ca="1">IFERROR(IF(INDEX('Disaggregation Records'!$I$155:$I$385,MATCH(RIGHT(Q901,255),RIGHT('Disaggregation Records'!$D$155:$D$385,255),0))="","",INDEX('Disaggregation Records'!$I$155:$I$385,MATCH(RIGHT(Q901,255),RIGHT('Disaggregation Records'!$D$155:$D$385,255),0))),"")</f>
        <v>TB case definition</v>
      </c>
      <c r="W901" s="89" t="str">
        <f ca="1">IFERROR(INDEX('Reference Records'!L$77:L$157,MATCH(LEFT(C901,255),'Reference Records'!E$77:E$157,0)),"")</f>
        <v>TCP-1⁽ᴹ⁾ Number of notified cases of all forms of TB (i.e. bacteriologically confirmed + clinically diagnosed), new and relapse cases</v>
      </c>
    </row>
    <row r="902" spans="1:23" s="89" customFormat="1" ht="81" customHeight="1">
      <c r="A902" s="564"/>
      <c r="B902" s="799"/>
      <c r="C902" s="800"/>
      <c r="D902" s="801"/>
      <c r="E902" s="801"/>
      <c r="F902" s="420">
        <v>12000</v>
      </c>
      <c r="G902" s="802"/>
      <c r="H902" s="781"/>
      <c r="I902" s="803"/>
      <c r="J902" s="779"/>
      <c r="K902" s="800"/>
      <c r="L902" s="800"/>
      <c r="M902" s="779"/>
      <c r="N902" s="779"/>
    </row>
    <row r="903" spans="1:23" s="89" customFormat="1" ht="40.35" customHeight="1">
      <c r="A903" s="564" t="str">
        <f ca="1">INDIRECT("'update Helper'!C"&amp;U903)</f>
        <v>a163p000004VjmyAAC</v>
      </c>
      <c r="B903" s="794">
        <v>8</v>
      </c>
      <c r="C903" s="795" t="str">
        <f ca="1">VLOOKUP(B903,'Coverage Indicators - Section D'!$A$9:$AU$70,47,FALSE)</f>
        <v>TCP-1⁽ᴹ⁾ Número de casos notificados de todas las formas de tuberculosis (esto es, confirmados bacteriológicamente y con diagnóstico clínico), casos nuevos y recaídas.</v>
      </c>
      <c r="D903" s="796" t="str">
        <f ca="1">R903</f>
        <v>Resultado de prueba del VIH</v>
      </c>
      <c r="E903" s="796" t="str">
        <f ca="1">S903</f>
        <v>No documentado</v>
      </c>
      <c r="F903" s="422">
        <f>6016-5238</f>
        <v>778</v>
      </c>
      <c r="G903" s="797">
        <f ca="1">IF(OR(INDIRECT("'update Helper'!E"&amp;U903)="",F903&lt;&gt;0,F904&lt;&gt;0),IF(IFERROR((F903/F904),"")="","",(F903/F904)),INDIRECT("'update Helper'!E"&amp;U903)/100)</f>
        <v>0.12932180851063829</v>
      </c>
      <c r="H903" s="784">
        <v>2020</v>
      </c>
      <c r="I903" s="798"/>
      <c r="J903" s="777"/>
      <c r="K903" s="795" t="str">
        <f ca="1">W903</f>
        <v>TCP-1⁽ᴹ⁾ Number of notified cases of all forms of TB (i.e. bacteriologically confirmed + clinically diagnosed), new and relapse cases</v>
      </c>
      <c r="L903" s="795" t="str">
        <f ca="1">V903</f>
        <v>HIV test status</v>
      </c>
      <c r="M903" s="777"/>
      <c r="N903" s="777"/>
      <c r="P903" s="89">
        <f ca="1">IF(AND(EXACT(C903,C901),C901&lt;&gt;0),P901+1,0)</f>
        <v>1</v>
      </c>
      <c r="Q903" s="89" t="str">
        <f ca="1">IF(C903&lt;&gt;"",C903&amp;"-"&amp;P903,"")</f>
        <v>TCP-1⁽ᴹ⁾ Número de casos notificados de todas las formas de tuberculosis (esto es, confirmados bacteriológicamente y con diagnóstico clínico), casos nuevos y recaídas.-1</v>
      </c>
      <c r="R903" s="89" t="str">
        <f t="array" aca="1" ref="R903" ca="1">IFERROR(IF(INDEX('Disaggregation Records'!$E$155:$E$385,MATCH(RIGHT(Q903,255),RIGHT('Disaggregation Records'!$D$155:$D$385,255),0))="","",INDEX('Disaggregation Records'!$E$155:$E$385,MATCH(RIGHT(Q903,255),RIGHT('Disaggregation Records'!$D$155:$D$385,255),0))),"")</f>
        <v>Resultado de prueba del VIH</v>
      </c>
      <c r="S903" s="89" t="str">
        <f t="array" aca="1" ref="S903" ca="1">IFERROR(IF(INDEX('Disaggregation Records'!$F$155:$F$385,MATCH(RIGHT(Q903,255),RIGHT('Disaggregation Records'!$D$155:$D$385,255),0))="","",INDEX('Disaggregation Records'!$F$155:$F$385,MATCH(RIGHT(Q903,255),RIGHT('Disaggregation Records'!$D$155:$D$385,255),0))),"")</f>
        <v>No documentado</v>
      </c>
      <c r="T903" s="89" t="str">
        <f t="array" aca="1" ref="T903" ca="1">IFERROR(IF(INDEX('Disaggregation Records'!$H$155:$H$385,MATCH(RIGHT(Q903,255),RIGHT('Disaggregation Records'!$D$155:$D$385,255),0))="","",INDEX('Disaggregation Records'!$H$155:$H$385,MATCH(RIGHT(Q903,255),RIGHT('Disaggregation Records'!$D$155:$D$385,255),0))),"")</f>
        <v>IDR-00933</v>
      </c>
      <c r="U903" s="89">
        <f>U901+1</f>
        <v>1561</v>
      </c>
      <c r="V903" s="89" t="str">
        <f t="array" aca="1" ref="V903" ca="1">IFERROR(IF(INDEX('Disaggregation Records'!$I$155:$I$385,MATCH(RIGHT(Q903,255),RIGHT('Disaggregation Records'!$D$155:$D$385,255),0))="","",INDEX('Disaggregation Records'!$I$155:$I$385,MATCH(RIGHT(Q903,255),RIGHT('Disaggregation Records'!$D$155:$D$385,255),0))),"")</f>
        <v>HIV test status</v>
      </c>
      <c r="W903" s="89" t="str">
        <f ca="1">IFERROR(INDEX('Reference Records'!L$77:L$157,MATCH(LEFT(C903,255),'Reference Records'!E$77:E$157,0)),"")</f>
        <v>TCP-1⁽ᴹ⁾ Number of notified cases of all forms of TB (i.e. bacteriologically confirmed + clinically diagnosed), new and relapse cases</v>
      </c>
    </row>
    <row r="904" spans="1:23" s="89" customFormat="1" ht="40.35" customHeight="1">
      <c r="A904" s="564"/>
      <c r="B904" s="799"/>
      <c r="C904" s="800"/>
      <c r="D904" s="801"/>
      <c r="E904" s="801"/>
      <c r="F904" s="420">
        <v>6016</v>
      </c>
      <c r="G904" s="802"/>
      <c r="H904" s="781"/>
      <c r="I904" s="803"/>
      <c r="J904" s="779"/>
      <c r="K904" s="800"/>
      <c r="L904" s="800"/>
      <c r="M904" s="779"/>
      <c r="N904" s="779"/>
    </row>
    <row r="905" spans="1:23" s="89" customFormat="1" ht="40.35" customHeight="1">
      <c r="A905" s="564" t="str">
        <f ca="1">INDIRECT("'update Helper'!C"&amp;U905)</f>
        <v>a163p000004VjmzAAC</v>
      </c>
      <c r="B905" s="794">
        <v>8</v>
      </c>
      <c r="C905" s="795" t="str">
        <f ca="1">VLOOKUP(B905,'Coverage Indicators - Section D'!$A$9:$AU$70,47,FALSE)</f>
        <v>TCP-1⁽ᴹ⁾ Número de casos notificados de todas las formas de tuberculosis (esto es, confirmados bacteriológicamente y con diagnóstico clínico), casos nuevos y recaídas.</v>
      </c>
      <c r="D905" s="796" t="str">
        <f ca="1">R905</f>
        <v>Resultado de prueba del VIH</v>
      </c>
      <c r="E905" s="796" t="str">
        <f ca="1">S905</f>
        <v>Negativo</v>
      </c>
      <c r="F905" s="422">
        <f>5238-283</f>
        <v>4955</v>
      </c>
      <c r="G905" s="797">
        <f ca="1">IF(OR(INDIRECT("'update Helper'!E"&amp;U905)="",F905&lt;&gt;0,F906&lt;&gt;0),IF(IFERROR((F905/F906),"")="","",(F905/F906)),INDIRECT("'update Helper'!E"&amp;U905)/100)</f>
        <v>0.82363696808510634</v>
      </c>
      <c r="H905" s="784">
        <v>2020</v>
      </c>
      <c r="I905" s="798"/>
      <c r="J905" s="777"/>
      <c r="K905" s="795" t="str">
        <f ca="1">W905</f>
        <v>TCP-1⁽ᴹ⁾ Number of notified cases of all forms of TB (i.e. bacteriologically confirmed + clinically diagnosed), new and relapse cases</v>
      </c>
      <c r="L905" s="795" t="str">
        <f ca="1">V905</f>
        <v>HIV test status</v>
      </c>
      <c r="M905" s="777"/>
      <c r="N905" s="777"/>
      <c r="P905" s="89">
        <f ca="1">IF(AND(EXACT(C905,C903),C903&lt;&gt;0),P903+1,0)</f>
        <v>2</v>
      </c>
      <c r="Q905" s="89" t="str">
        <f ca="1">IF(C905&lt;&gt;"",C905&amp;"-"&amp;P905,"")</f>
        <v>TCP-1⁽ᴹ⁾ Número de casos notificados de todas las formas de tuberculosis (esto es, confirmados bacteriológicamente y con diagnóstico clínico), casos nuevos y recaídas.-2</v>
      </c>
      <c r="R905" s="89" t="str">
        <f t="array" aca="1" ref="R905" ca="1">IFERROR(IF(INDEX('Disaggregation Records'!$E$155:$E$385,MATCH(RIGHT(Q905,255),RIGHT('Disaggregation Records'!$D$155:$D$385,255),0))="","",INDEX('Disaggregation Records'!$E$155:$E$385,MATCH(RIGHT(Q905,255),RIGHT('Disaggregation Records'!$D$155:$D$385,255),0))),"")</f>
        <v>Resultado de prueba del VIH</v>
      </c>
      <c r="S905" s="89" t="str">
        <f t="array" aca="1" ref="S905" ca="1">IFERROR(IF(INDEX('Disaggregation Records'!$F$155:$F$385,MATCH(RIGHT(Q905,255),RIGHT('Disaggregation Records'!$D$155:$D$385,255),0))="","",INDEX('Disaggregation Records'!$F$155:$F$385,MATCH(RIGHT(Q905,255),RIGHT('Disaggregation Records'!$D$155:$D$385,255),0))),"")</f>
        <v>Negativo</v>
      </c>
      <c r="T905" s="89" t="str">
        <f t="array" aca="1" ref="T905" ca="1">IFERROR(IF(INDEX('Disaggregation Records'!$H$155:$H$385,MATCH(RIGHT(Q905,255),RIGHT('Disaggregation Records'!$D$155:$D$385,255),0))="","",INDEX('Disaggregation Records'!$H$155:$H$385,MATCH(RIGHT(Q905,255),RIGHT('Disaggregation Records'!$D$155:$D$385,255),0))),"")</f>
        <v>IDR-00932</v>
      </c>
      <c r="U905" s="89">
        <f>U903+1</f>
        <v>1562</v>
      </c>
      <c r="V905" s="89" t="str">
        <f t="array" aca="1" ref="V905" ca="1">IFERROR(IF(INDEX('Disaggregation Records'!$I$155:$I$385,MATCH(RIGHT(Q905,255),RIGHT('Disaggregation Records'!$D$155:$D$385,255),0))="","",INDEX('Disaggregation Records'!$I$155:$I$385,MATCH(RIGHT(Q905,255),RIGHT('Disaggregation Records'!$D$155:$D$385,255),0))),"")</f>
        <v>HIV test status</v>
      </c>
      <c r="W905" s="89" t="str">
        <f ca="1">IFERROR(INDEX('Reference Records'!L$77:L$157,MATCH(LEFT(C905,255),'Reference Records'!E$77:E$157,0)),"")</f>
        <v>TCP-1⁽ᴹ⁾ Number of notified cases of all forms of TB (i.e. bacteriologically confirmed + clinically diagnosed), new and relapse cases</v>
      </c>
    </row>
    <row r="906" spans="1:23" s="89" customFormat="1" ht="40.35" customHeight="1">
      <c r="A906" s="564"/>
      <c r="B906" s="799"/>
      <c r="C906" s="800"/>
      <c r="D906" s="801"/>
      <c r="E906" s="801"/>
      <c r="F906" s="420">
        <v>6016</v>
      </c>
      <c r="G906" s="802"/>
      <c r="H906" s="781"/>
      <c r="I906" s="803"/>
      <c r="J906" s="779"/>
      <c r="K906" s="800"/>
      <c r="L906" s="800"/>
      <c r="M906" s="779"/>
      <c r="N906" s="779"/>
    </row>
    <row r="907" spans="1:23" s="89" customFormat="1" ht="40.35" customHeight="1">
      <c r="A907" s="564" t="str">
        <f ca="1">INDIRECT("'update Helper'!C"&amp;U907)</f>
        <v>a163p000004Vjn0AAC</v>
      </c>
      <c r="B907" s="794">
        <v>8</v>
      </c>
      <c r="C907" s="795" t="str">
        <f ca="1">VLOOKUP(B907,'Coverage Indicators - Section D'!$A$9:$AU$70,47,FALSE)</f>
        <v>TCP-1⁽ᴹ⁾ Número de casos notificados de todas las formas de tuberculosis (esto es, confirmados bacteriológicamente y con diagnóstico clínico), casos nuevos y recaídas.</v>
      </c>
      <c r="D907" s="796" t="str">
        <f ca="1">R907</f>
        <v>Resultado de prueba del VIH</v>
      </c>
      <c r="E907" s="796" t="str">
        <f ca="1">S907</f>
        <v>Positivo</v>
      </c>
      <c r="F907" s="422">
        <v>283</v>
      </c>
      <c r="G907" s="797">
        <f ca="1">IF(OR(INDIRECT("'update Helper'!E"&amp;U907)="",F907&lt;&gt;0,F908&lt;&gt;0),IF(IFERROR((F907/F908),"")="","",(F907/F908)),INDIRECT("'update Helper'!E"&amp;U907)/100)</f>
        <v>4.7041223404255317E-2</v>
      </c>
      <c r="H907" s="784">
        <v>2020</v>
      </c>
      <c r="I907" s="798"/>
      <c r="J907" s="777"/>
      <c r="K907" s="795" t="str">
        <f ca="1">W907</f>
        <v>TCP-1⁽ᴹ⁾ Number of notified cases of all forms of TB (i.e. bacteriologically confirmed + clinically diagnosed), new and relapse cases</v>
      </c>
      <c r="L907" s="795" t="str">
        <f ca="1">V907</f>
        <v>HIV test status</v>
      </c>
      <c r="M907" s="777"/>
      <c r="N907" s="777"/>
      <c r="P907" s="89">
        <f ca="1">IF(AND(EXACT(C907,C905),C905&lt;&gt;0),P905+1,0)</f>
        <v>3</v>
      </c>
      <c r="Q907" s="89" t="str">
        <f ca="1">IF(C907&lt;&gt;"",C907&amp;"-"&amp;P907,"")</f>
        <v>TCP-1⁽ᴹ⁾ Número de casos notificados de todas las formas de tuberculosis (esto es, confirmados bacteriológicamente y con diagnóstico clínico), casos nuevos y recaídas.-3</v>
      </c>
      <c r="R907" s="89" t="str">
        <f t="array" aca="1" ref="R907" ca="1">IFERROR(IF(INDEX('Disaggregation Records'!$E$155:$E$385,MATCH(RIGHT(Q907,255),RIGHT('Disaggregation Records'!$D$155:$D$385,255),0))="","",INDEX('Disaggregation Records'!$E$155:$E$385,MATCH(RIGHT(Q907,255),RIGHT('Disaggregation Records'!$D$155:$D$385,255),0))),"")</f>
        <v>Resultado de prueba del VIH</v>
      </c>
      <c r="S907" s="89" t="str">
        <f t="array" aca="1" ref="S907" ca="1">IFERROR(IF(INDEX('Disaggregation Records'!$F$155:$F$385,MATCH(RIGHT(Q907,255),RIGHT('Disaggregation Records'!$D$155:$D$385,255),0))="","",INDEX('Disaggregation Records'!$F$155:$F$385,MATCH(RIGHT(Q907,255),RIGHT('Disaggregation Records'!$D$155:$D$385,255),0))),"")</f>
        <v>Positivo</v>
      </c>
      <c r="T907" s="89" t="str">
        <f t="array" aca="1" ref="T907" ca="1">IFERROR(IF(INDEX('Disaggregation Records'!$H$155:$H$385,MATCH(RIGHT(Q907,255),RIGHT('Disaggregation Records'!$D$155:$D$385,255),0))="","",INDEX('Disaggregation Records'!$H$155:$H$385,MATCH(RIGHT(Q907,255),RIGHT('Disaggregation Records'!$D$155:$D$385,255),0))),"")</f>
        <v>IDR-00931</v>
      </c>
      <c r="U907" s="89">
        <f>U905+1</f>
        <v>1563</v>
      </c>
      <c r="V907" s="89" t="str">
        <f t="array" aca="1" ref="V907" ca="1">IFERROR(IF(INDEX('Disaggregation Records'!$I$155:$I$385,MATCH(RIGHT(Q907,255),RIGHT('Disaggregation Records'!$D$155:$D$385,255),0))="","",INDEX('Disaggregation Records'!$I$155:$I$385,MATCH(RIGHT(Q907,255),RIGHT('Disaggregation Records'!$D$155:$D$385,255),0))),"")</f>
        <v>HIV test status</v>
      </c>
      <c r="W907" s="89" t="str">
        <f ca="1">IFERROR(INDEX('Reference Records'!L$77:L$157,MATCH(LEFT(C907,255),'Reference Records'!E$77:E$157,0)),"")</f>
        <v>TCP-1⁽ᴹ⁾ Number of notified cases of all forms of TB (i.e. bacteriologically confirmed + clinically diagnosed), new and relapse cases</v>
      </c>
    </row>
    <row r="908" spans="1:23" s="89" customFormat="1" ht="40.35" customHeight="1">
      <c r="A908" s="564"/>
      <c r="B908" s="799"/>
      <c r="C908" s="800"/>
      <c r="D908" s="801"/>
      <c r="E908" s="801"/>
      <c r="F908" s="420">
        <v>6016</v>
      </c>
      <c r="G908" s="802"/>
      <c r="H908" s="781"/>
      <c r="I908" s="803"/>
      <c r="J908" s="779"/>
      <c r="K908" s="800"/>
      <c r="L908" s="800"/>
      <c r="M908" s="779"/>
      <c r="N908" s="779"/>
    </row>
    <row r="909" spans="1:23" s="89" customFormat="1" ht="40.35" customHeight="1">
      <c r="A909" s="564" t="str">
        <f ca="1">INDIRECT("'update Helper'!C"&amp;U909)</f>
        <v>a163p000004Vjn1AAC</v>
      </c>
      <c r="B909" s="794">
        <v>8</v>
      </c>
      <c r="C909" s="795" t="str">
        <f ca="1">VLOOKUP(B909,'Coverage Indicators - Section D'!$A$9:$AU$70,47,FALSE)</f>
        <v>TCP-1⁽ᴹ⁾ Número de casos notificados de todas las formas de tuberculosis (esto es, confirmados bacteriológicamente y con diagnóstico clínico), casos nuevos y recaídas.</v>
      </c>
      <c r="D909" s="796" t="str">
        <f ca="1">R909</f>
        <v>Género</v>
      </c>
      <c r="E909" s="796" t="str">
        <f ca="1">S909</f>
        <v>Mujeres</v>
      </c>
      <c r="F909" s="422">
        <v>2218</v>
      </c>
      <c r="G909" s="797">
        <f ca="1">IF(OR(INDIRECT("'update Helper'!E"&amp;U909)="",F909&lt;&gt;0,F910&lt;&gt;0),IF(IFERROR((F909/F910),"")="","",(F909/F910)),INDIRECT("'update Helper'!E"&amp;U909)/100)</f>
        <v>0.36868351063829785</v>
      </c>
      <c r="H909" s="784">
        <v>2020</v>
      </c>
      <c r="I909" s="798"/>
      <c r="J909" s="777"/>
      <c r="K909" s="795" t="str">
        <f ca="1">W909</f>
        <v>TCP-1⁽ᴹ⁾ Number of notified cases of all forms of TB (i.e. bacteriologically confirmed + clinically diagnosed), new and relapse cases</v>
      </c>
      <c r="L909" s="795" t="str">
        <f ca="1">V909</f>
        <v>Gender</v>
      </c>
      <c r="M909" s="777"/>
      <c r="N909" s="777"/>
      <c r="P909" s="89">
        <f ca="1">IF(AND(EXACT(C909,C907),C907&lt;&gt;0),P907+1,0)</f>
        <v>4</v>
      </c>
      <c r="Q909" s="89" t="str">
        <f ca="1">IF(C909&lt;&gt;"",C909&amp;"-"&amp;P909,"")</f>
        <v>TCP-1⁽ᴹ⁾ Número de casos notificados de todas las formas de tuberculosis (esto es, confirmados bacteriológicamente y con diagnóstico clínico), casos nuevos y recaídas.-4</v>
      </c>
      <c r="R909" s="89" t="str">
        <f t="array" aca="1" ref="R909" ca="1">IFERROR(IF(INDEX('Disaggregation Records'!$E$155:$E$385,MATCH(RIGHT(Q909,255),RIGHT('Disaggregation Records'!$D$155:$D$385,255),0))="","",INDEX('Disaggregation Records'!$E$155:$E$385,MATCH(RIGHT(Q909,255),RIGHT('Disaggregation Records'!$D$155:$D$385,255),0))),"")</f>
        <v>Género</v>
      </c>
      <c r="S909" s="89" t="str">
        <f t="array" aca="1" ref="S909" ca="1">IFERROR(IF(INDEX('Disaggregation Records'!$F$155:$F$385,MATCH(RIGHT(Q909,255),RIGHT('Disaggregation Records'!$D$155:$D$385,255),0))="","",INDEX('Disaggregation Records'!$F$155:$F$385,MATCH(RIGHT(Q909,255),RIGHT('Disaggregation Records'!$D$155:$D$385,255),0))),"")</f>
        <v>Mujeres</v>
      </c>
      <c r="T909" s="89" t="str">
        <f t="array" aca="1" ref="T909" ca="1">IFERROR(IF(INDEX('Disaggregation Records'!$H$155:$H$385,MATCH(RIGHT(Q909,255),RIGHT('Disaggregation Records'!$D$155:$D$385,255),0))="","",INDEX('Disaggregation Records'!$H$155:$H$385,MATCH(RIGHT(Q909,255),RIGHT('Disaggregation Records'!$D$155:$D$385,255),0))),"")</f>
        <v>IDR-00853</v>
      </c>
      <c r="U909" s="89">
        <f>U907+1</f>
        <v>1564</v>
      </c>
      <c r="V909" s="89" t="str">
        <f t="array" aca="1" ref="V909" ca="1">IFERROR(IF(INDEX('Disaggregation Records'!$I$155:$I$385,MATCH(RIGHT(Q909,255),RIGHT('Disaggregation Records'!$D$155:$D$385,255),0))="","",INDEX('Disaggregation Records'!$I$155:$I$385,MATCH(RIGHT(Q909,255),RIGHT('Disaggregation Records'!$D$155:$D$385,255),0))),"")</f>
        <v>Gender</v>
      </c>
      <c r="W909" s="89" t="str">
        <f ca="1">IFERROR(INDEX('Reference Records'!L$77:L$157,MATCH(LEFT(C909,255),'Reference Records'!E$77:E$157,0)),"")</f>
        <v>TCP-1⁽ᴹ⁾ Number of notified cases of all forms of TB (i.e. bacteriologically confirmed + clinically diagnosed), new and relapse cases</v>
      </c>
    </row>
    <row r="910" spans="1:23" s="89" customFormat="1" ht="40.35" customHeight="1">
      <c r="A910" s="564"/>
      <c r="B910" s="799"/>
      <c r="C910" s="800"/>
      <c r="D910" s="801"/>
      <c r="E910" s="801"/>
      <c r="F910" s="420">
        <v>6016</v>
      </c>
      <c r="G910" s="802"/>
      <c r="H910" s="781"/>
      <c r="I910" s="803"/>
      <c r="J910" s="779"/>
      <c r="K910" s="800"/>
      <c r="L910" s="800"/>
      <c r="M910" s="779"/>
      <c r="N910" s="779"/>
    </row>
    <row r="911" spans="1:23" s="89" customFormat="1" ht="40.35" customHeight="1">
      <c r="A911" s="564" t="str">
        <f ca="1">INDIRECT("'update Helper'!C"&amp;U911)</f>
        <v>a163p000004Vjn2AAC</v>
      </c>
      <c r="B911" s="794">
        <v>8</v>
      </c>
      <c r="C911" s="795" t="str">
        <f ca="1">VLOOKUP(B911,'Coverage Indicators - Section D'!$A$9:$AU$70,47,FALSE)</f>
        <v>TCP-1⁽ᴹ⁾ Número de casos notificados de todas las formas de tuberculosis (esto es, confirmados bacteriológicamente y con diagnóstico clínico), casos nuevos y recaídas.</v>
      </c>
      <c r="D911" s="796" t="str">
        <f ca="1">R911</f>
        <v>Género</v>
      </c>
      <c r="E911" s="796" t="str">
        <f ca="1">S911</f>
        <v>Hombres</v>
      </c>
      <c r="F911" s="422">
        <v>3798</v>
      </c>
      <c r="G911" s="797">
        <f ca="1">IF(OR(INDIRECT("'update Helper'!E"&amp;U911)="",F911&lt;&gt;0,F912&lt;&gt;0),IF(IFERROR((F911/F912),"")="","",(F911/F912)),INDIRECT("'update Helper'!E"&amp;U911)/100)</f>
        <v>0.63131648936170215</v>
      </c>
      <c r="H911" s="784">
        <v>2020</v>
      </c>
      <c r="I911" s="798"/>
      <c r="J911" s="777"/>
      <c r="K911" s="795" t="str">
        <f ca="1">W911</f>
        <v>TCP-1⁽ᴹ⁾ Number of notified cases of all forms of TB (i.e. bacteriologically confirmed + clinically diagnosed), new and relapse cases</v>
      </c>
      <c r="L911" s="795" t="str">
        <f ca="1">V911</f>
        <v>Gender</v>
      </c>
      <c r="M911" s="777"/>
      <c r="N911" s="777"/>
      <c r="P911" s="89">
        <f ca="1">IF(AND(EXACT(C911,C909),C909&lt;&gt;0),P909+1,0)</f>
        <v>5</v>
      </c>
      <c r="Q911" s="89" t="str">
        <f ca="1">IF(C911&lt;&gt;"",C911&amp;"-"&amp;P911,"")</f>
        <v>TCP-1⁽ᴹ⁾ Número de casos notificados de todas las formas de tuberculosis (esto es, confirmados bacteriológicamente y con diagnóstico clínico), casos nuevos y recaídas.-5</v>
      </c>
      <c r="R911" s="89" t="str">
        <f t="array" aca="1" ref="R911" ca="1">IFERROR(IF(INDEX('Disaggregation Records'!$E$155:$E$385,MATCH(RIGHT(Q911,255),RIGHT('Disaggregation Records'!$D$155:$D$385,255),0))="","",INDEX('Disaggregation Records'!$E$155:$E$385,MATCH(RIGHT(Q911,255),RIGHT('Disaggregation Records'!$D$155:$D$385,255),0))),"")</f>
        <v>Género</v>
      </c>
      <c r="S911" s="89" t="str">
        <f t="array" aca="1" ref="S911" ca="1">IFERROR(IF(INDEX('Disaggregation Records'!$F$155:$F$385,MATCH(RIGHT(Q911,255),RIGHT('Disaggregation Records'!$D$155:$D$385,255),0))="","",INDEX('Disaggregation Records'!$F$155:$F$385,MATCH(RIGHT(Q911,255),RIGHT('Disaggregation Records'!$D$155:$D$385,255),0))),"")</f>
        <v>Hombres</v>
      </c>
      <c r="T911" s="89" t="str">
        <f t="array" aca="1" ref="T911" ca="1">IFERROR(IF(INDEX('Disaggregation Records'!$H$155:$H$385,MATCH(RIGHT(Q911,255),RIGHT('Disaggregation Records'!$D$155:$D$385,255),0))="","",INDEX('Disaggregation Records'!$H$155:$H$385,MATCH(RIGHT(Q911,255),RIGHT('Disaggregation Records'!$D$155:$D$385,255),0))),"")</f>
        <v>IDR-00852</v>
      </c>
      <c r="U911" s="89">
        <f>U909+1</f>
        <v>1565</v>
      </c>
      <c r="V911" s="89" t="str">
        <f t="array" aca="1" ref="V911" ca="1">IFERROR(IF(INDEX('Disaggregation Records'!$I$155:$I$385,MATCH(RIGHT(Q911,255),RIGHT('Disaggregation Records'!$D$155:$D$385,255),0))="","",INDEX('Disaggregation Records'!$I$155:$I$385,MATCH(RIGHT(Q911,255),RIGHT('Disaggregation Records'!$D$155:$D$385,255),0))),"")</f>
        <v>Gender</v>
      </c>
      <c r="W911" s="89" t="str">
        <f ca="1">IFERROR(INDEX('Reference Records'!L$77:L$157,MATCH(LEFT(C911,255),'Reference Records'!E$77:E$157,0)),"")</f>
        <v>TCP-1⁽ᴹ⁾ Number of notified cases of all forms of TB (i.e. bacteriologically confirmed + clinically diagnosed), new and relapse cases</v>
      </c>
    </row>
    <row r="912" spans="1:23" s="89" customFormat="1" ht="40.35" customHeight="1">
      <c r="A912" s="564"/>
      <c r="B912" s="799"/>
      <c r="C912" s="800"/>
      <c r="D912" s="801"/>
      <c r="E912" s="801"/>
      <c r="F912" s="420">
        <v>6016</v>
      </c>
      <c r="G912" s="802"/>
      <c r="H912" s="781"/>
      <c r="I912" s="803"/>
      <c r="J912" s="779"/>
      <c r="K912" s="800"/>
      <c r="L912" s="800"/>
      <c r="M912" s="779"/>
      <c r="N912" s="779"/>
    </row>
    <row r="913" spans="1:23" s="89" customFormat="1" ht="40.35" customHeight="1">
      <c r="A913" s="564" t="str">
        <f ca="1">INDIRECT("'update Helper'!C"&amp;U913)</f>
        <v>a163p000004Vjn3AAC</v>
      </c>
      <c r="B913" s="794">
        <v>8</v>
      </c>
      <c r="C913" s="795" t="str">
        <f ca="1">VLOOKUP(B913,'Coverage Indicators - Section D'!$A$9:$AU$70,47,FALSE)</f>
        <v>TCP-1⁽ᴹ⁾ Número de casos notificados de todas las formas de tuberculosis (esto es, confirmados bacteriológicamente y con diagnóstico clínico), casos nuevos y recaídas.</v>
      </c>
      <c r="D913" s="796" t="str">
        <f ca="1">R913</f>
        <v>Edad</v>
      </c>
      <c r="E913" s="796" t="str">
        <f ca="1">S913</f>
        <v>15+</v>
      </c>
      <c r="F913" s="422">
        <v>5799</v>
      </c>
      <c r="G913" s="797">
        <f ca="1">IF(OR(INDIRECT("'update Helper'!E"&amp;U913)="",F913&lt;&gt;0,F914&lt;&gt;0),IF(IFERROR((F913/F914),"")="","",(F913/F914)),INDIRECT("'update Helper'!E"&amp;U913)/100)</f>
        <v>0.9639295212765957</v>
      </c>
      <c r="H913" s="784">
        <v>2020</v>
      </c>
      <c r="I913" s="798"/>
      <c r="J913" s="777"/>
      <c r="K913" s="795" t="str">
        <f ca="1">W913</f>
        <v>TCP-1⁽ᴹ⁾ Number of notified cases of all forms of TB (i.e. bacteriologically confirmed + clinically diagnosed), new and relapse cases</v>
      </c>
      <c r="L913" s="795" t="str">
        <f ca="1">V913</f>
        <v>Age</v>
      </c>
      <c r="M913" s="777"/>
      <c r="N913" s="777"/>
      <c r="P913" s="89">
        <f ca="1">IF(AND(EXACT(C913,C911),C911&lt;&gt;0),P911+1,0)</f>
        <v>6</v>
      </c>
      <c r="Q913" s="89" t="str">
        <f ca="1">IF(C913&lt;&gt;"",C913&amp;"-"&amp;P913,"")</f>
        <v>TCP-1⁽ᴹ⁾ Número de casos notificados de todas las formas de tuberculosis (esto es, confirmados bacteriológicamente y con diagnóstico clínico), casos nuevos y recaídas.-6</v>
      </c>
      <c r="R913" s="89" t="str">
        <f t="array" aca="1" ref="R913" ca="1">IFERROR(IF(INDEX('Disaggregation Records'!$E$155:$E$385,MATCH(RIGHT(Q913,255),RIGHT('Disaggregation Records'!$D$155:$D$385,255),0))="","",INDEX('Disaggregation Records'!$E$155:$E$385,MATCH(RIGHT(Q913,255),RIGHT('Disaggregation Records'!$D$155:$D$385,255),0))),"")</f>
        <v>Edad</v>
      </c>
      <c r="S913" s="89" t="str">
        <f t="array" aca="1" ref="S913" ca="1">IFERROR(IF(INDEX('Disaggregation Records'!$F$155:$F$385,MATCH(RIGHT(Q913,255),RIGHT('Disaggregation Records'!$D$155:$D$385,255),0))="","",INDEX('Disaggregation Records'!$F$155:$F$385,MATCH(RIGHT(Q913,255),RIGHT('Disaggregation Records'!$D$155:$D$385,255),0))),"")</f>
        <v>15+</v>
      </c>
      <c r="T913" s="89" t="str">
        <f t="array" aca="1" ref="T913" ca="1">IFERROR(IF(INDEX('Disaggregation Records'!$H$155:$H$385,MATCH(RIGHT(Q913,255),RIGHT('Disaggregation Records'!$D$155:$D$385,255),0))="","",INDEX('Disaggregation Records'!$H$155:$H$385,MATCH(RIGHT(Q913,255),RIGHT('Disaggregation Records'!$D$155:$D$385,255),0))),"")</f>
        <v>IDR-00726</v>
      </c>
      <c r="U913" s="89">
        <f>U911+1</f>
        <v>1566</v>
      </c>
      <c r="V913" s="89" t="str">
        <f t="array" aca="1" ref="V913" ca="1">IFERROR(IF(INDEX('Disaggregation Records'!$I$155:$I$385,MATCH(RIGHT(Q913,255),RIGHT('Disaggregation Records'!$D$155:$D$385,255),0))="","",INDEX('Disaggregation Records'!$I$155:$I$385,MATCH(RIGHT(Q913,255),RIGHT('Disaggregation Records'!$D$155:$D$385,255),0))),"")</f>
        <v>Age</v>
      </c>
      <c r="W913" s="89" t="str">
        <f ca="1">IFERROR(INDEX('Reference Records'!L$77:L$157,MATCH(LEFT(C913,255),'Reference Records'!E$77:E$157,0)),"")</f>
        <v>TCP-1⁽ᴹ⁾ Number of notified cases of all forms of TB (i.e. bacteriologically confirmed + clinically diagnosed), new and relapse cases</v>
      </c>
    </row>
    <row r="914" spans="1:23" s="89" customFormat="1" ht="40.35" customHeight="1">
      <c r="A914" s="564"/>
      <c r="B914" s="799"/>
      <c r="C914" s="800"/>
      <c r="D914" s="801"/>
      <c r="E914" s="801"/>
      <c r="F914" s="420">
        <v>6016</v>
      </c>
      <c r="G914" s="802"/>
      <c r="H914" s="781"/>
      <c r="I914" s="803"/>
      <c r="J914" s="779"/>
      <c r="K914" s="800"/>
      <c r="L914" s="800"/>
      <c r="M914" s="779"/>
      <c r="N914" s="779"/>
    </row>
    <row r="915" spans="1:23" s="89" customFormat="1" ht="40.35" customHeight="1">
      <c r="A915" s="564" t="str">
        <f ca="1">INDIRECT("'update Helper'!C"&amp;U915)</f>
        <v>a163p000004Vjn4AAC</v>
      </c>
      <c r="B915" s="794">
        <v>8</v>
      </c>
      <c r="C915" s="795" t="str">
        <f ca="1">VLOOKUP(B915,'Coverage Indicators - Section D'!$A$9:$AU$70,47,FALSE)</f>
        <v>TCP-1⁽ᴹ⁾ Número de casos notificados de todas las formas de tuberculosis (esto es, confirmados bacteriológicamente y con diagnóstico clínico), casos nuevos y recaídas.</v>
      </c>
      <c r="D915" s="796" t="str">
        <f ca="1">R915</f>
        <v>Edad</v>
      </c>
      <c r="E915" s="796" t="str">
        <f ca="1">S915</f>
        <v>&lt;15</v>
      </c>
      <c r="F915" s="422">
        <f>21+90+14+92</f>
        <v>217</v>
      </c>
      <c r="G915" s="797">
        <f ca="1">IF(OR(INDIRECT("'update Helper'!E"&amp;U915)="",F915&lt;&gt;0,F916&lt;&gt;0),IF(IFERROR((F915/F916),"")="","",(F915/F916)),INDIRECT("'update Helper'!E"&amp;U915)/100)</f>
        <v>3.6070478723404256E-2</v>
      </c>
      <c r="H915" s="784">
        <v>2020</v>
      </c>
      <c r="I915" s="798"/>
      <c r="J915" s="777"/>
      <c r="K915" s="795" t="str">
        <f ca="1">W915</f>
        <v>TCP-1⁽ᴹ⁾ Number of notified cases of all forms of TB (i.e. bacteriologically confirmed + clinically diagnosed), new and relapse cases</v>
      </c>
      <c r="L915" s="795" t="str">
        <f ca="1">V915</f>
        <v>Age</v>
      </c>
      <c r="M915" s="777"/>
      <c r="N915" s="777"/>
      <c r="P915" s="89">
        <f ca="1">IF(AND(EXACT(C915,C913),C913&lt;&gt;0),P913+1,0)</f>
        <v>7</v>
      </c>
      <c r="Q915" s="89" t="str">
        <f ca="1">IF(C915&lt;&gt;"",C915&amp;"-"&amp;P915,"")</f>
        <v>TCP-1⁽ᴹ⁾ Número de casos notificados de todas las formas de tuberculosis (esto es, confirmados bacteriológicamente y con diagnóstico clínico), casos nuevos y recaídas.-7</v>
      </c>
      <c r="R915" s="89" t="str">
        <f t="array" aca="1" ref="R915" ca="1">IFERROR(IF(INDEX('Disaggregation Records'!$E$155:$E$385,MATCH(RIGHT(Q915,255),RIGHT('Disaggregation Records'!$D$155:$D$385,255),0))="","",INDEX('Disaggregation Records'!$E$155:$E$385,MATCH(RIGHT(Q915,255),RIGHT('Disaggregation Records'!$D$155:$D$385,255),0))),"")</f>
        <v>Edad</v>
      </c>
      <c r="S915" s="89" t="str">
        <f t="array" aca="1" ref="S915" ca="1">IFERROR(IF(INDEX('Disaggregation Records'!$F$155:$F$385,MATCH(RIGHT(Q915,255),RIGHT('Disaggregation Records'!$D$155:$D$385,255),0))="","",INDEX('Disaggregation Records'!$F$155:$F$385,MATCH(RIGHT(Q915,255),RIGHT('Disaggregation Records'!$D$155:$D$385,255),0))),"")</f>
        <v>&lt;15</v>
      </c>
      <c r="T915" s="89" t="str">
        <f t="array" aca="1" ref="T915" ca="1">IFERROR(IF(INDEX('Disaggregation Records'!$H$155:$H$385,MATCH(RIGHT(Q915,255),RIGHT('Disaggregation Records'!$D$155:$D$385,255),0))="","",INDEX('Disaggregation Records'!$H$155:$H$385,MATCH(RIGHT(Q915,255),RIGHT('Disaggregation Records'!$D$155:$D$385,255),0))),"")</f>
        <v>IDR-00725</v>
      </c>
      <c r="U915" s="89">
        <f>U913+1</f>
        <v>1567</v>
      </c>
      <c r="V915" s="89" t="str">
        <f t="array" aca="1" ref="V915" ca="1">IFERROR(IF(INDEX('Disaggregation Records'!$I$155:$I$385,MATCH(RIGHT(Q915,255),RIGHT('Disaggregation Records'!$D$155:$D$385,255),0))="","",INDEX('Disaggregation Records'!$I$155:$I$385,MATCH(RIGHT(Q915,255),RIGHT('Disaggregation Records'!$D$155:$D$385,255),0))),"")</f>
        <v>Age</v>
      </c>
      <c r="W915" s="89" t="str">
        <f ca="1">IFERROR(INDEX('Reference Records'!L$77:L$157,MATCH(LEFT(C915,255),'Reference Records'!E$77:E$157,0)),"")</f>
        <v>TCP-1⁽ᴹ⁾ Number of notified cases of all forms of TB (i.e. bacteriologically confirmed + clinically diagnosed), new and relapse cases</v>
      </c>
    </row>
    <row r="916" spans="1:23" s="89" customFormat="1" ht="40.35" customHeight="1">
      <c r="A916" s="564"/>
      <c r="B916" s="799"/>
      <c r="C916" s="800"/>
      <c r="D916" s="801"/>
      <c r="E916" s="801"/>
      <c r="F916" s="420">
        <v>6016</v>
      </c>
      <c r="G916" s="802"/>
      <c r="H916" s="781"/>
      <c r="I916" s="803"/>
      <c r="J916" s="779"/>
      <c r="K916" s="800"/>
      <c r="L916" s="800"/>
      <c r="M916" s="779"/>
      <c r="N916" s="779"/>
    </row>
    <row r="917" spans="1:23" s="89" customFormat="1" ht="40.35" customHeight="1">
      <c r="A917" s="564" t="str">
        <f ca="1">INDIRECT("'update Helper'!C"&amp;U917)</f>
        <v>a163p000004Vjn5AAC</v>
      </c>
      <c r="B917" s="794">
        <v>8</v>
      </c>
      <c r="C917" s="795" t="str">
        <f ca="1">VLOOKUP(B917,'Coverage Indicators - Section D'!$A$9:$AU$70,47,FALSE)</f>
        <v>TCP-1⁽ᴹ⁾ Número de casos notificados de todas las formas de tuberculosis (esto es, confirmados bacteriológicamente y con diagnóstico clínico), casos nuevos y recaídas.</v>
      </c>
      <c r="D917" s="796" t="str">
        <f ca="1">R917</f>
        <v/>
      </c>
      <c r="E917" s="796" t="str">
        <f ca="1">S917</f>
        <v/>
      </c>
      <c r="F917" s="127"/>
      <c r="G917" s="797" t="str">
        <f ca="1">IF(OR(INDIRECT("'update Helper'!E"&amp;U917)="",F917&lt;&gt;0,F918&lt;&gt;0),IF(IFERROR((F917/F918),"")="","",(F917/F918)),INDIRECT("'update Helper'!E"&amp;U917)/100)</f>
        <v/>
      </c>
      <c r="H917" s="784"/>
      <c r="I917" s="798"/>
      <c r="J917" s="777"/>
      <c r="K917" s="795" t="str">
        <f ca="1">W917</f>
        <v>TCP-1⁽ᴹ⁾ Number of notified cases of all forms of TB (i.e. bacteriologically confirmed + clinically diagnosed), new and relapse cases</v>
      </c>
      <c r="L917" s="795" t="str">
        <f ca="1">V917</f>
        <v/>
      </c>
      <c r="M917" s="777"/>
      <c r="N917" s="777"/>
      <c r="P917" s="89">
        <f ca="1">IF(AND(EXACT(C917,C915),C915&lt;&gt;0),P915+1,0)</f>
        <v>8</v>
      </c>
      <c r="Q917" s="89" t="str">
        <f ca="1">IF(C917&lt;&gt;"",C917&amp;"-"&amp;P917,"")</f>
        <v>TCP-1⁽ᴹ⁾ Número de casos notificados de todas las formas de tuberculosis (esto es, confirmados bacteriológicamente y con diagnóstico clínico), casos nuevos y recaídas.-8</v>
      </c>
      <c r="R917" s="89" t="str">
        <f t="array" aca="1" ref="R917" ca="1">IFERROR(IF(INDEX('Disaggregation Records'!$E$155:$E$385,MATCH(RIGHT(Q917,255),RIGHT('Disaggregation Records'!$D$155:$D$385,255),0))="","",INDEX('Disaggregation Records'!$E$155:$E$385,MATCH(RIGHT(Q917,255),RIGHT('Disaggregation Records'!$D$155:$D$385,255),0))),"")</f>
        <v/>
      </c>
      <c r="S917" s="89" t="str">
        <f t="array" aca="1" ref="S917" ca="1">IFERROR(IF(INDEX('Disaggregation Records'!$F$155:$F$385,MATCH(RIGHT(Q917,255),RIGHT('Disaggregation Records'!$D$155:$D$385,255),0))="","",INDEX('Disaggregation Records'!$F$155:$F$385,MATCH(RIGHT(Q917,255),RIGHT('Disaggregation Records'!$D$155:$D$385,255),0))),"")</f>
        <v/>
      </c>
      <c r="T917" s="89" t="str">
        <f t="array" aca="1" ref="T917" ca="1">IFERROR(IF(INDEX('Disaggregation Records'!$H$155:$H$385,MATCH(RIGHT(Q917,255),RIGHT('Disaggregation Records'!$D$155:$D$385,255),0))="","",INDEX('Disaggregation Records'!$H$155:$H$385,MATCH(RIGHT(Q917,255),RIGHT('Disaggregation Records'!$D$155:$D$385,255),0))),"")</f>
        <v/>
      </c>
      <c r="U917" s="89">
        <f>U915+1</f>
        <v>1568</v>
      </c>
      <c r="V917" s="89" t="str">
        <f t="array" aca="1" ref="V917" ca="1">IFERROR(IF(INDEX('Disaggregation Records'!$I$155:$I$385,MATCH(RIGHT(Q917,255),RIGHT('Disaggregation Records'!$D$155:$D$385,255),0))="","",INDEX('Disaggregation Records'!$I$155:$I$385,MATCH(RIGHT(Q917,255),RIGHT('Disaggregation Records'!$D$155:$D$385,255),0))),"")</f>
        <v/>
      </c>
      <c r="W917" s="89" t="str">
        <f ca="1">IFERROR(INDEX('Reference Records'!L$77:L$157,MATCH(LEFT(C917,255),'Reference Records'!E$77:E$157,0)),"")</f>
        <v>TCP-1⁽ᴹ⁾ Number of notified cases of all forms of TB (i.e. bacteriologically confirmed + clinically diagnosed), new and relapse cases</v>
      </c>
    </row>
    <row r="918" spans="1:23" s="89" customFormat="1" ht="40.35" customHeight="1">
      <c r="A918" s="564"/>
      <c r="B918" s="799"/>
      <c r="C918" s="800"/>
      <c r="D918" s="801"/>
      <c r="E918" s="801"/>
      <c r="F918" s="128"/>
      <c r="G918" s="802"/>
      <c r="H918" s="781"/>
      <c r="I918" s="803"/>
      <c r="J918" s="779"/>
      <c r="K918" s="800"/>
      <c r="L918" s="800"/>
      <c r="M918" s="779"/>
      <c r="N918" s="779"/>
    </row>
    <row r="919" spans="1:23" s="89" customFormat="1" ht="40.35" customHeight="1">
      <c r="A919" s="564" t="str">
        <f ca="1">INDIRECT("'update Helper'!C"&amp;U919)</f>
        <v>a163p000004Vjn6AAC</v>
      </c>
      <c r="B919" s="794">
        <v>8</v>
      </c>
      <c r="C919" s="795" t="str">
        <f ca="1">VLOOKUP(B919,'Coverage Indicators - Section D'!$A$9:$AU$70,47,FALSE)</f>
        <v>TCP-1⁽ᴹ⁾ Número de casos notificados de todas las formas de tuberculosis (esto es, confirmados bacteriológicamente y con diagnóstico clínico), casos nuevos y recaídas.</v>
      </c>
      <c r="D919" s="796" t="str">
        <f ca="1">R919</f>
        <v/>
      </c>
      <c r="E919" s="796" t="str">
        <f ca="1">S919</f>
        <v/>
      </c>
      <c r="F919" s="127"/>
      <c r="G919" s="797" t="str">
        <f ca="1">IF(OR(INDIRECT("'update Helper'!E"&amp;U919)="",F919&lt;&gt;0,F920&lt;&gt;0),IF(IFERROR((F919/F920),"")="","",(F919/F920)),INDIRECT("'update Helper'!E"&amp;U919)/100)</f>
        <v/>
      </c>
      <c r="H919" s="784"/>
      <c r="I919" s="798"/>
      <c r="J919" s="777"/>
      <c r="K919" s="795" t="str">
        <f ca="1">W919</f>
        <v>TCP-1⁽ᴹ⁾ Number of notified cases of all forms of TB (i.e. bacteriologically confirmed + clinically diagnosed), new and relapse cases</v>
      </c>
      <c r="L919" s="795" t="str">
        <f ca="1">V919</f>
        <v/>
      </c>
      <c r="M919" s="777"/>
      <c r="N919" s="777"/>
      <c r="P919" s="89">
        <f ca="1">IF(AND(EXACT(C919,C917),C917&lt;&gt;0),P917+1,0)</f>
        <v>9</v>
      </c>
      <c r="Q919" s="89" t="str">
        <f ca="1">IF(C919&lt;&gt;"",C919&amp;"-"&amp;P919,"")</f>
        <v>TCP-1⁽ᴹ⁾ Número de casos notificados de todas las formas de tuberculosis (esto es, confirmados bacteriológicamente y con diagnóstico clínico), casos nuevos y recaídas.-9</v>
      </c>
      <c r="R919" s="89" t="str">
        <f t="array" aca="1" ref="R919" ca="1">IFERROR(IF(INDEX('Disaggregation Records'!$E$155:$E$385,MATCH(RIGHT(Q919,255),RIGHT('Disaggregation Records'!$D$155:$D$385,255),0))="","",INDEX('Disaggregation Records'!$E$155:$E$385,MATCH(RIGHT(Q919,255),RIGHT('Disaggregation Records'!$D$155:$D$385,255),0))),"")</f>
        <v/>
      </c>
      <c r="S919" s="89" t="str">
        <f t="array" aca="1" ref="S919" ca="1">IFERROR(IF(INDEX('Disaggregation Records'!$F$155:$F$385,MATCH(RIGHT(Q919,255),RIGHT('Disaggregation Records'!$D$155:$D$385,255),0))="","",INDEX('Disaggregation Records'!$F$155:$F$385,MATCH(RIGHT(Q919,255),RIGHT('Disaggregation Records'!$D$155:$D$385,255),0))),"")</f>
        <v/>
      </c>
      <c r="T919" s="89" t="str">
        <f t="array" aca="1" ref="T919" ca="1">IFERROR(IF(INDEX('Disaggregation Records'!$H$155:$H$385,MATCH(RIGHT(Q919,255),RIGHT('Disaggregation Records'!$D$155:$D$385,255),0))="","",INDEX('Disaggregation Records'!$H$155:$H$385,MATCH(RIGHT(Q919,255),RIGHT('Disaggregation Records'!$D$155:$D$385,255),0))),"")</f>
        <v/>
      </c>
      <c r="U919" s="89">
        <f>U917+1</f>
        <v>1569</v>
      </c>
      <c r="V919" s="89" t="str">
        <f t="array" aca="1" ref="V919" ca="1">IFERROR(IF(INDEX('Disaggregation Records'!$I$155:$I$385,MATCH(RIGHT(Q919,255),RIGHT('Disaggregation Records'!$D$155:$D$385,255),0))="","",INDEX('Disaggregation Records'!$I$155:$I$385,MATCH(RIGHT(Q919,255),RIGHT('Disaggregation Records'!$D$155:$D$385,255),0))),"")</f>
        <v/>
      </c>
      <c r="W919" s="89" t="str">
        <f ca="1">IFERROR(INDEX('Reference Records'!L$77:L$157,MATCH(LEFT(C919,255),'Reference Records'!E$77:E$157,0)),"")</f>
        <v>TCP-1⁽ᴹ⁾ Number of notified cases of all forms of TB (i.e. bacteriologically confirmed + clinically diagnosed), new and relapse cases</v>
      </c>
    </row>
    <row r="920" spans="1:23" s="89" customFormat="1" ht="40.35" customHeight="1">
      <c r="A920" s="564"/>
      <c r="B920" s="799"/>
      <c r="C920" s="800"/>
      <c r="D920" s="801"/>
      <c r="E920" s="801"/>
      <c r="F920" s="128"/>
      <c r="G920" s="802"/>
      <c r="H920" s="781"/>
      <c r="I920" s="803"/>
      <c r="J920" s="779"/>
      <c r="K920" s="800"/>
      <c r="L920" s="800"/>
      <c r="M920" s="779"/>
      <c r="N920" s="779"/>
    </row>
    <row r="921" spans="1:23" s="89" customFormat="1" ht="40.35" customHeight="1">
      <c r="A921" s="564" t="str">
        <f ca="1">INDIRECT("'update Helper'!C"&amp;U921)</f>
        <v>a163p000004Vjn7AAC</v>
      </c>
      <c r="B921" s="794">
        <v>8</v>
      </c>
      <c r="C921" s="795" t="str">
        <f ca="1">VLOOKUP(B921,'Coverage Indicators - Section D'!$A$9:$AU$70,47,FALSE)</f>
        <v>TCP-1⁽ᴹ⁾ Número de casos notificados de todas las formas de tuberculosis (esto es, confirmados bacteriológicamente y con diagnóstico clínico), casos nuevos y recaídas.</v>
      </c>
      <c r="D921" s="796" t="str">
        <f ca="1">R921</f>
        <v/>
      </c>
      <c r="E921" s="796" t="str">
        <f ca="1">S921</f>
        <v/>
      </c>
      <c r="F921" s="127"/>
      <c r="G921" s="797" t="str">
        <f ca="1">IF(OR(INDIRECT("'update Helper'!E"&amp;U921)="",F921&lt;&gt;0,F922&lt;&gt;0),IF(IFERROR((F921/F922),"")="","",(F921/F922)),INDIRECT("'update Helper'!E"&amp;U921)/100)</f>
        <v/>
      </c>
      <c r="H921" s="784"/>
      <c r="I921" s="798"/>
      <c r="J921" s="777"/>
      <c r="K921" s="795" t="str">
        <f ca="1">W921</f>
        <v>TCP-1⁽ᴹ⁾ Number of notified cases of all forms of TB (i.e. bacteriologically confirmed + clinically diagnosed), new and relapse cases</v>
      </c>
      <c r="L921" s="795" t="str">
        <f ca="1">V921</f>
        <v/>
      </c>
      <c r="M921" s="777"/>
      <c r="N921" s="777"/>
      <c r="P921" s="89">
        <f ca="1">IF(AND(EXACT(C921,C919),C919&lt;&gt;0),P919+1,0)</f>
        <v>10</v>
      </c>
      <c r="Q921" s="89" t="str">
        <f ca="1">IF(C921&lt;&gt;"",C921&amp;"-"&amp;P921,"")</f>
        <v>TCP-1⁽ᴹ⁾ Número de casos notificados de todas las formas de tuberculosis (esto es, confirmados bacteriológicamente y con diagnóstico clínico), casos nuevos y recaídas.-10</v>
      </c>
      <c r="R921" s="89" t="str">
        <f t="array" aca="1" ref="R921" ca="1">IFERROR(IF(INDEX('Disaggregation Records'!$E$155:$E$385,MATCH(RIGHT(Q921,255),RIGHT('Disaggregation Records'!$D$155:$D$385,255),0))="","",INDEX('Disaggregation Records'!$E$155:$E$385,MATCH(RIGHT(Q921,255),RIGHT('Disaggregation Records'!$D$155:$D$385,255),0))),"")</f>
        <v/>
      </c>
      <c r="S921" s="89" t="str">
        <f t="array" aca="1" ref="S921" ca="1">IFERROR(IF(INDEX('Disaggregation Records'!$F$155:$F$385,MATCH(RIGHT(Q921,255),RIGHT('Disaggregation Records'!$D$155:$D$385,255),0))="","",INDEX('Disaggregation Records'!$F$155:$F$385,MATCH(RIGHT(Q921,255),RIGHT('Disaggregation Records'!$D$155:$D$385,255),0))),"")</f>
        <v/>
      </c>
      <c r="T921" s="89" t="str">
        <f t="array" aca="1" ref="T921" ca="1">IFERROR(IF(INDEX('Disaggregation Records'!$H$155:$H$385,MATCH(RIGHT(Q921,255),RIGHT('Disaggregation Records'!$D$155:$D$385,255),0))="","",INDEX('Disaggregation Records'!$H$155:$H$385,MATCH(RIGHT(Q921,255),RIGHT('Disaggregation Records'!$D$155:$D$385,255),0))),"")</f>
        <v/>
      </c>
      <c r="U921" s="89">
        <f>U919+1</f>
        <v>1570</v>
      </c>
      <c r="V921" s="89" t="str">
        <f t="array" aca="1" ref="V921" ca="1">IFERROR(IF(INDEX('Disaggregation Records'!$I$155:$I$385,MATCH(RIGHT(Q921,255),RIGHT('Disaggregation Records'!$D$155:$D$385,255),0))="","",INDEX('Disaggregation Records'!$I$155:$I$385,MATCH(RIGHT(Q921,255),RIGHT('Disaggregation Records'!$D$155:$D$385,255),0))),"")</f>
        <v/>
      </c>
      <c r="W921" s="89" t="str">
        <f ca="1">IFERROR(INDEX('Reference Records'!L$77:L$157,MATCH(LEFT(C921,255),'Reference Records'!E$77:E$157,0)),"")</f>
        <v>TCP-1⁽ᴹ⁾ Number of notified cases of all forms of TB (i.e. bacteriologically confirmed + clinically diagnosed), new and relapse cases</v>
      </c>
    </row>
    <row r="922" spans="1:23" s="89" customFormat="1" ht="40.35" customHeight="1">
      <c r="A922" s="564"/>
      <c r="B922" s="799"/>
      <c r="C922" s="800"/>
      <c r="D922" s="801"/>
      <c r="E922" s="801"/>
      <c r="F922" s="128"/>
      <c r="G922" s="802"/>
      <c r="H922" s="781"/>
      <c r="I922" s="803"/>
      <c r="J922" s="779"/>
      <c r="K922" s="800"/>
      <c r="L922" s="800"/>
      <c r="M922" s="779"/>
      <c r="N922" s="779"/>
    </row>
    <row r="923" spans="1:23" s="89" customFormat="1" ht="40.35" customHeight="1">
      <c r="A923" s="564" t="str">
        <f ca="1">INDIRECT("'update Helper'!C"&amp;U923)</f>
        <v>a163p000004Vjn8AAC</v>
      </c>
      <c r="B923" s="794">
        <v>8</v>
      </c>
      <c r="C923" s="795" t="str">
        <f ca="1">VLOOKUP(B923,'Coverage Indicators - Section D'!$A$9:$AU$70,47,FALSE)</f>
        <v>TCP-1⁽ᴹ⁾ Número de casos notificados de todas las formas de tuberculosis (esto es, confirmados bacteriológicamente y con diagnóstico clínico), casos nuevos y recaídas.</v>
      </c>
      <c r="D923" s="796" t="str">
        <f ca="1">R923</f>
        <v/>
      </c>
      <c r="E923" s="796" t="str">
        <f ca="1">S923</f>
        <v/>
      </c>
      <c r="F923" s="127"/>
      <c r="G923" s="797" t="str">
        <f ca="1">IF(OR(INDIRECT("'update Helper'!E"&amp;U923)="",F923&lt;&gt;0,F924&lt;&gt;0),IF(IFERROR((F923/F924),"")="","",(F923/F924)),INDIRECT("'update Helper'!E"&amp;U923)/100)</f>
        <v/>
      </c>
      <c r="H923" s="784"/>
      <c r="I923" s="798"/>
      <c r="J923" s="777"/>
      <c r="K923" s="795" t="str">
        <f ca="1">W923</f>
        <v>TCP-1⁽ᴹ⁾ Number of notified cases of all forms of TB (i.e. bacteriologically confirmed + clinically diagnosed), new and relapse cases</v>
      </c>
      <c r="L923" s="795" t="str">
        <f ca="1">V923</f>
        <v/>
      </c>
      <c r="M923" s="777"/>
      <c r="N923" s="777"/>
      <c r="P923" s="89">
        <f ca="1">IF(AND(EXACT(C923,C921),C921&lt;&gt;0),P921+1,0)</f>
        <v>11</v>
      </c>
      <c r="Q923" s="89" t="str">
        <f ca="1">IF(C923&lt;&gt;"",C923&amp;"-"&amp;P923,"")</f>
        <v>TCP-1⁽ᴹ⁾ Número de casos notificados de todas las formas de tuberculosis (esto es, confirmados bacteriológicamente y con diagnóstico clínico), casos nuevos y recaídas.-11</v>
      </c>
      <c r="R923" s="89" t="str">
        <f t="array" aca="1" ref="R923" ca="1">IFERROR(IF(INDEX('Disaggregation Records'!$E$155:$E$385,MATCH(RIGHT(Q923,255),RIGHT('Disaggregation Records'!$D$155:$D$385,255),0))="","",INDEX('Disaggregation Records'!$E$155:$E$385,MATCH(RIGHT(Q923,255),RIGHT('Disaggregation Records'!$D$155:$D$385,255),0))),"")</f>
        <v/>
      </c>
      <c r="S923" s="89" t="str">
        <f t="array" aca="1" ref="S923" ca="1">IFERROR(IF(INDEX('Disaggregation Records'!$F$155:$F$385,MATCH(RIGHT(Q923,255),RIGHT('Disaggregation Records'!$D$155:$D$385,255),0))="","",INDEX('Disaggregation Records'!$F$155:$F$385,MATCH(RIGHT(Q923,255),RIGHT('Disaggregation Records'!$D$155:$D$385,255),0))),"")</f>
        <v/>
      </c>
      <c r="T923" s="89" t="str">
        <f t="array" aca="1" ref="T923" ca="1">IFERROR(IF(INDEX('Disaggregation Records'!$H$155:$H$385,MATCH(RIGHT(Q923,255),RIGHT('Disaggregation Records'!$D$155:$D$385,255),0))="","",INDEX('Disaggregation Records'!$H$155:$H$385,MATCH(RIGHT(Q923,255),RIGHT('Disaggregation Records'!$D$155:$D$385,255),0))),"")</f>
        <v/>
      </c>
      <c r="U923" s="89">
        <f>U921+1</f>
        <v>1571</v>
      </c>
      <c r="V923" s="89" t="str">
        <f t="array" aca="1" ref="V923" ca="1">IFERROR(IF(INDEX('Disaggregation Records'!$I$155:$I$385,MATCH(RIGHT(Q923,255),RIGHT('Disaggregation Records'!$D$155:$D$385,255),0))="","",INDEX('Disaggregation Records'!$I$155:$I$385,MATCH(RIGHT(Q923,255),RIGHT('Disaggregation Records'!$D$155:$D$385,255),0))),"")</f>
        <v/>
      </c>
      <c r="W923" s="89" t="str">
        <f ca="1">IFERROR(INDEX('Reference Records'!L$77:L$157,MATCH(LEFT(C923,255),'Reference Records'!E$77:E$157,0)),"")</f>
        <v>TCP-1⁽ᴹ⁾ Number of notified cases of all forms of TB (i.e. bacteriologically confirmed + clinically diagnosed), new and relapse cases</v>
      </c>
    </row>
    <row r="924" spans="1:23" s="89" customFormat="1" ht="40.35" customHeight="1">
      <c r="A924" s="564"/>
      <c r="B924" s="799"/>
      <c r="C924" s="800"/>
      <c r="D924" s="801"/>
      <c r="E924" s="801"/>
      <c r="F924" s="128"/>
      <c r="G924" s="802"/>
      <c r="H924" s="781"/>
      <c r="I924" s="803"/>
      <c r="J924" s="779"/>
      <c r="K924" s="800"/>
      <c r="L924" s="800"/>
      <c r="M924" s="779"/>
      <c r="N924" s="779"/>
    </row>
    <row r="925" spans="1:23" s="89" customFormat="1" ht="40.35" customHeight="1">
      <c r="A925" s="564" t="str">
        <f ca="1">INDIRECT("'update Helper'!C"&amp;U925)</f>
        <v>a163p000004Vjn9AAC</v>
      </c>
      <c r="B925" s="794">
        <v>8</v>
      </c>
      <c r="C925" s="795" t="str">
        <f ca="1">VLOOKUP(B925,'Coverage Indicators - Section D'!$A$9:$AU$70,47,FALSE)</f>
        <v>TCP-1⁽ᴹ⁾ Número de casos notificados de todas las formas de tuberculosis (esto es, confirmados bacteriológicamente y con diagnóstico clínico), casos nuevos y recaídas.</v>
      </c>
      <c r="D925" s="796" t="str">
        <f ca="1">R925</f>
        <v/>
      </c>
      <c r="E925" s="796" t="str">
        <f ca="1">S925</f>
        <v/>
      </c>
      <c r="F925" s="127"/>
      <c r="G925" s="797" t="str">
        <f ca="1">IF(OR(INDIRECT("'update Helper'!E"&amp;U925)="",F925&lt;&gt;0,F926&lt;&gt;0),IF(IFERROR((F925/F926),"")="","",(F925/F926)),INDIRECT("'update Helper'!E"&amp;U925)/100)</f>
        <v/>
      </c>
      <c r="H925" s="784"/>
      <c r="I925" s="798"/>
      <c r="J925" s="777"/>
      <c r="K925" s="795" t="str">
        <f ca="1">W925</f>
        <v>TCP-1⁽ᴹ⁾ Number of notified cases of all forms of TB (i.e. bacteriologically confirmed + clinically diagnosed), new and relapse cases</v>
      </c>
      <c r="L925" s="795" t="str">
        <f ca="1">V925</f>
        <v/>
      </c>
      <c r="M925" s="777"/>
      <c r="N925" s="777"/>
      <c r="P925" s="89">
        <f ca="1">IF(AND(EXACT(C925,C923),C923&lt;&gt;0),P923+1,0)</f>
        <v>12</v>
      </c>
      <c r="Q925" s="89" t="str">
        <f ca="1">IF(C925&lt;&gt;"",C925&amp;"-"&amp;P925,"")</f>
        <v>TCP-1⁽ᴹ⁾ Número de casos notificados de todas las formas de tuberculosis (esto es, confirmados bacteriológicamente y con diagnóstico clínico), casos nuevos y recaídas.-12</v>
      </c>
      <c r="R925" s="89" t="str">
        <f t="array" aca="1" ref="R925" ca="1">IFERROR(IF(INDEX('Disaggregation Records'!$E$155:$E$385,MATCH(RIGHT(Q925,255),RIGHT('Disaggregation Records'!$D$155:$D$385,255),0))="","",INDEX('Disaggregation Records'!$E$155:$E$385,MATCH(RIGHT(Q925,255),RIGHT('Disaggregation Records'!$D$155:$D$385,255),0))),"")</f>
        <v/>
      </c>
      <c r="S925" s="89" t="str">
        <f t="array" aca="1" ref="S925" ca="1">IFERROR(IF(INDEX('Disaggregation Records'!$F$155:$F$385,MATCH(RIGHT(Q925,255),RIGHT('Disaggregation Records'!$D$155:$D$385,255),0))="","",INDEX('Disaggregation Records'!$F$155:$F$385,MATCH(RIGHT(Q925,255),RIGHT('Disaggregation Records'!$D$155:$D$385,255),0))),"")</f>
        <v/>
      </c>
      <c r="T925" s="89" t="str">
        <f t="array" aca="1" ref="T925" ca="1">IFERROR(IF(INDEX('Disaggregation Records'!$H$155:$H$385,MATCH(RIGHT(Q925,255),RIGHT('Disaggregation Records'!$D$155:$D$385,255),0))="","",INDEX('Disaggregation Records'!$H$155:$H$385,MATCH(RIGHT(Q925,255),RIGHT('Disaggregation Records'!$D$155:$D$385,255),0))),"")</f>
        <v/>
      </c>
      <c r="U925" s="89">
        <f>U923+1</f>
        <v>1572</v>
      </c>
      <c r="V925" s="89" t="str">
        <f t="array" aca="1" ref="V925" ca="1">IFERROR(IF(INDEX('Disaggregation Records'!$I$155:$I$385,MATCH(RIGHT(Q925,255),RIGHT('Disaggregation Records'!$D$155:$D$385,255),0))="","",INDEX('Disaggregation Records'!$I$155:$I$385,MATCH(RIGHT(Q925,255),RIGHT('Disaggregation Records'!$D$155:$D$385,255),0))),"")</f>
        <v/>
      </c>
      <c r="W925" s="89" t="str">
        <f ca="1">IFERROR(INDEX('Reference Records'!L$77:L$157,MATCH(LEFT(C925,255),'Reference Records'!E$77:E$157,0)),"")</f>
        <v>TCP-1⁽ᴹ⁾ Number of notified cases of all forms of TB (i.e. bacteriologically confirmed + clinically diagnosed), new and relapse cases</v>
      </c>
    </row>
    <row r="926" spans="1:23" s="89" customFormat="1" ht="40.35" customHeight="1">
      <c r="A926" s="564"/>
      <c r="B926" s="799"/>
      <c r="C926" s="800"/>
      <c r="D926" s="801"/>
      <c r="E926" s="801"/>
      <c r="F926" s="128"/>
      <c r="G926" s="802"/>
      <c r="H926" s="781"/>
      <c r="I926" s="803"/>
      <c r="J926" s="779"/>
      <c r="K926" s="800"/>
      <c r="L926" s="800"/>
      <c r="M926" s="779"/>
      <c r="N926" s="779"/>
    </row>
    <row r="927" spans="1:23" s="89" customFormat="1" ht="40.35" customHeight="1">
      <c r="A927" s="564" t="str">
        <f ca="1">INDIRECT("'update Helper'!C"&amp;U927)</f>
        <v>a163p000004VjnAAAS</v>
      </c>
      <c r="B927" s="794">
        <v>8</v>
      </c>
      <c r="C927" s="795" t="str">
        <f ca="1">VLOOKUP(B927,'Coverage Indicators - Section D'!$A$9:$AU$70,47,FALSE)</f>
        <v>TCP-1⁽ᴹ⁾ Número de casos notificados de todas las formas de tuberculosis (esto es, confirmados bacteriológicamente y con diagnóstico clínico), casos nuevos y recaídas.</v>
      </c>
      <c r="D927" s="796" t="str">
        <f ca="1">R927</f>
        <v/>
      </c>
      <c r="E927" s="796" t="str">
        <f ca="1">S927</f>
        <v/>
      </c>
      <c r="F927" s="127"/>
      <c r="G927" s="797" t="str">
        <f ca="1">IF(OR(INDIRECT("'update Helper'!E"&amp;U927)="",F927&lt;&gt;0,F928&lt;&gt;0),IF(IFERROR((F927/F928),"")="","",(F927/F928)),INDIRECT("'update Helper'!E"&amp;U927)/100)</f>
        <v/>
      </c>
      <c r="H927" s="784"/>
      <c r="I927" s="798"/>
      <c r="J927" s="777"/>
      <c r="K927" s="795" t="str">
        <f ca="1">W927</f>
        <v>TCP-1⁽ᴹ⁾ Number of notified cases of all forms of TB (i.e. bacteriologically confirmed + clinically diagnosed), new and relapse cases</v>
      </c>
      <c r="L927" s="795" t="str">
        <f ca="1">V927</f>
        <v/>
      </c>
      <c r="M927" s="777"/>
      <c r="N927" s="777"/>
      <c r="P927" s="89">
        <f ca="1">IF(AND(EXACT(C927,C925),C925&lt;&gt;0),P925+1,0)</f>
        <v>13</v>
      </c>
      <c r="Q927" s="89" t="str">
        <f ca="1">IF(C927&lt;&gt;"",C927&amp;"-"&amp;P927,"")</f>
        <v>TCP-1⁽ᴹ⁾ Número de casos notificados de todas las formas de tuberculosis (esto es, confirmados bacteriológicamente y con diagnóstico clínico), casos nuevos y recaídas.-13</v>
      </c>
      <c r="R927" s="89" t="str">
        <f t="array" aca="1" ref="R927" ca="1">IFERROR(IF(INDEX('Disaggregation Records'!$E$155:$E$385,MATCH(RIGHT(Q927,255),RIGHT('Disaggregation Records'!$D$155:$D$385,255),0))="","",INDEX('Disaggregation Records'!$E$155:$E$385,MATCH(RIGHT(Q927,255),RIGHT('Disaggregation Records'!$D$155:$D$385,255),0))),"")</f>
        <v/>
      </c>
      <c r="S927" s="89" t="str">
        <f t="array" aca="1" ref="S927" ca="1">IFERROR(IF(INDEX('Disaggregation Records'!$F$155:$F$385,MATCH(RIGHT(Q927,255),RIGHT('Disaggregation Records'!$D$155:$D$385,255),0))="","",INDEX('Disaggregation Records'!$F$155:$F$385,MATCH(RIGHT(Q927,255),RIGHT('Disaggregation Records'!$D$155:$D$385,255),0))),"")</f>
        <v/>
      </c>
      <c r="T927" s="89" t="str">
        <f t="array" aca="1" ref="T927" ca="1">IFERROR(IF(INDEX('Disaggregation Records'!$H$155:$H$385,MATCH(RIGHT(Q927,255),RIGHT('Disaggregation Records'!$D$155:$D$385,255),0))="","",INDEX('Disaggregation Records'!$H$155:$H$385,MATCH(RIGHT(Q927,255),RIGHT('Disaggregation Records'!$D$155:$D$385,255),0))),"")</f>
        <v/>
      </c>
      <c r="U927" s="89">
        <f>U925+1</f>
        <v>1573</v>
      </c>
      <c r="V927" s="89" t="str">
        <f t="array" aca="1" ref="V927" ca="1">IFERROR(IF(INDEX('Disaggregation Records'!$I$155:$I$385,MATCH(RIGHT(Q927,255),RIGHT('Disaggregation Records'!$D$155:$D$385,255),0))="","",INDEX('Disaggregation Records'!$I$155:$I$385,MATCH(RIGHT(Q927,255),RIGHT('Disaggregation Records'!$D$155:$D$385,255),0))),"")</f>
        <v/>
      </c>
      <c r="W927" s="89" t="str">
        <f ca="1">IFERROR(INDEX('Reference Records'!L$77:L$157,MATCH(LEFT(C927,255),'Reference Records'!E$77:E$157,0)),"")</f>
        <v>TCP-1⁽ᴹ⁾ Number of notified cases of all forms of TB (i.e. bacteriologically confirmed + clinically diagnosed), new and relapse cases</v>
      </c>
    </row>
    <row r="928" spans="1:23" s="89" customFormat="1" ht="40.35" customHeight="1">
      <c r="A928" s="564"/>
      <c r="B928" s="799"/>
      <c r="C928" s="800"/>
      <c r="D928" s="801"/>
      <c r="E928" s="801"/>
      <c r="F928" s="128"/>
      <c r="G928" s="802"/>
      <c r="H928" s="781"/>
      <c r="I928" s="803"/>
      <c r="J928" s="779"/>
      <c r="K928" s="800"/>
      <c r="L928" s="800"/>
      <c r="M928" s="779"/>
      <c r="N928" s="779"/>
    </row>
    <row r="929" spans="1:23" s="89" customFormat="1" ht="40.35" customHeight="1">
      <c r="A929" s="564" t="str">
        <f ca="1">INDIRECT("'update Helper'!C"&amp;U929)</f>
        <v>a163p000004VjnBAAS</v>
      </c>
      <c r="B929" s="794">
        <v>8</v>
      </c>
      <c r="C929" s="795" t="str">
        <f ca="1">VLOOKUP(B929,'Coverage Indicators - Section D'!$A$9:$AU$70,47,FALSE)</f>
        <v>TCP-1⁽ᴹ⁾ Número de casos notificados de todas las formas de tuberculosis (esto es, confirmados bacteriológicamente y con diagnóstico clínico), casos nuevos y recaídas.</v>
      </c>
      <c r="D929" s="796" t="str">
        <f ca="1">R929</f>
        <v/>
      </c>
      <c r="E929" s="796" t="str">
        <f ca="1">S929</f>
        <v/>
      </c>
      <c r="F929" s="127"/>
      <c r="G929" s="797" t="str">
        <f ca="1">IF(OR(INDIRECT("'update Helper'!E"&amp;U929)="",F929&lt;&gt;0,F930&lt;&gt;0),IF(IFERROR((F929/F930),"")="","",(F929/F930)),INDIRECT("'update Helper'!E"&amp;U929)/100)</f>
        <v/>
      </c>
      <c r="H929" s="784"/>
      <c r="I929" s="798"/>
      <c r="J929" s="777"/>
      <c r="K929" s="795" t="str">
        <f ca="1">W929</f>
        <v>TCP-1⁽ᴹ⁾ Number of notified cases of all forms of TB (i.e. bacteriologically confirmed + clinically diagnosed), new and relapse cases</v>
      </c>
      <c r="L929" s="795" t="str">
        <f ca="1">V929</f>
        <v/>
      </c>
      <c r="M929" s="777"/>
      <c r="N929" s="777"/>
      <c r="P929" s="89">
        <f ca="1">IF(AND(EXACT(C929,C927),C927&lt;&gt;0),P927+1,0)</f>
        <v>14</v>
      </c>
      <c r="Q929" s="89" t="str">
        <f ca="1">IF(C929&lt;&gt;"",C929&amp;"-"&amp;P929,"")</f>
        <v>TCP-1⁽ᴹ⁾ Número de casos notificados de todas las formas de tuberculosis (esto es, confirmados bacteriológicamente y con diagnóstico clínico), casos nuevos y recaídas.-14</v>
      </c>
      <c r="R929" s="89" t="str">
        <f t="array" aca="1" ref="R929" ca="1">IFERROR(IF(INDEX('Disaggregation Records'!$E$155:$E$385,MATCH(RIGHT(Q929,255),RIGHT('Disaggregation Records'!$D$155:$D$385,255),0))="","",INDEX('Disaggregation Records'!$E$155:$E$385,MATCH(RIGHT(Q929,255),RIGHT('Disaggregation Records'!$D$155:$D$385,255),0))),"")</f>
        <v/>
      </c>
      <c r="S929" s="89" t="str">
        <f t="array" aca="1" ref="S929" ca="1">IFERROR(IF(INDEX('Disaggregation Records'!$F$155:$F$385,MATCH(RIGHT(Q929,255),RIGHT('Disaggregation Records'!$D$155:$D$385,255),0))="","",INDEX('Disaggregation Records'!$F$155:$F$385,MATCH(RIGHT(Q929,255),RIGHT('Disaggregation Records'!$D$155:$D$385,255),0))),"")</f>
        <v/>
      </c>
      <c r="T929" s="89" t="str">
        <f t="array" aca="1" ref="T929" ca="1">IFERROR(IF(INDEX('Disaggregation Records'!$H$155:$H$385,MATCH(RIGHT(Q929,255),RIGHT('Disaggregation Records'!$D$155:$D$385,255),0))="","",INDEX('Disaggregation Records'!$H$155:$H$385,MATCH(RIGHT(Q929,255),RIGHT('Disaggregation Records'!$D$155:$D$385,255),0))),"")</f>
        <v/>
      </c>
      <c r="U929" s="89">
        <f>U927+1</f>
        <v>1574</v>
      </c>
      <c r="V929" s="89" t="str">
        <f t="array" aca="1" ref="V929" ca="1">IFERROR(IF(INDEX('Disaggregation Records'!$I$155:$I$385,MATCH(RIGHT(Q929,255),RIGHT('Disaggregation Records'!$D$155:$D$385,255),0))="","",INDEX('Disaggregation Records'!$I$155:$I$385,MATCH(RIGHT(Q929,255),RIGHT('Disaggregation Records'!$D$155:$D$385,255),0))),"")</f>
        <v/>
      </c>
      <c r="W929" s="89" t="str">
        <f ca="1">IFERROR(INDEX('Reference Records'!L$77:L$157,MATCH(LEFT(C929,255),'Reference Records'!E$77:E$157,0)),"")</f>
        <v>TCP-1⁽ᴹ⁾ Number of notified cases of all forms of TB (i.e. bacteriologically confirmed + clinically diagnosed), new and relapse cases</v>
      </c>
    </row>
    <row r="930" spans="1:23" s="89" customFormat="1" ht="40.35" customHeight="1">
      <c r="A930" s="564"/>
      <c r="B930" s="799"/>
      <c r="C930" s="800"/>
      <c r="D930" s="801"/>
      <c r="E930" s="801"/>
      <c r="F930" s="128"/>
      <c r="G930" s="802"/>
      <c r="H930" s="781"/>
      <c r="I930" s="803"/>
      <c r="J930" s="779"/>
      <c r="K930" s="800"/>
      <c r="L930" s="800"/>
      <c r="M930" s="779"/>
      <c r="N930" s="779"/>
    </row>
    <row r="931" spans="1:23" s="89" customFormat="1" ht="40.35" customHeight="1">
      <c r="A931" s="564" t="str">
        <f ca="1">INDIRECT("'update Helper'!C"&amp;U931)</f>
        <v>a163p000004VjnCAAS</v>
      </c>
      <c r="B931" s="794">
        <v>8</v>
      </c>
      <c r="C931" s="795" t="str">
        <f ca="1">VLOOKUP(B931,'Coverage Indicators - Section D'!$A$9:$AU$70,47,FALSE)</f>
        <v>TCP-1⁽ᴹ⁾ Número de casos notificados de todas las formas de tuberculosis (esto es, confirmados bacteriológicamente y con diagnóstico clínico), casos nuevos y recaídas.</v>
      </c>
      <c r="D931" s="796" t="str">
        <f ca="1">R931</f>
        <v/>
      </c>
      <c r="E931" s="796" t="str">
        <f ca="1">S931</f>
        <v/>
      </c>
      <c r="F931" s="127"/>
      <c r="G931" s="797" t="str">
        <f ca="1">IF(OR(INDIRECT("'update Helper'!E"&amp;U931)="",F931&lt;&gt;0,F932&lt;&gt;0),IF(IFERROR((F931/F932),"")="","",(F931/F932)),INDIRECT("'update Helper'!E"&amp;U931)/100)</f>
        <v/>
      </c>
      <c r="H931" s="784"/>
      <c r="I931" s="798"/>
      <c r="J931" s="777"/>
      <c r="K931" s="795" t="str">
        <f ca="1">W931</f>
        <v>TCP-1⁽ᴹ⁾ Number of notified cases of all forms of TB (i.e. bacteriologically confirmed + clinically diagnosed), new and relapse cases</v>
      </c>
      <c r="L931" s="795" t="str">
        <f ca="1">V931</f>
        <v/>
      </c>
      <c r="M931" s="777"/>
      <c r="N931" s="777"/>
      <c r="P931" s="89">
        <f ca="1">IF(AND(EXACT(C931,C929),C929&lt;&gt;0),P929+1,0)</f>
        <v>15</v>
      </c>
      <c r="Q931" s="89" t="str">
        <f ca="1">IF(C931&lt;&gt;"",C931&amp;"-"&amp;P931,"")</f>
        <v>TCP-1⁽ᴹ⁾ Número de casos notificados de todas las formas de tuberculosis (esto es, confirmados bacteriológicamente y con diagnóstico clínico), casos nuevos y recaídas.-15</v>
      </c>
      <c r="R931" s="89" t="str">
        <f t="array" aca="1" ref="R931" ca="1">IFERROR(IF(INDEX('Disaggregation Records'!$E$155:$E$385,MATCH(RIGHT(Q931,255),RIGHT('Disaggregation Records'!$D$155:$D$385,255),0))="","",INDEX('Disaggregation Records'!$E$155:$E$385,MATCH(RIGHT(Q931,255),RIGHT('Disaggregation Records'!$D$155:$D$385,255),0))),"")</f>
        <v/>
      </c>
      <c r="S931" s="89" t="str">
        <f t="array" aca="1" ref="S931" ca="1">IFERROR(IF(INDEX('Disaggregation Records'!$F$155:$F$385,MATCH(RIGHT(Q931,255),RIGHT('Disaggregation Records'!$D$155:$D$385,255),0))="","",INDEX('Disaggregation Records'!$F$155:$F$385,MATCH(RIGHT(Q931,255),RIGHT('Disaggregation Records'!$D$155:$D$385,255),0))),"")</f>
        <v/>
      </c>
      <c r="T931" s="89" t="str">
        <f t="array" aca="1" ref="T931" ca="1">IFERROR(IF(INDEX('Disaggregation Records'!$H$155:$H$385,MATCH(RIGHT(Q931,255),RIGHT('Disaggregation Records'!$D$155:$D$385,255),0))="","",INDEX('Disaggregation Records'!$H$155:$H$385,MATCH(RIGHT(Q931,255),RIGHT('Disaggregation Records'!$D$155:$D$385,255),0))),"")</f>
        <v/>
      </c>
      <c r="U931" s="89">
        <f>U929+1</f>
        <v>1575</v>
      </c>
      <c r="V931" s="89" t="str">
        <f t="array" aca="1" ref="V931" ca="1">IFERROR(IF(INDEX('Disaggregation Records'!$I$155:$I$385,MATCH(RIGHT(Q931,255),RIGHT('Disaggregation Records'!$D$155:$D$385,255),0))="","",INDEX('Disaggregation Records'!$I$155:$I$385,MATCH(RIGHT(Q931,255),RIGHT('Disaggregation Records'!$D$155:$D$385,255),0))),"")</f>
        <v/>
      </c>
      <c r="W931" s="89" t="str">
        <f ca="1">IFERROR(INDEX('Reference Records'!L$77:L$157,MATCH(LEFT(C931,255),'Reference Records'!E$77:E$157,0)),"")</f>
        <v>TCP-1⁽ᴹ⁾ Number of notified cases of all forms of TB (i.e. bacteriologically confirmed + clinically diagnosed), new and relapse cases</v>
      </c>
    </row>
    <row r="932" spans="1:23" s="89" customFormat="1" ht="40.35" customHeight="1">
      <c r="A932" s="564"/>
      <c r="B932" s="799"/>
      <c r="C932" s="800"/>
      <c r="D932" s="801"/>
      <c r="E932" s="801"/>
      <c r="F932" s="128"/>
      <c r="G932" s="802"/>
      <c r="H932" s="781"/>
      <c r="I932" s="803"/>
      <c r="J932" s="779"/>
      <c r="K932" s="800"/>
      <c r="L932" s="800"/>
      <c r="M932" s="779"/>
      <c r="N932" s="779"/>
    </row>
    <row r="933" spans="1:23" s="89" customFormat="1" ht="40.35" customHeight="1">
      <c r="A933" s="564" t="str">
        <f ca="1">INDIRECT("'update Helper'!C"&amp;U933)</f>
        <v>a163p000004VjnDAAS</v>
      </c>
      <c r="B933" s="794">
        <v>8</v>
      </c>
      <c r="C933" s="795" t="str">
        <f ca="1">VLOOKUP(B933,'Coverage Indicators - Section D'!$A$9:$AU$70,47,FALSE)</f>
        <v>TCP-1⁽ᴹ⁾ Número de casos notificados de todas las formas de tuberculosis (esto es, confirmados bacteriológicamente y con diagnóstico clínico), casos nuevos y recaídas.</v>
      </c>
      <c r="D933" s="796" t="str">
        <f ca="1">R933</f>
        <v/>
      </c>
      <c r="E933" s="796" t="str">
        <f ca="1">S933</f>
        <v/>
      </c>
      <c r="F933" s="127"/>
      <c r="G933" s="797" t="str">
        <f ca="1">IF(OR(INDIRECT("'update Helper'!E"&amp;U933)="",F933&lt;&gt;0,F934&lt;&gt;0),IF(IFERROR((F933/F934),"")="","",(F933/F934)),INDIRECT("'update Helper'!E"&amp;U933)/100)</f>
        <v/>
      </c>
      <c r="H933" s="784"/>
      <c r="I933" s="798"/>
      <c r="J933" s="777"/>
      <c r="K933" s="795" t="str">
        <f ca="1">W933</f>
        <v>TCP-1⁽ᴹ⁾ Number of notified cases of all forms of TB (i.e. bacteriologically confirmed + clinically diagnosed), new and relapse cases</v>
      </c>
      <c r="L933" s="795" t="str">
        <f ca="1">V933</f>
        <v/>
      </c>
      <c r="M933" s="777"/>
      <c r="N933" s="777"/>
      <c r="P933" s="89">
        <f ca="1">IF(AND(EXACT(C933,C931),C931&lt;&gt;0),P931+1,0)</f>
        <v>16</v>
      </c>
      <c r="Q933" s="89" t="str">
        <f ca="1">IF(C933&lt;&gt;"",C933&amp;"-"&amp;P933,"")</f>
        <v>TCP-1⁽ᴹ⁾ Número de casos notificados de todas las formas de tuberculosis (esto es, confirmados bacteriológicamente y con diagnóstico clínico), casos nuevos y recaídas.-16</v>
      </c>
      <c r="R933" s="89" t="str">
        <f t="array" aca="1" ref="R933" ca="1">IFERROR(IF(INDEX('Disaggregation Records'!$E$155:$E$385,MATCH(RIGHT(Q933,255),RIGHT('Disaggregation Records'!$D$155:$D$385,255),0))="","",INDEX('Disaggregation Records'!$E$155:$E$385,MATCH(RIGHT(Q933,255),RIGHT('Disaggregation Records'!$D$155:$D$385,255),0))),"")</f>
        <v/>
      </c>
      <c r="S933" s="89" t="str">
        <f t="array" aca="1" ref="S933" ca="1">IFERROR(IF(INDEX('Disaggregation Records'!$F$155:$F$385,MATCH(RIGHT(Q933,255),RIGHT('Disaggregation Records'!$D$155:$D$385,255),0))="","",INDEX('Disaggregation Records'!$F$155:$F$385,MATCH(RIGHT(Q933,255),RIGHT('Disaggregation Records'!$D$155:$D$385,255),0))),"")</f>
        <v/>
      </c>
      <c r="T933" s="89" t="str">
        <f t="array" aca="1" ref="T933" ca="1">IFERROR(IF(INDEX('Disaggregation Records'!$H$155:$H$385,MATCH(RIGHT(Q933,255),RIGHT('Disaggregation Records'!$D$155:$D$385,255),0))="","",INDEX('Disaggregation Records'!$H$155:$H$385,MATCH(RIGHT(Q933,255),RIGHT('Disaggregation Records'!$D$155:$D$385,255),0))),"")</f>
        <v/>
      </c>
      <c r="U933" s="89">
        <f>U931+1</f>
        <v>1576</v>
      </c>
      <c r="V933" s="89" t="str">
        <f t="array" aca="1" ref="V933" ca="1">IFERROR(IF(INDEX('Disaggregation Records'!$I$155:$I$385,MATCH(RIGHT(Q933,255),RIGHT('Disaggregation Records'!$D$155:$D$385,255),0))="","",INDEX('Disaggregation Records'!$I$155:$I$385,MATCH(RIGHT(Q933,255),RIGHT('Disaggregation Records'!$D$155:$D$385,255),0))),"")</f>
        <v/>
      </c>
      <c r="W933" s="89" t="str">
        <f ca="1">IFERROR(INDEX('Reference Records'!L$77:L$157,MATCH(LEFT(C933,255),'Reference Records'!E$77:E$157,0)),"")</f>
        <v>TCP-1⁽ᴹ⁾ Number of notified cases of all forms of TB (i.e. bacteriologically confirmed + clinically diagnosed), new and relapse cases</v>
      </c>
    </row>
    <row r="934" spans="1:23" s="89" customFormat="1" ht="40.35" customHeight="1">
      <c r="A934" s="564"/>
      <c r="B934" s="799"/>
      <c r="C934" s="800"/>
      <c r="D934" s="801"/>
      <c r="E934" s="801"/>
      <c r="F934" s="128"/>
      <c r="G934" s="802"/>
      <c r="H934" s="781"/>
      <c r="I934" s="803"/>
      <c r="J934" s="779"/>
      <c r="K934" s="800"/>
      <c r="L934" s="800"/>
      <c r="M934" s="779"/>
      <c r="N934" s="779"/>
    </row>
    <row r="935" spans="1:23" s="89" customFormat="1" ht="40.35" customHeight="1">
      <c r="A935" s="564" t="str">
        <f ca="1">INDIRECT("'update Helper'!C"&amp;U935)</f>
        <v>a163p000004VjnEAAS</v>
      </c>
      <c r="B935" s="794">
        <v>8</v>
      </c>
      <c r="C935" s="795" t="str">
        <f ca="1">VLOOKUP(B935,'Coverage Indicators - Section D'!$A$9:$AU$70,47,FALSE)</f>
        <v>TCP-1⁽ᴹ⁾ Número de casos notificados de todas las formas de tuberculosis (esto es, confirmados bacteriológicamente y con diagnóstico clínico), casos nuevos y recaídas.</v>
      </c>
      <c r="D935" s="796" t="str">
        <f ca="1">R935</f>
        <v/>
      </c>
      <c r="E935" s="796" t="str">
        <f ca="1">S935</f>
        <v/>
      </c>
      <c r="F935" s="127"/>
      <c r="G935" s="797" t="str">
        <f ca="1">IF(OR(INDIRECT("'update Helper'!E"&amp;U935)="",F935&lt;&gt;0,F936&lt;&gt;0),IF(IFERROR((F935/F936),"")="","",(F935/F936)),INDIRECT("'update Helper'!E"&amp;U935)/100)</f>
        <v/>
      </c>
      <c r="H935" s="784"/>
      <c r="I935" s="798"/>
      <c r="J935" s="777"/>
      <c r="K935" s="795" t="str">
        <f ca="1">W935</f>
        <v>TCP-1⁽ᴹ⁾ Number of notified cases of all forms of TB (i.e. bacteriologically confirmed + clinically diagnosed), new and relapse cases</v>
      </c>
      <c r="L935" s="795" t="str">
        <f ca="1">V935</f>
        <v/>
      </c>
      <c r="M935" s="777"/>
      <c r="N935" s="777"/>
      <c r="P935" s="89">
        <f ca="1">IF(AND(EXACT(C935,C933),C933&lt;&gt;0),P933+1,0)</f>
        <v>17</v>
      </c>
      <c r="Q935" s="89" t="str">
        <f ca="1">IF(C935&lt;&gt;"",C935&amp;"-"&amp;P935,"")</f>
        <v>TCP-1⁽ᴹ⁾ Número de casos notificados de todas las formas de tuberculosis (esto es, confirmados bacteriológicamente y con diagnóstico clínico), casos nuevos y recaídas.-17</v>
      </c>
      <c r="R935" s="89" t="str">
        <f t="array" aca="1" ref="R935" ca="1">IFERROR(IF(INDEX('Disaggregation Records'!$E$155:$E$385,MATCH(RIGHT(Q935,255),RIGHT('Disaggregation Records'!$D$155:$D$385,255),0))="","",INDEX('Disaggregation Records'!$E$155:$E$385,MATCH(RIGHT(Q935,255),RIGHT('Disaggregation Records'!$D$155:$D$385,255),0))),"")</f>
        <v/>
      </c>
      <c r="S935" s="89" t="str">
        <f t="array" aca="1" ref="S935" ca="1">IFERROR(IF(INDEX('Disaggregation Records'!$F$155:$F$385,MATCH(RIGHT(Q935,255),RIGHT('Disaggregation Records'!$D$155:$D$385,255),0))="","",INDEX('Disaggregation Records'!$F$155:$F$385,MATCH(RIGHT(Q935,255),RIGHT('Disaggregation Records'!$D$155:$D$385,255),0))),"")</f>
        <v/>
      </c>
      <c r="T935" s="89" t="str">
        <f t="array" aca="1" ref="T935" ca="1">IFERROR(IF(INDEX('Disaggregation Records'!$H$155:$H$385,MATCH(RIGHT(Q935,255),RIGHT('Disaggregation Records'!$D$155:$D$385,255),0))="","",INDEX('Disaggregation Records'!$H$155:$H$385,MATCH(RIGHT(Q935,255),RIGHT('Disaggregation Records'!$D$155:$D$385,255),0))),"")</f>
        <v/>
      </c>
      <c r="U935" s="89">
        <f>U933+1</f>
        <v>1577</v>
      </c>
      <c r="V935" s="89" t="str">
        <f t="array" aca="1" ref="V935" ca="1">IFERROR(IF(INDEX('Disaggregation Records'!$I$155:$I$385,MATCH(RIGHT(Q935,255),RIGHT('Disaggregation Records'!$D$155:$D$385,255),0))="","",INDEX('Disaggregation Records'!$I$155:$I$385,MATCH(RIGHT(Q935,255),RIGHT('Disaggregation Records'!$D$155:$D$385,255),0))),"")</f>
        <v/>
      </c>
      <c r="W935" s="89" t="str">
        <f ca="1">IFERROR(INDEX('Reference Records'!L$77:L$157,MATCH(LEFT(C935,255),'Reference Records'!E$77:E$157,0)),"")</f>
        <v>TCP-1⁽ᴹ⁾ Number of notified cases of all forms of TB (i.e. bacteriologically confirmed + clinically diagnosed), new and relapse cases</v>
      </c>
    </row>
    <row r="936" spans="1:23" s="89" customFormat="1" ht="40.35" customHeight="1">
      <c r="A936" s="564"/>
      <c r="B936" s="799"/>
      <c r="C936" s="800"/>
      <c r="D936" s="801"/>
      <c r="E936" s="801"/>
      <c r="F936" s="128"/>
      <c r="G936" s="802"/>
      <c r="H936" s="781"/>
      <c r="I936" s="803"/>
      <c r="J936" s="779"/>
      <c r="K936" s="800"/>
      <c r="L936" s="800"/>
      <c r="M936" s="779"/>
      <c r="N936" s="779"/>
    </row>
    <row r="937" spans="1:23" s="89" customFormat="1" ht="40.35" customHeight="1">
      <c r="A937" s="564" t="str">
        <f ca="1">INDIRECT("'update Helper'!C"&amp;U937)</f>
        <v>a163p000004VjnFAAS</v>
      </c>
      <c r="B937" s="794">
        <v>8</v>
      </c>
      <c r="C937" s="795" t="str">
        <f ca="1">VLOOKUP(B937,'Coverage Indicators - Section D'!$A$9:$AU$70,47,FALSE)</f>
        <v>TCP-1⁽ᴹ⁾ Número de casos notificados de todas las formas de tuberculosis (esto es, confirmados bacteriológicamente y con diagnóstico clínico), casos nuevos y recaídas.</v>
      </c>
      <c r="D937" s="796" t="str">
        <f ca="1">R937</f>
        <v/>
      </c>
      <c r="E937" s="796" t="str">
        <f ca="1">S937</f>
        <v/>
      </c>
      <c r="F937" s="127"/>
      <c r="G937" s="797" t="str">
        <f ca="1">IF(OR(INDIRECT("'update Helper'!E"&amp;U937)="",F937&lt;&gt;0,F938&lt;&gt;0),IF(IFERROR((F937/F938),"")="","",(F937/F938)),INDIRECT("'update Helper'!E"&amp;U937)/100)</f>
        <v/>
      </c>
      <c r="H937" s="784"/>
      <c r="I937" s="798"/>
      <c r="J937" s="777"/>
      <c r="K937" s="795" t="str">
        <f ca="1">W937</f>
        <v>TCP-1⁽ᴹ⁾ Number of notified cases of all forms of TB (i.e. bacteriologically confirmed + clinically diagnosed), new and relapse cases</v>
      </c>
      <c r="L937" s="795" t="str">
        <f ca="1">V937</f>
        <v/>
      </c>
      <c r="M937" s="777"/>
      <c r="N937" s="777"/>
      <c r="P937" s="89">
        <f ca="1">IF(AND(EXACT(C937,C935),C935&lt;&gt;0),P935+1,0)</f>
        <v>18</v>
      </c>
      <c r="Q937" s="89" t="str">
        <f ca="1">IF(C937&lt;&gt;"",C937&amp;"-"&amp;P937,"")</f>
        <v>TCP-1⁽ᴹ⁾ Número de casos notificados de todas las formas de tuberculosis (esto es, confirmados bacteriológicamente y con diagnóstico clínico), casos nuevos y recaídas.-18</v>
      </c>
      <c r="R937" s="89" t="str">
        <f t="array" aca="1" ref="R937" ca="1">IFERROR(IF(INDEX('Disaggregation Records'!$E$155:$E$385,MATCH(RIGHT(Q937,255),RIGHT('Disaggregation Records'!$D$155:$D$385,255),0))="","",INDEX('Disaggregation Records'!$E$155:$E$385,MATCH(RIGHT(Q937,255),RIGHT('Disaggregation Records'!$D$155:$D$385,255),0))),"")</f>
        <v/>
      </c>
      <c r="S937" s="89" t="str">
        <f t="array" aca="1" ref="S937" ca="1">IFERROR(IF(INDEX('Disaggregation Records'!$F$155:$F$385,MATCH(RIGHT(Q937,255),RIGHT('Disaggregation Records'!$D$155:$D$385,255),0))="","",INDEX('Disaggregation Records'!$F$155:$F$385,MATCH(RIGHT(Q937,255),RIGHT('Disaggregation Records'!$D$155:$D$385,255),0))),"")</f>
        <v/>
      </c>
      <c r="T937" s="89" t="str">
        <f t="array" aca="1" ref="T937" ca="1">IFERROR(IF(INDEX('Disaggregation Records'!$H$155:$H$385,MATCH(RIGHT(Q937,255),RIGHT('Disaggregation Records'!$D$155:$D$385,255),0))="","",INDEX('Disaggregation Records'!$H$155:$H$385,MATCH(RIGHT(Q937,255),RIGHT('Disaggregation Records'!$D$155:$D$385,255),0))),"")</f>
        <v/>
      </c>
      <c r="U937" s="89">
        <f>U935+1</f>
        <v>1578</v>
      </c>
      <c r="V937" s="89" t="str">
        <f t="array" aca="1" ref="V937" ca="1">IFERROR(IF(INDEX('Disaggregation Records'!$I$155:$I$385,MATCH(RIGHT(Q937,255),RIGHT('Disaggregation Records'!$D$155:$D$385,255),0))="","",INDEX('Disaggregation Records'!$I$155:$I$385,MATCH(RIGHT(Q937,255),RIGHT('Disaggregation Records'!$D$155:$D$385,255),0))),"")</f>
        <v/>
      </c>
      <c r="W937" s="89" t="str">
        <f ca="1">IFERROR(INDEX('Reference Records'!L$77:L$157,MATCH(LEFT(C937,255),'Reference Records'!E$77:E$157,0)),"")</f>
        <v>TCP-1⁽ᴹ⁾ Number of notified cases of all forms of TB (i.e. bacteriologically confirmed + clinically diagnosed), new and relapse cases</v>
      </c>
    </row>
    <row r="938" spans="1:23" s="89" customFormat="1" ht="40.35" customHeight="1">
      <c r="A938" s="564"/>
      <c r="B938" s="799"/>
      <c r="C938" s="800"/>
      <c r="D938" s="801"/>
      <c r="E938" s="801"/>
      <c r="F938" s="128"/>
      <c r="G938" s="802"/>
      <c r="H938" s="781"/>
      <c r="I938" s="803"/>
      <c r="J938" s="779"/>
      <c r="K938" s="800"/>
      <c r="L938" s="800"/>
      <c r="M938" s="779"/>
      <c r="N938" s="779"/>
    </row>
    <row r="939" spans="1:23" s="89" customFormat="1" ht="40.35" customHeight="1">
      <c r="A939" s="564" t="str">
        <f ca="1">INDIRECT("'update Helper'!C"&amp;U939)</f>
        <v>a163p000004VjnGAAS</v>
      </c>
      <c r="B939" s="794">
        <v>8</v>
      </c>
      <c r="C939" s="795" t="str">
        <f ca="1">VLOOKUP(B939,'Coverage Indicators - Section D'!$A$9:$AU$70,47,FALSE)</f>
        <v>TCP-1⁽ᴹ⁾ Número de casos notificados de todas las formas de tuberculosis (esto es, confirmados bacteriológicamente y con diagnóstico clínico), casos nuevos y recaídas.</v>
      </c>
      <c r="D939" s="796" t="str">
        <f ca="1">R939</f>
        <v/>
      </c>
      <c r="E939" s="796" t="str">
        <f ca="1">S939</f>
        <v/>
      </c>
      <c r="F939" s="127"/>
      <c r="G939" s="797" t="str">
        <f ca="1">IF(OR(INDIRECT("'update Helper'!E"&amp;U939)="",F939&lt;&gt;0,F940&lt;&gt;0),IF(IFERROR((F939/F940),"")="","",(F939/F940)),INDIRECT("'update Helper'!E"&amp;U939)/100)</f>
        <v/>
      </c>
      <c r="H939" s="784"/>
      <c r="I939" s="798"/>
      <c r="J939" s="777"/>
      <c r="K939" s="795" t="str">
        <f ca="1">W939</f>
        <v>TCP-1⁽ᴹ⁾ Number of notified cases of all forms of TB (i.e. bacteriologically confirmed + clinically diagnosed), new and relapse cases</v>
      </c>
      <c r="L939" s="795" t="str">
        <f ca="1">V939</f>
        <v/>
      </c>
      <c r="M939" s="777"/>
      <c r="N939" s="777"/>
      <c r="P939" s="89">
        <f ca="1">IF(AND(EXACT(C939,C937),C937&lt;&gt;0),P937+1,0)</f>
        <v>19</v>
      </c>
      <c r="Q939" s="89" t="str">
        <f ca="1">IF(C939&lt;&gt;"",C939&amp;"-"&amp;P939,"")</f>
        <v>TCP-1⁽ᴹ⁾ Número de casos notificados de todas las formas de tuberculosis (esto es, confirmados bacteriológicamente y con diagnóstico clínico), casos nuevos y recaídas.-19</v>
      </c>
      <c r="R939" s="89" t="str">
        <f t="array" aca="1" ref="R939" ca="1">IFERROR(IF(INDEX('Disaggregation Records'!$E$155:$E$385,MATCH(RIGHT(Q939,255),RIGHT('Disaggregation Records'!$D$155:$D$385,255),0))="","",INDEX('Disaggregation Records'!$E$155:$E$385,MATCH(RIGHT(Q939,255),RIGHT('Disaggregation Records'!$D$155:$D$385,255),0))),"")</f>
        <v/>
      </c>
      <c r="S939" s="89" t="str">
        <f t="array" aca="1" ref="S939" ca="1">IFERROR(IF(INDEX('Disaggregation Records'!$F$155:$F$385,MATCH(RIGHT(Q939,255),RIGHT('Disaggregation Records'!$D$155:$D$385,255),0))="","",INDEX('Disaggregation Records'!$F$155:$F$385,MATCH(RIGHT(Q939,255),RIGHT('Disaggregation Records'!$D$155:$D$385,255),0))),"")</f>
        <v/>
      </c>
      <c r="T939" s="89" t="str">
        <f t="array" aca="1" ref="T939" ca="1">IFERROR(IF(INDEX('Disaggregation Records'!$H$155:$H$385,MATCH(RIGHT(Q939,255),RIGHT('Disaggregation Records'!$D$155:$D$385,255),0))="","",INDEX('Disaggregation Records'!$H$155:$H$385,MATCH(RIGHT(Q939,255),RIGHT('Disaggregation Records'!$D$155:$D$385,255),0))),"")</f>
        <v/>
      </c>
      <c r="U939" s="89">
        <f>U937+1</f>
        <v>1579</v>
      </c>
      <c r="V939" s="89" t="str">
        <f t="array" aca="1" ref="V939" ca="1">IFERROR(IF(INDEX('Disaggregation Records'!$I$155:$I$385,MATCH(RIGHT(Q939,255),RIGHT('Disaggregation Records'!$D$155:$D$385,255),0))="","",INDEX('Disaggregation Records'!$I$155:$I$385,MATCH(RIGHT(Q939,255),RIGHT('Disaggregation Records'!$D$155:$D$385,255),0))),"")</f>
        <v/>
      </c>
      <c r="W939" s="89" t="str">
        <f ca="1">IFERROR(INDEX('Reference Records'!L$77:L$157,MATCH(LEFT(C939,255),'Reference Records'!E$77:E$157,0)),"")</f>
        <v>TCP-1⁽ᴹ⁾ Number of notified cases of all forms of TB (i.e. bacteriologically confirmed + clinically diagnosed), new and relapse cases</v>
      </c>
    </row>
    <row r="940" spans="1:23" s="89" customFormat="1" ht="40.35" customHeight="1">
      <c r="A940" s="564"/>
      <c r="B940" s="799"/>
      <c r="C940" s="800"/>
      <c r="D940" s="801"/>
      <c r="E940" s="801"/>
      <c r="F940" s="128"/>
      <c r="G940" s="802"/>
      <c r="H940" s="781"/>
      <c r="I940" s="803"/>
      <c r="J940" s="779"/>
      <c r="K940" s="800"/>
      <c r="L940" s="800"/>
      <c r="M940" s="779"/>
      <c r="N940" s="779"/>
    </row>
    <row r="941" spans="1:23" s="89" customFormat="1" ht="40.35" customHeight="1">
      <c r="A941" s="564" t="str">
        <f ca="1">INDIRECT("'update Helper'!C"&amp;U941)</f>
        <v>a163p000004VjnHAAS</v>
      </c>
      <c r="B941" s="794">
        <v>9</v>
      </c>
      <c r="C941" s="795" t="str">
        <f ca="1">VLOOKUP(B941,'Coverage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41" s="796" t="str">
        <f ca="1">R941</f>
        <v>Resultado de prueba del VIH</v>
      </c>
      <c r="E941" s="796" t="str">
        <f ca="1">S941</f>
        <v>No documentado</v>
      </c>
      <c r="F941" s="127"/>
      <c r="G941" s="797" t="str">
        <f ca="1">IF(OR(INDIRECT("'update Helper'!E"&amp;U941)="",F941&lt;&gt;0,F942&lt;&gt;0),IF(IFERROR((F941/F942),"")="","",(F941/F942)),INDIRECT("'update Helper'!E"&amp;U941)/100)</f>
        <v/>
      </c>
      <c r="H941" s="784"/>
      <c r="I941" s="798"/>
      <c r="J941" s="777"/>
      <c r="K941" s="795" t="str">
        <f ca="1">W941</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41" s="795" t="str">
        <f ca="1">V941</f>
        <v>HIV test status</v>
      </c>
      <c r="M941" s="777"/>
      <c r="N941" s="777"/>
      <c r="P941" s="89">
        <f ca="1">IF(AND(EXACT(C941,C939),C939&lt;&gt;0),P939+1,0)</f>
        <v>0</v>
      </c>
      <c r="Q941" s="89" t="str">
        <f ca="1">IF(C941&lt;&gt;"",C941&amp;"-"&amp;P941,"")</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recaídas.-0</v>
      </c>
      <c r="R941" s="89" t="str">
        <f t="array" aca="1" ref="R941" ca="1">IFERROR(IF(INDEX('Disaggregation Records'!$E$155:$E$385,MATCH(RIGHT(Q941,255),RIGHT('Disaggregation Records'!$D$155:$D$385,255),0))="","",INDEX('Disaggregation Records'!$E$155:$E$385,MATCH(RIGHT(Q941,255),RIGHT('Disaggregation Records'!$D$155:$D$385,255),0))),"")</f>
        <v>Resultado de prueba del VIH</v>
      </c>
      <c r="S941" s="89" t="str">
        <f t="array" aca="1" ref="S941" ca="1">IFERROR(IF(INDEX('Disaggregation Records'!$F$155:$F$385,MATCH(RIGHT(Q941,255),RIGHT('Disaggregation Records'!$D$155:$D$385,255),0))="","",INDEX('Disaggregation Records'!$F$155:$F$385,MATCH(RIGHT(Q941,255),RIGHT('Disaggregation Records'!$D$155:$D$385,255),0))),"")</f>
        <v>No documentado</v>
      </c>
      <c r="T941" s="89" t="str">
        <f t="array" aca="1" ref="T941" ca="1">IFERROR(IF(INDEX('Disaggregation Records'!$H$155:$H$385,MATCH(RIGHT(Q941,255),RIGHT('Disaggregation Records'!$D$155:$D$385,255),0))="","",INDEX('Disaggregation Records'!$H$155:$H$385,MATCH(RIGHT(Q941,255),RIGHT('Disaggregation Records'!$D$155:$D$385,255),0))),"")</f>
        <v>IDR-00936</v>
      </c>
      <c r="U941" s="89">
        <f>U939+1</f>
        <v>1580</v>
      </c>
      <c r="V941" s="89" t="str">
        <f t="array" aca="1" ref="V941" ca="1">IFERROR(IF(INDEX('Disaggregation Records'!$I$155:$I$385,MATCH(RIGHT(Q941,255),RIGHT('Disaggregation Records'!$D$155:$D$385,255),0))="","",INDEX('Disaggregation Records'!$I$155:$I$385,MATCH(RIGHT(Q941,255),RIGHT('Disaggregation Records'!$D$155:$D$385,255),0))),"")</f>
        <v>HIV test status</v>
      </c>
      <c r="W941" s="89" t="str">
        <f ca="1">IFERROR(INDEX('Reference Records'!L$77:L$157,MATCH(LEFT(C941,255),'Reference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42" spans="1:23" s="89" customFormat="1" ht="40.35" customHeight="1">
      <c r="A942" s="564"/>
      <c r="B942" s="799"/>
      <c r="C942" s="800"/>
      <c r="D942" s="801"/>
      <c r="E942" s="801"/>
      <c r="F942" s="128"/>
      <c r="G942" s="802"/>
      <c r="H942" s="781"/>
      <c r="I942" s="803"/>
      <c r="J942" s="779"/>
      <c r="K942" s="800"/>
      <c r="L942" s="800"/>
      <c r="M942" s="779"/>
      <c r="N942" s="779"/>
    </row>
    <row r="943" spans="1:23" s="89" customFormat="1" ht="40.35" customHeight="1">
      <c r="A943" s="564" t="str">
        <f ca="1">INDIRECT("'update Helper'!C"&amp;U943)</f>
        <v>a163p000004VjnIAAS</v>
      </c>
      <c r="B943" s="794">
        <v>9</v>
      </c>
      <c r="C943" s="795" t="str">
        <f ca="1">VLOOKUP(B943,'Coverage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43" s="796" t="str">
        <f ca="1">R943</f>
        <v>Resultado de prueba del VIH</v>
      </c>
      <c r="E943" s="796" t="str">
        <f ca="1">S943</f>
        <v>Negativo</v>
      </c>
      <c r="F943" s="127"/>
      <c r="G943" s="797" t="str">
        <f ca="1">IF(OR(INDIRECT("'update Helper'!E"&amp;U943)="",F943&lt;&gt;0,F944&lt;&gt;0),IF(IFERROR((F943/F944),"")="","",(F943/F944)),INDIRECT("'update Helper'!E"&amp;U943)/100)</f>
        <v/>
      </c>
      <c r="H943" s="784"/>
      <c r="I943" s="798"/>
      <c r="J943" s="777"/>
      <c r="K943" s="795" t="str">
        <f ca="1">W943</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43" s="795" t="str">
        <f ca="1">V943</f>
        <v>HIV test status</v>
      </c>
      <c r="M943" s="777"/>
      <c r="N943" s="777"/>
      <c r="P943" s="89">
        <f ca="1">IF(AND(EXACT(C943,C941),C941&lt;&gt;0),P941+1,0)</f>
        <v>1</v>
      </c>
      <c r="Q943" s="89" t="str">
        <f ca="1">IF(C943&lt;&gt;"",C943&amp;"-"&amp;P943,"")</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v>
      </c>
      <c r="R943" s="89" t="str">
        <f t="array" aca="1" ref="R943" ca="1">IFERROR(IF(INDEX('Disaggregation Records'!$E$155:$E$385,MATCH(RIGHT(Q943,255),RIGHT('Disaggregation Records'!$D$155:$D$385,255),0))="","",INDEX('Disaggregation Records'!$E$155:$E$385,MATCH(RIGHT(Q943,255),RIGHT('Disaggregation Records'!$D$155:$D$385,255),0))),"")</f>
        <v>Resultado de prueba del VIH</v>
      </c>
      <c r="S943" s="89" t="str">
        <f t="array" aca="1" ref="S943" ca="1">IFERROR(IF(INDEX('Disaggregation Records'!$F$155:$F$385,MATCH(RIGHT(Q943,255),RIGHT('Disaggregation Records'!$D$155:$D$385,255),0))="","",INDEX('Disaggregation Records'!$F$155:$F$385,MATCH(RIGHT(Q943,255),RIGHT('Disaggregation Records'!$D$155:$D$385,255),0))),"")</f>
        <v>Negativo</v>
      </c>
      <c r="T943" s="89" t="str">
        <f t="array" aca="1" ref="T943" ca="1">IFERROR(IF(INDEX('Disaggregation Records'!$H$155:$H$385,MATCH(RIGHT(Q943,255),RIGHT('Disaggregation Records'!$D$155:$D$385,255),0))="","",INDEX('Disaggregation Records'!$H$155:$H$385,MATCH(RIGHT(Q943,255),RIGHT('Disaggregation Records'!$D$155:$D$385,255),0))),"")</f>
        <v>IDR-00935</v>
      </c>
      <c r="U943" s="89">
        <f>U941+1</f>
        <v>1581</v>
      </c>
      <c r="V943" s="89" t="str">
        <f t="array" aca="1" ref="V943" ca="1">IFERROR(IF(INDEX('Disaggregation Records'!$I$155:$I$385,MATCH(RIGHT(Q943,255),RIGHT('Disaggregation Records'!$D$155:$D$385,255),0))="","",INDEX('Disaggregation Records'!$I$155:$I$385,MATCH(RIGHT(Q943,255),RIGHT('Disaggregation Records'!$D$155:$D$385,255),0))),"")</f>
        <v>HIV test status</v>
      </c>
      <c r="W943" s="89" t="str">
        <f ca="1">IFERROR(INDEX('Reference Records'!L$77:L$157,MATCH(LEFT(C943,255),'Reference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44" spans="1:23" s="89" customFormat="1" ht="40.35" customHeight="1">
      <c r="A944" s="564"/>
      <c r="B944" s="799"/>
      <c r="C944" s="800"/>
      <c r="D944" s="801"/>
      <c r="E944" s="801"/>
      <c r="F944" s="128"/>
      <c r="G944" s="802"/>
      <c r="H944" s="781"/>
      <c r="I944" s="803"/>
      <c r="J944" s="779"/>
      <c r="K944" s="800"/>
      <c r="L944" s="800"/>
      <c r="M944" s="779"/>
      <c r="N944" s="779"/>
    </row>
    <row r="945" spans="1:23" s="89" customFormat="1" ht="40.35" customHeight="1">
      <c r="A945" s="564" t="str">
        <f ca="1">INDIRECT("'update Helper'!C"&amp;U945)</f>
        <v>a163p000004VjnJAAS</v>
      </c>
      <c r="B945" s="794">
        <v>9</v>
      </c>
      <c r="C945" s="795" t="str">
        <f ca="1">VLOOKUP(B945,'Coverage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45" s="796" t="str">
        <f ca="1">R945</f>
        <v>Resultado de prueba del VIH</v>
      </c>
      <c r="E945" s="796" t="str">
        <f ca="1">S945</f>
        <v>Positivo</v>
      </c>
      <c r="F945" s="127"/>
      <c r="G945" s="797" t="str">
        <f ca="1">IF(OR(INDIRECT("'update Helper'!E"&amp;U945)="",F945&lt;&gt;0,F946&lt;&gt;0),IF(IFERROR((F945/F946),"")="","",(F945/F946)),INDIRECT("'update Helper'!E"&amp;U945)/100)</f>
        <v/>
      </c>
      <c r="H945" s="784"/>
      <c r="I945" s="798"/>
      <c r="J945" s="777"/>
      <c r="K945" s="795" t="str">
        <f ca="1">W945</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45" s="795" t="str">
        <f ca="1">V945</f>
        <v>HIV test status</v>
      </c>
      <c r="M945" s="777"/>
      <c r="N945" s="777"/>
      <c r="P945" s="89">
        <f ca="1">IF(AND(EXACT(C945,C943),C943&lt;&gt;0),P943+1,0)</f>
        <v>2</v>
      </c>
      <c r="Q945" s="89" t="str">
        <f ca="1">IF(C945&lt;&gt;"",C945&amp;"-"&amp;P945,"")</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recaídas.-2</v>
      </c>
      <c r="R945" s="89" t="str">
        <f t="array" aca="1" ref="R945" ca="1">IFERROR(IF(INDEX('Disaggregation Records'!$E$155:$E$385,MATCH(RIGHT(Q945,255),RIGHT('Disaggregation Records'!$D$155:$D$385,255),0))="","",INDEX('Disaggregation Records'!$E$155:$E$385,MATCH(RIGHT(Q945,255),RIGHT('Disaggregation Records'!$D$155:$D$385,255),0))),"")</f>
        <v>Resultado de prueba del VIH</v>
      </c>
      <c r="S945" s="89" t="str">
        <f t="array" aca="1" ref="S945" ca="1">IFERROR(IF(INDEX('Disaggregation Records'!$F$155:$F$385,MATCH(RIGHT(Q945,255),RIGHT('Disaggregation Records'!$D$155:$D$385,255),0))="","",INDEX('Disaggregation Records'!$F$155:$F$385,MATCH(RIGHT(Q945,255),RIGHT('Disaggregation Records'!$D$155:$D$385,255),0))),"")</f>
        <v>Positivo</v>
      </c>
      <c r="T945" s="89" t="str">
        <f t="array" aca="1" ref="T945" ca="1">IFERROR(IF(INDEX('Disaggregation Records'!$H$155:$H$385,MATCH(RIGHT(Q945,255),RIGHT('Disaggregation Records'!$D$155:$D$385,255),0))="","",INDEX('Disaggregation Records'!$H$155:$H$385,MATCH(RIGHT(Q945,255),RIGHT('Disaggregation Records'!$D$155:$D$385,255),0))),"")</f>
        <v>IDR-00934</v>
      </c>
      <c r="U945" s="89">
        <f>U943+1</f>
        <v>1582</v>
      </c>
      <c r="V945" s="89" t="str">
        <f t="array" aca="1" ref="V945" ca="1">IFERROR(IF(INDEX('Disaggregation Records'!$I$155:$I$385,MATCH(RIGHT(Q945,255),RIGHT('Disaggregation Records'!$D$155:$D$385,255),0))="","",INDEX('Disaggregation Records'!$I$155:$I$385,MATCH(RIGHT(Q945,255),RIGHT('Disaggregation Records'!$D$155:$D$385,255),0))),"")</f>
        <v>HIV test status</v>
      </c>
      <c r="W945" s="89" t="str">
        <f ca="1">IFERROR(INDEX('Reference Records'!L$77:L$157,MATCH(LEFT(C945,255),'Reference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46" spans="1:23" s="89" customFormat="1" ht="40.35" customHeight="1">
      <c r="A946" s="564"/>
      <c r="B946" s="799"/>
      <c r="C946" s="800"/>
      <c r="D946" s="801"/>
      <c r="E946" s="801"/>
      <c r="F946" s="128"/>
      <c r="G946" s="802"/>
      <c r="H946" s="781"/>
      <c r="I946" s="803"/>
      <c r="J946" s="779"/>
      <c r="K946" s="800"/>
      <c r="L946" s="800"/>
      <c r="M946" s="779"/>
      <c r="N946" s="779"/>
    </row>
    <row r="947" spans="1:23" s="89" customFormat="1" ht="40.35" customHeight="1">
      <c r="A947" s="564" t="str">
        <f ca="1">INDIRECT("'update Helper'!C"&amp;U947)</f>
        <v>a163p000004VjnKAAS</v>
      </c>
      <c r="B947" s="794">
        <v>9</v>
      </c>
      <c r="C947" s="795" t="str">
        <f ca="1">VLOOKUP(B947,'Coverage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47" s="796" t="str">
        <f ca="1">R947</f>
        <v>Género</v>
      </c>
      <c r="E947" s="796" t="str">
        <f ca="1">S947</f>
        <v>Mujeres</v>
      </c>
      <c r="F947" s="127"/>
      <c r="G947" s="797" t="str">
        <f ca="1">IF(OR(INDIRECT("'update Helper'!E"&amp;U947)="",F947&lt;&gt;0,F948&lt;&gt;0),IF(IFERROR((F947/F948),"")="","",(F947/F948)),INDIRECT("'update Helper'!E"&amp;U947)/100)</f>
        <v/>
      </c>
      <c r="H947" s="784"/>
      <c r="I947" s="798"/>
      <c r="J947" s="777"/>
      <c r="K947" s="795" t="str">
        <f ca="1">W947</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47" s="795" t="str">
        <f ca="1">V947</f>
        <v>Gender</v>
      </c>
      <c r="M947" s="777"/>
      <c r="N947" s="777"/>
      <c r="P947" s="89">
        <f ca="1">IF(AND(EXACT(C947,C945),C945&lt;&gt;0),P945+1,0)</f>
        <v>3</v>
      </c>
      <c r="Q947" s="89" t="str">
        <f ca="1">IF(C947&lt;&gt;"",C947&amp;"-"&amp;P947,"")</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recaídas.-3</v>
      </c>
      <c r="R947" s="89" t="str">
        <f t="array" aca="1" ref="R947" ca="1">IFERROR(IF(INDEX('Disaggregation Records'!$E$155:$E$385,MATCH(RIGHT(Q947,255),RIGHT('Disaggregation Records'!$D$155:$D$385,255),0))="","",INDEX('Disaggregation Records'!$E$155:$E$385,MATCH(RIGHT(Q947,255),RIGHT('Disaggregation Records'!$D$155:$D$385,255),0))),"")</f>
        <v>Género</v>
      </c>
      <c r="S947" s="89" t="str">
        <f t="array" aca="1" ref="S947" ca="1">IFERROR(IF(INDEX('Disaggregation Records'!$F$155:$F$385,MATCH(RIGHT(Q947,255),RIGHT('Disaggregation Records'!$D$155:$D$385,255),0))="","",INDEX('Disaggregation Records'!$F$155:$F$385,MATCH(RIGHT(Q947,255),RIGHT('Disaggregation Records'!$D$155:$D$385,255),0))),"")</f>
        <v>Mujeres</v>
      </c>
      <c r="T947" s="89" t="str">
        <f t="array" aca="1" ref="T947" ca="1">IFERROR(IF(INDEX('Disaggregation Records'!$H$155:$H$385,MATCH(RIGHT(Q947,255),RIGHT('Disaggregation Records'!$D$155:$D$385,255),0))="","",INDEX('Disaggregation Records'!$H$155:$H$385,MATCH(RIGHT(Q947,255),RIGHT('Disaggregation Records'!$D$155:$D$385,255),0))),"")</f>
        <v>IDR-00855</v>
      </c>
      <c r="U947" s="89">
        <f>U945+1</f>
        <v>1583</v>
      </c>
      <c r="V947" s="89" t="str">
        <f t="array" aca="1" ref="V947" ca="1">IFERROR(IF(INDEX('Disaggregation Records'!$I$155:$I$385,MATCH(RIGHT(Q947,255),RIGHT('Disaggregation Records'!$D$155:$D$385,255),0))="","",INDEX('Disaggregation Records'!$I$155:$I$385,MATCH(RIGHT(Q947,255),RIGHT('Disaggregation Records'!$D$155:$D$385,255),0))),"")</f>
        <v>Gender</v>
      </c>
      <c r="W947" s="89" t="str">
        <f ca="1">IFERROR(INDEX('Reference Records'!L$77:L$157,MATCH(LEFT(C947,255),'Reference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48" spans="1:23" s="89" customFormat="1" ht="40.35" customHeight="1">
      <c r="A948" s="564"/>
      <c r="B948" s="799"/>
      <c r="C948" s="800"/>
      <c r="D948" s="801"/>
      <c r="E948" s="801"/>
      <c r="F948" s="128"/>
      <c r="G948" s="802"/>
      <c r="H948" s="781"/>
      <c r="I948" s="803"/>
      <c r="J948" s="779"/>
      <c r="K948" s="800"/>
      <c r="L948" s="800"/>
      <c r="M948" s="779"/>
      <c r="N948" s="779"/>
    </row>
    <row r="949" spans="1:23" s="89" customFormat="1" ht="40.35" customHeight="1">
      <c r="A949" s="564" t="str">
        <f ca="1">INDIRECT("'update Helper'!C"&amp;U949)</f>
        <v>a163p000004VjnLAAS</v>
      </c>
      <c r="B949" s="794">
        <v>9</v>
      </c>
      <c r="C949" s="795" t="str">
        <f ca="1">VLOOKUP(B949,'Coverage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49" s="796" t="str">
        <f ca="1">R949</f>
        <v>Género</v>
      </c>
      <c r="E949" s="796" t="str">
        <f ca="1">S949</f>
        <v>Hombres</v>
      </c>
      <c r="F949" s="127"/>
      <c r="G949" s="797" t="str">
        <f ca="1">IF(OR(INDIRECT("'update Helper'!E"&amp;U949)="",F949&lt;&gt;0,F950&lt;&gt;0),IF(IFERROR((F949/F950),"")="","",(F949/F950)),INDIRECT("'update Helper'!E"&amp;U949)/100)</f>
        <v/>
      </c>
      <c r="H949" s="784"/>
      <c r="I949" s="798"/>
      <c r="J949" s="777"/>
      <c r="K949" s="795" t="str">
        <f ca="1">W949</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49" s="795" t="str">
        <f ca="1">V949</f>
        <v>Gender</v>
      </c>
      <c r="M949" s="777"/>
      <c r="N949" s="777"/>
      <c r="P949" s="89">
        <f ca="1">IF(AND(EXACT(C949,C947),C947&lt;&gt;0),P947+1,0)</f>
        <v>4</v>
      </c>
      <c r="Q949" s="89" t="str">
        <f ca="1">IF(C949&lt;&gt;"",C949&amp;"-"&amp;P949,"")</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recaídas.-4</v>
      </c>
      <c r="R949" s="89" t="str">
        <f t="array" aca="1" ref="R949" ca="1">IFERROR(IF(INDEX('Disaggregation Records'!$E$155:$E$385,MATCH(RIGHT(Q949,255),RIGHT('Disaggregation Records'!$D$155:$D$385,255),0))="","",INDEX('Disaggregation Records'!$E$155:$E$385,MATCH(RIGHT(Q949,255),RIGHT('Disaggregation Records'!$D$155:$D$385,255),0))),"")</f>
        <v>Género</v>
      </c>
      <c r="S949" s="89" t="str">
        <f t="array" aca="1" ref="S949" ca="1">IFERROR(IF(INDEX('Disaggregation Records'!$F$155:$F$385,MATCH(RIGHT(Q949,255),RIGHT('Disaggregation Records'!$D$155:$D$385,255),0))="","",INDEX('Disaggregation Records'!$F$155:$F$385,MATCH(RIGHT(Q949,255),RIGHT('Disaggregation Records'!$D$155:$D$385,255),0))),"")</f>
        <v>Hombres</v>
      </c>
      <c r="T949" s="89" t="str">
        <f t="array" aca="1" ref="T949" ca="1">IFERROR(IF(INDEX('Disaggregation Records'!$H$155:$H$385,MATCH(RIGHT(Q949,255),RIGHT('Disaggregation Records'!$D$155:$D$385,255),0))="","",INDEX('Disaggregation Records'!$H$155:$H$385,MATCH(RIGHT(Q949,255),RIGHT('Disaggregation Records'!$D$155:$D$385,255),0))),"")</f>
        <v>IDR-00854</v>
      </c>
      <c r="U949" s="89">
        <f>U947+1</f>
        <v>1584</v>
      </c>
      <c r="V949" s="89" t="str">
        <f t="array" aca="1" ref="V949" ca="1">IFERROR(IF(INDEX('Disaggregation Records'!$I$155:$I$385,MATCH(RIGHT(Q949,255),RIGHT('Disaggregation Records'!$D$155:$D$385,255),0))="","",INDEX('Disaggregation Records'!$I$155:$I$385,MATCH(RIGHT(Q949,255),RIGHT('Disaggregation Records'!$D$155:$D$385,255),0))),"")</f>
        <v>Gender</v>
      </c>
      <c r="W949" s="89" t="str">
        <f ca="1">IFERROR(INDEX('Reference Records'!L$77:L$157,MATCH(LEFT(C949,255),'Reference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50" spans="1:23" s="89" customFormat="1" ht="40.35" customHeight="1">
      <c r="A950" s="564"/>
      <c r="B950" s="799"/>
      <c r="C950" s="800"/>
      <c r="D950" s="801"/>
      <c r="E950" s="801"/>
      <c r="F950" s="128"/>
      <c r="G950" s="802"/>
      <c r="H950" s="781"/>
      <c r="I950" s="803"/>
      <c r="J950" s="779"/>
      <c r="K950" s="800"/>
      <c r="L950" s="800"/>
      <c r="M950" s="779"/>
      <c r="N950" s="779"/>
    </row>
    <row r="951" spans="1:23" s="89" customFormat="1" ht="40.35" customHeight="1">
      <c r="A951" s="564" t="str">
        <f ca="1">INDIRECT("'update Helper'!C"&amp;U951)</f>
        <v>a163p000004VjnMAAS</v>
      </c>
      <c r="B951" s="794">
        <v>9</v>
      </c>
      <c r="C951" s="795" t="str">
        <f ca="1">VLOOKUP(B951,'Coverage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51" s="796" t="str">
        <f ca="1">R951</f>
        <v>Edad</v>
      </c>
      <c r="E951" s="796" t="str">
        <f ca="1">S951</f>
        <v>15+</v>
      </c>
      <c r="F951" s="127"/>
      <c r="G951" s="797" t="str">
        <f ca="1">IF(OR(INDIRECT("'update Helper'!E"&amp;U951)="",F951&lt;&gt;0,F952&lt;&gt;0),IF(IFERROR((F951/F952),"")="","",(F951/F952)),INDIRECT("'update Helper'!E"&amp;U951)/100)</f>
        <v/>
      </c>
      <c r="H951" s="784"/>
      <c r="I951" s="798"/>
      <c r="J951" s="777"/>
      <c r="K951" s="795" t="str">
        <f ca="1">W951</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51" s="795" t="str">
        <f ca="1">V951</f>
        <v>Age</v>
      </c>
      <c r="M951" s="777"/>
      <c r="N951" s="777"/>
      <c r="P951" s="89">
        <f ca="1">IF(AND(EXACT(C951,C949),C949&lt;&gt;0),P949+1,0)</f>
        <v>5</v>
      </c>
      <c r="Q951" s="89" t="str">
        <f ca="1">IF(C951&lt;&gt;"",C951&amp;"-"&amp;P951,"")</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recaídas.-5</v>
      </c>
      <c r="R951" s="89" t="str">
        <f t="array" aca="1" ref="R951" ca="1">IFERROR(IF(INDEX('Disaggregation Records'!$E$155:$E$385,MATCH(RIGHT(Q951,255),RIGHT('Disaggregation Records'!$D$155:$D$385,255),0))="","",INDEX('Disaggregation Records'!$E$155:$E$385,MATCH(RIGHT(Q951,255),RIGHT('Disaggregation Records'!$D$155:$D$385,255),0))),"")</f>
        <v>Edad</v>
      </c>
      <c r="S951" s="89" t="str">
        <f t="array" aca="1" ref="S951" ca="1">IFERROR(IF(INDEX('Disaggregation Records'!$F$155:$F$385,MATCH(RIGHT(Q951,255),RIGHT('Disaggregation Records'!$D$155:$D$385,255),0))="","",INDEX('Disaggregation Records'!$F$155:$F$385,MATCH(RIGHT(Q951,255),RIGHT('Disaggregation Records'!$D$155:$D$385,255),0))),"")</f>
        <v>15+</v>
      </c>
      <c r="T951" s="89" t="str">
        <f t="array" aca="1" ref="T951" ca="1">IFERROR(IF(INDEX('Disaggregation Records'!$H$155:$H$385,MATCH(RIGHT(Q951,255),RIGHT('Disaggregation Records'!$D$155:$D$385,255),0))="","",INDEX('Disaggregation Records'!$H$155:$H$385,MATCH(RIGHT(Q951,255),RIGHT('Disaggregation Records'!$D$155:$D$385,255),0))),"")</f>
        <v>IDR-00728</v>
      </c>
      <c r="U951" s="89">
        <f>U949+1</f>
        <v>1585</v>
      </c>
      <c r="V951" s="89" t="str">
        <f t="array" aca="1" ref="V951" ca="1">IFERROR(IF(INDEX('Disaggregation Records'!$I$155:$I$385,MATCH(RIGHT(Q951,255),RIGHT('Disaggregation Records'!$D$155:$D$385,255),0))="","",INDEX('Disaggregation Records'!$I$155:$I$385,MATCH(RIGHT(Q951,255),RIGHT('Disaggregation Records'!$D$155:$D$385,255),0))),"")</f>
        <v>Age</v>
      </c>
      <c r="W951" s="89" t="str">
        <f ca="1">IFERROR(INDEX('Reference Records'!L$77:L$157,MATCH(LEFT(C951,255),'Reference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52" spans="1:23" s="89" customFormat="1" ht="40.35" customHeight="1">
      <c r="A952" s="564"/>
      <c r="B952" s="799"/>
      <c r="C952" s="800"/>
      <c r="D952" s="801"/>
      <c r="E952" s="801"/>
      <c r="F952" s="128"/>
      <c r="G952" s="802"/>
      <c r="H952" s="781"/>
      <c r="I952" s="803"/>
      <c r="J952" s="779"/>
      <c r="K952" s="800"/>
      <c r="L952" s="800"/>
      <c r="M952" s="779"/>
      <c r="N952" s="779"/>
    </row>
    <row r="953" spans="1:23" s="89" customFormat="1" ht="40.35" customHeight="1">
      <c r="A953" s="564" t="str">
        <f ca="1">INDIRECT("'update Helper'!C"&amp;U953)</f>
        <v>a163p000004VjnNAAS</v>
      </c>
      <c r="B953" s="794">
        <v>9</v>
      </c>
      <c r="C953" s="795" t="str">
        <f ca="1">VLOOKUP(B953,'Coverage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53" s="796" t="str">
        <f ca="1">R953</f>
        <v>Edad</v>
      </c>
      <c r="E953" s="796" t="str">
        <f ca="1">S953</f>
        <v>&lt;15</v>
      </c>
      <c r="F953" s="127"/>
      <c r="G953" s="797" t="str">
        <f ca="1">IF(OR(INDIRECT("'update Helper'!E"&amp;U953)="",F953&lt;&gt;0,F954&lt;&gt;0),IF(IFERROR((F953/F954),"")="","",(F953/F954)),INDIRECT("'update Helper'!E"&amp;U953)/100)</f>
        <v/>
      </c>
      <c r="H953" s="784"/>
      <c r="I953" s="798"/>
      <c r="J953" s="777"/>
      <c r="K953" s="795" t="str">
        <f ca="1">W953</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53" s="795" t="str">
        <f ca="1">V953</f>
        <v>Age</v>
      </c>
      <c r="M953" s="777"/>
      <c r="N953" s="777"/>
      <c r="P953" s="89">
        <f ca="1">IF(AND(EXACT(C953,C951),C951&lt;&gt;0),P951+1,0)</f>
        <v>6</v>
      </c>
      <c r="Q953" s="89" t="str">
        <f ca="1">IF(C953&lt;&gt;"",C953&amp;"-"&amp;P953,"")</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recaídas.-6</v>
      </c>
      <c r="R953" s="89" t="str">
        <f t="array" aca="1" ref="R953" ca="1">IFERROR(IF(INDEX('Disaggregation Records'!$E$155:$E$385,MATCH(RIGHT(Q953,255),RIGHT('Disaggregation Records'!$D$155:$D$385,255),0))="","",INDEX('Disaggregation Records'!$E$155:$E$385,MATCH(RIGHT(Q953,255),RIGHT('Disaggregation Records'!$D$155:$D$385,255),0))),"")</f>
        <v>Edad</v>
      </c>
      <c r="S953" s="89" t="str">
        <f t="array" aca="1" ref="S953" ca="1">IFERROR(IF(INDEX('Disaggregation Records'!$F$155:$F$385,MATCH(RIGHT(Q953,255),RIGHT('Disaggregation Records'!$D$155:$D$385,255),0))="","",INDEX('Disaggregation Records'!$F$155:$F$385,MATCH(RIGHT(Q953,255),RIGHT('Disaggregation Records'!$D$155:$D$385,255),0))),"")</f>
        <v>&lt;15</v>
      </c>
      <c r="T953" s="89" t="str">
        <f t="array" aca="1" ref="T953" ca="1">IFERROR(IF(INDEX('Disaggregation Records'!$H$155:$H$385,MATCH(RIGHT(Q953,255),RIGHT('Disaggregation Records'!$D$155:$D$385,255),0))="","",INDEX('Disaggregation Records'!$H$155:$H$385,MATCH(RIGHT(Q953,255),RIGHT('Disaggregation Records'!$D$155:$D$385,255),0))),"")</f>
        <v>IDR-00727</v>
      </c>
      <c r="U953" s="89">
        <f>U951+1</f>
        <v>1586</v>
      </c>
      <c r="V953" s="89" t="str">
        <f t="array" aca="1" ref="V953" ca="1">IFERROR(IF(INDEX('Disaggregation Records'!$I$155:$I$385,MATCH(RIGHT(Q953,255),RIGHT('Disaggregation Records'!$D$155:$D$385,255),0))="","",INDEX('Disaggregation Records'!$I$155:$I$385,MATCH(RIGHT(Q953,255),RIGHT('Disaggregation Records'!$D$155:$D$385,255),0))),"")</f>
        <v>Age</v>
      </c>
      <c r="W953" s="89" t="str">
        <f ca="1">IFERROR(INDEX('Reference Records'!L$77:L$157,MATCH(LEFT(C953,255),'Reference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54" spans="1:23" s="89" customFormat="1" ht="40.35" customHeight="1">
      <c r="A954" s="564"/>
      <c r="B954" s="799"/>
      <c r="C954" s="800"/>
      <c r="D954" s="801"/>
      <c r="E954" s="801"/>
      <c r="F954" s="128"/>
      <c r="G954" s="802"/>
      <c r="H954" s="781"/>
      <c r="I954" s="803"/>
      <c r="J954" s="779"/>
      <c r="K954" s="800"/>
      <c r="L954" s="800"/>
      <c r="M954" s="779"/>
      <c r="N954" s="779"/>
    </row>
    <row r="955" spans="1:23" s="89" customFormat="1" ht="40.35" customHeight="1">
      <c r="A955" s="564" t="str">
        <f ca="1">INDIRECT("'update Helper'!C"&amp;U955)</f>
        <v>a163p000004VjnOAAS</v>
      </c>
      <c r="B955" s="794">
        <v>9</v>
      </c>
      <c r="C955" s="795" t="str">
        <f ca="1">VLOOKUP(B955,'Coverage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55" s="796" t="str">
        <f ca="1">R955</f>
        <v/>
      </c>
      <c r="E955" s="796" t="str">
        <f ca="1">S955</f>
        <v/>
      </c>
      <c r="F955" s="127"/>
      <c r="G955" s="797" t="str">
        <f ca="1">IF(OR(INDIRECT("'update Helper'!E"&amp;U955)="",F955&lt;&gt;0,F956&lt;&gt;0),IF(IFERROR((F955/F956),"")="","",(F955/F956)),INDIRECT("'update Helper'!E"&amp;U955)/100)</f>
        <v/>
      </c>
      <c r="H955" s="784"/>
      <c r="I955" s="798"/>
      <c r="J955" s="777"/>
      <c r="K955" s="795" t="str">
        <f ca="1">W955</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55" s="795" t="str">
        <f ca="1">V955</f>
        <v/>
      </c>
      <c r="M955" s="777"/>
      <c r="N955" s="777"/>
      <c r="P955" s="89">
        <f ca="1">IF(AND(EXACT(C955,C953),C953&lt;&gt;0),P953+1,0)</f>
        <v>7</v>
      </c>
      <c r="Q955" s="89" t="str">
        <f ca="1">IF(C955&lt;&gt;"",C955&amp;"-"&amp;P955,"")</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recaídas.-7</v>
      </c>
      <c r="R955" s="89" t="str">
        <f t="array" aca="1" ref="R955" ca="1">IFERROR(IF(INDEX('Disaggregation Records'!$E$155:$E$385,MATCH(RIGHT(Q955,255),RIGHT('Disaggregation Records'!$D$155:$D$385,255),0))="","",INDEX('Disaggregation Records'!$E$155:$E$385,MATCH(RIGHT(Q955,255),RIGHT('Disaggregation Records'!$D$155:$D$385,255),0))),"")</f>
        <v/>
      </c>
      <c r="S955" s="89" t="str">
        <f t="array" aca="1" ref="S955" ca="1">IFERROR(IF(INDEX('Disaggregation Records'!$F$155:$F$385,MATCH(RIGHT(Q955,255),RIGHT('Disaggregation Records'!$D$155:$D$385,255),0))="","",INDEX('Disaggregation Records'!$F$155:$F$385,MATCH(RIGHT(Q955,255),RIGHT('Disaggregation Records'!$D$155:$D$385,255),0))),"")</f>
        <v/>
      </c>
      <c r="T955" s="89" t="str">
        <f t="array" aca="1" ref="T955" ca="1">IFERROR(IF(INDEX('Disaggregation Records'!$H$155:$H$385,MATCH(RIGHT(Q955,255),RIGHT('Disaggregation Records'!$D$155:$D$385,255),0))="","",INDEX('Disaggregation Records'!$H$155:$H$385,MATCH(RIGHT(Q955,255),RIGHT('Disaggregation Records'!$D$155:$D$385,255),0))),"")</f>
        <v/>
      </c>
      <c r="U955" s="89">
        <f>U953+1</f>
        <v>1587</v>
      </c>
      <c r="V955" s="89" t="str">
        <f t="array" aca="1" ref="V955" ca="1">IFERROR(IF(INDEX('Disaggregation Records'!$I$155:$I$385,MATCH(RIGHT(Q955,255),RIGHT('Disaggregation Records'!$D$155:$D$385,255),0))="","",INDEX('Disaggregation Records'!$I$155:$I$385,MATCH(RIGHT(Q955,255),RIGHT('Disaggregation Records'!$D$155:$D$385,255),0))),"")</f>
        <v/>
      </c>
      <c r="W955" s="89" t="str">
        <f ca="1">IFERROR(INDEX('Reference Records'!L$77:L$157,MATCH(LEFT(C955,255),'Reference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56" spans="1:23" s="89" customFormat="1" ht="40.35" customHeight="1">
      <c r="A956" s="564"/>
      <c r="B956" s="799"/>
      <c r="C956" s="800"/>
      <c r="D956" s="801"/>
      <c r="E956" s="801"/>
      <c r="F956" s="128"/>
      <c r="G956" s="802"/>
      <c r="H956" s="781"/>
      <c r="I956" s="803"/>
      <c r="J956" s="779"/>
      <c r="K956" s="800"/>
      <c r="L956" s="800"/>
      <c r="M956" s="779"/>
      <c r="N956" s="779"/>
    </row>
    <row r="957" spans="1:23" s="89" customFormat="1" ht="40.35" customHeight="1">
      <c r="A957" s="564" t="str">
        <f ca="1">INDIRECT("'update Helper'!C"&amp;U957)</f>
        <v>a163p000004VjnPAAS</v>
      </c>
      <c r="B957" s="794">
        <v>9</v>
      </c>
      <c r="C957" s="795" t="str">
        <f ca="1">VLOOKUP(B957,'Coverage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57" s="796" t="str">
        <f ca="1">R957</f>
        <v/>
      </c>
      <c r="E957" s="796" t="str">
        <f ca="1">S957</f>
        <v/>
      </c>
      <c r="F957" s="127"/>
      <c r="G957" s="797" t="str">
        <f ca="1">IF(OR(INDIRECT("'update Helper'!E"&amp;U957)="",F957&lt;&gt;0,F958&lt;&gt;0),IF(IFERROR((F957/F958),"")="","",(F957/F958)),INDIRECT("'update Helper'!E"&amp;U957)/100)</f>
        <v/>
      </c>
      <c r="H957" s="784"/>
      <c r="I957" s="798"/>
      <c r="J957" s="777"/>
      <c r="K957" s="795" t="str">
        <f ca="1">W957</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57" s="795" t="str">
        <f ca="1">V957</f>
        <v/>
      </c>
      <c r="M957" s="777"/>
      <c r="N957" s="777"/>
      <c r="P957" s="89">
        <f ca="1">IF(AND(EXACT(C957,C955),C955&lt;&gt;0),P955+1,0)</f>
        <v>8</v>
      </c>
      <c r="Q957" s="89" t="str">
        <f ca="1">IF(C957&lt;&gt;"",C957&amp;"-"&amp;P957,"")</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recaídas.-8</v>
      </c>
      <c r="R957" s="89" t="str">
        <f t="array" aca="1" ref="R957" ca="1">IFERROR(IF(INDEX('Disaggregation Records'!$E$155:$E$385,MATCH(RIGHT(Q957,255),RIGHT('Disaggregation Records'!$D$155:$D$385,255),0))="","",INDEX('Disaggregation Records'!$E$155:$E$385,MATCH(RIGHT(Q957,255),RIGHT('Disaggregation Records'!$D$155:$D$385,255),0))),"")</f>
        <v/>
      </c>
      <c r="S957" s="89" t="str">
        <f t="array" aca="1" ref="S957" ca="1">IFERROR(IF(INDEX('Disaggregation Records'!$F$155:$F$385,MATCH(RIGHT(Q957,255),RIGHT('Disaggregation Records'!$D$155:$D$385,255),0))="","",INDEX('Disaggregation Records'!$F$155:$F$385,MATCH(RIGHT(Q957,255),RIGHT('Disaggregation Records'!$D$155:$D$385,255),0))),"")</f>
        <v/>
      </c>
      <c r="T957" s="89" t="str">
        <f t="array" aca="1" ref="T957" ca="1">IFERROR(IF(INDEX('Disaggregation Records'!$H$155:$H$385,MATCH(RIGHT(Q957,255),RIGHT('Disaggregation Records'!$D$155:$D$385,255),0))="","",INDEX('Disaggregation Records'!$H$155:$H$385,MATCH(RIGHT(Q957,255),RIGHT('Disaggregation Records'!$D$155:$D$385,255),0))),"")</f>
        <v/>
      </c>
      <c r="U957" s="89">
        <f>U955+1</f>
        <v>1588</v>
      </c>
      <c r="V957" s="89" t="str">
        <f t="array" aca="1" ref="V957" ca="1">IFERROR(IF(INDEX('Disaggregation Records'!$I$155:$I$385,MATCH(RIGHT(Q957,255),RIGHT('Disaggregation Records'!$D$155:$D$385,255),0))="","",INDEX('Disaggregation Records'!$I$155:$I$385,MATCH(RIGHT(Q957,255),RIGHT('Disaggregation Records'!$D$155:$D$385,255),0))),"")</f>
        <v/>
      </c>
      <c r="W957" s="89" t="str">
        <f ca="1">IFERROR(INDEX('Reference Records'!L$77:L$157,MATCH(LEFT(C957,255),'Reference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58" spans="1:23" s="89" customFormat="1" ht="40.35" customHeight="1">
      <c r="A958" s="564"/>
      <c r="B958" s="799"/>
      <c r="C958" s="800"/>
      <c r="D958" s="801"/>
      <c r="E958" s="801"/>
      <c r="F958" s="128"/>
      <c r="G958" s="802"/>
      <c r="H958" s="781"/>
      <c r="I958" s="803"/>
      <c r="J958" s="779"/>
      <c r="K958" s="800"/>
      <c r="L958" s="800"/>
      <c r="M958" s="779"/>
      <c r="N958" s="779"/>
    </row>
    <row r="959" spans="1:23" s="89" customFormat="1" ht="40.35" customHeight="1">
      <c r="A959" s="564" t="str">
        <f ca="1">INDIRECT("'update Helper'!C"&amp;U959)</f>
        <v>a163p000004VjnQAAS</v>
      </c>
      <c r="B959" s="794">
        <v>9</v>
      </c>
      <c r="C959" s="795" t="str">
        <f ca="1">VLOOKUP(B959,'Coverage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59" s="796" t="str">
        <f ca="1">R959</f>
        <v/>
      </c>
      <c r="E959" s="796" t="str">
        <f ca="1">S959</f>
        <v/>
      </c>
      <c r="F959" s="127"/>
      <c r="G959" s="797" t="str">
        <f ca="1">IF(OR(INDIRECT("'update Helper'!E"&amp;U959)="",F959&lt;&gt;0,F960&lt;&gt;0),IF(IFERROR((F959/F960),"")="","",(F959/F960)),INDIRECT("'update Helper'!E"&amp;U959)/100)</f>
        <v/>
      </c>
      <c r="H959" s="784"/>
      <c r="I959" s="798"/>
      <c r="J959" s="777"/>
      <c r="K959" s="795" t="str">
        <f ca="1">W959</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59" s="795" t="str">
        <f ca="1">V959</f>
        <v/>
      </c>
      <c r="M959" s="777"/>
      <c r="N959" s="777"/>
      <c r="P959" s="89">
        <f ca="1">IF(AND(EXACT(C959,C957),C957&lt;&gt;0),P957+1,0)</f>
        <v>9</v>
      </c>
      <c r="Q959" s="89" t="str">
        <f ca="1">IF(C959&lt;&gt;"",C959&amp;"-"&amp;P959,"")</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recaídas.-9</v>
      </c>
      <c r="R959" s="89" t="str">
        <f t="array" aca="1" ref="R959" ca="1">IFERROR(IF(INDEX('Disaggregation Records'!$E$155:$E$385,MATCH(RIGHT(Q959,255),RIGHT('Disaggregation Records'!$D$155:$D$385,255),0))="","",INDEX('Disaggregation Records'!$E$155:$E$385,MATCH(RIGHT(Q959,255),RIGHT('Disaggregation Records'!$D$155:$D$385,255),0))),"")</f>
        <v/>
      </c>
      <c r="S959" s="89" t="str">
        <f t="array" aca="1" ref="S959" ca="1">IFERROR(IF(INDEX('Disaggregation Records'!$F$155:$F$385,MATCH(RIGHT(Q959,255),RIGHT('Disaggregation Records'!$D$155:$D$385,255),0))="","",INDEX('Disaggregation Records'!$F$155:$F$385,MATCH(RIGHT(Q959,255),RIGHT('Disaggregation Records'!$D$155:$D$385,255),0))),"")</f>
        <v/>
      </c>
      <c r="T959" s="89" t="str">
        <f t="array" aca="1" ref="T959" ca="1">IFERROR(IF(INDEX('Disaggregation Records'!$H$155:$H$385,MATCH(RIGHT(Q959,255),RIGHT('Disaggregation Records'!$D$155:$D$385,255),0))="","",INDEX('Disaggregation Records'!$H$155:$H$385,MATCH(RIGHT(Q959,255),RIGHT('Disaggregation Records'!$D$155:$D$385,255),0))),"")</f>
        <v/>
      </c>
      <c r="U959" s="89">
        <f>U957+1</f>
        <v>1589</v>
      </c>
      <c r="V959" s="89" t="str">
        <f t="array" aca="1" ref="V959" ca="1">IFERROR(IF(INDEX('Disaggregation Records'!$I$155:$I$385,MATCH(RIGHT(Q959,255),RIGHT('Disaggregation Records'!$D$155:$D$385,255),0))="","",INDEX('Disaggregation Records'!$I$155:$I$385,MATCH(RIGHT(Q959,255),RIGHT('Disaggregation Records'!$D$155:$D$385,255),0))),"")</f>
        <v/>
      </c>
      <c r="W959" s="89" t="str">
        <f ca="1">IFERROR(INDEX('Reference Records'!L$77:L$157,MATCH(LEFT(C959,255),'Reference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60" spans="1:23" s="89" customFormat="1" ht="40.35" customHeight="1">
      <c r="A960" s="564"/>
      <c r="B960" s="799"/>
      <c r="C960" s="800"/>
      <c r="D960" s="801"/>
      <c r="E960" s="801"/>
      <c r="F960" s="128"/>
      <c r="G960" s="802"/>
      <c r="H960" s="781"/>
      <c r="I960" s="803"/>
      <c r="J960" s="779"/>
      <c r="K960" s="800"/>
      <c r="L960" s="800"/>
      <c r="M960" s="779"/>
      <c r="N960" s="779"/>
    </row>
    <row r="961" spans="1:23" s="89" customFormat="1" ht="40.35" customHeight="1">
      <c r="A961" s="564" t="str">
        <f ca="1">INDIRECT("'update Helper'!C"&amp;U961)</f>
        <v>a163p000004VjnRAAS</v>
      </c>
      <c r="B961" s="794">
        <v>9</v>
      </c>
      <c r="C961" s="795" t="str">
        <f ca="1">VLOOKUP(B961,'Coverage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61" s="796" t="str">
        <f ca="1">R961</f>
        <v/>
      </c>
      <c r="E961" s="796" t="str">
        <f ca="1">S961</f>
        <v/>
      </c>
      <c r="F961" s="127"/>
      <c r="G961" s="797" t="str">
        <f ca="1">IF(OR(INDIRECT("'update Helper'!E"&amp;U961)="",F961&lt;&gt;0,F962&lt;&gt;0),IF(IFERROR((F961/F962),"")="","",(F961/F962)),INDIRECT("'update Helper'!E"&amp;U961)/100)</f>
        <v/>
      </c>
      <c r="H961" s="784"/>
      <c r="I961" s="798"/>
      <c r="J961" s="777"/>
      <c r="K961" s="795" t="str">
        <f ca="1">W961</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61" s="795" t="str">
        <f ca="1">V961</f>
        <v/>
      </c>
      <c r="M961" s="777"/>
      <c r="N961" s="777"/>
      <c r="P961" s="89">
        <f ca="1">IF(AND(EXACT(C961,C959),C959&lt;&gt;0),P959+1,0)</f>
        <v>10</v>
      </c>
      <c r="Q961" s="89" t="str">
        <f ca="1">IF(C961&lt;&gt;"",C961&amp;"-"&amp;P961,"")</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recaídas.-10</v>
      </c>
      <c r="R961" s="89" t="str">
        <f t="array" aca="1" ref="R961" ca="1">IFERROR(IF(INDEX('Disaggregation Records'!$E$155:$E$385,MATCH(RIGHT(Q961,255),RIGHT('Disaggregation Records'!$D$155:$D$385,255),0))="","",INDEX('Disaggregation Records'!$E$155:$E$385,MATCH(RIGHT(Q961,255),RIGHT('Disaggregation Records'!$D$155:$D$385,255),0))),"")</f>
        <v/>
      </c>
      <c r="S961" s="89" t="str">
        <f t="array" aca="1" ref="S961" ca="1">IFERROR(IF(INDEX('Disaggregation Records'!$F$155:$F$385,MATCH(RIGHT(Q961,255),RIGHT('Disaggregation Records'!$D$155:$D$385,255),0))="","",INDEX('Disaggregation Records'!$F$155:$F$385,MATCH(RIGHT(Q961,255),RIGHT('Disaggregation Records'!$D$155:$D$385,255),0))),"")</f>
        <v/>
      </c>
      <c r="T961" s="89" t="str">
        <f t="array" aca="1" ref="T961" ca="1">IFERROR(IF(INDEX('Disaggregation Records'!$H$155:$H$385,MATCH(RIGHT(Q961,255),RIGHT('Disaggregation Records'!$D$155:$D$385,255),0))="","",INDEX('Disaggregation Records'!$H$155:$H$385,MATCH(RIGHT(Q961,255),RIGHT('Disaggregation Records'!$D$155:$D$385,255),0))),"")</f>
        <v/>
      </c>
      <c r="U961" s="89">
        <f>U959+1</f>
        <v>1590</v>
      </c>
      <c r="V961" s="89" t="str">
        <f t="array" aca="1" ref="V961" ca="1">IFERROR(IF(INDEX('Disaggregation Records'!$I$155:$I$385,MATCH(RIGHT(Q961,255),RIGHT('Disaggregation Records'!$D$155:$D$385,255),0))="","",INDEX('Disaggregation Records'!$I$155:$I$385,MATCH(RIGHT(Q961,255),RIGHT('Disaggregation Records'!$D$155:$D$385,255),0))),"")</f>
        <v/>
      </c>
      <c r="W961" s="89" t="str">
        <f ca="1">IFERROR(INDEX('Reference Records'!L$77:L$157,MATCH(LEFT(C961,255),'Reference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62" spans="1:23" s="89" customFormat="1" ht="40.35" customHeight="1">
      <c r="A962" s="564"/>
      <c r="B962" s="799"/>
      <c r="C962" s="800"/>
      <c r="D962" s="801"/>
      <c r="E962" s="801"/>
      <c r="F962" s="128"/>
      <c r="G962" s="802"/>
      <c r="H962" s="781"/>
      <c r="I962" s="803"/>
      <c r="J962" s="779"/>
      <c r="K962" s="800"/>
      <c r="L962" s="800"/>
      <c r="M962" s="779"/>
      <c r="N962" s="779"/>
    </row>
    <row r="963" spans="1:23" s="89" customFormat="1" ht="40.35" customHeight="1">
      <c r="A963" s="564" t="str">
        <f ca="1">INDIRECT("'update Helper'!C"&amp;U963)</f>
        <v>a163p000004VjnSAAS</v>
      </c>
      <c r="B963" s="794">
        <v>9</v>
      </c>
      <c r="C963" s="795" t="str">
        <f ca="1">VLOOKUP(B963,'Coverage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63" s="796" t="str">
        <f ca="1">R963</f>
        <v/>
      </c>
      <c r="E963" s="796" t="str">
        <f ca="1">S963</f>
        <v/>
      </c>
      <c r="F963" s="127"/>
      <c r="G963" s="797" t="str">
        <f ca="1">IF(OR(INDIRECT("'update Helper'!E"&amp;U963)="",F963&lt;&gt;0,F964&lt;&gt;0),IF(IFERROR((F963/F964),"")="","",(F963/F964)),INDIRECT("'update Helper'!E"&amp;U963)/100)</f>
        <v/>
      </c>
      <c r="H963" s="784"/>
      <c r="I963" s="798"/>
      <c r="J963" s="777"/>
      <c r="K963" s="795" t="str">
        <f ca="1">W963</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63" s="795" t="str">
        <f ca="1">V963</f>
        <v/>
      </c>
      <c r="M963" s="777"/>
      <c r="N963" s="777"/>
      <c r="P963" s="89">
        <f ca="1">IF(AND(EXACT(C963,C961),C961&lt;&gt;0),P961+1,0)</f>
        <v>11</v>
      </c>
      <c r="Q963" s="89" t="str">
        <f ca="1">IF(C963&lt;&gt;"",C963&amp;"-"&amp;P963,"")</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recaídas.-11</v>
      </c>
      <c r="R963" s="89" t="str">
        <f t="array" aca="1" ref="R963" ca="1">IFERROR(IF(INDEX('Disaggregation Records'!$E$155:$E$385,MATCH(RIGHT(Q963,255),RIGHT('Disaggregation Records'!$D$155:$D$385,255),0))="","",INDEX('Disaggregation Records'!$E$155:$E$385,MATCH(RIGHT(Q963,255),RIGHT('Disaggregation Records'!$D$155:$D$385,255),0))),"")</f>
        <v/>
      </c>
      <c r="S963" s="89" t="str">
        <f t="array" aca="1" ref="S963" ca="1">IFERROR(IF(INDEX('Disaggregation Records'!$F$155:$F$385,MATCH(RIGHT(Q963,255),RIGHT('Disaggregation Records'!$D$155:$D$385,255),0))="","",INDEX('Disaggregation Records'!$F$155:$F$385,MATCH(RIGHT(Q963,255),RIGHT('Disaggregation Records'!$D$155:$D$385,255),0))),"")</f>
        <v/>
      </c>
      <c r="T963" s="89" t="str">
        <f t="array" aca="1" ref="T963" ca="1">IFERROR(IF(INDEX('Disaggregation Records'!$H$155:$H$385,MATCH(RIGHT(Q963,255),RIGHT('Disaggregation Records'!$D$155:$D$385,255),0))="","",INDEX('Disaggregation Records'!$H$155:$H$385,MATCH(RIGHT(Q963,255),RIGHT('Disaggregation Records'!$D$155:$D$385,255),0))),"")</f>
        <v/>
      </c>
      <c r="U963" s="89">
        <f>U961+1</f>
        <v>1591</v>
      </c>
      <c r="V963" s="89" t="str">
        <f t="array" aca="1" ref="V963" ca="1">IFERROR(IF(INDEX('Disaggregation Records'!$I$155:$I$385,MATCH(RIGHT(Q963,255),RIGHT('Disaggregation Records'!$D$155:$D$385,255),0))="","",INDEX('Disaggregation Records'!$I$155:$I$385,MATCH(RIGHT(Q963,255),RIGHT('Disaggregation Records'!$D$155:$D$385,255),0))),"")</f>
        <v/>
      </c>
      <c r="W963" s="89" t="str">
        <f ca="1">IFERROR(INDEX('Reference Records'!L$77:L$157,MATCH(LEFT(C963,255),'Reference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64" spans="1:23" s="89" customFormat="1" ht="40.35" customHeight="1">
      <c r="A964" s="564"/>
      <c r="B964" s="799"/>
      <c r="C964" s="800"/>
      <c r="D964" s="801"/>
      <c r="E964" s="801"/>
      <c r="F964" s="128"/>
      <c r="G964" s="802"/>
      <c r="H964" s="781"/>
      <c r="I964" s="803"/>
      <c r="J964" s="779"/>
      <c r="K964" s="800"/>
      <c r="L964" s="800"/>
      <c r="M964" s="779"/>
      <c r="N964" s="779"/>
    </row>
    <row r="965" spans="1:23" s="89" customFormat="1" ht="40.35" customHeight="1">
      <c r="A965" s="564" t="str">
        <f ca="1">INDIRECT("'update Helper'!C"&amp;U965)</f>
        <v>a163p000004VjnTAAS</v>
      </c>
      <c r="B965" s="794">
        <v>9</v>
      </c>
      <c r="C965" s="795" t="str">
        <f ca="1">VLOOKUP(B965,'Coverage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65" s="796" t="str">
        <f ca="1">R965</f>
        <v/>
      </c>
      <c r="E965" s="796" t="str">
        <f ca="1">S965</f>
        <v/>
      </c>
      <c r="F965" s="127"/>
      <c r="G965" s="797" t="str">
        <f ca="1">IF(OR(INDIRECT("'update Helper'!E"&amp;U965)="",F965&lt;&gt;0,F966&lt;&gt;0),IF(IFERROR((F965/F966),"")="","",(F965/F966)),INDIRECT("'update Helper'!E"&amp;U965)/100)</f>
        <v/>
      </c>
      <c r="H965" s="784"/>
      <c r="I965" s="798"/>
      <c r="J965" s="777"/>
      <c r="K965" s="795" t="str">
        <f ca="1">W965</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65" s="795" t="str">
        <f ca="1">V965</f>
        <v/>
      </c>
      <c r="M965" s="777"/>
      <c r="N965" s="777"/>
      <c r="P965" s="89">
        <f ca="1">IF(AND(EXACT(C965,C963),C963&lt;&gt;0),P963+1,0)</f>
        <v>12</v>
      </c>
      <c r="Q965" s="89" t="str">
        <f ca="1">IF(C965&lt;&gt;"",C965&amp;"-"&amp;P965,"")</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recaídas.-12</v>
      </c>
      <c r="R965" s="89" t="str">
        <f t="array" aca="1" ref="R965" ca="1">IFERROR(IF(INDEX('Disaggregation Records'!$E$155:$E$385,MATCH(RIGHT(Q965,255),RIGHT('Disaggregation Records'!$D$155:$D$385,255),0))="","",INDEX('Disaggregation Records'!$E$155:$E$385,MATCH(RIGHT(Q965,255),RIGHT('Disaggregation Records'!$D$155:$D$385,255),0))),"")</f>
        <v/>
      </c>
      <c r="S965" s="89" t="str">
        <f t="array" aca="1" ref="S965" ca="1">IFERROR(IF(INDEX('Disaggregation Records'!$F$155:$F$385,MATCH(RIGHT(Q965,255),RIGHT('Disaggregation Records'!$D$155:$D$385,255),0))="","",INDEX('Disaggregation Records'!$F$155:$F$385,MATCH(RIGHT(Q965,255),RIGHT('Disaggregation Records'!$D$155:$D$385,255),0))),"")</f>
        <v/>
      </c>
      <c r="T965" s="89" t="str">
        <f t="array" aca="1" ref="T965" ca="1">IFERROR(IF(INDEX('Disaggregation Records'!$H$155:$H$385,MATCH(RIGHT(Q965,255),RIGHT('Disaggregation Records'!$D$155:$D$385,255),0))="","",INDEX('Disaggregation Records'!$H$155:$H$385,MATCH(RIGHT(Q965,255),RIGHT('Disaggregation Records'!$D$155:$D$385,255),0))),"")</f>
        <v/>
      </c>
      <c r="U965" s="89">
        <f>U963+1</f>
        <v>1592</v>
      </c>
      <c r="V965" s="89" t="str">
        <f t="array" aca="1" ref="V965" ca="1">IFERROR(IF(INDEX('Disaggregation Records'!$I$155:$I$385,MATCH(RIGHT(Q965,255),RIGHT('Disaggregation Records'!$D$155:$D$385,255),0))="","",INDEX('Disaggregation Records'!$I$155:$I$385,MATCH(RIGHT(Q965,255),RIGHT('Disaggregation Records'!$D$155:$D$385,255),0))),"")</f>
        <v/>
      </c>
      <c r="W965" s="89" t="str">
        <f ca="1">IFERROR(INDEX('Reference Records'!L$77:L$157,MATCH(LEFT(C965,255),'Reference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66" spans="1:23" s="89" customFormat="1" ht="40.35" customHeight="1">
      <c r="A966" s="564"/>
      <c r="B966" s="799"/>
      <c r="C966" s="800"/>
      <c r="D966" s="801"/>
      <c r="E966" s="801"/>
      <c r="F966" s="128"/>
      <c r="G966" s="802"/>
      <c r="H966" s="781"/>
      <c r="I966" s="803"/>
      <c r="J966" s="779"/>
      <c r="K966" s="800"/>
      <c r="L966" s="800"/>
      <c r="M966" s="779"/>
      <c r="N966" s="779"/>
    </row>
    <row r="967" spans="1:23" s="89" customFormat="1" ht="40.35" customHeight="1">
      <c r="A967" s="564" t="str">
        <f ca="1">INDIRECT("'update Helper'!C"&amp;U967)</f>
        <v>a163p000004VjnUAAS</v>
      </c>
      <c r="B967" s="794">
        <v>9</v>
      </c>
      <c r="C967" s="795" t="str">
        <f ca="1">VLOOKUP(B967,'Coverage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67" s="796" t="str">
        <f ca="1">R967</f>
        <v/>
      </c>
      <c r="E967" s="796" t="str">
        <f ca="1">S967</f>
        <v/>
      </c>
      <c r="F967" s="127"/>
      <c r="G967" s="797" t="str">
        <f ca="1">IF(OR(INDIRECT("'update Helper'!E"&amp;U967)="",F967&lt;&gt;0,F968&lt;&gt;0),IF(IFERROR((F967/F968),"")="","",(F967/F968)),INDIRECT("'update Helper'!E"&amp;U967)/100)</f>
        <v/>
      </c>
      <c r="H967" s="784"/>
      <c r="I967" s="798"/>
      <c r="J967" s="777"/>
      <c r="K967" s="795" t="str">
        <f ca="1">W967</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67" s="795" t="str">
        <f ca="1">V967</f>
        <v/>
      </c>
      <c r="M967" s="777"/>
      <c r="N967" s="777"/>
      <c r="P967" s="89">
        <f ca="1">IF(AND(EXACT(C967,C965),C965&lt;&gt;0),P965+1,0)</f>
        <v>13</v>
      </c>
      <c r="Q967" s="89" t="str">
        <f ca="1">IF(C967&lt;&gt;"",C967&amp;"-"&amp;P967,"")</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recaídas.-13</v>
      </c>
      <c r="R967" s="89" t="str">
        <f t="array" aca="1" ref="R967" ca="1">IFERROR(IF(INDEX('Disaggregation Records'!$E$155:$E$385,MATCH(RIGHT(Q967,255),RIGHT('Disaggregation Records'!$D$155:$D$385,255),0))="","",INDEX('Disaggregation Records'!$E$155:$E$385,MATCH(RIGHT(Q967,255),RIGHT('Disaggregation Records'!$D$155:$D$385,255),0))),"")</f>
        <v/>
      </c>
      <c r="S967" s="89" t="str">
        <f t="array" aca="1" ref="S967" ca="1">IFERROR(IF(INDEX('Disaggregation Records'!$F$155:$F$385,MATCH(RIGHT(Q967,255),RIGHT('Disaggregation Records'!$D$155:$D$385,255),0))="","",INDEX('Disaggregation Records'!$F$155:$F$385,MATCH(RIGHT(Q967,255),RIGHT('Disaggregation Records'!$D$155:$D$385,255),0))),"")</f>
        <v/>
      </c>
      <c r="T967" s="89" t="str">
        <f t="array" aca="1" ref="T967" ca="1">IFERROR(IF(INDEX('Disaggregation Records'!$H$155:$H$385,MATCH(RIGHT(Q967,255),RIGHT('Disaggregation Records'!$D$155:$D$385,255),0))="","",INDEX('Disaggregation Records'!$H$155:$H$385,MATCH(RIGHT(Q967,255),RIGHT('Disaggregation Records'!$D$155:$D$385,255),0))),"")</f>
        <v/>
      </c>
      <c r="U967" s="89">
        <f>U965+1</f>
        <v>1593</v>
      </c>
      <c r="V967" s="89" t="str">
        <f t="array" aca="1" ref="V967" ca="1">IFERROR(IF(INDEX('Disaggregation Records'!$I$155:$I$385,MATCH(RIGHT(Q967,255),RIGHT('Disaggregation Records'!$D$155:$D$385,255),0))="","",INDEX('Disaggregation Records'!$I$155:$I$385,MATCH(RIGHT(Q967,255),RIGHT('Disaggregation Records'!$D$155:$D$385,255),0))),"")</f>
        <v/>
      </c>
      <c r="W967" s="89" t="str">
        <f ca="1">IFERROR(INDEX('Reference Records'!L$77:L$157,MATCH(LEFT(C967,255),'Reference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68" spans="1:23" s="89" customFormat="1" ht="40.35" customHeight="1">
      <c r="A968" s="564"/>
      <c r="B968" s="799"/>
      <c r="C968" s="800"/>
      <c r="D968" s="801"/>
      <c r="E968" s="801"/>
      <c r="F968" s="128"/>
      <c r="G968" s="802"/>
      <c r="H968" s="781"/>
      <c r="I968" s="803"/>
      <c r="J968" s="779"/>
      <c r="K968" s="800"/>
      <c r="L968" s="800"/>
      <c r="M968" s="779"/>
      <c r="N968" s="779"/>
    </row>
    <row r="969" spans="1:23" s="89" customFormat="1" ht="40.35" customHeight="1">
      <c r="A969" s="564" t="str">
        <f ca="1">INDIRECT("'update Helper'!C"&amp;U969)</f>
        <v>a163p000004VjnVAAS</v>
      </c>
      <c r="B969" s="794">
        <v>9</v>
      </c>
      <c r="C969" s="795" t="str">
        <f ca="1">VLOOKUP(B969,'Coverage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69" s="796" t="str">
        <f ca="1">R969</f>
        <v/>
      </c>
      <c r="E969" s="796" t="str">
        <f ca="1">S969</f>
        <v/>
      </c>
      <c r="F969" s="127"/>
      <c r="G969" s="797" t="str">
        <f ca="1">IF(OR(INDIRECT("'update Helper'!E"&amp;U969)="",F969&lt;&gt;0,F970&lt;&gt;0),IF(IFERROR((F969/F970),"")="","",(F969/F970)),INDIRECT("'update Helper'!E"&amp;U969)/100)</f>
        <v/>
      </c>
      <c r="H969" s="784"/>
      <c r="I969" s="798"/>
      <c r="J969" s="777"/>
      <c r="K969" s="795" t="str">
        <f ca="1">W969</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69" s="795" t="str">
        <f ca="1">V969</f>
        <v/>
      </c>
      <c r="M969" s="777"/>
      <c r="N969" s="777"/>
      <c r="P969" s="89">
        <f ca="1">IF(AND(EXACT(C969,C967),C967&lt;&gt;0),P967+1,0)</f>
        <v>14</v>
      </c>
      <c r="Q969" s="89" t="str">
        <f ca="1">IF(C969&lt;&gt;"",C969&amp;"-"&amp;P969,"")</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recaídas.-14</v>
      </c>
      <c r="R969" s="89" t="str">
        <f t="array" aca="1" ref="R969" ca="1">IFERROR(IF(INDEX('Disaggregation Records'!$E$155:$E$385,MATCH(RIGHT(Q969,255),RIGHT('Disaggregation Records'!$D$155:$D$385,255),0))="","",INDEX('Disaggregation Records'!$E$155:$E$385,MATCH(RIGHT(Q969,255),RIGHT('Disaggregation Records'!$D$155:$D$385,255),0))),"")</f>
        <v/>
      </c>
      <c r="S969" s="89" t="str">
        <f t="array" aca="1" ref="S969" ca="1">IFERROR(IF(INDEX('Disaggregation Records'!$F$155:$F$385,MATCH(RIGHT(Q969,255),RIGHT('Disaggregation Records'!$D$155:$D$385,255),0))="","",INDEX('Disaggregation Records'!$F$155:$F$385,MATCH(RIGHT(Q969,255),RIGHT('Disaggregation Records'!$D$155:$D$385,255),0))),"")</f>
        <v/>
      </c>
      <c r="T969" s="89" t="str">
        <f t="array" aca="1" ref="T969" ca="1">IFERROR(IF(INDEX('Disaggregation Records'!$H$155:$H$385,MATCH(RIGHT(Q969,255),RIGHT('Disaggregation Records'!$D$155:$D$385,255),0))="","",INDEX('Disaggregation Records'!$H$155:$H$385,MATCH(RIGHT(Q969,255),RIGHT('Disaggregation Records'!$D$155:$D$385,255),0))),"")</f>
        <v/>
      </c>
      <c r="U969" s="89">
        <f>U967+1</f>
        <v>1594</v>
      </c>
      <c r="V969" s="89" t="str">
        <f t="array" aca="1" ref="V969" ca="1">IFERROR(IF(INDEX('Disaggregation Records'!$I$155:$I$385,MATCH(RIGHT(Q969,255),RIGHT('Disaggregation Records'!$D$155:$D$385,255),0))="","",INDEX('Disaggregation Records'!$I$155:$I$385,MATCH(RIGHT(Q969,255),RIGHT('Disaggregation Records'!$D$155:$D$385,255),0))),"")</f>
        <v/>
      </c>
      <c r="W969" s="89" t="str">
        <f ca="1">IFERROR(INDEX('Reference Records'!L$77:L$157,MATCH(LEFT(C969,255),'Reference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70" spans="1:23" s="89" customFormat="1" ht="40.35" customHeight="1">
      <c r="A970" s="564"/>
      <c r="B970" s="799"/>
      <c r="C970" s="800"/>
      <c r="D970" s="801"/>
      <c r="E970" s="801"/>
      <c r="F970" s="128"/>
      <c r="G970" s="802"/>
      <c r="H970" s="781"/>
      <c r="I970" s="803"/>
      <c r="J970" s="779"/>
      <c r="K970" s="800"/>
      <c r="L970" s="800"/>
      <c r="M970" s="779"/>
      <c r="N970" s="779"/>
    </row>
    <row r="971" spans="1:23" s="89" customFormat="1" ht="40.35" customHeight="1">
      <c r="A971" s="564" t="str">
        <f ca="1">INDIRECT("'update Helper'!C"&amp;U971)</f>
        <v>a163p000004VjnWAAS</v>
      </c>
      <c r="B971" s="794">
        <v>9</v>
      </c>
      <c r="C971" s="795" t="str">
        <f ca="1">VLOOKUP(B971,'Coverage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71" s="796" t="str">
        <f ca="1">R971</f>
        <v/>
      </c>
      <c r="E971" s="796" t="str">
        <f ca="1">S971</f>
        <v/>
      </c>
      <c r="F971" s="127"/>
      <c r="G971" s="797" t="str">
        <f ca="1">IF(OR(INDIRECT("'update Helper'!E"&amp;U971)="",F971&lt;&gt;0,F972&lt;&gt;0),IF(IFERROR((F971/F972),"")="","",(F971/F972)),INDIRECT("'update Helper'!E"&amp;U971)/100)</f>
        <v/>
      </c>
      <c r="H971" s="784"/>
      <c r="I971" s="798"/>
      <c r="J971" s="777"/>
      <c r="K971" s="795" t="str">
        <f ca="1">W971</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71" s="795" t="str">
        <f ca="1">V971</f>
        <v/>
      </c>
      <c r="M971" s="777"/>
      <c r="N971" s="777"/>
      <c r="P971" s="89">
        <f ca="1">IF(AND(EXACT(C971,C969),C969&lt;&gt;0),P969+1,0)</f>
        <v>15</v>
      </c>
      <c r="Q971" s="89" t="str">
        <f ca="1">IF(C971&lt;&gt;"",C971&amp;"-"&amp;P971,"")</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recaídas.-15</v>
      </c>
      <c r="R971" s="89" t="str">
        <f t="array" aca="1" ref="R971" ca="1">IFERROR(IF(INDEX('Disaggregation Records'!$E$155:$E$385,MATCH(RIGHT(Q971,255),RIGHT('Disaggregation Records'!$D$155:$D$385,255),0))="","",INDEX('Disaggregation Records'!$E$155:$E$385,MATCH(RIGHT(Q971,255),RIGHT('Disaggregation Records'!$D$155:$D$385,255),0))),"")</f>
        <v/>
      </c>
      <c r="S971" s="89" t="str">
        <f t="array" aca="1" ref="S971" ca="1">IFERROR(IF(INDEX('Disaggregation Records'!$F$155:$F$385,MATCH(RIGHT(Q971,255),RIGHT('Disaggregation Records'!$D$155:$D$385,255),0))="","",INDEX('Disaggregation Records'!$F$155:$F$385,MATCH(RIGHT(Q971,255),RIGHT('Disaggregation Records'!$D$155:$D$385,255),0))),"")</f>
        <v/>
      </c>
      <c r="T971" s="89" t="str">
        <f t="array" aca="1" ref="T971" ca="1">IFERROR(IF(INDEX('Disaggregation Records'!$H$155:$H$385,MATCH(RIGHT(Q971,255),RIGHT('Disaggregation Records'!$D$155:$D$385,255),0))="","",INDEX('Disaggregation Records'!$H$155:$H$385,MATCH(RIGHT(Q971,255),RIGHT('Disaggregation Records'!$D$155:$D$385,255),0))),"")</f>
        <v/>
      </c>
      <c r="U971" s="89">
        <f>U969+1</f>
        <v>1595</v>
      </c>
      <c r="V971" s="89" t="str">
        <f t="array" aca="1" ref="V971" ca="1">IFERROR(IF(INDEX('Disaggregation Records'!$I$155:$I$385,MATCH(RIGHT(Q971,255),RIGHT('Disaggregation Records'!$D$155:$D$385,255),0))="","",INDEX('Disaggregation Records'!$I$155:$I$385,MATCH(RIGHT(Q971,255),RIGHT('Disaggregation Records'!$D$155:$D$385,255),0))),"")</f>
        <v/>
      </c>
      <c r="W971" s="89" t="str">
        <f ca="1">IFERROR(INDEX('Reference Records'!L$77:L$157,MATCH(LEFT(C971,255),'Reference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72" spans="1:23" s="89" customFormat="1" ht="40.35" customHeight="1">
      <c r="A972" s="564"/>
      <c r="B972" s="799"/>
      <c r="C972" s="800"/>
      <c r="D972" s="801"/>
      <c r="E972" s="801"/>
      <c r="F972" s="128"/>
      <c r="G972" s="802"/>
      <c r="H972" s="781"/>
      <c r="I972" s="803"/>
      <c r="J972" s="779"/>
      <c r="K972" s="800"/>
      <c r="L972" s="800"/>
      <c r="M972" s="779"/>
      <c r="N972" s="779"/>
    </row>
    <row r="973" spans="1:23" s="89" customFormat="1" ht="40.35" customHeight="1">
      <c r="A973" s="564" t="str">
        <f ca="1">INDIRECT("'update Helper'!C"&amp;U973)</f>
        <v>a163p000004VjnXAAS</v>
      </c>
      <c r="B973" s="794">
        <v>9</v>
      </c>
      <c r="C973" s="795" t="str">
        <f ca="1">VLOOKUP(B973,'Coverage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73" s="796" t="str">
        <f ca="1">R973</f>
        <v/>
      </c>
      <c r="E973" s="796" t="str">
        <f ca="1">S973</f>
        <v/>
      </c>
      <c r="F973" s="127"/>
      <c r="G973" s="797" t="str">
        <f ca="1">IF(OR(INDIRECT("'update Helper'!E"&amp;U973)="",F973&lt;&gt;0,F974&lt;&gt;0),IF(IFERROR((F973/F974),"")="","",(F973/F974)),INDIRECT("'update Helper'!E"&amp;U973)/100)</f>
        <v/>
      </c>
      <c r="H973" s="784"/>
      <c r="I973" s="798"/>
      <c r="J973" s="777"/>
      <c r="K973" s="795" t="str">
        <f ca="1">W973</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73" s="795" t="str">
        <f ca="1">V973</f>
        <v/>
      </c>
      <c r="M973" s="777"/>
      <c r="N973" s="777"/>
      <c r="P973" s="89">
        <f ca="1">IF(AND(EXACT(C973,C971),C971&lt;&gt;0),P971+1,0)</f>
        <v>16</v>
      </c>
      <c r="Q973" s="89" t="str">
        <f ca="1">IF(C973&lt;&gt;"",C973&amp;"-"&amp;P973,"")</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recaídas.-16</v>
      </c>
      <c r="R973" s="89" t="str">
        <f t="array" aca="1" ref="R973" ca="1">IFERROR(IF(INDEX('Disaggregation Records'!$E$155:$E$385,MATCH(RIGHT(Q973,255),RIGHT('Disaggregation Records'!$D$155:$D$385,255),0))="","",INDEX('Disaggregation Records'!$E$155:$E$385,MATCH(RIGHT(Q973,255),RIGHT('Disaggregation Records'!$D$155:$D$385,255),0))),"")</f>
        <v/>
      </c>
      <c r="S973" s="89" t="str">
        <f t="array" aca="1" ref="S973" ca="1">IFERROR(IF(INDEX('Disaggregation Records'!$F$155:$F$385,MATCH(RIGHT(Q973,255),RIGHT('Disaggregation Records'!$D$155:$D$385,255),0))="","",INDEX('Disaggregation Records'!$F$155:$F$385,MATCH(RIGHT(Q973,255),RIGHT('Disaggregation Records'!$D$155:$D$385,255),0))),"")</f>
        <v/>
      </c>
      <c r="T973" s="89" t="str">
        <f t="array" aca="1" ref="T973" ca="1">IFERROR(IF(INDEX('Disaggregation Records'!$H$155:$H$385,MATCH(RIGHT(Q973,255),RIGHT('Disaggregation Records'!$D$155:$D$385,255),0))="","",INDEX('Disaggregation Records'!$H$155:$H$385,MATCH(RIGHT(Q973,255),RIGHT('Disaggregation Records'!$D$155:$D$385,255),0))),"")</f>
        <v/>
      </c>
      <c r="U973" s="89">
        <f>U971+1</f>
        <v>1596</v>
      </c>
      <c r="V973" s="89" t="str">
        <f t="array" aca="1" ref="V973" ca="1">IFERROR(IF(INDEX('Disaggregation Records'!$I$155:$I$385,MATCH(RIGHT(Q973,255),RIGHT('Disaggregation Records'!$D$155:$D$385,255),0))="","",INDEX('Disaggregation Records'!$I$155:$I$385,MATCH(RIGHT(Q973,255),RIGHT('Disaggregation Records'!$D$155:$D$385,255),0))),"")</f>
        <v/>
      </c>
      <c r="W973" s="89" t="str">
        <f ca="1">IFERROR(INDEX('Reference Records'!L$77:L$157,MATCH(LEFT(C973,255),'Reference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74" spans="1:23" s="89" customFormat="1" ht="40.35" customHeight="1">
      <c r="A974" s="564"/>
      <c r="B974" s="799"/>
      <c r="C974" s="800"/>
      <c r="D974" s="801"/>
      <c r="E974" s="801"/>
      <c r="F974" s="128"/>
      <c r="G974" s="802"/>
      <c r="H974" s="781"/>
      <c r="I974" s="803"/>
      <c r="J974" s="779"/>
      <c r="K974" s="800"/>
      <c r="L974" s="800"/>
      <c r="M974" s="779"/>
      <c r="N974" s="779"/>
    </row>
    <row r="975" spans="1:23" s="89" customFormat="1" ht="40.35" customHeight="1">
      <c r="A975" s="564" t="str">
        <f ca="1">INDIRECT("'update Helper'!C"&amp;U975)</f>
        <v>a163p000004VjnYAAS</v>
      </c>
      <c r="B975" s="794">
        <v>9</v>
      </c>
      <c r="C975" s="795" t="str">
        <f ca="1">VLOOKUP(B975,'Coverage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75" s="796" t="str">
        <f ca="1">R975</f>
        <v/>
      </c>
      <c r="E975" s="796" t="str">
        <f ca="1">S975</f>
        <v/>
      </c>
      <c r="F975" s="127"/>
      <c r="G975" s="797" t="str">
        <f ca="1">IF(OR(INDIRECT("'update Helper'!E"&amp;U975)="",F975&lt;&gt;0,F976&lt;&gt;0),IF(IFERROR((F975/F976),"")="","",(F975/F976)),INDIRECT("'update Helper'!E"&amp;U975)/100)</f>
        <v/>
      </c>
      <c r="H975" s="784"/>
      <c r="I975" s="798"/>
      <c r="J975" s="777"/>
      <c r="K975" s="795" t="str">
        <f ca="1">W975</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75" s="795" t="str">
        <f ca="1">V975</f>
        <v/>
      </c>
      <c r="M975" s="777"/>
      <c r="N975" s="777"/>
      <c r="P975" s="89">
        <f ca="1">IF(AND(EXACT(C975,C973),C973&lt;&gt;0),P973+1,0)</f>
        <v>17</v>
      </c>
      <c r="Q975" s="89" t="str">
        <f ca="1">IF(C975&lt;&gt;"",C975&amp;"-"&amp;P975,"")</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recaídas.-17</v>
      </c>
      <c r="R975" s="89" t="str">
        <f t="array" aca="1" ref="R975" ca="1">IFERROR(IF(INDEX('Disaggregation Records'!$E$155:$E$385,MATCH(RIGHT(Q975,255),RIGHT('Disaggregation Records'!$D$155:$D$385,255),0))="","",INDEX('Disaggregation Records'!$E$155:$E$385,MATCH(RIGHT(Q975,255),RIGHT('Disaggregation Records'!$D$155:$D$385,255),0))),"")</f>
        <v/>
      </c>
      <c r="S975" s="89" t="str">
        <f t="array" aca="1" ref="S975" ca="1">IFERROR(IF(INDEX('Disaggregation Records'!$F$155:$F$385,MATCH(RIGHT(Q975,255),RIGHT('Disaggregation Records'!$D$155:$D$385,255),0))="","",INDEX('Disaggregation Records'!$F$155:$F$385,MATCH(RIGHT(Q975,255),RIGHT('Disaggregation Records'!$D$155:$D$385,255),0))),"")</f>
        <v/>
      </c>
      <c r="T975" s="89" t="str">
        <f t="array" aca="1" ref="T975" ca="1">IFERROR(IF(INDEX('Disaggregation Records'!$H$155:$H$385,MATCH(RIGHT(Q975,255),RIGHT('Disaggregation Records'!$D$155:$D$385,255),0))="","",INDEX('Disaggregation Records'!$H$155:$H$385,MATCH(RIGHT(Q975,255),RIGHT('Disaggregation Records'!$D$155:$D$385,255),0))),"")</f>
        <v/>
      </c>
      <c r="U975" s="89">
        <f>U973+1</f>
        <v>1597</v>
      </c>
      <c r="V975" s="89" t="str">
        <f t="array" aca="1" ref="V975" ca="1">IFERROR(IF(INDEX('Disaggregation Records'!$I$155:$I$385,MATCH(RIGHT(Q975,255),RIGHT('Disaggregation Records'!$D$155:$D$385,255),0))="","",INDEX('Disaggregation Records'!$I$155:$I$385,MATCH(RIGHT(Q975,255),RIGHT('Disaggregation Records'!$D$155:$D$385,255),0))),"")</f>
        <v/>
      </c>
      <c r="W975" s="89" t="str">
        <f ca="1">IFERROR(INDEX('Reference Records'!L$77:L$157,MATCH(LEFT(C975,255),'Reference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76" spans="1:23" s="89" customFormat="1" ht="40.35" customHeight="1">
      <c r="A976" s="564"/>
      <c r="B976" s="799"/>
      <c r="C976" s="800"/>
      <c r="D976" s="801"/>
      <c r="E976" s="801"/>
      <c r="F976" s="128"/>
      <c r="G976" s="802"/>
      <c r="H976" s="781"/>
      <c r="I976" s="803"/>
      <c r="J976" s="779"/>
      <c r="K976" s="800"/>
      <c r="L976" s="800"/>
      <c r="M976" s="779"/>
      <c r="N976" s="779"/>
    </row>
    <row r="977" spans="1:23" s="89" customFormat="1" ht="40.35" customHeight="1">
      <c r="A977" s="564" t="str">
        <f ca="1">INDIRECT("'update Helper'!C"&amp;U977)</f>
        <v>a163p000004VjnZAAS</v>
      </c>
      <c r="B977" s="794">
        <v>9</v>
      </c>
      <c r="C977" s="795" t="str">
        <f ca="1">VLOOKUP(B977,'Coverage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77" s="796" t="str">
        <f ca="1">R977</f>
        <v/>
      </c>
      <c r="E977" s="796" t="str">
        <f ca="1">S977</f>
        <v/>
      </c>
      <c r="F977" s="127"/>
      <c r="G977" s="797" t="str">
        <f ca="1">IF(OR(INDIRECT("'update Helper'!E"&amp;U977)="",F977&lt;&gt;0,F978&lt;&gt;0),IF(IFERROR((F977/F978),"")="","",(F977/F978)),INDIRECT("'update Helper'!E"&amp;U977)/100)</f>
        <v/>
      </c>
      <c r="H977" s="784"/>
      <c r="I977" s="798"/>
      <c r="J977" s="777"/>
      <c r="K977" s="795" t="str">
        <f ca="1">W977</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77" s="795" t="str">
        <f ca="1">V977</f>
        <v/>
      </c>
      <c r="M977" s="777"/>
      <c r="N977" s="777"/>
      <c r="P977" s="89">
        <f ca="1">IF(AND(EXACT(C977,C975),C975&lt;&gt;0),P975+1,0)</f>
        <v>18</v>
      </c>
      <c r="Q977" s="89" t="str">
        <f ca="1">IF(C977&lt;&gt;"",C977&amp;"-"&amp;P977,"")</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recaídas.-18</v>
      </c>
      <c r="R977" s="89" t="str">
        <f t="array" aca="1" ref="R977" ca="1">IFERROR(IF(INDEX('Disaggregation Records'!$E$155:$E$385,MATCH(RIGHT(Q977,255),RIGHT('Disaggregation Records'!$D$155:$D$385,255),0))="","",INDEX('Disaggregation Records'!$E$155:$E$385,MATCH(RIGHT(Q977,255),RIGHT('Disaggregation Records'!$D$155:$D$385,255),0))),"")</f>
        <v/>
      </c>
      <c r="S977" s="89" t="str">
        <f t="array" aca="1" ref="S977" ca="1">IFERROR(IF(INDEX('Disaggregation Records'!$F$155:$F$385,MATCH(RIGHT(Q977,255),RIGHT('Disaggregation Records'!$D$155:$D$385,255),0))="","",INDEX('Disaggregation Records'!$F$155:$F$385,MATCH(RIGHT(Q977,255),RIGHT('Disaggregation Records'!$D$155:$D$385,255),0))),"")</f>
        <v/>
      </c>
      <c r="T977" s="89" t="str">
        <f t="array" aca="1" ref="T977" ca="1">IFERROR(IF(INDEX('Disaggregation Records'!$H$155:$H$385,MATCH(RIGHT(Q977,255),RIGHT('Disaggregation Records'!$D$155:$D$385,255),0))="","",INDEX('Disaggregation Records'!$H$155:$H$385,MATCH(RIGHT(Q977,255),RIGHT('Disaggregation Records'!$D$155:$D$385,255),0))),"")</f>
        <v/>
      </c>
      <c r="U977" s="89">
        <f>U975+1</f>
        <v>1598</v>
      </c>
      <c r="V977" s="89" t="str">
        <f t="array" aca="1" ref="V977" ca="1">IFERROR(IF(INDEX('Disaggregation Records'!$I$155:$I$385,MATCH(RIGHT(Q977,255),RIGHT('Disaggregation Records'!$D$155:$D$385,255),0))="","",INDEX('Disaggregation Records'!$I$155:$I$385,MATCH(RIGHT(Q977,255),RIGHT('Disaggregation Records'!$D$155:$D$385,255),0))),"")</f>
        <v/>
      </c>
      <c r="W977" s="89" t="str">
        <f ca="1">IFERROR(INDEX('Reference Records'!L$77:L$157,MATCH(LEFT(C977,255),'Reference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78" spans="1:23" s="89" customFormat="1" ht="40.35" customHeight="1">
      <c r="A978" s="564"/>
      <c r="B978" s="799"/>
      <c r="C978" s="800"/>
      <c r="D978" s="801"/>
      <c r="E978" s="801"/>
      <c r="F978" s="128"/>
      <c r="G978" s="802"/>
      <c r="H978" s="781"/>
      <c r="I978" s="803"/>
      <c r="J978" s="779"/>
      <c r="K978" s="800"/>
      <c r="L978" s="800"/>
      <c r="M978" s="779"/>
      <c r="N978" s="779"/>
    </row>
    <row r="979" spans="1:23" s="89" customFormat="1" ht="40.35" customHeight="1">
      <c r="A979" s="564" t="str">
        <f ca="1">INDIRECT("'update Helper'!C"&amp;U979)</f>
        <v>a163p000004VjnaAAC</v>
      </c>
      <c r="B979" s="794">
        <v>9</v>
      </c>
      <c r="C979" s="795" t="str">
        <f ca="1">VLOOKUP(B979,'Coverage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79" s="796" t="str">
        <f ca="1">R979</f>
        <v/>
      </c>
      <c r="E979" s="796" t="str">
        <f ca="1">S979</f>
        <v/>
      </c>
      <c r="F979" s="127"/>
      <c r="G979" s="797" t="str">
        <f ca="1">IF(OR(INDIRECT("'update Helper'!E"&amp;U979)="",F979&lt;&gt;0,F980&lt;&gt;0),IF(IFERROR((F979/F980),"")="","",(F979/F980)),INDIRECT("'update Helper'!E"&amp;U979)/100)</f>
        <v/>
      </c>
      <c r="H979" s="784"/>
      <c r="I979" s="798"/>
      <c r="J979" s="777"/>
      <c r="K979" s="795" t="str">
        <f ca="1">W979</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79" s="795" t="str">
        <f ca="1">V979</f>
        <v/>
      </c>
      <c r="M979" s="777"/>
      <c r="N979" s="777"/>
      <c r="P979" s="89">
        <f ca="1">IF(AND(EXACT(C979,C977),C977&lt;&gt;0),P977+1,0)</f>
        <v>19</v>
      </c>
      <c r="Q979" s="89" t="str">
        <f ca="1">IF(C979&lt;&gt;"",C979&amp;"-"&amp;P979,"")</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recaídas.-19</v>
      </c>
      <c r="R979" s="89" t="str">
        <f t="array" aca="1" ref="R979" ca="1">IFERROR(IF(INDEX('Disaggregation Records'!$E$155:$E$385,MATCH(RIGHT(Q979,255),RIGHT('Disaggregation Records'!$D$155:$D$385,255),0))="","",INDEX('Disaggregation Records'!$E$155:$E$385,MATCH(RIGHT(Q979,255),RIGHT('Disaggregation Records'!$D$155:$D$385,255),0))),"")</f>
        <v/>
      </c>
      <c r="S979" s="89" t="str">
        <f t="array" aca="1" ref="S979" ca="1">IFERROR(IF(INDEX('Disaggregation Records'!$F$155:$F$385,MATCH(RIGHT(Q979,255),RIGHT('Disaggregation Records'!$D$155:$D$385,255),0))="","",INDEX('Disaggregation Records'!$F$155:$F$385,MATCH(RIGHT(Q979,255),RIGHT('Disaggregation Records'!$D$155:$D$385,255),0))),"")</f>
        <v/>
      </c>
      <c r="T979" s="89" t="str">
        <f t="array" aca="1" ref="T979" ca="1">IFERROR(IF(INDEX('Disaggregation Records'!$H$155:$H$385,MATCH(RIGHT(Q979,255),RIGHT('Disaggregation Records'!$D$155:$D$385,255),0))="","",INDEX('Disaggregation Records'!$H$155:$H$385,MATCH(RIGHT(Q979,255),RIGHT('Disaggregation Records'!$D$155:$D$385,255),0))),"")</f>
        <v/>
      </c>
      <c r="U979" s="89">
        <f>U977+1</f>
        <v>1599</v>
      </c>
      <c r="V979" s="89" t="str">
        <f t="array" aca="1" ref="V979" ca="1">IFERROR(IF(INDEX('Disaggregation Records'!$I$155:$I$385,MATCH(RIGHT(Q979,255),RIGHT('Disaggregation Records'!$D$155:$D$385,255),0))="","",INDEX('Disaggregation Records'!$I$155:$I$385,MATCH(RIGHT(Q979,255),RIGHT('Disaggregation Records'!$D$155:$D$385,255),0))),"")</f>
        <v/>
      </c>
      <c r="W979" s="89" t="str">
        <f ca="1">IFERROR(INDEX('Reference Records'!L$77:L$157,MATCH(LEFT(C979,255),'Reference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80" spans="1:23" s="89" customFormat="1" ht="40.35" customHeight="1">
      <c r="A980" s="564"/>
      <c r="B980" s="799"/>
      <c r="C980" s="800"/>
      <c r="D980" s="801"/>
      <c r="E980" s="801"/>
      <c r="F980" s="128"/>
      <c r="G980" s="802"/>
      <c r="H980" s="781"/>
      <c r="I980" s="803"/>
      <c r="J980" s="779"/>
      <c r="K980" s="800"/>
      <c r="L980" s="800"/>
      <c r="M980" s="779"/>
      <c r="N980" s="779"/>
    </row>
    <row r="981" spans="1:23" s="89" customFormat="1" ht="40.35" customHeight="1">
      <c r="A981" s="564" t="str">
        <f ca="1">INDIRECT("'update Helper'!C"&amp;U981)</f>
        <v>a163p000004VjnbAAC</v>
      </c>
      <c r="B981" s="794">
        <v>10</v>
      </c>
      <c r="C981" s="795" t="str">
        <f ca="1">VLOOKUP(B981,'Coverage Indicators - Section D'!$A$9:$AU$70,47,FALSE)</f>
        <v>TCP-8 Porcentaje de pacientes de tuberculosis notificados como casos nuevos y recaídas analizados con las pruebas rápidas recomendadas por la OMS en el momento del diagnóstico.</v>
      </c>
      <c r="D981" s="796" t="str">
        <f ca="1">R981</f>
        <v/>
      </c>
      <c r="E981" s="796" t="str">
        <f ca="1">S981</f>
        <v/>
      </c>
      <c r="F981" s="127"/>
      <c r="G981" s="797" t="str">
        <f ca="1">IF(OR(INDIRECT("'update Helper'!E"&amp;U981)="",F981&lt;&gt;0,F982&lt;&gt;0),IF(IFERROR((F981/F982),"")="","",(F981/F982)),INDIRECT("'update Helper'!E"&amp;U981)/100)</f>
        <v/>
      </c>
      <c r="H981" s="784"/>
      <c r="I981" s="798"/>
      <c r="J981" s="777"/>
      <c r="K981" s="795" t="str">
        <f ca="1">W981</f>
        <v>TCP-8 Percentage of new and relapse TB patients tested using WHO recommended rapid tests at the time of diagnosis</v>
      </c>
      <c r="L981" s="795" t="str">
        <f ca="1">V981</f>
        <v/>
      </c>
      <c r="M981" s="777"/>
      <c r="N981" s="777"/>
      <c r="P981" s="89">
        <f ca="1">IF(AND(EXACT(C981,C979),C979&lt;&gt;0),P979+1,0)</f>
        <v>0</v>
      </c>
      <c r="Q981" s="89" t="str">
        <f ca="1">IF(C981&lt;&gt;"",C981&amp;"-"&amp;P981,"")</f>
        <v>TCP-8 Porcentaje de pacientes de tuberculosis notificados como casos nuevos y recaídas analizados con las pruebas rápidas recomendadas por la OMS en el momento del diagnóstico.-0</v>
      </c>
      <c r="R981" s="89" t="str">
        <f t="array" aca="1" ref="R981" ca="1">IFERROR(IF(INDEX('Disaggregation Records'!$E$155:$E$385,MATCH(RIGHT(Q981,255),RIGHT('Disaggregation Records'!$D$155:$D$385,255),0))="","",INDEX('Disaggregation Records'!$E$155:$E$385,MATCH(RIGHT(Q981,255),RIGHT('Disaggregation Records'!$D$155:$D$385,255),0))),"")</f>
        <v/>
      </c>
      <c r="S981" s="89" t="str">
        <f t="array" aca="1" ref="S981" ca="1">IFERROR(IF(INDEX('Disaggregation Records'!$F$155:$F$385,MATCH(RIGHT(Q981,255),RIGHT('Disaggregation Records'!$D$155:$D$385,255),0))="","",INDEX('Disaggregation Records'!$F$155:$F$385,MATCH(RIGHT(Q981,255),RIGHT('Disaggregation Records'!$D$155:$D$385,255),0))),"")</f>
        <v/>
      </c>
      <c r="T981" s="89" t="str">
        <f t="array" aca="1" ref="T981" ca="1">IFERROR(IF(INDEX('Disaggregation Records'!$H$155:$H$385,MATCH(RIGHT(Q981,255),RIGHT('Disaggregation Records'!$D$155:$D$385,255),0))="","",INDEX('Disaggregation Records'!$H$155:$H$385,MATCH(RIGHT(Q981,255),RIGHT('Disaggregation Records'!$D$155:$D$385,255),0))),"")</f>
        <v/>
      </c>
      <c r="U981" s="89">
        <f>U979+1</f>
        <v>1600</v>
      </c>
      <c r="V981" s="89" t="str">
        <f t="array" aca="1" ref="V981" ca="1">IFERROR(IF(INDEX('Disaggregation Records'!$I$155:$I$385,MATCH(RIGHT(Q981,255),RIGHT('Disaggregation Records'!$D$155:$D$385,255),0))="","",INDEX('Disaggregation Records'!$I$155:$I$385,MATCH(RIGHT(Q981,255),RIGHT('Disaggregation Records'!$D$155:$D$385,255),0))),"")</f>
        <v/>
      </c>
      <c r="W981" s="89" t="str">
        <f ca="1">IFERROR(INDEX('Reference Records'!L$77:L$157,MATCH(LEFT(C981,255),'Reference Records'!E$77:E$157,0)),"")</f>
        <v>TCP-8 Percentage of new and relapse TB patients tested using WHO recommended rapid tests at the time of diagnosis</v>
      </c>
    </row>
    <row r="982" spans="1:23" s="89" customFormat="1" ht="40.35" customHeight="1">
      <c r="A982" s="564"/>
      <c r="B982" s="799"/>
      <c r="C982" s="800"/>
      <c r="D982" s="801"/>
      <c r="E982" s="801"/>
      <c r="F982" s="128"/>
      <c r="G982" s="802"/>
      <c r="H982" s="781"/>
      <c r="I982" s="803"/>
      <c r="J982" s="779"/>
      <c r="K982" s="800"/>
      <c r="L982" s="800"/>
      <c r="M982" s="779"/>
      <c r="N982" s="779"/>
    </row>
    <row r="983" spans="1:23" s="89" customFormat="1" ht="40.35" customHeight="1">
      <c r="A983" s="564" t="str">
        <f ca="1">INDIRECT("'update Helper'!C"&amp;U983)</f>
        <v>a163p000004VjncAAC</v>
      </c>
      <c r="B983" s="794">
        <v>10</v>
      </c>
      <c r="C983" s="795" t="str">
        <f ca="1">VLOOKUP(B983,'Coverage Indicators - Section D'!$A$9:$AU$70,47,FALSE)</f>
        <v>TCP-8 Porcentaje de pacientes de tuberculosis notificados como casos nuevos y recaídas analizados con las pruebas rápidas recomendadas por la OMS en el momento del diagnóstico.</v>
      </c>
      <c r="D983" s="796" t="str">
        <f ca="1">R983</f>
        <v/>
      </c>
      <c r="E983" s="796" t="str">
        <f ca="1">S983</f>
        <v/>
      </c>
      <c r="F983" s="127"/>
      <c r="G983" s="797" t="str">
        <f ca="1">IF(OR(INDIRECT("'update Helper'!E"&amp;U983)="",F983&lt;&gt;0,F984&lt;&gt;0),IF(IFERROR((F983/F984),"")="","",(F983/F984)),INDIRECT("'update Helper'!E"&amp;U983)/100)</f>
        <v/>
      </c>
      <c r="H983" s="784"/>
      <c r="I983" s="798"/>
      <c r="J983" s="777"/>
      <c r="K983" s="795" t="str">
        <f ca="1">W983</f>
        <v>TCP-8 Percentage of new and relapse TB patients tested using WHO recommended rapid tests at the time of diagnosis</v>
      </c>
      <c r="L983" s="795" t="str">
        <f ca="1">V983</f>
        <v/>
      </c>
      <c r="M983" s="777"/>
      <c r="N983" s="777"/>
      <c r="P983" s="89">
        <f ca="1">IF(AND(EXACT(C983,C981),C981&lt;&gt;0),P981+1,0)</f>
        <v>1</v>
      </c>
      <c r="Q983" s="89" t="str">
        <f ca="1">IF(C983&lt;&gt;"",C983&amp;"-"&amp;P983,"")</f>
        <v>TCP-8 Porcentaje de pacientes de tuberculosis notificados como casos nuevos y recaídas analizados con las pruebas rápidas recomendadas por la OMS en el momento del diagnóstico.-1</v>
      </c>
      <c r="R983" s="89" t="str">
        <f t="array" aca="1" ref="R983" ca="1">IFERROR(IF(INDEX('Disaggregation Records'!$E$155:$E$385,MATCH(RIGHT(Q983,255),RIGHT('Disaggregation Records'!$D$155:$D$385,255),0))="","",INDEX('Disaggregation Records'!$E$155:$E$385,MATCH(RIGHT(Q983,255),RIGHT('Disaggregation Records'!$D$155:$D$385,255),0))),"")</f>
        <v/>
      </c>
      <c r="S983" s="89" t="str">
        <f t="array" aca="1" ref="S983" ca="1">IFERROR(IF(INDEX('Disaggregation Records'!$F$155:$F$385,MATCH(RIGHT(Q983,255),RIGHT('Disaggregation Records'!$D$155:$D$385,255),0))="","",INDEX('Disaggregation Records'!$F$155:$F$385,MATCH(RIGHT(Q983,255),RIGHT('Disaggregation Records'!$D$155:$D$385,255),0))),"")</f>
        <v/>
      </c>
      <c r="T983" s="89" t="str">
        <f t="array" aca="1" ref="T983" ca="1">IFERROR(IF(INDEX('Disaggregation Records'!$H$155:$H$385,MATCH(RIGHT(Q983,255),RIGHT('Disaggregation Records'!$D$155:$D$385,255),0))="","",INDEX('Disaggregation Records'!$H$155:$H$385,MATCH(RIGHT(Q983,255),RIGHT('Disaggregation Records'!$D$155:$D$385,255),0))),"")</f>
        <v/>
      </c>
      <c r="U983" s="89">
        <f>U981+1</f>
        <v>1601</v>
      </c>
      <c r="V983" s="89" t="str">
        <f t="array" aca="1" ref="V983" ca="1">IFERROR(IF(INDEX('Disaggregation Records'!$I$155:$I$385,MATCH(RIGHT(Q983,255),RIGHT('Disaggregation Records'!$D$155:$D$385,255),0))="","",INDEX('Disaggregation Records'!$I$155:$I$385,MATCH(RIGHT(Q983,255),RIGHT('Disaggregation Records'!$D$155:$D$385,255),0))),"")</f>
        <v/>
      </c>
      <c r="W983" s="89" t="str">
        <f ca="1">IFERROR(INDEX('Reference Records'!L$77:L$157,MATCH(LEFT(C983,255),'Reference Records'!E$77:E$157,0)),"")</f>
        <v>TCP-8 Percentage of new and relapse TB patients tested using WHO recommended rapid tests at the time of diagnosis</v>
      </c>
    </row>
    <row r="984" spans="1:23" s="89" customFormat="1" ht="40.35" customHeight="1">
      <c r="A984" s="564"/>
      <c r="B984" s="799"/>
      <c r="C984" s="800"/>
      <c r="D984" s="801"/>
      <c r="E984" s="801"/>
      <c r="F984" s="128"/>
      <c r="G984" s="802"/>
      <c r="H984" s="781"/>
      <c r="I984" s="803"/>
      <c r="J984" s="779"/>
      <c r="K984" s="800"/>
      <c r="L984" s="800"/>
      <c r="M984" s="779"/>
      <c r="N984" s="779"/>
    </row>
    <row r="985" spans="1:23" s="89" customFormat="1" ht="40.35" customHeight="1">
      <c r="A985" s="564" t="str">
        <f ca="1">INDIRECT("'update Helper'!C"&amp;U985)</f>
        <v>a163p000004VjndAAC</v>
      </c>
      <c r="B985" s="794">
        <v>10</v>
      </c>
      <c r="C985" s="795" t="str">
        <f ca="1">VLOOKUP(B985,'Coverage Indicators - Section D'!$A$9:$AU$70,47,FALSE)</f>
        <v>TCP-8 Porcentaje de pacientes de tuberculosis notificados como casos nuevos y recaídas analizados con las pruebas rápidas recomendadas por la OMS en el momento del diagnóstico.</v>
      </c>
      <c r="D985" s="796" t="str">
        <f ca="1">R985</f>
        <v/>
      </c>
      <c r="E985" s="796" t="str">
        <f ca="1">S985</f>
        <v/>
      </c>
      <c r="F985" s="127"/>
      <c r="G985" s="797" t="str">
        <f ca="1">IF(OR(INDIRECT("'update Helper'!E"&amp;U985)="",F985&lt;&gt;0,F986&lt;&gt;0),IF(IFERROR((F985/F986),"")="","",(F985/F986)),INDIRECT("'update Helper'!E"&amp;U985)/100)</f>
        <v/>
      </c>
      <c r="H985" s="784"/>
      <c r="I985" s="798"/>
      <c r="J985" s="777"/>
      <c r="K985" s="795" t="str">
        <f ca="1">W985</f>
        <v>TCP-8 Percentage of new and relapse TB patients tested using WHO recommended rapid tests at the time of diagnosis</v>
      </c>
      <c r="L985" s="795" t="str">
        <f ca="1">V985</f>
        <v/>
      </c>
      <c r="M985" s="777"/>
      <c r="N985" s="777"/>
      <c r="P985" s="89">
        <f ca="1">IF(AND(EXACT(C985,C983),C983&lt;&gt;0),P983+1,0)</f>
        <v>2</v>
      </c>
      <c r="Q985" s="89" t="str">
        <f ca="1">IF(C985&lt;&gt;"",C985&amp;"-"&amp;P985,"")</f>
        <v>TCP-8 Porcentaje de pacientes de tuberculosis notificados como casos nuevos y recaídas analizados con las pruebas rápidas recomendadas por la OMS en el momento del diagnóstico.-2</v>
      </c>
      <c r="R985" s="89" t="str">
        <f t="array" aca="1" ref="R985" ca="1">IFERROR(IF(INDEX('Disaggregation Records'!$E$155:$E$385,MATCH(RIGHT(Q985,255),RIGHT('Disaggregation Records'!$D$155:$D$385,255),0))="","",INDEX('Disaggregation Records'!$E$155:$E$385,MATCH(RIGHT(Q985,255),RIGHT('Disaggregation Records'!$D$155:$D$385,255),0))),"")</f>
        <v/>
      </c>
      <c r="S985" s="89" t="str">
        <f t="array" aca="1" ref="S985" ca="1">IFERROR(IF(INDEX('Disaggregation Records'!$F$155:$F$385,MATCH(RIGHT(Q985,255),RIGHT('Disaggregation Records'!$D$155:$D$385,255),0))="","",INDEX('Disaggregation Records'!$F$155:$F$385,MATCH(RIGHT(Q985,255),RIGHT('Disaggregation Records'!$D$155:$D$385,255),0))),"")</f>
        <v/>
      </c>
      <c r="T985" s="89" t="str">
        <f t="array" aca="1" ref="T985" ca="1">IFERROR(IF(INDEX('Disaggregation Records'!$H$155:$H$385,MATCH(RIGHT(Q985,255),RIGHT('Disaggregation Records'!$D$155:$D$385,255),0))="","",INDEX('Disaggregation Records'!$H$155:$H$385,MATCH(RIGHT(Q985,255),RIGHT('Disaggregation Records'!$D$155:$D$385,255),0))),"")</f>
        <v/>
      </c>
      <c r="U985" s="89">
        <f>U983+1</f>
        <v>1602</v>
      </c>
      <c r="V985" s="89" t="str">
        <f t="array" aca="1" ref="V985" ca="1">IFERROR(IF(INDEX('Disaggregation Records'!$I$155:$I$385,MATCH(RIGHT(Q985,255),RIGHT('Disaggregation Records'!$D$155:$D$385,255),0))="","",INDEX('Disaggregation Records'!$I$155:$I$385,MATCH(RIGHT(Q985,255),RIGHT('Disaggregation Records'!$D$155:$D$385,255),0))),"")</f>
        <v/>
      </c>
      <c r="W985" s="89" t="str">
        <f ca="1">IFERROR(INDEX('Reference Records'!L$77:L$157,MATCH(LEFT(C985,255),'Reference Records'!E$77:E$157,0)),"")</f>
        <v>TCP-8 Percentage of new and relapse TB patients tested using WHO recommended rapid tests at the time of diagnosis</v>
      </c>
    </row>
    <row r="986" spans="1:23" s="89" customFormat="1" ht="40.35" customHeight="1">
      <c r="A986" s="564"/>
      <c r="B986" s="799"/>
      <c r="C986" s="800"/>
      <c r="D986" s="801"/>
      <c r="E986" s="801"/>
      <c r="F986" s="128"/>
      <c r="G986" s="802"/>
      <c r="H986" s="781"/>
      <c r="I986" s="803"/>
      <c r="J986" s="779"/>
      <c r="K986" s="800"/>
      <c r="L986" s="800"/>
      <c r="M986" s="779"/>
      <c r="N986" s="779"/>
    </row>
    <row r="987" spans="1:23" s="89" customFormat="1" ht="40.35" customHeight="1">
      <c r="A987" s="564" t="str">
        <f ca="1">INDIRECT("'update Helper'!C"&amp;U987)</f>
        <v>a163p000004VjneAAC</v>
      </c>
      <c r="B987" s="794">
        <v>10</v>
      </c>
      <c r="C987" s="795" t="str">
        <f ca="1">VLOOKUP(B987,'Coverage Indicators - Section D'!$A$9:$AU$70,47,FALSE)</f>
        <v>TCP-8 Porcentaje de pacientes de tuberculosis notificados como casos nuevos y recaídas analizados con las pruebas rápidas recomendadas por la OMS en el momento del diagnóstico.</v>
      </c>
      <c r="D987" s="796" t="str">
        <f ca="1">R987</f>
        <v/>
      </c>
      <c r="E987" s="796" t="str">
        <f ca="1">S987</f>
        <v/>
      </c>
      <c r="F987" s="127"/>
      <c r="G987" s="797" t="str">
        <f ca="1">IF(OR(INDIRECT("'update Helper'!E"&amp;U987)="",F987&lt;&gt;0,F988&lt;&gt;0),IF(IFERROR((F987/F988),"")="","",(F987/F988)),INDIRECT("'update Helper'!E"&amp;U987)/100)</f>
        <v/>
      </c>
      <c r="H987" s="784"/>
      <c r="I987" s="798"/>
      <c r="J987" s="777"/>
      <c r="K987" s="795" t="str">
        <f ca="1">W987</f>
        <v>TCP-8 Percentage of new and relapse TB patients tested using WHO recommended rapid tests at the time of diagnosis</v>
      </c>
      <c r="L987" s="795" t="str">
        <f ca="1">V987</f>
        <v/>
      </c>
      <c r="M987" s="777"/>
      <c r="N987" s="777"/>
      <c r="P987" s="89">
        <f ca="1">IF(AND(EXACT(C987,C985),C985&lt;&gt;0),P985+1,0)</f>
        <v>3</v>
      </c>
      <c r="Q987" s="89" t="str">
        <f ca="1">IF(C987&lt;&gt;"",C987&amp;"-"&amp;P987,"")</f>
        <v>TCP-8 Porcentaje de pacientes de tuberculosis notificados como casos nuevos y recaídas analizados con las pruebas rápidas recomendadas por la OMS en el momento del diagnóstico.-3</v>
      </c>
      <c r="R987" s="89" t="str">
        <f t="array" aca="1" ref="R987" ca="1">IFERROR(IF(INDEX('Disaggregation Records'!$E$155:$E$385,MATCH(RIGHT(Q987,255),RIGHT('Disaggregation Records'!$D$155:$D$385,255),0))="","",INDEX('Disaggregation Records'!$E$155:$E$385,MATCH(RIGHT(Q987,255),RIGHT('Disaggregation Records'!$D$155:$D$385,255),0))),"")</f>
        <v/>
      </c>
      <c r="S987" s="89" t="str">
        <f t="array" aca="1" ref="S987" ca="1">IFERROR(IF(INDEX('Disaggregation Records'!$F$155:$F$385,MATCH(RIGHT(Q987,255),RIGHT('Disaggregation Records'!$D$155:$D$385,255),0))="","",INDEX('Disaggregation Records'!$F$155:$F$385,MATCH(RIGHT(Q987,255),RIGHT('Disaggregation Records'!$D$155:$D$385,255),0))),"")</f>
        <v/>
      </c>
      <c r="T987" s="89" t="str">
        <f t="array" aca="1" ref="T987" ca="1">IFERROR(IF(INDEX('Disaggregation Records'!$H$155:$H$385,MATCH(RIGHT(Q987,255),RIGHT('Disaggregation Records'!$D$155:$D$385,255),0))="","",INDEX('Disaggregation Records'!$H$155:$H$385,MATCH(RIGHT(Q987,255),RIGHT('Disaggregation Records'!$D$155:$D$385,255),0))),"")</f>
        <v/>
      </c>
      <c r="U987" s="89">
        <f>U985+1</f>
        <v>1603</v>
      </c>
      <c r="V987" s="89" t="str">
        <f t="array" aca="1" ref="V987" ca="1">IFERROR(IF(INDEX('Disaggregation Records'!$I$155:$I$385,MATCH(RIGHT(Q987,255),RIGHT('Disaggregation Records'!$D$155:$D$385,255),0))="","",INDEX('Disaggregation Records'!$I$155:$I$385,MATCH(RIGHT(Q987,255),RIGHT('Disaggregation Records'!$D$155:$D$385,255),0))),"")</f>
        <v/>
      </c>
      <c r="W987" s="89" t="str">
        <f ca="1">IFERROR(INDEX('Reference Records'!L$77:L$157,MATCH(LEFT(C987,255),'Reference Records'!E$77:E$157,0)),"")</f>
        <v>TCP-8 Percentage of new and relapse TB patients tested using WHO recommended rapid tests at the time of diagnosis</v>
      </c>
    </row>
    <row r="988" spans="1:23" s="89" customFormat="1" ht="40.35" customHeight="1">
      <c r="A988" s="564"/>
      <c r="B988" s="799"/>
      <c r="C988" s="800"/>
      <c r="D988" s="801"/>
      <c r="E988" s="801"/>
      <c r="F988" s="128"/>
      <c r="G988" s="802"/>
      <c r="H988" s="781"/>
      <c r="I988" s="803"/>
      <c r="J988" s="779"/>
      <c r="K988" s="800"/>
      <c r="L988" s="800"/>
      <c r="M988" s="779"/>
      <c r="N988" s="779"/>
    </row>
    <row r="989" spans="1:23" s="89" customFormat="1" ht="40.35" customHeight="1">
      <c r="A989" s="564" t="str">
        <f ca="1">INDIRECT("'update Helper'!C"&amp;U989)</f>
        <v>a163p000004VjnfAAC</v>
      </c>
      <c r="B989" s="794">
        <v>10</v>
      </c>
      <c r="C989" s="795" t="str">
        <f ca="1">VLOOKUP(B989,'Coverage Indicators - Section D'!$A$9:$AU$70,47,FALSE)</f>
        <v>TCP-8 Porcentaje de pacientes de tuberculosis notificados como casos nuevos y recaídas analizados con las pruebas rápidas recomendadas por la OMS en el momento del diagnóstico.</v>
      </c>
      <c r="D989" s="796" t="str">
        <f ca="1">R989</f>
        <v/>
      </c>
      <c r="E989" s="796" t="str">
        <f ca="1">S989</f>
        <v/>
      </c>
      <c r="F989" s="127"/>
      <c r="G989" s="797" t="str">
        <f ca="1">IF(OR(INDIRECT("'update Helper'!E"&amp;U989)="",F989&lt;&gt;0,F990&lt;&gt;0),IF(IFERROR((F989/F990),"")="","",(F989/F990)),INDIRECT("'update Helper'!E"&amp;U989)/100)</f>
        <v/>
      </c>
      <c r="H989" s="784"/>
      <c r="I989" s="798"/>
      <c r="J989" s="777"/>
      <c r="K989" s="795" t="str">
        <f ca="1">W989</f>
        <v>TCP-8 Percentage of new and relapse TB patients tested using WHO recommended rapid tests at the time of diagnosis</v>
      </c>
      <c r="L989" s="795" t="str">
        <f ca="1">V989</f>
        <v/>
      </c>
      <c r="M989" s="777"/>
      <c r="N989" s="777"/>
      <c r="P989" s="89">
        <f ca="1">IF(AND(EXACT(C989,C987),C987&lt;&gt;0),P987+1,0)</f>
        <v>4</v>
      </c>
      <c r="Q989" s="89" t="str">
        <f ca="1">IF(C989&lt;&gt;"",C989&amp;"-"&amp;P989,"")</f>
        <v>TCP-8 Porcentaje de pacientes de tuberculosis notificados como casos nuevos y recaídas analizados con las pruebas rápidas recomendadas por la OMS en el momento del diagnóstico.-4</v>
      </c>
      <c r="R989" s="89" t="str">
        <f t="array" aca="1" ref="R989" ca="1">IFERROR(IF(INDEX('Disaggregation Records'!$E$155:$E$385,MATCH(RIGHT(Q989,255),RIGHT('Disaggregation Records'!$D$155:$D$385,255),0))="","",INDEX('Disaggregation Records'!$E$155:$E$385,MATCH(RIGHT(Q989,255),RIGHT('Disaggregation Records'!$D$155:$D$385,255),0))),"")</f>
        <v/>
      </c>
      <c r="S989" s="89" t="str">
        <f t="array" aca="1" ref="S989" ca="1">IFERROR(IF(INDEX('Disaggregation Records'!$F$155:$F$385,MATCH(RIGHT(Q989,255),RIGHT('Disaggregation Records'!$D$155:$D$385,255),0))="","",INDEX('Disaggregation Records'!$F$155:$F$385,MATCH(RIGHT(Q989,255),RIGHT('Disaggregation Records'!$D$155:$D$385,255),0))),"")</f>
        <v/>
      </c>
      <c r="T989" s="89" t="str">
        <f t="array" aca="1" ref="T989" ca="1">IFERROR(IF(INDEX('Disaggregation Records'!$H$155:$H$385,MATCH(RIGHT(Q989,255),RIGHT('Disaggregation Records'!$D$155:$D$385,255),0))="","",INDEX('Disaggregation Records'!$H$155:$H$385,MATCH(RIGHT(Q989,255),RIGHT('Disaggregation Records'!$D$155:$D$385,255),0))),"")</f>
        <v/>
      </c>
      <c r="U989" s="89">
        <f>U987+1</f>
        <v>1604</v>
      </c>
      <c r="V989" s="89" t="str">
        <f t="array" aca="1" ref="V989" ca="1">IFERROR(IF(INDEX('Disaggregation Records'!$I$155:$I$385,MATCH(RIGHT(Q989,255),RIGHT('Disaggregation Records'!$D$155:$D$385,255),0))="","",INDEX('Disaggregation Records'!$I$155:$I$385,MATCH(RIGHT(Q989,255),RIGHT('Disaggregation Records'!$D$155:$D$385,255),0))),"")</f>
        <v/>
      </c>
      <c r="W989" s="89" t="str">
        <f ca="1">IFERROR(INDEX('Reference Records'!L$77:L$157,MATCH(LEFT(C989,255),'Reference Records'!E$77:E$157,0)),"")</f>
        <v>TCP-8 Percentage of new and relapse TB patients tested using WHO recommended rapid tests at the time of diagnosis</v>
      </c>
    </row>
    <row r="990" spans="1:23" s="89" customFormat="1" ht="40.35" customHeight="1">
      <c r="A990" s="564"/>
      <c r="B990" s="799"/>
      <c r="C990" s="800"/>
      <c r="D990" s="801"/>
      <c r="E990" s="801"/>
      <c r="F990" s="128"/>
      <c r="G990" s="802"/>
      <c r="H990" s="781"/>
      <c r="I990" s="803"/>
      <c r="J990" s="779"/>
      <c r="K990" s="800"/>
      <c r="L990" s="800"/>
      <c r="M990" s="779"/>
      <c r="N990" s="779"/>
    </row>
    <row r="991" spans="1:23" s="89" customFormat="1" ht="40.35" customHeight="1">
      <c r="A991" s="564" t="str">
        <f ca="1">INDIRECT("'update Helper'!C"&amp;U991)</f>
        <v>a163p000004VjngAAC</v>
      </c>
      <c r="B991" s="794">
        <v>10</v>
      </c>
      <c r="C991" s="795" t="str">
        <f ca="1">VLOOKUP(B991,'Coverage Indicators - Section D'!$A$9:$AU$70,47,FALSE)</f>
        <v>TCP-8 Porcentaje de pacientes de tuberculosis notificados como casos nuevos y recaídas analizados con las pruebas rápidas recomendadas por la OMS en el momento del diagnóstico.</v>
      </c>
      <c r="D991" s="796" t="str">
        <f ca="1">R991</f>
        <v/>
      </c>
      <c r="E991" s="796" t="str">
        <f ca="1">S991</f>
        <v/>
      </c>
      <c r="F991" s="127"/>
      <c r="G991" s="797" t="str">
        <f ca="1">IF(OR(INDIRECT("'update Helper'!E"&amp;U991)="",F991&lt;&gt;0,F992&lt;&gt;0),IF(IFERROR((F991/F992),"")="","",(F991/F992)),INDIRECT("'update Helper'!E"&amp;U991)/100)</f>
        <v/>
      </c>
      <c r="H991" s="784"/>
      <c r="I991" s="798"/>
      <c r="J991" s="777"/>
      <c r="K991" s="795" t="str">
        <f ca="1">W991</f>
        <v>TCP-8 Percentage of new and relapse TB patients tested using WHO recommended rapid tests at the time of diagnosis</v>
      </c>
      <c r="L991" s="795" t="str">
        <f ca="1">V991</f>
        <v/>
      </c>
      <c r="M991" s="777"/>
      <c r="N991" s="777"/>
      <c r="P991" s="89">
        <f ca="1">IF(AND(EXACT(C991,C989),C989&lt;&gt;0),P989+1,0)</f>
        <v>5</v>
      </c>
      <c r="Q991" s="89" t="str">
        <f ca="1">IF(C991&lt;&gt;"",C991&amp;"-"&amp;P991,"")</f>
        <v>TCP-8 Porcentaje de pacientes de tuberculosis notificados como casos nuevos y recaídas analizados con las pruebas rápidas recomendadas por la OMS en el momento del diagnóstico.-5</v>
      </c>
      <c r="R991" s="89" t="str">
        <f t="array" aca="1" ref="R991" ca="1">IFERROR(IF(INDEX('Disaggregation Records'!$E$155:$E$385,MATCH(RIGHT(Q991,255),RIGHT('Disaggregation Records'!$D$155:$D$385,255),0))="","",INDEX('Disaggregation Records'!$E$155:$E$385,MATCH(RIGHT(Q991,255),RIGHT('Disaggregation Records'!$D$155:$D$385,255),0))),"")</f>
        <v/>
      </c>
      <c r="S991" s="89" t="str">
        <f t="array" aca="1" ref="S991" ca="1">IFERROR(IF(INDEX('Disaggregation Records'!$F$155:$F$385,MATCH(RIGHT(Q991,255),RIGHT('Disaggregation Records'!$D$155:$D$385,255),0))="","",INDEX('Disaggregation Records'!$F$155:$F$385,MATCH(RIGHT(Q991,255),RIGHT('Disaggregation Records'!$D$155:$D$385,255),0))),"")</f>
        <v/>
      </c>
      <c r="T991" s="89" t="str">
        <f t="array" aca="1" ref="T991" ca="1">IFERROR(IF(INDEX('Disaggregation Records'!$H$155:$H$385,MATCH(RIGHT(Q991,255),RIGHT('Disaggregation Records'!$D$155:$D$385,255),0))="","",INDEX('Disaggregation Records'!$H$155:$H$385,MATCH(RIGHT(Q991,255),RIGHT('Disaggregation Records'!$D$155:$D$385,255),0))),"")</f>
        <v/>
      </c>
      <c r="U991" s="89">
        <f>U989+1</f>
        <v>1605</v>
      </c>
      <c r="V991" s="89" t="str">
        <f t="array" aca="1" ref="V991" ca="1">IFERROR(IF(INDEX('Disaggregation Records'!$I$155:$I$385,MATCH(RIGHT(Q991,255),RIGHT('Disaggregation Records'!$D$155:$D$385,255),0))="","",INDEX('Disaggregation Records'!$I$155:$I$385,MATCH(RIGHT(Q991,255),RIGHT('Disaggregation Records'!$D$155:$D$385,255),0))),"")</f>
        <v/>
      </c>
      <c r="W991" s="89" t="str">
        <f ca="1">IFERROR(INDEX('Reference Records'!L$77:L$157,MATCH(LEFT(C991,255),'Reference Records'!E$77:E$157,0)),"")</f>
        <v>TCP-8 Percentage of new and relapse TB patients tested using WHO recommended rapid tests at the time of diagnosis</v>
      </c>
    </row>
    <row r="992" spans="1:23" s="89" customFormat="1" ht="40.35" customHeight="1">
      <c r="A992" s="564"/>
      <c r="B992" s="799"/>
      <c r="C992" s="800"/>
      <c r="D992" s="801"/>
      <c r="E992" s="801"/>
      <c r="F992" s="128"/>
      <c r="G992" s="802"/>
      <c r="H992" s="781"/>
      <c r="I992" s="803"/>
      <c r="J992" s="779"/>
      <c r="K992" s="800"/>
      <c r="L992" s="800"/>
      <c r="M992" s="779"/>
      <c r="N992" s="779"/>
    </row>
    <row r="993" spans="1:23" s="89" customFormat="1" ht="40.35" customHeight="1">
      <c r="A993" s="564" t="str">
        <f ca="1">INDIRECT("'update Helper'!C"&amp;U993)</f>
        <v>a163p000004VjnhAAC</v>
      </c>
      <c r="B993" s="794">
        <v>10</v>
      </c>
      <c r="C993" s="795" t="str">
        <f ca="1">VLOOKUP(B993,'Coverage Indicators - Section D'!$A$9:$AU$70,47,FALSE)</f>
        <v>TCP-8 Porcentaje de pacientes de tuberculosis notificados como casos nuevos y recaídas analizados con las pruebas rápidas recomendadas por la OMS en el momento del diagnóstico.</v>
      </c>
      <c r="D993" s="796" t="str">
        <f ca="1">R993</f>
        <v/>
      </c>
      <c r="E993" s="796" t="str">
        <f ca="1">S993</f>
        <v/>
      </c>
      <c r="F993" s="127"/>
      <c r="G993" s="797" t="str">
        <f ca="1">IF(OR(INDIRECT("'update Helper'!E"&amp;U993)="",F993&lt;&gt;0,F994&lt;&gt;0),IF(IFERROR((F993/F994),"")="","",(F993/F994)),INDIRECT("'update Helper'!E"&amp;U993)/100)</f>
        <v/>
      </c>
      <c r="H993" s="784"/>
      <c r="I993" s="798"/>
      <c r="J993" s="777"/>
      <c r="K993" s="795" t="str">
        <f ca="1">W993</f>
        <v>TCP-8 Percentage of new and relapse TB patients tested using WHO recommended rapid tests at the time of diagnosis</v>
      </c>
      <c r="L993" s="795" t="str">
        <f ca="1">V993</f>
        <v/>
      </c>
      <c r="M993" s="777"/>
      <c r="N993" s="777"/>
      <c r="P993" s="89">
        <f ca="1">IF(AND(EXACT(C993,C991),C991&lt;&gt;0),P991+1,0)</f>
        <v>6</v>
      </c>
      <c r="Q993" s="89" t="str">
        <f ca="1">IF(C993&lt;&gt;"",C993&amp;"-"&amp;P993,"")</f>
        <v>TCP-8 Porcentaje de pacientes de tuberculosis notificados como casos nuevos y recaídas analizados con las pruebas rápidas recomendadas por la OMS en el momento del diagnóstico.-6</v>
      </c>
      <c r="R993" s="89" t="str">
        <f t="array" aca="1" ref="R993" ca="1">IFERROR(IF(INDEX('Disaggregation Records'!$E$155:$E$385,MATCH(RIGHT(Q993,255),RIGHT('Disaggregation Records'!$D$155:$D$385,255),0))="","",INDEX('Disaggregation Records'!$E$155:$E$385,MATCH(RIGHT(Q993,255),RIGHT('Disaggregation Records'!$D$155:$D$385,255),0))),"")</f>
        <v/>
      </c>
      <c r="S993" s="89" t="str">
        <f t="array" aca="1" ref="S993" ca="1">IFERROR(IF(INDEX('Disaggregation Records'!$F$155:$F$385,MATCH(RIGHT(Q993,255),RIGHT('Disaggregation Records'!$D$155:$D$385,255),0))="","",INDEX('Disaggregation Records'!$F$155:$F$385,MATCH(RIGHT(Q993,255),RIGHT('Disaggregation Records'!$D$155:$D$385,255),0))),"")</f>
        <v/>
      </c>
      <c r="T993" s="89" t="str">
        <f t="array" aca="1" ref="T993" ca="1">IFERROR(IF(INDEX('Disaggregation Records'!$H$155:$H$385,MATCH(RIGHT(Q993,255),RIGHT('Disaggregation Records'!$D$155:$D$385,255),0))="","",INDEX('Disaggregation Records'!$H$155:$H$385,MATCH(RIGHT(Q993,255),RIGHT('Disaggregation Records'!$D$155:$D$385,255),0))),"")</f>
        <v/>
      </c>
      <c r="U993" s="89">
        <f>U991+1</f>
        <v>1606</v>
      </c>
      <c r="V993" s="89" t="str">
        <f t="array" aca="1" ref="V993" ca="1">IFERROR(IF(INDEX('Disaggregation Records'!$I$155:$I$385,MATCH(RIGHT(Q993,255),RIGHT('Disaggregation Records'!$D$155:$D$385,255),0))="","",INDEX('Disaggregation Records'!$I$155:$I$385,MATCH(RIGHT(Q993,255),RIGHT('Disaggregation Records'!$D$155:$D$385,255),0))),"")</f>
        <v/>
      </c>
      <c r="W993" s="89" t="str">
        <f ca="1">IFERROR(INDEX('Reference Records'!L$77:L$157,MATCH(LEFT(C993,255),'Reference Records'!E$77:E$157,0)),"")</f>
        <v>TCP-8 Percentage of new and relapse TB patients tested using WHO recommended rapid tests at the time of diagnosis</v>
      </c>
    </row>
    <row r="994" spans="1:23" s="89" customFormat="1" ht="40.35" customHeight="1">
      <c r="A994" s="564"/>
      <c r="B994" s="799"/>
      <c r="C994" s="800"/>
      <c r="D994" s="801"/>
      <c r="E994" s="801"/>
      <c r="F994" s="128"/>
      <c r="G994" s="802"/>
      <c r="H994" s="781"/>
      <c r="I994" s="803"/>
      <c r="J994" s="779"/>
      <c r="K994" s="800"/>
      <c r="L994" s="800"/>
      <c r="M994" s="779"/>
      <c r="N994" s="779"/>
    </row>
    <row r="995" spans="1:23" s="89" customFormat="1" ht="40.35" customHeight="1">
      <c r="A995" s="564" t="str">
        <f ca="1">INDIRECT("'update Helper'!C"&amp;U995)</f>
        <v>a163p000004VjniAAC</v>
      </c>
      <c r="B995" s="794">
        <v>10</v>
      </c>
      <c r="C995" s="795" t="str">
        <f ca="1">VLOOKUP(B995,'Coverage Indicators - Section D'!$A$9:$AU$70,47,FALSE)</f>
        <v>TCP-8 Porcentaje de pacientes de tuberculosis notificados como casos nuevos y recaídas analizados con las pruebas rápidas recomendadas por la OMS en el momento del diagnóstico.</v>
      </c>
      <c r="D995" s="796" t="str">
        <f ca="1">R995</f>
        <v/>
      </c>
      <c r="E995" s="796" t="str">
        <f ca="1">S995</f>
        <v/>
      </c>
      <c r="F995" s="127"/>
      <c r="G995" s="797" t="str">
        <f ca="1">IF(OR(INDIRECT("'update Helper'!E"&amp;U995)="",F995&lt;&gt;0,F996&lt;&gt;0),IF(IFERROR((F995/F996),"")="","",(F995/F996)),INDIRECT("'update Helper'!E"&amp;U995)/100)</f>
        <v/>
      </c>
      <c r="H995" s="784"/>
      <c r="I995" s="798"/>
      <c r="J995" s="777"/>
      <c r="K995" s="795" t="str">
        <f ca="1">W995</f>
        <v>TCP-8 Percentage of new and relapse TB patients tested using WHO recommended rapid tests at the time of diagnosis</v>
      </c>
      <c r="L995" s="795" t="str">
        <f ca="1">V995</f>
        <v/>
      </c>
      <c r="M995" s="777"/>
      <c r="N995" s="777"/>
      <c r="P995" s="89">
        <f ca="1">IF(AND(EXACT(C995,C993),C993&lt;&gt;0),P993+1,0)</f>
        <v>7</v>
      </c>
      <c r="Q995" s="89" t="str">
        <f ca="1">IF(C995&lt;&gt;"",C995&amp;"-"&amp;P995,"")</f>
        <v>TCP-8 Porcentaje de pacientes de tuberculosis notificados como casos nuevos y recaídas analizados con las pruebas rápidas recomendadas por la OMS en el momento del diagnóstico.-7</v>
      </c>
      <c r="R995" s="89" t="str">
        <f t="array" aca="1" ref="R995" ca="1">IFERROR(IF(INDEX('Disaggregation Records'!$E$155:$E$385,MATCH(RIGHT(Q995,255),RIGHT('Disaggregation Records'!$D$155:$D$385,255),0))="","",INDEX('Disaggregation Records'!$E$155:$E$385,MATCH(RIGHT(Q995,255),RIGHT('Disaggregation Records'!$D$155:$D$385,255),0))),"")</f>
        <v/>
      </c>
      <c r="S995" s="89" t="str">
        <f t="array" aca="1" ref="S995" ca="1">IFERROR(IF(INDEX('Disaggregation Records'!$F$155:$F$385,MATCH(RIGHT(Q995,255),RIGHT('Disaggregation Records'!$D$155:$D$385,255),0))="","",INDEX('Disaggregation Records'!$F$155:$F$385,MATCH(RIGHT(Q995,255),RIGHT('Disaggregation Records'!$D$155:$D$385,255),0))),"")</f>
        <v/>
      </c>
      <c r="T995" s="89" t="str">
        <f t="array" aca="1" ref="T995" ca="1">IFERROR(IF(INDEX('Disaggregation Records'!$H$155:$H$385,MATCH(RIGHT(Q995,255),RIGHT('Disaggregation Records'!$D$155:$D$385,255),0))="","",INDEX('Disaggregation Records'!$H$155:$H$385,MATCH(RIGHT(Q995,255),RIGHT('Disaggregation Records'!$D$155:$D$385,255),0))),"")</f>
        <v/>
      </c>
      <c r="U995" s="89">
        <f>U993+1</f>
        <v>1607</v>
      </c>
      <c r="V995" s="89" t="str">
        <f t="array" aca="1" ref="V995" ca="1">IFERROR(IF(INDEX('Disaggregation Records'!$I$155:$I$385,MATCH(RIGHT(Q995,255),RIGHT('Disaggregation Records'!$D$155:$D$385,255),0))="","",INDEX('Disaggregation Records'!$I$155:$I$385,MATCH(RIGHT(Q995,255),RIGHT('Disaggregation Records'!$D$155:$D$385,255),0))),"")</f>
        <v/>
      </c>
      <c r="W995" s="89" t="str">
        <f ca="1">IFERROR(INDEX('Reference Records'!L$77:L$157,MATCH(LEFT(C995,255),'Reference Records'!E$77:E$157,0)),"")</f>
        <v>TCP-8 Percentage of new and relapse TB patients tested using WHO recommended rapid tests at the time of diagnosis</v>
      </c>
    </row>
    <row r="996" spans="1:23" s="89" customFormat="1" ht="40.35" customHeight="1">
      <c r="A996" s="564"/>
      <c r="B996" s="799"/>
      <c r="C996" s="800"/>
      <c r="D996" s="801"/>
      <c r="E996" s="801"/>
      <c r="F996" s="128"/>
      <c r="G996" s="802"/>
      <c r="H996" s="781"/>
      <c r="I996" s="803"/>
      <c r="J996" s="779"/>
      <c r="K996" s="800"/>
      <c r="L996" s="800"/>
      <c r="M996" s="779"/>
      <c r="N996" s="779"/>
    </row>
    <row r="997" spans="1:23" s="89" customFormat="1" ht="40.35" customHeight="1">
      <c r="A997" s="564" t="str">
        <f ca="1">INDIRECT("'update Helper'!C"&amp;U997)</f>
        <v>a163p000004VjnjAAC</v>
      </c>
      <c r="B997" s="794">
        <v>10</v>
      </c>
      <c r="C997" s="795" t="str">
        <f ca="1">VLOOKUP(B997,'Coverage Indicators - Section D'!$A$9:$AU$70,47,FALSE)</f>
        <v>TCP-8 Porcentaje de pacientes de tuberculosis notificados como casos nuevos y recaídas analizados con las pruebas rápidas recomendadas por la OMS en el momento del diagnóstico.</v>
      </c>
      <c r="D997" s="796" t="str">
        <f ca="1">R997</f>
        <v/>
      </c>
      <c r="E997" s="796" t="str">
        <f ca="1">S997</f>
        <v/>
      </c>
      <c r="F997" s="127"/>
      <c r="G997" s="797" t="str">
        <f ca="1">IF(OR(INDIRECT("'update Helper'!E"&amp;U997)="",F997&lt;&gt;0,F998&lt;&gt;0),IF(IFERROR((F997/F998),"")="","",(F997/F998)),INDIRECT("'update Helper'!E"&amp;U997)/100)</f>
        <v/>
      </c>
      <c r="H997" s="784"/>
      <c r="I997" s="798"/>
      <c r="J997" s="777"/>
      <c r="K997" s="795" t="str">
        <f ca="1">W997</f>
        <v>TCP-8 Percentage of new and relapse TB patients tested using WHO recommended rapid tests at the time of diagnosis</v>
      </c>
      <c r="L997" s="795" t="str">
        <f ca="1">V997</f>
        <v/>
      </c>
      <c r="M997" s="777"/>
      <c r="N997" s="777"/>
      <c r="P997" s="89">
        <f ca="1">IF(AND(EXACT(C997,C995),C995&lt;&gt;0),P995+1,0)</f>
        <v>8</v>
      </c>
      <c r="Q997" s="89" t="str">
        <f ca="1">IF(C997&lt;&gt;"",C997&amp;"-"&amp;P997,"")</f>
        <v>TCP-8 Porcentaje de pacientes de tuberculosis notificados como casos nuevos y recaídas analizados con las pruebas rápidas recomendadas por la OMS en el momento del diagnóstico.-8</v>
      </c>
      <c r="R997" s="89" t="str">
        <f t="array" aca="1" ref="R997" ca="1">IFERROR(IF(INDEX('Disaggregation Records'!$E$155:$E$385,MATCH(RIGHT(Q997,255),RIGHT('Disaggregation Records'!$D$155:$D$385,255),0))="","",INDEX('Disaggregation Records'!$E$155:$E$385,MATCH(RIGHT(Q997,255),RIGHT('Disaggregation Records'!$D$155:$D$385,255),0))),"")</f>
        <v/>
      </c>
      <c r="S997" s="89" t="str">
        <f t="array" aca="1" ref="S997" ca="1">IFERROR(IF(INDEX('Disaggregation Records'!$F$155:$F$385,MATCH(RIGHT(Q997,255),RIGHT('Disaggregation Records'!$D$155:$D$385,255),0))="","",INDEX('Disaggregation Records'!$F$155:$F$385,MATCH(RIGHT(Q997,255),RIGHT('Disaggregation Records'!$D$155:$D$385,255),0))),"")</f>
        <v/>
      </c>
      <c r="T997" s="89" t="str">
        <f t="array" aca="1" ref="T997" ca="1">IFERROR(IF(INDEX('Disaggregation Records'!$H$155:$H$385,MATCH(RIGHT(Q997,255),RIGHT('Disaggregation Records'!$D$155:$D$385,255),0))="","",INDEX('Disaggregation Records'!$H$155:$H$385,MATCH(RIGHT(Q997,255),RIGHT('Disaggregation Records'!$D$155:$D$385,255),0))),"")</f>
        <v/>
      </c>
      <c r="U997" s="89">
        <f>U995+1</f>
        <v>1608</v>
      </c>
      <c r="V997" s="89" t="str">
        <f t="array" aca="1" ref="V997" ca="1">IFERROR(IF(INDEX('Disaggregation Records'!$I$155:$I$385,MATCH(RIGHT(Q997,255),RIGHT('Disaggregation Records'!$D$155:$D$385,255),0))="","",INDEX('Disaggregation Records'!$I$155:$I$385,MATCH(RIGHT(Q997,255),RIGHT('Disaggregation Records'!$D$155:$D$385,255),0))),"")</f>
        <v/>
      </c>
      <c r="W997" s="89" t="str">
        <f ca="1">IFERROR(INDEX('Reference Records'!L$77:L$157,MATCH(LEFT(C997,255),'Reference Records'!E$77:E$157,0)),"")</f>
        <v>TCP-8 Percentage of new and relapse TB patients tested using WHO recommended rapid tests at the time of diagnosis</v>
      </c>
    </row>
    <row r="998" spans="1:23" s="89" customFormat="1" ht="40.35" customHeight="1">
      <c r="A998" s="564"/>
      <c r="B998" s="799"/>
      <c r="C998" s="800"/>
      <c r="D998" s="801"/>
      <c r="E998" s="801"/>
      <c r="F998" s="128"/>
      <c r="G998" s="802"/>
      <c r="H998" s="781"/>
      <c r="I998" s="803"/>
      <c r="J998" s="779"/>
      <c r="K998" s="800"/>
      <c r="L998" s="800"/>
      <c r="M998" s="779"/>
      <c r="N998" s="779"/>
    </row>
    <row r="999" spans="1:23" s="89" customFormat="1" ht="40.35" customHeight="1">
      <c r="A999" s="564" t="str">
        <f ca="1">INDIRECT("'update Helper'!C"&amp;U999)</f>
        <v>a163p000004VjnkAAC</v>
      </c>
      <c r="B999" s="794">
        <v>10</v>
      </c>
      <c r="C999" s="795" t="str">
        <f ca="1">VLOOKUP(B999,'Coverage Indicators - Section D'!$A$9:$AU$70,47,FALSE)</f>
        <v>TCP-8 Porcentaje de pacientes de tuberculosis notificados como casos nuevos y recaídas analizados con las pruebas rápidas recomendadas por la OMS en el momento del diagnóstico.</v>
      </c>
      <c r="D999" s="796" t="str">
        <f ca="1">R999</f>
        <v/>
      </c>
      <c r="E999" s="796" t="str">
        <f ca="1">S999</f>
        <v/>
      </c>
      <c r="F999" s="127"/>
      <c r="G999" s="797" t="str">
        <f ca="1">IF(OR(INDIRECT("'update Helper'!E"&amp;U999)="",F999&lt;&gt;0,F1000&lt;&gt;0),IF(IFERROR((F999/F1000),"")="","",(F999/F1000)),INDIRECT("'update Helper'!E"&amp;U999)/100)</f>
        <v/>
      </c>
      <c r="H999" s="784"/>
      <c r="I999" s="798"/>
      <c r="J999" s="777"/>
      <c r="K999" s="795" t="str">
        <f ca="1">W999</f>
        <v>TCP-8 Percentage of new and relapse TB patients tested using WHO recommended rapid tests at the time of diagnosis</v>
      </c>
      <c r="L999" s="795" t="str">
        <f ca="1">V999</f>
        <v/>
      </c>
      <c r="M999" s="777"/>
      <c r="N999" s="777"/>
      <c r="P999" s="89">
        <f ca="1">IF(AND(EXACT(C999,C997),C997&lt;&gt;0),P997+1,0)</f>
        <v>9</v>
      </c>
      <c r="Q999" s="89" t="str">
        <f ca="1">IF(C999&lt;&gt;"",C999&amp;"-"&amp;P999,"")</f>
        <v>TCP-8 Porcentaje de pacientes de tuberculosis notificados como casos nuevos y recaídas analizados con las pruebas rápidas recomendadas por la OMS en el momento del diagnóstico.-9</v>
      </c>
      <c r="R999" s="89" t="str">
        <f t="array" aca="1" ref="R999" ca="1">IFERROR(IF(INDEX('Disaggregation Records'!$E$155:$E$385,MATCH(RIGHT(Q999,255),RIGHT('Disaggregation Records'!$D$155:$D$385,255),0))="","",INDEX('Disaggregation Records'!$E$155:$E$385,MATCH(RIGHT(Q999,255),RIGHT('Disaggregation Records'!$D$155:$D$385,255),0))),"")</f>
        <v/>
      </c>
      <c r="S999" s="89" t="str">
        <f t="array" aca="1" ref="S999" ca="1">IFERROR(IF(INDEX('Disaggregation Records'!$F$155:$F$385,MATCH(RIGHT(Q999,255),RIGHT('Disaggregation Records'!$D$155:$D$385,255),0))="","",INDEX('Disaggregation Records'!$F$155:$F$385,MATCH(RIGHT(Q999,255),RIGHT('Disaggregation Records'!$D$155:$D$385,255),0))),"")</f>
        <v/>
      </c>
      <c r="T999" s="89" t="str">
        <f t="array" aca="1" ref="T999" ca="1">IFERROR(IF(INDEX('Disaggregation Records'!$H$155:$H$385,MATCH(RIGHT(Q999,255),RIGHT('Disaggregation Records'!$D$155:$D$385,255),0))="","",INDEX('Disaggregation Records'!$H$155:$H$385,MATCH(RIGHT(Q999,255),RIGHT('Disaggregation Records'!$D$155:$D$385,255),0))),"")</f>
        <v/>
      </c>
      <c r="U999" s="89">
        <f>U997+1</f>
        <v>1609</v>
      </c>
      <c r="V999" s="89" t="str">
        <f t="array" aca="1" ref="V999" ca="1">IFERROR(IF(INDEX('Disaggregation Records'!$I$155:$I$385,MATCH(RIGHT(Q999,255),RIGHT('Disaggregation Records'!$D$155:$D$385,255),0))="","",INDEX('Disaggregation Records'!$I$155:$I$385,MATCH(RIGHT(Q999,255),RIGHT('Disaggregation Records'!$D$155:$D$385,255),0))),"")</f>
        <v/>
      </c>
      <c r="W999" s="89" t="str">
        <f ca="1">IFERROR(INDEX('Reference Records'!L$77:L$157,MATCH(LEFT(C999,255),'Reference Records'!E$77:E$157,0)),"")</f>
        <v>TCP-8 Percentage of new and relapse TB patients tested using WHO recommended rapid tests at the time of diagnosis</v>
      </c>
    </row>
    <row r="1000" spans="1:23" s="89" customFormat="1" ht="40.35" customHeight="1">
      <c r="A1000" s="564"/>
      <c r="B1000" s="799"/>
      <c r="C1000" s="800"/>
      <c r="D1000" s="801"/>
      <c r="E1000" s="801"/>
      <c r="F1000" s="128"/>
      <c r="G1000" s="802"/>
      <c r="H1000" s="781"/>
      <c r="I1000" s="803"/>
      <c r="J1000" s="779"/>
      <c r="K1000" s="800"/>
      <c r="L1000" s="800"/>
      <c r="M1000" s="779"/>
      <c r="N1000" s="779"/>
    </row>
    <row r="1001" spans="1:23" s="89" customFormat="1" ht="40.35" customHeight="1">
      <c r="A1001" s="564" t="str">
        <f ca="1">INDIRECT("'update Helper'!C"&amp;U1001)</f>
        <v>a163p000004VjnlAAC</v>
      </c>
      <c r="B1001" s="794">
        <v>10</v>
      </c>
      <c r="C1001" s="795" t="str">
        <f ca="1">VLOOKUP(B1001,'Coverage Indicators - Section D'!$A$9:$AU$70,47,FALSE)</f>
        <v>TCP-8 Porcentaje de pacientes de tuberculosis notificados como casos nuevos y recaídas analizados con las pruebas rápidas recomendadas por la OMS en el momento del diagnóstico.</v>
      </c>
      <c r="D1001" s="796" t="str">
        <f ca="1">R1001</f>
        <v/>
      </c>
      <c r="E1001" s="796" t="str">
        <f ca="1">S1001</f>
        <v/>
      </c>
      <c r="F1001" s="127"/>
      <c r="G1001" s="797" t="str">
        <f ca="1">IF(OR(INDIRECT("'update Helper'!E"&amp;U1001)="",F1001&lt;&gt;0,F1002&lt;&gt;0),IF(IFERROR((F1001/F1002),"")="","",(F1001/F1002)),INDIRECT("'update Helper'!E"&amp;U1001)/100)</f>
        <v/>
      </c>
      <c r="H1001" s="784"/>
      <c r="I1001" s="798"/>
      <c r="J1001" s="777"/>
      <c r="K1001" s="795" t="str">
        <f ca="1">W1001</f>
        <v>TCP-8 Percentage of new and relapse TB patients tested using WHO recommended rapid tests at the time of diagnosis</v>
      </c>
      <c r="L1001" s="795" t="str">
        <f ca="1">V1001</f>
        <v/>
      </c>
      <c r="M1001" s="777"/>
      <c r="N1001" s="777"/>
      <c r="P1001" s="89">
        <f ca="1">IF(AND(EXACT(C1001,C999),C999&lt;&gt;0),P999+1,0)</f>
        <v>10</v>
      </c>
      <c r="Q1001" s="89" t="str">
        <f ca="1">IF(C1001&lt;&gt;"",C1001&amp;"-"&amp;P1001,"")</f>
        <v>TCP-8 Porcentaje de pacientes de tuberculosis notificados como casos nuevos y recaídas analizados con las pruebas rápidas recomendadas por la OMS en el momento del diagnóstico.-10</v>
      </c>
      <c r="R1001" s="89" t="str">
        <f t="array" aca="1" ref="R1001" ca="1">IFERROR(IF(INDEX('Disaggregation Records'!$E$155:$E$385,MATCH(RIGHT(Q1001,255),RIGHT('Disaggregation Records'!$D$155:$D$385,255),0))="","",INDEX('Disaggregation Records'!$E$155:$E$385,MATCH(RIGHT(Q1001,255),RIGHT('Disaggregation Records'!$D$155:$D$385,255),0))),"")</f>
        <v/>
      </c>
      <c r="S1001" s="89" t="str">
        <f t="array" aca="1" ref="S1001" ca="1">IFERROR(IF(INDEX('Disaggregation Records'!$F$155:$F$385,MATCH(RIGHT(Q1001,255),RIGHT('Disaggregation Records'!$D$155:$D$385,255),0))="","",INDEX('Disaggregation Records'!$F$155:$F$385,MATCH(RIGHT(Q1001,255),RIGHT('Disaggregation Records'!$D$155:$D$385,255),0))),"")</f>
        <v/>
      </c>
      <c r="T1001" s="89" t="str">
        <f t="array" aca="1" ref="T1001" ca="1">IFERROR(IF(INDEX('Disaggregation Records'!$H$155:$H$385,MATCH(RIGHT(Q1001,255),RIGHT('Disaggregation Records'!$D$155:$D$385,255),0))="","",INDEX('Disaggregation Records'!$H$155:$H$385,MATCH(RIGHT(Q1001,255),RIGHT('Disaggregation Records'!$D$155:$D$385,255),0))),"")</f>
        <v/>
      </c>
      <c r="U1001" s="89">
        <f>U999+1</f>
        <v>1610</v>
      </c>
      <c r="V1001" s="89" t="str">
        <f t="array" aca="1" ref="V1001" ca="1">IFERROR(IF(INDEX('Disaggregation Records'!$I$155:$I$385,MATCH(RIGHT(Q1001,255),RIGHT('Disaggregation Records'!$D$155:$D$385,255),0))="","",INDEX('Disaggregation Records'!$I$155:$I$385,MATCH(RIGHT(Q1001,255),RIGHT('Disaggregation Records'!$D$155:$D$385,255),0))),"")</f>
        <v/>
      </c>
      <c r="W1001" s="89" t="str">
        <f ca="1">IFERROR(INDEX('Reference Records'!L$77:L$157,MATCH(LEFT(C1001,255),'Reference Records'!E$77:E$157,0)),"")</f>
        <v>TCP-8 Percentage of new and relapse TB patients tested using WHO recommended rapid tests at the time of diagnosis</v>
      </c>
    </row>
    <row r="1002" spans="1:23" s="89" customFormat="1" ht="40.35" customHeight="1">
      <c r="A1002" s="564"/>
      <c r="B1002" s="799"/>
      <c r="C1002" s="800"/>
      <c r="D1002" s="801"/>
      <c r="E1002" s="801"/>
      <c r="F1002" s="128"/>
      <c r="G1002" s="802"/>
      <c r="H1002" s="781"/>
      <c r="I1002" s="803"/>
      <c r="J1002" s="779"/>
      <c r="K1002" s="800"/>
      <c r="L1002" s="800"/>
      <c r="M1002" s="779"/>
      <c r="N1002" s="779"/>
    </row>
    <row r="1003" spans="1:23" s="89" customFormat="1" ht="40.35" customHeight="1">
      <c r="A1003" s="564" t="str">
        <f ca="1">INDIRECT("'update Helper'!C"&amp;U1003)</f>
        <v>a163p000004VjnmAAC</v>
      </c>
      <c r="B1003" s="794">
        <v>10</v>
      </c>
      <c r="C1003" s="795" t="str">
        <f ca="1">VLOOKUP(B1003,'Coverage Indicators - Section D'!$A$9:$AU$70,47,FALSE)</f>
        <v>TCP-8 Porcentaje de pacientes de tuberculosis notificados como casos nuevos y recaídas analizados con las pruebas rápidas recomendadas por la OMS en el momento del diagnóstico.</v>
      </c>
      <c r="D1003" s="796" t="str">
        <f ca="1">R1003</f>
        <v/>
      </c>
      <c r="E1003" s="796" t="str">
        <f ca="1">S1003</f>
        <v/>
      </c>
      <c r="F1003" s="127"/>
      <c r="G1003" s="797" t="str">
        <f ca="1">IF(OR(INDIRECT("'update Helper'!E"&amp;U1003)="",F1003&lt;&gt;0,F1004&lt;&gt;0),IF(IFERROR((F1003/F1004),"")="","",(F1003/F1004)),INDIRECT("'update Helper'!E"&amp;U1003)/100)</f>
        <v/>
      </c>
      <c r="H1003" s="784"/>
      <c r="I1003" s="798"/>
      <c r="J1003" s="777"/>
      <c r="K1003" s="795" t="str">
        <f ca="1">W1003</f>
        <v>TCP-8 Percentage of new and relapse TB patients tested using WHO recommended rapid tests at the time of diagnosis</v>
      </c>
      <c r="L1003" s="795" t="str">
        <f ca="1">V1003</f>
        <v/>
      </c>
      <c r="M1003" s="777"/>
      <c r="N1003" s="777"/>
      <c r="P1003" s="89">
        <f ca="1">IF(AND(EXACT(C1003,C1001),C1001&lt;&gt;0),P1001+1,0)</f>
        <v>11</v>
      </c>
      <c r="Q1003" s="89" t="str">
        <f ca="1">IF(C1003&lt;&gt;"",C1003&amp;"-"&amp;P1003,"")</f>
        <v>TCP-8 Porcentaje de pacientes de tuberculosis notificados como casos nuevos y recaídas analizados con las pruebas rápidas recomendadas por la OMS en el momento del diagnóstico.-11</v>
      </c>
      <c r="R1003" s="89" t="str">
        <f t="array" aca="1" ref="R1003" ca="1">IFERROR(IF(INDEX('Disaggregation Records'!$E$155:$E$385,MATCH(RIGHT(Q1003,255),RIGHT('Disaggregation Records'!$D$155:$D$385,255),0))="","",INDEX('Disaggregation Records'!$E$155:$E$385,MATCH(RIGHT(Q1003,255),RIGHT('Disaggregation Records'!$D$155:$D$385,255),0))),"")</f>
        <v/>
      </c>
      <c r="S1003" s="89" t="str">
        <f t="array" aca="1" ref="S1003" ca="1">IFERROR(IF(INDEX('Disaggregation Records'!$F$155:$F$385,MATCH(RIGHT(Q1003,255),RIGHT('Disaggregation Records'!$D$155:$D$385,255),0))="","",INDEX('Disaggregation Records'!$F$155:$F$385,MATCH(RIGHT(Q1003,255),RIGHT('Disaggregation Records'!$D$155:$D$385,255),0))),"")</f>
        <v/>
      </c>
      <c r="T1003" s="89" t="str">
        <f t="array" aca="1" ref="T1003" ca="1">IFERROR(IF(INDEX('Disaggregation Records'!$H$155:$H$385,MATCH(RIGHT(Q1003,255),RIGHT('Disaggregation Records'!$D$155:$D$385,255),0))="","",INDEX('Disaggregation Records'!$H$155:$H$385,MATCH(RIGHT(Q1003,255),RIGHT('Disaggregation Records'!$D$155:$D$385,255),0))),"")</f>
        <v/>
      </c>
      <c r="U1003" s="89">
        <f>U1001+1</f>
        <v>1611</v>
      </c>
      <c r="V1003" s="89" t="str">
        <f t="array" aca="1" ref="V1003" ca="1">IFERROR(IF(INDEX('Disaggregation Records'!$I$155:$I$385,MATCH(RIGHT(Q1003,255),RIGHT('Disaggregation Records'!$D$155:$D$385,255),0))="","",INDEX('Disaggregation Records'!$I$155:$I$385,MATCH(RIGHT(Q1003,255),RIGHT('Disaggregation Records'!$D$155:$D$385,255),0))),"")</f>
        <v/>
      </c>
      <c r="W1003" s="89" t="str">
        <f ca="1">IFERROR(INDEX('Reference Records'!L$77:L$157,MATCH(LEFT(C1003,255),'Reference Records'!E$77:E$157,0)),"")</f>
        <v>TCP-8 Percentage of new and relapse TB patients tested using WHO recommended rapid tests at the time of diagnosis</v>
      </c>
    </row>
    <row r="1004" spans="1:23" s="89" customFormat="1" ht="40.35" customHeight="1">
      <c r="A1004" s="564"/>
      <c r="B1004" s="799"/>
      <c r="C1004" s="800"/>
      <c r="D1004" s="801"/>
      <c r="E1004" s="801"/>
      <c r="F1004" s="128"/>
      <c r="G1004" s="802"/>
      <c r="H1004" s="781"/>
      <c r="I1004" s="803"/>
      <c r="J1004" s="779"/>
      <c r="K1004" s="800"/>
      <c r="L1004" s="800"/>
      <c r="M1004" s="779"/>
      <c r="N1004" s="779"/>
    </row>
    <row r="1005" spans="1:23" s="89" customFormat="1" ht="40.35" customHeight="1">
      <c r="A1005" s="564" t="str">
        <f ca="1">INDIRECT("'update Helper'!C"&amp;U1005)</f>
        <v>a163p000004VjnnAAC</v>
      </c>
      <c r="B1005" s="794">
        <v>10</v>
      </c>
      <c r="C1005" s="795" t="str">
        <f ca="1">VLOOKUP(B1005,'Coverage Indicators - Section D'!$A$9:$AU$70,47,FALSE)</f>
        <v>TCP-8 Porcentaje de pacientes de tuberculosis notificados como casos nuevos y recaídas analizados con las pruebas rápidas recomendadas por la OMS en el momento del diagnóstico.</v>
      </c>
      <c r="D1005" s="796" t="str">
        <f ca="1">R1005</f>
        <v/>
      </c>
      <c r="E1005" s="796" t="str">
        <f ca="1">S1005</f>
        <v/>
      </c>
      <c r="F1005" s="127"/>
      <c r="G1005" s="797" t="str">
        <f ca="1">IF(OR(INDIRECT("'update Helper'!E"&amp;U1005)="",F1005&lt;&gt;0,F1006&lt;&gt;0),IF(IFERROR((F1005/F1006),"")="","",(F1005/F1006)),INDIRECT("'update Helper'!E"&amp;U1005)/100)</f>
        <v/>
      </c>
      <c r="H1005" s="784"/>
      <c r="I1005" s="798"/>
      <c r="J1005" s="777"/>
      <c r="K1005" s="795" t="str">
        <f ca="1">W1005</f>
        <v>TCP-8 Percentage of new and relapse TB patients tested using WHO recommended rapid tests at the time of diagnosis</v>
      </c>
      <c r="L1005" s="795" t="str">
        <f ca="1">V1005</f>
        <v/>
      </c>
      <c r="M1005" s="777"/>
      <c r="N1005" s="777"/>
      <c r="P1005" s="89">
        <f ca="1">IF(AND(EXACT(C1005,C1003),C1003&lt;&gt;0),P1003+1,0)</f>
        <v>12</v>
      </c>
      <c r="Q1005" s="89" t="str">
        <f ca="1">IF(C1005&lt;&gt;"",C1005&amp;"-"&amp;P1005,"")</f>
        <v>TCP-8 Porcentaje de pacientes de tuberculosis notificados como casos nuevos y recaídas analizados con las pruebas rápidas recomendadas por la OMS en el momento del diagnóstico.-12</v>
      </c>
      <c r="R1005" s="89" t="str">
        <f t="array" aca="1" ref="R1005" ca="1">IFERROR(IF(INDEX('Disaggregation Records'!$E$155:$E$385,MATCH(RIGHT(Q1005,255),RIGHT('Disaggregation Records'!$D$155:$D$385,255),0))="","",INDEX('Disaggregation Records'!$E$155:$E$385,MATCH(RIGHT(Q1005,255),RIGHT('Disaggregation Records'!$D$155:$D$385,255),0))),"")</f>
        <v/>
      </c>
      <c r="S1005" s="89" t="str">
        <f t="array" aca="1" ref="S1005" ca="1">IFERROR(IF(INDEX('Disaggregation Records'!$F$155:$F$385,MATCH(RIGHT(Q1005,255),RIGHT('Disaggregation Records'!$D$155:$D$385,255),0))="","",INDEX('Disaggregation Records'!$F$155:$F$385,MATCH(RIGHT(Q1005,255),RIGHT('Disaggregation Records'!$D$155:$D$385,255),0))),"")</f>
        <v/>
      </c>
      <c r="T1005" s="89" t="str">
        <f t="array" aca="1" ref="T1005" ca="1">IFERROR(IF(INDEX('Disaggregation Records'!$H$155:$H$385,MATCH(RIGHT(Q1005,255),RIGHT('Disaggregation Records'!$D$155:$D$385,255),0))="","",INDEX('Disaggregation Records'!$H$155:$H$385,MATCH(RIGHT(Q1005,255),RIGHT('Disaggregation Records'!$D$155:$D$385,255),0))),"")</f>
        <v/>
      </c>
      <c r="U1005" s="89">
        <f>U1003+1</f>
        <v>1612</v>
      </c>
      <c r="V1005" s="89" t="str">
        <f t="array" aca="1" ref="V1005" ca="1">IFERROR(IF(INDEX('Disaggregation Records'!$I$155:$I$385,MATCH(RIGHT(Q1005,255),RIGHT('Disaggregation Records'!$D$155:$D$385,255),0))="","",INDEX('Disaggregation Records'!$I$155:$I$385,MATCH(RIGHT(Q1005,255),RIGHT('Disaggregation Records'!$D$155:$D$385,255),0))),"")</f>
        <v/>
      </c>
      <c r="W1005" s="89" t="str">
        <f ca="1">IFERROR(INDEX('Reference Records'!L$77:L$157,MATCH(LEFT(C1005,255),'Reference Records'!E$77:E$157,0)),"")</f>
        <v>TCP-8 Percentage of new and relapse TB patients tested using WHO recommended rapid tests at the time of diagnosis</v>
      </c>
    </row>
    <row r="1006" spans="1:23" s="89" customFormat="1" ht="40.35" customHeight="1">
      <c r="A1006" s="564"/>
      <c r="B1006" s="799"/>
      <c r="C1006" s="800"/>
      <c r="D1006" s="801"/>
      <c r="E1006" s="801"/>
      <c r="F1006" s="128"/>
      <c r="G1006" s="802"/>
      <c r="H1006" s="781"/>
      <c r="I1006" s="803"/>
      <c r="J1006" s="779"/>
      <c r="K1006" s="800"/>
      <c r="L1006" s="800"/>
      <c r="M1006" s="779"/>
      <c r="N1006" s="779"/>
    </row>
    <row r="1007" spans="1:23" s="89" customFormat="1" ht="40.35" customHeight="1">
      <c r="A1007" s="564" t="str">
        <f ca="1">INDIRECT("'update Helper'!C"&amp;U1007)</f>
        <v>a163p000004VjnoAAC</v>
      </c>
      <c r="B1007" s="794">
        <v>10</v>
      </c>
      <c r="C1007" s="795" t="str">
        <f ca="1">VLOOKUP(B1007,'Coverage Indicators - Section D'!$A$9:$AU$70,47,FALSE)</f>
        <v>TCP-8 Porcentaje de pacientes de tuberculosis notificados como casos nuevos y recaídas analizados con las pruebas rápidas recomendadas por la OMS en el momento del diagnóstico.</v>
      </c>
      <c r="D1007" s="796" t="str">
        <f ca="1">R1007</f>
        <v/>
      </c>
      <c r="E1007" s="796" t="str">
        <f ca="1">S1007</f>
        <v/>
      </c>
      <c r="F1007" s="127"/>
      <c r="G1007" s="797" t="str">
        <f ca="1">IF(OR(INDIRECT("'update Helper'!E"&amp;U1007)="",F1007&lt;&gt;0,F1008&lt;&gt;0),IF(IFERROR((F1007/F1008),"")="","",(F1007/F1008)),INDIRECT("'update Helper'!E"&amp;U1007)/100)</f>
        <v/>
      </c>
      <c r="H1007" s="784"/>
      <c r="I1007" s="798"/>
      <c r="J1007" s="777"/>
      <c r="K1007" s="795" t="str">
        <f ca="1">W1007</f>
        <v>TCP-8 Percentage of new and relapse TB patients tested using WHO recommended rapid tests at the time of diagnosis</v>
      </c>
      <c r="L1007" s="795" t="str">
        <f ca="1">V1007</f>
        <v/>
      </c>
      <c r="M1007" s="777"/>
      <c r="N1007" s="777"/>
      <c r="P1007" s="89">
        <f ca="1">IF(AND(EXACT(C1007,C1005),C1005&lt;&gt;0),P1005+1,0)</f>
        <v>13</v>
      </c>
      <c r="Q1007" s="89" t="str">
        <f ca="1">IF(C1007&lt;&gt;"",C1007&amp;"-"&amp;P1007,"")</f>
        <v>TCP-8 Porcentaje de pacientes de tuberculosis notificados como casos nuevos y recaídas analizados con las pruebas rápidas recomendadas por la OMS en el momento del diagnóstico.-13</v>
      </c>
      <c r="R1007" s="89" t="str">
        <f t="array" aca="1" ref="R1007" ca="1">IFERROR(IF(INDEX('Disaggregation Records'!$E$155:$E$385,MATCH(RIGHT(Q1007,255),RIGHT('Disaggregation Records'!$D$155:$D$385,255),0))="","",INDEX('Disaggregation Records'!$E$155:$E$385,MATCH(RIGHT(Q1007,255),RIGHT('Disaggregation Records'!$D$155:$D$385,255),0))),"")</f>
        <v/>
      </c>
      <c r="S1007" s="89" t="str">
        <f t="array" aca="1" ref="S1007" ca="1">IFERROR(IF(INDEX('Disaggregation Records'!$F$155:$F$385,MATCH(RIGHT(Q1007,255),RIGHT('Disaggregation Records'!$D$155:$D$385,255),0))="","",INDEX('Disaggregation Records'!$F$155:$F$385,MATCH(RIGHT(Q1007,255),RIGHT('Disaggregation Records'!$D$155:$D$385,255),0))),"")</f>
        <v/>
      </c>
      <c r="T1007" s="89" t="str">
        <f t="array" aca="1" ref="T1007" ca="1">IFERROR(IF(INDEX('Disaggregation Records'!$H$155:$H$385,MATCH(RIGHT(Q1007,255),RIGHT('Disaggregation Records'!$D$155:$D$385,255),0))="","",INDEX('Disaggregation Records'!$H$155:$H$385,MATCH(RIGHT(Q1007,255),RIGHT('Disaggregation Records'!$D$155:$D$385,255),0))),"")</f>
        <v/>
      </c>
      <c r="U1007" s="89">
        <f>U1005+1</f>
        <v>1613</v>
      </c>
      <c r="V1007" s="89" t="str">
        <f t="array" aca="1" ref="V1007" ca="1">IFERROR(IF(INDEX('Disaggregation Records'!$I$155:$I$385,MATCH(RIGHT(Q1007,255),RIGHT('Disaggregation Records'!$D$155:$D$385,255),0))="","",INDEX('Disaggregation Records'!$I$155:$I$385,MATCH(RIGHT(Q1007,255),RIGHT('Disaggregation Records'!$D$155:$D$385,255),0))),"")</f>
        <v/>
      </c>
      <c r="W1007" s="89" t="str">
        <f ca="1">IFERROR(INDEX('Reference Records'!L$77:L$157,MATCH(LEFT(C1007,255),'Reference Records'!E$77:E$157,0)),"")</f>
        <v>TCP-8 Percentage of new and relapse TB patients tested using WHO recommended rapid tests at the time of diagnosis</v>
      </c>
    </row>
    <row r="1008" spans="1:23" s="89" customFormat="1" ht="40.35" customHeight="1">
      <c r="A1008" s="564"/>
      <c r="B1008" s="799"/>
      <c r="C1008" s="800"/>
      <c r="D1008" s="801"/>
      <c r="E1008" s="801"/>
      <c r="F1008" s="128"/>
      <c r="G1008" s="802"/>
      <c r="H1008" s="781"/>
      <c r="I1008" s="803"/>
      <c r="J1008" s="779"/>
      <c r="K1008" s="800"/>
      <c r="L1008" s="800"/>
      <c r="M1008" s="779"/>
      <c r="N1008" s="779"/>
    </row>
    <row r="1009" spans="1:23" s="89" customFormat="1" ht="40.35" customHeight="1">
      <c r="A1009" s="564" t="str">
        <f ca="1">INDIRECT("'update Helper'!C"&amp;U1009)</f>
        <v>a163p000004VjnpAAC</v>
      </c>
      <c r="B1009" s="794">
        <v>10</v>
      </c>
      <c r="C1009" s="795" t="str">
        <f ca="1">VLOOKUP(B1009,'Coverage Indicators - Section D'!$A$9:$AU$70,47,FALSE)</f>
        <v>TCP-8 Porcentaje de pacientes de tuberculosis notificados como casos nuevos y recaídas analizados con las pruebas rápidas recomendadas por la OMS en el momento del diagnóstico.</v>
      </c>
      <c r="D1009" s="796" t="str">
        <f ca="1">R1009</f>
        <v/>
      </c>
      <c r="E1009" s="796" t="str">
        <f ca="1">S1009</f>
        <v/>
      </c>
      <c r="F1009" s="127"/>
      <c r="G1009" s="797" t="str">
        <f ca="1">IF(OR(INDIRECT("'update Helper'!E"&amp;U1009)="",F1009&lt;&gt;0,F1010&lt;&gt;0),IF(IFERROR((F1009/F1010),"")="","",(F1009/F1010)),INDIRECT("'update Helper'!E"&amp;U1009)/100)</f>
        <v/>
      </c>
      <c r="H1009" s="784"/>
      <c r="I1009" s="798"/>
      <c r="J1009" s="777"/>
      <c r="K1009" s="795" t="str">
        <f ca="1">W1009</f>
        <v>TCP-8 Percentage of new and relapse TB patients tested using WHO recommended rapid tests at the time of diagnosis</v>
      </c>
      <c r="L1009" s="795" t="str">
        <f ca="1">V1009</f>
        <v/>
      </c>
      <c r="M1009" s="777"/>
      <c r="N1009" s="777"/>
      <c r="P1009" s="89">
        <f ca="1">IF(AND(EXACT(C1009,C1007),C1007&lt;&gt;0),P1007+1,0)</f>
        <v>14</v>
      </c>
      <c r="Q1009" s="89" t="str">
        <f ca="1">IF(C1009&lt;&gt;"",C1009&amp;"-"&amp;P1009,"")</f>
        <v>TCP-8 Porcentaje de pacientes de tuberculosis notificados como casos nuevos y recaídas analizados con las pruebas rápidas recomendadas por la OMS en el momento del diagnóstico.-14</v>
      </c>
      <c r="R1009" s="89" t="str">
        <f t="array" aca="1" ref="R1009" ca="1">IFERROR(IF(INDEX('Disaggregation Records'!$E$155:$E$385,MATCH(RIGHT(Q1009,255),RIGHT('Disaggregation Records'!$D$155:$D$385,255),0))="","",INDEX('Disaggregation Records'!$E$155:$E$385,MATCH(RIGHT(Q1009,255),RIGHT('Disaggregation Records'!$D$155:$D$385,255),0))),"")</f>
        <v/>
      </c>
      <c r="S1009" s="89" t="str">
        <f t="array" aca="1" ref="S1009" ca="1">IFERROR(IF(INDEX('Disaggregation Records'!$F$155:$F$385,MATCH(RIGHT(Q1009,255),RIGHT('Disaggregation Records'!$D$155:$D$385,255),0))="","",INDEX('Disaggregation Records'!$F$155:$F$385,MATCH(RIGHT(Q1009,255),RIGHT('Disaggregation Records'!$D$155:$D$385,255),0))),"")</f>
        <v/>
      </c>
      <c r="T1009" s="89" t="str">
        <f t="array" aca="1" ref="T1009" ca="1">IFERROR(IF(INDEX('Disaggregation Records'!$H$155:$H$385,MATCH(RIGHT(Q1009,255),RIGHT('Disaggregation Records'!$D$155:$D$385,255),0))="","",INDEX('Disaggregation Records'!$H$155:$H$385,MATCH(RIGHT(Q1009,255),RIGHT('Disaggregation Records'!$D$155:$D$385,255),0))),"")</f>
        <v/>
      </c>
      <c r="U1009" s="89">
        <f>U1007+1</f>
        <v>1614</v>
      </c>
      <c r="V1009" s="89" t="str">
        <f t="array" aca="1" ref="V1009" ca="1">IFERROR(IF(INDEX('Disaggregation Records'!$I$155:$I$385,MATCH(RIGHT(Q1009,255),RIGHT('Disaggregation Records'!$D$155:$D$385,255),0))="","",INDEX('Disaggregation Records'!$I$155:$I$385,MATCH(RIGHT(Q1009,255),RIGHT('Disaggregation Records'!$D$155:$D$385,255),0))),"")</f>
        <v/>
      </c>
      <c r="W1009" s="89" t="str">
        <f ca="1">IFERROR(INDEX('Reference Records'!L$77:L$157,MATCH(LEFT(C1009,255),'Reference Records'!E$77:E$157,0)),"")</f>
        <v>TCP-8 Percentage of new and relapse TB patients tested using WHO recommended rapid tests at the time of diagnosis</v>
      </c>
    </row>
    <row r="1010" spans="1:23" s="89" customFormat="1" ht="40.35" customHeight="1">
      <c r="A1010" s="564"/>
      <c r="B1010" s="799"/>
      <c r="C1010" s="800"/>
      <c r="D1010" s="801"/>
      <c r="E1010" s="801"/>
      <c r="F1010" s="128"/>
      <c r="G1010" s="802"/>
      <c r="H1010" s="781"/>
      <c r="I1010" s="803"/>
      <c r="J1010" s="779"/>
      <c r="K1010" s="800"/>
      <c r="L1010" s="800"/>
      <c r="M1010" s="779"/>
      <c r="N1010" s="779"/>
    </row>
    <row r="1011" spans="1:23" s="89" customFormat="1" ht="40.35" customHeight="1">
      <c r="A1011" s="564" t="str">
        <f ca="1">INDIRECT("'update Helper'!C"&amp;U1011)</f>
        <v>a163p000004VjnqAAC</v>
      </c>
      <c r="B1011" s="794">
        <v>10</v>
      </c>
      <c r="C1011" s="795" t="str">
        <f ca="1">VLOOKUP(B1011,'Coverage Indicators - Section D'!$A$9:$AU$70,47,FALSE)</f>
        <v>TCP-8 Porcentaje de pacientes de tuberculosis notificados como casos nuevos y recaídas analizados con las pruebas rápidas recomendadas por la OMS en el momento del diagnóstico.</v>
      </c>
      <c r="D1011" s="796" t="str">
        <f ca="1">R1011</f>
        <v/>
      </c>
      <c r="E1011" s="796" t="str">
        <f ca="1">S1011</f>
        <v/>
      </c>
      <c r="F1011" s="127"/>
      <c r="G1011" s="797" t="str">
        <f ca="1">IF(OR(INDIRECT("'update Helper'!E"&amp;U1011)="",F1011&lt;&gt;0,F1012&lt;&gt;0),IF(IFERROR((F1011/F1012),"")="","",(F1011/F1012)),INDIRECT("'update Helper'!E"&amp;U1011)/100)</f>
        <v/>
      </c>
      <c r="H1011" s="784"/>
      <c r="I1011" s="798"/>
      <c r="J1011" s="777"/>
      <c r="K1011" s="795" t="str">
        <f ca="1">W1011</f>
        <v>TCP-8 Percentage of new and relapse TB patients tested using WHO recommended rapid tests at the time of diagnosis</v>
      </c>
      <c r="L1011" s="795" t="str">
        <f ca="1">V1011</f>
        <v/>
      </c>
      <c r="M1011" s="777"/>
      <c r="N1011" s="777"/>
      <c r="P1011" s="89">
        <f ca="1">IF(AND(EXACT(C1011,C1009),C1009&lt;&gt;0),P1009+1,0)</f>
        <v>15</v>
      </c>
      <c r="Q1011" s="89" t="str">
        <f ca="1">IF(C1011&lt;&gt;"",C1011&amp;"-"&amp;P1011,"")</f>
        <v>TCP-8 Porcentaje de pacientes de tuberculosis notificados como casos nuevos y recaídas analizados con las pruebas rápidas recomendadas por la OMS en el momento del diagnóstico.-15</v>
      </c>
      <c r="R1011" s="89" t="str">
        <f t="array" aca="1" ref="R1011" ca="1">IFERROR(IF(INDEX('Disaggregation Records'!$E$155:$E$385,MATCH(RIGHT(Q1011,255),RIGHT('Disaggregation Records'!$D$155:$D$385,255),0))="","",INDEX('Disaggregation Records'!$E$155:$E$385,MATCH(RIGHT(Q1011,255),RIGHT('Disaggregation Records'!$D$155:$D$385,255),0))),"")</f>
        <v/>
      </c>
      <c r="S1011" s="89" t="str">
        <f t="array" aca="1" ref="S1011" ca="1">IFERROR(IF(INDEX('Disaggregation Records'!$F$155:$F$385,MATCH(RIGHT(Q1011,255),RIGHT('Disaggregation Records'!$D$155:$D$385,255),0))="","",INDEX('Disaggregation Records'!$F$155:$F$385,MATCH(RIGHT(Q1011,255),RIGHT('Disaggregation Records'!$D$155:$D$385,255),0))),"")</f>
        <v/>
      </c>
      <c r="T1011" s="89" t="str">
        <f t="array" aca="1" ref="T1011" ca="1">IFERROR(IF(INDEX('Disaggregation Records'!$H$155:$H$385,MATCH(RIGHT(Q1011,255),RIGHT('Disaggregation Records'!$D$155:$D$385,255),0))="","",INDEX('Disaggregation Records'!$H$155:$H$385,MATCH(RIGHT(Q1011,255),RIGHT('Disaggregation Records'!$D$155:$D$385,255),0))),"")</f>
        <v/>
      </c>
      <c r="U1011" s="89">
        <f>U1009+1</f>
        <v>1615</v>
      </c>
      <c r="V1011" s="89" t="str">
        <f t="array" aca="1" ref="V1011" ca="1">IFERROR(IF(INDEX('Disaggregation Records'!$I$155:$I$385,MATCH(RIGHT(Q1011,255),RIGHT('Disaggregation Records'!$D$155:$D$385,255),0))="","",INDEX('Disaggregation Records'!$I$155:$I$385,MATCH(RIGHT(Q1011,255),RIGHT('Disaggregation Records'!$D$155:$D$385,255),0))),"")</f>
        <v/>
      </c>
      <c r="W1011" s="89" t="str">
        <f ca="1">IFERROR(INDEX('Reference Records'!L$77:L$157,MATCH(LEFT(C1011,255),'Reference Records'!E$77:E$157,0)),"")</f>
        <v>TCP-8 Percentage of new and relapse TB patients tested using WHO recommended rapid tests at the time of diagnosis</v>
      </c>
    </row>
    <row r="1012" spans="1:23" s="89" customFormat="1" ht="40.35" customHeight="1">
      <c r="A1012" s="564"/>
      <c r="B1012" s="799"/>
      <c r="C1012" s="800"/>
      <c r="D1012" s="801"/>
      <c r="E1012" s="801"/>
      <c r="F1012" s="128"/>
      <c r="G1012" s="802"/>
      <c r="H1012" s="781"/>
      <c r="I1012" s="803"/>
      <c r="J1012" s="779"/>
      <c r="K1012" s="800"/>
      <c r="L1012" s="800"/>
      <c r="M1012" s="779"/>
      <c r="N1012" s="779"/>
    </row>
    <row r="1013" spans="1:23" s="89" customFormat="1" ht="40.35" customHeight="1">
      <c r="A1013" s="564" t="str">
        <f ca="1">INDIRECT("'update Helper'!C"&amp;U1013)</f>
        <v>a163p000004VjnrAAC</v>
      </c>
      <c r="B1013" s="794">
        <v>10</v>
      </c>
      <c r="C1013" s="795" t="str">
        <f ca="1">VLOOKUP(B1013,'Coverage Indicators - Section D'!$A$9:$AU$70,47,FALSE)</f>
        <v>TCP-8 Porcentaje de pacientes de tuberculosis notificados como casos nuevos y recaídas analizados con las pruebas rápidas recomendadas por la OMS en el momento del diagnóstico.</v>
      </c>
      <c r="D1013" s="796" t="str">
        <f ca="1">R1013</f>
        <v/>
      </c>
      <c r="E1013" s="796" t="str">
        <f ca="1">S1013</f>
        <v/>
      </c>
      <c r="F1013" s="127"/>
      <c r="G1013" s="797" t="str">
        <f ca="1">IF(OR(INDIRECT("'update Helper'!E"&amp;U1013)="",F1013&lt;&gt;0,F1014&lt;&gt;0),IF(IFERROR((F1013/F1014),"")="","",(F1013/F1014)),INDIRECT("'update Helper'!E"&amp;U1013)/100)</f>
        <v/>
      </c>
      <c r="H1013" s="784"/>
      <c r="I1013" s="798"/>
      <c r="J1013" s="777"/>
      <c r="K1013" s="795" t="str">
        <f ca="1">W1013</f>
        <v>TCP-8 Percentage of new and relapse TB patients tested using WHO recommended rapid tests at the time of diagnosis</v>
      </c>
      <c r="L1013" s="795" t="str">
        <f ca="1">V1013</f>
        <v/>
      </c>
      <c r="M1013" s="777"/>
      <c r="N1013" s="777"/>
      <c r="P1013" s="89">
        <f ca="1">IF(AND(EXACT(C1013,C1011),C1011&lt;&gt;0),P1011+1,0)</f>
        <v>16</v>
      </c>
      <c r="Q1013" s="89" t="str">
        <f ca="1">IF(C1013&lt;&gt;"",C1013&amp;"-"&amp;P1013,"")</f>
        <v>TCP-8 Porcentaje de pacientes de tuberculosis notificados como casos nuevos y recaídas analizados con las pruebas rápidas recomendadas por la OMS en el momento del diagnóstico.-16</v>
      </c>
      <c r="R1013" s="89" t="str">
        <f t="array" aca="1" ref="R1013" ca="1">IFERROR(IF(INDEX('Disaggregation Records'!$E$155:$E$385,MATCH(RIGHT(Q1013,255),RIGHT('Disaggregation Records'!$D$155:$D$385,255),0))="","",INDEX('Disaggregation Records'!$E$155:$E$385,MATCH(RIGHT(Q1013,255),RIGHT('Disaggregation Records'!$D$155:$D$385,255),0))),"")</f>
        <v/>
      </c>
      <c r="S1013" s="89" t="str">
        <f t="array" aca="1" ref="S1013" ca="1">IFERROR(IF(INDEX('Disaggregation Records'!$F$155:$F$385,MATCH(RIGHT(Q1013,255),RIGHT('Disaggregation Records'!$D$155:$D$385,255),0))="","",INDEX('Disaggregation Records'!$F$155:$F$385,MATCH(RIGHT(Q1013,255),RIGHT('Disaggregation Records'!$D$155:$D$385,255),0))),"")</f>
        <v/>
      </c>
      <c r="T1013" s="89" t="str">
        <f t="array" aca="1" ref="T1013" ca="1">IFERROR(IF(INDEX('Disaggregation Records'!$H$155:$H$385,MATCH(RIGHT(Q1013,255),RIGHT('Disaggregation Records'!$D$155:$D$385,255),0))="","",INDEX('Disaggregation Records'!$H$155:$H$385,MATCH(RIGHT(Q1013,255),RIGHT('Disaggregation Records'!$D$155:$D$385,255),0))),"")</f>
        <v/>
      </c>
      <c r="U1013" s="89">
        <f>U1011+1</f>
        <v>1616</v>
      </c>
      <c r="V1013" s="89" t="str">
        <f t="array" aca="1" ref="V1013" ca="1">IFERROR(IF(INDEX('Disaggregation Records'!$I$155:$I$385,MATCH(RIGHT(Q1013,255),RIGHT('Disaggregation Records'!$D$155:$D$385,255),0))="","",INDEX('Disaggregation Records'!$I$155:$I$385,MATCH(RIGHT(Q1013,255),RIGHT('Disaggregation Records'!$D$155:$D$385,255),0))),"")</f>
        <v/>
      </c>
      <c r="W1013" s="89" t="str">
        <f ca="1">IFERROR(INDEX('Reference Records'!L$77:L$157,MATCH(LEFT(C1013,255),'Reference Records'!E$77:E$157,0)),"")</f>
        <v>TCP-8 Percentage of new and relapse TB patients tested using WHO recommended rapid tests at the time of diagnosis</v>
      </c>
    </row>
    <row r="1014" spans="1:23" s="89" customFormat="1" ht="40.35" customHeight="1">
      <c r="A1014" s="564"/>
      <c r="B1014" s="799"/>
      <c r="C1014" s="800"/>
      <c r="D1014" s="801"/>
      <c r="E1014" s="801"/>
      <c r="F1014" s="128"/>
      <c r="G1014" s="802"/>
      <c r="H1014" s="781"/>
      <c r="I1014" s="803"/>
      <c r="J1014" s="779"/>
      <c r="K1014" s="800"/>
      <c r="L1014" s="800"/>
      <c r="M1014" s="779"/>
      <c r="N1014" s="779"/>
    </row>
    <row r="1015" spans="1:23" s="89" customFormat="1" ht="40.35" customHeight="1">
      <c r="A1015" s="564" t="str">
        <f ca="1">INDIRECT("'update Helper'!C"&amp;U1015)</f>
        <v>a163p000004VjnsAAC</v>
      </c>
      <c r="B1015" s="794">
        <v>10</v>
      </c>
      <c r="C1015" s="795" t="str">
        <f ca="1">VLOOKUP(B1015,'Coverage Indicators - Section D'!$A$9:$AU$70,47,FALSE)</f>
        <v>TCP-8 Porcentaje de pacientes de tuberculosis notificados como casos nuevos y recaídas analizados con las pruebas rápidas recomendadas por la OMS en el momento del diagnóstico.</v>
      </c>
      <c r="D1015" s="796" t="str">
        <f ca="1">R1015</f>
        <v/>
      </c>
      <c r="E1015" s="796" t="str">
        <f ca="1">S1015</f>
        <v/>
      </c>
      <c r="F1015" s="127"/>
      <c r="G1015" s="797" t="str">
        <f ca="1">IF(OR(INDIRECT("'update Helper'!E"&amp;U1015)="",F1015&lt;&gt;0,F1016&lt;&gt;0),IF(IFERROR((F1015/F1016),"")="","",(F1015/F1016)),INDIRECT("'update Helper'!E"&amp;U1015)/100)</f>
        <v/>
      </c>
      <c r="H1015" s="784"/>
      <c r="I1015" s="798"/>
      <c r="J1015" s="777"/>
      <c r="K1015" s="795" t="str">
        <f ca="1">W1015</f>
        <v>TCP-8 Percentage of new and relapse TB patients tested using WHO recommended rapid tests at the time of diagnosis</v>
      </c>
      <c r="L1015" s="795" t="str">
        <f ca="1">V1015</f>
        <v/>
      </c>
      <c r="M1015" s="777"/>
      <c r="N1015" s="777"/>
      <c r="P1015" s="89">
        <f ca="1">IF(AND(EXACT(C1015,C1013),C1013&lt;&gt;0),P1013+1,0)</f>
        <v>17</v>
      </c>
      <c r="Q1015" s="89" t="str">
        <f ca="1">IF(C1015&lt;&gt;"",C1015&amp;"-"&amp;P1015,"")</f>
        <v>TCP-8 Porcentaje de pacientes de tuberculosis notificados como casos nuevos y recaídas analizados con las pruebas rápidas recomendadas por la OMS en el momento del diagnóstico.-17</v>
      </c>
      <c r="R1015" s="89" t="str">
        <f t="array" aca="1" ref="R1015" ca="1">IFERROR(IF(INDEX('Disaggregation Records'!$E$155:$E$385,MATCH(RIGHT(Q1015,255),RIGHT('Disaggregation Records'!$D$155:$D$385,255),0))="","",INDEX('Disaggregation Records'!$E$155:$E$385,MATCH(RIGHT(Q1015,255),RIGHT('Disaggregation Records'!$D$155:$D$385,255),0))),"")</f>
        <v/>
      </c>
      <c r="S1015" s="89" t="str">
        <f t="array" aca="1" ref="S1015" ca="1">IFERROR(IF(INDEX('Disaggregation Records'!$F$155:$F$385,MATCH(RIGHT(Q1015,255),RIGHT('Disaggregation Records'!$D$155:$D$385,255),0))="","",INDEX('Disaggregation Records'!$F$155:$F$385,MATCH(RIGHT(Q1015,255),RIGHT('Disaggregation Records'!$D$155:$D$385,255),0))),"")</f>
        <v/>
      </c>
      <c r="T1015" s="89" t="str">
        <f t="array" aca="1" ref="T1015" ca="1">IFERROR(IF(INDEX('Disaggregation Records'!$H$155:$H$385,MATCH(RIGHT(Q1015,255),RIGHT('Disaggregation Records'!$D$155:$D$385,255),0))="","",INDEX('Disaggregation Records'!$H$155:$H$385,MATCH(RIGHT(Q1015,255),RIGHT('Disaggregation Records'!$D$155:$D$385,255),0))),"")</f>
        <v/>
      </c>
      <c r="U1015" s="89">
        <f>U1013+1</f>
        <v>1617</v>
      </c>
      <c r="V1015" s="89" t="str">
        <f t="array" aca="1" ref="V1015" ca="1">IFERROR(IF(INDEX('Disaggregation Records'!$I$155:$I$385,MATCH(RIGHT(Q1015,255),RIGHT('Disaggregation Records'!$D$155:$D$385,255),0))="","",INDEX('Disaggregation Records'!$I$155:$I$385,MATCH(RIGHT(Q1015,255),RIGHT('Disaggregation Records'!$D$155:$D$385,255),0))),"")</f>
        <v/>
      </c>
      <c r="W1015" s="89" t="str">
        <f ca="1">IFERROR(INDEX('Reference Records'!L$77:L$157,MATCH(LEFT(C1015,255),'Reference Records'!E$77:E$157,0)),"")</f>
        <v>TCP-8 Percentage of new and relapse TB patients tested using WHO recommended rapid tests at the time of diagnosis</v>
      </c>
    </row>
    <row r="1016" spans="1:23" s="89" customFormat="1" ht="40.35" customHeight="1">
      <c r="A1016" s="564"/>
      <c r="B1016" s="799"/>
      <c r="C1016" s="800"/>
      <c r="D1016" s="801"/>
      <c r="E1016" s="801"/>
      <c r="F1016" s="128"/>
      <c r="G1016" s="802"/>
      <c r="H1016" s="781"/>
      <c r="I1016" s="803"/>
      <c r="J1016" s="779"/>
      <c r="K1016" s="800"/>
      <c r="L1016" s="800"/>
      <c r="M1016" s="779"/>
      <c r="N1016" s="779"/>
    </row>
    <row r="1017" spans="1:23" s="89" customFormat="1" ht="40.35" customHeight="1">
      <c r="A1017" s="564" t="str">
        <f ca="1">INDIRECT("'update Helper'!C"&amp;U1017)</f>
        <v>a163p000004VjntAAC</v>
      </c>
      <c r="B1017" s="794">
        <v>10</v>
      </c>
      <c r="C1017" s="795" t="str">
        <f ca="1">VLOOKUP(B1017,'Coverage Indicators - Section D'!$A$9:$AU$70,47,FALSE)</f>
        <v>TCP-8 Porcentaje de pacientes de tuberculosis notificados como casos nuevos y recaídas analizados con las pruebas rápidas recomendadas por la OMS en el momento del diagnóstico.</v>
      </c>
      <c r="D1017" s="796" t="str">
        <f ca="1">R1017</f>
        <v/>
      </c>
      <c r="E1017" s="796" t="str">
        <f ca="1">S1017</f>
        <v/>
      </c>
      <c r="F1017" s="127"/>
      <c r="G1017" s="797" t="str">
        <f ca="1">IF(OR(INDIRECT("'update Helper'!E"&amp;U1017)="",F1017&lt;&gt;0,F1018&lt;&gt;0),IF(IFERROR((F1017/F1018),"")="","",(F1017/F1018)),INDIRECT("'update Helper'!E"&amp;U1017)/100)</f>
        <v/>
      </c>
      <c r="H1017" s="784"/>
      <c r="I1017" s="798"/>
      <c r="J1017" s="777"/>
      <c r="K1017" s="795" t="str">
        <f ca="1">W1017</f>
        <v>TCP-8 Percentage of new and relapse TB patients tested using WHO recommended rapid tests at the time of diagnosis</v>
      </c>
      <c r="L1017" s="795" t="str">
        <f ca="1">V1017</f>
        <v/>
      </c>
      <c r="M1017" s="777"/>
      <c r="N1017" s="777"/>
      <c r="P1017" s="89">
        <f ca="1">IF(AND(EXACT(C1017,C1015),C1015&lt;&gt;0),P1015+1,0)</f>
        <v>18</v>
      </c>
      <c r="Q1017" s="89" t="str">
        <f ca="1">IF(C1017&lt;&gt;"",C1017&amp;"-"&amp;P1017,"")</f>
        <v>TCP-8 Porcentaje de pacientes de tuberculosis notificados como casos nuevos y recaídas analizados con las pruebas rápidas recomendadas por la OMS en el momento del diagnóstico.-18</v>
      </c>
      <c r="R1017" s="89" t="str">
        <f t="array" aca="1" ref="R1017" ca="1">IFERROR(IF(INDEX('Disaggregation Records'!$E$155:$E$385,MATCH(RIGHT(Q1017,255),RIGHT('Disaggregation Records'!$D$155:$D$385,255),0))="","",INDEX('Disaggregation Records'!$E$155:$E$385,MATCH(RIGHT(Q1017,255),RIGHT('Disaggregation Records'!$D$155:$D$385,255),0))),"")</f>
        <v/>
      </c>
      <c r="S1017" s="89" t="str">
        <f t="array" aca="1" ref="S1017" ca="1">IFERROR(IF(INDEX('Disaggregation Records'!$F$155:$F$385,MATCH(RIGHT(Q1017,255),RIGHT('Disaggregation Records'!$D$155:$D$385,255),0))="","",INDEX('Disaggregation Records'!$F$155:$F$385,MATCH(RIGHT(Q1017,255),RIGHT('Disaggregation Records'!$D$155:$D$385,255),0))),"")</f>
        <v/>
      </c>
      <c r="T1017" s="89" t="str">
        <f t="array" aca="1" ref="T1017" ca="1">IFERROR(IF(INDEX('Disaggregation Records'!$H$155:$H$385,MATCH(RIGHT(Q1017,255),RIGHT('Disaggregation Records'!$D$155:$D$385,255),0))="","",INDEX('Disaggregation Records'!$H$155:$H$385,MATCH(RIGHT(Q1017,255),RIGHT('Disaggregation Records'!$D$155:$D$385,255),0))),"")</f>
        <v/>
      </c>
      <c r="U1017" s="89">
        <f>U1015+1</f>
        <v>1618</v>
      </c>
      <c r="V1017" s="89" t="str">
        <f t="array" aca="1" ref="V1017" ca="1">IFERROR(IF(INDEX('Disaggregation Records'!$I$155:$I$385,MATCH(RIGHT(Q1017,255),RIGHT('Disaggregation Records'!$D$155:$D$385,255),0))="","",INDEX('Disaggregation Records'!$I$155:$I$385,MATCH(RIGHT(Q1017,255),RIGHT('Disaggregation Records'!$D$155:$D$385,255),0))),"")</f>
        <v/>
      </c>
      <c r="W1017" s="89" t="str">
        <f ca="1">IFERROR(INDEX('Reference Records'!L$77:L$157,MATCH(LEFT(C1017,255),'Reference Records'!E$77:E$157,0)),"")</f>
        <v>TCP-8 Percentage of new and relapse TB patients tested using WHO recommended rapid tests at the time of diagnosis</v>
      </c>
    </row>
    <row r="1018" spans="1:23" s="89" customFormat="1" ht="40.35" customHeight="1">
      <c r="A1018" s="564"/>
      <c r="B1018" s="799"/>
      <c r="C1018" s="800"/>
      <c r="D1018" s="801"/>
      <c r="E1018" s="801"/>
      <c r="F1018" s="128"/>
      <c r="G1018" s="802"/>
      <c r="H1018" s="781"/>
      <c r="I1018" s="803"/>
      <c r="J1018" s="779"/>
      <c r="K1018" s="800"/>
      <c r="L1018" s="800"/>
      <c r="M1018" s="779"/>
      <c r="N1018" s="779"/>
    </row>
    <row r="1019" spans="1:23" s="89" customFormat="1" ht="40.35" customHeight="1">
      <c r="A1019" s="564" t="str">
        <f ca="1">INDIRECT("'update Helper'!C"&amp;U1019)</f>
        <v>a163p000004VjnuAAC</v>
      </c>
      <c r="B1019" s="794">
        <v>10</v>
      </c>
      <c r="C1019" s="795" t="str">
        <f ca="1">VLOOKUP(B1019,'Coverage Indicators - Section D'!$A$9:$AU$70,47,FALSE)</f>
        <v>TCP-8 Porcentaje de pacientes de tuberculosis notificados como casos nuevos y recaídas analizados con las pruebas rápidas recomendadas por la OMS en el momento del diagnóstico.</v>
      </c>
      <c r="D1019" s="796" t="str">
        <f ca="1">R1019</f>
        <v/>
      </c>
      <c r="E1019" s="796" t="str">
        <f ca="1">S1019</f>
        <v/>
      </c>
      <c r="F1019" s="127"/>
      <c r="G1019" s="797" t="str">
        <f ca="1">IF(OR(INDIRECT("'update Helper'!E"&amp;U1019)="",F1019&lt;&gt;0,F1020&lt;&gt;0),IF(IFERROR((F1019/F1020),"")="","",(F1019/F1020)),INDIRECT("'update Helper'!E"&amp;U1019)/100)</f>
        <v/>
      </c>
      <c r="H1019" s="784"/>
      <c r="I1019" s="798"/>
      <c r="J1019" s="777"/>
      <c r="K1019" s="795" t="str">
        <f ca="1">W1019</f>
        <v>TCP-8 Percentage of new and relapse TB patients tested using WHO recommended rapid tests at the time of diagnosis</v>
      </c>
      <c r="L1019" s="795" t="str">
        <f ca="1">V1019</f>
        <v/>
      </c>
      <c r="M1019" s="777"/>
      <c r="N1019" s="777"/>
      <c r="P1019" s="89">
        <f ca="1">IF(AND(EXACT(C1019,C1017),C1017&lt;&gt;0),P1017+1,0)</f>
        <v>19</v>
      </c>
      <c r="Q1019" s="89" t="str">
        <f ca="1">IF(C1019&lt;&gt;"",C1019&amp;"-"&amp;P1019,"")</f>
        <v>TCP-8 Porcentaje de pacientes de tuberculosis notificados como casos nuevos y recaídas analizados con las pruebas rápidas recomendadas por la OMS en el momento del diagnóstico.-19</v>
      </c>
      <c r="R1019" s="89" t="str">
        <f t="array" aca="1" ref="R1019" ca="1">IFERROR(IF(INDEX('Disaggregation Records'!$E$155:$E$385,MATCH(RIGHT(Q1019,255),RIGHT('Disaggregation Records'!$D$155:$D$385,255),0))="","",INDEX('Disaggregation Records'!$E$155:$E$385,MATCH(RIGHT(Q1019,255),RIGHT('Disaggregation Records'!$D$155:$D$385,255),0))),"")</f>
        <v/>
      </c>
      <c r="S1019" s="89" t="str">
        <f t="array" aca="1" ref="S1019" ca="1">IFERROR(IF(INDEX('Disaggregation Records'!$F$155:$F$385,MATCH(RIGHT(Q1019,255),RIGHT('Disaggregation Records'!$D$155:$D$385,255),0))="","",INDEX('Disaggregation Records'!$F$155:$F$385,MATCH(RIGHT(Q1019,255),RIGHT('Disaggregation Records'!$D$155:$D$385,255),0))),"")</f>
        <v/>
      </c>
      <c r="T1019" s="89" t="str">
        <f t="array" aca="1" ref="T1019" ca="1">IFERROR(IF(INDEX('Disaggregation Records'!$H$155:$H$385,MATCH(RIGHT(Q1019,255),RIGHT('Disaggregation Records'!$D$155:$D$385,255),0))="","",INDEX('Disaggregation Records'!$H$155:$H$385,MATCH(RIGHT(Q1019,255),RIGHT('Disaggregation Records'!$D$155:$D$385,255),0))),"")</f>
        <v/>
      </c>
      <c r="U1019" s="89">
        <f>U1017+1</f>
        <v>1619</v>
      </c>
      <c r="V1019" s="89" t="str">
        <f t="array" aca="1" ref="V1019" ca="1">IFERROR(IF(INDEX('Disaggregation Records'!$I$155:$I$385,MATCH(RIGHT(Q1019,255),RIGHT('Disaggregation Records'!$D$155:$D$385,255),0))="","",INDEX('Disaggregation Records'!$I$155:$I$385,MATCH(RIGHT(Q1019,255),RIGHT('Disaggregation Records'!$D$155:$D$385,255),0))),"")</f>
        <v/>
      </c>
      <c r="W1019" s="89" t="str">
        <f ca="1">IFERROR(INDEX('Reference Records'!L$77:L$157,MATCH(LEFT(C1019,255),'Reference Records'!E$77:E$157,0)),"")</f>
        <v>TCP-8 Percentage of new and relapse TB patients tested using WHO recommended rapid tests at the time of diagnosis</v>
      </c>
    </row>
    <row r="1020" spans="1:23" s="89" customFormat="1" ht="40.35" customHeight="1">
      <c r="A1020" s="564"/>
      <c r="B1020" s="799"/>
      <c r="C1020" s="800"/>
      <c r="D1020" s="801"/>
      <c r="E1020" s="801"/>
      <c r="F1020" s="128"/>
      <c r="G1020" s="802"/>
      <c r="H1020" s="781"/>
      <c r="I1020" s="803"/>
      <c r="J1020" s="779"/>
      <c r="K1020" s="800"/>
      <c r="L1020" s="800"/>
      <c r="M1020" s="779"/>
      <c r="N1020" s="779"/>
    </row>
    <row r="1021" spans="1:23" s="89" customFormat="1" ht="40.35" customHeight="1">
      <c r="A1021" s="564" t="str">
        <f ca="1">INDIRECT("'update Helper'!C"&amp;U1021)</f>
        <v>a163p000004VjnvAAC</v>
      </c>
      <c r="B1021" s="794">
        <v>11</v>
      </c>
      <c r="C1021" s="795" t="str">
        <f ca="1">VLOOKUP(B1021,'Coverage Indicators - Section D'!$A$9:$AU$70,47,FALSE)</f>
        <v>MDR TB-2⁽ᴹ⁾ Número de casos de tuberculosis resistente a la rifampicina y/o multirresistente notificados.</v>
      </c>
      <c r="D1021" s="796" t="str">
        <f ca="1">R1021</f>
        <v>Género</v>
      </c>
      <c r="E1021" s="796" t="str">
        <f ca="1">S1021</f>
        <v>Mujeres</v>
      </c>
      <c r="F1021" s="422">
        <v>41</v>
      </c>
      <c r="G1021" s="797">
        <f ca="1">IF(OR(INDIRECT("'update Helper'!E"&amp;U1021)="",F1021&lt;&gt;0,F1022&lt;&gt;0),IF(IFERROR((F1021/F1022),"")="","",(F1021/F1022)),INDIRECT("'update Helper'!E"&amp;U1021)/100)</f>
        <v>0.41414141414141414</v>
      </c>
      <c r="H1021" s="784">
        <v>2020</v>
      </c>
      <c r="I1021" s="798"/>
      <c r="J1021" s="777"/>
      <c r="K1021" s="795" t="str">
        <f ca="1">W1021</f>
        <v>MDR TB-2⁽ᴹ⁾ Number of TB cases with RR-TB and/or MDR-TB notified</v>
      </c>
      <c r="L1021" s="795" t="str">
        <f ca="1">V1021</f>
        <v>Gender</v>
      </c>
      <c r="M1021" s="777"/>
      <c r="N1021" s="777"/>
      <c r="P1021" s="89">
        <f ca="1">IF(AND(EXACT(C1021,C1019),C1019&lt;&gt;0),P1019+1,0)</f>
        <v>0</v>
      </c>
      <c r="Q1021" s="89" t="str">
        <f ca="1">IF(C1021&lt;&gt;"",C1021&amp;"-"&amp;P1021,"")</f>
        <v>MDR TB-2⁽ᴹ⁾ Número de casos de tuberculosis resistente a la rifampicina y/o multirresistente notificados.-0</v>
      </c>
      <c r="R1021" s="89" t="str">
        <f t="array" aca="1" ref="R1021" ca="1">IFERROR(IF(INDEX('Disaggregation Records'!$E$155:$E$385,MATCH(RIGHT(Q1021,255),RIGHT('Disaggregation Records'!$D$155:$D$385,255),0))="","",INDEX('Disaggregation Records'!$E$155:$E$385,MATCH(RIGHT(Q1021,255),RIGHT('Disaggregation Records'!$D$155:$D$385,255),0))),"")</f>
        <v>Género</v>
      </c>
      <c r="S1021" s="89" t="str">
        <f t="array" aca="1" ref="S1021" ca="1">IFERROR(IF(INDEX('Disaggregation Records'!$F$155:$F$385,MATCH(RIGHT(Q1021,255),RIGHT('Disaggregation Records'!$D$155:$D$385,255),0))="","",INDEX('Disaggregation Records'!$F$155:$F$385,MATCH(RIGHT(Q1021,255),RIGHT('Disaggregation Records'!$D$155:$D$385,255),0))),"")</f>
        <v>Mujeres</v>
      </c>
      <c r="T1021" s="89" t="str">
        <f t="array" aca="1" ref="T1021" ca="1">IFERROR(IF(INDEX('Disaggregation Records'!$H$155:$H$385,MATCH(RIGHT(Q1021,255),RIGHT('Disaggregation Records'!$D$155:$D$385,255),0))="","",INDEX('Disaggregation Records'!$H$155:$H$385,MATCH(RIGHT(Q1021,255),RIGHT('Disaggregation Records'!$D$155:$D$385,255),0))),"")</f>
        <v>IDR-00865</v>
      </c>
      <c r="U1021" s="89">
        <f>U1019+1</f>
        <v>1620</v>
      </c>
      <c r="V1021" s="89" t="str">
        <f t="array" aca="1" ref="V1021" ca="1">IFERROR(IF(INDEX('Disaggregation Records'!$I$155:$I$385,MATCH(RIGHT(Q1021,255),RIGHT('Disaggregation Records'!$D$155:$D$385,255),0))="","",INDEX('Disaggregation Records'!$I$155:$I$385,MATCH(RIGHT(Q1021,255),RIGHT('Disaggregation Records'!$D$155:$D$385,255),0))),"")</f>
        <v>Gender</v>
      </c>
      <c r="W1021" s="89" t="str">
        <f ca="1">IFERROR(INDEX('Reference Records'!L$77:L$157,MATCH(LEFT(C1021,255),'Reference Records'!E$77:E$157,0)),"")</f>
        <v>MDR TB-2⁽ᴹ⁾ Number of TB cases with RR-TB and/or MDR-TB notified</v>
      </c>
    </row>
    <row r="1022" spans="1:23" s="89" customFormat="1" ht="40.35" customHeight="1">
      <c r="A1022" s="564"/>
      <c r="B1022" s="799"/>
      <c r="C1022" s="800"/>
      <c r="D1022" s="801"/>
      <c r="E1022" s="801"/>
      <c r="F1022" s="420">
        <v>99</v>
      </c>
      <c r="G1022" s="802"/>
      <c r="H1022" s="781"/>
      <c r="I1022" s="803"/>
      <c r="J1022" s="779"/>
      <c r="K1022" s="800"/>
      <c r="L1022" s="800"/>
      <c r="M1022" s="779"/>
      <c r="N1022" s="779"/>
    </row>
    <row r="1023" spans="1:23" s="89" customFormat="1" ht="40.35" customHeight="1">
      <c r="A1023" s="564" t="str">
        <f ca="1">INDIRECT("'update Helper'!C"&amp;U1023)</f>
        <v>a163p000004VjnwAAC</v>
      </c>
      <c r="B1023" s="794">
        <v>11</v>
      </c>
      <c r="C1023" s="795" t="str">
        <f ca="1">VLOOKUP(B1023,'Coverage Indicators - Section D'!$A$9:$AU$70,47,FALSE)</f>
        <v>MDR TB-2⁽ᴹ⁾ Número de casos de tuberculosis resistente a la rifampicina y/o multirresistente notificados.</v>
      </c>
      <c r="D1023" s="796" t="str">
        <f ca="1">R1023</f>
        <v>Género</v>
      </c>
      <c r="E1023" s="796" t="str">
        <f ca="1">S1023</f>
        <v>Hombres</v>
      </c>
      <c r="F1023" s="422">
        <v>58</v>
      </c>
      <c r="G1023" s="797">
        <f ca="1">IF(OR(INDIRECT("'update Helper'!E"&amp;U1023)="",F1023&lt;&gt;0,F1024&lt;&gt;0),IF(IFERROR((F1023/F1024),"")="","",(F1023/F1024)),INDIRECT("'update Helper'!E"&amp;U1023)/100)</f>
        <v>0.58585858585858586</v>
      </c>
      <c r="H1023" s="784">
        <v>2020</v>
      </c>
      <c r="I1023" s="798"/>
      <c r="J1023" s="777"/>
      <c r="K1023" s="795" t="str">
        <f ca="1">W1023</f>
        <v>MDR TB-2⁽ᴹ⁾ Number of TB cases with RR-TB and/or MDR-TB notified</v>
      </c>
      <c r="L1023" s="795" t="str">
        <f ca="1">V1023</f>
        <v>Gender</v>
      </c>
      <c r="M1023" s="777"/>
      <c r="N1023" s="777"/>
      <c r="P1023" s="89">
        <f ca="1">IF(AND(EXACT(C1023,C1021),C1021&lt;&gt;0),P1021+1,0)</f>
        <v>1</v>
      </c>
      <c r="Q1023" s="89" t="str">
        <f ca="1">IF(C1023&lt;&gt;"",C1023&amp;"-"&amp;P1023,"")</f>
        <v>MDR TB-2⁽ᴹ⁾ Número de casos de tuberculosis resistente a la rifampicina y/o multirresistente notificados.-1</v>
      </c>
      <c r="R1023" s="89" t="str">
        <f t="array" aca="1" ref="R1023" ca="1">IFERROR(IF(INDEX('Disaggregation Records'!$E$155:$E$385,MATCH(RIGHT(Q1023,255),RIGHT('Disaggregation Records'!$D$155:$D$385,255),0))="","",INDEX('Disaggregation Records'!$E$155:$E$385,MATCH(RIGHT(Q1023,255),RIGHT('Disaggregation Records'!$D$155:$D$385,255),0))),"")</f>
        <v>Género</v>
      </c>
      <c r="S1023" s="89" t="str">
        <f t="array" aca="1" ref="S1023" ca="1">IFERROR(IF(INDEX('Disaggregation Records'!$F$155:$F$385,MATCH(RIGHT(Q1023,255),RIGHT('Disaggregation Records'!$D$155:$D$385,255),0))="","",INDEX('Disaggregation Records'!$F$155:$F$385,MATCH(RIGHT(Q1023,255),RIGHT('Disaggregation Records'!$D$155:$D$385,255),0))),"")</f>
        <v>Hombres</v>
      </c>
      <c r="T1023" s="89" t="str">
        <f t="array" aca="1" ref="T1023" ca="1">IFERROR(IF(INDEX('Disaggregation Records'!$H$155:$H$385,MATCH(RIGHT(Q1023,255),RIGHT('Disaggregation Records'!$D$155:$D$385,255),0))="","",INDEX('Disaggregation Records'!$H$155:$H$385,MATCH(RIGHT(Q1023,255),RIGHT('Disaggregation Records'!$D$155:$D$385,255),0))),"")</f>
        <v>IDR-00864</v>
      </c>
      <c r="U1023" s="89">
        <f>U1021+1</f>
        <v>1621</v>
      </c>
      <c r="V1023" s="89" t="str">
        <f t="array" aca="1" ref="V1023" ca="1">IFERROR(IF(INDEX('Disaggregation Records'!$I$155:$I$385,MATCH(RIGHT(Q1023,255),RIGHT('Disaggregation Records'!$D$155:$D$385,255),0))="","",INDEX('Disaggregation Records'!$I$155:$I$385,MATCH(RIGHT(Q1023,255),RIGHT('Disaggregation Records'!$D$155:$D$385,255),0))),"")</f>
        <v>Gender</v>
      </c>
      <c r="W1023" s="89" t="str">
        <f ca="1">IFERROR(INDEX('Reference Records'!L$77:L$157,MATCH(LEFT(C1023,255),'Reference Records'!E$77:E$157,0)),"")</f>
        <v>MDR TB-2⁽ᴹ⁾ Number of TB cases with RR-TB and/or MDR-TB notified</v>
      </c>
    </row>
    <row r="1024" spans="1:23" s="89" customFormat="1" ht="40.35" customHeight="1">
      <c r="A1024" s="564"/>
      <c r="B1024" s="799"/>
      <c r="C1024" s="800"/>
      <c r="D1024" s="801"/>
      <c r="E1024" s="801"/>
      <c r="F1024" s="420">
        <v>99</v>
      </c>
      <c r="G1024" s="802"/>
      <c r="H1024" s="781"/>
      <c r="I1024" s="803"/>
      <c r="J1024" s="779"/>
      <c r="K1024" s="800"/>
      <c r="L1024" s="800"/>
      <c r="M1024" s="779"/>
      <c r="N1024" s="779"/>
    </row>
    <row r="1025" spans="1:23" s="89" customFormat="1" ht="40.35" customHeight="1">
      <c r="A1025" s="564" t="str">
        <f ca="1">INDIRECT("'update Helper'!C"&amp;U1025)</f>
        <v>a163p000004VjnxAAC</v>
      </c>
      <c r="B1025" s="794">
        <v>11</v>
      </c>
      <c r="C1025" s="795" t="str">
        <f ca="1">VLOOKUP(B1025,'Coverage Indicators - Section D'!$A$9:$AU$70,47,FALSE)</f>
        <v>MDR TB-2⁽ᴹ⁾ Número de casos de tuberculosis resistente a la rifampicina y/o multirresistente notificados.</v>
      </c>
      <c r="D1025" s="796" t="str">
        <f ca="1">R1025</f>
        <v>Edad</v>
      </c>
      <c r="E1025" s="796" t="str">
        <f ca="1">S1025</f>
        <v>15+</v>
      </c>
      <c r="F1025" s="422">
        <v>94</v>
      </c>
      <c r="G1025" s="797">
        <f ca="1">IF(OR(INDIRECT("'update Helper'!E"&amp;U1025)="",F1025&lt;&gt;0,F1026&lt;&gt;0),IF(IFERROR((F1025/F1026),"")="","",(F1025/F1026)),INDIRECT("'update Helper'!E"&amp;U1025)/100)</f>
        <v>0.9494949494949495</v>
      </c>
      <c r="H1025" s="784">
        <v>2020</v>
      </c>
      <c r="I1025" s="798"/>
      <c r="J1025" s="777"/>
      <c r="K1025" s="795" t="str">
        <f ca="1">W1025</f>
        <v>MDR TB-2⁽ᴹ⁾ Number of TB cases with RR-TB and/or MDR-TB notified</v>
      </c>
      <c r="L1025" s="795" t="str">
        <f ca="1">V1025</f>
        <v>Age</v>
      </c>
      <c r="M1025" s="777"/>
      <c r="N1025" s="777"/>
      <c r="P1025" s="89">
        <f ca="1">IF(AND(EXACT(C1025,C1023),C1023&lt;&gt;0),P1023+1,0)</f>
        <v>2</v>
      </c>
      <c r="Q1025" s="89" t="str">
        <f ca="1">IF(C1025&lt;&gt;"",C1025&amp;"-"&amp;P1025,"")</f>
        <v>MDR TB-2⁽ᴹ⁾ Número de casos de tuberculosis resistente a la rifampicina y/o multirresistente notificados.-2</v>
      </c>
      <c r="R1025" s="89" t="str">
        <f t="array" aca="1" ref="R1025" ca="1">IFERROR(IF(INDEX('Disaggregation Records'!$E$155:$E$385,MATCH(RIGHT(Q1025,255),RIGHT('Disaggregation Records'!$D$155:$D$385,255),0))="","",INDEX('Disaggregation Records'!$E$155:$E$385,MATCH(RIGHT(Q1025,255),RIGHT('Disaggregation Records'!$D$155:$D$385,255),0))),"")</f>
        <v>Edad</v>
      </c>
      <c r="S1025" s="89" t="str">
        <f t="array" aca="1" ref="S1025" ca="1">IFERROR(IF(INDEX('Disaggregation Records'!$F$155:$F$385,MATCH(RIGHT(Q1025,255),RIGHT('Disaggregation Records'!$D$155:$D$385,255),0))="","",INDEX('Disaggregation Records'!$F$155:$F$385,MATCH(RIGHT(Q1025,255),RIGHT('Disaggregation Records'!$D$155:$D$385,255),0))),"")</f>
        <v>15+</v>
      </c>
      <c r="T1025" s="89" t="str">
        <f t="array" aca="1" ref="T1025" ca="1">IFERROR(IF(INDEX('Disaggregation Records'!$H$155:$H$385,MATCH(RIGHT(Q1025,255),RIGHT('Disaggregation Records'!$D$155:$D$385,255),0))="","",INDEX('Disaggregation Records'!$H$155:$H$385,MATCH(RIGHT(Q1025,255),RIGHT('Disaggregation Records'!$D$155:$D$385,255),0))),"")</f>
        <v>IDR-00745</v>
      </c>
      <c r="U1025" s="89">
        <f>U1023+1</f>
        <v>1622</v>
      </c>
      <c r="V1025" s="89" t="str">
        <f t="array" aca="1" ref="V1025" ca="1">IFERROR(IF(INDEX('Disaggregation Records'!$I$155:$I$385,MATCH(RIGHT(Q1025,255),RIGHT('Disaggregation Records'!$D$155:$D$385,255),0))="","",INDEX('Disaggregation Records'!$I$155:$I$385,MATCH(RIGHT(Q1025,255),RIGHT('Disaggregation Records'!$D$155:$D$385,255),0))),"")</f>
        <v>Age</v>
      </c>
      <c r="W1025" s="89" t="str">
        <f ca="1">IFERROR(INDEX('Reference Records'!L$77:L$157,MATCH(LEFT(C1025,255),'Reference Records'!E$77:E$157,0)),"")</f>
        <v>MDR TB-2⁽ᴹ⁾ Number of TB cases with RR-TB and/or MDR-TB notified</v>
      </c>
    </row>
    <row r="1026" spans="1:23" s="89" customFormat="1" ht="40.35" customHeight="1">
      <c r="A1026" s="564"/>
      <c r="B1026" s="799"/>
      <c r="C1026" s="800"/>
      <c r="D1026" s="801"/>
      <c r="E1026" s="801"/>
      <c r="F1026" s="420">
        <v>99</v>
      </c>
      <c r="G1026" s="802"/>
      <c r="H1026" s="781"/>
      <c r="I1026" s="803"/>
      <c r="J1026" s="779"/>
      <c r="K1026" s="800"/>
      <c r="L1026" s="800"/>
      <c r="M1026" s="779"/>
      <c r="N1026" s="779"/>
    </row>
    <row r="1027" spans="1:23" s="89" customFormat="1" ht="40.35" customHeight="1">
      <c r="A1027" s="564" t="str">
        <f ca="1">INDIRECT("'update Helper'!C"&amp;U1027)</f>
        <v>a163p000004VjnyAAC</v>
      </c>
      <c r="B1027" s="794">
        <v>11</v>
      </c>
      <c r="C1027" s="795" t="str">
        <f ca="1">VLOOKUP(B1027,'Coverage Indicators - Section D'!$A$9:$AU$70,47,FALSE)</f>
        <v>MDR TB-2⁽ᴹ⁾ Número de casos de tuberculosis resistente a la rifampicina y/o multirresistente notificados.</v>
      </c>
      <c r="D1027" s="796" t="str">
        <f ca="1">R1027</f>
        <v>Edad</v>
      </c>
      <c r="E1027" s="796" t="str">
        <f ca="1">S1027</f>
        <v>&lt;15</v>
      </c>
      <c r="F1027" s="422">
        <v>5</v>
      </c>
      <c r="G1027" s="797">
        <f ca="1">IF(OR(INDIRECT("'update Helper'!E"&amp;U1027)="",F1027&lt;&gt;0,F1028&lt;&gt;0),IF(IFERROR((F1027/F1028),"")="","",(F1027/F1028)),INDIRECT("'update Helper'!E"&amp;U1027)/100)</f>
        <v>5.0505050505050504E-2</v>
      </c>
      <c r="H1027" s="784">
        <v>2020</v>
      </c>
      <c r="I1027" s="798"/>
      <c r="J1027" s="777"/>
      <c r="K1027" s="795" t="str">
        <f ca="1">W1027</f>
        <v>MDR TB-2⁽ᴹ⁾ Number of TB cases with RR-TB and/or MDR-TB notified</v>
      </c>
      <c r="L1027" s="795" t="str">
        <f ca="1">V1027</f>
        <v>Age</v>
      </c>
      <c r="M1027" s="777"/>
      <c r="N1027" s="777"/>
      <c r="P1027" s="89">
        <f ca="1">IF(AND(EXACT(C1027,C1025),C1025&lt;&gt;0),P1025+1,0)</f>
        <v>3</v>
      </c>
      <c r="Q1027" s="89" t="str">
        <f ca="1">IF(C1027&lt;&gt;"",C1027&amp;"-"&amp;P1027,"")</f>
        <v>MDR TB-2⁽ᴹ⁾ Número de casos de tuberculosis resistente a la rifampicina y/o multirresistente notificados.-3</v>
      </c>
      <c r="R1027" s="89" t="str">
        <f t="array" aca="1" ref="R1027" ca="1">IFERROR(IF(INDEX('Disaggregation Records'!$E$155:$E$385,MATCH(RIGHT(Q1027,255),RIGHT('Disaggregation Records'!$D$155:$D$385,255),0))="","",INDEX('Disaggregation Records'!$E$155:$E$385,MATCH(RIGHT(Q1027,255),RIGHT('Disaggregation Records'!$D$155:$D$385,255),0))),"")</f>
        <v>Edad</v>
      </c>
      <c r="S1027" s="89" t="str">
        <f t="array" aca="1" ref="S1027" ca="1">IFERROR(IF(INDEX('Disaggregation Records'!$F$155:$F$385,MATCH(RIGHT(Q1027,255),RIGHT('Disaggregation Records'!$D$155:$D$385,255),0))="","",INDEX('Disaggregation Records'!$F$155:$F$385,MATCH(RIGHT(Q1027,255),RIGHT('Disaggregation Records'!$D$155:$D$385,255),0))),"")</f>
        <v>&lt;15</v>
      </c>
      <c r="T1027" s="89" t="str">
        <f t="array" aca="1" ref="T1027" ca="1">IFERROR(IF(INDEX('Disaggregation Records'!$H$155:$H$385,MATCH(RIGHT(Q1027,255),RIGHT('Disaggregation Records'!$D$155:$D$385,255),0))="","",INDEX('Disaggregation Records'!$H$155:$H$385,MATCH(RIGHT(Q1027,255),RIGHT('Disaggregation Records'!$D$155:$D$385,255),0))),"")</f>
        <v>IDR-00744</v>
      </c>
      <c r="U1027" s="89">
        <f>U1025+1</f>
        <v>1623</v>
      </c>
      <c r="V1027" s="89" t="str">
        <f t="array" aca="1" ref="V1027" ca="1">IFERROR(IF(INDEX('Disaggregation Records'!$I$155:$I$385,MATCH(RIGHT(Q1027,255),RIGHT('Disaggregation Records'!$D$155:$D$385,255),0))="","",INDEX('Disaggregation Records'!$I$155:$I$385,MATCH(RIGHT(Q1027,255),RIGHT('Disaggregation Records'!$D$155:$D$385,255),0))),"")</f>
        <v>Age</v>
      </c>
      <c r="W1027" s="89" t="str">
        <f ca="1">IFERROR(INDEX('Reference Records'!L$77:L$157,MATCH(LEFT(C1027,255),'Reference Records'!E$77:E$157,0)),"")</f>
        <v>MDR TB-2⁽ᴹ⁾ Number of TB cases with RR-TB and/or MDR-TB notified</v>
      </c>
    </row>
    <row r="1028" spans="1:23" s="89" customFormat="1" ht="40.35" customHeight="1">
      <c r="A1028" s="564"/>
      <c r="B1028" s="799"/>
      <c r="C1028" s="800"/>
      <c r="D1028" s="801"/>
      <c r="E1028" s="801"/>
      <c r="F1028" s="420">
        <v>99</v>
      </c>
      <c r="G1028" s="802"/>
      <c r="H1028" s="781"/>
      <c r="I1028" s="803"/>
      <c r="J1028" s="779"/>
      <c r="K1028" s="800"/>
      <c r="L1028" s="800"/>
      <c r="M1028" s="779"/>
      <c r="N1028" s="779"/>
    </row>
    <row r="1029" spans="1:23" s="89" customFormat="1" ht="40.35" customHeight="1">
      <c r="A1029" s="564" t="str">
        <f ca="1">INDIRECT("'update Helper'!C"&amp;U1029)</f>
        <v>a163p000004VjnzAAC</v>
      </c>
      <c r="B1029" s="794">
        <v>11</v>
      </c>
      <c r="C1029" s="795" t="str">
        <f ca="1">VLOOKUP(B1029,'Coverage Indicators - Section D'!$A$9:$AU$70,47,FALSE)</f>
        <v>MDR TB-2⁽ᴹ⁾ Número de casos de tuberculosis resistente a la rifampicina y/o multirresistente notificados.</v>
      </c>
      <c r="D1029" s="796" t="str">
        <f ca="1">R1029</f>
        <v/>
      </c>
      <c r="E1029" s="796" t="str">
        <f ca="1">S1029</f>
        <v/>
      </c>
      <c r="F1029" s="127"/>
      <c r="G1029" s="797" t="str">
        <f ca="1">IF(OR(INDIRECT("'update Helper'!E"&amp;U1029)="",F1029&lt;&gt;0,F1030&lt;&gt;0),IF(IFERROR((F1029/F1030),"")="","",(F1029/F1030)),INDIRECT("'update Helper'!E"&amp;U1029)/100)</f>
        <v/>
      </c>
      <c r="H1029" s="784"/>
      <c r="I1029" s="798"/>
      <c r="J1029" s="777"/>
      <c r="K1029" s="795" t="str">
        <f ca="1">W1029</f>
        <v>MDR TB-2⁽ᴹ⁾ Number of TB cases with RR-TB and/or MDR-TB notified</v>
      </c>
      <c r="L1029" s="795" t="str">
        <f ca="1">V1029</f>
        <v/>
      </c>
      <c r="M1029" s="777"/>
      <c r="N1029" s="777"/>
      <c r="P1029" s="89">
        <f ca="1">IF(AND(EXACT(C1029,C1027),C1027&lt;&gt;0),P1027+1,0)</f>
        <v>4</v>
      </c>
      <c r="Q1029" s="89" t="str">
        <f ca="1">IF(C1029&lt;&gt;"",C1029&amp;"-"&amp;P1029,"")</f>
        <v>MDR TB-2⁽ᴹ⁾ Número de casos de tuberculosis resistente a la rifampicina y/o multirresistente notificados.-4</v>
      </c>
      <c r="R1029" s="89" t="str">
        <f t="array" aca="1" ref="R1029" ca="1">IFERROR(IF(INDEX('Disaggregation Records'!$E$155:$E$385,MATCH(RIGHT(Q1029,255),RIGHT('Disaggregation Records'!$D$155:$D$385,255),0))="","",INDEX('Disaggregation Records'!$E$155:$E$385,MATCH(RIGHT(Q1029,255),RIGHT('Disaggregation Records'!$D$155:$D$385,255),0))),"")</f>
        <v/>
      </c>
      <c r="S1029" s="89" t="str">
        <f t="array" aca="1" ref="S1029" ca="1">IFERROR(IF(INDEX('Disaggregation Records'!$F$155:$F$385,MATCH(RIGHT(Q1029,255),RIGHT('Disaggregation Records'!$D$155:$D$385,255),0))="","",INDEX('Disaggregation Records'!$F$155:$F$385,MATCH(RIGHT(Q1029,255),RIGHT('Disaggregation Records'!$D$155:$D$385,255),0))),"")</f>
        <v/>
      </c>
      <c r="T1029" s="89" t="str">
        <f t="array" aca="1" ref="T1029" ca="1">IFERROR(IF(INDEX('Disaggregation Records'!$H$155:$H$385,MATCH(RIGHT(Q1029,255),RIGHT('Disaggregation Records'!$D$155:$D$385,255),0))="","",INDEX('Disaggregation Records'!$H$155:$H$385,MATCH(RIGHT(Q1029,255),RIGHT('Disaggregation Records'!$D$155:$D$385,255),0))),"")</f>
        <v/>
      </c>
      <c r="U1029" s="89">
        <f>U1027+1</f>
        <v>1624</v>
      </c>
      <c r="V1029" s="89" t="str">
        <f t="array" aca="1" ref="V1029" ca="1">IFERROR(IF(INDEX('Disaggregation Records'!$I$155:$I$385,MATCH(RIGHT(Q1029,255),RIGHT('Disaggregation Records'!$D$155:$D$385,255),0))="","",INDEX('Disaggregation Records'!$I$155:$I$385,MATCH(RIGHT(Q1029,255),RIGHT('Disaggregation Records'!$D$155:$D$385,255),0))),"")</f>
        <v/>
      </c>
      <c r="W1029" s="89" t="str">
        <f ca="1">IFERROR(INDEX('Reference Records'!L$77:L$157,MATCH(LEFT(C1029,255),'Reference Records'!E$77:E$157,0)),"")</f>
        <v>MDR TB-2⁽ᴹ⁾ Number of TB cases with RR-TB and/or MDR-TB notified</v>
      </c>
    </row>
    <row r="1030" spans="1:23" s="89" customFormat="1" ht="40.35" customHeight="1">
      <c r="A1030" s="564"/>
      <c r="B1030" s="799"/>
      <c r="C1030" s="800"/>
      <c r="D1030" s="801"/>
      <c r="E1030" s="801"/>
      <c r="F1030" s="128"/>
      <c r="G1030" s="802"/>
      <c r="H1030" s="781"/>
      <c r="I1030" s="803"/>
      <c r="J1030" s="779"/>
      <c r="K1030" s="800"/>
      <c r="L1030" s="800"/>
      <c r="M1030" s="779"/>
      <c r="N1030" s="779"/>
    </row>
    <row r="1031" spans="1:23" s="89" customFormat="1" ht="40.35" customHeight="1">
      <c r="A1031" s="564" t="str">
        <f ca="1">INDIRECT("'update Helper'!C"&amp;U1031)</f>
        <v>a163p000004Vjo0AAC</v>
      </c>
      <c r="B1031" s="794">
        <v>11</v>
      </c>
      <c r="C1031" s="795" t="str">
        <f ca="1">VLOOKUP(B1031,'Coverage Indicators - Section D'!$A$9:$AU$70,47,FALSE)</f>
        <v>MDR TB-2⁽ᴹ⁾ Número de casos de tuberculosis resistente a la rifampicina y/o multirresistente notificados.</v>
      </c>
      <c r="D1031" s="796" t="str">
        <f ca="1">R1031</f>
        <v/>
      </c>
      <c r="E1031" s="796" t="str">
        <f ca="1">S1031</f>
        <v/>
      </c>
      <c r="F1031" s="127"/>
      <c r="G1031" s="797" t="str">
        <f ca="1">IF(OR(INDIRECT("'update Helper'!E"&amp;U1031)="",F1031&lt;&gt;0,F1032&lt;&gt;0),IF(IFERROR((F1031/F1032),"")="","",(F1031/F1032)),INDIRECT("'update Helper'!E"&amp;U1031)/100)</f>
        <v/>
      </c>
      <c r="H1031" s="784"/>
      <c r="I1031" s="798"/>
      <c r="J1031" s="777"/>
      <c r="K1031" s="795" t="str">
        <f ca="1">W1031</f>
        <v>MDR TB-2⁽ᴹ⁾ Number of TB cases with RR-TB and/or MDR-TB notified</v>
      </c>
      <c r="L1031" s="795" t="str">
        <f ca="1">V1031</f>
        <v/>
      </c>
      <c r="M1031" s="777"/>
      <c r="N1031" s="777"/>
      <c r="P1031" s="89">
        <f ca="1">IF(AND(EXACT(C1031,C1029),C1029&lt;&gt;0),P1029+1,0)</f>
        <v>5</v>
      </c>
      <c r="Q1031" s="89" t="str">
        <f ca="1">IF(C1031&lt;&gt;"",C1031&amp;"-"&amp;P1031,"")</f>
        <v>MDR TB-2⁽ᴹ⁾ Número de casos de tuberculosis resistente a la rifampicina y/o multirresistente notificados.-5</v>
      </c>
      <c r="R1031" s="89" t="str">
        <f t="array" aca="1" ref="R1031" ca="1">IFERROR(IF(INDEX('Disaggregation Records'!$E$155:$E$385,MATCH(RIGHT(Q1031,255),RIGHT('Disaggregation Records'!$D$155:$D$385,255),0))="","",INDEX('Disaggregation Records'!$E$155:$E$385,MATCH(RIGHT(Q1031,255),RIGHT('Disaggregation Records'!$D$155:$D$385,255),0))),"")</f>
        <v/>
      </c>
      <c r="S1031" s="89" t="str">
        <f t="array" aca="1" ref="S1031" ca="1">IFERROR(IF(INDEX('Disaggregation Records'!$F$155:$F$385,MATCH(RIGHT(Q1031,255),RIGHT('Disaggregation Records'!$D$155:$D$385,255),0))="","",INDEX('Disaggregation Records'!$F$155:$F$385,MATCH(RIGHT(Q1031,255),RIGHT('Disaggregation Records'!$D$155:$D$385,255),0))),"")</f>
        <v/>
      </c>
      <c r="T1031" s="89" t="str">
        <f t="array" aca="1" ref="T1031" ca="1">IFERROR(IF(INDEX('Disaggregation Records'!$H$155:$H$385,MATCH(RIGHT(Q1031,255),RIGHT('Disaggregation Records'!$D$155:$D$385,255),0))="","",INDEX('Disaggregation Records'!$H$155:$H$385,MATCH(RIGHT(Q1031,255),RIGHT('Disaggregation Records'!$D$155:$D$385,255),0))),"")</f>
        <v/>
      </c>
      <c r="U1031" s="89">
        <f>U1029+1</f>
        <v>1625</v>
      </c>
      <c r="V1031" s="89" t="str">
        <f t="array" aca="1" ref="V1031" ca="1">IFERROR(IF(INDEX('Disaggregation Records'!$I$155:$I$385,MATCH(RIGHT(Q1031,255),RIGHT('Disaggregation Records'!$D$155:$D$385,255),0))="","",INDEX('Disaggregation Records'!$I$155:$I$385,MATCH(RIGHT(Q1031,255),RIGHT('Disaggregation Records'!$D$155:$D$385,255),0))),"")</f>
        <v/>
      </c>
      <c r="W1031" s="89" t="str">
        <f ca="1">IFERROR(INDEX('Reference Records'!L$77:L$157,MATCH(LEFT(C1031,255),'Reference Records'!E$77:E$157,0)),"")</f>
        <v>MDR TB-2⁽ᴹ⁾ Number of TB cases with RR-TB and/or MDR-TB notified</v>
      </c>
    </row>
    <row r="1032" spans="1:23" s="89" customFormat="1" ht="40.35" customHeight="1">
      <c r="A1032" s="564"/>
      <c r="B1032" s="799"/>
      <c r="C1032" s="800"/>
      <c r="D1032" s="801"/>
      <c r="E1032" s="801"/>
      <c r="F1032" s="128"/>
      <c r="G1032" s="802"/>
      <c r="H1032" s="781"/>
      <c r="I1032" s="803"/>
      <c r="J1032" s="779"/>
      <c r="K1032" s="800"/>
      <c r="L1032" s="800"/>
      <c r="M1032" s="779"/>
      <c r="N1032" s="779"/>
    </row>
    <row r="1033" spans="1:23" s="89" customFormat="1" ht="40.35" customHeight="1">
      <c r="A1033" s="564" t="str">
        <f ca="1">INDIRECT("'update Helper'!C"&amp;U1033)</f>
        <v>a163p000004Vjo1AAC</v>
      </c>
      <c r="B1033" s="794">
        <v>11</v>
      </c>
      <c r="C1033" s="795" t="str">
        <f ca="1">VLOOKUP(B1033,'Coverage Indicators - Section D'!$A$9:$AU$70,47,FALSE)</f>
        <v>MDR TB-2⁽ᴹ⁾ Número de casos de tuberculosis resistente a la rifampicina y/o multirresistente notificados.</v>
      </c>
      <c r="D1033" s="796" t="str">
        <f ca="1">R1033</f>
        <v/>
      </c>
      <c r="E1033" s="796" t="str">
        <f ca="1">S1033</f>
        <v/>
      </c>
      <c r="F1033" s="127"/>
      <c r="G1033" s="797" t="str">
        <f ca="1">IF(OR(INDIRECT("'update Helper'!E"&amp;U1033)="",F1033&lt;&gt;0,F1034&lt;&gt;0),IF(IFERROR((F1033/F1034),"")="","",(F1033/F1034)),INDIRECT("'update Helper'!E"&amp;U1033)/100)</f>
        <v/>
      </c>
      <c r="H1033" s="784"/>
      <c r="I1033" s="798"/>
      <c r="J1033" s="777"/>
      <c r="K1033" s="795" t="str">
        <f ca="1">W1033</f>
        <v>MDR TB-2⁽ᴹ⁾ Number of TB cases with RR-TB and/or MDR-TB notified</v>
      </c>
      <c r="L1033" s="795" t="str">
        <f ca="1">V1033</f>
        <v/>
      </c>
      <c r="M1033" s="777"/>
      <c r="N1033" s="777"/>
      <c r="P1033" s="89">
        <f ca="1">IF(AND(EXACT(C1033,C1031),C1031&lt;&gt;0),P1031+1,0)</f>
        <v>6</v>
      </c>
      <c r="Q1033" s="89" t="str">
        <f ca="1">IF(C1033&lt;&gt;"",C1033&amp;"-"&amp;P1033,"")</f>
        <v>MDR TB-2⁽ᴹ⁾ Número de casos de tuberculosis resistente a la rifampicina y/o multirresistente notificados.-6</v>
      </c>
      <c r="R1033" s="89" t="str">
        <f t="array" aca="1" ref="R1033" ca="1">IFERROR(IF(INDEX('Disaggregation Records'!$E$155:$E$385,MATCH(RIGHT(Q1033,255),RIGHT('Disaggregation Records'!$D$155:$D$385,255),0))="","",INDEX('Disaggregation Records'!$E$155:$E$385,MATCH(RIGHT(Q1033,255),RIGHT('Disaggregation Records'!$D$155:$D$385,255),0))),"")</f>
        <v/>
      </c>
      <c r="S1033" s="89" t="str">
        <f t="array" aca="1" ref="S1033" ca="1">IFERROR(IF(INDEX('Disaggregation Records'!$F$155:$F$385,MATCH(RIGHT(Q1033,255),RIGHT('Disaggregation Records'!$D$155:$D$385,255),0))="","",INDEX('Disaggregation Records'!$F$155:$F$385,MATCH(RIGHT(Q1033,255),RIGHT('Disaggregation Records'!$D$155:$D$385,255),0))),"")</f>
        <v/>
      </c>
      <c r="T1033" s="89" t="str">
        <f t="array" aca="1" ref="T1033" ca="1">IFERROR(IF(INDEX('Disaggregation Records'!$H$155:$H$385,MATCH(RIGHT(Q1033,255),RIGHT('Disaggregation Records'!$D$155:$D$385,255),0))="","",INDEX('Disaggregation Records'!$H$155:$H$385,MATCH(RIGHT(Q1033,255),RIGHT('Disaggregation Records'!$D$155:$D$385,255),0))),"")</f>
        <v/>
      </c>
      <c r="U1033" s="89">
        <f>U1031+1</f>
        <v>1626</v>
      </c>
      <c r="V1033" s="89" t="str">
        <f t="array" aca="1" ref="V1033" ca="1">IFERROR(IF(INDEX('Disaggregation Records'!$I$155:$I$385,MATCH(RIGHT(Q1033,255),RIGHT('Disaggregation Records'!$D$155:$D$385,255),0))="","",INDEX('Disaggregation Records'!$I$155:$I$385,MATCH(RIGHT(Q1033,255),RIGHT('Disaggregation Records'!$D$155:$D$385,255),0))),"")</f>
        <v/>
      </c>
      <c r="W1033" s="89" t="str">
        <f ca="1">IFERROR(INDEX('Reference Records'!L$77:L$157,MATCH(LEFT(C1033,255),'Reference Records'!E$77:E$157,0)),"")</f>
        <v>MDR TB-2⁽ᴹ⁾ Number of TB cases with RR-TB and/or MDR-TB notified</v>
      </c>
    </row>
    <row r="1034" spans="1:23" s="89" customFormat="1" ht="40.35" customHeight="1">
      <c r="A1034" s="564"/>
      <c r="B1034" s="799"/>
      <c r="C1034" s="800"/>
      <c r="D1034" s="801"/>
      <c r="E1034" s="801"/>
      <c r="F1034" s="128"/>
      <c r="G1034" s="802"/>
      <c r="H1034" s="781"/>
      <c r="I1034" s="803"/>
      <c r="J1034" s="779"/>
      <c r="K1034" s="800"/>
      <c r="L1034" s="800"/>
      <c r="M1034" s="779"/>
      <c r="N1034" s="779"/>
    </row>
    <row r="1035" spans="1:23" s="89" customFormat="1" ht="40.35" customHeight="1">
      <c r="A1035" s="564" t="str">
        <f ca="1">INDIRECT("'update Helper'!C"&amp;U1035)</f>
        <v>a163p000004Vjo2AAC</v>
      </c>
      <c r="B1035" s="794">
        <v>11</v>
      </c>
      <c r="C1035" s="795" t="str">
        <f ca="1">VLOOKUP(B1035,'Coverage Indicators - Section D'!$A$9:$AU$70,47,FALSE)</f>
        <v>MDR TB-2⁽ᴹ⁾ Número de casos de tuberculosis resistente a la rifampicina y/o multirresistente notificados.</v>
      </c>
      <c r="D1035" s="796" t="str">
        <f ca="1">R1035</f>
        <v/>
      </c>
      <c r="E1035" s="796" t="str">
        <f ca="1">S1035</f>
        <v/>
      </c>
      <c r="F1035" s="127"/>
      <c r="G1035" s="797" t="str">
        <f ca="1">IF(OR(INDIRECT("'update Helper'!E"&amp;U1035)="",F1035&lt;&gt;0,F1036&lt;&gt;0),IF(IFERROR((F1035/F1036),"")="","",(F1035/F1036)),INDIRECT("'update Helper'!E"&amp;U1035)/100)</f>
        <v/>
      </c>
      <c r="H1035" s="784"/>
      <c r="I1035" s="798"/>
      <c r="J1035" s="777"/>
      <c r="K1035" s="795" t="str">
        <f ca="1">W1035</f>
        <v>MDR TB-2⁽ᴹ⁾ Number of TB cases with RR-TB and/or MDR-TB notified</v>
      </c>
      <c r="L1035" s="795" t="str">
        <f ca="1">V1035</f>
        <v/>
      </c>
      <c r="M1035" s="777"/>
      <c r="N1035" s="777"/>
      <c r="P1035" s="89">
        <f ca="1">IF(AND(EXACT(C1035,C1033),C1033&lt;&gt;0),P1033+1,0)</f>
        <v>7</v>
      </c>
      <c r="Q1035" s="89" t="str">
        <f ca="1">IF(C1035&lt;&gt;"",C1035&amp;"-"&amp;P1035,"")</f>
        <v>MDR TB-2⁽ᴹ⁾ Número de casos de tuberculosis resistente a la rifampicina y/o multirresistente notificados.-7</v>
      </c>
      <c r="R1035" s="89" t="str">
        <f t="array" aca="1" ref="R1035" ca="1">IFERROR(IF(INDEX('Disaggregation Records'!$E$155:$E$385,MATCH(RIGHT(Q1035,255),RIGHT('Disaggregation Records'!$D$155:$D$385,255),0))="","",INDEX('Disaggregation Records'!$E$155:$E$385,MATCH(RIGHT(Q1035,255),RIGHT('Disaggregation Records'!$D$155:$D$385,255),0))),"")</f>
        <v/>
      </c>
      <c r="S1035" s="89" t="str">
        <f t="array" aca="1" ref="S1035" ca="1">IFERROR(IF(INDEX('Disaggregation Records'!$F$155:$F$385,MATCH(RIGHT(Q1035,255),RIGHT('Disaggregation Records'!$D$155:$D$385,255),0))="","",INDEX('Disaggregation Records'!$F$155:$F$385,MATCH(RIGHT(Q1035,255),RIGHT('Disaggregation Records'!$D$155:$D$385,255),0))),"")</f>
        <v/>
      </c>
      <c r="T1035" s="89" t="str">
        <f t="array" aca="1" ref="T1035" ca="1">IFERROR(IF(INDEX('Disaggregation Records'!$H$155:$H$385,MATCH(RIGHT(Q1035,255),RIGHT('Disaggregation Records'!$D$155:$D$385,255),0))="","",INDEX('Disaggregation Records'!$H$155:$H$385,MATCH(RIGHT(Q1035,255),RIGHT('Disaggregation Records'!$D$155:$D$385,255),0))),"")</f>
        <v/>
      </c>
      <c r="U1035" s="89">
        <f>U1033+1</f>
        <v>1627</v>
      </c>
      <c r="V1035" s="89" t="str">
        <f t="array" aca="1" ref="V1035" ca="1">IFERROR(IF(INDEX('Disaggregation Records'!$I$155:$I$385,MATCH(RIGHT(Q1035,255),RIGHT('Disaggregation Records'!$D$155:$D$385,255),0))="","",INDEX('Disaggregation Records'!$I$155:$I$385,MATCH(RIGHT(Q1035,255),RIGHT('Disaggregation Records'!$D$155:$D$385,255),0))),"")</f>
        <v/>
      </c>
      <c r="W1035" s="89" t="str">
        <f ca="1">IFERROR(INDEX('Reference Records'!L$77:L$157,MATCH(LEFT(C1035,255),'Reference Records'!E$77:E$157,0)),"")</f>
        <v>MDR TB-2⁽ᴹ⁾ Number of TB cases with RR-TB and/or MDR-TB notified</v>
      </c>
    </row>
    <row r="1036" spans="1:23" s="89" customFormat="1" ht="40.35" customHeight="1">
      <c r="A1036" s="564"/>
      <c r="B1036" s="799"/>
      <c r="C1036" s="800"/>
      <c r="D1036" s="801"/>
      <c r="E1036" s="801"/>
      <c r="F1036" s="128"/>
      <c r="G1036" s="802"/>
      <c r="H1036" s="781"/>
      <c r="I1036" s="803"/>
      <c r="J1036" s="779"/>
      <c r="K1036" s="800"/>
      <c r="L1036" s="800"/>
      <c r="M1036" s="779"/>
      <c r="N1036" s="779"/>
    </row>
    <row r="1037" spans="1:23" s="89" customFormat="1" ht="40.35" customHeight="1">
      <c r="A1037" s="564" t="str">
        <f ca="1">INDIRECT("'update Helper'!C"&amp;U1037)</f>
        <v>a163p000004Vjo3AAC</v>
      </c>
      <c r="B1037" s="794">
        <v>11</v>
      </c>
      <c r="C1037" s="795" t="str">
        <f ca="1">VLOOKUP(B1037,'Coverage Indicators - Section D'!$A$9:$AU$70,47,FALSE)</f>
        <v>MDR TB-2⁽ᴹ⁾ Número de casos de tuberculosis resistente a la rifampicina y/o multirresistente notificados.</v>
      </c>
      <c r="D1037" s="796" t="str">
        <f ca="1">R1037</f>
        <v/>
      </c>
      <c r="E1037" s="796" t="str">
        <f ca="1">S1037</f>
        <v/>
      </c>
      <c r="F1037" s="127"/>
      <c r="G1037" s="797" t="str">
        <f ca="1">IF(OR(INDIRECT("'update Helper'!E"&amp;U1037)="",F1037&lt;&gt;0,F1038&lt;&gt;0),IF(IFERROR((F1037/F1038),"")="","",(F1037/F1038)),INDIRECT("'update Helper'!E"&amp;U1037)/100)</f>
        <v/>
      </c>
      <c r="H1037" s="784"/>
      <c r="I1037" s="798"/>
      <c r="J1037" s="777"/>
      <c r="K1037" s="795" t="str">
        <f ca="1">W1037</f>
        <v>MDR TB-2⁽ᴹ⁾ Number of TB cases with RR-TB and/or MDR-TB notified</v>
      </c>
      <c r="L1037" s="795" t="str">
        <f ca="1">V1037</f>
        <v/>
      </c>
      <c r="M1037" s="777"/>
      <c r="N1037" s="777"/>
      <c r="P1037" s="89">
        <f ca="1">IF(AND(EXACT(C1037,C1035),C1035&lt;&gt;0),P1035+1,0)</f>
        <v>8</v>
      </c>
      <c r="Q1037" s="89" t="str">
        <f ca="1">IF(C1037&lt;&gt;"",C1037&amp;"-"&amp;P1037,"")</f>
        <v>MDR TB-2⁽ᴹ⁾ Número de casos de tuberculosis resistente a la rifampicina y/o multirresistente notificados.-8</v>
      </c>
      <c r="R1037" s="89" t="str">
        <f t="array" aca="1" ref="R1037" ca="1">IFERROR(IF(INDEX('Disaggregation Records'!$E$155:$E$385,MATCH(RIGHT(Q1037,255),RIGHT('Disaggregation Records'!$D$155:$D$385,255),0))="","",INDEX('Disaggregation Records'!$E$155:$E$385,MATCH(RIGHT(Q1037,255),RIGHT('Disaggregation Records'!$D$155:$D$385,255),0))),"")</f>
        <v/>
      </c>
      <c r="S1037" s="89" t="str">
        <f t="array" aca="1" ref="S1037" ca="1">IFERROR(IF(INDEX('Disaggregation Records'!$F$155:$F$385,MATCH(RIGHT(Q1037,255),RIGHT('Disaggregation Records'!$D$155:$D$385,255),0))="","",INDEX('Disaggregation Records'!$F$155:$F$385,MATCH(RIGHT(Q1037,255),RIGHT('Disaggregation Records'!$D$155:$D$385,255),0))),"")</f>
        <v/>
      </c>
      <c r="T1037" s="89" t="str">
        <f t="array" aca="1" ref="T1037" ca="1">IFERROR(IF(INDEX('Disaggregation Records'!$H$155:$H$385,MATCH(RIGHT(Q1037,255),RIGHT('Disaggregation Records'!$D$155:$D$385,255),0))="","",INDEX('Disaggregation Records'!$H$155:$H$385,MATCH(RIGHT(Q1037,255),RIGHT('Disaggregation Records'!$D$155:$D$385,255),0))),"")</f>
        <v/>
      </c>
      <c r="U1037" s="89">
        <f>U1035+1</f>
        <v>1628</v>
      </c>
      <c r="V1037" s="89" t="str">
        <f t="array" aca="1" ref="V1037" ca="1">IFERROR(IF(INDEX('Disaggregation Records'!$I$155:$I$385,MATCH(RIGHT(Q1037,255),RIGHT('Disaggregation Records'!$D$155:$D$385,255),0))="","",INDEX('Disaggregation Records'!$I$155:$I$385,MATCH(RIGHT(Q1037,255),RIGHT('Disaggregation Records'!$D$155:$D$385,255),0))),"")</f>
        <v/>
      </c>
      <c r="W1037" s="89" t="str">
        <f ca="1">IFERROR(INDEX('Reference Records'!L$77:L$157,MATCH(LEFT(C1037,255),'Reference Records'!E$77:E$157,0)),"")</f>
        <v>MDR TB-2⁽ᴹ⁾ Number of TB cases with RR-TB and/or MDR-TB notified</v>
      </c>
    </row>
    <row r="1038" spans="1:23" s="89" customFormat="1" ht="40.35" customHeight="1">
      <c r="A1038" s="564"/>
      <c r="B1038" s="799"/>
      <c r="C1038" s="800"/>
      <c r="D1038" s="801"/>
      <c r="E1038" s="801"/>
      <c r="F1038" s="128"/>
      <c r="G1038" s="802"/>
      <c r="H1038" s="781"/>
      <c r="I1038" s="803"/>
      <c r="J1038" s="779"/>
      <c r="K1038" s="800"/>
      <c r="L1038" s="800"/>
      <c r="M1038" s="779"/>
      <c r="N1038" s="779"/>
    </row>
    <row r="1039" spans="1:23" s="89" customFormat="1" ht="40.35" customHeight="1">
      <c r="A1039" s="564" t="str">
        <f ca="1">INDIRECT("'update Helper'!C"&amp;U1039)</f>
        <v>a163p000004Vjo4AAC</v>
      </c>
      <c r="B1039" s="794">
        <v>11</v>
      </c>
      <c r="C1039" s="795" t="str">
        <f ca="1">VLOOKUP(B1039,'Coverage Indicators - Section D'!$A$9:$AU$70,47,FALSE)</f>
        <v>MDR TB-2⁽ᴹ⁾ Número de casos de tuberculosis resistente a la rifampicina y/o multirresistente notificados.</v>
      </c>
      <c r="D1039" s="796" t="str">
        <f ca="1">R1039</f>
        <v/>
      </c>
      <c r="E1039" s="796" t="str">
        <f ca="1">S1039</f>
        <v/>
      </c>
      <c r="F1039" s="127"/>
      <c r="G1039" s="797" t="str">
        <f ca="1">IF(OR(INDIRECT("'update Helper'!E"&amp;U1039)="",F1039&lt;&gt;0,F1040&lt;&gt;0),IF(IFERROR((F1039/F1040),"")="","",(F1039/F1040)),INDIRECT("'update Helper'!E"&amp;U1039)/100)</f>
        <v/>
      </c>
      <c r="H1039" s="784"/>
      <c r="I1039" s="798"/>
      <c r="J1039" s="777"/>
      <c r="K1039" s="795" t="str">
        <f ca="1">W1039</f>
        <v>MDR TB-2⁽ᴹ⁾ Number of TB cases with RR-TB and/or MDR-TB notified</v>
      </c>
      <c r="L1039" s="795" t="str">
        <f ca="1">V1039</f>
        <v/>
      </c>
      <c r="M1039" s="777"/>
      <c r="N1039" s="777"/>
      <c r="P1039" s="89">
        <f ca="1">IF(AND(EXACT(C1039,C1037),C1037&lt;&gt;0),P1037+1,0)</f>
        <v>9</v>
      </c>
      <c r="Q1039" s="89" t="str">
        <f ca="1">IF(C1039&lt;&gt;"",C1039&amp;"-"&amp;P1039,"")</f>
        <v>MDR TB-2⁽ᴹ⁾ Número de casos de tuberculosis resistente a la rifampicina y/o multirresistente notificados.-9</v>
      </c>
      <c r="R1039" s="89" t="str">
        <f t="array" aca="1" ref="R1039" ca="1">IFERROR(IF(INDEX('Disaggregation Records'!$E$155:$E$385,MATCH(RIGHT(Q1039,255),RIGHT('Disaggregation Records'!$D$155:$D$385,255),0))="","",INDEX('Disaggregation Records'!$E$155:$E$385,MATCH(RIGHT(Q1039,255),RIGHT('Disaggregation Records'!$D$155:$D$385,255),0))),"")</f>
        <v/>
      </c>
      <c r="S1039" s="89" t="str">
        <f t="array" aca="1" ref="S1039" ca="1">IFERROR(IF(INDEX('Disaggregation Records'!$F$155:$F$385,MATCH(RIGHT(Q1039,255),RIGHT('Disaggregation Records'!$D$155:$D$385,255),0))="","",INDEX('Disaggregation Records'!$F$155:$F$385,MATCH(RIGHT(Q1039,255),RIGHT('Disaggregation Records'!$D$155:$D$385,255),0))),"")</f>
        <v/>
      </c>
      <c r="T1039" s="89" t="str">
        <f t="array" aca="1" ref="T1039" ca="1">IFERROR(IF(INDEX('Disaggregation Records'!$H$155:$H$385,MATCH(RIGHT(Q1039,255),RIGHT('Disaggregation Records'!$D$155:$D$385,255),0))="","",INDEX('Disaggregation Records'!$H$155:$H$385,MATCH(RIGHT(Q1039,255),RIGHT('Disaggregation Records'!$D$155:$D$385,255),0))),"")</f>
        <v/>
      </c>
      <c r="U1039" s="89">
        <f>U1037+1</f>
        <v>1629</v>
      </c>
      <c r="V1039" s="89" t="str">
        <f t="array" aca="1" ref="V1039" ca="1">IFERROR(IF(INDEX('Disaggregation Records'!$I$155:$I$385,MATCH(RIGHT(Q1039,255),RIGHT('Disaggregation Records'!$D$155:$D$385,255),0))="","",INDEX('Disaggregation Records'!$I$155:$I$385,MATCH(RIGHT(Q1039,255),RIGHT('Disaggregation Records'!$D$155:$D$385,255),0))),"")</f>
        <v/>
      </c>
      <c r="W1039" s="89" t="str">
        <f ca="1">IFERROR(INDEX('Reference Records'!L$77:L$157,MATCH(LEFT(C1039,255),'Reference Records'!E$77:E$157,0)),"")</f>
        <v>MDR TB-2⁽ᴹ⁾ Number of TB cases with RR-TB and/or MDR-TB notified</v>
      </c>
    </row>
    <row r="1040" spans="1:23" s="89" customFormat="1" ht="40.35" customHeight="1">
      <c r="A1040" s="564"/>
      <c r="B1040" s="799"/>
      <c r="C1040" s="800"/>
      <c r="D1040" s="801"/>
      <c r="E1040" s="801"/>
      <c r="F1040" s="128"/>
      <c r="G1040" s="802"/>
      <c r="H1040" s="781"/>
      <c r="I1040" s="803"/>
      <c r="J1040" s="779"/>
      <c r="K1040" s="800"/>
      <c r="L1040" s="800"/>
      <c r="M1040" s="779"/>
      <c r="N1040" s="779"/>
    </row>
    <row r="1041" spans="1:23" s="89" customFormat="1" ht="40.35" customHeight="1">
      <c r="A1041" s="564" t="str">
        <f ca="1">INDIRECT("'update Helper'!C"&amp;U1041)</f>
        <v>a163p000004Vjo5AAC</v>
      </c>
      <c r="B1041" s="794">
        <v>11</v>
      </c>
      <c r="C1041" s="795" t="str">
        <f ca="1">VLOOKUP(B1041,'Coverage Indicators - Section D'!$A$9:$AU$70,47,FALSE)</f>
        <v>MDR TB-2⁽ᴹ⁾ Número de casos de tuberculosis resistente a la rifampicina y/o multirresistente notificados.</v>
      </c>
      <c r="D1041" s="796" t="str">
        <f ca="1">R1041</f>
        <v/>
      </c>
      <c r="E1041" s="796" t="str">
        <f ca="1">S1041</f>
        <v/>
      </c>
      <c r="F1041" s="127"/>
      <c r="G1041" s="797" t="str">
        <f ca="1">IF(OR(INDIRECT("'update Helper'!E"&amp;U1041)="",F1041&lt;&gt;0,F1042&lt;&gt;0),IF(IFERROR((F1041/F1042),"")="","",(F1041/F1042)),INDIRECT("'update Helper'!E"&amp;U1041)/100)</f>
        <v/>
      </c>
      <c r="H1041" s="784"/>
      <c r="I1041" s="798"/>
      <c r="J1041" s="777"/>
      <c r="K1041" s="795" t="str">
        <f ca="1">W1041</f>
        <v>MDR TB-2⁽ᴹ⁾ Number of TB cases with RR-TB and/or MDR-TB notified</v>
      </c>
      <c r="L1041" s="795" t="str">
        <f ca="1">V1041</f>
        <v/>
      </c>
      <c r="M1041" s="777"/>
      <c r="N1041" s="777"/>
      <c r="P1041" s="89">
        <f ca="1">IF(AND(EXACT(C1041,C1039),C1039&lt;&gt;0),P1039+1,0)</f>
        <v>10</v>
      </c>
      <c r="Q1041" s="89" t="str">
        <f ca="1">IF(C1041&lt;&gt;"",C1041&amp;"-"&amp;P1041,"")</f>
        <v>MDR TB-2⁽ᴹ⁾ Número de casos de tuberculosis resistente a la rifampicina y/o multirresistente notificados.-10</v>
      </c>
      <c r="R1041" s="89" t="str">
        <f t="array" aca="1" ref="R1041" ca="1">IFERROR(IF(INDEX('Disaggregation Records'!$E$155:$E$385,MATCH(RIGHT(Q1041,255),RIGHT('Disaggregation Records'!$D$155:$D$385,255),0))="","",INDEX('Disaggregation Records'!$E$155:$E$385,MATCH(RIGHT(Q1041,255),RIGHT('Disaggregation Records'!$D$155:$D$385,255),0))),"")</f>
        <v/>
      </c>
      <c r="S1041" s="89" t="str">
        <f t="array" aca="1" ref="S1041" ca="1">IFERROR(IF(INDEX('Disaggregation Records'!$F$155:$F$385,MATCH(RIGHT(Q1041,255),RIGHT('Disaggregation Records'!$D$155:$D$385,255),0))="","",INDEX('Disaggregation Records'!$F$155:$F$385,MATCH(RIGHT(Q1041,255),RIGHT('Disaggregation Records'!$D$155:$D$385,255),0))),"")</f>
        <v/>
      </c>
      <c r="T1041" s="89" t="str">
        <f t="array" aca="1" ref="T1041" ca="1">IFERROR(IF(INDEX('Disaggregation Records'!$H$155:$H$385,MATCH(RIGHT(Q1041,255),RIGHT('Disaggregation Records'!$D$155:$D$385,255),0))="","",INDEX('Disaggregation Records'!$H$155:$H$385,MATCH(RIGHT(Q1041,255),RIGHT('Disaggregation Records'!$D$155:$D$385,255),0))),"")</f>
        <v/>
      </c>
      <c r="U1041" s="89">
        <f>U1039+1</f>
        <v>1630</v>
      </c>
      <c r="V1041" s="89" t="str">
        <f t="array" aca="1" ref="V1041" ca="1">IFERROR(IF(INDEX('Disaggregation Records'!$I$155:$I$385,MATCH(RIGHT(Q1041,255),RIGHT('Disaggregation Records'!$D$155:$D$385,255),0))="","",INDEX('Disaggregation Records'!$I$155:$I$385,MATCH(RIGHT(Q1041,255),RIGHT('Disaggregation Records'!$D$155:$D$385,255),0))),"")</f>
        <v/>
      </c>
      <c r="W1041" s="89" t="str">
        <f ca="1">IFERROR(INDEX('Reference Records'!L$77:L$157,MATCH(LEFT(C1041,255),'Reference Records'!E$77:E$157,0)),"")</f>
        <v>MDR TB-2⁽ᴹ⁾ Number of TB cases with RR-TB and/or MDR-TB notified</v>
      </c>
    </row>
    <row r="1042" spans="1:23" s="89" customFormat="1" ht="40.35" customHeight="1">
      <c r="A1042" s="564"/>
      <c r="B1042" s="799"/>
      <c r="C1042" s="800"/>
      <c r="D1042" s="801"/>
      <c r="E1042" s="801"/>
      <c r="F1042" s="128"/>
      <c r="G1042" s="802"/>
      <c r="H1042" s="781"/>
      <c r="I1042" s="803"/>
      <c r="J1042" s="779"/>
      <c r="K1042" s="800"/>
      <c r="L1042" s="800"/>
      <c r="M1042" s="779"/>
      <c r="N1042" s="779"/>
    </row>
    <row r="1043" spans="1:23" s="89" customFormat="1" ht="40.35" customHeight="1">
      <c r="A1043" s="564" t="str">
        <f ca="1">INDIRECT("'update Helper'!C"&amp;U1043)</f>
        <v>a163p000004Vjo6AAC</v>
      </c>
      <c r="B1043" s="794">
        <v>11</v>
      </c>
      <c r="C1043" s="795" t="str">
        <f ca="1">VLOOKUP(B1043,'Coverage Indicators - Section D'!$A$9:$AU$70,47,FALSE)</f>
        <v>MDR TB-2⁽ᴹ⁾ Número de casos de tuberculosis resistente a la rifampicina y/o multirresistente notificados.</v>
      </c>
      <c r="D1043" s="796" t="str">
        <f ca="1">R1043</f>
        <v/>
      </c>
      <c r="E1043" s="796" t="str">
        <f ca="1">S1043</f>
        <v/>
      </c>
      <c r="F1043" s="127"/>
      <c r="G1043" s="797" t="str">
        <f ca="1">IF(OR(INDIRECT("'update Helper'!E"&amp;U1043)="",F1043&lt;&gt;0,F1044&lt;&gt;0),IF(IFERROR((F1043/F1044),"")="","",(F1043/F1044)),INDIRECT("'update Helper'!E"&amp;U1043)/100)</f>
        <v/>
      </c>
      <c r="H1043" s="784"/>
      <c r="I1043" s="798"/>
      <c r="J1043" s="777"/>
      <c r="K1043" s="795" t="str">
        <f ca="1">W1043</f>
        <v>MDR TB-2⁽ᴹ⁾ Number of TB cases with RR-TB and/or MDR-TB notified</v>
      </c>
      <c r="L1043" s="795" t="str">
        <f ca="1">V1043</f>
        <v/>
      </c>
      <c r="M1043" s="777"/>
      <c r="N1043" s="777"/>
      <c r="P1043" s="89">
        <f ca="1">IF(AND(EXACT(C1043,C1041),C1041&lt;&gt;0),P1041+1,0)</f>
        <v>11</v>
      </c>
      <c r="Q1043" s="89" t="str">
        <f ca="1">IF(C1043&lt;&gt;"",C1043&amp;"-"&amp;P1043,"")</f>
        <v>MDR TB-2⁽ᴹ⁾ Número de casos de tuberculosis resistente a la rifampicina y/o multirresistente notificados.-11</v>
      </c>
      <c r="R1043" s="89" t="str">
        <f t="array" aca="1" ref="R1043" ca="1">IFERROR(IF(INDEX('Disaggregation Records'!$E$155:$E$385,MATCH(RIGHT(Q1043,255),RIGHT('Disaggregation Records'!$D$155:$D$385,255),0))="","",INDEX('Disaggregation Records'!$E$155:$E$385,MATCH(RIGHT(Q1043,255),RIGHT('Disaggregation Records'!$D$155:$D$385,255),0))),"")</f>
        <v/>
      </c>
      <c r="S1043" s="89" t="str">
        <f t="array" aca="1" ref="S1043" ca="1">IFERROR(IF(INDEX('Disaggregation Records'!$F$155:$F$385,MATCH(RIGHT(Q1043,255),RIGHT('Disaggregation Records'!$D$155:$D$385,255),0))="","",INDEX('Disaggregation Records'!$F$155:$F$385,MATCH(RIGHT(Q1043,255),RIGHT('Disaggregation Records'!$D$155:$D$385,255),0))),"")</f>
        <v/>
      </c>
      <c r="T1043" s="89" t="str">
        <f t="array" aca="1" ref="T1043" ca="1">IFERROR(IF(INDEX('Disaggregation Records'!$H$155:$H$385,MATCH(RIGHT(Q1043,255),RIGHT('Disaggregation Records'!$D$155:$D$385,255),0))="","",INDEX('Disaggregation Records'!$H$155:$H$385,MATCH(RIGHT(Q1043,255),RIGHT('Disaggregation Records'!$D$155:$D$385,255),0))),"")</f>
        <v/>
      </c>
      <c r="U1043" s="89">
        <f>U1041+1</f>
        <v>1631</v>
      </c>
      <c r="V1043" s="89" t="str">
        <f t="array" aca="1" ref="V1043" ca="1">IFERROR(IF(INDEX('Disaggregation Records'!$I$155:$I$385,MATCH(RIGHT(Q1043,255),RIGHT('Disaggregation Records'!$D$155:$D$385,255),0))="","",INDEX('Disaggregation Records'!$I$155:$I$385,MATCH(RIGHT(Q1043,255),RIGHT('Disaggregation Records'!$D$155:$D$385,255),0))),"")</f>
        <v/>
      </c>
      <c r="W1043" s="89" t="str">
        <f ca="1">IFERROR(INDEX('Reference Records'!L$77:L$157,MATCH(LEFT(C1043,255),'Reference Records'!E$77:E$157,0)),"")</f>
        <v>MDR TB-2⁽ᴹ⁾ Number of TB cases with RR-TB and/or MDR-TB notified</v>
      </c>
    </row>
    <row r="1044" spans="1:23" s="89" customFormat="1" ht="40.35" customHeight="1">
      <c r="A1044" s="564"/>
      <c r="B1044" s="799"/>
      <c r="C1044" s="800"/>
      <c r="D1044" s="801"/>
      <c r="E1044" s="801"/>
      <c r="F1044" s="128"/>
      <c r="G1044" s="802"/>
      <c r="H1044" s="781"/>
      <c r="I1044" s="803"/>
      <c r="J1044" s="779"/>
      <c r="K1044" s="800"/>
      <c r="L1044" s="800"/>
      <c r="M1044" s="779"/>
      <c r="N1044" s="779"/>
    </row>
    <row r="1045" spans="1:23" s="89" customFormat="1" ht="40.35" customHeight="1">
      <c r="A1045" s="564" t="str">
        <f ca="1">INDIRECT("'update Helper'!C"&amp;U1045)</f>
        <v>a163p000004Vjo7AAC</v>
      </c>
      <c r="B1045" s="794">
        <v>11</v>
      </c>
      <c r="C1045" s="795" t="str">
        <f ca="1">VLOOKUP(B1045,'Coverage Indicators - Section D'!$A$9:$AU$70,47,FALSE)</f>
        <v>MDR TB-2⁽ᴹ⁾ Número de casos de tuberculosis resistente a la rifampicina y/o multirresistente notificados.</v>
      </c>
      <c r="D1045" s="796" t="str">
        <f ca="1">R1045</f>
        <v/>
      </c>
      <c r="E1045" s="796" t="str">
        <f ca="1">S1045</f>
        <v/>
      </c>
      <c r="F1045" s="127"/>
      <c r="G1045" s="797" t="str">
        <f ca="1">IF(OR(INDIRECT("'update Helper'!E"&amp;U1045)="",F1045&lt;&gt;0,F1046&lt;&gt;0),IF(IFERROR((F1045/F1046),"")="","",(F1045/F1046)),INDIRECT("'update Helper'!E"&amp;U1045)/100)</f>
        <v/>
      </c>
      <c r="H1045" s="784"/>
      <c r="I1045" s="798"/>
      <c r="J1045" s="777"/>
      <c r="K1045" s="795" t="str">
        <f ca="1">W1045</f>
        <v>MDR TB-2⁽ᴹ⁾ Number of TB cases with RR-TB and/or MDR-TB notified</v>
      </c>
      <c r="L1045" s="795" t="str">
        <f ca="1">V1045</f>
        <v/>
      </c>
      <c r="M1045" s="777"/>
      <c r="N1045" s="777"/>
      <c r="P1045" s="89">
        <f ca="1">IF(AND(EXACT(C1045,C1043),C1043&lt;&gt;0),P1043+1,0)</f>
        <v>12</v>
      </c>
      <c r="Q1045" s="89" t="str">
        <f ca="1">IF(C1045&lt;&gt;"",C1045&amp;"-"&amp;P1045,"")</f>
        <v>MDR TB-2⁽ᴹ⁾ Número de casos de tuberculosis resistente a la rifampicina y/o multirresistente notificados.-12</v>
      </c>
      <c r="R1045" s="89" t="str">
        <f t="array" aca="1" ref="R1045" ca="1">IFERROR(IF(INDEX('Disaggregation Records'!$E$155:$E$385,MATCH(RIGHT(Q1045,255),RIGHT('Disaggregation Records'!$D$155:$D$385,255),0))="","",INDEX('Disaggregation Records'!$E$155:$E$385,MATCH(RIGHT(Q1045,255),RIGHT('Disaggregation Records'!$D$155:$D$385,255),0))),"")</f>
        <v/>
      </c>
      <c r="S1045" s="89" t="str">
        <f t="array" aca="1" ref="S1045" ca="1">IFERROR(IF(INDEX('Disaggregation Records'!$F$155:$F$385,MATCH(RIGHT(Q1045,255),RIGHT('Disaggregation Records'!$D$155:$D$385,255),0))="","",INDEX('Disaggregation Records'!$F$155:$F$385,MATCH(RIGHT(Q1045,255),RIGHT('Disaggregation Records'!$D$155:$D$385,255),0))),"")</f>
        <v/>
      </c>
      <c r="T1045" s="89" t="str">
        <f t="array" aca="1" ref="T1045" ca="1">IFERROR(IF(INDEX('Disaggregation Records'!$H$155:$H$385,MATCH(RIGHT(Q1045,255),RIGHT('Disaggregation Records'!$D$155:$D$385,255),0))="","",INDEX('Disaggregation Records'!$H$155:$H$385,MATCH(RIGHT(Q1045,255),RIGHT('Disaggregation Records'!$D$155:$D$385,255),0))),"")</f>
        <v/>
      </c>
      <c r="U1045" s="89">
        <f>U1043+1</f>
        <v>1632</v>
      </c>
      <c r="V1045" s="89" t="str">
        <f t="array" aca="1" ref="V1045" ca="1">IFERROR(IF(INDEX('Disaggregation Records'!$I$155:$I$385,MATCH(RIGHT(Q1045,255),RIGHT('Disaggregation Records'!$D$155:$D$385,255),0))="","",INDEX('Disaggregation Records'!$I$155:$I$385,MATCH(RIGHT(Q1045,255),RIGHT('Disaggregation Records'!$D$155:$D$385,255),0))),"")</f>
        <v/>
      </c>
      <c r="W1045" s="89" t="str">
        <f ca="1">IFERROR(INDEX('Reference Records'!L$77:L$157,MATCH(LEFT(C1045,255),'Reference Records'!E$77:E$157,0)),"")</f>
        <v>MDR TB-2⁽ᴹ⁾ Number of TB cases with RR-TB and/or MDR-TB notified</v>
      </c>
    </row>
    <row r="1046" spans="1:23" s="89" customFormat="1" ht="40.35" customHeight="1">
      <c r="A1046" s="564"/>
      <c r="B1046" s="799"/>
      <c r="C1046" s="800"/>
      <c r="D1046" s="801"/>
      <c r="E1046" s="801"/>
      <c r="F1046" s="128"/>
      <c r="G1046" s="802"/>
      <c r="H1046" s="781"/>
      <c r="I1046" s="803"/>
      <c r="J1046" s="779"/>
      <c r="K1046" s="800"/>
      <c r="L1046" s="800"/>
      <c r="M1046" s="779"/>
      <c r="N1046" s="779"/>
    </row>
    <row r="1047" spans="1:23" s="89" customFormat="1" ht="40.35" customHeight="1">
      <c r="A1047" s="564" t="str">
        <f ca="1">INDIRECT("'update Helper'!C"&amp;U1047)</f>
        <v>a163p000004Vjo8AAC</v>
      </c>
      <c r="B1047" s="794">
        <v>11</v>
      </c>
      <c r="C1047" s="795" t="str">
        <f ca="1">VLOOKUP(B1047,'Coverage Indicators - Section D'!$A$9:$AU$70,47,FALSE)</f>
        <v>MDR TB-2⁽ᴹ⁾ Número de casos de tuberculosis resistente a la rifampicina y/o multirresistente notificados.</v>
      </c>
      <c r="D1047" s="796" t="str">
        <f ca="1">R1047</f>
        <v/>
      </c>
      <c r="E1047" s="796" t="str">
        <f ca="1">S1047</f>
        <v/>
      </c>
      <c r="F1047" s="127"/>
      <c r="G1047" s="797" t="str">
        <f ca="1">IF(OR(INDIRECT("'update Helper'!E"&amp;U1047)="",F1047&lt;&gt;0,F1048&lt;&gt;0),IF(IFERROR((F1047/F1048),"")="","",(F1047/F1048)),INDIRECT("'update Helper'!E"&amp;U1047)/100)</f>
        <v/>
      </c>
      <c r="H1047" s="784"/>
      <c r="I1047" s="798"/>
      <c r="J1047" s="777"/>
      <c r="K1047" s="795" t="str">
        <f ca="1">W1047</f>
        <v>MDR TB-2⁽ᴹ⁾ Number of TB cases with RR-TB and/or MDR-TB notified</v>
      </c>
      <c r="L1047" s="795" t="str">
        <f ca="1">V1047</f>
        <v/>
      </c>
      <c r="M1047" s="777"/>
      <c r="N1047" s="777"/>
      <c r="P1047" s="89">
        <f ca="1">IF(AND(EXACT(C1047,C1045),C1045&lt;&gt;0),P1045+1,0)</f>
        <v>13</v>
      </c>
      <c r="Q1047" s="89" t="str">
        <f ca="1">IF(C1047&lt;&gt;"",C1047&amp;"-"&amp;P1047,"")</f>
        <v>MDR TB-2⁽ᴹ⁾ Número de casos de tuberculosis resistente a la rifampicina y/o multirresistente notificados.-13</v>
      </c>
      <c r="R1047" s="89" t="str">
        <f t="array" aca="1" ref="R1047" ca="1">IFERROR(IF(INDEX('Disaggregation Records'!$E$155:$E$385,MATCH(RIGHT(Q1047,255),RIGHT('Disaggregation Records'!$D$155:$D$385,255),0))="","",INDEX('Disaggregation Records'!$E$155:$E$385,MATCH(RIGHT(Q1047,255),RIGHT('Disaggregation Records'!$D$155:$D$385,255),0))),"")</f>
        <v/>
      </c>
      <c r="S1047" s="89" t="str">
        <f t="array" aca="1" ref="S1047" ca="1">IFERROR(IF(INDEX('Disaggregation Records'!$F$155:$F$385,MATCH(RIGHT(Q1047,255),RIGHT('Disaggregation Records'!$D$155:$D$385,255),0))="","",INDEX('Disaggregation Records'!$F$155:$F$385,MATCH(RIGHT(Q1047,255),RIGHT('Disaggregation Records'!$D$155:$D$385,255),0))),"")</f>
        <v/>
      </c>
      <c r="T1047" s="89" t="str">
        <f t="array" aca="1" ref="T1047" ca="1">IFERROR(IF(INDEX('Disaggregation Records'!$H$155:$H$385,MATCH(RIGHT(Q1047,255),RIGHT('Disaggregation Records'!$D$155:$D$385,255),0))="","",INDEX('Disaggregation Records'!$H$155:$H$385,MATCH(RIGHT(Q1047,255),RIGHT('Disaggregation Records'!$D$155:$D$385,255),0))),"")</f>
        <v/>
      </c>
      <c r="U1047" s="89">
        <f>U1045+1</f>
        <v>1633</v>
      </c>
      <c r="V1047" s="89" t="str">
        <f t="array" aca="1" ref="V1047" ca="1">IFERROR(IF(INDEX('Disaggregation Records'!$I$155:$I$385,MATCH(RIGHT(Q1047,255),RIGHT('Disaggregation Records'!$D$155:$D$385,255),0))="","",INDEX('Disaggregation Records'!$I$155:$I$385,MATCH(RIGHT(Q1047,255),RIGHT('Disaggregation Records'!$D$155:$D$385,255),0))),"")</f>
        <v/>
      </c>
      <c r="W1047" s="89" t="str">
        <f ca="1">IFERROR(INDEX('Reference Records'!L$77:L$157,MATCH(LEFT(C1047,255),'Reference Records'!E$77:E$157,0)),"")</f>
        <v>MDR TB-2⁽ᴹ⁾ Number of TB cases with RR-TB and/or MDR-TB notified</v>
      </c>
    </row>
    <row r="1048" spans="1:23" s="89" customFormat="1" ht="40.35" customHeight="1">
      <c r="A1048" s="564"/>
      <c r="B1048" s="799"/>
      <c r="C1048" s="800"/>
      <c r="D1048" s="801"/>
      <c r="E1048" s="801"/>
      <c r="F1048" s="128"/>
      <c r="G1048" s="802"/>
      <c r="H1048" s="781"/>
      <c r="I1048" s="803"/>
      <c r="J1048" s="779"/>
      <c r="K1048" s="800"/>
      <c r="L1048" s="800"/>
      <c r="M1048" s="779"/>
      <c r="N1048" s="779"/>
    </row>
    <row r="1049" spans="1:23" s="89" customFormat="1" ht="40.35" customHeight="1">
      <c r="A1049" s="564" t="str">
        <f ca="1">INDIRECT("'update Helper'!C"&amp;U1049)</f>
        <v>a163p000004Vjo9AAC</v>
      </c>
      <c r="B1049" s="794">
        <v>11</v>
      </c>
      <c r="C1049" s="795" t="str">
        <f ca="1">VLOOKUP(B1049,'Coverage Indicators - Section D'!$A$9:$AU$70,47,FALSE)</f>
        <v>MDR TB-2⁽ᴹ⁾ Número de casos de tuberculosis resistente a la rifampicina y/o multirresistente notificados.</v>
      </c>
      <c r="D1049" s="796" t="str">
        <f ca="1">R1049</f>
        <v/>
      </c>
      <c r="E1049" s="796" t="str">
        <f ca="1">S1049</f>
        <v/>
      </c>
      <c r="F1049" s="127"/>
      <c r="G1049" s="797" t="str">
        <f ca="1">IF(OR(INDIRECT("'update Helper'!E"&amp;U1049)="",F1049&lt;&gt;0,F1050&lt;&gt;0),IF(IFERROR((F1049/F1050),"")="","",(F1049/F1050)),INDIRECT("'update Helper'!E"&amp;U1049)/100)</f>
        <v/>
      </c>
      <c r="H1049" s="784"/>
      <c r="I1049" s="798"/>
      <c r="J1049" s="777"/>
      <c r="K1049" s="795" t="str">
        <f ca="1">W1049</f>
        <v>MDR TB-2⁽ᴹ⁾ Number of TB cases with RR-TB and/or MDR-TB notified</v>
      </c>
      <c r="L1049" s="795" t="str">
        <f ca="1">V1049</f>
        <v/>
      </c>
      <c r="M1049" s="777"/>
      <c r="N1049" s="777"/>
      <c r="P1049" s="89">
        <f ca="1">IF(AND(EXACT(C1049,C1047),C1047&lt;&gt;0),P1047+1,0)</f>
        <v>14</v>
      </c>
      <c r="Q1049" s="89" t="str">
        <f ca="1">IF(C1049&lt;&gt;"",C1049&amp;"-"&amp;P1049,"")</f>
        <v>MDR TB-2⁽ᴹ⁾ Número de casos de tuberculosis resistente a la rifampicina y/o multirresistente notificados.-14</v>
      </c>
      <c r="R1049" s="89" t="str">
        <f t="array" aca="1" ref="R1049" ca="1">IFERROR(IF(INDEX('Disaggregation Records'!$E$155:$E$385,MATCH(RIGHT(Q1049,255),RIGHT('Disaggregation Records'!$D$155:$D$385,255),0))="","",INDEX('Disaggregation Records'!$E$155:$E$385,MATCH(RIGHT(Q1049,255),RIGHT('Disaggregation Records'!$D$155:$D$385,255),0))),"")</f>
        <v/>
      </c>
      <c r="S1049" s="89" t="str">
        <f t="array" aca="1" ref="S1049" ca="1">IFERROR(IF(INDEX('Disaggregation Records'!$F$155:$F$385,MATCH(RIGHT(Q1049,255),RIGHT('Disaggregation Records'!$D$155:$D$385,255),0))="","",INDEX('Disaggregation Records'!$F$155:$F$385,MATCH(RIGHT(Q1049,255),RIGHT('Disaggregation Records'!$D$155:$D$385,255),0))),"")</f>
        <v/>
      </c>
      <c r="T1049" s="89" t="str">
        <f t="array" aca="1" ref="T1049" ca="1">IFERROR(IF(INDEX('Disaggregation Records'!$H$155:$H$385,MATCH(RIGHT(Q1049,255),RIGHT('Disaggregation Records'!$D$155:$D$385,255),0))="","",INDEX('Disaggregation Records'!$H$155:$H$385,MATCH(RIGHT(Q1049,255),RIGHT('Disaggregation Records'!$D$155:$D$385,255),0))),"")</f>
        <v/>
      </c>
      <c r="U1049" s="89">
        <f>U1047+1</f>
        <v>1634</v>
      </c>
      <c r="V1049" s="89" t="str">
        <f t="array" aca="1" ref="V1049" ca="1">IFERROR(IF(INDEX('Disaggregation Records'!$I$155:$I$385,MATCH(RIGHT(Q1049,255),RIGHT('Disaggregation Records'!$D$155:$D$385,255),0))="","",INDEX('Disaggregation Records'!$I$155:$I$385,MATCH(RIGHT(Q1049,255),RIGHT('Disaggregation Records'!$D$155:$D$385,255),0))),"")</f>
        <v/>
      </c>
      <c r="W1049" s="89" t="str">
        <f ca="1">IFERROR(INDEX('Reference Records'!L$77:L$157,MATCH(LEFT(C1049,255),'Reference Records'!E$77:E$157,0)),"")</f>
        <v>MDR TB-2⁽ᴹ⁾ Number of TB cases with RR-TB and/or MDR-TB notified</v>
      </c>
    </row>
    <row r="1050" spans="1:23" s="89" customFormat="1" ht="40.35" customHeight="1">
      <c r="A1050" s="564"/>
      <c r="B1050" s="799"/>
      <c r="C1050" s="800"/>
      <c r="D1050" s="801"/>
      <c r="E1050" s="801"/>
      <c r="F1050" s="128"/>
      <c r="G1050" s="802"/>
      <c r="H1050" s="781"/>
      <c r="I1050" s="803"/>
      <c r="J1050" s="779"/>
      <c r="K1050" s="800"/>
      <c r="L1050" s="800"/>
      <c r="M1050" s="779"/>
      <c r="N1050" s="779"/>
    </row>
    <row r="1051" spans="1:23" s="89" customFormat="1" ht="40.35" customHeight="1">
      <c r="A1051" s="564" t="str">
        <f ca="1">INDIRECT("'update Helper'!C"&amp;U1051)</f>
        <v>a163p000004VjoAAAS</v>
      </c>
      <c r="B1051" s="794">
        <v>11</v>
      </c>
      <c r="C1051" s="795" t="str">
        <f ca="1">VLOOKUP(B1051,'Coverage Indicators - Section D'!$A$9:$AU$70,47,FALSE)</f>
        <v>MDR TB-2⁽ᴹ⁾ Número de casos de tuberculosis resistente a la rifampicina y/o multirresistente notificados.</v>
      </c>
      <c r="D1051" s="796" t="str">
        <f ca="1">R1051</f>
        <v/>
      </c>
      <c r="E1051" s="796" t="str">
        <f ca="1">S1051</f>
        <v/>
      </c>
      <c r="F1051" s="127"/>
      <c r="G1051" s="797" t="str">
        <f ca="1">IF(OR(INDIRECT("'update Helper'!E"&amp;U1051)="",F1051&lt;&gt;0,F1052&lt;&gt;0),IF(IFERROR((F1051/F1052),"")="","",(F1051/F1052)),INDIRECT("'update Helper'!E"&amp;U1051)/100)</f>
        <v/>
      </c>
      <c r="H1051" s="784"/>
      <c r="I1051" s="798"/>
      <c r="J1051" s="777"/>
      <c r="K1051" s="795" t="str">
        <f ca="1">W1051</f>
        <v>MDR TB-2⁽ᴹ⁾ Number of TB cases with RR-TB and/or MDR-TB notified</v>
      </c>
      <c r="L1051" s="795" t="str">
        <f ca="1">V1051</f>
        <v/>
      </c>
      <c r="M1051" s="777"/>
      <c r="N1051" s="777"/>
      <c r="P1051" s="89">
        <f ca="1">IF(AND(EXACT(C1051,C1049),C1049&lt;&gt;0),P1049+1,0)</f>
        <v>15</v>
      </c>
      <c r="Q1051" s="89" t="str">
        <f ca="1">IF(C1051&lt;&gt;"",C1051&amp;"-"&amp;P1051,"")</f>
        <v>MDR TB-2⁽ᴹ⁾ Número de casos de tuberculosis resistente a la rifampicina y/o multirresistente notificados.-15</v>
      </c>
      <c r="R1051" s="89" t="str">
        <f t="array" aca="1" ref="R1051" ca="1">IFERROR(IF(INDEX('Disaggregation Records'!$E$155:$E$385,MATCH(RIGHT(Q1051,255),RIGHT('Disaggregation Records'!$D$155:$D$385,255),0))="","",INDEX('Disaggregation Records'!$E$155:$E$385,MATCH(RIGHT(Q1051,255),RIGHT('Disaggregation Records'!$D$155:$D$385,255),0))),"")</f>
        <v/>
      </c>
      <c r="S1051" s="89" t="str">
        <f t="array" aca="1" ref="S1051" ca="1">IFERROR(IF(INDEX('Disaggregation Records'!$F$155:$F$385,MATCH(RIGHT(Q1051,255),RIGHT('Disaggregation Records'!$D$155:$D$385,255),0))="","",INDEX('Disaggregation Records'!$F$155:$F$385,MATCH(RIGHT(Q1051,255),RIGHT('Disaggregation Records'!$D$155:$D$385,255),0))),"")</f>
        <v/>
      </c>
      <c r="T1051" s="89" t="str">
        <f t="array" aca="1" ref="T1051" ca="1">IFERROR(IF(INDEX('Disaggregation Records'!$H$155:$H$385,MATCH(RIGHT(Q1051,255),RIGHT('Disaggregation Records'!$D$155:$D$385,255),0))="","",INDEX('Disaggregation Records'!$H$155:$H$385,MATCH(RIGHT(Q1051,255),RIGHT('Disaggregation Records'!$D$155:$D$385,255),0))),"")</f>
        <v/>
      </c>
      <c r="U1051" s="89">
        <f>U1049+1</f>
        <v>1635</v>
      </c>
      <c r="V1051" s="89" t="str">
        <f t="array" aca="1" ref="V1051" ca="1">IFERROR(IF(INDEX('Disaggregation Records'!$I$155:$I$385,MATCH(RIGHT(Q1051,255),RIGHT('Disaggregation Records'!$D$155:$D$385,255),0))="","",INDEX('Disaggregation Records'!$I$155:$I$385,MATCH(RIGHT(Q1051,255),RIGHT('Disaggregation Records'!$D$155:$D$385,255),0))),"")</f>
        <v/>
      </c>
      <c r="W1051" s="89" t="str">
        <f ca="1">IFERROR(INDEX('Reference Records'!L$77:L$157,MATCH(LEFT(C1051,255),'Reference Records'!E$77:E$157,0)),"")</f>
        <v>MDR TB-2⁽ᴹ⁾ Number of TB cases with RR-TB and/or MDR-TB notified</v>
      </c>
    </row>
    <row r="1052" spans="1:23" s="89" customFormat="1" ht="40.35" customHeight="1">
      <c r="A1052" s="564"/>
      <c r="B1052" s="799"/>
      <c r="C1052" s="800"/>
      <c r="D1052" s="801"/>
      <c r="E1052" s="801"/>
      <c r="F1052" s="128"/>
      <c r="G1052" s="802"/>
      <c r="H1052" s="781"/>
      <c r="I1052" s="803"/>
      <c r="J1052" s="779"/>
      <c r="K1052" s="800"/>
      <c r="L1052" s="800"/>
      <c r="M1052" s="779"/>
      <c r="N1052" s="779"/>
    </row>
    <row r="1053" spans="1:23" s="89" customFormat="1" ht="40.35" customHeight="1">
      <c r="A1053" s="564" t="str">
        <f ca="1">INDIRECT("'update Helper'!C"&amp;U1053)</f>
        <v>a163p000004VjoBAAS</v>
      </c>
      <c r="B1053" s="794">
        <v>11</v>
      </c>
      <c r="C1053" s="795" t="str">
        <f ca="1">VLOOKUP(B1053,'Coverage Indicators - Section D'!$A$9:$AU$70,47,FALSE)</f>
        <v>MDR TB-2⁽ᴹ⁾ Número de casos de tuberculosis resistente a la rifampicina y/o multirresistente notificados.</v>
      </c>
      <c r="D1053" s="796" t="str">
        <f ca="1">R1053</f>
        <v/>
      </c>
      <c r="E1053" s="796" t="str">
        <f ca="1">S1053</f>
        <v/>
      </c>
      <c r="F1053" s="127"/>
      <c r="G1053" s="797" t="str">
        <f ca="1">IF(OR(INDIRECT("'update Helper'!E"&amp;U1053)="",F1053&lt;&gt;0,F1054&lt;&gt;0),IF(IFERROR((F1053/F1054),"")="","",(F1053/F1054)),INDIRECT("'update Helper'!E"&amp;U1053)/100)</f>
        <v/>
      </c>
      <c r="H1053" s="784"/>
      <c r="I1053" s="798"/>
      <c r="J1053" s="777"/>
      <c r="K1053" s="795" t="str">
        <f ca="1">W1053</f>
        <v>MDR TB-2⁽ᴹ⁾ Number of TB cases with RR-TB and/or MDR-TB notified</v>
      </c>
      <c r="L1053" s="795" t="str">
        <f ca="1">V1053</f>
        <v/>
      </c>
      <c r="M1053" s="777"/>
      <c r="N1053" s="777"/>
      <c r="P1053" s="89">
        <f ca="1">IF(AND(EXACT(C1053,C1051),C1051&lt;&gt;0),P1051+1,0)</f>
        <v>16</v>
      </c>
      <c r="Q1053" s="89" t="str">
        <f ca="1">IF(C1053&lt;&gt;"",C1053&amp;"-"&amp;P1053,"")</f>
        <v>MDR TB-2⁽ᴹ⁾ Número de casos de tuberculosis resistente a la rifampicina y/o multirresistente notificados.-16</v>
      </c>
      <c r="R1053" s="89" t="str">
        <f t="array" aca="1" ref="R1053" ca="1">IFERROR(IF(INDEX('Disaggregation Records'!$E$155:$E$385,MATCH(RIGHT(Q1053,255),RIGHT('Disaggregation Records'!$D$155:$D$385,255),0))="","",INDEX('Disaggregation Records'!$E$155:$E$385,MATCH(RIGHT(Q1053,255),RIGHT('Disaggregation Records'!$D$155:$D$385,255),0))),"")</f>
        <v/>
      </c>
      <c r="S1053" s="89" t="str">
        <f t="array" aca="1" ref="S1053" ca="1">IFERROR(IF(INDEX('Disaggregation Records'!$F$155:$F$385,MATCH(RIGHT(Q1053,255),RIGHT('Disaggregation Records'!$D$155:$D$385,255),0))="","",INDEX('Disaggregation Records'!$F$155:$F$385,MATCH(RIGHT(Q1053,255),RIGHT('Disaggregation Records'!$D$155:$D$385,255),0))),"")</f>
        <v/>
      </c>
      <c r="T1053" s="89" t="str">
        <f t="array" aca="1" ref="T1053" ca="1">IFERROR(IF(INDEX('Disaggregation Records'!$H$155:$H$385,MATCH(RIGHT(Q1053,255),RIGHT('Disaggregation Records'!$D$155:$D$385,255),0))="","",INDEX('Disaggregation Records'!$H$155:$H$385,MATCH(RIGHT(Q1053,255),RIGHT('Disaggregation Records'!$D$155:$D$385,255),0))),"")</f>
        <v/>
      </c>
      <c r="U1053" s="89">
        <f>U1051+1</f>
        <v>1636</v>
      </c>
      <c r="V1053" s="89" t="str">
        <f t="array" aca="1" ref="V1053" ca="1">IFERROR(IF(INDEX('Disaggregation Records'!$I$155:$I$385,MATCH(RIGHT(Q1053,255),RIGHT('Disaggregation Records'!$D$155:$D$385,255),0))="","",INDEX('Disaggregation Records'!$I$155:$I$385,MATCH(RIGHT(Q1053,255),RIGHT('Disaggregation Records'!$D$155:$D$385,255),0))),"")</f>
        <v/>
      </c>
      <c r="W1053" s="89" t="str">
        <f ca="1">IFERROR(INDEX('Reference Records'!L$77:L$157,MATCH(LEFT(C1053,255),'Reference Records'!E$77:E$157,0)),"")</f>
        <v>MDR TB-2⁽ᴹ⁾ Number of TB cases with RR-TB and/or MDR-TB notified</v>
      </c>
    </row>
    <row r="1054" spans="1:23" s="89" customFormat="1" ht="40.35" customHeight="1">
      <c r="A1054" s="564"/>
      <c r="B1054" s="799"/>
      <c r="C1054" s="800"/>
      <c r="D1054" s="801"/>
      <c r="E1054" s="801"/>
      <c r="F1054" s="128"/>
      <c r="G1054" s="802"/>
      <c r="H1054" s="781"/>
      <c r="I1054" s="803"/>
      <c r="J1054" s="779"/>
      <c r="K1054" s="800"/>
      <c r="L1054" s="800"/>
      <c r="M1054" s="779"/>
      <c r="N1054" s="779"/>
    </row>
    <row r="1055" spans="1:23" s="89" customFormat="1" ht="40.35" customHeight="1">
      <c r="A1055" s="564" t="str">
        <f ca="1">INDIRECT("'update Helper'!C"&amp;U1055)</f>
        <v>a163p000004VjoCAAS</v>
      </c>
      <c r="B1055" s="794">
        <v>11</v>
      </c>
      <c r="C1055" s="795" t="str">
        <f ca="1">VLOOKUP(B1055,'Coverage Indicators - Section D'!$A$9:$AU$70,47,FALSE)</f>
        <v>MDR TB-2⁽ᴹ⁾ Número de casos de tuberculosis resistente a la rifampicina y/o multirresistente notificados.</v>
      </c>
      <c r="D1055" s="796" t="str">
        <f ca="1">R1055</f>
        <v/>
      </c>
      <c r="E1055" s="796" t="str">
        <f ca="1">S1055</f>
        <v/>
      </c>
      <c r="F1055" s="127"/>
      <c r="G1055" s="797" t="str">
        <f ca="1">IF(OR(INDIRECT("'update Helper'!E"&amp;U1055)="",F1055&lt;&gt;0,F1056&lt;&gt;0),IF(IFERROR((F1055/F1056),"")="","",(F1055/F1056)),INDIRECT("'update Helper'!E"&amp;U1055)/100)</f>
        <v/>
      </c>
      <c r="H1055" s="784"/>
      <c r="I1055" s="798"/>
      <c r="J1055" s="777"/>
      <c r="K1055" s="795" t="str">
        <f ca="1">W1055</f>
        <v>MDR TB-2⁽ᴹ⁾ Number of TB cases with RR-TB and/or MDR-TB notified</v>
      </c>
      <c r="L1055" s="795" t="str">
        <f ca="1">V1055</f>
        <v/>
      </c>
      <c r="M1055" s="777"/>
      <c r="N1055" s="777"/>
      <c r="P1055" s="89">
        <f ca="1">IF(AND(EXACT(C1055,C1053),C1053&lt;&gt;0),P1053+1,0)</f>
        <v>17</v>
      </c>
      <c r="Q1055" s="89" t="str">
        <f ca="1">IF(C1055&lt;&gt;"",C1055&amp;"-"&amp;P1055,"")</f>
        <v>MDR TB-2⁽ᴹ⁾ Número de casos de tuberculosis resistente a la rifampicina y/o multirresistente notificados.-17</v>
      </c>
      <c r="R1055" s="89" t="str">
        <f t="array" aca="1" ref="R1055" ca="1">IFERROR(IF(INDEX('Disaggregation Records'!$E$155:$E$385,MATCH(RIGHT(Q1055,255),RIGHT('Disaggregation Records'!$D$155:$D$385,255),0))="","",INDEX('Disaggregation Records'!$E$155:$E$385,MATCH(RIGHT(Q1055,255),RIGHT('Disaggregation Records'!$D$155:$D$385,255),0))),"")</f>
        <v/>
      </c>
      <c r="S1055" s="89" t="str">
        <f t="array" aca="1" ref="S1055" ca="1">IFERROR(IF(INDEX('Disaggregation Records'!$F$155:$F$385,MATCH(RIGHT(Q1055,255),RIGHT('Disaggregation Records'!$D$155:$D$385,255),0))="","",INDEX('Disaggregation Records'!$F$155:$F$385,MATCH(RIGHT(Q1055,255),RIGHT('Disaggregation Records'!$D$155:$D$385,255),0))),"")</f>
        <v/>
      </c>
      <c r="T1055" s="89" t="str">
        <f t="array" aca="1" ref="T1055" ca="1">IFERROR(IF(INDEX('Disaggregation Records'!$H$155:$H$385,MATCH(RIGHT(Q1055,255),RIGHT('Disaggregation Records'!$D$155:$D$385,255),0))="","",INDEX('Disaggregation Records'!$H$155:$H$385,MATCH(RIGHT(Q1055,255),RIGHT('Disaggregation Records'!$D$155:$D$385,255),0))),"")</f>
        <v/>
      </c>
      <c r="U1055" s="89">
        <f>U1053+1</f>
        <v>1637</v>
      </c>
      <c r="V1055" s="89" t="str">
        <f t="array" aca="1" ref="V1055" ca="1">IFERROR(IF(INDEX('Disaggregation Records'!$I$155:$I$385,MATCH(RIGHT(Q1055,255),RIGHT('Disaggregation Records'!$D$155:$D$385,255),0))="","",INDEX('Disaggregation Records'!$I$155:$I$385,MATCH(RIGHT(Q1055,255),RIGHT('Disaggregation Records'!$D$155:$D$385,255),0))),"")</f>
        <v/>
      </c>
      <c r="W1055" s="89" t="str">
        <f ca="1">IFERROR(INDEX('Reference Records'!L$77:L$157,MATCH(LEFT(C1055,255),'Reference Records'!E$77:E$157,0)),"")</f>
        <v>MDR TB-2⁽ᴹ⁾ Number of TB cases with RR-TB and/or MDR-TB notified</v>
      </c>
    </row>
    <row r="1056" spans="1:23" s="89" customFormat="1" ht="40.35" customHeight="1">
      <c r="A1056" s="564"/>
      <c r="B1056" s="799"/>
      <c r="C1056" s="800"/>
      <c r="D1056" s="801"/>
      <c r="E1056" s="801"/>
      <c r="F1056" s="128"/>
      <c r="G1056" s="802"/>
      <c r="H1056" s="781"/>
      <c r="I1056" s="803"/>
      <c r="J1056" s="779"/>
      <c r="K1056" s="800"/>
      <c r="L1056" s="800"/>
      <c r="M1056" s="779"/>
      <c r="N1056" s="779"/>
    </row>
    <row r="1057" spans="1:23" s="89" customFormat="1" ht="40.35" customHeight="1">
      <c r="A1057" s="564" t="str">
        <f ca="1">INDIRECT("'update Helper'!C"&amp;U1057)</f>
        <v>a163p000004VjoDAAS</v>
      </c>
      <c r="B1057" s="794">
        <v>11</v>
      </c>
      <c r="C1057" s="795" t="str">
        <f ca="1">VLOOKUP(B1057,'Coverage Indicators - Section D'!$A$9:$AU$70,47,FALSE)</f>
        <v>MDR TB-2⁽ᴹ⁾ Número de casos de tuberculosis resistente a la rifampicina y/o multirresistente notificados.</v>
      </c>
      <c r="D1057" s="796" t="str">
        <f ca="1">R1057</f>
        <v/>
      </c>
      <c r="E1057" s="796" t="str">
        <f ca="1">S1057</f>
        <v/>
      </c>
      <c r="F1057" s="127"/>
      <c r="G1057" s="797" t="str">
        <f ca="1">IF(OR(INDIRECT("'update Helper'!E"&amp;U1057)="",F1057&lt;&gt;0,F1058&lt;&gt;0),IF(IFERROR((F1057/F1058),"")="","",(F1057/F1058)),INDIRECT("'update Helper'!E"&amp;U1057)/100)</f>
        <v/>
      </c>
      <c r="H1057" s="784"/>
      <c r="I1057" s="798"/>
      <c r="J1057" s="777"/>
      <c r="K1057" s="795" t="str">
        <f ca="1">W1057</f>
        <v>MDR TB-2⁽ᴹ⁾ Number of TB cases with RR-TB and/or MDR-TB notified</v>
      </c>
      <c r="L1057" s="795" t="str">
        <f ca="1">V1057</f>
        <v/>
      </c>
      <c r="M1057" s="777"/>
      <c r="N1057" s="777"/>
      <c r="P1057" s="89">
        <f ca="1">IF(AND(EXACT(C1057,C1055),C1055&lt;&gt;0),P1055+1,0)</f>
        <v>18</v>
      </c>
      <c r="Q1057" s="89" t="str">
        <f ca="1">IF(C1057&lt;&gt;"",C1057&amp;"-"&amp;P1057,"")</f>
        <v>MDR TB-2⁽ᴹ⁾ Número de casos de tuberculosis resistente a la rifampicina y/o multirresistente notificados.-18</v>
      </c>
      <c r="R1057" s="89" t="str">
        <f t="array" aca="1" ref="R1057" ca="1">IFERROR(IF(INDEX('Disaggregation Records'!$E$155:$E$385,MATCH(RIGHT(Q1057,255),RIGHT('Disaggregation Records'!$D$155:$D$385,255),0))="","",INDEX('Disaggregation Records'!$E$155:$E$385,MATCH(RIGHT(Q1057,255),RIGHT('Disaggregation Records'!$D$155:$D$385,255),0))),"")</f>
        <v/>
      </c>
      <c r="S1057" s="89" t="str">
        <f t="array" aca="1" ref="S1057" ca="1">IFERROR(IF(INDEX('Disaggregation Records'!$F$155:$F$385,MATCH(RIGHT(Q1057,255),RIGHT('Disaggregation Records'!$D$155:$D$385,255),0))="","",INDEX('Disaggregation Records'!$F$155:$F$385,MATCH(RIGHT(Q1057,255),RIGHT('Disaggregation Records'!$D$155:$D$385,255),0))),"")</f>
        <v/>
      </c>
      <c r="T1057" s="89" t="str">
        <f t="array" aca="1" ref="T1057" ca="1">IFERROR(IF(INDEX('Disaggregation Records'!$H$155:$H$385,MATCH(RIGHT(Q1057,255),RIGHT('Disaggregation Records'!$D$155:$D$385,255),0))="","",INDEX('Disaggregation Records'!$H$155:$H$385,MATCH(RIGHT(Q1057,255),RIGHT('Disaggregation Records'!$D$155:$D$385,255),0))),"")</f>
        <v/>
      </c>
      <c r="U1057" s="89">
        <f>U1055+1</f>
        <v>1638</v>
      </c>
      <c r="V1057" s="89" t="str">
        <f t="array" aca="1" ref="V1057" ca="1">IFERROR(IF(INDEX('Disaggregation Records'!$I$155:$I$385,MATCH(RIGHT(Q1057,255),RIGHT('Disaggregation Records'!$D$155:$D$385,255),0))="","",INDEX('Disaggregation Records'!$I$155:$I$385,MATCH(RIGHT(Q1057,255),RIGHT('Disaggregation Records'!$D$155:$D$385,255),0))),"")</f>
        <v/>
      </c>
      <c r="W1057" s="89" t="str">
        <f ca="1">IFERROR(INDEX('Reference Records'!L$77:L$157,MATCH(LEFT(C1057,255),'Reference Records'!E$77:E$157,0)),"")</f>
        <v>MDR TB-2⁽ᴹ⁾ Number of TB cases with RR-TB and/or MDR-TB notified</v>
      </c>
    </row>
    <row r="1058" spans="1:23" s="89" customFormat="1" ht="40.35" customHeight="1">
      <c r="A1058" s="564"/>
      <c r="B1058" s="799"/>
      <c r="C1058" s="800"/>
      <c r="D1058" s="801"/>
      <c r="E1058" s="801"/>
      <c r="F1058" s="128"/>
      <c r="G1058" s="802"/>
      <c r="H1058" s="781"/>
      <c r="I1058" s="803"/>
      <c r="J1058" s="779"/>
      <c r="K1058" s="800"/>
      <c r="L1058" s="800"/>
      <c r="M1058" s="779"/>
      <c r="N1058" s="779"/>
    </row>
    <row r="1059" spans="1:23" s="89" customFormat="1" ht="40.35" customHeight="1">
      <c r="A1059" s="564" t="str">
        <f ca="1">INDIRECT("'update Helper'!C"&amp;U1059)</f>
        <v>a163p000004VjoEAAS</v>
      </c>
      <c r="B1059" s="794">
        <v>11</v>
      </c>
      <c r="C1059" s="795" t="str">
        <f ca="1">VLOOKUP(B1059,'Coverage Indicators - Section D'!$A$9:$AU$70,47,FALSE)</f>
        <v>MDR TB-2⁽ᴹ⁾ Número de casos de tuberculosis resistente a la rifampicina y/o multirresistente notificados.</v>
      </c>
      <c r="D1059" s="796" t="str">
        <f ca="1">R1059</f>
        <v/>
      </c>
      <c r="E1059" s="796" t="str">
        <f ca="1">S1059</f>
        <v/>
      </c>
      <c r="F1059" s="127"/>
      <c r="G1059" s="797" t="str">
        <f ca="1">IF(OR(INDIRECT("'update Helper'!E"&amp;U1059)="",F1059&lt;&gt;0,F1060&lt;&gt;0),IF(IFERROR((F1059/F1060),"")="","",(F1059/F1060)),INDIRECT("'update Helper'!E"&amp;U1059)/100)</f>
        <v/>
      </c>
      <c r="H1059" s="784"/>
      <c r="I1059" s="798"/>
      <c r="J1059" s="777"/>
      <c r="K1059" s="795" t="str">
        <f ca="1">W1059</f>
        <v>MDR TB-2⁽ᴹ⁾ Number of TB cases with RR-TB and/or MDR-TB notified</v>
      </c>
      <c r="L1059" s="795" t="str">
        <f ca="1">V1059</f>
        <v/>
      </c>
      <c r="M1059" s="777"/>
      <c r="N1059" s="777"/>
      <c r="P1059" s="89">
        <f ca="1">IF(AND(EXACT(C1059,C1057),C1057&lt;&gt;0),P1057+1,0)</f>
        <v>19</v>
      </c>
      <c r="Q1059" s="89" t="str">
        <f ca="1">IF(C1059&lt;&gt;"",C1059&amp;"-"&amp;P1059,"")</f>
        <v>MDR TB-2⁽ᴹ⁾ Número de casos de tuberculosis resistente a la rifampicina y/o multirresistente notificados.-19</v>
      </c>
      <c r="R1059" s="89" t="str">
        <f t="array" aca="1" ref="R1059" ca="1">IFERROR(IF(INDEX('Disaggregation Records'!$E$155:$E$385,MATCH(RIGHT(Q1059,255),RIGHT('Disaggregation Records'!$D$155:$D$385,255),0))="","",INDEX('Disaggregation Records'!$E$155:$E$385,MATCH(RIGHT(Q1059,255),RIGHT('Disaggregation Records'!$D$155:$D$385,255),0))),"")</f>
        <v/>
      </c>
      <c r="S1059" s="89" t="str">
        <f t="array" aca="1" ref="S1059" ca="1">IFERROR(IF(INDEX('Disaggregation Records'!$F$155:$F$385,MATCH(RIGHT(Q1059,255),RIGHT('Disaggregation Records'!$D$155:$D$385,255),0))="","",INDEX('Disaggregation Records'!$F$155:$F$385,MATCH(RIGHT(Q1059,255),RIGHT('Disaggregation Records'!$D$155:$D$385,255),0))),"")</f>
        <v/>
      </c>
      <c r="T1059" s="89" t="str">
        <f t="array" aca="1" ref="T1059" ca="1">IFERROR(IF(INDEX('Disaggregation Records'!$H$155:$H$385,MATCH(RIGHT(Q1059,255),RIGHT('Disaggregation Records'!$D$155:$D$385,255),0))="","",INDEX('Disaggregation Records'!$H$155:$H$385,MATCH(RIGHT(Q1059,255),RIGHT('Disaggregation Records'!$D$155:$D$385,255),0))),"")</f>
        <v/>
      </c>
      <c r="U1059" s="89">
        <f>U1057+1</f>
        <v>1639</v>
      </c>
      <c r="V1059" s="89" t="str">
        <f t="array" aca="1" ref="V1059" ca="1">IFERROR(IF(INDEX('Disaggregation Records'!$I$155:$I$385,MATCH(RIGHT(Q1059,255),RIGHT('Disaggregation Records'!$D$155:$D$385,255),0))="","",INDEX('Disaggregation Records'!$I$155:$I$385,MATCH(RIGHT(Q1059,255),RIGHT('Disaggregation Records'!$D$155:$D$385,255),0))),"")</f>
        <v/>
      </c>
      <c r="W1059" s="89" t="str">
        <f ca="1">IFERROR(INDEX('Reference Records'!L$77:L$157,MATCH(LEFT(C1059,255),'Reference Records'!E$77:E$157,0)),"")</f>
        <v>MDR TB-2⁽ᴹ⁾ Number of TB cases with RR-TB and/or MDR-TB notified</v>
      </c>
    </row>
    <row r="1060" spans="1:23" s="89" customFormat="1" ht="40.35" customHeight="1">
      <c r="A1060" s="564"/>
      <c r="B1060" s="799"/>
      <c r="C1060" s="800"/>
      <c r="D1060" s="801"/>
      <c r="E1060" s="801"/>
      <c r="F1060" s="128"/>
      <c r="G1060" s="802"/>
      <c r="H1060" s="781"/>
      <c r="I1060" s="803"/>
      <c r="J1060" s="779"/>
      <c r="K1060" s="800"/>
      <c r="L1060" s="800"/>
      <c r="M1060" s="779"/>
      <c r="N1060" s="779"/>
    </row>
    <row r="1061" spans="1:23" s="89" customFormat="1" ht="40.35" customHeight="1">
      <c r="A1061" s="564" t="str">
        <f ca="1">INDIRECT("'update Helper'!C"&amp;U1061)</f>
        <v>a163p000004VjoFAAS</v>
      </c>
      <c r="B1061" s="794">
        <v>12</v>
      </c>
      <c r="C1061" s="795" t="str">
        <f ca="1">VLOOKUP(B1061,'Coverage Indicators - Section D'!$A$9:$AU$70,47,FALSE)</f>
        <v>MDR TB-3⁽ᴹ⁾ Número de casos de tuberculosis resistente a la rifampicina y/o multirresistente que empezaron a recibir tratamiento de segunda línea.</v>
      </c>
      <c r="D1061" s="796" t="str">
        <f ca="1">R1061</f>
        <v>Tipo de tratamiento</v>
      </c>
      <c r="E1061" s="796" t="str">
        <f ca="1">S1061</f>
        <v>Regimenes acortados</v>
      </c>
      <c r="F1061" s="422">
        <v>0</v>
      </c>
      <c r="G1061" s="797">
        <f ca="1">IF(OR(INDIRECT("'update Helper'!E"&amp;U1061)="",F1061&lt;&gt;0,F1062&lt;&gt;0),IF(IFERROR((F1061/F1062),"")="","",(F1061/F1062)),INDIRECT("'update Helper'!E"&amp;U1061)/100)</f>
        <v>0</v>
      </c>
      <c r="H1061" s="784">
        <v>2020</v>
      </c>
      <c r="I1061" s="798"/>
      <c r="J1061" s="777"/>
      <c r="K1061" s="795" t="str">
        <f ca="1">W1061</f>
        <v>MDR TB-3⁽ᴹ⁾ Number of cases with RR-TB and/or MDR-TB that began second-line treatment</v>
      </c>
      <c r="L1061" s="795" t="str">
        <f ca="1">V1061</f>
        <v>TB regimen</v>
      </c>
      <c r="M1061" s="777"/>
      <c r="N1061" s="777"/>
      <c r="P1061" s="89">
        <f ca="1">IF(AND(EXACT(C1061,C1059),C1059&lt;&gt;0),P1059+1,0)</f>
        <v>0</v>
      </c>
      <c r="Q1061" s="89" t="str">
        <f ca="1">IF(C1061&lt;&gt;"",C1061&amp;"-"&amp;P1061,"")</f>
        <v>MDR TB-3⁽ᴹ⁾ Número de casos de tuberculosis resistente a la rifampicina y/o multirresistente que empezaron a recibir tratamiento de segunda línea.-0</v>
      </c>
      <c r="R1061" s="89" t="str">
        <f t="array" aca="1" ref="R1061" ca="1">IFERROR(IF(INDEX('Disaggregation Records'!$E$155:$E$385,MATCH(RIGHT(Q1061,255),RIGHT('Disaggregation Records'!$D$155:$D$385,255),0))="","",INDEX('Disaggregation Records'!$E$155:$E$385,MATCH(RIGHT(Q1061,255),RIGHT('Disaggregation Records'!$D$155:$D$385,255),0))),"")</f>
        <v>Tipo de tratamiento</v>
      </c>
      <c r="S1061" s="89" t="str">
        <f t="array" aca="1" ref="S1061" ca="1">IFERROR(IF(INDEX('Disaggregation Records'!$F$155:$F$385,MATCH(RIGHT(Q1061,255),RIGHT('Disaggregation Records'!$D$155:$D$385,255),0))="","",INDEX('Disaggregation Records'!$F$155:$F$385,MATCH(RIGHT(Q1061,255),RIGHT('Disaggregation Records'!$D$155:$D$385,255),0))),"")</f>
        <v>Regimenes acortados</v>
      </c>
      <c r="T1061" s="89" t="str">
        <f t="array" aca="1" ref="T1061" ca="1">IFERROR(IF(INDEX('Disaggregation Records'!$H$155:$H$385,MATCH(RIGHT(Q1061,255),RIGHT('Disaggregation Records'!$D$155:$D$385,255),0))="","",INDEX('Disaggregation Records'!$H$155:$H$385,MATCH(RIGHT(Q1061,255),RIGHT('Disaggregation Records'!$D$155:$D$385,255),0))),"")</f>
        <v>IDR-00997</v>
      </c>
      <c r="U1061" s="89">
        <f>U1059+1</f>
        <v>1640</v>
      </c>
      <c r="V1061" s="89" t="str">
        <f t="array" aca="1" ref="V1061" ca="1">IFERROR(IF(INDEX('Disaggregation Records'!$I$155:$I$385,MATCH(RIGHT(Q1061,255),RIGHT('Disaggregation Records'!$D$155:$D$385,255),0))="","",INDEX('Disaggregation Records'!$I$155:$I$385,MATCH(RIGHT(Q1061,255),RIGHT('Disaggregation Records'!$D$155:$D$385,255),0))),"")</f>
        <v>TB regimen</v>
      </c>
      <c r="W1061" s="89" t="str">
        <f ca="1">IFERROR(INDEX('Reference Records'!L$77:L$157,MATCH(LEFT(C1061,255),'Reference Records'!E$77:E$157,0)),"")</f>
        <v>MDR TB-3⁽ᴹ⁾ Number of cases with RR-TB and/or MDR-TB that began second-line treatment</v>
      </c>
    </row>
    <row r="1062" spans="1:23" s="89" customFormat="1" ht="40.35" customHeight="1">
      <c r="A1062" s="564"/>
      <c r="B1062" s="799"/>
      <c r="C1062" s="800"/>
      <c r="D1062" s="801"/>
      <c r="E1062" s="801"/>
      <c r="F1062" s="420">
        <v>82</v>
      </c>
      <c r="G1062" s="802"/>
      <c r="H1062" s="781"/>
      <c r="I1062" s="803"/>
      <c r="J1062" s="779"/>
      <c r="K1062" s="800"/>
      <c r="L1062" s="800"/>
      <c r="M1062" s="779"/>
      <c r="N1062" s="779"/>
    </row>
    <row r="1063" spans="1:23" s="89" customFormat="1" ht="40.35" customHeight="1">
      <c r="A1063" s="564" t="str">
        <f ca="1">INDIRECT("'update Helper'!C"&amp;U1063)</f>
        <v>a163p000004VjoGAAS</v>
      </c>
      <c r="B1063" s="794">
        <v>12</v>
      </c>
      <c r="C1063" s="795" t="str">
        <f ca="1">VLOOKUP(B1063,'Coverage Indicators - Section D'!$A$9:$AU$70,47,FALSE)</f>
        <v>MDR TB-3⁽ᴹ⁾ Número de casos de tuberculosis resistente a la rifampicina y/o multirresistente que empezaron a recibir tratamiento de segunda línea.</v>
      </c>
      <c r="D1063" s="796" t="str">
        <f ca="1">R1063</f>
        <v>Tipo de tratamiento</v>
      </c>
      <c r="E1063" s="796" t="str">
        <f ca="1">S1063</f>
        <v>Nuevas drogas anti tuberculosis</v>
      </c>
      <c r="F1063" s="422">
        <v>0</v>
      </c>
      <c r="G1063" s="797">
        <f ca="1">IF(OR(INDIRECT("'update Helper'!E"&amp;U1063)="",F1063&lt;&gt;0,F1064&lt;&gt;0),IF(IFERROR((F1063/F1064),"")="","",(F1063/F1064)),INDIRECT("'update Helper'!E"&amp;U1063)/100)</f>
        <v>0</v>
      </c>
      <c r="H1063" s="784">
        <v>2020</v>
      </c>
      <c r="I1063" s="798"/>
      <c r="J1063" s="777"/>
      <c r="K1063" s="795" t="str">
        <f ca="1">W1063</f>
        <v>MDR TB-3⁽ᴹ⁾ Number of cases with RR-TB and/or MDR-TB that began second-line treatment</v>
      </c>
      <c r="L1063" s="795" t="str">
        <f ca="1">V1063</f>
        <v>TB regimen</v>
      </c>
      <c r="M1063" s="777"/>
      <c r="N1063" s="777"/>
      <c r="P1063" s="89">
        <f ca="1">IF(AND(EXACT(C1063,C1061),C1061&lt;&gt;0),P1061+1,0)</f>
        <v>1</v>
      </c>
      <c r="Q1063" s="89" t="str">
        <f ca="1">IF(C1063&lt;&gt;"",C1063&amp;"-"&amp;P1063,"")</f>
        <v>MDR TB-3⁽ᴹ⁾ Número de casos de tuberculosis resistente a la rifampicina y/o multirresistente que empezaron a recibir tratamiento de segunda línea.-1</v>
      </c>
      <c r="R1063" s="89" t="str">
        <f t="array" aca="1" ref="R1063" ca="1">IFERROR(IF(INDEX('Disaggregation Records'!$E$155:$E$385,MATCH(RIGHT(Q1063,255),RIGHT('Disaggregation Records'!$D$155:$D$385,255),0))="","",INDEX('Disaggregation Records'!$E$155:$E$385,MATCH(RIGHT(Q1063,255),RIGHT('Disaggregation Records'!$D$155:$D$385,255),0))),"")</f>
        <v>Tipo de tratamiento</v>
      </c>
      <c r="S1063" s="89" t="str">
        <f t="array" aca="1" ref="S1063" ca="1">IFERROR(IF(INDEX('Disaggregation Records'!$F$155:$F$385,MATCH(RIGHT(Q1063,255),RIGHT('Disaggregation Records'!$D$155:$D$385,255),0))="","",INDEX('Disaggregation Records'!$F$155:$F$385,MATCH(RIGHT(Q1063,255),RIGHT('Disaggregation Records'!$D$155:$D$385,255),0))),"")</f>
        <v>Nuevas drogas anti tuberculosis</v>
      </c>
      <c r="T1063" s="89" t="str">
        <f t="array" aca="1" ref="T1063" ca="1">IFERROR(IF(INDEX('Disaggregation Records'!$H$155:$H$385,MATCH(RIGHT(Q1063,255),RIGHT('Disaggregation Records'!$D$155:$D$385,255),0))="","",INDEX('Disaggregation Records'!$H$155:$H$385,MATCH(RIGHT(Q1063,255),RIGHT('Disaggregation Records'!$D$155:$D$385,255),0))),"")</f>
        <v>IDR-00996</v>
      </c>
      <c r="U1063" s="89">
        <f>U1061+1</f>
        <v>1641</v>
      </c>
      <c r="V1063" s="89" t="str">
        <f t="array" aca="1" ref="V1063" ca="1">IFERROR(IF(INDEX('Disaggregation Records'!$I$155:$I$385,MATCH(RIGHT(Q1063,255),RIGHT('Disaggregation Records'!$D$155:$D$385,255),0))="","",INDEX('Disaggregation Records'!$I$155:$I$385,MATCH(RIGHT(Q1063,255),RIGHT('Disaggregation Records'!$D$155:$D$385,255),0))),"")</f>
        <v>TB regimen</v>
      </c>
      <c r="W1063" s="89" t="str">
        <f ca="1">IFERROR(INDEX('Reference Records'!L$77:L$157,MATCH(LEFT(C1063,255),'Reference Records'!E$77:E$157,0)),"")</f>
        <v>MDR TB-3⁽ᴹ⁾ Number of cases with RR-TB and/or MDR-TB that began second-line treatment</v>
      </c>
    </row>
    <row r="1064" spans="1:23" s="89" customFormat="1" ht="40.35" customHeight="1">
      <c r="A1064" s="564"/>
      <c r="B1064" s="799"/>
      <c r="C1064" s="800"/>
      <c r="D1064" s="801"/>
      <c r="E1064" s="801"/>
      <c r="F1064" s="128">
        <v>82</v>
      </c>
      <c r="G1064" s="802"/>
      <c r="H1064" s="781"/>
      <c r="I1064" s="803"/>
      <c r="J1064" s="779"/>
      <c r="K1064" s="800"/>
      <c r="L1064" s="800"/>
      <c r="M1064" s="779"/>
      <c r="N1064" s="779"/>
    </row>
    <row r="1065" spans="1:23" s="89" customFormat="1" ht="40.35" customHeight="1">
      <c r="A1065" s="564" t="str">
        <f ca="1">INDIRECT("'update Helper'!C"&amp;U1065)</f>
        <v>a163p000004VjoHAAS</v>
      </c>
      <c r="B1065" s="794">
        <v>12</v>
      </c>
      <c r="C1065" s="795" t="str">
        <f ca="1">VLOOKUP(B1065,'Coverage Indicators - Section D'!$A$9:$AU$70,47,FALSE)</f>
        <v>MDR TB-3⁽ᴹ⁾ Número de casos de tuberculosis resistente a la rifampicina y/o multirresistente que empezaron a recibir tratamiento de segunda línea.</v>
      </c>
      <c r="D1065" s="796" t="str">
        <f ca="1">R1065</f>
        <v>Género</v>
      </c>
      <c r="E1065" s="796" t="str">
        <f ca="1">S1065</f>
        <v>Mujeres</v>
      </c>
      <c r="F1065" s="422">
        <v>35</v>
      </c>
      <c r="G1065" s="797">
        <f ca="1">IF(OR(INDIRECT("'update Helper'!E"&amp;U1065)="",F1065&lt;&gt;0,F1066&lt;&gt;0),IF(IFERROR((F1065/F1066),"")="","",(F1065/F1066)),INDIRECT("'update Helper'!E"&amp;U1065)/100)</f>
        <v>0.42682926829268292</v>
      </c>
      <c r="H1065" s="784">
        <v>2020</v>
      </c>
      <c r="I1065" s="798"/>
      <c r="J1065" s="777"/>
      <c r="K1065" s="795" t="str">
        <f ca="1">W1065</f>
        <v>MDR TB-3⁽ᴹ⁾ Number of cases with RR-TB and/or MDR-TB that began second-line treatment</v>
      </c>
      <c r="L1065" s="795" t="str">
        <f ca="1">V1065</f>
        <v>Gender</v>
      </c>
      <c r="M1065" s="777"/>
      <c r="N1065" s="777"/>
      <c r="P1065" s="89">
        <f ca="1">IF(AND(EXACT(C1065,C1063),C1063&lt;&gt;0),P1063+1,0)</f>
        <v>2</v>
      </c>
      <c r="Q1065" s="89" t="str">
        <f ca="1">IF(C1065&lt;&gt;"",C1065&amp;"-"&amp;P1065,"")</f>
        <v>MDR TB-3⁽ᴹ⁾ Número de casos de tuberculosis resistente a la rifampicina y/o multirresistente que empezaron a recibir tratamiento de segunda línea.-2</v>
      </c>
      <c r="R1065" s="89" t="str">
        <f t="array" aca="1" ref="R1065" ca="1">IFERROR(IF(INDEX('Disaggregation Records'!$E$155:$E$385,MATCH(RIGHT(Q1065,255),RIGHT('Disaggregation Records'!$D$155:$D$385,255),0))="","",INDEX('Disaggregation Records'!$E$155:$E$385,MATCH(RIGHT(Q1065,255),RIGHT('Disaggregation Records'!$D$155:$D$385,255),0))),"")</f>
        <v>Género</v>
      </c>
      <c r="S1065" s="89" t="str">
        <f t="array" aca="1" ref="S1065" ca="1">IFERROR(IF(INDEX('Disaggregation Records'!$F$155:$F$385,MATCH(RIGHT(Q1065,255),RIGHT('Disaggregation Records'!$D$155:$D$385,255),0))="","",INDEX('Disaggregation Records'!$F$155:$F$385,MATCH(RIGHT(Q1065,255),RIGHT('Disaggregation Records'!$D$155:$D$385,255),0))),"")</f>
        <v>Mujeres</v>
      </c>
      <c r="T1065" s="89" t="str">
        <f t="array" aca="1" ref="T1065" ca="1">IFERROR(IF(INDEX('Disaggregation Records'!$H$155:$H$385,MATCH(RIGHT(Q1065,255),RIGHT('Disaggregation Records'!$D$155:$D$385,255),0))="","",INDEX('Disaggregation Records'!$H$155:$H$385,MATCH(RIGHT(Q1065,255),RIGHT('Disaggregation Records'!$D$155:$D$385,255),0))),"")</f>
        <v>IDR-00867</v>
      </c>
      <c r="U1065" s="89">
        <f>U1063+1</f>
        <v>1642</v>
      </c>
      <c r="V1065" s="89" t="str">
        <f t="array" aca="1" ref="V1065" ca="1">IFERROR(IF(INDEX('Disaggregation Records'!$I$155:$I$385,MATCH(RIGHT(Q1065,255),RIGHT('Disaggregation Records'!$D$155:$D$385,255),0))="","",INDEX('Disaggregation Records'!$I$155:$I$385,MATCH(RIGHT(Q1065,255),RIGHT('Disaggregation Records'!$D$155:$D$385,255),0))),"")</f>
        <v>Gender</v>
      </c>
      <c r="W1065" s="89" t="str">
        <f ca="1">IFERROR(INDEX('Reference Records'!L$77:L$157,MATCH(LEFT(C1065,255),'Reference Records'!E$77:E$157,0)),"")</f>
        <v>MDR TB-3⁽ᴹ⁾ Number of cases with RR-TB and/or MDR-TB that began second-line treatment</v>
      </c>
    </row>
    <row r="1066" spans="1:23" s="89" customFormat="1" ht="40.35" customHeight="1">
      <c r="A1066" s="564"/>
      <c r="B1066" s="799"/>
      <c r="C1066" s="800"/>
      <c r="D1066" s="801"/>
      <c r="E1066" s="801"/>
      <c r="F1066" s="420">
        <v>82</v>
      </c>
      <c r="G1066" s="802"/>
      <c r="H1066" s="781"/>
      <c r="I1066" s="803"/>
      <c r="J1066" s="779"/>
      <c r="K1066" s="800"/>
      <c r="L1066" s="800"/>
      <c r="M1066" s="779"/>
      <c r="N1066" s="779"/>
    </row>
    <row r="1067" spans="1:23" s="89" customFormat="1" ht="40.35" customHeight="1">
      <c r="A1067" s="564" t="str">
        <f ca="1">INDIRECT("'update Helper'!C"&amp;U1067)</f>
        <v>a163p000004VjoIAAS</v>
      </c>
      <c r="B1067" s="794">
        <v>12</v>
      </c>
      <c r="C1067" s="795" t="str">
        <f ca="1">VLOOKUP(B1067,'Coverage Indicators - Section D'!$A$9:$AU$70,47,FALSE)</f>
        <v>MDR TB-3⁽ᴹ⁾ Número de casos de tuberculosis resistente a la rifampicina y/o multirresistente que empezaron a recibir tratamiento de segunda línea.</v>
      </c>
      <c r="D1067" s="796" t="str">
        <f ca="1">R1067</f>
        <v>Género</v>
      </c>
      <c r="E1067" s="796" t="str">
        <f ca="1">S1067</f>
        <v>Hombres</v>
      </c>
      <c r="F1067" s="422">
        <v>47</v>
      </c>
      <c r="G1067" s="797">
        <f ca="1">IF(OR(INDIRECT("'update Helper'!E"&amp;U1067)="",F1067&lt;&gt;0,F1068&lt;&gt;0),IF(IFERROR((F1067/F1068),"")="","",(F1067/F1068)),INDIRECT("'update Helper'!E"&amp;U1067)/100)</f>
        <v>0.57317073170731703</v>
      </c>
      <c r="H1067" s="784">
        <v>2020</v>
      </c>
      <c r="I1067" s="798"/>
      <c r="J1067" s="777"/>
      <c r="K1067" s="795" t="str">
        <f ca="1">W1067</f>
        <v>MDR TB-3⁽ᴹ⁾ Number of cases with RR-TB and/or MDR-TB that began second-line treatment</v>
      </c>
      <c r="L1067" s="795" t="str">
        <f ca="1">V1067</f>
        <v>Gender</v>
      </c>
      <c r="M1067" s="777"/>
      <c r="N1067" s="777"/>
      <c r="P1067" s="89">
        <f ca="1">IF(AND(EXACT(C1067,C1065),C1065&lt;&gt;0),P1065+1,0)</f>
        <v>3</v>
      </c>
      <c r="Q1067" s="89" t="str">
        <f ca="1">IF(C1067&lt;&gt;"",C1067&amp;"-"&amp;P1067,"")</f>
        <v>MDR TB-3⁽ᴹ⁾ Número de casos de tuberculosis resistente a la rifampicina y/o multirresistente que empezaron a recibir tratamiento de segunda línea.-3</v>
      </c>
      <c r="R1067" s="89" t="str">
        <f t="array" aca="1" ref="R1067" ca="1">IFERROR(IF(INDEX('Disaggregation Records'!$E$155:$E$385,MATCH(RIGHT(Q1067,255),RIGHT('Disaggregation Records'!$D$155:$D$385,255),0))="","",INDEX('Disaggregation Records'!$E$155:$E$385,MATCH(RIGHT(Q1067,255),RIGHT('Disaggregation Records'!$D$155:$D$385,255),0))),"")</f>
        <v>Género</v>
      </c>
      <c r="S1067" s="89" t="str">
        <f t="array" aca="1" ref="S1067" ca="1">IFERROR(IF(INDEX('Disaggregation Records'!$F$155:$F$385,MATCH(RIGHT(Q1067,255),RIGHT('Disaggregation Records'!$D$155:$D$385,255),0))="","",INDEX('Disaggregation Records'!$F$155:$F$385,MATCH(RIGHT(Q1067,255),RIGHT('Disaggregation Records'!$D$155:$D$385,255),0))),"")</f>
        <v>Hombres</v>
      </c>
      <c r="T1067" s="89" t="str">
        <f t="array" aca="1" ref="T1067" ca="1">IFERROR(IF(INDEX('Disaggregation Records'!$H$155:$H$385,MATCH(RIGHT(Q1067,255),RIGHT('Disaggregation Records'!$D$155:$D$385,255),0))="","",INDEX('Disaggregation Records'!$H$155:$H$385,MATCH(RIGHT(Q1067,255),RIGHT('Disaggregation Records'!$D$155:$D$385,255),0))),"")</f>
        <v>IDR-00866</v>
      </c>
      <c r="U1067" s="89">
        <f>U1065+1</f>
        <v>1643</v>
      </c>
      <c r="V1067" s="89" t="str">
        <f t="array" aca="1" ref="V1067" ca="1">IFERROR(IF(INDEX('Disaggregation Records'!$I$155:$I$385,MATCH(RIGHT(Q1067,255),RIGHT('Disaggregation Records'!$D$155:$D$385,255),0))="","",INDEX('Disaggregation Records'!$I$155:$I$385,MATCH(RIGHT(Q1067,255),RIGHT('Disaggregation Records'!$D$155:$D$385,255),0))),"")</f>
        <v>Gender</v>
      </c>
      <c r="W1067" s="89" t="str">
        <f ca="1">IFERROR(INDEX('Reference Records'!L$77:L$157,MATCH(LEFT(C1067,255),'Reference Records'!E$77:E$157,0)),"")</f>
        <v>MDR TB-3⁽ᴹ⁾ Number of cases with RR-TB and/or MDR-TB that began second-line treatment</v>
      </c>
    </row>
    <row r="1068" spans="1:23" s="89" customFormat="1" ht="40.35" customHeight="1">
      <c r="A1068" s="564"/>
      <c r="B1068" s="799"/>
      <c r="C1068" s="800"/>
      <c r="D1068" s="801"/>
      <c r="E1068" s="801"/>
      <c r="F1068" s="420">
        <v>82</v>
      </c>
      <c r="G1068" s="802"/>
      <c r="H1068" s="781"/>
      <c r="I1068" s="803"/>
      <c r="J1068" s="779"/>
      <c r="K1068" s="800"/>
      <c r="L1068" s="800"/>
      <c r="M1068" s="779"/>
      <c r="N1068" s="779"/>
    </row>
    <row r="1069" spans="1:23" s="89" customFormat="1" ht="40.35" customHeight="1">
      <c r="A1069" s="564" t="str">
        <f ca="1">INDIRECT("'update Helper'!C"&amp;U1069)</f>
        <v>a163p000004VjoJAAS</v>
      </c>
      <c r="B1069" s="794">
        <v>12</v>
      </c>
      <c r="C1069" s="795" t="str">
        <f ca="1">VLOOKUP(B1069,'Coverage Indicators - Section D'!$A$9:$AU$70,47,FALSE)</f>
        <v>MDR TB-3⁽ᴹ⁾ Número de casos de tuberculosis resistente a la rifampicina y/o multirresistente que empezaron a recibir tratamiento de segunda línea.</v>
      </c>
      <c r="D1069" s="796" t="str">
        <f ca="1">R1069</f>
        <v>Edad</v>
      </c>
      <c r="E1069" s="796" t="str">
        <f ca="1">S1069</f>
        <v>15+</v>
      </c>
      <c r="F1069" s="422">
        <v>79</v>
      </c>
      <c r="G1069" s="797">
        <f ca="1">IF(OR(INDIRECT("'update Helper'!E"&amp;U1069)="",F1069&lt;&gt;0,F1070&lt;&gt;0),IF(IFERROR((F1069/F1070),"")="","",(F1069/F1070)),INDIRECT("'update Helper'!E"&amp;U1069)/100)</f>
        <v>0.96341463414634143</v>
      </c>
      <c r="H1069" s="784">
        <v>2020</v>
      </c>
      <c r="I1069" s="798"/>
      <c r="J1069" s="777"/>
      <c r="K1069" s="795" t="str">
        <f ca="1">W1069</f>
        <v>MDR TB-3⁽ᴹ⁾ Number of cases with RR-TB and/or MDR-TB that began second-line treatment</v>
      </c>
      <c r="L1069" s="795" t="str">
        <f ca="1">V1069</f>
        <v>Age</v>
      </c>
      <c r="M1069" s="777"/>
      <c r="N1069" s="777"/>
      <c r="P1069" s="89">
        <f ca="1">IF(AND(EXACT(C1069,C1067),C1067&lt;&gt;0),P1067+1,0)</f>
        <v>4</v>
      </c>
      <c r="Q1069" s="89" t="str">
        <f ca="1">IF(C1069&lt;&gt;"",C1069&amp;"-"&amp;P1069,"")</f>
        <v>MDR TB-3⁽ᴹ⁾ Número de casos de tuberculosis resistente a la rifampicina y/o multirresistente que empezaron a recibir tratamiento de segunda línea.-4</v>
      </c>
      <c r="R1069" s="89" t="str">
        <f t="array" aca="1" ref="R1069" ca="1">IFERROR(IF(INDEX('Disaggregation Records'!$E$155:$E$385,MATCH(RIGHT(Q1069,255),RIGHT('Disaggregation Records'!$D$155:$D$385,255),0))="","",INDEX('Disaggregation Records'!$E$155:$E$385,MATCH(RIGHT(Q1069,255),RIGHT('Disaggregation Records'!$D$155:$D$385,255),0))),"")</f>
        <v>Edad</v>
      </c>
      <c r="S1069" s="89" t="str">
        <f t="array" aca="1" ref="S1069" ca="1">IFERROR(IF(INDEX('Disaggregation Records'!$F$155:$F$385,MATCH(RIGHT(Q1069,255),RIGHT('Disaggregation Records'!$D$155:$D$385,255),0))="","",INDEX('Disaggregation Records'!$F$155:$F$385,MATCH(RIGHT(Q1069,255),RIGHT('Disaggregation Records'!$D$155:$D$385,255),0))),"")</f>
        <v>15+</v>
      </c>
      <c r="T1069" s="89" t="str">
        <f t="array" aca="1" ref="T1069" ca="1">IFERROR(IF(INDEX('Disaggregation Records'!$H$155:$H$385,MATCH(RIGHT(Q1069,255),RIGHT('Disaggregation Records'!$D$155:$D$385,255),0))="","",INDEX('Disaggregation Records'!$H$155:$H$385,MATCH(RIGHT(Q1069,255),RIGHT('Disaggregation Records'!$D$155:$D$385,255),0))),"")</f>
        <v>IDR-00747</v>
      </c>
      <c r="U1069" s="89">
        <f>U1067+1</f>
        <v>1644</v>
      </c>
      <c r="V1069" s="89" t="str">
        <f t="array" aca="1" ref="V1069" ca="1">IFERROR(IF(INDEX('Disaggregation Records'!$I$155:$I$385,MATCH(RIGHT(Q1069,255),RIGHT('Disaggregation Records'!$D$155:$D$385,255),0))="","",INDEX('Disaggregation Records'!$I$155:$I$385,MATCH(RIGHT(Q1069,255),RIGHT('Disaggregation Records'!$D$155:$D$385,255),0))),"")</f>
        <v>Age</v>
      </c>
      <c r="W1069" s="89" t="str">
        <f ca="1">IFERROR(INDEX('Reference Records'!L$77:L$157,MATCH(LEFT(C1069,255),'Reference Records'!E$77:E$157,0)),"")</f>
        <v>MDR TB-3⁽ᴹ⁾ Number of cases with RR-TB and/or MDR-TB that began second-line treatment</v>
      </c>
    </row>
    <row r="1070" spans="1:23" s="89" customFormat="1" ht="40.35" customHeight="1">
      <c r="A1070" s="564"/>
      <c r="B1070" s="799"/>
      <c r="C1070" s="800"/>
      <c r="D1070" s="801"/>
      <c r="E1070" s="801"/>
      <c r="F1070" s="420">
        <v>82</v>
      </c>
      <c r="G1070" s="802"/>
      <c r="H1070" s="781"/>
      <c r="I1070" s="803"/>
      <c r="J1070" s="779"/>
      <c r="K1070" s="800"/>
      <c r="L1070" s="800"/>
      <c r="M1070" s="779"/>
      <c r="N1070" s="779"/>
    </row>
    <row r="1071" spans="1:23" s="89" customFormat="1" ht="40.35" customHeight="1">
      <c r="A1071" s="564" t="str">
        <f ca="1">INDIRECT("'update Helper'!C"&amp;U1071)</f>
        <v>a163p000004VjoKAAS</v>
      </c>
      <c r="B1071" s="794">
        <v>12</v>
      </c>
      <c r="C1071" s="795" t="str">
        <f ca="1">VLOOKUP(B1071,'Coverage Indicators - Section D'!$A$9:$AU$70,47,FALSE)</f>
        <v>MDR TB-3⁽ᴹ⁾ Número de casos de tuberculosis resistente a la rifampicina y/o multirresistente que empezaron a recibir tratamiento de segunda línea.</v>
      </c>
      <c r="D1071" s="796" t="str">
        <f ca="1">R1071</f>
        <v>Edad</v>
      </c>
      <c r="E1071" s="796" t="str">
        <f ca="1">S1071</f>
        <v>&lt;15</v>
      </c>
      <c r="F1071" s="422">
        <v>3</v>
      </c>
      <c r="G1071" s="797">
        <f ca="1">IF(OR(INDIRECT("'update Helper'!E"&amp;U1071)="",F1071&lt;&gt;0,F1072&lt;&gt;0),IF(IFERROR((F1071/F1072),"")="","",(F1071/F1072)),INDIRECT("'update Helper'!E"&amp;U1071)/100)</f>
        <v>3.6585365853658534E-2</v>
      </c>
      <c r="H1071" s="784">
        <v>2020</v>
      </c>
      <c r="I1071" s="798"/>
      <c r="J1071" s="777"/>
      <c r="K1071" s="795" t="str">
        <f ca="1">W1071</f>
        <v>MDR TB-3⁽ᴹ⁾ Number of cases with RR-TB and/or MDR-TB that began second-line treatment</v>
      </c>
      <c r="L1071" s="795" t="str">
        <f ca="1">V1071</f>
        <v>Age</v>
      </c>
      <c r="M1071" s="777"/>
      <c r="N1071" s="777"/>
      <c r="P1071" s="89">
        <f ca="1">IF(AND(EXACT(C1071,C1069),C1069&lt;&gt;0),P1069+1,0)</f>
        <v>5</v>
      </c>
      <c r="Q1071" s="89" t="str">
        <f ca="1">IF(C1071&lt;&gt;"",C1071&amp;"-"&amp;P1071,"")</f>
        <v>MDR TB-3⁽ᴹ⁾ Número de casos de tuberculosis resistente a la rifampicina y/o multirresistente que empezaron a recibir tratamiento de segunda línea.-5</v>
      </c>
      <c r="R1071" s="89" t="str">
        <f t="array" aca="1" ref="R1071" ca="1">IFERROR(IF(INDEX('Disaggregation Records'!$E$155:$E$385,MATCH(RIGHT(Q1071,255),RIGHT('Disaggregation Records'!$D$155:$D$385,255),0))="","",INDEX('Disaggregation Records'!$E$155:$E$385,MATCH(RIGHT(Q1071,255),RIGHT('Disaggregation Records'!$D$155:$D$385,255),0))),"")</f>
        <v>Edad</v>
      </c>
      <c r="S1071" s="89" t="str">
        <f t="array" aca="1" ref="S1071" ca="1">IFERROR(IF(INDEX('Disaggregation Records'!$F$155:$F$385,MATCH(RIGHT(Q1071,255),RIGHT('Disaggregation Records'!$D$155:$D$385,255),0))="","",INDEX('Disaggregation Records'!$F$155:$F$385,MATCH(RIGHT(Q1071,255),RIGHT('Disaggregation Records'!$D$155:$D$385,255),0))),"")</f>
        <v>&lt;15</v>
      </c>
      <c r="T1071" s="89" t="str">
        <f t="array" aca="1" ref="T1071" ca="1">IFERROR(IF(INDEX('Disaggregation Records'!$H$155:$H$385,MATCH(RIGHT(Q1071,255),RIGHT('Disaggregation Records'!$D$155:$D$385,255),0))="","",INDEX('Disaggregation Records'!$H$155:$H$385,MATCH(RIGHT(Q1071,255),RIGHT('Disaggregation Records'!$D$155:$D$385,255),0))),"")</f>
        <v>IDR-00746</v>
      </c>
      <c r="U1071" s="89">
        <f>U1069+1</f>
        <v>1645</v>
      </c>
      <c r="V1071" s="89" t="str">
        <f t="array" aca="1" ref="V1071" ca="1">IFERROR(IF(INDEX('Disaggregation Records'!$I$155:$I$385,MATCH(RIGHT(Q1071,255),RIGHT('Disaggregation Records'!$D$155:$D$385,255),0))="","",INDEX('Disaggregation Records'!$I$155:$I$385,MATCH(RIGHT(Q1071,255),RIGHT('Disaggregation Records'!$D$155:$D$385,255),0))),"")</f>
        <v>Age</v>
      </c>
      <c r="W1071" s="89" t="str">
        <f ca="1">IFERROR(INDEX('Reference Records'!L$77:L$157,MATCH(LEFT(C1071,255),'Reference Records'!E$77:E$157,0)),"")</f>
        <v>MDR TB-3⁽ᴹ⁾ Number of cases with RR-TB and/or MDR-TB that began second-line treatment</v>
      </c>
    </row>
    <row r="1072" spans="1:23" s="89" customFormat="1" ht="40.35" customHeight="1">
      <c r="A1072" s="564"/>
      <c r="B1072" s="799"/>
      <c r="C1072" s="800"/>
      <c r="D1072" s="801"/>
      <c r="E1072" s="801"/>
      <c r="F1072" s="420">
        <v>82</v>
      </c>
      <c r="G1072" s="802"/>
      <c r="H1072" s="781"/>
      <c r="I1072" s="803"/>
      <c r="J1072" s="779"/>
      <c r="K1072" s="800"/>
      <c r="L1072" s="800"/>
      <c r="M1072" s="779"/>
      <c r="N1072" s="779"/>
    </row>
    <row r="1073" spans="1:23" s="89" customFormat="1" ht="40.35" customHeight="1">
      <c r="A1073" s="564" t="str">
        <f ca="1">INDIRECT("'update Helper'!C"&amp;U1073)</f>
        <v>a163p000004VjoLAAS</v>
      </c>
      <c r="B1073" s="794">
        <v>12</v>
      </c>
      <c r="C1073" s="795" t="str">
        <f ca="1">VLOOKUP(B1073,'Coverage Indicators - Section D'!$A$9:$AU$70,47,FALSE)</f>
        <v>MDR TB-3⁽ᴹ⁾ Número de casos de tuberculosis resistente a la rifampicina y/o multirresistente que empezaron a recibir tratamiento de segunda línea.</v>
      </c>
      <c r="D1073" s="796" t="str">
        <f ca="1">R1073</f>
        <v/>
      </c>
      <c r="E1073" s="796" t="str">
        <f ca="1">S1073</f>
        <v/>
      </c>
      <c r="F1073" s="127"/>
      <c r="G1073" s="797" t="str">
        <f ca="1">IF(OR(INDIRECT("'update Helper'!E"&amp;U1073)="",F1073&lt;&gt;0,F1074&lt;&gt;0),IF(IFERROR((F1073/F1074),"")="","",(F1073/F1074)),INDIRECT("'update Helper'!E"&amp;U1073)/100)</f>
        <v/>
      </c>
      <c r="H1073" s="784"/>
      <c r="I1073" s="798"/>
      <c r="J1073" s="777"/>
      <c r="K1073" s="795" t="str">
        <f ca="1">W1073</f>
        <v>MDR TB-3⁽ᴹ⁾ Number of cases with RR-TB and/or MDR-TB that began second-line treatment</v>
      </c>
      <c r="L1073" s="795" t="str">
        <f ca="1">V1073</f>
        <v/>
      </c>
      <c r="M1073" s="777"/>
      <c r="N1073" s="777"/>
      <c r="P1073" s="89">
        <f ca="1">IF(AND(EXACT(C1073,C1071),C1071&lt;&gt;0),P1071+1,0)</f>
        <v>6</v>
      </c>
      <c r="Q1073" s="89" t="str">
        <f ca="1">IF(C1073&lt;&gt;"",C1073&amp;"-"&amp;P1073,"")</f>
        <v>MDR TB-3⁽ᴹ⁾ Número de casos de tuberculosis resistente a la rifampicina y/o multirresistente que empezaron a recibir tratamiento de segunda línea.-6</v>
      </c>
      <c r="R1073" s="89" t="str">
        <f t="array" aca="1" ref="R1073" ca="1">IFERROR(IF(INDEX('Disaggregation Records'!$E$155:$E$385,MATCH(RIGHT(Q1073,255),RIGHT('Disaggregation Records'!$D$155:$D$385,255),0))="","",INDEX('Disaggregation Records'!$E$155:$E$385,MATCH(RIGHT(Q1073,255),RIGHT('Disaggregation Records'!$D$155:$D$385,255),0))),"")</f>
        <v/>
      </c>
      <c r="S1073" s="89" t="str">
        <f t="array" aca="1" ref="S1073" ca="1">IFERROR(IF(INDEX('Disaggregation Records'!$F$155:$F$385,MATCH(RIGHT(Q1073,255),RIGHT('Disaggregation Records'!$D$155:$D$385,255),0))="","",INDEX('Disaggregation Records'!$F$155:$F$385,MATCH(RIGHT(Q1073,255),RIGHT('Disaggregation Records'!$D$155:$D$385,255),0))),"")</f>
        <v/>
      </c>
      <c r="T1073" s="89" t="str">
        <f t="array" aca="1" ref="T1073" ca="1">IFERROR(IF(INDEX('Disaggregation Records'!$H$155:$H$385,MATCH(RIGHT(Q1073,255),RIGHT('Disaggregation Records'!$D$155:$D$385,255),0))="","",INDEX('Disaggregation Records'!$H$155:$H$385,MATCH(RIGHT(Q1073,255),RIGHT('Disaggregation Records'!$D$155:$D$385,255),0))),"")</f>
        <v/>
      </c>
      <c r="U1073" s="89">
        <f>U1071+1</f>
        <v>1646</v>
      </c>
      <c r="V1073" s="89" t="str">
        <f t="array" aca="1" ref="V1073" ca="1">IFERROR(IF(INDEX('Disaggregation Records'!$I$155:$I$385,MATCH(RIGHT(Q1073,255),RIGHT('Disaggregation Records'!$D$155:$D$385,255),0))="","",INDEX('Disaggregation Records'!$I$155:$I$385,MATCH(RIGHT(Q1073,255),RIGHT('Disaggregation Records'!$D$155:$D$385,255),0))),"")</f>
        <v/>
      </c>
      <c r="W1073" s="89" t="str">
        <f ca="1">IFERROR(INDEX('Reference Records'!L$77:L$157,MATCH(LEFT(C1073,255),'Reference Records'!E$77:E$157,0)),"")</f>
        <v>MDR TB-3⁽ᴹ⁾ Number of cases with RR-TB and/or MDR-TB that began second-line treatment</v>
      </c>
    </row>
    <row r="1074" spans="1:23" s="89" customFormat="1" ht="40.35" customHeight="1">
      <c r="A1074" s="564"/>
      <c r="B1074" s="799"/>
      <c r="C1074" s="800"/>
      <c r="D1074" s="801"/>
      <c r="E1074" s="801"/>
      <c r="F1074" s="128"/>
      <c r="G1074" s="802"/>
      <c r="H1074" s="781"/>
      <c r="I1074" s="803"/>
      <c r="J1074" s="779"/>
      <c r="K1074" s="800"/>
      <c r="L1074" s="800"/>
      <c r="M1074" s="779"/>
      <c r="N1074" s="779"/>
    </row>
    <row r="1075" spans="1:23" s="89" customFormat="1" ht="40.35" customHeight="1">
      <c r="A1075" s="564" t="str">
        <f ca="1">INDIRECT("'update Helper'!C"&amp;U1075)</f>
        <v>a163p000004VjoMAAS</v>
      </c>
      <c r="B1075" s="794">
        <v>12</v>
      </c>
      <c r="C1075" s="795" t="str">
        <f ca="1">VLOOKUP(B1075,'Coverage Indicators - Section D'!$A$9:$AU$70,47,FALSE)</f>
        <v>MDR TB-3⁽ᴹ⁾ Número de casos de tuberculosis resistente a la rifampicina y/o multirresistente que empezaron a recibir tratamiento de segunda línea.</v>
      </c>
      <c r="D1075" s="796" t="str">
        <f ca="1">R1075</f>
        <v/>
      </c>
      <c r="E1075" s="796" t="str">
        <f ca="1">S1075</f>
        <v/>
      </c>
      <c r="F1075" s="127"/>
      <c r="G1075" s="797" t="str">
        <f ca="1">IF(OR(INDIRECT("'update Helper'!E"&amp;U1075)="",F1075&lt;&gt;0,F1076&lt;&gt;0),IF(IFERROR((F1075/F1076),"")="","",(F1075/F1076)),INDIRECT("'update Helper'!E"&amp;U1075)/100)</f>
        <v/>
      </c>
      <c r="H1075" s="784"/>
      <c r="I1075" s="798"/>
      <c r="J1075" s="777"/>
      <c r="K1075" s="795" t="str">
        <f ca="1">W1075</f>
        <v>MDR TB-3⁽ᴹ⁾ Number of cases with RR-TB and/or MDR-TB that began second-line treatment</v>
      </c>
      <c r="L1075" s="795" t="str">
        <f ca="1">V1075</f>
        <v/>
      </c>
      <c r="M1075" s="777"/>
      <c r="N1075" s="777"/>
      <c r="P1075" s="89">
        <f ca="1">IF(AND(EXACT(C1075,C1073),C1073&lt;&gt;0),P1073+1,0)</f>
        <v>7</v>
      </c>
      <c r="Q1075" s="89" t="str">
        <f ca="1">IF(C1075&lt;&gt;"",C1075&amp;"-"&amp;P1075,"")</f>
        <v>MDR TB-3⁽ᴹ⁾ Número de casos de tuberculosis resistente a la rifampicina y/o multirresistente que empezaron a recibir tratamiento de segunda línea.-7</v>
      </c>
      <c r="R1075" s="89" t="str">
        <f t="array" aca="1" ref="R1075" ca="1">IFERROR(IF(INDEX('Disaggregation Records'!$E$155:$E$385,MATCH(RIGHT(Q1075,255),RIGHT('Disaggregation Records'!$D$155:$D$385,255),0))="","",INDEX('Disaggregation Records'!$E$155:$E$385,MATCH(RIGHT(Q1075,255),RIGHT('Disaggregation Records'!$D$155:$D$385,255),0))),"")</f>
        <v/>
      </c>
      <c r="S1075" s="89" t="str">
        <f t="array" aca="1" ref="S1075" ca="1">IFERROR(IF(INDEX('Disaggregation Records'!$F$155:$F$385,MATCH(RIGHT(Q1075,255),RIGHT('Disaggregation Records'!$D$155:$D$385,255),0))="","",INDEX('Disaggregation Records'!$F$155:$F$385,MATCH(RIGHT(Q1075,255),RIGHT('Disaggregation Records'!$D$155:$D$385,255),0))),"")</f>
        <v/>
      </c>
      <c r="T1075" s="89" t="str">
        <f t="array" aca="1" ref="T1075" ca="1">IFERROR(IF(INDEX('Disaggregation Records'!$H$155:$H$385,MATCH(RIGHT(Q1075,255),RIGHT('Disaggregation Records'!$D$155:$D$385,255),0))="","",INDEX('Disaggregation Records'!$H$155:$H$385,MATCH(RIGHT(Q1075,255),RIGHT('Disaggregation Records'!$D$155:$D$385,255),0))),"")</f>
        <v/>
      </c>
      <c r="U1075" s="89">
        <f>U1073+1</f>
        <v>1647</v>
      </c>
      <c r="V1075" s="89" t="str">
        <f t="array" aca="1" ref="V1075" ca="1">IFERROR(IF(INDEX('Disaggregation Records'!$I$155:$I$385,MATCH(RIGHT(Q1075,255),RIGHT('Disaggregation Records'!$D$155:$D$385,255),0))="","",INDEX('Disaggregation Records'!$I$155:$I$385,MATCH(RIGHT(Q1075,255),RIGHT('Disaggregation Records'!$D$155:$D$385,255),0))),"")</f>
        <v/>
      </c>
      <c r="W1075" s="89" t="str">
        <f ca="1">IFERROR(INDEX('Reference Records'!L$77:L$157,MATCH(LEFT(C1075,255),'Reference Records'!E$77:E$157,0)),"")</f>
        <v>MDR TB-3⁽ᴹ⁾ Number of cases with RR-TB and/or MDR-TB that began second-line treatment</v>
      </c>
    </row>
    <row r="1076" spans="1:23" s="89" customFormat="1" ht="40.35" customHeight="1">
      <c r="A1076" s="564"/>
      <c r="B1076" s="799"/>
      <c r="C1076" s="800"/>
      <c r="D1076" s="801"/>
      <c r="E1076" s="801"/>
      <c r="F1076" s="128"/>
      <c r="G1076" s="802"/>
      <c r="H1076" s="781"/>
      <c r="I1076" s="803"/>
      <c r="J1076" s="779"/>
      <c r="K1076" s="800"/>
      <c r="L1076" s="800"/>
      <c r="M1076" s="779"/>
      <c r="N1076" s="779"/>
    </row>
    <row r="1077" spans="1:23" s="89" customFormat="1" ht="40.35" customHeight="1">
      <c r="A1077" s="564" t="str">
        <f ca="1">INDIRECT("'update Helper'!C"&amp;U1077)</f>
        <v>a163p000004VjoNAAS</v>
      </c>
      <c r="B1077" s="794">
        <v>12</v>
      </c>
      <c r="C1077" s="795" t="str">
        <f ca="1">VLOOKUP(B1077,'Coverage Indicators - Section D'!$A$9:$AU$70,47,FALSE)</f>
        <v>MDR TB-3⁽ᴹ⁾ Número de casos de tuberculosis resistente a la rifampicina y/o multirresistente que empezaron a recibir tratamiento de segunda línea.</v>
      </c>
      <c r="D1077" s="796" t="str">
        <f ca="1">R1077</f>
        <v/>
      </c>
      <c r="E1077" s="796" t="str">
        <f ca="1">S1077</f>
        <v/>
      </c>
      <c r="F1077" s="127"/>
      <c r="G1077" s="797" t="str">
        <f ca="1">IF(OR(INDIRECT("'update Helper'!E"&amp;U1077)="",F1077&lt;&gt;0,F1078&lt;&gt;0),IF(IFERROR((F1077/F1078),"")="","",(F1077/F1078)),INDIRECT("'update Helper'!E"&amp;U1077)/100)</f>
        <v/>
      </c>
      <c r="H1077" s="784"/>
      <c r="I1077" s="798"/>
      <c r="J1077" s="777"/>
      <c r="K1077" s="795" t="str">
        <f ca="1">W1077</f>
        <v>MDR TB-3⁽ᴹ⁾ Number of cases with RR-TB and/or MDR-TB that began second-line treatment</v>
      </c>
      <c r="L1077" s="795" t="str">
        <f ca="1">V1077</f>
        <v/>
      </c>
      <c r="M1077" s="777"/>
      <c r="N1077" s="777"/>
      <c r="P1077" s="89">
        <f ca="1">IF(AND(EXACT(C1077,C1075),C1075&lt;&gt;0),P1075+1,0)</f>
        <v>8</v>
      </c>
      <c r="Q1077" s="89" t="str">
        <f ca="1">IF(C1077&lt;&gt;"",C1077&amp;"-"&amp;P1077,"")</f>
        <v>MDR TB-3⁽ᴹ⁾ Número de casos de tuberculosis resistente a la rifampicina y/o multirresistente que empezaron a recibir tratamiento de segunda línea.-8</v>
      </c>
      <c r="R1077" s="89" t="str">
        <f t="array" aca="1" ref="R1077" ca="1">IFERROR(IF(INDEX('Disaggregation Records'!$E$155:$E$385,MATCH(RIGHT(Q1077,255),RIGHT('Disaggregation Records'!$D$155:$D$385,255),0))="","",INDEX('Disaggregation Records'!$E$155:$E$385,MATCH(RIGHT(Q1077,255),RIGHT('Disaggregation Records'!$D$155:$D$385,255),0))),"")</f>
        <v/>
      </c>
      <c r="S1077" s="89" t="str">
        <f t="array" aca="1" ref="S1077" ca="1">IFERROR(IF(INDEX('Disaggregation Records'!$F$155:$F$385,MATCH(RIGHT(Q1077,255),RIGHT('Disaggregation Records'!$D$155:$D$385,255),0))="","",INDEX('Disaggregation Records'!$F$155:$F$385,MATCH(RIGHT(Q1077,255),RIGHT('Disaggregation Records'!$D$155:$D$385,255),0))),"")</f>
        <v/>
      </c>
      <c r="T1077" s="89" t="str">
        <f t="array" aca="1" ref="T1077" ca="1">IFERROR(IF(INDEX('Disaggregation Records'!$H$155:$H$385,MATCH(RIGHT(Q1077,255),RIGHT('Disaggregation Records'!$D$155:$D$385,255),0))="","",INDEX('Disaggregation Records'!$H$155:$H$385,MATCH(RIGHT(Q1077,255),RIGHT('Disaggregation Records'!$D$155:$D$385,255),0))),"")</f>
        <v/>
      </c>
      <c r="U1077" s="89">
        <f>U1075+1</f>
        <v>1648</v>
      </c>
      <c r="V1077" s="89" t="str">
        <f t="array" aca="1" ref="V1077" ca="1">IFERROR(IF(INDEX('Disaggregation Records'!$I$155:$I$385,MATCH(RIGHT(Q1077,255),RIGHT('Disaggregation Records'!$D$155:$D$385,255),0))="","",INDEX('Disaggregation Records'!$I$155:$I$385,MATCH(RIGHT(Q1077,255),RIGHT('Disaggregation Records'!$D$155:$D$385,255),0))),"")</f>
        <v/>
      </c>
      <c r="W1077" s="89" t="str">
        <f ca="1">IFERROR(INDEX('Reference Records'!L$77:L$157,MATCH(LEFT(C1077,255),'Reference Records'!E$77:E$157,0)),"")</f>
        <v>MDR TB-3⁽ᴹ⁾ Number of cases with RR-TB and/or MDR-TB that began second-line treatment</v>
      </c>
    </row>
    <row r="1078" spans="1:23" s="89" customFormat="1" ht="40.35" customHeight="1">
      <c r="A1078" s="564"/>
      <c r="B1078" s="799"/>
      <c r="C1078" s="800"/>
      <c r="D1078" s="801"/>
      <c r="E1078" s="801"/>
      <c r="F1078" s="128"/>
      <c r="G1078" s="802"/>
      <c r="H1078" s="781"/>
      <c r="I1078" s="803"/>
      <c r="J1078" s="779"/>
      <c r="K1078" s="800"/>
      <c r="L1078" s="800"/>
      <c r="M1078" s="779"/>
      <c r="N1078" s="779"/>
    </row>
    <row r="1079" spans="1:23" s="89" customFormat="1" ht="40.35" customHeight="1">
      <c r="A1079" s="564" t="str">
        <f ca="1">INDIRECT("'update Helper'!C"&amp;U1079)</f>
        <v>a163p000004VjoOAAS</v>
      </c>
      <c r="B1079" s="794">
        <v>12</v>
      </c>
      <c r="C1079" s="795" t="str">
        <f ca="1">VLOOKUP(B1079,'Coverage Indicators - Section D'!$A$9:$AU$70,47,FALSE)</f>
        <v>MDR TB-3⁽ᴹ⁾ Número de casos de tuberculosis resistente a la rifampicina y/o multirresistente que empezaron a recibir tratamiento de segunda línea.</v>
      </c>
      <c r="D1079" s="796" t="str">
        <f ca="1">R1079</f>
        <v/>
      </c>
      <c r="E1079" s="796" t="str">
        <f ca="1">S1079</f>
        <v/>
      </c>
      <c r="F1079" s="127"/>
      <c r="G1079" s="797" t="str">
        <f ca="1">IF(OR(INDIRECT("'update Helper'!E"&amp;U1079)="",F1079&lt;&gt;0,F1080&lt;&gt;0),IF(IFERROR((F1079/F1080),"")="","",(F1079/F1080)),INDIRECT("'update Helper'!E"&amp;U1079)/100)</f>
        <v/>
      </c>
      <c r="H1079" s="784"/>
      <c r="I1079" s="798"/>
      <c r="J1079" s="777"/>
      <c r="K1079" s="795" t="str">
        <f ca="1">W1079</f>
        <v>MDR TB-3⁽ᴹ⁾ Number of cases with RR-TB and/or MDR-TB that began second-line treatment</v>
      </c>
      <c r="L1079" s="795" t="str">
        <f ca="1">V1079</f>
        <v/>
      </c>
      <c r="M1079" s="777"/>
      <c r="N1079" s="777"/>
      <c r="P1079" s="89">
        <f ca="1">IF(AND(EXACT(C1079,C1077),C1077&lt;&gt;0),P1077+1,0)</f>
        <v>9</v>
      </c>
      <c r="Q1079" s="89" t="str">
        <f ca="1">IF(C1079&lt;&gt;"",C1079&amp;"-"&amp;P1079,"")</f>
        <v>MDR TB-3⁽ᴹ⁾ Número de casos de tuberculosis resistente a la rifampicina y/o multirresistente que empezaron a recibir tratamiento de segunda línea.-9</v>
      </c>
      <c r="R1079" s="89" t="str">
        <f t="array" aca="1" ref="R1079" ca="1">IFERROR(IF(INDEX('Disaggregation Records'!$E$155:$E$385,MATCH(RIGHT(Q1079,255),RIGHT('Disaggregation Records'!$D$155:$D$385,255),0))="","",INDEX('Disaggregation Records'!$E$155:$E$385,MATCH(RIGHT(Q1079,255),RIGHT('Disaggregation Records'!$D$155:$D$385,255),0))),"")</f>
        <v/>
      </c>
      <c r="S1079" s="89" t="str">
        <f t="array" aca="1" ref="S1079" ca="1">IFERROR(IF(INDEX('Disaggregation Records'!$F$155:$F$385,MATCH(RIGHT(Q1079,255),RIGHT('Disaggregation Records'!$D$155:$D$385,255),0))="","",INDEX('Disaggregation Records'!$F$155:$F$385,MATCH(RIGHT(Q1079,255),RIGHT('Disaggregation Records'!$D$155:$D$385,255),0))),"")</f>
        <v/>
      </c>
      <c r="T1079" s="89" t="str">
        <f t="array" aca="1" ref="T1079" ca="1">IFERROR(IF(INDEX('Disaggregation Records'!$H$155:$H$385,MATCH(RIGHT(Q1079,255),RIGHT('Disaggregation Records'!$D$155:$D$385,255),0))="","",INDEX('Disaggregation Records'!$H$155:$H$385,MATCH(RIGHT(Q1079,255),RIGHT('Disaggregation Records'!$D$155:$D$385,255),0))),"")</f>
        <v/>
      </c>
      <c r="U1079" s="89">
        <f>U1077+1</f>
        <v>1649</v>
      </c>
      <c r="V1079" s="89" t="str">
        <f t="array" aca="1" ref="V1079" ca="1">IFERROR(IF(INDEX('Disaggregation Records'!$I$155:$I$385,MATCH(RIGHT(Q1079,255),RIGHT('Disaggregation Records'!$D$155:$D$385,255),0))="","",INDEX('Disaggregation Records'!$I$155:$I$385,MATCH(RIGHT(Q1079,255),RIGHT('Disaggregation Records'!$D$155:$D$385,255),0))),"")</f>
        <v/>
      </c>
      <c r="W1079" s="89" t="str">
        <f ca="1">IFERROR(INDEX('Reference Records'!L$77:L$157,MATCH(LEFT(C1079,255),'Reference Records'!E$77:E$157,0)),"")</f>
        <v>MDR TB-3⁽ᴹ⁾ Number of cases with RR-TB and/or MDR-TB that began second-line treatment</v>
      </c>
    </row>
    <row r="1080" spans="1:23" s="89" customFormat="1" ht="40.35" customHeight="1">
      <c r="A1080" s="564"/>
      <c r="B1080" s="799"/>
      <c r="C1080" s="800"/>
      <c r="D1080" s="801"/>
      <c r="E1080" s="801"/>
      <c r="F1080" s="128"/>
      <c r="G1080" s="802"/>
      <c r="H1080" s="781"/>
      <c r="I1080" s="803"/>
      <c r="J1080" s="779"/>
      <c r="K1080" s="800"/>
      <c r="L1080" s="800"/>
      <c r="M1080" s="779"/>
      <c r="N1080" s="779"/>
    </row>
    <row r="1081" spans="1:23" s="89" customFormat="1" ht="40.35" customHeight="1">
      <c r="A1081" s="564" t="str">
        <f ca="1">INDIRECT("'update Helper'!C"&amp;U1081)</f>
        <v>a163p000004VjoPAAS</v>
      </c>
      <c r="B1081" s="794">
        <v>12</v>
      </c>
      <c r="C1081" s="795" t="str">
        <f ca="1">VLOOKUP(B1081,'Coverage Indicators - Section D'!$A$9:$AU$70,47,FALSE)</f>
        <v>MDR TB-3⁽ᴹ⁾ Número de casos de tuberculosis resistente a la rifampicina y/o multirresistente que empezaron a recibir tratamiento de segunda línea.</v>
      </c>
      <c r="D1081" s="796" t="str">
        <f ca="1">R1081</f>
        <v/>
      </c>
      <c r="E1081" s="796" t="str">
        <f ca="1">S1081</f>
        <v/>
      </c>
      <c r="F1081" s="127"/>
      <c r="G1081" s="797" t="str">
        <f ca="1">IF(OR(INDIRECT("'update Helper'!E"&amp;U1081)="",F1081&lt;&gt;0,F1082&lt;&gt;0),IF(IFERROR((F1081/F1082),"")="","",(F1081/F1082)),INDIRECT("'update Helper'!E"&amp;U1081)/100)</f>
        <v/>
      </c>
      <c r="H1081" s="784"/>
      <c r="I1081" s="798"/>
      <c r="J1081" s="777"/>
      <c r="K1081" s="795" t="str">
        <f ca="1">W1081</f>
        <v>MDR TB-3⁽ᴹ⁾ Number of cases with RR-TB and/or MDR-TB that began second-line treatment</v>
      </c>
      <c r="L1081" s="795" t="str">
        <f ca="1">V1081</f>
        <v/>
      </c>
      <c r="M1081" s="777"/>
      <c r="N1081" s="777"/>
      <c r="P1081" s="89">
        <f ca="1">IF(AND(EXACT(C1081,C1079),C1079&lt;&gt;0),P1079+1,0)</f>
        <v>10</v>
      </c>
      <c r="Q1081" s="89" t="str">
        <f ca="1">IF(C1081&lt;&gt;"",C1081&amp;"-"&amp;P1081,"")</f>
        <v>MDR TB-3⁽ᴹ⁾ Número de casos de tuberculosis resistente a la rifampicina y/o multirresistente que empezaron a recibir tratamiento de segunda línea.-10</v>
      </c>
      <c r="R1081" s="89" t="str">
        <f t="array" aca="1" ref="R1081" ca="1">IFERROR(IF(INDEX('Disaggregation Records'!$E$155:$E$385,MATCH(RIGHT(Q1081,255),RIGHT('Disaggregation Records'!$D$155:$D$385,255),0))="","",INDEX('Disaggregation Records'!$E$155:$E$385,MATCH(RIGHT(Q1081,255),RIGHT('Disaggregation Records'!$D$155:$D$385,255),0))),"")</f>
        <v/>
      </c>
      <c r="S1081" s="89" t="str">
        <f t="array" aca="1" ref="S1081" ca="1">IFERROR(IF(INDEX('Disaggregation Records'!$F$155:$F$385,MATCH(RIGHT(Q1081,255),RIGHT('Disaggregation Records'!$D$155:$D$385,255),0))="","",INDEX('Disaggregation Records'!$F$155:$F$385,MATCH(RIGHT(Q1081,255),RIGHT('Disaggregation Records'!$D$155:$D$385,255),0))),"")</f>
        <v/>
      </c>
      <c r="T1081" s="89" t="str">
        <f t="array" aca="1" ref="T1081" ca="1">IFERROR(IF(INDEX('Disaggregation Records'!$H$155:$H$385,MATCH(RIGHT(Q1081,255),RIGHT('Disaggregation Records'!$D$155:$D$385,255),0))="","",INDEX('Disaggregation Records'!$H$155:$H$385,MATCH(RIGHT(Q1081,255),RIGHT('Disaggregation Records'!$D$155:$D$385,255),0))),"")</f>
        <v/>
      </c>
      <c r="U1081" s="89">
        <f>U1079+1</f>
        <v>1650</v>
      </c>
      <c r="V1081" s="89" t="str">
        <f t="array" aca="1" ref="V1081" ca="1">IFERROR(IF(INDEX('Disaggregation Records'!$I$155:$I$385,MATCH(RIGHT(Q1081,255),RIGHT('Disaggregation Records'!$D$155:$D$385,255),0))="","",INDEX('Disaggregation Records'!$I$155:$I$385,MATCH(RIGHT(Q1081,255),RIGHT('Disaggregation Records'!$D$155:$D$385,255),0))),"")</f>
        <v/>
      </c>
      <c r="W1081" s="89" t="str">
        <f ca="1">IFERROR(INDEX('Reference Records'!L$77:L$157,MATCH(LEFT(C1081,255),'Reference Records'!E$77:E$157,0)),"")</f>
        <v>MDR TB-3⁽ᴹ⁾ Number of cases with RR-TB and/or MDR-TB that began second-line treatment</v>
      </c>
    </row>
    <row r="1082" spans="1:23" s="89" customFormat="1" ht="40.35" customHeight="1">
      <c r="A1082" s="564"/>
      <c r="B1082" s="799"/>
      <c r="C1082" s="800"/>
      <c r="D1082" s="801"/>
      <c r="E1082" s="801"/>
      <c r="F1082" s="128"/>
      <c r="G1082" s="802"/>
      <c r="H1082" s="781"/>
      <c r="I1082" s="803"/>
      <c r="J1082" s="779"/>
      <c r="K1082" s="800"/>
      <c r="L1082" s="800"/>
      <c r="M1082" s="779"/>
      <c r="N1082" s="779"/>
    </row>
    <row r="1083" spans="1:23" s="89" customFormat="1" ht="40.35" customHeight="1">
      <c r="A1083" s="564" t="str">
        <f ca="1">INDIRECT("'update Helper'!C"&amp;U1083)</f>
        <v>a163p000004VjoQAAS</v>
      </c>
      <c r="B1083" s="794">
        <v>12</v>
      </c>
      <c r="C1083" s="795" t="str">
        <f ca="1">VLOOKUP(B1083,'Coverage Indicators - Section D'!$A$9:$AU$70,47,FALSE)</f>
        <v>MDR TB-3⁽ᴹ⁾ Número de casos de tuberculosis resistente a la rifampicina y/o multirresistente que empezaron a recibir tratamiento de segunda línea.</v>
      </c>
      <c r="D1083" s="796" t="str">
        <f ca="1">R1083</f>
        <v/>
      </c>
      <c r="E1083" s="796" t="str">
        <f ca="1">S1083</f>
        <v/>
      </c>
      <c r="F1083" s="127"/>
      <c r="G1083" s="797" t="str">
        <f ca="1">IF(OR(INDIRECT("'update Helper'!E"&amp;U1083)="",F1083&lt;&gt;0,F1084&lt;&gt;0),IF(IFERROR((F1083/F1084),"")="","",(F1083/F1084)),INDIRECT("'update Helper'!E"&amp;U1083)/100)</f>
        <v/>
      </c>
      <c r="H1083" s="784"/>
      <c r="I1083" s="798"/>
      <c r="J1083" s="777"/>
      <c r="K1083" s="795" t="str">
        <f ca="1">W1083</f>
        <v>MDR TB-3⁽ᴹ⁾ Number of cases with RR-TB and/or MDR-TB that began second-line treatment</v>
      </c>
      <c r="L1083" s="795" t="str">
        <f ca="1">V1083</f>
        <v/>
      </c>
      <c r="M1083" s="777"/>
      <c r="N1083" s="777"/>
      <c r="P1083" s="89">
        <f ca="1">IF(AND(EXACT(C1083,C1081),C1081&lt;&gt;0),P1081+1,0)</f>
        <v>11</v>
      </c>
      <c r="Q1083" s="89" t="str">
        <f ca="1">IF(C1083&lt;&gt;"",C1083&amp;"-"&amp;P1083,"")</f>
        <v>MDR TB-3⁽ᴹ⁾ Número de casos de tuberculosis resistente a la rifampicina y/o multirresistente que empezaron a recibir tratamiento de segunda línea.-11</v>
      </c>
      <c r="R1083" s="89" t="str">
        <f t="array" aca="1" ref="R1083" ca="1">IFERROR(IF(INDEX('Disaggregation Records'!$E$155:$E$385,MATCH(RIGHT(Q1083,255),RIGHT('Disaggregation Records'!$D$155:$D$385,255),0))="","",INDEX('Disaggregation Records'!$E$155:$E$385,MATCH(RIGHT(Q1083,255),RIGHT('Disaggregation Records'!$D$155:$D$385,255),0))),"")</f>
        <v/>
      </c>
      <c r="S1083" s="89" t="str">
        <f t="array" aca="1" ref="S1083" ca="1">IFERROR(IF(INDEX('Disaggregation Records'!$F$155:$F$385,MATCH(RIGHT(Q1083,255),RIGHT('Disaggregation Records'!$D$155:$D$385,255),0))="","",INDEX('Disaggregation Records'!$F$155:$F$385,MATCH(RIGHT(Q1083,255),RIGHT('Disaggregation Records'!$D$155:$D$385,255),0))),"")</f>
        <v/>
      </c>
      <c r="T1083" s="89" t="str">
        <f t="array" aca="1" ref="T1083" ca="1">IFERROR(IF(INDEX('Disaggregation Records'!$H$155:$H$385,MATCH(RIGHT(Q1083,255),RIGHT('Disaggregation Records'!$D$155:$D$385,255),0))="","",INDEX('Disaggregation Records'!$H$155:$H$385,MATCH(RIGHT(Q1083,255),RIGHT('Disaggregation Records'!$D$155:$D$385,255),0))),"")</f>
        <v/>
      </c>
      <c r="U1083" s="89">
        <f>U1081+1</f>
        <v>1651</v>
      </c>
      <c r="V1083" s="89" t="str">
        <f t="array" aca="1" ref="V1083" ca="1">IFERROR(IF(INDEX('Disaggregation Records'!$I$155:$I$385,MATCH(RIGHT(Q1083,255),RIGHT('Disaggregation Records'!$D$155:$D$385,255),0))="","",INDEX('Disaggregation Records'!$I$155:$I$385,MATCH(RIGHT(Q1083,255),RIGHT('Disaggregation Records'!$D$155:$D$385,255),0))),"")</f>
        <v/>
      </c>
      <c r="W1083" s="89" t="str">
        <f ca="1">IFERROR(INDEX('Reference Records'!L$77:L$157,MATCH(LEFT(C1083,255),'Reference Records'!E$77:E$157,0)),"")</f>
        <v>MDR TB-3⁽ᴹ⁾ Number of cases with RR-TB and/or MDR-TB that began second-line treatment</v>
      </c>
    </row>
    <row r="1084" spans="1:23" s="89" customFormat="1" ht="40.35" customHeight="1">
      <c r="A1084" s="564"/>
      <c r="B1084" s="799"/>
      <c r="C1084" s="800"/>
      <c r="D1084" s="801"/>
      <c r="E1084" s="801"/>
      <c r="F1084" s="128"/>
      <c r="G1084" s="802"/>
      <c r="H1084" s="781"/>
      <c r="I1084" s="803"/>
      <c r="J1084" s="779"/>
      <c r="K1084" s="800"/>
      <c r="L1084" s="800"/>
      <c r="M1084" s="779"/>
      <c r="N1084" s="779"/>
    </row>
    <row r="1085" spans="1:23" s="89" customFormat="1" ht="40.35" customHeight="1">
      <c r="A1085" s="564" t="str">
        <f ca="1">INDIRECT("'update Helper'!C"&amp;U1085)</f>
        <v>a163p000004VjoRAAS</v>
      </c>
      <c r="B1085" s="794">
        <v>12</v>
      </c>
      <c r="C1085" s="795" t="str">
        <f ca="1">VLOOKUP(B1085,'Coverage Indicators - Section D'!$A$9:$AU$70,47,FALSE)</f>
        <v>MDR TB-3⁽ᴹ⁾ Número de casos de tuberculosis resistente a la rifampicina y/o multirresistente que empezaron a recibir tratamiento de segunda línea.</v>
      </c>
      <c r="D1085" s="796" t="str">
        <f ca="1">R1085</f>
        <v/>
      </c>
      <c r="E1085" s="796" t="str">
        <f ca="1">S1085</f>
        <v/>
      </c>
      <c r="F1085" s="127"/>
      <c r="G1085" s="797" t="str">
        <f ca="1">IF(OR(INDIRECT("'update Helper'!E"&amp;U1085)="",F1085&lt;&gt;0,F1086&lt;&gt;0),IF(IFERROR((F1085/F1086),"")="","",(F1085/F1086)),INDIRECT("'update Helper'!E"&amp;U1085)/100)</f>
        <v/>
      </c>
      <c r="H1085" s="784"/>
      <c r="I1085" s="798"/>
      <c r="J1085" s="777"/>
      <c r="K1085" s="795" t="str">
        <f ca="1">W1085</f>
        <v>MDR TB-3⁽ᴹ⁾ Number of cases with RR-TB and/or MDR-TB that began second-line treatment</v>
      </c>
      <c r="L1085" s="795" t="str">
        <f ca="1">V1085</f>
        <v/>
      </c>
      <c r="M1085" s="777"/>
      <c r="N1085" s="777"/>
      <c r="P1085" s="89">
        <f ca="1">IF(AND(EXACT(C1085,C1083),C1083&lt;&gt;0),P1083+1,0)</f>
        <v>12</v>
      </c>
      <c r="Q1085" s="89" t="str">
        <f ca="1">IF(C1085&lt;&gt;"",C1085&amp;"-"&amp;P1085,"")</f>
        <v>MDR TB-3⁽ᴹ⁾ Número de casos de tuberculosis resistente a la rifampicina y/o multirresistente que empezaron a recibir tratamiento de segunda línea.-12</v>
      </c>
      <c r="R1085" s="89" t="str">
        <f t="array" aca="1" ref="R1085" ca="1">IFERROR(IF(INDEX('Disaggregation Records'!$E$155:$E$385,MATCH(RIGHT(Q1085,255),RIGHT('Disaggregation Records'!$D$155:$D$385,255),0))="","",INDEX('Disaggregation Records'!$E$155:$E$385,MATCH(RIGHT(Q1085,255),RIGHT('Disaggregation Records'!$D$155:$D$385,255),0))),"")</f>
        <v/>
      </c>
      <c r="S1085" s="89" t="str">
        <f t="array" aca="1" ref="S1085" ca="1">IFERROR(IF(INDEX('Disaggregation Records'!$F$155:$F$385,MATCH(RIGHT(Q1085,255),RIGHT('Disaggregation Records'!$D$155:$D$385,255),0))="","",INDEX('Disaggregation Records'!$F$155:$F$385,MATCH(RIGHT(Q1085,255),RIGHT('Disaggregation Records'!$D$155:$D$385,255),0))),"")</f>
        <v/>
      </c>
      <c r="T1085" s="89" t="str">
        <f t="array" aca="1" ref="T1085" ca="1">IFERROR(IF(INDEX('Disaggregation Records'!$H$155:$H$385,MATCH(RIGHT(Q1085,255),RIGHT('Disaggregation Records'!$D$155:$D$385,255),0))="","",INDEX('Disaggregation Records'!$H$155:$H$385,MATCH(RIGHT(Q1085,255),RIGHT('Disaggregation Records'!$D$155:$D$385,255),0))),"")</f>
        <v/>
      </c>
      <c r="U1085" s="89">
        <f>U1083+1</f>
        <v>1652</v>
      </c>
      <c r="V1085" s="89" t="str">
        <f t="array" aca="1" ref="V1085" ca="1">IFERROR(IF(INDEX('Disaggregation Records'!$I$155:$I$385,MATCH(RIGHT(Q1085,255),RIGHT('Disaggregation Records'!$D$155:$D$385,255),0))="","",INDEX('Disaggregation Records'!$I$155:$I$385,MATCH(RIGHT(Q1085,255),RIGHT('Disaggregation Records'!$D$155:$D$385,255),0))),"")</f>
        <v/>
      </c>
      <c r="W1085" s="89" t="str">
        <f ca="1">IFERROR(INDEX('Reference Records'!L$77:L$157,MATCH(LEFT(C1085,255),'Reference Records'!E$77:E$157,0)),"")</f>
        <v>MDR TB-3⁽ᴹ⁾ Number of cases with RR-TB and/or MDR-TB that began second-line treatment</v>
      </c>
    </row>
    <row r="1086" spans="1:23" s="89" customFormat="1" ht="40.35" customHeight="1">
      <c r="A1086" s="564"/>
      <c r="B1086" s="799"/>
      <c r="C1086" s="800"/>
      <c r="D1086" s="801"/>
      <c r="E1086" s="801"/>
      <c r="F1086" s="128"/>
      <c r="G1086" s="802"/>
      <c r="H1086" s="781"/>
      <c r="I1086" s="803"/>
      <c r="J1086" s="779"/>
      <c r="K1086" s="800"/>
      <c r="L1086" s="800"/>
      <c r="M1086" s="779"/>
      <c r="N1086" s="779"/>
    </row>
    <row r="1087" spans="1:23" s="89" customFormat="1" ht="40.35" customHeight="1">
      <c r="A1087" s="564" t="str">
        <f ca="1">INDIRECT("'update Helper'!C"&amp;U1087)</f>
        <v>a163p000004VjoSAAS</v>
      </c>
      <c r="B1087" s="794">
        <v>12</v>
      </c>
      <c r="C1087" s="795" t="str">
        <f ca="1">VLOOKUP(B1087,'Coverage Indicators - Section D'!$A$9:$AU$70,47,FALSE)</f>
        <v>MDR TB-3⁽ᴹ⁾ Número de casos de tuberculosis resistente a la rifampicina y/o multirresistente que empezaron a recibir tratamiento de segunda línea.</v>
      </c>
      <c r="D1087" s="796" t="str">
        <f ca="1">R1087</f>
        <v/>
      </c>
      <c r="E1087" s="796" t="str">
        <f ca="1">S1087</f>
        <v/>
      </c>
      <c r="F1087" s="127"/>
      <c r="G1087" s="797" t="str">
        <f ca="1">IF(OR(INDIRECT("'update Helper'!E"&amp;U1087)="",F1087&lt;&gt;0,F1088&lt;&gt;0),IF(IFERROR((F1087/F1088),"")="","",(F1087/F1088)),INDIRECT("'update Helper'!E"&amp;U1087)/100)</f>
        <v/>
      </c>
      <c r="H1087" s="784"/>
      <c r="I1087" s="798"/>
      <c r="J1087" s="777"/>
      <c r="K1087" s="795" t="str">
        <f ca="1">W1087</f>
        <v>MDR TB-3⁽ᴹ⁾ Number of cases with RR-TB and/or MDR-TB that began second-line treatment</v>
      </c>
      <c r="L1087" s="795" t="str">
        <f ca="1">V1087</f>
        <v/>
      </c>
      <c r="M1087" s="777"/>
      <c r="N1087" s="777"/>
      <c r="P1087" s="89">
        <f ca="1">IF(AND(EXACT(C1087,C1085),C1085&lt;&gt;0),P1085+1,0)</f>
        <v>13</v>
      </c>
      <c r="Q1087" s="89" t="str">
        <f ca="1">IF(C1087&lt;&gt;"",C1087&amp;"-"&amp;P1087,"")</f>
        <v>MDR TB-3⁽ᴹ⁾ Número de casos de tuberculosis resistente a la rifampicina y/o multirresistente que empezaron a recibir tratamiento de segunda línea.-13</v>
      </c>
      <c r="R1087" s="89" t="str">
        <f t="array" aca="1" ref="R1087" ca="1">IFERROR(IF(INDEX('Disaggregation Records'!$E$155:$E$385,MATCH(RIGHT(Q1087,255),RIGHT('Disaggregation Records'!$D$155:$D$385,255),0))="","",INDEX('Disaggregation Records'!$E$155:$E$385,MATCH(RIGHT(Q1087,255),RIGHT('Disaggregation Records'!$D$155:$D$385,255),0))),"")</f>
        <v/>
      </c>
      <c r="S1087" s="89" t="str">
        <f t="array" aca="1" ref="S1087" ca="1">IFERROR(IF(INDEX('Disaggregation Records'!$F$155:$F$385,MATCH(RIGHT(Q1087,255),RIGHT('Disaggregation Records'!$D$155:$D$385,255),0))="","",INDEX('Disaggregation Records'!$F$155:$F$385,MATCH(RIGHT(Q1087,255),RIGHT('Disaggregation Records'!$D$155:$D$385,255),0))),"")</f>
        <v/>
      </c>
      <c r="T1087" s="89" t="str">
        <f t="array" aca="1" ref="T1087" ca="1">IFERROR(IF(INDEX('Disaggregation Records'!$H$155:$H$385,MATCH(RIGHT(Q1087,255),RIGHT('Disaggregation Records'!$D$155:$D$385,255),0))="","",INDEX('Disaggregation Records'!$H$155:$H$385,MATCH(RIGHT(Q1087,255),RIGHT('Disaggregation Records'!$D$155:$D$385,255),0))),"")</f>
        <v/>
      </c>
      <c r="U1087" s="89">
        <f>U1085+1</f>
        <v>1653</v>
      </c>
      <c r="V1087" s="89" t="str">
        <f t="array" aca="1" ref="V1087" ca="1">IFERROR(IF(INDEX('Disaggregation Records'!$I$155:$I$385,MATCH(RIGHT(Q1087,255),RIGHT('Disaggregation Records'!$D$155:$D$385,255),0))="","",INDEX('Disaggregation Records'!$I$155:$I$385,MATCH(RIGHT(Q1087,255),RIGHT('Disaggregation Records'!$D$155:$D$385,255),0))),"")</f>
        <v/>
      </c>
      <c r="W1087" s="89" t="str">
        <f ca="1">IFERROR(INDEX('Reference Records'!L$77:L$157,MATCH(LEFT(C1087,255),'Reference Records'!E$77:E$157,0)),"")</f>
        <v>MDR TB-3⁽ᴹ⁾ Number of cases with RR-TB and/or MDR-TB that began second-line treatment</v>
      </c>
    </row>
    <row r="1088" spans="1:23" s="89" customFormat="1" ht="40.35" customHeight="1">
      <c r="A1088" s="564"/>
      <c r="B1088" s="799"/>
      <c r="C1088" s="800"/>
      <c r="D1088" s="801"/>
      <c r="E1088" s="801"/>
      <c r="F1088" s="128"/>
      <c r="G1088" s="802"/>
      <c r="H1088" s="781"/>
      <c r="I1088" s="803"/>
      <c r="J1088" s="779"/>
      <c r="K1088" s="800"/>
      <c r="L1088" s="800"/>
      <c r="M1088" s="779"/>
      <c r="N1088" s="779"/>
    </row>
    <row r="1089" spans="1:23" s="89" customFormat="1" ht="40.35" customHeight="1">
      <c r="A1089" s="564" t="str">
        <f ca="1">INDIRECT("'update Helper'!C"&amp;U1089)</f>
        <v>a163p000004VjoTAAS</v>
      </c>
      <c r="B1089" s="794">
        <v>12</v>
      </c>
      <c r="C1089" s="795" t="str">
        <f ca="1">VLOOKUP(B1089,'Coverage Indicators - Section D'!$A$9:$AU$70,47,FALSE)</f>
        <v>MDR TB-3⁽ᴹ⁾ Número de casos de tuberculosis resistente a la rifampicina y/o multirresistente que empezaron a recibir tratamiento de segunda línea.</v>
      </c>
      <c r="D1089" s="796" t="str">
        <f ca="1">R1089</f>
        <v/>
      </c>
      <c r="E1089" s="796" t="str">
        <f ca="1">S1089</f>
        <v/>
      </c>
      <c r="F1089" s="127"/>
      <c r="G1089" s="797" t="str">
        <f ca="1">IF(OR(INDIRECT("'update Helper'!E"&amp;U1089)="",F1089&lt;&gt;0,F1090&lt;&gt;0),IF(IFERROR((F1089/F1090),"")="","",(F1089/F1090)),INDIRECT("'update Helper'!E"&amp;U1089)/100)</f>
        <v/>
      </c>
      <c r="H1089" s="784"/>
      <c r="I1089" s="798"/>
      <c r="J1089" s="777"/>
      <c r="K1089" s="795" t="str">
        <f ca="1">W1089</f>
        <v>MDR TB-3⁽ᴹ⁾ Number of cases with RR-TB and/or MDR-TB that began second-line treatment</v>
      </c>
      <c r="L1089" s="795" t="str">
        <f ca="1">V1089</f>
        <v/>
      </c>
      <c r="M1089" s="777"/>
      <c r="N1089" s="777"/>
      <c r="P1089" s="89">
        <f ca="1">IF(AND(EXACT(C1089,C1087),C1087&lt;&gt;0),P1087+1,0)</f>
        <v>14</v>
      </c>
      <c r="Q1089" s="89" t="str">
        <f ca="1">IF(C1089&lt;&gt;"",C1089&amp;"-"&amp;P1089,"")</f>
        <v>MDR TB-3⁽ᴹ⁾ Número de casos de tuberculosis resistente a la rifampicina y/o multirresistente que empezaron a recibir tratamiento de segunda línea.-14</v>
      </c>
      <c r="R1089" s="89" t="str">
        <f t="array" aca="1" ref="R1089" ca="1">IFERROR(IF(INDEX('Disaggregation Records'!$E$155:$E$385,MATCH(RIGHT(Q1089,255),RIGHT('Disaggregation Records'!$D$155:$D$385,255),0))="","",INDEX('Disaggregation Records'!$E$155:$E$385,MATCH(RIGHT(Q1089,255),RIGHT('Disaggregation Records'!$D$155:$D$385,255),0))),"")</f>
        <v/>
      </c>
      <c r="S1089" s="89" t="str">
        <f t="array" aca="1" ref="S1089" ca="1">IFERROR(IF(INDEX('Disaggregation Records'!$F$155:$F$385,MATCH(RIGHT(Q1089,255),RIGHT('Disaggregation Records'!$D$155:$D$385,255),0))="","",INDEX('Disaggregation Records'!$F$155:$F$385,MATCH(RIGHT(Q1089,255),RIGHT('Disaggregation Records'!$D$155:$D$385,255),0))),"")</f>
        <v/>
      </c>
      <c r="T1089" s="89" t="str">
        <f t="array" aca="1" ref="T1089" ca="1">IFERROR(IF(INDEX('Disaggregation Records'!$H$155:$H$385,MATCH(RIGHT(Q1089,255),RIGHT('Disaggregation Records'!$D$155:$D$385,255),0))="","",INDEX('Disaggregation Records'!$H$155:$H$385,MATCH(RIGHT(Q1089,255),RIGHT('Disaggregation Records'!$D$155:$D$385,255),0))),"")</f>
        <v/>
      </c>
      <c r="U1089" s="89">
        <f>U1087+1</f>
        <v>1654</v>
      </c>
      <c r="V1089" s="89" t="str">
        <f t="array" aca="1" ref="V1089" ca="1">IFERROR(IF(INDEX('Disaggregation Records'!$I$155:$I$385,MATCH(RIGHT(Q1089,255),RIGHT('Disaggregation Records'!$D$155:$D$385,255),0))="","",INDEX('Disaggregation Records'!$I$155:$I$385,MATCH(RIGHT(Q1089,255),RIGHT('Disaggregation Records'!$D$155:$D$385,255),0))),"")</f>
        <v/>
      </c>
      <c r="W1089" s="89" t="str">
        <f ca="1">IFERROR(INDEX('Reference Records'!L$77:L$157,MATCH(LEFT(C1089,255),'Reference Records'!E$77:E$157,0)),"")</f>
        <v>MDR TB-3⁽ᴹ⁾ Number of cases with RR-TB and/or MDR-TB that began second-line treatment</v>
      </c>
    </row>
    <row r="1090" spans="1:23" s="89" customFormat="1" ht="40.35" customHeight="1">
      <c r="A1090" s="564"/>
      <c r="B1090" s="799"/>
      <c r="C1090" s="800"/>
      <c r="D1090" s="801"/>
      <c r="E1090" s="801"/>
      <c r="F1090" s="128"/>
      <c r="G1090" s="802"/>
      <c r="H1090" s="781"/>
      <c r="I1090" s="803"/>
      <c r="J1090" s="779"/>
      <c r="K1090" s="800"/>
      <c r="L1090" s="800"/>
      <c r="M1090" s="779"/>
      <c r="N1090" s="779"/>
    </row>
    <row r="1091" spans="1:23" s="89" customFormat="1" ht="40.35" customHeight="1">
      <c r="A1091" s="564" t="str">
        <f ca="1">INDIRECT("'update Helper'!C"&amp;U1091)</f>
        <v>a163p000004VjoUAAS</v>
      </c>
      <c r="B1091" s="794">
        <v>12</v>
      </c>
      <c r="C1091" s="795" t="str">
        <f ca="1">VLOOKUP(B1091,'Coverage Indicators - Section D'!$A$9:$AU$70,47,FALSE)</f>
        <v>MDR TB-3⁽ᴹ⁾ Número de casos de tuberculosis resistente a la rifampicina y/o multirresistente que empezaron a recibir tratamiento de segunda línea.</v>
      </c>
      <c r="D1091" s="796" t="str">
        <f ca="1">R1091</f>
        <v/>
      </c>
      <c r="E1091" s="796" t="str">
        <f ca="1">S1091</f>
        <v/>
      </c>
      <c r="F1091" s="127"/>
      <c r="G1091" s="797" t="str">
        <f ca="1">IF(OR(INDIRECT("'update Helper'!E"&amp;U1091)="",F1091&lt;&gt;0,F1092&lt;&gt;0),IF(IFERROR((F1091/F1092),"")="","",(F1091/F1092)),INDIRECT("'update Helper'!E"&amp;U1091)/100)</f>
        <v/>
      </c>
      <c r="H1091" s="784"/>
      <c r="I1091" s="798"/>
      <c r="J1091" s="777"/>
      <c r="K1091" s="795" t="str">
        <f ca="1">W1091</f>
        <v>MDR TB-3⁽ᴹ⁾ Number of cases with RR-TB and/or MDR-TB that began second-line treatment</v>
      </c>
      <c r="L1091" s="795" t="str">
        <f ca="1">V1091</f>
        <v/>
      </c>
      <c r="M1091" s="777"/>
      <c r="N1091" s="777"/>
      <c r="P1091" s="89">
        <f ca="1">IF(AND(EXACT(C1091,C1089),C1089&lt;&gt;0),P1089+1,0)</f>
        <v>15</v>
      </c>
      <c r="Q1091" s="89" t="str">
        <f ca="1">IF(C1091&lt;&gt;"",C1091&amp;"-"&amp;P1091,"")</f>
        <v>MDR TB-3⁽ᴹ⁾ Número de casos de tuberculosis resistente a la rifampicina y/o multirresistente que empezaron a recibir tratamiento de segunda línea.-15</v>
      </c>
      <c r="R1091" s="89" t="str">
        <f t="array" aca="1" ref="R1091" ca="1">IFERROR(IF(INDEX('Disaggregation Records'!$E$155:$E$385,MATCH(RIGHT(Q1091,255),RIGHT('Disaggregation Records'!$D$155:$D$385,255),0))="","",INDEX('Disaggregation Records'!$E$155:$E$385,MATCH(RIGHT(Q1091,255),RIGHT('Disaggregation Records'!$D$155:$D$385,255),0))),"")</f>
        <v/>
      </c>
      <c r="S1091" s="89" t="str">
        <f t="array" aca="1" ref="S1091" ca="1">IFERROR(IF(INDEX('Disaggregation Records'!$F$155:$F$385,MATCH(RIGHT(Q1091,255),RIGHT('Disaggregation Records'!$D$155:$D$385,255),0))="","",INDEX('Disaggregation Records'!$F$155:$F$385,MATCH(RIGHT(Q1091,255),RIGHT('Disaggregation Records'!$D$155:$D$385,255),0))),"")</f>
        <v/>
      </c>
      <c r="T1091" s="89" t="str">
        <f t="array" aca="1" ref="T1091" ca="1">IFERROR(IF(INDEX('Disaggregation Records'!$H$155:$H$385,MATCH(RIGHT(Q1091,255),RIGHT('Disaggregation Records'!$D$155:$D$385,255),0))="","",INDEX('Disaggregation Records'!$H$155:$H$385,MATCH(RIGHT(Q1091,255),RIGHT('Disaggregation Records'!$D$155:$D$385,255),0))),"")</f>
        <v/>
      </c>
      <c r="U1091" s="89">
        <f>U1089+1</f>
        <v>1655</v>
      </c>
      <c r="V1091" s="89" t="str">
        <f t="array" aca="1" ref="V1091" ca="1">IFERROR(IF(INDEX('Disaggregation Records'!$I$155:$I$385,MATCH(RIGHT(Q1091,255),RIGHT('Disaggregation Records'!$D$155:$D$385,255),0))="","",INDEX('Disaggregation Records'!$I$155:$I$385,MATCH(RIGHT(Q1091,255),RIGHT('Disaggregation Records'!$D$155:$D$385,255),0))),"")</f>
        <v/>
      </c>
      <c r="W1091" s="89" t="str">
        <f ca="1">IFERROR(INDEX('Reference Records'!L$77:L$157,MATCH(LEFT(C1091,255),'Reference Records'!E$77:E$157,0)),"")</f>
        <v>MDR TB-3⁽ᴹ⁾ Number of cases with RR-TB and/or MDR-TB that began second-line treatment</v>
      </c>
    </row>
    <row r="1092" spans="1:23" s="89" customFormat="1" ht="40.35" customHeight="1">
      <c r="A1092" s="564"/>
      <c r="B1092" s="799"/>
      <c r="C1092" s="800"/>
      <c r="D1092" s="801"/>
      <c r="E1092" s="801"/>
      <c r="F1092" s="128"/>
      <c r="G1092" s="802"/>
      <c r="H1092" s="781"/>
      <c r="I1092" s="803"/>
      <c r="J1092" s="779"/>
      <c r="K1092" s="800"/>
      <c r="L1092" s="800"/>
      <c r="M1092" s="779"/>
      <c r="N1092" s="779"/>
    </row>
    <row r="1093" spans="1:23" s="89" customFormat="1" ht="40.35" customHeight="1">
      <c r="A1093" s="564" t="str">
        <f ca="1">INDIRECT("'update Helper'!C"&amp;U1093)</f>
        <v>a163p000004VjoVAAS</v>
      </c>
      <c r="B1093" s="794">
        <v>12</v>
      </c>
      <c r="C1093" s="795" t="str">
        <f ca="1">VLOOKUP(B1093,'Coverage Indicators - Section D'!$A$9:$AU$70,47,FALSE)</f>
        <v>MDR TB-3⁽ᴹ⁾ Número de casos de tuberculosis resistente a la rifampicina y/o multirresistente que empezaron a recibir tratamiento de segunda línea.</v>
      </c>
      <c r="D1093" s="796" t="str">
        <f ca="1">R1093</f>
        <v/>
      </c>
      <c r="E1093" s="796" t="str">
        <f ca="1">S1093</f>
        <v/>
      </c>
      <c r="F1093" s="127"/>
      <c r="G1093" s="797" t="str">
        <f ca="1">IF(OR(INDIRECT("'update Helper'!E"&amp;U1093)="",F1093&lt;&gt;0,F1094&lt;&gt;0),IF(IFERROR((F1093/F1094),"")="","",(F1093/F1094)),INDIRECT("'update Helper'!E"&amp;U1093)/100)</f>
        <v/>
      </c>
      <c r="H1093" s="784"/>
      <c r="I1093" s="798"/>
      <c r="J1093" s="777"/>
      <c r="K1093" s="795" t="str">
        <f ca="1">W1093</f>
        <v>MDR TB-3⁽ᴹ⁾ Number of cases with RR-TB and/or MDR-TB that began second-line treatment</v>
      </c>
      <c r="L1093" s="795" t="str">
        <f ca="1">V1093</f>
        <v/>
      </c>
      <c r="M1093" s="777"/>
      <c r="N1093" s="777"/>
      <c r="P1093" s="89">
        <f ca="1">IF(AND(EXACT(C1093,C1091),C1091&lt;&gt;0),P1091+1,0)</f>
        <v>16</v>
      </c>
      <c r="Q1093" s="89" t="str">
        <f ca="1">IF(C1093&lt;&gt;"",C1093&amp;"-"&amp;P1093,"")</f>
        <v>MDR TB-3⁽ᴹ⁾ Número de casos de tuberculosis resistente a la rifampicina y/o multirresistente que empezaron a recibir tratamiento de segunda línea.-16</v>
      </c>
      <c r="R1093" s="89" t="str">
        <f t="array" aca="1" ref="R1093" ca="1">IFERROR(IF(INDEX('Disaggregation Records'!$E$155:$E$385,MATCH(RIGHT(Q1093,255),RIGHT('Disaggregation Records'!$D$155:$D$385,255),0))="","",INDEX('Disaggregation Records'!$E$155:$E$385,MATCH(RIGHT(Q1093,255),RIGHT('Disaggregation Records'!$D$155:$D$385,255),0))),"")</f>
        <v/>
      </c>
      <c r="S1093" s="89" t="str">
        <f t="array" aca="1" ref="S1093" ca="1">IFERROR(IF(INDEX('Disaggregation Records'!$F$155:$F$385,MATCH(RIGHT(Q1093,255),RIGHT('Disaggregation Records'!$D$155:$D$385,255),0))="","",INDEX('Disaggregation Records'!$F$155:$F$385,MATCH(RIGHT(Q1093,255),RIGHT('Disaggregation Records'!$D$155:$D$385,255),0))),"")</f>
        <v/>
      </c>
      <c r="T1093" s="89" t="str">
        <f t="array" aca="1" ref="T1093" ca="1">IFERROR(IF(INDEX('Disaggregation Records'!$H$155:$H$385,MATCH(RIGHT(Q1093,255),RIGHT('Disaggregation Records'!$D$155:$D$385,255),0))="","",INDEX('Disaggregation Records'!$H$155:$H$385,MATCH(RIGHT(Q1093,255),RIGHT('Disaggregation Records'!$D$155:$D$385,255),0))),"")</f>
        <v/>
      </c>
      <c r="U1093" s="89">
        <f>U1091+1</f>
        <v>1656</v>
      </c>
      <c r="V1093" s="89" t="str">
        <f t="array" aca="1" ref="V1093" ca="1">IFERROR(IF(INDEX('Disaggregation Records'!$I$155:$I$385,MATCH(RIGHT(Q1093,255),RIGHT('Disaggregation Records'!$D$155:$D$385,255),0))="","",INDEX('Disaggregation Records'!$I$155:$I$385,MATCH(RIGHT(Q1093,255),RIGHT('Disaggregation Records'!$D$155:$D$385,255),0))),"")</f>
        <v/>
      </c>
      <c r="W1093" s="89" t="str">
        <f ca="1">IFERROR(INDEX('Reference Records'!L$77:L$157,MATCH(LEFT(C1093,255),'Reference Records'!E$77:E$157,0)),"")</f>
        <v>MDR TB-3⁽ᴹ⁾ Number of cases with RR-TB and/or MDR-TB that began second-line treatment</v>
      </c>
    </row>
    <row r="1094" spans="1:23" s="89" customFormat="1" ht="40.35" customHeight="1">
      <c r="A1094" s="564"/>
      <c r="B1094" s="799"/>
      <c r="C1094" s="800"/>
      <c r="D1094" s="801"/>
      <c r="E1094" s="801"/>
      <c r="F1094" s="128"/>
      <c r="G1094" s="802"/>
      <c r="H1094" s="781"/>
      <c r="I1094" s="803"/>
      <c r="J1094" s="779"/>
      <c r="K1094" s="800"/>
      <c r="L1094" s="800"/>
      <c r="M1094" s="779"/>
      <c r="N1094" s="779"/>
    </row>
    <row r="1095" spans="1:23" s="89" customFormat="1" ht="40.35" customHeight="1">
      <c r="A1095" s="564" t="str">
        <f ca="1">INDIRECT("'update Helper'!C"&amp;U1095)</f>
        <v>a163p000004VjoWAAS</v>
      </c>
      <c r="B1095" s="794">
        <v>12</v>
      </c>
      <c r="C1095" s="795" t="str">
        <f ca="1">VLOOKUP(B1095,'Coverage Indicators - Section D'!$A$9:$AU$70,47,FALSE)</f>
        <v>MDR TB-3⁽ᴹ⁾ Número de casos de tuberculosis resistente a la rifampicina y/o multirresistente que empezaron a recibir tratamiento de segunda línea.</v>
      </c>
      <c r="D1095" s="796" t="str">
        <f ca="1">R1095</f>
        <v/>
      </c>
      <c r="E1095" s="796" t="str">
        <f ca="1">S1095</f>
        <v/>
      </c>
      <c r="F1095" s="127"/>
      <c r="G1095" s="797" t="str">
        <f ca="1">IF(OR(INDIRECT("'update Helper'!E"&amp;U1095)="",F1095&lt;&gt;0,F1096&lt;&gt;0),IF(IFERROR((F1095/F1096),"")="","",(F1095/F1096)),INDIRECT("'update Helper'!E"&amp;U1095)/100)</f>
        <v/>
      </c>
      <c r="H1095" s="784"/>
      <c r="I1095" s="798"/>
      <c r="J1095" s="777"/>
      <c r="K1095" s="795" t="str">
        <f ca="1">W1095</f>
        <v>MDR TB-3⁽ᴹ⁾ Number of cases with RR-TB and/or MDR-TB that began second-line treatment</v>
      </c>
      <c r="L1095" s="795" t="str">
        <f ca="1">V1095</f>
        <v/>
      </c>
      <c r="M1095" s="777"/>
      <c r="N1095" s="777"/>
      <c r="P1095" s="89">
        <f ca="1">IF(AND(EXACT(C1095,C1093),C1093&lt;&gt;0),P1093+1,0)</f>
        <v>17</v>
      </c>
      <c r="Q1095" s="89" t="str">
        <f ca="1">IF(C1095&lt;&gt;"",C1095&amp;"-"&amp;P1095,"")</f>
        <v>MDR TB-3⁽ᴹ⁾ Número de casos de tuberculosis resistente a la rifampicina y/o multirresistente que empezaron a recibir tratamiento de segunda línea.-17</v>
      </c>
      <c r="R1095" s="89" t="str">
        <f t="array" aca="1" ref="R1095" ca="1">IFERROR(IF(INDEX('Disaggregation Records'!$E$155:$E$385,MATCH(RIGHT(Q1095,255),RIGHT('Disaggregation Records'!$D$155:$D$385,255),0))="","",INDEX('Disaggregation Records'!$E$155:$E$385,MATCH(RIGHT(Q1095,255),RIGHT('Disaggregation Records'!$D$155:$D$385,255),0))),"")</f>
        <v/>
      </c>
      <c r="S1095" s="89" t="str">
        <f t="array" aca="1" ref="S1095" ca="1">IFERROR(IF(INDEX('Disaggregation Records'!$F$155:$F$385,MATCH(RIGHT(Q1095,255),RIGHT('Disaggregation Records'!$D$155:$D$385,255),0))="","",INDEX('Disaggregation Records'!$F$155:$F$385,MATCH(RIGHT(Q1095,255),RIGHT('Disaggregation Records'!$D$155:$D$385,255),0))),"")</f>
        <v/>
      </c>
      <c r="T1095" s="89" t="str">
        <f t="array" aca="1" ref="T1095" ca="1">IFERROR(IF(INDEX('Disaggregation Records'!$H$155:$H$385,MATCH(RIGHT(Q1095,255),RIGHT('Disaggregation Records'!$D$155:$D$385,255),0))="","",INDEX('Disaggregation Records'!$H$155:$H$385,MATCH(RIGHT(Q1095,255),RIGHT('Disaggregation Records'!$D$155:$D$385,255),0))),"")</f>
        <v/>
      </c>
      <c r="U1095" s="89">
        <f>U1093+1</f>
        <v>1657</v>
      </c>
      <c r="V1095" s="89" t="str">
        <f t="array" aca="1" ref="V1095" ca="1">IFERROR(IF(INDEX('Disaggregation Records'!$I$155:$I$385,MATCH(RIGHT(Q1095,255),RIGHT('Disaggregation Records'!$D$155:$D$385,255),0))="","",INDEX('Disaggregation Records'!$I$155:$I$385,MATCH(RIGHT(Q1095,255),RIGHT('Disaggregation Records'!$D$155:$D$385,255),0))),"")</f>
        <v/>
      </c>
      <c r="W1095" s="89" t="str">
        <f ca="1">IFERROR(INDEX('Reference Records'!L$77:L$157,MATCH(LEFT(C1095,255),'Reference Records'!E$77:E$157,0)),"")</f>
        <v>MDR TB-3⁽ᴹ⁾ Number of cases with RR-TB and/or MDR-TB that began second-line treatment</v>
      </c>
    </row>
    <row r="1096" spans="1:23" s="89" customFormat="1" ht="40.35" customHeight="1">
      <c r="A1096" s="564"/>
      <c r="B1096" s="799"/>
      <c r="C1096" s="800"/>
      <c r="D1096" s="801"/>
      <c r="E1096" s="801"/>
      <c r="F1096" s="128"/>
      <c r="G1096" s="802"/>
      <c r="H1096" s="781"/>
      <c r="I1096" s="803"/>
      <c r="J1096" s="779"/>
      <c r="K1096" s="800"/>
      <c r="L1096" s="800"/>
      <c r="M1096" s="779"/>
      <c r="N1096" s="779"/>
    </row>
    <row r="1097" spans="1:23" s="89" customFormat="1" ht="40.35" customHeight="1">
      <c r="A1097" s="564" t="str">
        <f ca="1">INDIRECT("'update Helper'!C"&amp;U1097)</f>
        <v>a163p000004VjoXAAS</v>
      </c>
      <c r="B1097" s="794">
        <v>12</v>
      </c>
      <c r="C1097" s="795" t="str">
        <f ca="1">VLOOKUP(B1097,'Coverage Indicators - Section D'!$A$9:$AU$70,47,FALSE)</f>
        <v>MDR TB-3⁽ᴹ⁾ Número de casos de tuberculosis resistente a la rifampicina y/o multirresistente que empezaron a recibir tratamiento de segunda línea.</v>
      </c>
      <c r="D1097" s="796" t="str">
        <f ca="1">R1097</f>
        <v/>
      </c>
      <c r="E1097" s="796" t="str">
        <f ca="1">S1097</f>
        <v/>
      </c>
      <c r="F1097" s="127"/>
      <c r="G1097" s="797" t="str">
        <f ca="1">IF(OR(INDIRECT("'update Helper'!E"&amp;U1097)="",F1097&lt;&gt;0,F1098&lt;&gt;0),IF(IFERROR((F1097/F1098),"")="","",(F1097/F1098)),INDIRECT("'update Helper'!E"&amp;U1097)/100)</f>
        <v/>
      </c>
      <c r="H1097" s="784"/>
      <c r="I1097" s="798"/>
      <c r="J1097" s="777"/>
      <c r="K1097" s="795" t="str">
        <f ca="1">W1097</f>
        <v>MDR TB-3⁽ᴹ⁾ Number of cases with RR-TB and/or MDR-TB that began second-line treatment</v>
      </c>
      <c r="L1097" s="795" t="str">
        <f ca="1">V1097</f>
        <v/>
      </c>
      <c r="M1097" s="777"/>
      <c r="N1097" s="777"/>
      <c r="P1097" s="89">
        <f ca="1">IF(AND(EXACT(C1097,C1095),C1095&lt;&gt;0),P1095+1,0)</f>
        <v>18</v>
      </c>
      <c r="Q1097" s="89" t="str">
        <f ca="1">IF(C1097&lt;&gt;"",C1097&amp;"-"&amp;P1097,"")</f>
        <v>MDR TB-3⁽ᴹ⁾ Número de casos de tuberculosis resistente a la rifampicina y/o multirresistente que empezaron a recibir tratamiento de segunda línea.-18</v>
      </c>
      <c r="R1097" s="89" t="str">
        <f t="array" aca="1" ref="R1097" ca="1">IFERROR(IF(INDEX('Disaggregation Records'!$E$155:$E$385,MATCH(RIGHT(Q1097,255),RIGHT('Disaggregation Records'!$D$155:$D$385,255),0))="","",INDEX('Disaggregation Records'!$E$155:$E$385,MATCH(RIGHT(Q1097,255),RIGHT('Disaggregation Records'!$D$155:$D$385,255),0))),"")</f>
        <v/>
      </c>
      <c r="S1097" s="89" t="str">
        <f t="array" aca="1" ref="S1097" ca="1">IFERROR(IF(INDEX('Disaggregation Records'!$F$155:$F$385,MATCH(RIGHT(Q1097,255),RIGHT('Disaggregation Records'!$D$155:$D$385,255),0))="","",INDEX('Disaggregation Records'!$F$155:$F$385,MATCH(RIGHT(Q1097,255),RIGHT('Disaggregation Records'!$D$155:$D$385,255),0))),"")</f>
        <v/>
      </c>
      <c r="T1097" s="89" t="str">
        <f t="array" aca="1" ref="T1097" ca="1">IFERROR(IF(INDEX('Disaggregation Records'!$H$155:$H$385,MATCH(RIGHT(Q1097,255),RIGHT('Disaggregation Records'!$D$155:$D$385,255),0))="","",INDEX('Disaggregation Records'!$H$155:$H$385,MATCH(RIGHT(Q1097,255),RIGHT('Disaggregation Records'!$D$155:$D$385,255),0))),"")</f>
        <v/>
      </c>
      <c r="U1097" s="89">
        <f>U1095+1</f>
        <v>1658</v>
      </c>
      <c r="V1097" s="89" t="str">
        <f t="array" aca="1" ref="V1097" ca="1">IFERROR(IF(INDEX('Disaggregation Records'!$I$155:$I$385,MATCH(RIGHT(Q1097,255),RIGHT('Disaggregation Records'!$D$155:$D$385,255),0))="","",INDEX('Disaggregation Records'!$I$155:$I$385,MATCH(RIGHT(Q1097,255),RIGHT('Disaggregation Records'!$D$155:$D$385,255),0))),"")</f>
        <v/>
      </c>
      <c r="W1097" s="89" t="str">
        <f ca="1">IFERROR(INDEX('Reference Records'!L$77:L$157,MATCH(LEFT(C1097,255),'Reference Records'!E$77:E$157,0)),"")</f>
        <v>MDR TB-3⁽ᴹ⁾ Number of cases with RR-TB and/or MDR-TB that began second-line treatment</v>
      </c>
    </row>
    <row r="1098" spans="1:23" s="89" customFormat="1" ht="40.35" customHeight="1">
      <c r="A1098" s="564"/>
      <c r="B1098" s="799"/>
      <c r="C1098" s="800"/>
      <c r="D1098" s="801"/>
      <c r="E1098" s="801"/>
      <c r="F1098" s="128"/>
      <c r="G1098" s="802"/>
      <c r="H1098" s="781"/>
      <c r="I1098" s="803"/>
      <c r="J1098" s="779"/>
      <c r="K1098" s="800"/>
      <c r="L1098" s="800"/>
      <c r="M1098" s="779"/>
      <c r="N1098" s="779"/>
    </row>
    <row r="1099" spans="1:23" s="89" customFormat="1" ht="40.35" customHeight="1">
      <c r="A1099" s="564" t="str">
        <f ca="1">INDIRECT("'update Helper'!C"&amp;U1099)</f>
        <v>a163p000004VjoYAAS</v>
      </c>
      <c r="B1099" s="794">
        <v>12</v>
      </c>
      <c r="C1099" s="795" t="str">
        <f ca="1">VLOOKUP(B1099,'Coverage Indicators - Section D'!$A$9:$AU$70,47,FALSE)</f>
        <v>MDR TB-3⁽ᴹ⁾ Número de casos de tuberculosis resistente a la rifampicina y/o multirresistente que empezaron a recibir tratamiento de segunda línea.</v>
      </c>
      <c r="D1099" s="796" t="str">
        <f ca="1">R1099</f>
        <v/>
      </c>
      <c r="E1099" s="796" t="str">
        <f ca="1">S1099</f>
        <v/>
      </c>
      <c r="F1099" s="127"/>
      <c r="G1099" s="797" t="str">
        <f ca="1">IF(OR(INDIRECT("'update Helper'!E"&amp;U1099)="",F1099&lt;&gt;0,F1100&lt;&gt;0),IF(IFERROR((F1099/F1100),"")="","",(F1099/F1100)),INDIRECT("'update Helper'!E"&amp;U1099)/100)</f>
        <v/>
      </c>
      <c r="H1099" s="784"/>
      <c r="I1099" s="798"/>
      <c r="J1099" s="777"/>
      <c r="K1099" s="795" t="str">
        <f ca="1">W1099</f>
        <v>MDR TB-3⁽ᴹ⁾ Number of cases with RR-TB and/or MDR-TB that began second-line treatment</v>
      </c>
      <c r="L1099" s="795" t="str">
        <f ca="1">V1099</f>
        <v/>
      </c>
      <c r="M1099" s="777"/>
      <c r="N1099" s="777"/>
      <c r="P1099" s="89">
        <f ca="1">IF(AND(EXACT(C1099,C1097),C1097&lt;&gt;0),P1097+1,0)</f>
        <v>19</v>
      </c>
      <c r="Q1099" s="89" t="str">
        <f ca="1">IF(C1099&lt;&gt;"",C1099&amp;"-"&amp;P1099,"")</f>
        <v>MDR TB-3⁽ᴹ⁾ Número de casos de tuberculosis resistente a la rifampicina y/o multirresistente que empezaron a recibir tratamiento de segunda línea.-19</v>
      </c>
      <c r="R1099" s="89" t="str">
        <f t="array" aca="1" ref="R1099" ca="1">IFERROR(IF(INDEX('Disaggregation Records'!$E$155:$E$385,MATCH(RIGHT(Q1099,255),RIGHT('Disaggregation Records'!$D$155:$D$385,255),0))="","",INDEX('Disaggregation Records'!$E$155:$E$385,MATCH(RIGHT(Q1099,255),RIGHT('Disaggregation Records'!$D$155:$D$385,255),0))),"")</f>
        <v/>
      </c>
      <c r="S1099" s="89" t="str">
        <f t="array" aca="1" ref="S1099" ca="1">IFERROR(IF(INDEX('Disaggregation Records'!$F$155:$F$385,MATCH(RIGHT(Q1099,255),RIGHT('Disaggregation Records'!$D$155:$D$385,255),0))="","",INDEX('Disaggregation Records'!$F$155:$F$385,MATCH(RIGHT(Q1099,255),RIGHT('Disaggregation Records'!$D$155:$D$385,255),0))),"")</f>
        <v/>
      </c>
      <c r="T1099" s="89" t="str">
        <f t="array" aca="1" ref="T1099" ca="1">IFERROR(IF(INDEX('Disaggregation Records'!$H$155:$H$385,MATCH(RIGHT(Q1099,255),RIGHT('Disaggregation Records'!$D$155:$D$385,255),0))="","",INDEX('Disaggregation Records'!$H$155:$H$385,MATCH(RIGHT(Q1099,255),RIGHT('Disaggregation Records'!$D$155:$D$385,255),0))),"")</f>
        <v/>
      </c>
      <c r="U1099" s="89">
        <f>U1097+1</f>
        <v>1659</v>
      </c>
      <c r="V1099" s="89" t="str">
        <f t="array" aca="1" ref="V1099" ca="1">IFERROR(IF(INDEX('Disaggregation Records'!$I$155:$I$385,MATCH(RIGHT(Q1099,255),RIGHT('Disaggregation Records'!$D$155:$D$385,255),0))="","",INDEX('Disaggregation Records'!$I$155:$I$385,MATCH(RIGHT(Q1099,255),RIGHT('Disaggregation Records'!$D$155:$D$385,255),0))),"")</f>
        <v/>
      </c>
      <c r="W1099" s="89" t="str">
        <f ca="1">IFERROR(INDEX('Reference Records'!L$77:L$157,MATCH(LEFT(C1099,255),'Reference Records'!E$77:E$157,0)),"")</f>
        <v>MDR TB-3⁽ᴹ⁾ Number of cases with RR-TB and/or MDR-TB that began second-line treatment</v>
      </c>
    </row>
    <row r="1100" spans="1:23" s="89" customFormat="1" ht="40.35" customHeight="1">
      <c r="A1100" s="564"/>
      <c r="B1100" s="799"/>
      <c r="C1100" s="800"/>
      <c r="D1100" s="801"/>
      <c r="E1100" s="801"/>
      <c r="F1100" s="128"/>
      <c r="G1100" s="802"/>
      <c r="H1100" s="781"/>
      <c r="I1100" s="803"/>
      <c r="J1100" s="779"/>
      <c r="K1100" s="800"/>
      <c r="L1100" s="800"/>
      <c r="M1100" s="779"/>
      <c r="N1100" s="779"/>
    </row>
    <row r="1101" spans="1:23" s="89" customFormat="1" ht="40.35" customHeight="1">
      <c r="A1101" s="564" t="str">
        <f ca="1">INDIRECT("'update Helper'!C"&amp;U1101)</f>
        <v>a163p000004VjoZAAS</v>
      </c>
      <c r="B1101" s="794">
        <v>13</v>
      </c>
      <c r="C1101" s="795" t="str">
        <f ca="1">VLOOKUP(B1101,'Coverage Indicators - Section D'!$A$9:$AU$70,47,FALSE)</f>
        <v/>
      </c>
      <c r="D1101" s="796" t="str">
        <f ca="1">R1101</f>
        <v/>
      </c>
      <c r="E1101" s="796" t="str">
        <f ca="1">S1101</f>
        <v/>
      </c>
      <c r="F1101" s="127"/>
      <c r="G1101" s="797" t="str">
        <f ca="1">IF(OR(INDIRECT("'update Helper'!E"&amp;U1101)="",F1101&lt;&gt;0,F1102&lt;&gt;0),IF(IFERROR((F1101/F1102),"")="","",(F1101/F1102)),INDIRECT("'update Helper'!E"&amp;U1101)/100)</f>
        <v/>
      </c>
      <c r="H1101" s="784"/>
      <c r="I1101" s="798"/>
      <c r="J1101" s="777"/>
      <c r="K1101" s="795" t="str">
        <f ca="1">W1101</f>
        <v/>
      </c>
      <c r="L1101" s="795" t="str">
        <f ca="1">V1101</f>
        <v/>
      </c>
      <c r="M1101" s="777"/>
      <c r="N1101" s="777"/>
      <c r="P1101" s="89">
        <f ca="1">IF(AND(EXACT(C1101,C1099),C1099&lt;&gt;0),P1099+1,0)</f>
        <v>0</v>
      </c>
      <c r="Q1101" s="89" t="str">
        <f ca="1">IF(C1101&lt;&gt;"",C1101&amp;"-"&amp;P1101,"")</f>
        <v/>
      </c>
      <c r="R1101" s="89" t="str">
        <f t="array" aca="1" ref="R1101" ca="1">IFERROR(IF(INDEX('Disaggregation Records'!$E$155:$E$385,MATCH(RIGHT(Q1101,255),RIGHT('Disaggregation Records'!$D$155:$D$385,255),0))="","",INDEX('Disaggregation Records'!$E$155:$E$385,MATCH(RIGHT(Q1101,255),RIGHT('Disaggregation Records'!$D$155:$D$385,255),0))),"")</f>
        <v/>
      </c>
      <c r="S1101" s="89" t="str">
        <f t="array" aca="1" ref="S1101" ca="1">IFERROR(IF(INDEX('Disaggregation Records'!$F$155:$F$385,MATCH(RIGHT(Q1101,255),RIGHT('Disaggregation Records'!$D$155:$D$385,255),0))="","",INDEX('Disaggregation Records'!$F$155:$F$385,MATCH(RIGHT(Q1101,255),RIGHT('Disaggregation Records'!$D$155:$D$385,255),0))),"")</f>
        <v/>
      </c>
      <c r="T1101" s="89" t="str">
        <f t="array" aca="1" ref="T1101" ca="1">IFERROR(IF(INDEX('Disaggregation Records'!$H$155:$H$385,MATCH(RIGHT(Q1101,255),RIGHT('Disaggregation Records'!$D$155:$D$385,255),0))="","",INDEX('Disaggregation Records'!$H$155:$H$385,MATCH(RIGHT(Q1101,255),RIGHT('Disaggregation Records'!$D$155:$D$385,255),0))),"")</f>
        <v/>
      </c>
      <c r="U1101" s="89">
        <f>U1099+1</f>
        <v>1660</v>
      </c>
      <c r="V1101" s="89" t="str">
        <f t="array" aca="1" ref="V1101" ca="1">IFERROR(IF(INDEX('Disaggregation Records'!$I$155:$I$385,MATCH(RIGHT(Q1101,255),RIGHT('Disaggregation Records'!$D$155:$D$385,255),0))="","",INDEX('Disaggregation Records'!$I$155:$I$385,MATCH(RIGHT(Q1101,255),RIGHT('Disaggregation Records'!$D$155:$D$385,255),0))),"")</f>
        <v/>
      </c>
      <c r="W1101" s="89" t="str">
        <f ca="1">IFERROR(INDEX('Reference Records'!L$77:L$157,MATCH(LEFT(C1101,255),'Reference Records'!E$77:E$157,0)),"")</f>
        <v/>
      </c>
    </row>
    <row r="1102" spans="1:23" s="89" customFormat="1" ht="40.35" customHeight="1">
      <c r="A1102" s="564"/>
      <c r="B1102" s="799"/>
      <c r="C1102" s="800"/>
      <c r="D1102" s="801"/>
      <c r="E1102" s="801"/>
      <c r="F1102" s="128"/>
      <c r="G1102" s="802"/>
      <c r="H1102" s="781"/>
      <c r="I1102" s="803"/>
      <c r="J1102" s="779"/>
      <c r="K1102" s="800"/>
      <c r="L1102" s="800"/>
      <c r="M1102" s="779"/>
      <c r="N1102" s="779"/>
    </row>
    <row r="1103" spans="1:23" s="89" customFormat="1" ht="40.35" customHeight="1">
      <c r="A1103" s="564" t="str">
        <f ca="1">INDIRECT("'update Helper'!C"&amp;U1103)</f>
        <v>a163p000004VjoaAAC</v>
      </c>
      <c r="B1103" s="794">
        <v>13</v>
      </c>
      <c r="C1103" s="795" t="str">
        <f ca="1">VLOOKUP(B1103,'Coverage Indicators - Section D'!$A$9:$AU$70,47,FALSE)</f>
        <v/>
      </c>
      <c r="D1103" s="796" t="str">
        <f ca="1">R1103</f>
        <v/>
      </c>
      <c r="E1103" s="796" t="str">
        <f ca="1">S1103</f>
        <v/>
      </c>
      <c r="F1103" s="127"/>
      <c r="G1103" s="797" t="str">
        <f ca="1">IF(OR(INDIRECT("'update Helper'!E"&amp;U1103)="",F1103&lt;&gt;0,F1104&lt;&gt;0),IF(IFERROR((F1103/F1104),"")="","",(F1103/F1104)),INDIRECT("'update Helper'!E"&amp;U1103)/100)</f>
        <v/>
      </c>
      <c r="H1103" s="784"/>
      <c r="I1103" s="798"/>
      <c r="J1103" s="777"/>
      <c r="K1103" s="795" t="str">
        <f ca="1">W1103</f>
        <v/>
      </c>
      <c r="L1103" s="795" t="str">
        <f ca="1">V1103</f>
        <v/>
      </c>
      <c r="M1103" s="777"/>
      <c r="N1103" s="777"/>
      <c r="P1103" s="89">
        <f ca="1">IF(AND(EXACT(C1103,C1101),C1101&lt;&gt;0),P1101+1,0)</f>
        <v>1</v>
      </c>
      <c r="Q1103" s="89" t="str">
        <f ca="1">IF(C1103&lt;&gt;"",C1103&amp;"-"&amp;P1103,"")</f>
        <v/>
      </c>
      <c r="R1103" s="89" t="str">
        <f t="array" aca="1" ref="R1103" ca="1">IFERROR(IF(INDEX('Disaggregation Records'!$E$155:$E$385,MATCH(RIGHT(Q1103,255),RIGHT('Disaggregation Records'!$D$155:$D$385,255),0))="","",INDEX('Disaggregation Records'!$E$155:$E$385,MATCH(RIGHT(Q1103,255),RIGHT('Disaggregation Records'!$D$155:$D$385,255),0))),"")</f>
        <v/>
      </c>
      <c r="S1103" s="89" t="str">
        <f t="array" aca="1" ref="S1103" ca="1">IFERROR(IF(INDEX('Disaggregation Records'!$F$155:$F$385,MATCH(RIGHT(Q1103,255),RIGHT('Disaggregation Records'!$D$155:$D$385,255),0))="","",INDEX('Disaggregation Records'!$F$155:$F$385,MATCH(RIGHT(Q1103,255),RIGHT('Disaggregation Records'!$D$155:$D$385,255),0))),"")</f>
        <v/>
      </c>
      <c r="T1103" s="89" t="str">
        <f t="array" aca="1" ref="T1103" ca="1">IFERROR(IF(INDEX('Disaggregation Records'!$H$155:$H$385,MATCH(RIGHT(Q1103,255),RIGHT('Disaggregation Records'!$D$155:$D$385,255),0))="","",INDEX('Disaggregation Records'!$H$155:$H$385,MATCH(RIGHT(Q1103,255),RIGHT('Disaggregation Records'!$D$155:$D$385,255),0))),"")</f>
        <v/>
      </c>
      <c r="U1103" s="89">
        <f>U1101+1</f>
        <v>1661</v>
      </c>
      <c r="V1103" s="89" t="str">
        <f t="array" aca="1" ref="V1103" ca="1">IFERROR(IF(INDEX('Disaggregation Records'!$I$155:$I$385,MATCH(RIGHT(Q1103,255),RIGHT('Disaggregation Records'!$D$155:$D$385,255),0))="","",INDEX('Disaggregation Records'!$I$155:$I$385,MATCH(RIGHT(Q1103,255),RIGHT('Disaggregation Records'!$D$155:$D$385,255),0))),"")</f>
        <v/>
      </c>
      <c r="W1103" s="89" t="str">
        <f ca="1">IFERROR(INDEX('Reference Records'!L$77:L$157,MATCH(LEFT(C1103,255),'Reference Records'!E$77:E$157,0)),"")</f>
        <v/>
      </c>
    </row>
    <row r="1104" spans="1:23" s="89" customFormat="1" ht="40.35" customHeight="1">
      <c r="A1104" s="564"/>
      <c r="B1104" s="799"/>
      <c r="C1104" s="800"/>
      <c r="D1104" s="801"/>
      <c r="E1104" s="801"/>
      <c r="F1104" s="128"/>
      <c r="G1104" s="802"/>
      <c r="H1104" s="781"/>
      <c r="I1104" s="803"/>
      <c r="J1104" s="779"/>
      <c r="K1104" s="800"/>
      <c r="L1104" s="800"/>
      <c r="M1104" s="779"/>
      <c r="N1104" s="779"/>
    </row>
    <row r="1105" spans="1:23" s="89" customFormat="1" ht="40.35" customHeight="1">
      <c r="A1105" s="564" t="str">
        <f ca="1">INDIRECT("'update Helper'!C"&amp;U1105)</f>
        <v>a163p000004VjobAAC</v>
      </c>
      <c r="B1105" s="794">
        <v>13</v>
      </c>
      <c r="C1105" s="795" t="str">
        <f ca="1">VLOOKUP(B1105,'Coverage Indicators - Section D'!$A$9:$AU$70,47,FALSE)</f>
        <v/>
      </c>
      <c r="D1105" s="796" t="str">
        <f ca="1">R1105</f>
        <v/>
      </c>
      <c r="E1105" s="796" t="str">
        <f ca="1">S1105</f>
        <v/>
      </c>
      <c r="F1105" s="127"/>
      <c r="G1105" s="797" t="str">
        <f ca="1">IF(OR(INDIRECT("'update Helper'!E"&amp;U1105)="",F1105&lt;&gt;0,F1106&lt;&gt;0),IF(IFERROR((F1105/F1106),"")="","",(F1105/F1106)),INDIRECT("'update Helper'!E"&amp;U1105)/100)</f>
        <v/>
      </c>
      <c r="H1105" s="784"/>
      <c r="I1105" s="798"/>
      <c r="J1105" s="777"/>
      <c r="K1105" s="795" t="str">
        <f ca="1">W1105</f>
        <v/>
      </c>
      <c r="L1105" s="795" t="str">
        <f ca="1">V1105</f>
        <v/>
      </c>
      <c r="M1105" s="777"/>
      <c r="N1105" s="777"/>
      <c r="P1105" s="89">
        <f ca="1">IF(AND(EXACT(C1105,C1103),C1103&lt;&gt;0),P1103+1,0)</f>
        <v>2</v>
      </c>
      <c r="Q1105" s="89" t="str">
        <f ca="1">IF(C1105&lt;&gt;"",C1105&amp;"-"&amp;P1105,"")</f>
        <v/>
      </c>
      <c r="R1105" s="89" t="str">
        <f t="array" aca="1" ref="R1105" ca="1">IFERROR(IF(INDEX('Disaggregation Records'!$E$155:$E$385,MATCH(RIGHT(Q1105,255),RIGHT('Disaggregation Records'!$D$155:$D$385,255),0))="","",INDEX('Disaggregation Records'!$E$155:$E$385,MATCH(RIGHT(Q1105,255),RIGHT('Disaggregation Records'!$D$155:$D$385,255),0))),"")</f>
        <v/>
      </c>
      <c r="S1105" s="89" t="str">
        <f t="array" aca="1" ref="S1105" ca="1">IFERROR(IF(INDEX('Disaggregation Records'!$F$155:$F$385,MATCH(RIGHT(Q1105,255),RIGHT('Disaggregation Records'!$D$155:$D$385,255),0))="","",INDEX('Disaggregation Records'!$F$155:$F$385,MATCH(RIGHT(Q1105,255),RIGHT('Disaggregation Records'!$D$155:$D$385,255),0))),"")</f>
        <v/>
      </c>
      <c r="T1105" s="89" t="str">
        <f t="array" aca="1" ref="T1105" ca="1">IFERROR(IF(INDEX('Disaggregation Records'!$H$155:$H$385,MATCH(RIGHT(Q1105,255),RIGHT('Disaggregation Records'!$D$155:$D$385,255),0))="","",INDEX('Disaggregation Records'!$H$155:$H$385,MATCH(RIGHT(Q1105,255),RIGHT('Disaggregation Records'!$D$155:$D$385,255),0))),"")</f>
        <v/>
      </c>
      <c r="U1105" s="89">
        <f>U1103+1</f>
        <v>1662</v>
      </c>
      <c r="V1105" s="89" t="str">
        <f t="array" aca="1" ref="V1105" ca="1">IFERROR(IF(INDEX('Disaggregation Records'!$I$155:$I$385,MATCH(RIGHT(Q1105,255),RIGHT('Disaggregation Records'!$D$155:$D$385,255),0))="","",INDEX('Disaggregation Records'!$I$155:$I$385,MATCH(RIGHT(Q1105,255),RIGHT('Disaggregation Records'!$D$155:$D$385,255),0))),"")</f>
        <v/>
      </c>
      <c r="W1105" s="89" t="str">
        <f ca="1">IFERROR(INDEX('Reference Records'!L$77:L$157,MATCH(LEFT(C1105,255),'Reference Records'!E$77:E$157,0)),"")</f>
        <v/>
      </c>
    </row>
    <row r="1106" spans="1:23" s="89" customFormat="1" ht="40.35" customHeight="1">
      <c r="A1106" s="564"/>
      <c r="B1106" s="799"/>
      <c r="C1106" s="800"/>
      <c r="D1106" s="801"/>
      <c r="E1106" s="801"/>
      <c r="F1106" s="128"/>
      <c r="G1106" s="802"/>
      <c r="H1106" s="781"/>
      <c r="I1106" s="803"/>
      <c r="J1106" s="779"/>
      <c r="K1106" s="800"/>
      <c r="L1106" s="800"/>
      <c r="M1106" s="779"/>
      <c r="N1106" s="779"/>
    </row>
    <row r="1107" spans="1:23" s="89" customFormat="1" ht="40.35" customHeight="1">
      <c r="A1107" s="564" t="str">
        <f ca="1">INDIRECT("'update Helper'!C"&amp;U1107)</f>
        <v>a163p000004VjocAAC</v>
      </c>
      <c r="B1107" s="794">
        <v>13</v>
      </c>
      <c r="C1107" s="795" t="str">
        <f ca="1">VLOOKUP(B1107,'Coverage Indicators - Section D'!$A$9:$AU$70,47,FALSE)</f>
        <v/>
      </c>
      <c r="D1107" s="796" t="str">
        <f ca="1">R1107</f>
        <v/>
      </c>
      <c r="E1107" s="796" t="str">
        <f ca="1">S1107</f>
        <v/>
      </c>
      <c r="F1107" s="127"/>
      <c r="G1107" s="797" t="str">
        <f ca="1">IF(OR(INDIRECT("'update Helper'!E"&amp;U1107)="",F1107&lt;&gt;0,F1108&lt;&gt;0),IF(IFERROR((F1107/F1108),"")="","",(F1107/F1108)),INDIRECT("'update Helper'!E"&amp;U1107)/100)</f>
        <v/>
      </c>
      <c r="H1107" s="784"/>
      <c r="I1107" s="798"/>
      <c r="J1107" s="777"/>
      <c r="K1107" s="795" t="str">
        <f ca="1">W1107</f>
        <v/>
      </c>
      <c r="L1107" s="795" t="str">
        <f ca="1">V1107</f>
        <v/>
      </c>
      <c r="M1107" s="777"/>
      <c r="N1107" s="777"/>
      <c r="P1107" s="89">
        <f ca="1">IF(AND(EXACT(C1107,C1105),C1105&lt;&gt;0),P1105+1,0)</f>
        <v>3</v>
      </c>
      <c r="Q1107" s="89" t="str">
        <f ca="1">IF(C1107&lt;&gt;"",C1107&amp;"-"&amp;P1107,"")</f>
        <v/>
      </c>
      <c r="R1107" s="89" t="str">
        <f t="array" aca="1" ref="R1107" ca="1">IFERROR(IF(INDEX('Disaggregation Records'!$E$155:$E$385,MATCH(RIGHT(Q1107,255),RIGHT('Disaggregation Records'!$D$155:$D$385,255),0))="","",INDEX('Disaggregation Records'!$E$155:$E$385,MATCH(RIGHT(Q1107,255),RIGHT('Disaggregation Records'!$D$155:$D$385,255),0))),"")</f>
        <v/>
      </c>
      <c r="S1107" s="89" t="str">
        <f t="array" aca="1" ref="S1107" ca="1">IFERROR(IF(INDEX('Disaggregation Records'!$F$155:$F$385,MATCH(RIGHT(Q1107,255),RIGHT('Disaggregation Records'!$D$155:$D$385,255),0))="","",INDEX('Disaggregation Records'!$F$155:$F$385,MATCH(RIGHT(Q1107,255),RIGHT('Disaggregation Records'!$D$155:$D$385,255),0))),"")</f>
        <v/>
      </c>
      <c r="T1107" s="89" t="str">
        <f t="array" aca="1" ref="T1107" ca="1">IFERROR(IF(INDEX('Disaggregation Records'!$H$155:$H$385,MATCH(RIGHT(Q1107,255),RIGHT('Disaggregation Records'!$D$155:$D$385,255),0))="","",INDEX('Disaggregation Records'!$H$155:$H$385,MATCH(RIGHT(Q1107,255),RIGHT('Disaggregation Records'!$D$155:$D$385,255),0))),"")</f>
        <v/>
      </c>
      <c r="U1107" s="89">
        <f>U1105+1</f>
        <v>1663</v>
      </c>
      <c r="V1107" s="89" t="str">
        <f t="array" aca="1" ref="V1107" ca="1">IFERROR(IF(INDEX('Disaggregation Records'!$I$155:$I$385,MATCH(RIGHT(Q1107,255),RIGHT('Disaggregation Records'!$D$155:$D$385,255),0))="","",INDEX('Disaggregation Records'!$I$155:$I$385,MATCH(RIGHT(Q1107,255),RIGHT('Disaggregation Records'!$D$155:$D$385,255),0))),"")</f>
        <v/>
      </c>
      <c r="W1107" s="89" t="str">
        <f ca="1">IFERROR(INDEX('Reference Records'!L$77:L$157,MATCH(LEFT(C1107,255),'Reference Records'!E$77:E$157,0)),"")</f>
        <v/>
      </c>
    </row>
    <row r="1108" spans="1:23" s="89" customFormat="1" ht="40.35" customHeight="1">
      <c r="A1108" s="564"/>
      <c r="B1108" s="799"/>
      <c r="C1108" s="800"/>
      <c r="D1108" s="801"/>
      <c r="E1108" s="801"/>
      <c r="F1108" s="128"/>
      <c r="G1108" s="802"/>
      <c r="H1108" s="781"/>
      <c r="I1108" s="803"/>
      <c r="J1108" s="779"/>
      <c r="K1108" s="800"/>
      <c r="L1108" s="800"/>
      <c r="M1108" s="779"/>
      <c r="N1108" s="779"/>
    </row>
    <row r="1109" spans="1:23" s="89" customFormat="1" ht="40.35" customHeight="1">
      <c r="A1109" s="564" t="str">
        <f ca="1">INDIRECT("'update Helper'!C"&amp;U1109)</f>
        <v>a163p000004VjodAAC</v>
      </c>
      <c r="B1109" s="794">
        <v>13</v>
      </c>
      <c r="C1109" s="795" t="str">
        <f ca="1">VLOOKUP(B1109,'Coverage Indicators - Section D'!$A$9:$AU$70,47,FALSE)</f>
        <v/>
      </c>
      <c r="D1109" s="796" t="str">
        <f ca="1">R1109</f>
        <v/>
      </c>
      <c r="E1109" s="796" t="str">
        <f ca="1">S1109</f>
        <v/>
      </c>
      <c r="F1109" s="127"/>
      <c r="G1109" s="797" t="str">
        <f ca="1">IF(OR(INDIRECT("'update Helper'!E"&amp;U1109)="",F1109&lt;&gt;0,F1110&lt;&gt;0),IF(IFERROR((F1109/F1110),"")="","",(F1109/F1110)),INDIRECT("'update Helper'!E"&amp;U1109)/100)</f>
        <v/>
      </c>
      <c r="H1109" s="784"/>
      <c r="I1109" s="798"/>
      <c r="J1109" s="777"/>
      <c r="K1109" s="795" t="str">
        <f ca="1">W1109</f>
        <v/>
      </c>
      <c r="L1109" s="795" t="str">
        <f ca="1">V1109</f>
        <v/>
      </c>
      <c r="M1109" s="777"/>
      <c r="N1109" s="777"/>
      <c r="P1109" s="89">
        <f ca="1">IF(AND(EXACT(C1109,C1107),C1107&lt;&gt;0),P1107+1,0)</f>
        <v>4</v>
      </c>
      <c r="Q1109" s="89" t="str">
        <f ca="1">IF(C1109&lt;&gt;"",C1109&amp;"-"&amp;P1109,"")</f>
        <v/>
      </c>
      <c r="R1109" s="89" t="str">
        <f t="array" aca="1" ref="R1109" ca="1">IFERROR(IF(INDEX('Disaggregation Records'!$E$155:$E$385,MATCH(RIGHT(Q1109,255),RIGHT('Disaggregation Records'!$D$155:$D$385,255),0))="","",INDEX('Disaggregation Records'!$E$155:$E$385,MATCH(RIGHT(Q1109,255),RIGHT('Disaggregation Records'!$D$155:$D$385,255),0))),"")</f>
        <v/>
      </c>
      <c r="S1109" s="89" t="str">
        <f t="array" aca="1" ref="S1109" ca="1">IFERROR(IF(INDEX('Disaggregation Records'!$F$155:$F$385,MATCH(RIGHT(Q1109,255),RIGHT('Disaggregation Records'!$D$155:$D$385,255),0))="","",INDEX('Disaggregation Records'!$F$155:$F$385,MATCH(RIGHT(Q1109,255),RIGHT('Disaggregation Records'!$D$155:$D$385,255),0))),"")</f>
        <v/>
      </c>
      <c r="T1109" s="89" t="str">
        <f t="array" aca="1" ref="T1109" ca="1">IFERROR(IF(INDEX('Disaggregation Records'!$H$155:$H$385,MATCH(RIGHT(Q1109,255),RIGHT('Disaggregation Records'!$D$155:$D$385,255),0))="","",INDEX('Disaggregation Records'!$H$155:$H$385,MATCH(RIGHT(Q1109,255),RIGHT('Disaggregation Records'!$D$155:$D$385,255),0))),"")</f>
        <v/>
      </c>
      <c r="U1109" s="89">
        <f>U1107+1</f>
        <v>1664</v>
      </c>
      <c r="V1109" s="89" t="str">
        <f t="array" aca="1" ref="V1109" ca="1">IFERROR(IF(INDEX('Disaggregation Records'!$I$155:$I$385,MATCH(RIGHT(Q1109,255),RIGHT('Disaggregation Records'!$D$155:$D$385,255),0))="","",INDEX('Disaggregation Records'!$I$155:$I$385,MATCH(RIGHT(Q1109,255),RIGHT('Disaggregation Records'!$D$155:$D$385,255),0))),"")</f>
        <v/>
      </c>
      <c r="W1109" s="89" t="str">
        <f ca="1">IFERROR(INDEX('Reference Records'!L$77:L$157,MATCH(LEFT(C1109,255),'Reference Records'!E$77:E$157,0)),"")</f>
        <v/>
      </c>
    </row>
    <row r="1110" spans="1:23" s="89" customFormat="1" ht="40.35" customHeight="1">
      <c r="A1110" s="564"/>
      <c r="B1110" s="799"/>
      <c r="C1110" s="800"/>
      <c r="D1110" s="801"/>
      <c r="E1110" s="801"/>
      <c r="F1110" s="128"/>
      <c r="G1110" s="802"/>
      <c r="H1110" s="781"/>
      <c r="I1110" s="803"/>
      <c r="J1110" s="779"/>
      <c r="K1110" s="800"/>
      <c r="L1110" s="800"/>
      <c r="M1110" s="779"/>
      <c r="N1110" s="779"/>
    </row>
    <row r="1111" spans="1:23" s="89" customFormat="1" ht="40.35" customHeight="1">
      <c r="A1111" s="564" t="str">
        <f ca="1">INDIRECT("'update Helper'!C"&amp;U1111)</f>
        <v>a163p000004VjoeAAC</v>
      </c>
      <c r="B1111" s="794">
        <v>13</v>
      </c>
      <c r="C1111" s="795" t="str">
        <f ca="1">VLOOKUP(B1111,'Coverage Indicators - Section D'!$A$9:$AU$70,47,FALSE)</f>
        <v/>
      </c>
      <c r="D1111" s="796" t="str">
        <f ca="1">R1111</f>
        <v/>
      </c>
      <c r="E1111" s="796" t="str">
        <f ca="1">S1111</f>
        <v/>
      </c>
      <c r="F1111" s="127"/>
      <c r="G1111" s="797" t="str">
        <f ca="1">IF(OR(INDIRECT("'update Helper'!E"&amp;U1111)="",F1111&lt;&gt;0,F1112&lt;&gt;0),IF(IFERROR((F1111/F1112),"")="","",(F1111/F1112)),INDIRECT("'update Helper'!E"&amp;U1111)/100)</f>
        <v/>
      </c>
      <c r="H1111" s="784"/>
      <c r="I1111" s="798"/>
      <c r="J1111" s="777"/>
      <c r="K1111" s="795" t="str">
        <f ca="1">W1111</f>
        <v/>
      </c>
      <c r="L1111" s="795" t="str">
        <f ca="1">V1111</f>
        <v/>
      </c>
      <c r="M1111" s="777"/>
      <c r="N1111" s="777"/>
      <c r="P1111" s="89">
        <f ca="1">IF(AND(EXACT(C1111,C1109),C1109&lt;&gt;0),P1109+1,0)</f>
        <v>5</v>
      </c>
      <c r="Q1111" s="89" t="str">
        <f ca="1">IF(C1111&lt;&gt;"",C1111&amp;"-"&amp;P1111,"")</f>
        <v/>
      </c>
      <c r="R1111" s="89" t="str">
        <f t="array" aca="1" ref="R1111" ca="1">IFERROR(IF(INDEX('Disaggregation Records'!$E$155:$E$385,MATCH(RIGHT(Q1111,255),RIGHT('Disaggregation Records'!$D$155:$D$385,255),0))="","",INDEX('Disaggregation Records'!$E$155:$E$385,MATCH(RIGHT(Q1111,255),RIGHT('Disaggregation Records'!$D$155:$D$385,255),0))),"")</f>
        <v/>
      </c>
      <c r="S1111" s="89" t="str">
        <f t="array" aca="1" ref="S1111" ca="1">IFERROR(IF(INDEX('Disaggregation Records'!$F$155:$F$385,MATCH(RIGHT(Q1111,255),RIGHT('Disaggregation Records'!$D$155:$D$385,255),0))="","",INDEX('Disaggregation Records'!$F$155:$F$385,MATCH(RIGHT(Q1111,255),RIGHT('Disaggregation Records'!$D$155:$D$385,255),0))),"")</f>
        <v/>
      </c>
      <c r="T1111" s="89" t="str">
        <f t="array" aca="1" ref="T1111" ca="1">IFERROR(IF(INDEX('Disaggregation Records'!$H$155:$H$385,MATCH(RIGHT(Q1111,255),RIGHT('Disaggregation Records'!$D$155:$D$385,255),0))="","",INDEX('Disaggregation Records'!$H$155:$H$385,MATCH(RIGHT(Q1111,255),RIGHT('Disaggregation Records'!$D$155:$D$385,255),0))),"")</f>
        <v/>
      </c>
      <c r="U1111" s="89">
        <f>U1109+1</f>
        <v>1665</v>
      </c>
      <c r="V1111" s="89" t="str">
        <f t="array" aca="1" ref="V1111" ca="1">IFERROR(IF(INDEX('Disaggregation Records'!$I$155:$I$385,MATCH(RIGHT(Q1111,255),RIGHT('Disaggregation Records'!$D$155:$D$385,255),0))="","",INDEX('Disaggregation Records'!$I$155:$I$385,MATCH(RIGHT(Q1111,255),RIGHT('Disaggregation Records'!$D$155:$D$385,255),0))),"")</f>
        <v/>
      </c>
      <c r="W1111" s="89" t="str">
        <f ca="1">IFERROR(INDEX('Reference Records'!L$77:L$157,MATCH(LEFT(C1111,255),'Reference Records'!E$77:E$157,0)),"")</f>
        <v/>
      </c>
    </row>
    <row r="1112" spans="1:23" s="89" customFormat="1" ht="40.35" customHeight="1">
      <c r="A1112" s="564"/>
      <c r="B1112" s="799"/>
      <c r="C1112" s="800"/>
      <c r="D1112" s="801"/>
      <c r="E1112" s="801"/>
      <c r="F1112" s="128"/>
      <c r="G1112" s="802"/>
      <c r="H1112" s="781"/>
      <c r="I1112" s="803"/>
      <c r="J1112" s="779"/>
      <c r="K1112" s="800"/>
      <c r="L1112" s="800"/>
      <c r="M1112" s="779"/>
      <c r="N1112" s="779"/>
    </row>
    <row r="1113" spans="1:23" s="89" customFormat="1" ht="40.35" customHeight="1">
      <c r="A1113" s="564" t="str">
        <f ca="1">INDIRECT("'update Helper'!C"&amp;U1113)</f>
        <v>a163p000004VjofAAC</v>
      </c>
      <c r="B1113" s="794">
        <v>13</v>
      </c>
      <c r="C1113" s="795" t="str">
        <f ca="1">VLOOKUP(B1113,'Coverage Indicators - Section D'!$A$9:$AU$70,47,FALSE)</f>
        <v/>
      </c>
      <c r="D1113" s="796" t="str">
        <f ca="1">R1113</f>
        <v/>
      </c>
      <c r="E1113" s="796" t="str">
        <f ca="1">S1113</f>
        <v/>
      </c>
      <c r="F1113" s="127"/>
      <c r="G1113" s="797" t="str">
        <f ca="1">IF(OR(INDIRECT("'update Helper'!E"&amp;U1113)="",F1113&lt;&gt;0,F1114&lt;&gt;0),IF(IFERROR((F1113/F1114),"")="","",(F1113/F1114)),INDIRECT("'update Helper'!E"&amp;U1113)/100)</f>
        <v/>
      </c>
      <c r="H1113" s="784"/>
      <c r="I1113" s="798"/>
      <c r="J1113" s="777"/>
      <c r="K1113" s="795" t="str">
        <f ca="1">W1113</f>
        <v/>
      </c>
      <c r="L1113" s="795" t="str">
        <f ca="1">V1113</f>
        <v/>
      </c>
      <c r="M1113" s="777"/>
      <c r="N1113" s="777"/>
      <c r="P1113" s="89">
        <f ca="1">IF(AND(EXACT(C1113,C1111),C1111&lt;&gt;0),P1111+1,0)</f>
        <v>6</v>
      </c>
      <c r="Q1113" s="89" t="str">
        <f ca="1">IF(C1113&lt;&gt;"",C1113&amp;"-"&amp;P1113,"")</f>
        <v/>
      </c>
      <c r="R1113" s="89" t="str">
        <f t="array" aca="1" ref="R1113" ca="1">IFERROR(IF(INDEX('Disaggregation Records'!$E$155:$E$385,MATCH(RIGHT(Q1113,255),RIGHT('Disaggregation Records'!$D$155:$D$385,255),0))="","",INDEX('Disaggregation Records'!$E$155:$E$385,MATCH(RIGHT(Q1113,255),RIGHT('Disaggregation Records'!$D$155:$D$385,255),0))),"")</f>
        <v/>
      </c>
      <c r="S1113" s="89" t="str">
        <f t="array" aca="1" ref="S1113" ca="1">IFERROR(IF(INDEX('Disaggregation Records'!$F$155:$F$385,MATCH(RIGHT(Q1113,255),RIGHT('Disaggregation Records'!$D$155:$D$385,255),0))="","",INDEX('Disaggregation Records'!$F$155:$F$385,MATCH(RIGHT(Q1113,255),RIGHT('Disaggregation Records'!$D$155:$D$385,255),0))),"")</f>
        <v/>
      </c>
      <c r="T1113" s="89" t="str">
        <f t="array" aca="1" ref="T1113" ca="1">IFERROR(IF(INDEX('Disaggregation Records'!$H$155:$H$385,MATCH(RIGHT(Q1113,255),RIGHT('Disaggregation Records'!$D$155:$D$385,255),0))="","",INDEX('Disaggregation Records'!$H$155:$H$385,MATCH(RIGHT(Q1113,255),RIGHT('Disaggregation Records'!$D$155:$D$385,255),0))),"")</f>
        <v/>
      </c>
      <c r="U1113" s="89">
        <f>U1111+1</f>
        <v>1666</v>
      </c>
      <c r="V1113" s="89" t="str">
        <f t="array" aca="1" ref="V1113" ca="1">IFERROR(IF(INDEX('Disaggregation Records'!$I$155:$I$385,MATCH(RIGHT(Q1113,255),RIGHT('Disaggregation Records'!$D$155:$D$385,255),0))="","",INDEX('Disaggregation Records'!$I$155:$I$385,MATCH(RIGHT(Q1113,255),RIGHT('Disaggregation Records'!$D$155:$D$385,255),0))),"")</f>
        <v/>
      </c>
      <c r="W1113" s="89" t="str">
        <f ca="1">IFERROR(INDEX('Reference Records'!L$77:L$157,MATCH(LEFT(C1113,255),'Reference Records'!E$77:E$157,0)),"")</f>
        <v/>
      </c>
    </row>
    <row r="1114" spans="1:23" s="89" customFormat="1" ht="40.35" customHeight="1">
      <c r="A1114" s="564"/>
      <c r="B1114" s="799"/>
      <c r="C1114" s="800"/>
      <c r="D1114" s="801"/>
      <c r="E1114" s="801"/>
      <c r="F1114" s="128"/>
      <c r="G1114" s="802"/>
      <c r="H1114" s="781"/>
      <c r="I1114" s="803"/>
      <c r="J1114" s="779"/>
      <c r="K1114" s="800"/>
      <c r="L1114" s="800"/>
      <c r="M1114" s="779"/>
      <c r="N1114" s="779"/>
    </row>
    <row r="1115" spans="1:23" s="89" customFormat="1" ht="40.35" customHeight="1">
      <c r="A1115" s="564" t="str">
        <f ca="1">INDIRECT("'update Helper'!C"&amp;U1115)</f>
        <v>a163p000004VjogAAC</v>
      </c>
      <c r="B1115" s="794">
        <v>13</v>
      </c>
      <c r="C1115" s="795" t="str">
        <f ca="1">VLOOKUP(B1115,'Coverage Indicators - Section D'!$A$9:$AU$70,47,FALSE)</f>
        <v/>
      </c>
      <c r="D1115" s="796" t="str">
        <f ca="1">R1115</f>
        <v/>
      </c>
      <c r="E1115" s="796" t="str">
        <f ca="1">S1115</f>
        <v/>
      </c>
      <c r="F1115" s="127"/>
      <c r="G1115" s="797" t="str">
        <f ca="1">IF(OR(INDIRECT("'update Helper'!E"&amp;U1115)="",F1115&lt;&gt;0,F1116&lt;&gt;0),IF(IFERROR((F1115/F1116),"")="","",(F1115/F1116)),INDIRECT("'update Helper'!E"&amp;U1115)/100)</f>
        <v/>
      </c>
      <c r="H1115" s="784"/>
      <c r="I1115" s="798"/>
      <c r="J1115" s="777"/>
      <c r="K1115" s="795" t="str">
        <f ca="1">W1115</f>
        <v/>
      </c>
      <c r="L1115" s="795" t="str">
        <f ca="1">V1115</f>
        <v/>
      </c>
      <c r="M1115" s="777"/>
      <c r="N1115" s="777"/>
      <c r="P1115" s="89">
        <f ca="1">IF(AND(EXACT(C1115,C1113),C1113&lt;&gt;0),P1113+1,0)</f>
        <v>7</v>
      </c>
      <c r="Q1115" s="89" t="str">
        <f ca="1">IF(C1115&lt;&gt;"",C1115&amp;"-"&amp;P1115,"")</f>
        <v/>
      </c>
      <c r="R1115" s="89" t="str">
        <f t="array" aca="1" ref="R1115" ca="1">IFERROR(IF(INDEX('Disaggregation Records'!$E$155:$E$385,MATCH(RIGHT(Q1115,255),RIGHT('Disaggregation Records'!$D$155:$D$385,255),0))="","",INDEX('Disaggregation Records'!$E$155:$E$385,MATCH(RIGHT(Q1115,255),RIGHT('Disaggregation Records'!$D$155:$D$385,255),0))),"")</f>
        <v/>
      </c>
      <c r="S1115" s="89" t="str">
        <f t="array" aca="1" ref="S1115" ca="1">IFERROR(IF(INDEX('Disaggregation Records'!$F$155:$F$385,MATCH(RIGHT(Q1115,255),RIGHT('Disaggregation Records'!$D$155:$D$385,255),0))="","",INDEX('Disaggregation Records'!$F$155:$F$385,MATCH(RIGHT(Q1115,255),RIGHT('Disaggregation Records'!$D$155:$D$385,255),0))),"")</f>
        <v/>
      </c>
      <c r="T1115" s="89" t="str">
        <f t="array" aca="1" ref="T1115" ca="1">IFERROR(IF(INDEX('Disaggregation Records'!$H$155:$H$385,MATCH(RIGHT(Q1115,255),RIGHT('Disaggregation Records'!$D$155:$D$385,255),0))="","",INDEX('Disaggregation Records'!$H$155:$H$385,MATCH(RIGHT(Q1115,255),RIGHT('Disaggregation Records'!$D$155:$D$385,255),0))),"")</f>
        <v/>
      </c>
      <c r="U1115" s="89">
        <f>U1113+1</f>
        <v>1667</v>
      </c>
      <c r="V1115" s="89" t="str">
        <f t="array" aca="1" ref="V1115" ca="1">IFERROR(IF(INDEX('Disaggregation Records'!$I$155:$I$385,MATCH(RIGHT(Q1115,255),RIGHT('Disaggregation Records'!$D$155:$D$385,255),0))="","",INDEX('Disaggregation Records'!$I$155:$I$385,MATCH(RIGHT(Q1115,255),RIGHT('Disaggregation Records'!$D$155:$D$385,255),0))),"")</f>
        <v/>
      </c>
      <c r="W1115" s="89" t="str">
        <f ca="1">IFERROR(INDEX('Reference Records'!L$77:L$157,MATCH(LEFT(C1115,255),'Reference Records'!E$77:E$157,0)),"")</f>
        <v/>
      </c>
    </row>
    <row r="1116" spans="1:23" s="89" customFormat="1" ht="40.35" customHeight="1">
      <c r="A1116" s="564"/>
      <c r="B1116" s="799"/>
      <c r="C1116" s="800"/>
      <c r="D1116" s="801"/>
      <c r="E1116" s="801"/>
      <c r="F1116" s="128"/>
      <c r="G1116" s="802"/>
      <c r="H1116" s="781"/>
      <c r="I1116" s="803"/>
      <c r="J1116" s="779"/>
      <c r="K1116" s="800"/>
      <c r="L1116" s="800"/>
      <c r="M1116" s="779"/>
      <c r="N1116" s="779"/>
    </row>
    <row r="1117" spans="1:23" s="89" customFormat="1" ht="40.35" customHeight="1">
      <c r="A1117" s="564" t="str">
        <f ca="1">INDIRECT("'update Helper'!C"&amp;U1117)</f>
        <v>a163p000004VjohAAC</v>
      </c>
      <c r="B1117" s="794">
        <v>13</v>
      </c>
      <c r="C1117" s="795" t="str">
        <f ca="1">VLOOKUP(B1117,'Coverage Indicators - Section D'!$A$9:$AU$70,47,FALSE)</f>
        <v/>
      </c>
      <c r="D1117" s="796" t="str">
        <f ca="1">R1117</f>
        <v/>
      </c>
      <c r="E1117" s="796" t="str">
        <f ca="1">S1117</f>
        <v/>
      </c>
      <c r="F1117" s="127"/>
      <c r="G1117" s="797" t="str">
        <f ca="1">IF(OR(INDIRECT("'update Helper'!E"&amp;U1117)="",F1117&lt;&gt;0,F1118&lt;&gt;0),IF(IFERROR((F1117/F1118),"")="","",(F1117/F1118)),INDIRECT("'update Helper'!E"&amp;U1117)/100)</f>
        <v/>
      </c>
      <c r="H1117" s="784"/>
      <c r="I1117" s="798"/>
      <c r="J1117" s="777"/>
      <c r="K1117" s="795" t="str">
        <f ca="1">W1117</f>
        <v/>
      </c>
      <c r="L1117" s="795" t="str">
        <f ca="1">V1117</f>
        <v/>
      </c>
      <c r="M1117" s="777"/>
      <c r="N1117" s="777"/>
      <c r="P1117" s="89">
        <f ca="1">IF(AND(EXACT(C1117,C1115),C1115&lt;&gt;0),P1115+1,0)</f>
        <v>8</v>
      </c>
      <c r="Q1117" s="89" t="str">
        <f ca="1">IF(C1117&lt;&gt;"",C1117&amp;"-"&amp;P1117,"")</f>
        <v/>
      </c>
      <c r="R1117" s="89" t="str">
        <f t="array" aca="1" ref="R1117" ca="1">IFERROR(IF(INDEX('Disaggregation Records'!$E$155:$E$385,MATCH(RIGHT(Q1117,255),RIGHT('Disaggregation Records'!$D$155:$D$385,255),0))="","",INDEX('Disaggregation Records'!$E$155:$E$385,MATCH(RIGHT(Q1117,255),RIGHT('Disaggregation Records'!$D$155:$D$385,255),0))),"")</f>
        <v/>
      </c>
      <c r="S1117" s="89" t="str">
        <f t="array" aca="1" ref="S1117" ca="1">IFERROR(IF(INDEX('Disaggregation Records'!$F$155:$F$385,MATCH(RIGHT(Q1117,255),RIGHT('Disaggregation Records'!$D$155:$D$385,255),0))="","",INDEX('Disaggregation Records'!$F$155:$F$385,MATCH(RIGHT(Q1117,255),RIGHT('Disaggregation Records'!$D$155:$D$385,255),0))),"")</f>
        <v/>
      </c>
      <c r="T1117" s="89" t="str">
        <f t="array" aca="1" ref="T1117" ca="1">IFERROR(IF(INDEX('Disaggregation Records'!$H$155:$H$385,MATCH(RIGHT(Q1117,255),RIGHT('Disaggregation Records'!$D$155:$D$385,255),0))="","",INDEX('Disaggregation Records'!$H$155:$H$385,MATCH(RIGHT(Q1117,255),RIGHT('Disaggregation Records'!$D$155:$D$385,255),0))),"")</f>
        <v/>
      </c>
      <c r="U1117" s="89">
        <f>U1115+1</f>
        <v>1668</v>
      </c>
      <c r="V1117" s="89" t="str">
        <f t="array" aca="1" ref="V1117" ca="1">IFERROR(IF(INDEX('Disaggregation Records'!$I$155:$I$385,MATCH(RIGHT(Q1117,255),RIGHT('Disaggregation Records'!$D$155:$D$385,255),0))="","",INDEX('Disaggregation Records'!$I$155:$I$385,MATCH(RIGHT(Q1117,255),RIGHT('Disaggregation Records'!$D$155:$D$385,255),0))),"")</f>
        <v/>
      </c>
      <c r="W1117" s="89" t="str">
        <f ca="1">IFERROR(INDEX('Reference Records'!L$77:L$157,MATCH(LEFT(C1117,255),'Reference Records'!E$77:E$157,0)),"")</f>
        <v/>
      </c>
    </row>
    <row r="1118" spans="1:23" s="89" customFormat="1" ht="40.35" customHeight="1">
      <c r="A1118" s="564"/>
      <c r="B1118" s="799"/>
      <c r="C1118" s="800"/>
      <c r="D1118" s="801"/>
      <c r="E1118" s="801"/>
      <c r="F1118" s="128"/>
      <c r="G1118" s="802"/>
      <c r="H1118" s="781"/>
      <c r="I1118" s="803"/>
      <c r="J1118" s="779"/>
      <c r="K1118" s="800"/>
      <c r="L1118" s="800"/>
      <c r="M1118" s="779"/>
      <c r="N1118" s="779"/>
    </row>
    <row r="1119" spans="1:23" s="89" customFormat="1" ht="40.35" customHeight="1">
      <c r="A1119" s="564" t="str">
        <f ca="1">INDIRECT("'update Helper'!C"&amp;U1119)</f>
        <v>a163p000004VjoiAAC</v>
      </c>
      <c r="B1119" s="794">
        <v>13</v>
      </c>
      <c r="C1119" s="795" t="str">
        <f ca="1">VLOOKUP(B1119,'Coverage Indicators - Section D'!$A$9:$AU$70,47,FALSE)</f>
        <v/>
      </c>
      <c r="D1119" s="796" t="str">
        <f ca="1">R1119</f>
        <v/>
      </c>
      <c r="E1119" s="796" t="str">
        <f ca="1">S1119</f>
        <v/>
      </c>
      <c r="F1119" s="127"/>
      <c r="G1119" s="797" t="str">
        <f ca="1">IF(OR(INDIRECT("'update Helper'!E"&amp;U1119)="",F1119&lt;&gt;0,F1120&lt;&gt;0),IF(IFERROR((F1119/F1120),"")="","",(F1119/F1120)),INDIRECT("'update Helper'!E"&amp;U1119)/100)</f>
        <v/>
      </c>
      <c r="H1119" s="784"/>
      <c r="I1119" s="798"/>
      <c r="J1119" s="777"/>
      <c r="K1119" s="795" t="str">
        <f ca="1">W1119</f>
        <v/>
      </c>
      <c r="L1119" s="795" t="str">
        <f ca="1">V1119</f>
        <v/>
      </c>
      <c r="M1119" s="777"/>
      <c r="N1119" s="777"/>
      <c r="P1119" s="89">
        <f ca="1">IF(AND(EXACT(C1119,C1117),C1117&lt;&gt;0),P1117+1,0)</f>
        <v>9</v>
      </c>
      <c r="Q1119" s="89" t="str">
        <f ca="1">IF(C1119&lt;&gt;"",C1119&amp;"-"&amp;P1119,"")</f>
        <v/>
      </c>
      <c r="R1119" s="89" t="str">
        <f t="array" aca="1" ref="R1119" ca="1">IFERROR(IF(INDEX('Disaggregation Records'!$E$155:$E$385,MATCH(RIGHT(Q1119,255),RIGHT('Disaggregation Records'!$D$155:$D$385,255),0))="","",INDEX('Disaggregation Records'!$E$155:$E$385,MATCH(RIGHT(Q1119,255),RIGHT('Disaggregation Records'!$D$155:$D$385,255),0))),"")</f>
        <v/>
      </c>
      <c r="S1119" s="89" t="str">
        <f t="array" aca="1" ref="S1119" ca="1">IFERROR(IF(INDEX('Disaggregation Records'!$F$155:$F$385,MATCH(RIGHT(Q1119,255),RIGHT('Disaggregation Records'!$D$155:$D$385,255),0))="","",INDEX('Disaggregation Records'!$F$155:$F$385,MATCH(RIGHT(Q1119,255),RIGHT('Disaggregation Records'!$D$155:$D$385,255),0))),"")</f>
        <v/>
      </c>
      <c r="T1119" s="89" t="str">
        <f t="array" aca="1" ref="T1119" ca="1">IFERROR(IF(INDEX('Disaggregation Records'!$H$155:$H$385,MATCH(RIGHT(Q1119,255),RIGHT('Disaggregation Records'!$D$155:$D$385,255),0))="","",INDEX('Disaggregation Records'!$H$155:$H$385,MATCH(RIGHT(Q1119,255),RIGHT('Disaggregation Records'!$D$155:$D$385,255),0))),"")</f>
        <v/>
      </c>
      <c r="U1119" s="89">
        <f>U1117+1</f>
        <v>1669</v>
      </c>
      <c r="V1119" s="89" t="str">
        <f t="array" aca="1" ref="V1119" ca="1">IFERROR(IF(INDEX('Disaggregation Records'!$I$155:$I$385,MATCH(RIGHT(Q1119,255),RIGHT('Disaggregation Records'!$D$155:$D$385,255),0))="","",INDEX('Disaggregation Records'!$I$155:$I$385,MATCH(RIGHT(Q1119,255),RIGHT('Disaggregation Records'!$D$155:$D$385,255),0))),"")</f>
        <v/>
      </c>
      <c r="W1119" s="89" t="str">
        <f ca="1">IFERROR(INDEX('Reference Records'!L$77:L$157,MATCH(LEFT(C1119,255),'Reference Records'!E$77:E$157,0)),"")</f>
        <v/>
      </c>
    </row>
    <row r="1120" spans="1:23" s="89" customFormat="1" ht="40.35" customHeight="1">
      <c r="A1120" s="564"/>
      <c r="B1120" s="799"/>
      <c r="C1120" s="800"/>
      <c r="D1120" s="801"/>
      <c r="E1120" s="801"/>
      <c r="F1120" s="128"/>
      <c r="G1120" s="802"/>
      <c r="H1120" s="781"/>
      <c r="I1120" s="803"/>
      <c r="J1120" s="779"/>
      <c r="K1120" s="800"/>
      <c r="L1120" s="800"/>
      <c r="M1120" s="779"/>
      <c r="N1120" s="779"/>
    </row>
    <row r="1121" spans="1:23" s="89" customFormat="1" ht="40.35" customHeight="1">
      <c r="A1121" s="564" t="str">
        <f ca="1">INDIRECT("'update Helper'!C"&amp;U1121)</f>
        <v>a163p000004VjojAAC</v>
      </c>
      <c r="B1121" s="794">
        <v>13</v>
      </c>
      <c r="C1121" s="795" t="str">
        <f ca="1">VLOOKUP(B1121,'Coverage Indicators - Section D'!$A$9:$AU$70,47,FALSE)</f>
        <v/>
      </c>
      <c r="D1121" s="796" t="str">
        <f ca="1">R1121</f>
        <v/>
      </c>
      <c r="E1121" s="796" t="str">
        <f ca="1">S1121</f>
        <v/>
      </c>
      <c r="F1121" s="127"/>
      <c r="G1121" s="797" t="str">
        <f ca="1">IF(OR(INDIRECT("'update Helper'!E"&amp;U1121)="",F1121&lt;&gt;0,F1122&lt;&gt;0),IF(IFERROR((F1121/F1122),"")="","",(F1121/F1122)),INDIRECT("'update Helper'!E"&amp;U1121)/100)</f>
        <v/>
      </c>
      <c r="H1121" s="784"/>
      <c r="I1121" s="798"/>
      <c r="J1121" s="777"/>
      <c r="K1121" s="795" t="str">
        <f ca="1">W1121</f>
        <v/>
      </c>
      <c r="L1121" s="795" t="str">
        <f ca="1">V1121</f>
        <v/>
      </c>
      <c r="M1121" s="777"/>
      <c r="N1121" s="777"/>
      <c r="P1121" s="89">
        <f ca="1">IF(AND(EXACT(C1121,C1119),C1119&lt;&gt;0),P1119+1,0)</f>
        <v>10</v>
      </c>
      <c r="Q1121" s="89" t="str">
        <f ca="1">IF(C1121&lt;&gt;"",C1121&amp;"-"&amp;P1121,"")</f>
        <v/>
      </c>
      <c r="R1121" s="89" t="str">
        <f t="array" aca="1" ref="R1121" ca="1">IFERROR(IF(INDEX('Disaggregation Records'!$E$155:$E$385,MATCH(RIGHT(Q1121,255),RIGHT('Disaggregation Records'!$D$155:$D$385,255),0))="","",INDEX('Disaggregation Records'!$E$155:$E$385,MATCH(RIGHT(Q1121,255),RIGHT('Disaggregation Records'!$D$155:$D$385,255),0))),"")</f>
        <v/>
      </c>
      <c r="S1121" s="89" t="str">
        <f t="array" aca="1" ref="S1121" ca="1">IFERROR(IF(INDEX('Disaggregation Records'!$F$155:$F$385,MATCH(RIGHT(Q1121,255),RIGHT('Disaggregation Records'!$D$155:$D$385,255),0))="","",INDEX('Disaggregation Records'!$F$155:$F$385,MATCH(RIGHT(Q1121,255),RIGHT('Disaggregation Records'!$D$155:$D$385,255),0))),"")</f>
        <v/>
      </c>
      <c r="T1121" s="89" t="str">
        <f t="array" aca="1" ref="T1121" ca="1">IFERROR(IF(INDEX('Disaggregation Records'!$H$155:$H$385,MATCH(RIGHT(Q1121,255),RIGHT('Disaggregation Records'!$D$155:$D$385,255),0))="","",INDEX('Disaggregation Records'!$H$155:$H$385,MATCH(RIGHT(Q1121,255),RIGHT('Disaggregation Records'!$D$155:$D$385,255),0))),"")</f>
        <v/>
      </c>
      <c r="U1121" s="89">
        <f>U1119+1</f>
        <v>1670</v>
      </c>
      <c r="V1121" s="89" t="str">
        <f t="array" aca="1" ref="V1121" ca="1">IFERROR(IF(INDEX('Disaggregation Records'!$I$155:$I$385,MATCH(RIGHT(Q1121,255),RIGHT('Disaggregation Records'!$D$155:$D$385,255),0))="","",INDEX('Disaggregation Records'!$I$155:$I$385,MATCH(RIGHT(Q1121,255),RIGHT('Disaggregation Records'!$D$155:$D$385,255),0))),"")</f>
        <v/>
      </c>
      <c r="W1121" s="89" t="str">
        <f ca="1">IFERROR(INDEX('Reference Records'!L$77:L$157,MATCH(LEFT(C1121,255),'Reference Records'!E$77:E$157,0)),"")</f>
        <v/>
      </c>
    </row>
    <row r="1122" spans="1:23" s="89" customFormat="1" ht="40.35" customHeight="1">
      <c r="A1122" s="564"/>
      <c r="B1122" s="799"/>
      <c r="C1122" s="800"/>
      <c r="D1122" s="801"/>
      <c r="E1122" s="801"/>
      <c r="F1122" s="128"/>
      <c r="G1122" s="802"/>
      <c r="H1122" s="781"/>
      <c r="I1122" s="803"/>
      <c r="J1122" s="779"/>
      <c r="K1122" s="800"/>
      <c r="L1122" s="800"/>
      <c r="M1122" s="779"/>
      <c r="N1122" s="779"/>
    </row>
    <row r="1123" spans="1:23" s="89" customFormat="1" ht="40.35" customHeight="1">
      <c r="A1123" s="564" t="str">
        <f ca="1">INDIRECT("'update Helper'!C"&amp;U1123)</f>
        <v>a163p000004VjokAAC</v>
      </c>
      <c r="B1123" s="794">
        <v>13</v>
      </c>
      <c r="C1123" s="795" t="str">
        <f ca="1">VLOOKUP(B1123,'Coverage Indicators - Section D'!$A$9:$AU$70,47,FALSE)</f>
        <v/>
      </c>
      <c r="D1123" s="796" t="str">
        <f ca="1">R1123</f>
        <v/>
      </c>
      <c r="E1123" s="796" t="str">
        <f ca="1">S1123</f>
        <v/>
      </c>
      <c r="F1123" s="127"/>
      <c r="G1123" s="797" t="str">
        <f ca="1">IF(OR(INDIRECT("'update Helper'!E"&amp;U1123)="",F1123&lt;&gt;0,F1124&lt;&gt;0),IF(IFERROR((F1123/F1124),"")="","",(F1123/F1124)),INDIRECT("'update Helper'!E"&amp;U1123)/100)</f>
        <v/>
      </c>
      <c r="H1123" s="784"/>
      <c r="I1123" s="798"/>
      <c r="J1123" s="777"/>
      <c r="K1123" s="795" t="str">
        <f ca="1">W1123</f>
        <v/>
      </c>
      <c r="L1123" s="795" t="str">
        <f ca="1">V1123</f>
        <v/>
      </c>
      <c r="M1123" s="777"/>
      <c r="N1123" s="777"/>
      <c r="P1123" s="89">
        <f ca="1">IF(AND(EXACT(C1123,C1121),C1121&lt;&gt;0),P1121+1,0)</f>
        <v>11</v>
      </c>
      <c r="Q1123" s="89" t="str">
        <f ca="1">IF(C1123&lt;&gt;"",C1123&amp;"-"&amp;P1123,"")</f>
        <v/>
      </c>
      <c r="R1123" s="89" t="str">
        <f t="array" aca="1" ref="R1123" ca="1">IFERROR(IF(INDEX('Disaggregation Records'!$E$155:$E$385,MATCH(RIGHT(Q1123,255),RIGHT('Disaggregation Records'!$D$155:$D$385,255),0))="","",INDEX('Disaggregation Records'!$E$155:$E$385,MATCH(RIGHT(Q1123,255),RIGHT('Disaggregation Records'!$D$155:$D$385,255),0))),"")</f>
        <v/>
      </c>
      <c r="S1123" s="89" t="str">
        <f t="array" aca="1" ref="S1123" ca="1">IFERROR(IF(INDEX('Disaggregation Records'!$F$155:$F$385,MATCH(RIGHT(Q1123,255),RIGHT('Disaggregation Records'!$D$155:$D$385,255),0))="","",INDEX('Disaggregation Records'!$F$155:$F$385,MATCH(RIGHT(Q1123,255),RIGHT('Disaggregation Records'!$D$155:$D$385,255),0))),"")</f>
        <v/>
      </c>
      <c r="T1123" s="89" t="str">
        <f t="array" aca="1" ref="T1123" ca="1">IFERROR(IF(INDEX('Disaggregation Records'!$H$155:$H$385,MATCH(RIGHT(Q1123,255),RIGHT('Disaggregation Records'!$D$155:$D$385,255),0))="","",INDEX('Disaggregation Records'!$H$155:$H$385,MATCH(RIGHT(Q1123,255),RIGHT('Disaggregation Records'!$D$155:$D$385,255),0))),"")</f>
        <v/>
      </c>
      <c r="U1123" s="89">
        <f>U1121+1</f>
        <v>1671</v>
      </c>
      <c r="V1123" s="89" t="str">
        <f t="array" aca="1" ref="V1123" ca="1">IFERROR(IF(INDEX('Disaggregation Records'!$I$155:$I$385,MATCH(RIGHT(Q1123,255),RIGHT('Disaggregation Records'!$D$155:$D$385,255),0))="","",INDEX('Disaggregation Records'!$I$155:$I$385,MATCH(RIGHT(Q1123,255),RIGHT('Disaggregation Records'!$D$155:$D$385,255),0))),"")</f>
        <v/>
      </c>
      <c r="W1123" s="89" t="str">
        <f ca="1">IFERROR(INDEX('Reference Records'!L$77:L$157,MATCH(LEFT(C1123,255),'Reference Records'!E$77:E$157,0)),"")</f>
        <v/>
      </c>
    </row>
    <row r="1124" spans="1:23" s="89" customFormat="1" ht="40.35" customHeight="1">
      <c r="A1124" s="564"/>
      <c r="B1124" s="799"/>
      <c r="C1124" s="800"/>
      <c r="D1124" s="801"/>
      <c r="E1124" s="801"/>
      <c r="F1124" s="128"/>
      <c r="G1124" s="802"/>
      <c r="H1124" s="781"/>
      <c r="I1124" s="803"/>
      <c r="J1124" s="779"/>
      <c r="K1124" s="800"/>
      <c r="L1124" s="800"/>
      <c r="M1124" s="779"/>
      <c r="N1124" s="779"/>
    </row>
    <row r="1125" spans="1:23" s="89" customFormat="1" ht="40.35" customHeight="1">
      <c r="A1125" s="564" t="str">
        <f ca="1">INDIRECT("'update Helper'!C"&amp;U1125)</f>
        <v>a163p000004VjolAAC</v>
      </c>
      <c r="B1125" s="794">
        <v>13</v>
      </c>
      <c r="C1125" s="795" t="str">
        <f ca="1">VLOOKUP(B1125,'Coverage Indicators - Section D'!$A$9:$AU$70,47,FALSE)</f>
        <v/>
      </c>
      <c r="D1125" s="796" t="str">
        <f ca="1">R1125</f>
        <v/>
      </c>
      <c r="E1125" s="796" t="str">
        <f ca="1">S1125</f>
        <v/>
      </c>
      <c r="F1125" s="127"/>
      <c r="G1125" s="797" t="str">
        <f ca="1">IF(OR(INDIRECT("'update Helper'!E"&amp;U1125)="",F1125&lt;&gt;0,F1126&lt;&gt;0),IF(IFERROR((F1125/F1126),"")="","",(F1125/F1126)),INDIRECT("'update Helper'!E"&amp;U1125)/100)</f>
        <v/>
      </c>
      <c r="H1125" s="784"/>
      <c r="I1125" s="798"/>
      <c r="J1125" s="777"/>
      <c r="K1125" s="795" t="str">
        <f ca="1">W1125</f>
        <v/>
      </c>
      <c r="L1125" s="795" t="str">
        <f ca="1">V1125</f>
        <v/>
      </c>
      <c r="M1125" s="777"/>
      <c r="N1125" s="777"/>
      <c r="P1125" s="89">
        <f ca="1">IF(AND(EXACT(C1125,C1123),C1123&lt;&gt;0),P1123+1,0)</f>
        <v>12</v>
      </c>
      <c r="Q1125" s="89" t="str">
        <f ca="1">IF(C1125&lt;&gt;"",C1125&amp;"-"&amp;P1125,"")</f>
        <v/>
      </c>
      <c r="R1125" s="89" t="str">
        <f t="array" aca="1" ref="R1125" ca="1">IFERROR(IF(INDEX('Disaggregation Records'!$E$155:$E$385,MATCH(RIGHT(Q1125,255),RIGHT('Disaggregation Records'!$D$155:$D$385,255),0))="","",INDEX('Disaggregation Records'!$E$155:$E$385,MATCH(RIGHT(Q1125,255),RIGHT('Disaggregation Records'!$D$155:$D$385,255),0))),"")</f>
        <v/>
      </c>
      <c r="S1125" s="89" t="str">
        <f t="array" aca="1" ref="S1125" ca="1">IFERROR(IF(INDEX('Disaggregation Records'!$F$155:$F$385,MATCH(RIGHT(Q1125,255),RIGHT('Disaggregation Records'!$D$155:$D$385,255),0))="","",INDEX('Disaggregation Records'!$F$155:$F$385,MATCH(RIGHT(Q1125,255),RIGHT('Disaggregation Records'!$D$155:$D$385,255),0))),"")</f>
        <v/>
      </c>
      <c r="T1125" s="89" t="str">
        <f t="array" aca="1" ref="T1125" ca="1">IFERROR(IF(INDEX('Disaggregation Records'!$H$155:$H$385,MATCH(RIGHT(Q1125,255),RIGHT('Disaggregation Records'!$D$155:$D$385,255),0))="","",INDEX('Disaggregation Records'!$H$155:$H$385,MATCH(RIGHT(Q1125,255),RIGHT('Disaggregation Records'!$D$155:$D$385,255),0))),"")</f>
        <v/>
      </c>
      <c r="U1125" s="89">
        <f>U1123+1</f>
        <v>1672</v>
      </c>
      <c r="V1125" s="89" t="str">
        <f t="array" aca="1" ref="V1125" ca="1">IFERROR(IF(INDEX('Disaggregation Records'!$I$155:$I$385,MATCH(RIGHT(Q1125,255),RIGHT('Disaggregation Records'!$D$155:$D$385,255),0))="","",INDEX('Disaggregation Records'!$I$155:$I$385,MATCH(RIGHT(Q1125,255),RIGHT('Disaggregation Records'!$D$155:$D$385,255),0))),"")</f>
        <v/>
      </c>
      <c r="W1125" s="89" t="str">
        <f ca="1">IFERROR(INDEX('Reference Records'!L$77:L$157,MATCH(LEFT(C1125,255),'Reference Records'!E$77:E$157,0)),"")</f>
        <v/>
      </c>
    </row>
    <row r="1126" spans="1:23" s="89" customFormat="1" ht="40.35" customHeight="1">
      <c r="A1126" s="564"/>
      <c r="B1126" s="799"/>
      <c r="C1126" s="800"/>
      <c r="D1126" s="801"/>
      <c r="E1126" s="801"/>
      <c r="F1126" s="128"/>
      <c r="G1126" s="802"/>
      <c r="H1126" s="781"/>
      <c r="I1126" s="803"/>
      <c r="J1126" s="779"/>
      <c r="K1126" s="800"/>
      <c r="L1126" s="800"/>
      <c r="M1126" s="779"/>
      <c r="N1126" s="779"/>
    </row>
    <row r="1127" spans="1:23" s="89" customFormat="1" ht="40.35" customHeight="1">
      <c r="A1127" s="564" t="str">
        <f ca="1">INDIRECT("'update Helper'!C"&amp;U1127)</f>
        <v>a163p000004VjomAAC</v>
      </c>
      <c r="B1127" s="794">
        <v>13</v>
      </c>
      <c r="C1127" s="795" t="str">
        <f ca="1">VLOOKUP(B1127,'Coverage Indicators - Section D'!$A$9:$AU$70,47,FALSE)</f>
        <v/>
      </c>
      <c r="D1127" s="796" t="str">
        <f ca="1">R1127</f>
        <v/>
      </c>
      <c r="E1127" s="796" t="str">
        <f ca="1">S1127</f>
        <v/>
      </c>
      <c r="F1127" s="127"/>
      <c r="G1127" s="797" t="str">
        <f ca="1">IF(OR(INDIRECT("'update Helper'!E"&amp;U1127)="",F1127&lt;&gt;0,F1128&lt;&gt;0),IF(IFERROR((F1127/F1128),"")="","",(F1127/F1128)),INDIRECT("'update Helper'!E"&amp;U1127)/100)</f>
        <v/>
      </c>
      <c r="H1127" s="784"/>
      <c r="I1127" s="798"/>
      <c r="J1127" s="777"/>
      <c r="K1127" s="795" t="str">
        <f ca="1">W1127</f>
        <v/>
      </c>
      <c r="L1127" s="795" t="str">
        <f ca="1">V1127</f>
        <v/>
      </c>
      <c r="M1127" s="777"/>
      <c r="N1127" s="777"/>
      <c r="P1127" s="89">
        <f ca="1">IF(AND(EXACT(C1127,C1125),C1125&lt;&gt;0),P1125+1,0)</f>
        <v>13</v>
      </c>
      <c r="Q1127" s="89" t="str">
        <f ca="1">IF(C1127&lt;&gt;"",C1127&amp;"-"&amp;P1127,"")</f>
        <v/>
      </c>
      <c r="R1127" s="89" t="str">
        <f t="array" aca="1" ref="R1127" ca="1">IFERROR(IF(INDEX('Disaggregation Records'!$E$155:$E$385,MATCH(RIGHT(Q1127,255),RIGHT('Disaggregation Records'!$D$155:$D$385,255),0))="","",INDEX('Disaggregation Records'!$E$155:$E$385,MATCH(RIGHT(Q1127,255),RIGHT('Disaggregation Records'!$D$155:$D$385,255),0))),"")</f>
        <v/>
      </c>
      <c r="S1127" s="89" t="str">
        <f t="array" aca="1" ref="S1127" ca="1">IFERROR(IF(INDEX('Disaggregation Records'!$F$155:$F$385,MATCH(RIGHT(Q1127,255),RIGHT('Disaggregation Records'!$D$155:$D$385,255),0))="","",INDEX('Disaggregation Records'!$F$155:$F$385,MATCH(RIGHT(Q1127,255),RIGHT('Disaggregation Records'!$D$155:$D$385,255),0))),"")</f>
        <v/>
      </c>
      <c r="T1127" s="89" t="str">
        <f t="array" aca="1" ref="T1127" ca="1">IFERROR(IF(INDEX('Disaggregation Records'!$H$155:$H$385,MATCH(RIGHT(Q1127,255),RIGHT('Disaggregation Records'!$D$155:$D$385,255),0))="","",INDEX('Disaggregation Records'!$H$155:$H$385,MATCH(RIGHT(Q1127,255),RIGHT('Disaggregation Records'!$D$155:$D$385,255),0))),"")</f>
        <v/>
      </c>
      <c r="U1127" s="89">
        <f>U1125+1</f>
        <v>1673</v>
      </c>
      <c r="V1127" s="89" t="str">
        <f t="array" aca="1" ref="V1127" ca="1">IFERROR(IF(INDEX('Disaggregation Records'!$I$155:$I$385,MATCH(RIGHT(Q1127,255),RIGHT('Disaggregation Records'!$D$155:$D$385,255),0))="","",INDEX('Disaggregation Records'!$I$155:$I$385,MATCH(RIGHT(Q1127,255),RIGHT('Disaggregation Records'!$D$155:$D$385,255),0))),"")</f>
        <v/>
      </c>
      <c r="W1127" s="89" t="str">
        <f ca="1">IFERROR(INDEX('Reference Records'!L$77:L$157,MATCH(LEFT(C1127,255),'Reference Records'!E$77:E$157,0)),"")</f>
        <v/>
      </c>
    </row>
    <row r="1128" spans="1:23" s="89" customFormat="1" ht="40.35" customHeight="1">
      <c r="A1128" s="564"/>
      <c r="B1128" s="799"/>
      <c r="C1128" s="800"/>
      <c r="D1128" s="801"/>
      <c r="E1128" s="801"/>
      <c r="F1128" s="128"/>
      <c r="G1128" s="802"/>
      <c r="H1128" s="781"/>
      <c r="I1128" s="803"/>
      <c r="J1128" s="779"/>
      <c r="K1128" s="800"/>
      <c r="L1128" s="800"/>
      <c r="M1128" s="779"/>
      <c r="N1128" s="779"/>
    </row>
    <row r="1129" spans="1:23" s="89" customFormat="1" ht="40.35" customHeight="1">
      <c r="A1129" s="564" t="str">
        <f ca="1">INDIRECT("'update Helper'!C"&amp;U1129)</f>
        <v>a163p000004VjonAAC</v>
      </c>
      <c r="B1129" s="794">
        <v>13</v>
      </c>
      <c r="C1129" s="795" t="str">
        <f ca="1">VLOOKUP(B1129,'Coverage Indicators - Section D'!$A$9:$AU$70,47,FALSE)</f>
        <v/>
      </c>
      <c r="D1129" s="796" t="str">
        <f ca="1">R1129</f>
        <v/>
      </c>
      <c r="E1129" s="796" t="str">
        <f ca="1">S1129</f>
        <v/>
      </c>
      <c r="F1129" s="127"/>
      <c r="G1129" s="797" t="str">
        <f ca="1">IF(OR(INDIRECT("'update Helper'!E"&amp;U1129)="",F1129&lt;&gt;0,F1130&lt;&gt;0),IF(IFERROR((F1129/F1130),"")="","",(F1129/F1130)),INDIRECT("'update Helper'!E"&amp;U1129)/100)</f>
        <v/>
      </c>
      <c r="H1129" s="784"/>
      <c r="I1129" s="798"/>
      <c r="J1129" s="777"/>
      <c r="K1129" s="795" t="str">
        <f ca="1">W1129</f>
        <v/>
      </c>
      <c r="L1129" s="795" t="str">
        <f ca="1">V1129</f>
        <v/>
      </c>
      <c r="M1129" s="777"/>
      <c r="N1129" s="777"/>
      <c r="P1129" s="89">
        <f ca="1">IF(AND(EXACT(C1129,C1127),C1127&lt;&gt;0),P1127+1,0)</f>
        <v>14</v>
      </c>
      <c r="Q1129" s="89" t="str">
        <f ca="1">IF(C1129&lt;&gt;"",C1129&amp;"-"&amp;P1129,"")</f>
        <v/>
      </c>
      <c r="R1129" s="89" t="str">
        <f t="array" aca="1" ref="R1129" ca="1">IFERROR(IF(INDEX('Disaggregation Records'!$E$155:$E$385,MATCH(RIGHT(Q1129,255),RIGHT('Disaggregation Records'!$D$155:$D$385,255),0))="","",INDEX('Disaggregation Records'!$E$155:$E$385,MATCH(RIGHT(Q1129,255),RIGHT('Disaggregation Records'!$D$155:$D$385,255),0))),"")</f>
        <v/>
      </c>
      <c r="S1129" s="89" t="str">
        <f t="array" aca="1" ref="S1129" ca="1">IFERROR(IF(INDEX('Disaggregation Records'!$F$155:$F$385,MATCH(RIGHT(Q1129,255),RIGHT('Disaggregation Records'!$D$155:$D$385,255),0))="","",INDEX('Disaggregation Records'!$F$155:$F$385,MATCH(RIGHT(Q1129,255),RIGHT('Disaggregation Records'!$D$155:$D$385,255),0))),"")</f>
        <v/>
      </c>
      <c r="T1129" s="89" t="str">
        <f t="array" aca="1" ref="T1129" ca="1">IFERROR(IF(INDEX('Disaggregation Records'!$H$155:$H$385,MATCH(RIGHT(Q1129,255),RIGHT('Disaggregation Records'!$D$155:$D$385,255),0))="","",INDEX('Disaggregation Records'!$H$155:$H$385,MATCH(RIGHT(Q1129,255),RIGHT('Disaggregation Records'!$D$155:$D$385,255),0))),"")</f>
        <v/>
      </c>
      <c r="U1129" s="89">
        <f>U1127+1</f>
        <v>1674</v>
      </c>
      <c r="V1129" s="89" t="str">
        <f t="array" aca="1" ref="V1129" ca="1">IFERROR(IF(INDEX('Disaggregation Records'!$I$155:$I$385,MATCH(RIGHT(Q1129,255),RIGHT('Disaggregation Records'!$D$155:$D$385,255),0))="","",INDEX('Disaggregation Records'!$I$155:$I$385,MATCH(RIGHT(Q1129,255),RIGHT('Disaggregation Records'!$D$155:$D$385,255),0))),"")</f>
        <v/>
      </c>
      <c r="W1129" s="89" t="str">
        <f ca="1">IFERROR(INDEX('Reference Records'!L$77:L$157,MATCH(LEFT(C1129,255),'Reference Records'!E$77:E$157,0)),"")</f>
        <v/>
      </c>
    </row>
    <row r="1130" spans="1:23" s="89" customFormat="1" ht="40.35" customHeight="1">
      <c r="A1130" s="564"/>
      <c r="B1130" s="799"/>
      <c r="C1130" s="800"/>
      <c r="D1130" s="801"/>
      <c r="E1130" s="801"/>
      <c r="F1130" s="128"/>
      <c r="G1130" s="802"/>
      <c r="H1130" s="781"/>
      <c r="I1130" s="803"/>
      <c r="J1130" s="779"/>
      <c r="K1130" s="800"/>
      <c r="L1130" s="800"/>
      <c r="M1130" s="779"/>
      <c r="N1130" s="779"/>
    </row>
    <row r="1131" spans="1:23" s="89" customFormat="1" ht="40.35" customHeight="1">
      <c r="A1131" s="564" t="str">
        <f ca="1">INDIRECT("'update Helper'!C"&amp;U1131)</f>
        <v>a163p000004VjooAAC</v>
      </c>
      <c r="B1131" s="794">
        <v>13</v>
      </c>
      <c r="C1131" s="795" t="str">
        <f ca="1">VLOOKUP(B1131,'Coverage Indicators - Section D'!$A$9:$AU$70,47,FALSE)</f>
        <v/>
      </c>
      <c r="D1131" s="796" t="str">
        <f ca="1">R1131</f>
        <v/>
      </c>
      <c r="E1131" s="796" t="str">
        <f ca="1">S1131</f>
        <v/>
      </c>
      <c r="F1131" s="127"/>
      <c r="G1131" s="797" t="str">
        <f ca="1">IF(OR(INDIRECT("'update Helper'!E"&amp;U1131)="",F1131&lt;&gt;0,F1132&lt;&gt;0),IF(IFERROR((F1131/F1132),"")="","",(F1131/F1132)),INDIRECT("'update Helper'!E"&amp;U1131)/100)</f>
        <v/>
      </c>
      <c r="H1131" s="784"/>
      <c r="I1131" s="798"/>
      <c r="J1131" s="777"/>
      <c r="K1131" s="795" t="str">
        <f ca="1">W1131</f>
        <v/>
      </c>
      <c r="L1131" s="795" t="str">
        <f ca="1">V1131</f>
        <v/>
      </c>
      <c r="M1131" s="777"/>
      <c r="N1131" s="777"/>
      <c r="P1131" s="89">
        <f ca="1">IF(AND(EXACT(C1131,C1129),C1129&lt;&gt;0),P1129+1,0)</f>
        <v>15</v>
      </c>
      <c r="Q1131" s="89" t="str">
        <f ca="1">IF(C1131&lt;&gt;"",C1131&amp;"-"&amp;P1131,"")</f>
        <v/>
      </c>
      <c r="R1131" s="89" t="str">
        <f t="array" aca="1" ref="R1131" ca="1">IFERROR(IF(INDEX('Disaggregation Records'!$E$155:$E$385,MATCH(RIGHT(Q1131,255),RIGHT('Disaggregation Records'!$D$155:$D$385,255),0))="","",INDEX('Disaggregation Records'!$E$155:$E$385,MATCH(RIGHT(Q1131,255),RIGHT('Disaggregation Records'!$D$155:$D$385,255),0))),"")</f>
        <v/>
      </c>
      <c r="S1131" s="89" t="str">
        <f t="array" aca="1" ref="S1131" ca="1">IFERROR(IF(INDEX('Disaggregation Records'!$F$155:$F$385,MATCH(RIGHT(Q1131,255),RIGHT('Disaggregation Records'!$D$155:$D$385,255),0))="","",INDEX('Disaggregation Records'!$F$155:$F$385,MATCH(RIGHT(Q1131,255),RIGHT('Disaggregation Records'!$D$155:$D$385,255),0))),"")</f>
        <v/>
      </c>
      <c r="T1131" s="89" t="str">
        <f t="array" aca="1" ref="T1131" ca="1">IFERROR(IF(INDEX('Disaggregation Records'!$H$155:$H$385,MATCH(RIGHT(Q1131,255),RIGHT('Disaggregation Records'!$D$155:$D$385,255),0))="","",INDEX('Disaggregation Records'!$H$155:$H$385,MATCH(RIGHT(Q1131,255),RIGHT('Disaggregation Records'!$D$155:$D$385,255),0))),"")</f>
        <v/>
      </c>
      <c r="U1131" s="89">
        <f>U1129+1</f>
        <v>1675</v>
      </c>
      <c r="V1131" s="89" t="str">
        <f t="array" aca="1" ref="V1131" ca="1">IFERROR(IF(INDEX('Disaggregation Records'!$I$155:$I$385,MATCH(RIGHT(Q1131,255),RIGHT('Disaggregation Records'!$D$155:$D$385,255),0))="","",INDEX('Disaggregation Records'!$I$155:$I$385,MATCH(RIGHT(Q1131,255),RIGHT('Disaggregation Records'!$D$155:$D$385,255),0))),"")</f>
        <v/>
      </c>
      <c r="W1131" s="89" t="str">
        <f ca="1">IFERROR(INDEX('Reference Records'!L$77:L$157,MATCH(LEFT(C1131,255),'Reference Records'!E$77:E$157,0)),"")</f>
        <v/>
      </c>
    </row>
    <row r="1132" spans="1:23" s="89" customFormat="1" ht="40.35" customHeight="1">
      <c r="A1132" s="564"/>
      <c r="B1132" s="799"/>
      <c r="C1132" s="800"/>
      <c r="D1132" s="801"/>
      <c r="E1132" s="801"/>
      <c r="F1132" s="128"/>
      <c r="G1132" s="802"/>
      <c r="H1132" s="781"/>
      <c r="I1132" s="803"/>
      <c r="J1132" s="779"/>
      <c r="K1132" s="800"/>
      <c r="L1132" s="800"/>
      <c r="M1132" s="779"/>
      <c r="N1132" s="779"/>
    </row>
    <row r="1133" spans="1:23" s="89" customFormat="1" ht="40.35" customHeight="1">
      <c r="A1133" s="564" t="str">
        <f ca="1">INDIRECT("'update Helper'!C"&amp;U1133)</f>
        <v>a163p000004VjopAAC</v>
      </c>
      <c r="B1133" s="794">
        <v>13</v>
      </c>
      <c r="C1133" s="795" t="str">
        <f ca="1">VLOOKUP(B1133,'Coverage Indicators - Section D'!$A$9:$AU$70,47,FALSE)</f>
        <v/>
      </c>
      <c r="D1133" s="796" t="str">
        <f ca="1">R1133</f>
        <v/>
      </c>
      <c r="E1133" s="796" t="str">
        <f ca="1">S1133</f>
        <v/>
      </c>
      <c r="F1133" s="127"/>
      <c r="G1133" s="797" t="str">
        <f ca="1">IF(OR(INDIRECT("'update Helper'!E"&amp;U1133)="",F1133&lt;&gt;0,F1134&lt;&gt;0),IF(IFERROR((F1133/F1134),"")="","",(F1133/F1134)),INDIRECT("'update Helper'!E"&amp;U1133)/100)</f>
        <v/>
      </c>
      <c r="H1133" s="784"/>
      <c r="I1133" s="798"/>
      <c r="J1133" s="777"/>
      <c r="K1133" s="795" t="str">
        <f ca="1">W1133</f>
        <v/>
      </c>
      <c r="L1133" s="795" t="str">
        <f ca="1">V1133</f>
        <v/>
      </c>
      <c r="M1133" s="777"/>
      <c r="N1133" s="777"/>
      <c r="P1133" s="89">
        <f ca="1">IF(AND(EXACT(C1133,C1131),C1131&lt;&gt;0),P1131+1,0)</f>
        <v>16</v>
      </c>
      <c r="Q1133" s="89" t="str">
        <f ca="1">IF(C1133&lt;&gt;"",C1133&amp;"-"&amp;P1133,"")</f>
        <v/>
      </c>
      <c r="R1133" s="89" t="str">
        <f t="array" aca="1" ref="R1133" ca="1">IFERROR(IF(INDEX('Disaggregation Records'!$E$155:$E$385,MATCH(RIGHT(Q1133,255),RIGHT('Disaggregation Records'!$D$155:$D$385,255),0))="","",INDEX('Disaggregation Records'!$E$155:$E$385,MATCH(RIGHT(Q1133,255),RIGHT('Disaggregation Records'!$D$155:$D$385,255),0))),"")</f>
        <v/>
      </c>
      <c r="S1133" s="89" t="str">
        <f t="array" aca="1" ref="S1133" ca="1">IFERROR(IF(INDEX('Disaggregation Records'!$F$155:$F$385,MATCH(RIGHT(Q1133,255),RIGHT('Disaggregation Records'!$D$155:$D$385,255),0))="","",INDEX('Disaggregation Records'!$F$155:$F$385,MATCH(RIGHT(Q1133,255),RIGHT('Disaggregation Records'!$D$155:$D$385,255),0))),"")</f>
        <v/>
      </c>
      <c r="T1133" s="89" t="str">
        <f t="array" aca="1" ref="T1133" ca="1">IFERROR(IF(INDEX('Disaggregation Records'!$H$155:$H$385,MATCH(RIGHT(Q1133,255),RIGHT('Disaggregation Records'!$D$155:$D$385,255),0))="","",INDEX('Disaggregation Records'!$H$155:$H$385,MATCH(RIGHT(Q1133,255),RIGHT('Disaggregation Records'!$D$155:$D$385,255),0))),"")</f>
        <v/>
      </c>
      <c r="U1133" s="89">
        <f>U1131+1</f>
        <v>1676</v>
      </c>
      <c r="V1133" s="89" t="str">
        <f t="array" aca="1" ref="V1133" ca="1">IFERROR(IF(INDEX('Disaggregation Records'!$I$155:$I$385,MATCH(RIGHT(Q1133,255),RIGHT('Disaggregation Records'!$D$155:$D$385,255),0))="","",INDEX('Disaggregation Records'!$I$155:$I$385,MATCH(RIGHT(Q1133,255),RIGHT('Disaggregation Records'!$D$155:$D$385,255),0))),"")</f>
        <v/>
      </c>
      <c r="W1133" s="89" t="str">
        <f ca="1">IFERROR(INDEX('Reference Records'!L$77:L$157,MATCH(LEFT(C1133,255),'Reference Records'!E$77:E$157,0)),"")</f>
        <v/>
      </c>
    </row>
    <row r="1134" spans="1:23" s="89" customFormat="1" ht="40.35" customHeight="1">
      <c r="A1134" s="564"/>
      <c r="B1134" s="799"/>
      <c r="C1134" s="800"/>
      <c r="D1134" s="801"/>
      <c r="E1134" s="801"/>
      <c r="F1134" s="128"/>
      <c r="G1134" s="802"/>
      <c r="H1134" s="781"/>
      <c r="I1134" s="803"/>
      <c r="J1134" s="779"/>
      <c r="K1134" s="800"/>
      <c r="L1134" s="800"/>
      <c r="M1134" s="779"/>
      <c r="N1134" s="779"/>
    </row>
    <row r="1135" spans="1:23" s="89" customFormat="1" ht="40.35" customHeight="1">
      <c r="A1135" s="564" t="str">
        <f ca="1">INDIRECT("'update Helper'!C"&amp;U1135)</f>
        <v>a163p000004VjoqAAC</v>
      </c>
      <c r="B1135" s="794">
        <v>13</v>
      </c>
      <c r="C1135" s="795" t="str">
        <f ca="1">VLOOKUP(B1135,'Coverage Indicators - Section D'!$A$9:$AU$70,47,FALSE)</f>
        <v/>
      </c>
      <c r="D1135" s="796" t="str">
        <f ca="1">R1135</f>
        <v/>
      </c>
      <c r="E1135" s="796" t="str">
        <f ca="1">S1135</f>
        <v/>
      </c>
      <c r="F1135" s="127"/>
      <c r="G1135" s="797" t="str">
        <f ca="1">IF(OR(INDIRECT("'update Helper'!E"&amp;U1135)="",F1135&lt;&gt;0,F1136&lt;&gt;0),IF(IFERROR((F1135/F1136),"")="","",(F1135/F1136)),INDIRECT("'update Helper'!E"&amp;U1135)/100)</f>
        <v/>
      </c>
      <c r="H1135" s="784"/>
      <c r="I1135" s="798"/>
      <c r="J1135" s="777"/>
      <c r="K1135" s="795" t="str">
        <f ca="1">W1135</f>
        <v/>
      </c>
      <c r="L1135" s="795" t="str">
        <f ca="1">V1135</f>
        <v/>
      </c>
      <c r="M1135" s="777"/>
      <c r="N1135" s="777"/>
      <c r="P1135" s="89">
        <f ca="1">IF(AND(EXACT(C1135,C1133),C1133&lt;&gt;0),P1133+1,0)</f>
        <v>17</v>
      </c>
      <c r="Q1135" s="89" t="str">
        <f ca="1">IF(C1135&lt;&gt;"",C1135&amp;"-"&amp;P1135,"")</f>
        <v/>
      </c>
      <c r="R1135" s="89" t="str">
        <f t="array" aca="1" ref="R1135" ca="1">IFERROR(IF(INDEX('Disaggregation Records'!$E$155:$E$385,MATCH(RIGHT(Q1135,255),RIGHT('Disaggregation Records'!$D$155:$D$385,255),0))="","",INDEX('Disaggregation Records'!$E$155:$E$385,MATCH(RIGHT(Q1135,255),RIGHT('Disaggregation Records'!$D$155:$D$385,255),0))),"")</f>
        <v/>
      </c>
      <c r="S1135" s="89" t="str">
        <f t="array" aca="1" ref="S1135" ca="1">IFERROR(IF(INDEX('Disaggregation Records'!$F$155:$F$385,MATCH(RIGHT(Q1135,255),RIGHT('Disaggregation Records'!$D$155:$D$385,255),0))="","",INDEX('Disaggregation Records'!$F$155:$F$385,MATCH(RIGHT(Q1135,255),RIGHT('Disaggregation Records'!$D$155:$D$385,255),0))),"")</f>
        <v/>
      </c>
      <c r="T1135" s="89" t="str">
        <f t="array" aca="1" ref="T1135" ca="1">IFERROR(IF(INDEX('Disaggregation Records'!$H$155:$H$385,MATCH(RIGHT(Q1135,255),RIGHT('Disaggregation Records'!$D$155:$D$385,255),0))="","",INDEX('Disaggregation Records'!$H$155:$H$385,MATCH(RIGHT(Q1135,255),RIGHT('Disaggregation Records'!$D$155:$D$385,255),0))),"")</f>
        <v/>
      </c>
      <c r="U1135" s="89">
        <f>U1133+1</f>
        <v>1677</v>
      </c>
      <c r="V1135" s="89" t="str">
        <f t="array" aca="1" ref="V1135" ca="1">IFERROR(IF(INDEX('Disaggregation Records'!$I$155:$I$385,MATCH(RIGHT(Q1135,255),RIGHT('Disaggregation Records'!$D$155:$D$385,255),0))="","",INDEX('Disaggregation Records'!$I$155:$I$385,MATCH(RIGHT(Q1135,255),RIGHT('Disaggregation Records'!$D$155:$D$385,255),0))),"")</f>
        <v/>
      </c>
      <c r="W1135" s="89" t="str">
        <f ca="1">IFERROR(INDEX('Reference Records'!L$77:L$157,MATCH(LEFT(C1135,255),'Reference Records'!E$77:E$157,0)),"")</f>
        <v/>
      </c>
    </row>
    <row r="1136" spans="1:23" s="89" customFormat="1" ht="40.35" customHeight="1">
      <c r="A1136" s="564"/>
      <c r="B1136" s="799"/>
      <c r="C1136" s="800"/>
      <c r="D1136" s="801"/>
      <c r="E1136" s="801"/>
      <c r="F1136" s="128"/>
      <c r="G1136" s="802"/>
      <c r="H1136" s="781"/>
      <c r="I1136" s="803"/>
      <c r="J1136" s="779"/>
      <c r="K1136" s="800"/>
      <c r="L1136" s="800"/>
      <c r="M1136" s="779"/>
      <c r="N1136" s="779"/>
    </row>
    <row r="1137" spans="1:23" s="89" customFormat="1" ht="40.35" customHeight="1">
      <c r="A1137" s="564" t="str">
        <f ca="1">INDIRECT("'update Helper'!C"&amp;U1137)</f>
        <v>a163p000004VjorAAC</v>
      </c>
      <c r="B1137" s="794">
        <v>13</v>
      </c>
      <c r="C1137" s="795" t="str">
        <f ca="1">VLOOKUP(B1137,'Coverage Indicators - Section D'!$A$9:$AU$70,47,FALSE)</f>
        <v/>
      </c>
      <c r="D1137" s="796" t="str">
        <f ca="1">R1137</f>
        <v/>
      </c>
      <c r="E1137" s="796" t="str">
        <f ca="1">S1137</f>
        <v/>
      </c>
      <c r="F1137" s="127"/>
      <c r="G1137" s="797" t="str">
        <f ca="1">IF(OR(INDIRECT("'update Helper'!E"&amp;U1137)="",F1137&lt;&gt;0,F1138&lt;&gt;0),IF(IFERROR((F1137/F1138),"")="","",(F1137/F1138)),INDIRECT("'update Helper'!E"&amp;U1137)/100)</f>
        <v/>
      </c>
      <c r="H1137" s="784"/>
      <c r="I1137" s="798"/>
      <c r="J1137" s="777"/>
      <c r="K1137" s="795" t="str">
        <f ca="1">W1137</f>
        <v/>
      </c>
      <c r="L1137" s="795" t="str">
        <f ca="1">V1137</f>
        <v/>
      </c>
      <c r="M1137" s="777"/>
      <c r="N1137" s="777"/>
      <c r="P1137" s="89">
        <f ca="1">IF(AND(EXACT(C1137,C1135),C1135&lt;&gt;0),P1135+1,0)</f>
        <v>18</v>
      </c>
      <c r="Q1137" s="89" t="str">
        <f ca="1">IF(C1137&lt;&gt;"",C1137&amp;"-"&amp;P1137,"")</f>
        <v/>
      </c>
      <c r="R1137" s="89" t="str">
        <f t="array" aca="1" ref="R1137" ca="1">IFERROR(IF(INDEX('Disaggregation Records'!$E$155:$E$385,MATCH(RIGHT(Q1137,255),RIGHT('Disaggregation Records'!$D$155:$D$385,255),0))="","",INDEX('Disaggregation Records'!$E$155:$E$385,MATCH(RIGHT(Q1137,255),RIGHT('Disaggregation Records'!$D$155:$D$385,255),0))),"")</f>
        <v/>
      </c>
      <c r="S1137" s="89" t="str">
        <f t="array" aca="1" ref="S1137" ca="1">IFERROR(IF(INDEX('Disaggregation Records'!$F$155:$F$385,MATCH(RIGHT(Q1137,255),RIGHT('Disaggregation Records'!$D$155:$D$385,255),0))="","",INDEX('Disaggregation Records'!$F$155:$F$385,MATCH(RIGHT(Q1137,255),RIGHT('Disaggregation Records'!$D$155:$D$385,255),0))),"")</f>
        <v/>
      </c>
      <c r="T1137" s="89" t="str">
        <f t="array" aca="1" ref="T1137" ca="1">IFERROR(IF(INDEX('Disaggregation Records'!$H$155:$H$385,MATCH(RIGHT(Q1137,255),RIGHT('Disaggregation Records'!$D$155:$D$385,255),0))="","",INDEX('Disaggregation Records'!$H$155:$H$385,MATCH(RIGHT(Q1137,255),RIGHT('Disaggregation Records'!$D$155:$D$385,255),0))),"")</f>
        <v/>
      </c>
      <c r="U1137" s="89">
        <f>U1135+1</f>
        <v>1678</v>
      </c>
      <c r="V1137" s="89" t="str">
        <f t="array" aca="1" ref="V1137" ca="1">IFERROR(IF(INDEX('Disaggregation Records'!$I$155:$I$385,MATCH(RIGHT(Q1137,255),RIGHT('Disaggregation Records'!$D$155:$D$385,255),0))="","",INDEX('Disaggregation Records'!$I$155:$I$385,MATCH(RIGHT(Q1137,255),RIGHT('Disaggregation Records'!$D$155:$D$385,255),0))),"")</f>
        <v/>
      </c>
      <c r="W1137" s="89" t="str">
        <f ca="1">IFERROR(INDEX('Reference Records'!L$77:L$157,MATCH(LEFT(C1137,255),'Reference Records'!E$77:E$157,0)),"")</f>
        <v/>
      </c>
    </row>
    <row r="1138" spans="1:23" s="89" customFormat="1" ht="40.35" customHeight="1">
      <c r="A1138" s="564"/>
      <c r="B1138" s="799"/>
      <c r="C1138" s="800"/>
      <c r="D1138" s="801"/>
      <c r="E1138" s="801"/>
      <c r="F1138" s="128"/>
      <c r="G1138" s="802"/>
      <c r="H1138" s="781"/>
      <c r="I1138" s="803"/>
      <c r="J1138" s="779"/>
      <c r="K1138" s="800"/>
      <c r="L1138" s="800"/>
      <c r="M1138" s="779"/>
      <c r="N1138" s="779"/>
    </row>
    <row r="1139" spans="1:23" s="89" customFormat="1" ht="40.35" customHeight="1">
      <c r="A1139" s="564" t="str">
        <f ca="1">INDIRECT("'update Helper'!C"&amp;U1139)</f>
        <v>a163p000004VjosAAC</v>
      </c>
      <c r="B1139" s="794">
        <v>13</v>
      </c>
      <c r="C1139" s="795" t="str">
        <f ca="1">VLOOKUP(B1139,'Coverage Indicators - Section D'!$A$9:$AU$70,47,FALSE)</f>
        <v/>
      </c>
      <c r="D1139" s="796" t="str">
        <f ca="1">R1139</f>
        <v/>
      </c>
      <c r="E1139" s="796" t="str">
        <f ca="1">S1139</f>
        <v/>
      </c>
      <c r="F1139" s="127"/>
      <c r="G1139" s="797" t="str">
        <f ca="1">IF(OR(INDIRECT("'update Helper'!E"&amp;U1139)="",F1139&lt;&gt;0,F1140&lt;&gt;0),IF(IFERROR((F1139/F1140),"")="","",(F1139/F1140)),INDIRECT("'update Helper'!E"&amp;U1139)/100)</f>
        <v/>
      </c>
      <c r="H1139" s="784"/>
      <c r="I1139" s="798"/>
      <c r="J1139" s="777"/>
      <c r="K1139" s="795" t="str">
        <f ca="1">W1139</f>
        <v/>
      </c>
      <c r="L1139" s="795" t="str">
        <f ca="1">V1139</f>
        <v/>
      </c>
      <c r="M1139" s="777"/>
      <c r="N1139" s="777"/>
      <c r="P1139" s="89">
        <f ca="1">IF(AND(EXACT(C1139,C1137),C1137&lt;&gt;0),P1137+1,0)</f>
        <v>19</v>
      </c>
      <c r="Q1139" s="89" t="str">
        <f ca="1">IF(C1139&lt;&gt;"",C1139&amp;"-"&amp;P1139,"")</f>
        <v/>
      </c>
      <c r="R1139" s="89" t="str">
        <f t="array" aca="1" ref="R1139" ca="1">IFERROR(IF(INDEX('Disaggregation Records'!$E$155:$E$385,MATCH(RIGHT(Q1139,255),RIGHT('Disaggregation Records'!$D$155:$D$385,255),0))="","",INDEX('Disaggregation Records'!$E$155:$E$385,MATCH(RIGHT(Q1139,255),RIGHT('Disaggregation Records'!$D$155:$D$385,255),0))),"")</f>
        <v/>
      </c>
      <c r="S1139" s="89" t="str">
        <f t="array" aca="1" ref="S1139" ca="1">IFERROR(IF(INDEX('Disaggregation Records'!$F$155:$F$385,MATCH(RIGHT(Q1139,255),RIGHT('Disaggregation Records'!$D$155:$D$385,255),0))="","",INDEX('Disaggregation Records'!$F$155:$F$385,MATCH(RIGHT(Q1139,255),RIGHT('Disaggregation Records'!$D$155:$D$385,255),0))),"")</f>
        <v/>
      </c>
      <c r="T1139" s="89" t="str">
        <f t="array" aca="1" ref="T1139" ca="1">IFERROR(IF(INDEX('Disaggregation Records'!$H$155:$H$385,MATCH(RIGHT(Q1139,255),RIGHT('Disaggregation Records'!$D$155:$D$385,255),0))="","",INDEX('Disaggregation Records'!$H$155:$H$385,MATCH(RIGHT(Q1139,255),RIGHT('Disaggregation Records'!$D$155:$D$385,255),0))),"")</f>
        <v/>
      </c>
      <c r="U1139" s="89">
        <f>U1137+1</f>
        <v>1679</v>
      </c>
      <c r="V1139" s="89" t="str">
        <f t="array" aca="1" ref="V1139" ca="1">IFERROR(IF(INDEX('Disaggregation Records'!$I$155:$I$385,MATCH(RIGHT(Q1139,255),RIGHT('Disaggregation Records'!$D$155:$D$385,255),0))="","",INDEX('Disaggregation Records'!$I$155:$I$385,MATCH(RIGHT(Q1139,255),RIGHT('Disaggregation Records'!$D$155:$D$385,255),0))),"")</f>
        <v/>
      </c>
      <c r="W1139" s="89" t="str">
        <f ca="1">IFERROR(INDEX('Reference Records'!L$77:L$157,MATCH(LEFT(C1139,255),'Reference Records'!E$77:E$157,0)),"")</f>
        <v/>
      </c>
    </row>
    <row r="1140" spans="1:23" s="89" customFormat="1" ht="40.35" customHeight="1">
      <c r="A1140" s="564"/>
      <c r="B1140" s="799"/>
      <c r="C1140" s="800"/>
      <c r="D1140" s="801"/>
      <c r="E1140" s="801"/>
      <c r="F1140" s="128"/>
      <c r="G1140" s="802"/>
      <c r="H1140" s="781"/>
      <c r="I1140" s="803"/>
      <c r="J1140" s="779"/>
      <c r="K1140" s="800"/>
      <c r="L1140" s="800"/>
      <c r="M1140" s="779"/>
      <c r="N1140" s="779"/>
    </row>
    <row r="1141" spans="1:23" s="89" customFormat="1" ht="40.35" customHeight="1">
      <c r="A1141" s="564" t="str">
        <f ca="1">INDIRECT("'update Helper'!C"&amp;U1141)</f>
        <v>a163p000004VjotAAC</v>
      </c>
      <c r="B1141" s="794">
        <v>14</v>
      </c>
      <c r="C1141" s="795" t="str">
        <f ca="1">VLOOKUP(B1141,'Coverage Indicators - Section D'!$A$9:$AU$70,47,FALSE)</f>
        <v/>
      </c>
      <c r="D1141" s="796" t="str">
        <f ca="1">R1141</f>
        <v/>
      </c>
      <c r="E1141" s="796" t="str">
        <f ca="1">S1141</f>
        <v/>
      </c>
      <c r="F1141" s="127"/>
      <c r="G1141" s="797" t="str">
        <f ca="1">IF(OR(INDIRECT("'update Helper'!E"&amp;U1141)="",F1141&lt;&gt;0,F1142&lt;&gt;0),IF(IFERROR((F1141/F1142),"")="","",(F1141/F1142)),INDIRECT("'update Helper'!E"&amp;U1141)/100)</f>
        <v/>
      </c>
      <c r="H1141" s="784"/>
      <c r="I1141" s="798"/>
      <c r="J1141" s="777"/>
      <c r="K1141" s="795" t="str">
        <f ca="1">W1141</f>
        <v/>
      </c>
      <c r="L1141" s="795" t="str">
        <f ca="1">V1141</f>
        <v/>
      </c>
      <c r="M1141" s="777"/>
      <c r="N1141" s="777"/>
      <c r="P1141" s="89">
        <f ca="1">IF(AND(EXACT(C1141,C1139),C1139&lt;&gt;0),P1139+1,0)</f>
        <v>20</v>
      </c>
      <c r="Q1141" s="89" t="str">
        <f ca="1">IF(C1141&lt;&gt;"",C1141&amp;"-"&amp;P1141,"")</f>
        <v/>
      </c>
      <c r="R1141" s="89" t="str">
        <f t="array" aca="1" ref="R1141" ca="1">IFERROR(IF(INDEX('Disaggregation Records'!$E$155:$E$385,MATCH(RIGHT(Q1141,255),RIGHT('Disaggregation Records'!$D$155:$D$385,255),0))="","",INDEX('Disaggregation Records'!$E$155:$E$385,MATCH(RIGHT(Q1141,255),RIGHT('Disaggregation Records'!$D$155:$D$385,255),0))),"")</f>
        <v/>
      </c>
      <c r="S1141" s="89" t="str">
        <f t="array" aca="1" ref="S1141" ca="1">IFERROR(IF(INDEX('Disaggregation Records'!$F$155:$F$385,MATCH(RIGHT(Q1141,255),RIGHT('Disaggregation Records'!$D$155:$D$385,255),0))="","",INDEX('Disaggregation Records'!$F$155:$F$385,MATCH(RIGHT(Q1141,255),RIGHT('Disaggregation Records'!$D$155:$D$385,255),0))),"")</f>
        <v/>
      </c>
      <c r="T1141" s="89" t="str">
        <f t="array" aca="1" ref="T1141" ca="1">IFERROR(IF(INDEX('Disaggregation Records'!$H$155:$H$385,MATCH(RIGHT(Q1141,255),RIGHT('Disaggregation Records'!$D$155:$D$385,255),0))="","",INDEX('Disaggregation Records'!$H$155:$H$385,MATCH(RIGHT(Q1141,255),RIGHT('Disaggregation Records'!$D$155:$D$385,255),0))),"")</f>
        <v/>
      </c>
      <c r="U1141" s="89">
        <f>U1139+1</f>
        <v>1680</v>
      </c>
      <c r="V1141" s="89" t="str">
        <f t="array" aca="1" ref="V1141" ca="1">IFERROR(IF(INDEX('Disaggregation Records'!$I$155:$I$385,MATCH(RIGHT(Q1141,255),RIGHT('Disaggregation Records'!$D$155:$D$385,255),0))="","",INDEX('Disaggregation Records'!$I$155:$I$385,MATCH(RIGHT(Q1141,255),RIGHT('Disaggregation Records'!$D$155:$D$385,255),0))),"")</f>
        <v/>
      </c>
      <c r="W1141" s="89" t="str">
        <f ca="1">IFERROR(INDEX('Reference Records'!L$77:L$157,MATCH(LEFT(C1141,255),'Reference Records'!E$77:E$157,0)),"")</f>
        <v/>
      </c>
    </row>
    <row r="1142" spans="1:23" s="89" customFormat="1" ht="40.35" customHeight="1">
      <c r="A1142" s="564"/>
      <c r="B1142" s="799"/>
      <c r="C1142" s="800"/>
      <c r="D1142" s="801"/>
      <c r="E1142" s="801"/>
      <c r="F1142" s="128"/>
      <c r="G1142" s="802"/>
      <c r="H1142" s="781"/>
      <c r="I1142" s="803"/>
      <c r="J1142" s="779"/>
      <c r="K1142" s="800"/>
      <c r="L1142" s="800"/>
      <c r="M1142" s="779"/>
      <c r="N1142" s="779"/>
    </row>
    <row r="1143" spans="1:23" s="89" customFormat="1" ht="40.35" customHeight="1">
      <c r="A1143" s="564" t="str">
        <f ca="1">INDIRECT("'update Helper'!C"&amp;U1143)</f>
        <v>a163p000004VjouAAC</v>
      </c>
      <c r="B1143" s="794">
        <v>14</v>
      </c>
      <c r="C1143" s="795" t="str">
        <f ca="1">VLOOKUP(B1143,'Coverage Indicators - Section D'!$A$9:$AU$70,47,FALSE)</f>
        <v/>
      </c>
      <c r="D1143" s="796" t="str">
        <f ca="1">R1143</f>
        <v/>
      </c>
      <c r="E1143" s="796" t="str">
        <f ca="1">S1143</f>
        <v/>
      </c>
      <c r="F1143" s="127"/>
      <c r="G1143" s="797" t="str">
        <f ca="1">IF(OR(INDIRECT("'update Helper'!E"&amp;U1143)="",F1143&lt;&gt;0,F1144&lt;&gt;0),IF(IFERROR((F1143/F1144),"")="","",(F1143/F1144)),INDIRECT("'update Helper'!E"&amp;U1143)/100)</f>
        <v/>
      </c>
      <c r="H1143" s="784"/>
      <c r="I1143" s="798"/>
      <c r="J1143" s="777"/>
      <c r="K1143" s="795" t="str">
        <f ca="1">W1143</f>
        <v/>
      </c>
      <c r="L1143" s="795" t="str">
        <f ca="1">V1143</f>
        <v/>
      </c>
      <c r="M1143" s="777"/>
      <c r="N1143" s="777"/>
      <c r="P1143" s="89">
        <f ca="1">IF(AND(EXACT(C1143,C1141),C1141&lt;&gt;0),P1141+1,0)</f>
        <v>21</v>
      </c>
      <c r="Q1143" s="89" t="str">
        <f ca="1">IF(C1143&lt;&gt;"",C1143&amp;"-"&amp;P1143,"")</f>
        <v/>
      </c>
      <c r="R1143" s="89" t="str">
        <f t="array" aca="1" ref="R1143" ca="1">IFERROR(IF(INDEX('Disaggregation Records'!$E$155:$E$385,MATCH(RIGHT(Q1143,255),RIGHT('Disaggregation Records'!$D$155:$D$385,255),0))="","",INDEX('Disaggregation Records'!$E$155:$E$385,MATCH(RIGHT(Q1143,255),RIGHT('Disaggregation Records'!$D$155:$D$385,255),0))),"")</f>
        <v/>
      </c>
      <c r="S1143" s="89" t="str">
        <f t="array" aca="1" ref="S1143" ca="1">IFERROR(IF(INDEX('Disaggregation Records'!$F$155:$F$385,MATCH(RIGHT(Q1143,255),RIGHT('Disaggregation Records'!$D$155:$D$385,255),0))="","",INDEX('Disaggregation Records'!$F$155:$F$385,MATCH(RIGHT(Q1143,255),RIGHT('Disaggregation Records'!$D$155:$D$385,255),0))),"")</f>
        <v/>
      </c>
      <c r="T1143" s="89" t="str">
        <f t="array" aca="1" ref="T1143" ca="1">IFERROR(IF(INDEX('Disaggregation Records'!$H$155:$H$385,MATCH(RIGHT(Q1143,255),RIGHT('Disaggregation Records'!$D$155:$D$385,255),0))="","",INDEX('Disaggregation Records'!$H$155:$H$385,MATCH(RIGHT(Q1143,255),RIGHT('Disaggregation Records'!$D$155:$D$385,255),0))),"")</f>
        <v/>
      </c>
      <c r="U1143" s="89">
        <f>U1141+1</f>
        <v>1681</v>
      </c>
      <c r="V1143" s="89" t="str">
        <f t="array" aca="1" ref="V1143" ca="1">IFERROR(IF(INDEX('Disaggregation Records'!$I$155:$I$385,MATCH(RIGHT(Q1143,255),RIGHT('Disaggregation Records'!$D$155:$D$385,255),0))="","",INDEX('Disaggregation Records'!$I$155:$I$385,MATCH(RIGHT(Q1143,255),RIGHT('Disaggregation Records'!$D$155:$D$385,255),0))),"")</f>
        <v/>
      </c>
      <c r="W1143" s="89" t="str">
        <f ca="1">IFERROR(INDEX('Reference Records'!L$77:L$157,MATCH(LEFT(C1143,255),'Reference Records'!E$77:E$157,0)),"")</f>
        <v/>
      </c>
    </row>
    <row r="1144" spans="1:23" s="89" customFormat="1" ht="40.35" customHeight="1">
      <c r="A1144" s="564"/>
      <c r="B1144" s="799"/>
      <c r="C1144" s="800"/>
      <c r="D1144" s="801"/>
      <c r="E1144" s="801"/>
      <c r="F1144" s="128"/>
      <c r="G1144" s="802"/>
      <c r="H1144" s="781"/>
      <c r="I1144" s="803"/>
      <c r="J1144" s="779"/>
      <c r="K1144" s="800"/>
      <c r="L1144" s="800"/>
      <c r="M1144" s="779"/>
      <c r="N1144" s="779"/>
    </row>
    <row r="1145" spans="1:23" s="89" customFormat="1" ht="40.35" customHeight="1">
      <c r="A1145" s="564" t="str">
        <f ca="1">INDIRECT("'update Helper'!C"&amp;U1145)</f>
        <v>a163p000004VjovAAC</v>
      </c>
      <c r="B1145" s="794">
        <v>14</v>
      </c>
      <c r="C1145" s="795" t="str">
        <f ca="1">VLOOKUP(B1145,'Coverage Indicators - Section D'!$A$9:$AU$70,47,FALSE)</f>
        <v/>
      </c>
      <c r="D1145" s="796" t="str">
        <f ca="1">R1145</f>
        <v/>
      </c>
      <c r="E1145" s="796" t="str">
        <f ca="1">S1145</f>
        <v/>
      </c>
      <c r="F1145" s="127"/>
      <c r="G1145" s="797" t="str">
        <f ca="1">IF(OR(INDIRECT("'update Helper'!E"&amp;U1145)="",F1145&lt;&gt;0,F1146&lt;&gt;0),IF(IFERROR((F1145/F1146),"")="","",(F1145/F1146)),INDIRECT("'update Helper'!E"&amp;U1145)/100)</f>
        <v/>
      </c>
      <c r="H1145" s="784"/>
      <c r="I1145" s="798"/>
      <c r="J1145" s="777"/>
      <c r="K1145" s="795" t="str">
        <f ca="1">W1145</f>
        <v/>
      </c>
      <c r="L1145" s="795" t="str">
        <f ca="1">V1145</f>
        <v/>
      </c>
      <c r="M1145" s="777"/>
      <c r="N1145" s="777"/>
      <c r="P1145" s="89">
        <f ca="1">IF(AND(EXACT(C1145,C1143),C1143&lt;&gt;0),P1143+1,0)</f>
        <v>22</v>
      </c>
      <c r="Q1145" s="89" t="str">
        <f ca="1">IF(C1145&lt;&gt;"",C1145&amp;"-"&amp;P1145,"")</f>
        <v/>
      </c>
      <c r="R1145" s="89" t="str">
        <f t="array" aca="1" ref="R1145" ca="1">IFERROR(IF(INDEX('Disaggregation Records'!$E$155:$E$385,MATCH(RIGHT(Q1145,255),RIGHT('Disaggregation Records'!$D$155:$D$385,255),0))="","",INDEX('Disaggregation Records'!$E$155:$E$385,MATCH(RIGHT(Q1145,255),RIGHT('Disaggregation Records'!$D$155:$D$385,255),0))),"")</f>
        <v/>
      </c>
      <c r="S1145" s="89" t="str">
        <f t="array" aca="1" ref="S1145" ca="1">IFERROR(IF(INDEX('Disaggregation Records'!$F$155:$F$385,MATCH(RIGHT(Q1145,255),RIGHT('Disaggregation Records'!$D$155:$D$385,255),0))="","",INDEX('Disaggregation Records'!$F$155:$F$385,MATCH(RIGHT(Q1145,255),RIGHT('Disaggregation Records'!$D$155:$D$385,255),0))),"")</f>
        <v/>
      </c>
      <c r="T1145" s="89" t="str">
        <f t="array" aca="1" ref="T1145" ca="1">IFERROR(IF(INDEX('Disaggregation Records'!$H$155:$H$385,MATCH(RIGHT(Q1145,255),RIGHT('Disaggregation Records'!$D$155:$D$385,255),0))="","",INDEX('Disaggregation Records'!$H$155:$H$385,MATCH(RIGHT(Q1145,255),RIGHT('Disaggregation Records'!$D$155:$D$385,255),0))),"")</f>
        <v/>
      </c>
      <c r="U1145" s="89">
        <f>U1143+1</f>
        <v>1682</v>
      </c>
      <c r="V1145" s="89" t="str">
        <f t="array" aca="1" ref="V1145" ca="1">IFERROR(IF(INDEX('Disaggregation Records'!$I$155:$I$385,MATCH(RIGHT(Q1145,255),RIGHT('Disaggregation Records'!$D$155:$D$385,255),0))="","",INDEX('Disaggregation Records'!$I$155:$I$385,MATCH(RIGHT(Q1145,255),RIGHT('Disaggregation Records'!$D$155:$D$385,255),0))),"")</f>
        <v/>
      </c>
      <c r="W1145" s="89" t="str">
        <f ca="1">IFERROR(INDEX('Reference Records'!L$77:L$157,MATCH(LEFT(C1145,255),'Reference Records'!E$77:E$157,0)),"")</f>
        <v/>
      </c>
    </row>
    <row r="1146" spans="1:23" s="89" customFormat="1" ht="40.35" customHeight="1">
      <c r="A1146" s="564"/>
      <c r="B1146" s="799"/>
      <c r="C1146" s="800"/>
      <c r="D1146" s="801"/>
      <c r="E1146" s="801"/>
      <c r="F1146" s="128"/>
      <c r="G1146" s="802"/>
      <c r="H1146" s="781"/>
      <c r="I1146" s="803"/>
      <c r="J1146" s="779"/>
      <c r="K1146" s="800"/>
      <c r="L1146" s="800"/>
      <c r="M1146" s="779"/>
      <c r="N1146" s="779"/>
    </row>
    <row r="1147" spans="1:23" s="89" customFormat="1" ht="40.35" customHeight="1">
      <c r="A1147" s="564" t="str">
        <f ca="1">INDIRECT("'update Helper'!C"&amp;U1147)</f>
        <v>a163p000004VjowAAC</v>
      </c>
      <c r="B1147" s="794">
        <v>14</v>
      </c>
      <c r="C1147" s="795" t="str">
        <f ca="1">VLOOKUP(B1147,'Coverage Indicators - Section D'!$A$9:$AU$70,47,FALSE)</f>
        <v/>
      </c>
      <c r="D1147" s="796" t="str">
        <f ca="1">R1147</f>
        <v/>
      </c>
      <c r="E1147" s="796" t="str">
        <f ca="1">S1147</f>
        <v/>
      </c>
      <c r="F1147" s="127"/>
      <c r="G1147" s="797" t="str">
        <f ca="1">IF(OR(INDIRECT("'update Helper'!E"&amp;U1147)="",F1147&lt;&gt;0,F1148&lt;&gt;0),IF(IFERROR((F1147/F1148),"")="","",(F1147/F1148)),INDIRECT("'update Helper'!E"&amp;U1147)/100)</f>
        <v/>
      </c>
      <c r="H1147" s="784"/>
      <c r="I1147" s="798"/>
      <c r="J1147" s="777"/>
      <c r="K1147" s="795" t="str">
        <f ca="1">W1147</f>
        <v/>
      </c>
      <c r="L1147" s="795" t="str">
        <f ca="1">V1147</f>
        <v/>
      </c>
      <c r="M1147" s="777"/>
      <c r="N1147" s="777"/>
      <c r="P1147" s="89">
        <f ca="1">IF(AND(EXACT(C1147,C1145),C1145&lt;&gt;0),P1145+1,0)</f>
        <v>23</v>
      </c>
      <c r="Q1147" s="89" t="str">
        <f ca="1">IF(C1147&lt;&gt;"",C1147&amp;"-"&amp;P1147,"")</f>
        <v/>
      </c>
      <c r="R1147" s="89" t="str">
        <f t="array" aca="1" ref="R1147" ca="1">IFERROR(IF(INDEX('Disaggregation Records'!$E$155:$E$385,MATCH(RIGHT(Q1147,255),RIGHT('Disaggregation Records'!$D$155:$D$385,255),0))="","",INDEX('Disaggregation Records'!$E$155:$E$385,MATCH(RIGHT(Q1147,255),RIGHT('Disaggregation Records'!$D$155:$D$385,255),0))),"")</f>
        <v/>
      </c>
      <c r="S1147" s="89" t="str">
        <f t="array" aca="1" ref="S1147" ca="1">IFERROR(IF(INDEX('Disaggregation Records'!$F$155:$F$385,MATCH(RIGHT(Q1147,255),RIGHT('Disaggregation Records'!$D$155:$D$385,255),0))="","",INDEX('Disaggregation Records'!$F$155:$F$385,MATCH(RIGHT(Q1147,255),RIGHT('Disaggregation Records'!$D$155:$D$385,255),0))),"")</f>
        <v/>
      </c>
      <c r="T1147" s="89" t="str">
        <f t="array" aca="1" ref="T1147" ca="1">IFERROR(IF(INDEX('Disaggregation Records'!$H$155:$H$385,MATCH(RIGHT(Q1147,255),RIGHT('Disaggregation Records'!$D$155:$D$385,255),0))="","",INDEX('Disaggregation Records'!$H$155:$H$385,MATCH(RIGHT(Q1147,255),RIGHT('Disaggregation Records'!$D$155:$D$385,255),0))),"")</f>
        <v/>
      </c>
      <c r="U1147" s="89">
        <f>U1145+1</f>
        <v>1683</v>
      </c>
      <c r="V1147" s="89" t="str">
        <f t="array" aca="1" ref="V1147" ca="1">IFERROR(IF(INDEX('Disaggregation Records'!$I$155:$I$385,MATCH(RIGHT(Q1147,255),RIGHT('Disaggregation Records'!$D$155:$D$385,255),0))="","",INDEX('Disaggregation Records'!$I$155:$I$385,MATCH(RIGHT(Q1147,255),RIGHT('Disaggregation Records'!$D$155:$D$385,255),0))),"")</f>
        <v/>
      </c>
      <c r="W1147" s="89" t="str">
        <f ca="1">IFERROR(INDEX('Reference Records'!L$77:L$157,MATCH(LEFT(C1147,255),'Reference Records'!E$77:E$157,0)),"")</f>
        <v/>
      </c>
    </row>
    <row r="1148" spans="1:23" s="89" customFormat="1" ht="40.35" customHeight="1">
      <c r="A1148" s="564"/>
      <c r="B1148" s="799"/>
      <c r="C1148" s="800"/>
      <c r="D1148" s="801"/>
      <c r="E1148" s="801"/>
      <c r="F1148" s="128"/>
      <c r="G1148" s="802"/>
      <c r="H1148" s="781"/>
      <c r="I1148" s="803"/>
      <c r="J1148" s="779"/>
      <c r="K1148" s="800"/>
      <c r="L1148" s="800"/>
      <c r="M1148" s="779"/>
      <c r="N1148" s="779"/>
    </row>
    <row r="1149" spans="1:23" s="89" customFormat="1" ht="40.35" customHeight="1">
      <c r="A1149" s="564" t="str">
        <f ca="1">INDIRECT("'update Helper'!C"&amp;U1149)</f>
        <v>a163p000004VjoxAAC</v>
      </c>
      <c r="B1149" s="794">
        <v>14</v>
      </c>
      <c r="C1149" s="795" t="str">
        <f ca="1">VLOOKUP(B1149,'Coverage Indicators - Section D'!$A$9:$AU$70,47,FALSE)</f>
        <v/>
      </c>
      <c r="D1149" s="796" t="str">
        <f ca="1">R1149</f>
        <v/>
      </c>
      <c r="E1149" s="796" t="str">
        <f ca="1">S1149</f>
        <v/>
      </c>
      <c r="F1149" s="127"/>
      <c r="G1149" s="797" t="str">
        <f ca="1">IF(OR(INDIRECT("'update Helper'!E"&amp;U1149)="",F1149&lt;&gt;0,F1150&lt;&gt;0),IF(IFERROR((F1149/F1150),"")="","",(F1149/F1150)),INDIRECT("'update Helper'!E"&amp;U1149)/100)</f>
        <v/>
      </c>
      <c r="H1149" s="784"/>
      <c r="I1149" s="798"/>
      <c r="J1149" s="777"/>
      <c r="K1149" s="795" t="str">
        <f ca="1">W1149</f>
        <v/>
      </c>
      <c r="L1149" s="795" t="str">
        <f ca="1">V1149</f>
        <v/>
      </c>
      <c r="M1149" s="777"/>
      <c r="N1149" s="777"/>
      <c r="P1149" s="89">
        <f ca="1">IF(AND(EXACT(C1149,C1147),C1147&lt;&gt;0),P1147+1,0)</f>
        <v>24</v>
      </c>
      <c r="Q1149" s="89" t="str">
        <f ca="1">IF(C1149&lt;&gt;"",C1149&amp;"-"&amp;P1149,"")</f>
        <v/>
      </c>
      <c r="R1149" s="89" t="str">
        <f t="array" aca="1" ref="R1149" ca="1">IFERROR(IF(INDEX('Disaggregation Records'!$E$155:$E$385,MATCH(RIGHT(Q1149,255),RIGHT('Disaggregation Records'!$D$155:$D$385,255),0))="","",INDEX('Disaggregation Records'!$E$155:$E$385,MATCH(RIGHT(Q1149,255),RIGHT('Disaggregation Records'!$D$155:$D$385,255),0))),"")</f>
        <v/>
      </c>
      <c r="S1149" s="89" t="str">
        <f t="array" aca="1" ref="S1149" ca="1">IFERROR(IF(INDEX('Disaggregation Records'!$F$155:$F$385,MATCH(RIGHT(Q1149,255),RIGHT('Disaggregation Records'!$D$155:$D$385,255),0))="","",INDEX('Disaggregation Records'!$F$155:$F$385,MATCH(RIGHT(Q1149,255),RIGHT('Disaggregation Records'!$D$155:$D$385,255),0))),"")</f>
        <v/>
      </c>
      <c r="T1149" s="89" t="str">
        <f t="array" aca="1" ref="T1149" ca="1">IFERROR(IF(INDEX('Disaggregation Records'!$H$155:$H$385,MATCH(RIGHT(Q1149,255),RIGHT('Disaggregation Records'!$D$155:$D$385,255),0))="","",INDEX('Disaggregation Records'!$H$155:$H$385,MATCH(RIGHT(Q1149,255),RIGHT('Disaggregation Records'!$D$155:$D$385,255),0))),"")</f>
        <v/>
      </c>
      <c r="U1149" s="89">
        <f>U1147+1</f>
        <v>1684</v>
      </c>
      <c r="V1149" s="89" t="str">
        <f t="array" aca="1" ref="V1149" ca="1">IFERROR(IF(INDEX('Disaggregation Records'!$I$155:$I$385,MATCH(RIGHT(Q1149,255),RIGHT('Disaggregation Records'!$D$155:$D$385,255),0))="","",INDEX('Disaggregation Records'!$I$155:$I$385,MATCH(RIGHT(Q1149,255),RIGHT('Disaggregation Records'!$D$155:$D$385,255),0))),"")</f>
        <v/>
      </c>
      <c r="W1149" s="89" t="str">
        <f ca="1">IFERROR(INDEX('Reference Records'!L$77:L$157,MATCH(LEFT(C1149,255),'Reference Records'!E$77:E$157,0)),"")</f>
        <v/>
      </c>
    </row>
    <row r="1150" spans="1:23" s="89" customFormat="1" ht="40.35" customHeight="1">
      <c r="A1150" s="564"/>
      <c r="B1150" s="799"/>
      <c r="C1150" s="800"/>
      <c r="D1150" s="801"/>
      <c r="E1150" s="801"/>
      <c r="F1150" s="128"/>
      <c r="G1150" s="802"/>
      <c r="H1150" s="781"/>
      <c r="I1150" s="803"/>
      <c r="J1150" s="779"/>
      <c r="K1150" s="800"/>
      <c r="L1150" s="800"/>
      <c r="M1150" s="779"/>
      <c r="N1150" s="779"/>
    </row>
    <row r="1151" spans="1:23" s="89" customFormat="1" ht="40.35" customHeight="1">
      <c r="A1151" s="564" t="str">
        <f ca="1">INDIRECT("'update Helper'!C"&amp;U1151)</f>
        <v>a163p000004VjoyAAC</v>
      </c>
      <c r="B1151" s="794">
        <v>14</v>
      </c>
      <c r="C1151" s="795" t="str">
        <f ca="1">VLOOKUP(B1151,'Coverage Indicators - Section D'!$A$9:$AU$70,47,FALSE)</f>
        <v/>
      </c>
      <c r="D1151" s="796" t="str">
        <f ca="1">R1151</f>
        <v/>
      </c>
      <c r="E1151" s="796" t="str">
        <f ca="1">S1151</f>
        <v/>
      </c>
      <c r="F1151" s="127"/>
      <c r="G1151" s="797" t="str">
        <f ca="1">IF(OR(INDIRECT("'update Helper'!E"&amp;U1151)="",F1151&lt;&gt;0,F1152&lt;&gt;0),IF(IFERROR((F1151/F1152),"")="","",(F1151/F1152)),INDIRECT("'update Helper'!E"&amp;U1151)/100)</f>
        <v/>
      </c>
      <c r="H1151" s="784"/>
      <c r="I1151" s="798"/>
      <c r="J1151" s="777"/>
      <c r="K1151" s="795" t="str">
        <f ca="1">W1151</f>
        <v/>
      </c>
      <c r="L1151" s="795" t="str">
        <f ca="1">V1151</f>
        <v/>
      </c>
      <c r="M1151" s="777"/>
      <c r="N1151" s="777"/>
      <c r="P1151" s="89">
        <f ca="1">IF(AND(EXACT(C1151,C1149),C1149&lt;&gt;0),P1149+1,0)</f>
        <v>25</v>
      </c>
      <c r="Q1151" s="89" t="str">
        <f ca="1">IF(C1151&lt;&gt;"",C1151&amp;"-"&amp;P1151,"")</f>
        <v/>
      </c>
      <c r="R1151" s="89" t="str">
        <f t="array" aca="1" ref="R1151" ca="1">IFERROR(IF(INDEX('Disaggregation Records'!$E$155:$E$385,MATCH(RIGHT(Q1151,255),RIGHT('Disaggregation Records'!$D$155:$D$385,255),0))="","",INDEX('Disaggregation Records'!$E$155:$E$385,MATCH(RIGHT(Q1151,255),RIGHT('Disaggregation Records'!$D$155:$D$385,255),0))),"")</f>
        <v/>
      </c>
      <c r="S1151" s="89" t="str">
        <f t="array" aca="1" ref="S1151" ca="1">IFERROR(IF(INDEX('Disaggregation Records'!$F$155:$F$385,MATCH(RIGHT(Q1151,255),RIGHT('Disaggregation Records'!$D$155:$D$385,255),0))="","",INDEX('Disaggregation Records'!$F$155:$F$385,MATCH(RIGHT(Q1151,255),RIGHT('Disaggregation Records'!$D$155:$D$385,255),0))),"")</f>
        <v/>
      </c>
      <c r="T1151" s="89" t="str">
        <f t="array" aca="1" ref="T1151" ca="1">IFERROR(IF(INDEX('Disaggregation Records'!$H$155:$H$385,MATCH(RIGHT(Q1151,255),RIGHT('Disaggregation Records'!$D$155:$D$385,255),0))="","",INDEX('Disaggregation Records'!$H$155:$H$385,MATCH(RIGHT(Q1151,255),RIGHT('Disaggregation Records'!$D$155:$D$385,255),0))),"")</f>
        <v/>
      </c>
      <c r="U1151" s="89">
        <f>U1149+1</f>
        <v>1685</v>
      </c>
      <c r="V1151" s="89" t="str">
        <f t="array" aca="1" ref="V1151" ca="1">IFERROR(IF(INDEX('Disaggregation Records'!$I$155:$I$385,MATCH(RIGHT(Q1151,255),RIGHT('Disaggregation Records'!$D$155:$D$385,255),0))="","",INDEX('Disaggregation Records'!$I$155:$I$385,MATCH(RIGHT(Q1151,255),RIGHT('Disaggregation Records'!$D$155:$D$385,255),0))),"")</f>
        <v/>
      </c>
      <c r="W1151" s="89" t="str">
        <f ca="1">IFERROR(INDEX('Reference Records'!L$77:L$157,MATCH(LEFT(C1151,255),'Reference Records'!E$77:E$157,0)),"")</f>
        <v/>
      </c>
    </row>
    <row r="1152" spans="1:23" s="89" customFormat="1" ht="40.35" customHeight="1">
      <c r="A1152" s="564"/>
      <c r="B1152" s="799"/>
      <c r="C1152" s="800"/>
      <c r="D1152" s="801"/>
      <c r="E1152" s="801"/>
      <c r="F1152" s="128"/>
      <c r="G1152" s="802"/>
      <c r="H1152" s="781"/>
      <c r="I1152" s="803"/>
      <c r="J1152" s="779"/>
      <c r="K1152" s="800"/>
      <c r="L1152" s="800"/>
      <c r="M1152" s="779"/>
      <c r="N1152" s="779"/>
    </row>
    <row r="1153" spans="1:23" s="89" customFormat="1" ht="40.35" customHeight="1">
      <c r="A1153" s="564" t="str">
        <f ca="1">INDIRECT("'update Helper'!C"&amp;U1153)</f>
        <v>a163p000004VjozAAC</v>
      </c>
      <c r="B1153" s="794">
        <v>14</v>
      </c>
      <c r="C1153" s="795" t="str">
        <f ca="1">VLOOKUP(B1153,'Coverage Indicators - Section D'!$A$9:$AU$70,47,FALSE)</f>
        <v/>
      </c>
      <c r="D1153" s="796" t="str">
        <f ca="1">R1153</f>
        <v/>
      </c>
      <c r="E1153" s="796" t="str">
        <f ca="1">S1153</f>
        <v/>
      </c>
      <c r="F1153" s="127"/>
      <c r="G1153" s="797" t="str">
        <f ca="1">IF(OR(INDIRECT("'update Helper'!E"&amp;U1153)="",F1153&lt;&gt;0,F1154&lt;&gt;0),IF(IFERROR((F1153/F1154),"")="","",(F1153/F1154)),INDIRECT("'update Helper'!E"&amp;U1153)/100)</f>
        <v/>
      </c>
      <c r="H1153" s="784"/>
      <c r="I1153" s="798"/>
      <c r="J1153" s="777"/>
      <c r="K1153" s="795" t="str">
        <f ca="1">W1153</f>
        <v/>
      </c>
      <c r="L1153" s="795" t="str">
        <f ca="1">V1153</f>
        <v/>
      </c>
      <c r="M1153" s="777"/>
      <c r="N1153" s="777"/>
      <c r="P1153" s="89">
        <f ca="1">IF(AND(EXACT(C1153,C1151),C1151&lt;&gt;0),P1151+1,0)</f>
        <v>26</v>
      </c>
      <c r="Q1153" s="89" t="str">
        <f ca="1">IF(C1153&lt;&gt;"",C1153&amp;"-"&amp;P1153,"")</f>
        <v/>
      </c>
      <c r="R1153" s="89" t="str">
        <f t="array" aca="1" ref="R1153" ca="1">IFERROR(IF(INDEX('Disaggregation Records'!$E$155:$E$385,MATCH(RIGHT(Q1153,255),RIGHT('Disaggregation Records'!$D$155:$D$385,255),0))="","",INDEX('Disaggregation Records'!$E$155:$E$385,MATCH(RIGHT(Q1153,255),RIGHT('Disaggregation Records'!$D$155:$D$385,255),0))),"")</f>
        <v/>
      </c>
      <c r="S1153" s="89" t="str">
        <f t="array" aca="1" ref="S1153" ca="1">IFERROR(IF(INDEX('Disaggregation Records'!$F$155:$F$385,MATCH(RIGHT(Q1153,255),RIGHT('Disaggregation Records'!$D$155:$D$385,255),0))="","",INDEX('Disaggregation Records'!$F$155:$F$385,MATCH(RIGHT(Q1153,255),RIGHT('Disaggregation Records'!$D$155:$D$385,255),0))),"")</f>
        <v/>
      </c>
      <c r="T1153" s="89" t="str">
        <f t="array" aca="1" ref="T1153" ca="1">IFERROR(IF(INDEX('Disaggregation Records'!$H$155:$H$385,MATCH(RIGHT(Q1153,255),RIGHT('Disaggregation Records'!$D$155:$D$385,255),0))="","",INDEX('Disaggregation Records'!$H$155:$H$385,MATCH(RIGHT(Q1153,255),RIGHT('Disaggregation Records'!$D$155:$D$385,255),0))),"")</f>
        <v/>
      </c>
      <c r="U1153" s="89">
        <f>U1151+1</f>
        <v>1686</v>
      </c>
      <c r="V1153" s="89" t="str">
        <f t="array" aca="1" ref="V1153" ca="1">IFERROR(IF(INDEX('Disaggregation Records'!$I$155:$I$385,MATCH(RIGHT(Q1153,255),RIGHT('Disaggregation Records'!$D$155:$D$385,255),0))="","",INDEX('Disaggregation Records'!$I$155:$I$385,MATCH(RIGHT(Q1153,255),RIGHT('Disaggregation Records'!$D$155:$D$385,255),0))),"")</f>
        <v/>
      </c>
      <c r="W1153" s="89" t="str">
        <f ca="1">IFERROR(INDEX('Reference Records'!L$77:L$157,MATCH(LEFT(C1153,255),'Reference Records'!E$77:E$157,0)),"")</f>
        <v/>
      </c>
    </row>
    <row r="1154" spans="1:23" s="89" customFormat="1" ht="40.35" customHeight="1">
      <c r="A1154" s="564"/>
      <c r="B1154" s="799"/>
      <c r="C1154" s="800"/>
      <c r="D1154" s="801"/>
      <c r="E1154" s="801"/>
      <c r="F1154" s="128"/>
      <c r="G1154" s="802"/>
      <c r="H1154" s="781"/>
      <c r="I1154" s="803"/>
      <c r="J1154" s="779"/>
      <c r="K1154" s="800"/>
      <c r="L1154" s="800"/>
      <c r="M1154" s="779"/>
      <c r="N1154" s="779"/>
    </row>
    <row r="1155" spans="1:23" s="89" customFormat="1" ht="40.35" customHeight="1">
      <c r="A1155" s="564" t="str">
        <f ca="1">INDIRECT("'update Helper'!C"&amp;U1155)</f>
        <v>a163p000004Vjp0AAC</v>
      </c>
      <c r="B1155" s="794">
        <v>14</v>
      </c>
      <c r="C1155" s="795" t="str">
        <f ca="1">VLOOKUP(B1155,'Coverage Indicators - Section D'!$A$9:$AU$70,47,FALSE)</f>
        <v/>
      </c>
      <c r="D1155" s="796" t="str">
        <f ca="1">R1155</f>
        <v/>
      </c>
      <c r="E1155" s="796" t="str">
        <f ca="1">S1155</f>
        <v/>
      </c>
      <c r="F1155" s="127"/>
      <c r="G1155" s="797" t="str">
        <f ca="1">IF(OR(INDIRECT("'update Helper'!E"&amp;U1155)="",F1155&lt;&gt;0,F1156&lt;&gt;0),IF(IFERROR((F1155/F1156),"")="","",(F1155/F1156)),INDIRECT("'update Helper'!E"&amp;U1155)/100)</f>
        <v/>
      </c>
      <c r="H1155" s="784"/>
      <c r="I1155" s="798"/>
      <c r="J1155" s="777"/>
      <c r="K1155" s="795" t="str">
        <f ca="1">W1155</f>
        <v/>
      </c>
      <c r="L1155" s="795" t="str">
        <f ca="1">V1155</f>
        <v/>
      </c>
      <c r="M1155" s="777"/>
      <c r="N1155" s="777"/>
      <c r="P1155" s="89">
        <f ca="1">IF(AND(EXACT(C1155,C1153),C1153&lt;&gt;0),P1153+1,0)</f>
        <v>27</v>
      </c>
      <c r="Q1155" s="89" t="str">
        <f ca="1">IF(C1155&lt;&gt;"",C1155&amp;"-"&amp;P1155,"")</f>
        <v/>
      </c>
      <c r="R1155" s="89" t="str">
        <f t="array" aca="1" ref="R1155" ca="1">IFERROR(IF(INDEX('Disaggregation Records'!$E$155:$E$385,MATCH(RIGHT(Q1155,255),RIGHT('Disaggregation Records'!$D$155:$D$385,255),0))="","",INDEX('Disaggregation Records'!$E$155:$E$385,MATCH(RIGHT(Q1155,255),RIGHT('Disaggregation Records'!$D$155:$D$385,255),0))),"")</f>
        <v/>
      </c>
      <c r="S1155" s="89" t="str">
        <f t="array" aca="1" ref="S1155" ca="1">IFERROR(IF(INDEX('Disaggregation Records'!$F$155:$F$385,MATCH(RIGHT(Q1155,255),RIGHT('Disaggregation Records'!$D$155:$D$385,255),0))="","",INDEX('Disaggregation Records'!$F$155:$F$385,MATCH(RIGHT(Q1155,255),RIGHT('Disaggregation Records'!$D$155:$D$385,255),0))),"")</f>
        <v/>
      </c>
      <c r="T1155" s="89" t="str">
        <f t="array" aca="1" ref="T1155" ca="1">IFERROR(IF(INDEX('Disaggregation Records'!$H$155:$H$385,MATCH(RIGHT(Q1155,255),RIGHT('Disaggregation Records'!$D$155:$D$385,255),0))="","",INDEX('Disaggregation Records'!$H$155:$H$385,MATCH(RIGHT(Q1155,255),RIGHT('Disaggregation Records'!$D$155:$D$385,255),0))),"")</f>
        <v/>
      </c>
      <c r="U1155" s="89">
        <f>U1153+1</f>
        <v>1687</v>
      </c>
      <c r="V1155" s="89" t="str">
        <f t="array" aca="1" ref="V1155" ca="1">IFERROR(IF(INDEX('Disaggregation Records'!$I$155:$I$385,MATCH(RIGHT(Q1155,255),RIGHT('Disaggregation Records'!$D$155:$D$385,255),0))="","",INDEX('Disaggregation Records'!$I$155:$I$385,MATCH(RIGHT(Q1155,255),RIGHT('Disaggregation Records'!$D$155:$D$385,255),0))),"")</f>
        <v/>
      </c>
      <c r="W1155" s="89" t="str">
        <f ca="1">IFERROR(INDEX('Reference Records'!L$77:L$157,MATCH(LEFT(C1155,255),'Reference Records'!E$77:E$157,0)),"")</f>
        <v/>
      </c>
    </row>
    <row r="1156" spans="1:23" s="89" customFormat="1" ht="40.35" customHeight="1">
      <c r="A1156" s="564"/>
      <c r="B1156" s="799"/>
      <c r="C1156" s="800"/>
      <c r="D1156" s="801"/>
      <c r="E1156" s="801"/>
      <c r="F1156" s="128"/>
      <c r="G1156" s="802"/>
      <c r="H1156" s="781"/>
      <c r="I1156" s="803"/>
      <c r="J1156" s="779"/>
      <c r="K1156" s="800"/>
      <c r="L1156" s="800"/>
      <c r="M1156" s="779"/>
      <c r="N1156" s="779"/>
    </row>
    <row r="1157" spans="1:23" s="89" customFormat="1" ht="40.35" customHeight="1">
      <c r="A1157" s="564" t="str">
        <f ca="1">INDIRECT("'update Helper'!C"&amp;U1157)</f>
        <v>a163p000004Vjp1AAC</v>
      </c>
      <c r="B1157" s="794">
        <v>14</v>
      </c>
      <c r="C1157" s="795" t="str">
        <f ca="1">VLOOKUP(B1157,'Coverage Indicators - Section D'!$A$9:$AU$70,47,FALSE)</f>
        <v/>
      </c>
      <c r="D1157" s="796" t="str">
        <f ca="1">R1157</f>
        <v/>
      </c>
      <c r="E1157" s="796" t="str">
        <f ca="1">S1157</f>
        <v/>
      </c>
      <c r="F1157" s="127"/>
      <c r="G1157" s="797" t="str">
        <f ca="1">IF(OR(INDIRECT("'update Helper'!E"&amp;U1157)="",F1157&lt;&gt;0,F1158&lt;&gt;0),IF(IFERROR((F1157/F1158),"")="","",(F1157/F1158)),INDIRECT("'update Helper'!E"&amp;U1157)/100)</f>
        <v/>
      </c>
      <c r="H1157" s="784"/>
      <c r="I1157" s="798"/>
      <c r="J1157" s="777"/>
      <c r="K1157" s="795" t="str">
        <f ca="1">W1157</f>
        <v/>
      </c>
      <c r="L1157" s="795" t="str">
        <f ca="1">V1157</f>
        <v/>
      </c>
      <c r="M1157" s="777"/>
      <c r="N1157" s="777"/>
      <c r="P1157" s="89">
        <f ca="1">IF(AND(EXACT(C1157,C1155),C1155&lt;&gt;0),P1155+1,0)</f>
        <v>28</v>
      </c>
      <c r="Q1157" s="89" t="str">
        <f ca="1">IF(C1157&lt;&gt;"",C1157&amp;"-"&amp;P1157,"")</f>
        <v/>
      </c>
      <c r="R1157" s="89" t="str">
        <f t="array" aca="1" ref="R1157" ca="1">IFERROR(IF(INDEX('Disaggregation Records'!$E$155:$E$385,MATCH(RIGHT(Q1157,255),RIGHT('Disaggregation Records'!$D$155:$D$385,255),0))="","",INDEX('Disaggregation Records'!$E$155:$E$385,MATCH(RIGHT(Q1157,255),RIGHT('Disaggregation Records'!$D$155:$D$385,255),0))),"")</f>
        <v/>
      </c>
      <c r="S1157" s="89" t="str">
        <f t="array" aca="1" ref="S1157" ca="1">IFERROR(IF(INDEX('Disaggregation Records'!$F$155:$F$385,MATCH(RIGHT(Q1157,255),RIGHT('Disaggregation Records'!$D$155:$D$385,255),0))="","",INDEX('Disaggregation Records'!$F$155:$F$385,MATCH(RIGHT(Q1157,255),RIGHT('Disaggregation Records'!$D$155:$D$385,255),0))),"")</f>
        <v/>
      </c>
      <c r="T1157" s="89" t="str">
        <f t="array" aca="1" ref="T1157" ca="1">IFERROR(IF(INDEX('Disaggregation Records'!$H$155:$H$385,MATCH(RIGHT(Q1157,255),RIGHT('Disaggregation Records'!$D$155:$D$385,255),0))="","",INDEX('Disaggregation Records'!$H$155:$H$385,MATCH(RIGHT(Q1157,255),RIGHT('Disaggregation Records'!$D$155:$D$385,255),0))),"")</f>
        <v/>
      </c>
      <c r="U1157" s="89">
        <f>U1155+1</f>
        <v>1688</v>
      </c>
      <c r="V1157" s="89" t="str">
        <f t="array" aca="1" ref="V1157" ca="1">IFERROR(IF(INDEX('Disaggregation Records'!$I$155:$I$385,MATCH(RIGHT(Q1157,255),RIGHT('Disaggregation Records'!$D$155:$D$385,255),0))="","",INDEX('Disaggregation Records'!$I$155:$I$385,MATCH(RIGHT(Q1157,255),RIGHT('Disaggregation Records'!$D$155:$D$385,255),0))),"")</f>
        <v/>
      </c>
      <c r="W1157" s="89" t="str">
        <f ca="1">IFERROR(INDEX('Reference Records'!L$77:L$157,MATCH(LEFT(C1157,255),'Reference Records'!E$77:E$157,0)),"")</f>
        <v/>
      </c>
    </row>
    <row r="1158" spans="1:23" s="89" customFormat="1" ht="40.35" customHeight="1">
      <c r="A1158" s="564"/>
      <c r="B1158" s="799"/>
      <c r="C1158" s="800"/>
      <c r="D1158" s="801"/>
      <c r="E1158" s="801"/>
      <c r="F1158" s="128"/>
      <c r="G1158" s="802"/>
      <c r="H1158" s="781"/>
      <c r="I1158" s="803"/>
      <c r="J1158" s="779"/>
      <c r="K1158" s="800"/>
      <c r="L1158" s="800"/>
      <c r="M1158" s="779"/>
      <c r="N1158" s="779"/>
    </row>
    <row r="1159" spans="1:23" s="89" customFormat="1" ht="40.35" customHeight="1">
      <c r="A1159" s="564" t="str">
        <f ca="1">INDIRECT("'update Helper'!C"&amp;U1159)</f>
        <v>a163p000004Vjp2AAC</v>
      </c>
      <c r="B1159" s="794">
        <v>14</v>
      </c>
      <c r="C1159" s="795" t="str">
        <f ca="1">VLOOKUP(B1159,'Coverage Indicators - Section D'!$A$9:$AU$70,47,FALSE)</f>
        <v/>
      </c>
      <c r="D1159" s="796" t="str">
        <f ca="1">R1159</f>
        <v/>
      </c>
      <c r="E1159" s="796" t="str">
        <f ca="1">S1159</f>
        <v/>
      </c>
      <c r="F1159" s="127"/>
      <c r="G1159" s="797" t="str">
        <f ca="1">IF(OR(INDIRECT("'update Helper'!E"&amp;U1159)="",F1159&lt;&gt;0,F1160&lt;&gt;0),IF(IFERROR((F1159/F1160),"")="","",(F1159/F1160)),INDIRECT("'update Helper'!E"&amp;U1159)/100)</f>
        <v/>
      </c>
      <c r="H1159" s="784"/>
      <c r="I1159" s="798"/>
      <c r="J1159" s="777"/>
      <c r="K1159" s="795" t="str">
        <f ca="1">W1159</f>
        <v/>
      </c>
      <c r="L1159" s="795" t="str">
        <f ca="1">V1159</f>
        <v/>
      </c>
      <c r="M1159" s="777"/>
      <c r="N1159" s="777"/>
      <c r="P1159" s="89">
        <f ca="1">IF(AND(EXACT(C1159,C1157),C1157&lt;&gt;0),P1157+1,0)</f>
        <v>29</v>
      </c>
      <c r="Q1159" s="89" t="str">
        <f ca="1">IF(C1159&lt;&gt;"",C1159&amp;"-"&amp;P1159,"")</f>
        <v/>
      </c>
      <c r="R1159" s="89" t="str">
        <f t="array" aca="1" ref="R1159" ca="1">IFERROR(IF(INDEX('Disaggregation Records'!$E$155:$E$385,MATCH(RIGHT(Q1159,255),RIGHT('Disaggregation Records'!$D$155:$D$385,255),0))="","",INDEX('Disaggregation Records'!$E$155:$E$385,MATCH(RIGHT(Q1159,255),RIGHT('Disaggregation Records'!$D$155:$D$385,255),0))),"")</f>
        <v/>
      </c>
      <c r="S1159" s="89" t="str">
        <f t="array" aca="1" ref="S1159" ca="1">IFERROR(IF(INDEX('Disaggregation Records'!$F$155:$F$385,MATCH(RIGHT(Q1159,255),RIGHT('Disaggregation Records'!$D$155:$D$385,255),0))="","",INDEX('Disaggregation Records'!$F$155:$F$385,MATCH(RIGHT(Q1159,255),RIGHT('Disaggregation Records'!$D$155:$D$385,255),0))),"")</f>
        <v/>
      </c>
      <c r="T1159" s="89" t="str">
        <f t="array" aca="1" ref="T1159" ca="1">IFERROR(IF(INDEX('Disaggregation Records'!$H$155:$H$385,MATCH(RIGHT(Q1159,255),RIGHT('Disaggregation Records'!$D$155:$D$385,255),0))="","",INDEX('Disaggregation Records'!$H$155:$H$385,MATCH(RIGHT(Q1159,255),RIGHT('Disaggregation Records'!$D$155:$D$385,255),0))),"")</f>
        <v/>
      </c>
      <c r="U1159" s="89">
        <f>U1157+1</f>
        <v>1689</v>
      </c>
      <c r="V1159" s="89" t="str">
        <f t="array" aca="1" ref="V1159" ca="1">IFERROR(IF(INDEX('Disaggregation Records'!$I$155:$I$385,MATCH(RIGHT(Q1159,255),RIGHT('Disaggregation Records'!$D$155:$D$385,255),0))="","",INDEX('Disaggregation Records'!$I$155:$I$385,MATCH(RIGHT(Q1159,255),RIGHT('Disaggregation Records'!$D$155:$D$385,255),0))),"")</f>
        <v/>
      </c>
      <c r="W1159" s="89" t="str">
        <f ca="1">IFERROR(INDEX('Reference Records'!L$77:L$157,MATCH(LEFT(C1159,255),'Reference Records'!E$77:E$157,0)),"")</f>
        <v/>
      </c>
    </row>
    <row r="1160" spans="1:23" s="89" customFormat="1" ht="40.35" customHeight="1">
      <c r="A1160" s="564"/>
      <c r="B1160" s="799"/>
      <c r="C1160" s="800"/>
      <c r="D1160" s="801"/>
      <c r="E1160" s="801"/>
      <c r="F1160" s="128"/>
      <c r="G1160" s="802"/>
      <c r="H1160" s="781"/>
      <c r="I1160" s="803"/>
      <c r="J1160" s="779"/>
      <c r="K1160" s="800"/>
      <c r="L1160" s="800"/>
      <c r="M1160" s="779"/>
      <c r="N1160" s="779"/>
    </row>
    <row r="1161" spans="1:23" s="89" customFormat="1" ht="40.35" customHeight="1">
      <c r="A1161" s="564" t="str">
        <f ca="1">INDIRECT("'update Helper'!C"&amp;U1161)</f>
        <v>a163p000004Vjp3AAC</v>
      </c>
      <c r="B1161" s="794">
        <v>14</v>
      </c>
      <c r="C1161" s="795" t="str">
        <f ca="1">VLOOKUP(B1161,'Coverage Indicators - Section D'!$A$9:$AU$70,47,FALSE)</f>
        <v/>
      </c>
      <c r="D1161" s="796" t="str">
        <f ca="1">R1161</f>
        <v/>
      </c>
      <c r="E1161" s="796" t="str">
        <f ca="1">S1161</f>
        <v/>
      </c>
      <c r="F1161" s="127"/>
      <c r="G1161" s="797" t="str">
        <f ca="1">IF(OR(INDIRECT("'update Helper'!E"&amp;U1161)="",F1161&lt;&gt;0,F1162&lt;&gt;0),IF(IFERROR((F1161/F1162),"")="","",(F1161/F1162)),INDIRECT("'update Helper'!E"&amp;U1161)/100)</f>
        <v/>
      </c>
      <c r="H1161" s="784"/>
      <c r="I1161" s="798"/>
      <c r="J1161" s="777"/>
      <c r="K1161" s="795" t="str">
        <f ca="1">W1161</f>
        <v/>
      </c>
      <c r="L1161" s="795" t="str">
        <f ca="1">V1161</f>
        <v/>
      </c>
      <c r="M1161" s="777"/>
      <c r="N1161" s="777"/>
      <c r="P1161" s="89">
        <f ca="1">IF(AND(EXACT(C1161,C1159),C1159&lt;&gt;0),P1159+1,0)</f>
        <v>30</v>
      </c>
      <c r="Q1161" s="89" t="str">
        <f ca="1">IF(C1161&lt;&gt;"",C1161&amp;"-"&amp;P1161,"")</f>
        <v/>
      </c>
      <c r="R1161" s="89" t="str">
        <f t="array" aca="1" ref="R1161" ca="1">IFERROR(IF(INDEX('Disaggregation Records'!$E$155:$E$385,MATCH(RIGHT(Q1161,255),RIGHT('Disaggregation Records'!$D$155:$D$385,255),0))="","",INDEX('Disaggregation Records'!$E$155:$E$385,MATCH(RIGHT(Q1161,255),RIGHT('Disaggregation Records'!$D$155:$D$385,255),0))),"")</f>
        <v/>
      </c>
      <c r="S1161" s="89" t="str">
        <f t="array" aca="1" ref="S1161" ca="1">IFERROR(IF(INDEX('Disaggregation Records'!$F$155:$F$385,MATCH(RIGHT(Q1161,255),RIGHT('Disaggregation Records'!$D$155:$D$385,255),0))="","",INDEX('Disaggregation Records'!$F$155:$F$385,MATCH(RIGHT(Q1161,255),RIGHT('Disaggregation Records'!$D$155:$D$385,255),0))),"")</f>
        <v/>
      </c>
      <c r="T1161" s="89" t="str">
        <f t="array" aca="1" ref="T1161" ca="1">IFERROR(IF(INDEX('Disaggregation Records'!$H$155:$H$385,MATCH(RIGHT(Q1161,255),RIGHT('Disaggregation Records'!$D$155:$D$385,255),0))="","",INDEX('Disaggregation Records'!$H$155:$H$385,MATCH(RIGHT(Q1161,255),RIGHT('Disaggregation Records'!$D$155:$D$385,255),0))),"")</f>
        <v/>
      </c>
      <c r="U1161" s="89">
        <f>U1159+1</f>
        <v>1690</v>
      </c>
      <c r="V1161" s="89" t="str">
        <f t="array" aca="1" ref="V1161" ca="1">IFERROR(IF(INDEX('Disaggregation Records'!$I$155:$I$385,MATCH(RIGHT(Q1161,255),RIGHT('Disaggregation Records'!$D$155:$D$385,255),0))="","",INDEX('Disaggregation Records'!$I$155:$I$385,MATCH(RIGHT(Q1161,255),RIGHT('Disaggregation Records'!$D$155:$D$385,255),0))),"")</f>
        <v/>
      </c>
      <c r="W1161" s="89" t="str">
        <f ca="1">IFERROR(INDEX('Reference Records'!L$77:L$157,MATCH(LEFT(C1161,255),'Reference Records'!E$77:E$157,0)),"")</f>
        <v/>
      </c>
    </row>
    <row r="1162" spans="1:23" s="89" customFormat="1" ht="40.35" customHeight="1">
      <c r="A1162" s="564"/>
      <c r="B1162" s="799"/>
      <c r="C1162" s="800"/>
      <c r="D1162" s="801"/>
      <c r="E1162" s="801"/>
      <c r="F1162" s="128"/>
      <c r="G1162" s="802"/>
      <c r="H1162" s="781"/>
      <c r="I1162" s="803"/>
      <c r="J1162" s="779"/>
      <c r="K1162" s="800"/>
      <c r="L1162" s="800"/>
      <c r="M1162" s="779"/>
      <c r="N1162" s="779"/>
    </row>
    <row r="1163" spans="1:23" s="89" customFormat="1" ht="40.35" customHeight="1">
      <c r="A1163" s="564" t="str">
        <f ca="1">INDIRECT("'update Helper'!C"&amp;U1163)</f>
        <v>a163p000004Vjp4AAC</v>
      </c>
      <c r="B1163" s="794">
        <v>14</v>
      </c>
      <c r="C1163" s="795" t="str">
        <f ca="1">VLOOKUP(B1163,'Coverage Indicators - Section D'!$A$9:$AU$70,47,FALSE)</f>
        <v/>
      </c>
      <c r="D1163" s="796" t="str">
        <f ca="1">R1163</f>
        <v/>
      </c>
      <c r="E1163" s="796" t="str">
        <f ca="1">S1163</f>
        <v/>
      </c>
      <c r="F1163" s="127"/>
      <c r="G1163" s="797" t="str">
        <f ca="1">IF(OR(INDIRECT("'update Helper'!E"&amp;U1163)="",F1163&lt;&gt;0,F1164&lt;&gt;0),IF(IFERROR((F1163/F1164),"")="","",(F1163/F1164)),INDIRECT("'update Helper'!E"&amp;U1163)/100)</f>
        <v/>
      </c>
      <c r="H1163" s="784"/>
      <c r="I1163" s="798"/>
      <c r="J1163" s="777"/>
      <c r="K1163" s="795" t="str">
        <f ca="1">W1163</f>
        <v/>
      </c>
      <c r="L1163" s="795" t="str">
        <f ca="1">V1163</f>
        <v/>
      </c>
      <c r="M1163" s="777"/>
      <c r="N1163" s="777"/>
      <c r="P1163" s="89">
        <f ca="1">IF(AND(EXACT(C1163,C1161),C1161&lt;&gt;0),P1161+1,0)</f>
        <v>31</v>
      </c>
      <c r="Q1163" s="89" t="str">
        <f ca="1">IF(C1163&lt;&gt;"",C1163&amp;"-"&amp;P1163,"")</f>
        <v/>
      </c>
      <c r="R1163" s="89" t="str">
        <f t="array" aca="1" ref="R1163" ca="1">IFERROR(IF(INDEX('Disaggregation Records'!$E$155:$E$385,MATCH(RIGHT(Q1163,255),RIGHT('Disaggregation Records'!$D$155:$D$385,255),0))="","",INDEX('Disaggregation Records'!$E$155:$E$385,MATCH(RIGHT(Q1163,255),RIGHT('Disaggregation Records'!$D$155:$D$385,255),0))),"")</f>
        <v/>
      </c>
      <c r="S1163" s="89" t="str">
        <f t="array" aca="1" ref="S1163" ca="1">IFERROR(IF(INDEX('Disaggregation Records'!$F$155:$F$385,MATCH(RIGHT(Q1163,255),RIGHT('Disaggregation Records'!$D$155:$D$385,255),0))="","",INDEX('Disaggregation Records'!$F$155:$F$385,MATCH(RIGHT(Q1163,255),RIGHT('Disaggregation Records'!$D$155:$D$385,255),0))),"")</f>
        <v/>
      </c>
      <c r="T1163" s="89" t="str">
        <f t="array" aca="1" ref="T1163" ca="1">IFERROR(IF(INDEX('Disaggregation Records'!$H$155:$H$385,MATCH(RIGHT(Q1163,255),RIGHT('Disaggregation Records'!$D$155:$D$385,255),0))="","",INDEX('Disaggregation Records'!$H$155:$H$385,MATCH(RIGHT(Q1163,255),RIGHT('Disaggregation Records'!$D$155:$D$385,255),0))),"")</f>
        <v/>
      </c>
      <c r="U1163" s="89">
        <f>U1161+1</f>
        <v>1691</v>
      </c>
      <c r="V1163" s="89" t="str">
        <f t="array" aca="1" ref="V1163" ca="1">IFERROR(IF(INDEX('Disaggregation Records'!$I$155:$I$385,MATCH(RIGHT(Q1163,255),RIGHT('Disaggregation Records'!$D$155:$D$385,255),0))="","",INDEX('Disaggregation Records'!$I$155:$I$385,MATCH(RIGHT(Q1163,255),RIGHT('Disaggregation Records'!$D$155:$D$385,255),0))),"")</f>
        <v/>
      </c>
      <c r="W1163" s="89" t="str">
        <f ca="1">IFERROR(INDEX('Reference Records'!L$77:L$157,MATCH(LEFT(C1163,255),'Reference Records'!E$77:E$157,0)),"")</f>
        <v/>
      </c>
    </row>
    <row r="1164" spans="1:23" s="89" customFormat="1" ht="40.35" customHeight="1">
      <c r="A1164" s="564"/>
      <c r="B1164" s="799"/>
      <c r="C1164" s="800"/>
      <c r="D1164" s="801"/>
      <c r="E1164" s="801"/>
      <c r="F1164" s="128"/>
      <c r="G1164" s="802"/>
      <c r="H1164" s="781"/>
      <c r="I1164" s="803"/>
      <c r="J1164" s="779"/>
      <c r="K1164" s="800"/>
      <c r="L1164" s="800"/>
      <c r="M1164" s="779"/>
      <c r="N1164" s="779"/>
    </row>
    <row r="1165" spans="1:23" s="89" customFormat="1" ht="40.35" customHeight="1">
      <c r="A1165" s="564" t="str">
        <f ca="1">INDIRECT("'update Helper'!C"&amp;U1165)</f>
        <v>a163p000004Vjp5AAC</v>
      </c>
      <c r="B1165" s="794">
        <v>14</v>
      </c>
      <c r="C1165" s="795" t="str">
        <f ca="1">VLOOKUP(B1165,'Coverage Indicators - Section D'!$A$9:$AU$70,47,FALSE)</f>
        <v/>
      </c>
      <c r="D1165" s="796" t="str">
        <f ca="1">R1165</f>
        <v/>
      </c>
      <c r="E1165" s="796" t="str">
        <f ca="1">S1165</f>
        <v/>
      </c>
      <c r="F1165" s="127"/>
      <c r="G1165" s="797" t="str">
        <f ca="1">IF(OR(INDIRECT("'update Helper'!E"&amp;U1165)="",F1165&lt;&gt;0,F1166&lt;&gt;0),IF(IFERROR((F1165/F1166),"")="","",(F1165/F1166)),INDIRECT("'update Helper'!E"&amp;U1165)/100)</f>
        <v/>
      </c>
      <c r="H1165" s="784"/>
      <c r="I1165" s="798"/>
      <c r="J1165" s="777"/>
      <c r="K1165" s="795" t="str">
        <f ca="1">W1165</f>
        <v/>
      </c>
      <c r="L1165" s="795" t="str">
        <f ca="1">V1165</f>
        <v/>
      </c>
      <c r="M1165" s="777"/>
      <c r="N1165" s="777"/>
      <c r="P1165" s="89">
        <f ca="1">IF(AND(EXACT(C1165,C1163),C1163&lt;&gt;0),P1163+1,0)</f>
        <v>32</v>
      </c>
      <c r="Q1165" s="89" t="str">
        <f ca="1">IF(C1165&lt;&gt;"",C1165&amp;"-"&amp;P1165,"")</f>
        <v/>
      </c>
      <c r="R1165" s="89" t="str">
        <f t="array" aca="1" ref="R1165" ca="1">IFERROR(IF(INDEX('Disaggregation Records'!$E$155:$E$385,MATCH(RIGHT(Q1165,255),RIGHT('Disaggregation Records'!$D$155:$D$385,255),0))="","",INDEX('Disaggregation Records'!$E$155:$E$385,MATCH(RIGHT(Q1165,255),RIGHT('Disaggregation Records'!$D$155:$D$385,255),0))),"")</f>
        <v/>
      </c>
      <c r="S1165" s="89" t="str">
        <f t="array" aca="1" ref="S1165" ca="1">IFERROR(IF(INDEX('Disaggregation Records'!$F$155:$F$385,MATCH(RIGHT(Q1165,255),RIGHT('Disaggregation Records'!$D$155:$D$385,255),0))="","",INDEX('Disaggregation Records'!$F$155:$F$385,MATCH(RIGHT(Q1165,255),RIGHT('Disaggregation Records'!$D$155:$D$385,255),0))),"")</f>
        <v/>
      </c>
      <c r="T1165" s="89" t="str">
        <f t="array" aca="1" ref="T1165" ca="1">IFERROR(IF(INDEX('Disaggregation Records'!$H$155:$H$385,MATCH(RIGHT(Q1165,255),RIGHT('Disaggregation Records'!$D$155:$D$385,255),0))="","",INDEX('Disaggregation Records'!$H$155:$H$385,MATCH(RIGHT(Q1165,255),RIGHT('Disaggregation Records'!$D$155:$D$385,255),0))),"")</f>
        <v/>
      </c>
      <c r="U1165" s="89">
        <f>U1163+1</f>
        <v>1692</v>
      </c>
      <c r="V1165" s="89" t="str">
        <f t="array" aca="1" ref="V1165" ca="1">IFERROR(IF(INDEX('Disaggregation Records'!$I$155:$I$385,MATCH(RIGHT(Q1165,255),RIGHT('Disaggregation Records'!$D$155:$D$385,255),0))="","",INDEX('Disaggregation Records'!$I$155:$I$385,MATCH(RIGHT(Q1165,255),RIGHT('Disaggregation Records'!$D$155:$D$385,255),0))),"")</f>
        <v/>
      </c>
      <c r="W1165" s="89" t="str">
        <f ca="1">IFERROR(INDEX('Reference Records'!L$77:L$157,MATCH(LEFT(C1165,255),'Reference Records'!E$77:E$157,0)),"")</f>
        <v/>
      </c>
    </row>
    <row r="1166" spans="1:23" s="89" customFormat="1" ht="40.35" customHeight="1">
      <c r="A1166" s="564"/>
      <c r="B1166" s="799"/>
      <c r="C1166" s="800"/>
      <c r="D1166" s="801"/>
      <c r="E1166" s="801"/>
      <c r="F1166" s="128"/>
      <c r="G1166" s="802"/>
      <c r="H1166" s="781"/>
      <c r="I1166" s="803"/>
      <c r="J1166" s="779"/>
      <c r="K1166" s="800"/>
      <c r="L1166" s="800"/>
      <c r="M1166" s="779"/>
      <c r="N1166" s="779"/>
    </row>
    <row r="1167" spans="1:23" s="89" customFormat="1" ht="40.35" customHeight="1">
      <c r="A1167" s="564" t="str">
        <f ca="1">INDIRECT("'update Helper'!C"&amp;U1167)</f>
        <v>a163p000004Vjp6AAC</v>
      </c>
      <c r="B1167" s="794">
        <v>14</v>
      </c>
      <c r="C1167" s="795" t="str">
        <f ca="1">VLOOKUP(B1167,'Coverage Indicators - Section D'!$A$9:$AU$70,47,FALSE)</f>
        <v/>
      </c>
      <c r="D1167" s="796" t="str">
        <f ca="1">R1167</f>
        <v/>
      </c>
      <c r="E1167" s="796" t="str">
        <f ca="1">S1167</f>
        <v/>
      </c>
      <c r="F1167" s="127"/>
      <c r="G1167" s="797" t="str">
        <f ca="1">IF(OR(INDIRECT("'update Helper'!E"&amp;U1167)="",F1167&lt;&gt;0,F1168&lt;&gt;0),IF(IFERROR((F1167/F1168),"")="","",(F1167/F1168)),INDIRECT("'update Helper'!E"&amp;U1167)/100)</f>
        <v/>
      </c>
      <c r="H1167" s="784"/>
      <c r="I1167" s="798"/>
      <c r="J1167" s="777"/>
      <c r="K1167" s="795" t="str">
        <f ca="1">W1167</f>
        <v/>
      </c>
      <c r="L1167" s="795" t="str">
        <f ca="1">V1167</f>
        <v/>
      </c>
      <c r="M1167" s="777"/>
      <c r="N1167" s="777"/>
      <c r="P1167" s="89">
        <f ca="1">IF(AND(EXACT(C1167,C1165),C1165&lt;&gt;0),P1165+1,0)</f>
        <v>33</v>
      </c>
      <c r="Q1167" s="89" t="str">
        <f ca="1">IF(C1167&lt;&gt;"",C1167&amp;"-"&amp;P1167,"")</f>
        <v/>
      </c>
      <c r="R1167" s="89" t="str">
        <f t="array" aca="1" ref="R1167" ca="1">IFERROR(IF(INDEX('Disaggregation Records'!$E$155:$E$385,MATCH(RIGHT(Q1167,255),RIGHT('Disaggregation Records'!$D$155:$D$385,255),0))="","",INDEX('Disaggregation Records'!$E$155:$E$385,MATCH(RIGHT(Q1167,255),RIGHT('Disaggregation Records'!$D$155:$D$385,255),0))),"")</f>
        <v/>
      </c>
      <c r="S1167" s="89" t="str">
        <f t="array" aca="1" ref="S1167" ca="1">IFERROR(IF(INDEX('Disaggregation Records'!$F$155:$F$385,MATCH(RIGHT(Q1167,255),RIGHT('Disaggregation Records'!$D$155:$D$385,255),0))="","",INDEX('Disaggregation Records'!$F$155:$F$385,MATCH(RIGHT(Q1167,255),RIGHT('Disaggregation Records'!$D$155:$D$385,255),0))),"")</f>
        <v/>
      </c>
      <c r="T1167" s="89" t="str">
        <f t="array" aca="1" ref="T1167" ca="1">IFERROR(IF(INDEX('Disaggregation Records'!$H$155:$H$385,MATCH(RIGHT(Q1167,255),RIGHT('Disaggregation Records'!$D$155:$D$385,255),0))="","",INDEX('Disaggregation Records'!$H$155:$H$385,MATCH(RIGHT(Q1167,255),RIGHT('Disaggregation Records'!$D$155:$D$385,255),0))),"")</f>
        <v/>
      </c>
      <c r="U1167" s="89">
        <f>U1165+1</f>
        <v>1693</v>
      </c>
      <c r="V1167" s="89" t="str">
        <f t="array" aca="1" ref="V1167" ca="1">IFERROR(IF(INDEX('Disaggregation Records'!$I$155:$I$385,MATCH(RIGHT(Q1167,255),RIGHT('Disaggregation Records'!$D$155:$D$385,255),0))="","",INDEX('Disaggregation Records'!$I$155:$I$385,MATCH(RIGHT(Q1167,255),RIGHT('Disaggregation Records'!$D$155:$D$385,255),0))),"")</f>
        <v/>
      </c>
      <c r="W1167" s="89" t="str">
        <f ca="1">IFERROR(INDEX('Reference Records'!L$77:L$157,MATCH(LEFT(C1167,255),'Reference Records'!E$77:E$157,0)),"")</f>
        <v/>
      </c>
    </row>
    <row r="1168" spans="1:23" s="89" customFormat="1" ht="40.35" customHeight="1">
      <c r="A1168" s="564"/>
      <c r="B1168" s="799"/>
      <c r="C1168" s="800"/>
      <c r="D1168" s="801"/>
      <c r="E1168" s="801"/>
      <c r="F1168" s="128"/>
      <c r="G1168" s="802"/>
      <c r="H1168" s="781"/>
      <c r="I1168" s="803"/>
      <c r="J1168" s="779"/>
      <c r="K1168" s="800"/>
      <c r="L1168" s="800"/>
      <c r="M1168" s="779"/>
      <c r="N1168" s="779"/>
    </row>
    <row r="1169" spans="1:23" s="89" customFormat="1" ht="40.35" customHeight="1">
      <c r="A1169" s="564" t="str">
        <f ca="1">INDIRECT("'update Helper'!C"&amp;U1169)</f>
        <v>a163p000004Vjp7AAC</v>
      </c>
      <c r="B1169" s="794">
        <v>14</v>
      </c>
      <c r="C1169" s="795" t="str">
        <f ca="1">VLOOKUP(B1169,'Coverage Indicators - Section D'!$A$9:$AU$70,47,FALSE)</f>
        <v/>
      </c>
      <c r="D1169" s="796" t="str">
        <f ca="1">R1169</f>
        <v/>
      </c>
      <c r="E1169" s="796" t="str">
        <f ca="1">S1169</f>
        <v/>
      </c>
      <c r="F1169" s="127"/>
      <c r="G1169" s="797" t="str">
        <f ca="1">IF(OR(INDIRECT("'update Helper'!E"&amp;U1169)="",F1169&lt;&gt;0,F1170&lt;&gt;0),IF(IFERROR((F1169/F1170),"")="","",(F1169/F1170)),INDIRECT("'update Helper'!E"&amp;U1169)/100)</f>
        <v/>
      </c>
      <c r="H1169" s="784"/>
      <c r="I1169" s="798"/>
      <c r="J1169" s="777"/>
      <c r="K1169" s="795" t="str">
        <f ca="1">W1169</f>
        <v/>
      </c>
      <c r="L1169" s="795" t="str">
        <f ca="1">V1169</f>
        <v/>
      </c>
      <c r="M1169" s="777"/>
      <c r="N1169" s="777"/>
      <c r="P1169" s="89">
        <f ca="1">IF(AND(EXACT(C1169,C1167),C1167&lt;&gt;0),P1167+1,0)</f>
        <v>34</v>
      </c>
      <c r="Q1169" s="89" t="str">
        <f ca="1">IF(C1169&lt;&gt;"",C1169&amp;"-"&amp;P1169,"")</f>
        <v/>
      </c>
      <c r="R1169" s="89" t="str">
        <f t="array" aca="1" ref="R1169" ca="1">IFERROR(IF(INDEX('Disaggregation Records'!$E$155:$E$385,MATCH(RIGHT(Q1169,255),RIGHT('Disaggregation Records'!$D$155:$D$385,255),0))="","",INDEX('Disaggregation Records'!$E$155:$E$385,MATCH(RIGHT(Q1169,255),RIGHT('Disaggregation Records'!$D$155:$D$385,255),0))),"")</f>
        <v/>
      </c>
      <c r="S1169" s="89" t="str">
        <f t="array" aca="1" ref="S1169" ca="1">IFERROR(IF(INDEX('Disaggregation Records'!$F$155:$F$385,MATCH(RIGHT(Q1169,255),RIGHT('Disaggregation Records'!$D$155:$D$385,255),0))="","",INDEX('Disaggregation Records'!$F$155:$F$385,MATCH(RIGHT(Q1169,255),RIGHT('Disaggregation Records'!$D$155:$D$385,255),0))),"")</f>
        <v/>
      </c>
      <c r="T1169" s="89" t="str">
        <f t="array" aca="1" ref="T1169" ca="1">IFERROR(IF(INDEX('Disaggregation Records'!$H$155:$H$385,MATCH(RIGHT(Q1169,255),RIGHT('Disaggregation Records'!$D$155:$D$385,255),0))="","",INDEX('Disaggregation Records'!$H$155:$H$385,MATCH(RIGHT(Q1169,255),RIGHT('Disaggregation Records'!$D$155:$D$385,255),0))),"")</f>
        <v/>
      </c>
      <c r="U1169" s="89">
        <f>U1167+1</f>
        <v>1694</v>
      </c>
      <c r="V1169" s="89" t="str">
        <f t="array" aca="1" ref="V1169" ca="1">IFERROR(IF(INDEX('Disaggregation Records'!$I$155:$I$385,MATCH(RIGHT(Q1169,255),RIGHT('Disaggregation Records'!$D$155:$D$385,255),0))="","",INDEX('Disaggregation Records'!$I$155:$I$385,MATCH(RIGHT(Q1169,255),RIGHT('Disaggregation Records'!$D$155:$D$385,255),0))),"")</f>
        <v/>
      </c>
      <c r="W1169" s="89" t="str">
        <f ca="1">IFERROR(INDEX('Reference Records'!L$77:L$157,MATCH(LEFT(C1169,255),'Reference Records'!E$77:E$157,0)),"")</f>
        <v/>
      </c>
    </row>
    <row r="1170" spans="1:23" s="89" customFormat="1" ht="40.35" customHeight="1">
      <c r="A1170" s="564"/>
      <c r="B1170" s="799"/>
      <c r="C1170" s="800"/>
      <c r="D1170" s="801"/>
      <c r="E1170" s="801"/>
      <c r="F1170" s="128"/>
      <c r="G1170" s="802"/>
      <c r="H1170" s="781"/>
      <c r="I1170" s="803"/>
      <c r="J1170" s="779"/>
      <c r="K1170" s="800"/>
      <c r="L1170" s="800"/>
      <c r="M1170" s="779"/>
      <c r="N1170" s="779"/>
    </row>
    <row r="1171" spans="1:23" s="89" customFormat="1" ht="40.35" customHeight="1">
      <c r="A1171" s="564" t="str">
        <f ca="1">INDIRECT("'update Helper'!C"&amp;U1171)</f>
        <v>a163p000004Vjp8AAC</v>
      </c>
      <c r="B1171" s="794">
        <v>14</v>
      </c>
      <c r="C1171" s="795" t="str">
        <f ca="1">VLOOKUP(B1171,'Coverage Indicators - Section D'!$A$9:$AU$70,47,FALSE)</f>
        <v/>
      </c>
      <c r="D1171" s="796" t="str">
        <f ca="1">R1171</f>
        <v/>
      </c>
      <c r="E1171" s="796" t="str">
        <f ca="1">S1171</f>
        <v/>
      </c>
      <c r="F1171" s="127"/>
      <c r="G1171" s="797" t="str">
        <f ca="1">IF(OR(INDIRECT("'update Helper'!E"&amp;U1171)="",F1171&lt;&gt;0,F1172&lt;&gt;0),IF(IFERROR((F1171/F1172),"")="","",(F1171/F1172)),INDIRECT("'update Helper'!E"&amp;U1171)/100)</f>
        <v/>
      </c>
      <c r="H1171" s="784"/>
      <c r="I1171" s="798"/>
      <c r="J1171" s="777"/>
      <c r="K1171" s="795" t="str">
        <f ca="1">W1171</f>
        <v/>
      </c>
      <c r="L1171" s="795" t="str">
        <f ca="1">V1171</f>
        <v/>
      </c>
      <c r="M1171" s="777"/>
      <c r="N1171" s="777"/>
      <c r="P1171" s="89">
        <f ca="1">IF(AND(EXACT(C1171,C1169),C1169&lt;&gt;0),P1169+1,0)</f>
        <v>35</v>
      </c>
      <c r="Q1171" s="89" t="str">
        <f ca="1">IF(C1171&lt;&gt;"",C1171&amp;"-"&amp;P1171,"")</f>
        <v/>
      </c>
      <c r="R1171" s="89" t="str">
        <f t="array" aca="1" ref="R1171" ca="1">IFERROR(IF(INDEX('Disaggregation Records'!$E$155:$E$385,MATCH(RIGHT(Q1171,255),RIGHT('Disaggregation Records'!$D$155:$D$385,255),0))="","",INDEX('Disaggregation Records'!$E$155:$E$385,MATCH(RIGHT(Q1171,255),RIGHT('Disaggregation Records'!$D$155:$D$385,255),0))),"")</f>
        <v/>
      </c>
      <c r="S1171" s="89" t="str">
        <f t="array" aca="1" ref="S1171" ca="1">IFERROR(IF(INDEX('Disaggregation Records'!$F$155:$F$385,MATCH(RIGHT(Q1171,255),RIGHT('Disaggregation Records'!$D$155:$D$385,255),0))="","",INDEX('Disaggregation Records'!$F$155:$F$385,MATCH(RIGHT(Q1171,255),RIGHT('Disaggregation Records'!$D$155:$D$385,255),0))),"")</f>
        <v/>
      </c>
      <c r="T1171" s="89" t="str">
        <f t="array" aca="1" ref="T1171" ca="1">IFERROR(IF(INDEX('Disaggregation Records'!$H$155:$H$385,MATCH(RIGHT(Q1171,255),RIGHT('Disaggregation Records'!$D$155:$D$385,255),0))="","",INDEX('Disaggregation Records'!$H$155:$H$385,MATCH(RIGHT(Q1171,255),RIGHT('Disaggregation Records'!$D$155:$D$385,255),0))),"")</f>
        <v/>
      </c>
      <c r="U1171" s="89">
        <f>U1169+1</f>
        <v>1695</v>
      </c>
      <c r="V1171" s="89" t="str">
        <f t="array" aca="1" ref="V1171" ca="1">IFERROR(IF(INDEX('Disaggregation Records'!$I$155:$I$385,MATCH(RIGHT(Q1171,255),RIGHT('Disaggregation Records'!$D$155:$D$385,255),0))="","",INDEX('Disaggregation Records'!$I$155:$I$385,MATCH(RIGHT(Q1171,255),RIGHT('Disaggregation Records'!$D$155:$D$385,255),0))),"")</f>
        <v/>
      </c>
      <c r="W1171" s="89" t="str">
        <f ca="1">IFERROR(INDEX('Reference Records'!L$77:L$157,MATCH(LEFT(C1171,255),'Reference Records'!E$77:E$157,0)),"")</f>
        <v/>
      </c>
    </row>
    <row r="1172" spans="1:23" s="89" customFormat="1" ht="40.35" customHeight="1">
      <c r="A1172" s="564"/>
      <c r="B1172" s="799"/>
      <c r="C1172" s="800"/>
      <c r="D1172" s="801"/>
      <c r="E1172" s="801"/>
      <c r="F1172" s="128"/>
      <c r="G1172" s="802"/>
      <c r="H1172" s="781"/>
      <c r="I1172" s="803"/>
      <c r="J1172" s="779"/>
      <c r="K1172" s="800"/>
      <c r="L1172" s="800"/>
      <c r="M1172" s="779"/>
      <c r="N1172" s="779"/>
    </row>
    <row r="1173" spans="1:23" s="89" customFormat="1" ht="40.35" customHeight="1">
      <c r="A1173" s="564" t="str">
        <f ca="1">INDIRECT("'update Helper'!C"&amp;U1173)</f>
        <v>a163p000004Vjp9AAC</v>
      </c>
      <c r="B1173" s="794">
        <v>14</v>
      </c>
      <c r="C1173" s="795" t="str">
        <f ca="1">VLOOKUP(B1173,'Coverage Indicators - Section D'!$A$9:$AU$70,47,FALSE)</f>
        <v/>
      </c>
      <c r="D1173" s="796" t="str">
        <f ca="1">R1173</f>
        <v/>
      </c>
      <c r="E1173" s="796" t="str">
        <f ca="1">S1173</f>
        <v/>
      </c>
      <c r="F1173" s="127"/>
      <c r="G1173" s="797" t="str">
        <f ca="1">IF(OR(INDIRECT("'update Helper'!E"&amp;U1173)="",F1173&lt;&gt;0,F1174&lt;&gt;0),IF(IFERROR((F1173/F1174),"")="","",(F1173/F1174)),INDIRECT("'update Helper'!E"&amp;U1173)/100)</f>
        <v/>
      </c>
      <c r="H1173" s="784"/>
      <c r="I1173" s="798"/>
      <c r="J1173" s="777"/>
      <c r="K1173" s="795" t="str">
        <f ca="1">W1173</f>
        <v/>
      </c>
      <c r="L1173" s="795" t="str">
        <f ca="1">V1173</f>
        <v/>
      </c>
      <c r="M1173" s="777"/>
      <c r="N1173" s="777"/>
      <c r="P1173" s="89">
        <f ca="1">IF(AND(EXACT(C1173,C1171),C1171&lt;&gt;0),P1171+1,0)</f>
        <v>36</v>
      </c>
      <c r="Q1173" s="89" t="str">
        <f ca="1">IF(C1173&lt;&gt;"",C1173&amp;"-"&amp;P1173,"")</f>
        <v/>
      </c>
      <c r="R1173" s="89" t="str">
        <f t="array" aca="1" ref="R1173" ca="1">IFERROR(IF(INDEX('Disaggregation Records'!$E$155:$E$385,MATCH(RIGHT(Q1173,255),RIGHT('Disaggregation Records'!$D$155:$D$385,255),0))="","",INDEX('Disaggregation Records'!$E$155:$E$385,MATCH(RIGHT(Q1173,255),RIGHT('Disaggregation Records'!$D$155:$D$385,255),0))),"")</f>
        <v/>
      </c>
      <c r="S1173" s="89" t="str">
        <f t="array" aca="1" ref="S1173" ca="1">IFERROR(IF(INDEX('Disaggregation Records'!$F$155:$F$385,MATCH(RIGHT(Q1173,255),RIGHT('Disaggregation Records'!$D$155:$D$385,255),0))="","",INDEX('Disaggregation Records'!$F$155:$F$385,MATCH(RIGHT(Q1173,255),RIGHT('Disaggregation Records'!$D$155:$D$385,255),0))),"")</f>
        <v/>
      </c>
      <c r="T1173" s="89" t="str">
        <f t="array" aca="1" ref="T1173" ca="1">IFERROR(IF(INDEX('Disaggregation Records'!$H$155:$H$385,MATCH(RIGHT(Q1173,255),RIGHT('Disaggregation Records'!$D$155:$D$385,255),0))="","",INDEX('Disaggregation Records'!$H$155:$H$385,MATCH(RIGHT(Q1173,255),RIGHT('Disaggregation Records'!$D$155:$D$385,255),0))),"")</f>
        <v/>
      </c>
      <c r="U1173" s="89">
        <f>U1171+1</f>
        <v>1696</v>
      </c>
      <c r="V1173" s="89" t="str">
        <f t="array" aca="1" ref="V1173" ca="1">IFERROR(IF(INDEX('Disaggregation Records'!$I$155:$I$385,MATCH(RIGHT(Q1173,255),RIGHT('Disaggregation Records'!$D$155:$D$385,255),0))="","",INDEX('Disaggregation Records'!$I$155:$I$385,MATCH(RIGHT(Q1173,255),RIGHT('Disaggregation Records'!$D$155:$D$385,255),0))),"")</f>
        <v/>
      </c>
      <c r="W1173" s="89" t="str">
        <f ca="1">IFERROR(INDEX('Reference Records'!L$77:L$157,MATCH(LEFT(C1173,255),'Reference Records'!E$77:E$157,0)),"")</f>
        <v/>
      </c>
    </row>
    <row r="1174" spans="1:23" s="89" customFormat="1" ht="40.35" customHeight="1">
      <c r="A1174" s="564"/>
      <c r="B1174" s="799"/>
      <c r="C1174" s="800"/>
      <c r="D1174" s="801"/>
      <c r="E1174" s="801"/>
      <c r="F1174" s="128"/>
      <c r="G1174" s="802"/>
      <c r="H1174" s="781"/>
      <c r="I1174" s="803"/>
      <c r="J1174" s="779"/>
      <c r="K1174" s="800"/>
      <c r="L1174" s="800"/>
      <c r="M1174" s="779"/>
      <c r="N1174" s="779"/>
    </row>
    <row r="1175" spans="1:23" s="89" customFormat="1" ht="40.35" customHeight="1">
      <c r="A1175" s="564" t="str">
        <f ca="1">INDIRECT("'update Helper'!C"&amp;U1175)</f>
        <v>a163p000004VjpAAAS</v>
      </c>
      <c r="B1175" s="794">
        <v>14</v>
      </c>
      <c r="C1175" s="795" t="str">
        <f ca="1">VLOOKUP(B1175,'Coverage Indicators - Section D'!$A$9:$AU$70,47,FALSE)</f>
        <v/>
      </c>
      <c r="D1175" s="796" t="str">
        <f ca="1">R1175</f>
        <v/>
      </c>
      <c r="E1175" s="796" t="str">
        <f ca="1">S1175</f>
        <v/>
      </c>
      <c r="F1175" s="127"/>
      <c r="G1175" s="797" t="str">
        <f ca="1">IF(OR(INDIRECT("'update Helper'!E"&amp;U1175)="",F1175&lt;&gt;0,F1176&lt;&gt;0),IF(IFERROR((F1175/F1176),"")="","",(F1175/F1176)),INDIRECT("'update Helper'!E"&amp;U1175)/100)</f>
        <v/>
      </c>
      <c r="H1175" s="784"/>
      <c r="I1175" s="798"/>
      <c r="J1175" s="777"/>
      <c r="K1175" s="795" t="str">
        <f ca="1">W1175</f>
        <v/>
      </c>
      <c r="L1175" s="795" t="str">
        <f ca="1">V1175</f>
        <v/>
      </c>
      <c r="M1175" s="777"/>
      <c r="N1175" s="777"/>
      <c r="P1175" s="89">
        <f ca="1">IF(AND(EXACT(C1175,C1173),C1173&lt;&gt;0),P1173+1,0)</f>
        <v>37</v>
      </c>
      <c r="Q1175" s="89" t="str">
        <f ca="1">IF(C1175&lt;&gt;"",C1175&amp;"-"&amp;P1175,"")</f>
        <v/>
      </c>
      <c r="R1175" s="89" t="str">
        <f t="array" aca="1" ref="R1175" ca="1">IFERROR(IF(INDEX('Disaggregation Records'!$E$155:$E$385,MATCH(RIGHT(Q1175,255),RIGHT('Disaggregation Records'!$D$155:$D$385,255),0))="","",INDEX('Disaggregation Records'!$E$155:$E$385,MATCH(RIGHT(Q1175,255),RIGHT('Disaggregation Records'!$D$155:$D$385,255),0))),"")</f>
        <v/>
      </c>
      <c r="S1175" s="89" t="str">
        <f t="array" aca="1" ref="S1175" ca="1">IFERROR(IF(INDEX('Disaggregation Records'!$F$155:$F$385,MATCH(RIGHT(Q1175,255),RIGHT('Disaggregation Records'!$D$155:$D$385,255),0))="","",INDEX('Disaggregation Records'!$F$155:$F$385,MATCH(RIGHT(Q1175,255),RIGHT('Disaggregation Records'!$D$155:$D$385,255),0))),"")</f>
        <v/>
      </c>
      <c r="T1175" s="89" t="str">
        <f t="array" aca="1" ref="T1175" ca="1">IFERROR(IF(INDEX('Disaggregation Records'!$H$155:$H$385,MATCH(RIGHT(Q1175,255),RIGHT('Disaggregation Records'!$D$155:$D$385,255),0))="","",INDEX('Disaggregation Records'!$H$155:$H$385,MATCH(RIGHT(Q1175,255),RIGHT('Disaggregation Records'!$D$155:$D$385,255),0))),"")</f>
        <v/>
      </c>
      <c r="U1175" s="89">
        <f>U1173+1</f>
        <v>1697</v>
      </c>
      <c r="V1175" s="89" t="str">
        <f t="array" aca="1" ref="V1175" ca="1">IFERROR(IF(INDEX('Disaggregation Records'!$I$155:$I$385,MATCH(RIGHT(Q1175,255),RIGHT('Disaggregation Records'!$D$155:$D$385,255),0))="","",INDEX('Disaggregation Records'!$I$155:$I$385,MATCH(RIGHT(Q1175,255),RIGHT('Disaggregation Records'!$D$155:$D$385,255),0))),"")</f>
        <v/>
      </c>
      <c r="W1175" s="89" t="str">
        <f ca="1">IFERROR(INDEX('Reference Records'!L$77:L$157,MATCH(LEFT(C1175,255),'Reference Records'!E$77:E$157,0)),"")</f>
        <v/>
      </c>
    </row>
    <row r="1176" spans="1:23" s="89" customFormat="1" ht="40.35" customHeight="1">
      <c r="A1176" s="564"/>
      <c r="B1176" s="799"/>
      <c r="C1176" s="800"/>
      <c r="D1176" s="801"/>
      <c r="E1176" s="801"/>
      <c r="F1176" s="128"/>
      <c r="G1176" s="802"/>
      <c r="H1176" s="781"/>
      <c r="I1176" s="803"/>
      <c r="J1176" s="779"/>
      <c r="K1176" s="800"/>
      <c r="L1176" s="800"/>
      <c r="M1176" s="779"/>
      <c r="N1176" s="779"/>
    </row>
    <row r="1177" spans="1:23" s="89" customFormat="1" ht="40.35" customHeight="1">
      <c r="A1177" s="564" t="str">
        <f ca="1">INDIRECT("'update Helper'!C"&amp;U1177)</f>
        <v>a163p000004VjpBAAS</v>
      </c>
      <c r="B1177" s="794">
        <v>14</v>
      </c>
      <c r="C1177" s="795" t="str">
        <f ca="1">VLOOKUP(B1177,'Coverage Indicators - Section D'!$A$9:$AU$70,47,FALSE)</f>
        <v/>
      </c>
      <c r="D1177" s="796" t="str">
        <f ca="1">R1177</f>
        <v/>
      </c>
      <c r="E1177" s="796" t="str">
        <f ca="1">S1177</f>
        <v/>
      </c>
      <c r="F1177" s="127"/>
      <c r="G1177" s="797" t="str">
        <f ca="1">IF(OR(INDIRECT("'update Helper'!E"&amp;U1177)="",F1177&lt;&gt;0,F1178&lt;&gt;0),IF(IFERROR((F1177/F1178),"")="","",(F1177/F1178)),INDIRECT("'update Helper'!E"&amp;U1177)/100)</f>
        <v/>
      </c>
      <c r="H1177" s="784"/>
      <c r="I1177" s="798"/>
      <c r="J1177" s="777"/>
      <c r="K1177" s="795" t="str">
        <f ca="1">W1177</f>
        <v/>
      </c>
      <c r="L1177" s="795" t="str">
        <f ca="1">V1177</f>
        <v/>
      </c>
      <c r="M1177" s="777"/>
      <c r="N1177" s="777"/>
      <c r="P1177" s="89">
        <f ca="1">IF(AND(EXACT(C1177,C1175),C1175&lt;&gt;0),P1175+1,0)</f>
        <v>38</v>
      </c>
      <c r="Q1177" s="89" t="str">
        <f ca="1">IF(C1177&lt;&gt;"",C1177&amp;"-"&amp;P1177,"")</f>
        <v/>
      </c>
      <c r="R1177" s="89" t="str">
        <f t="array" aca="1" ref="R1177" ca="1">IFERROR(IF(INDEX('Disaggregation Records'!$E$155:$E$385,MATCH(RIGHT(Q1177,255),RIGHT('Disaggregation Records'!$D$155:$D$385,255),0))="","",INDEX('Disaggregation Records'!$E$155:$E$385,MATCH(RIGHT(Q1177,255),RIGHT('Disaggregation Records'!$D$155:$D$385,255),0))),"")</f>
        <v/>
      </c>
      <c r="S1177" s="89" t="str">
        <f t="array" aca="1" ref="S1177" ca="1">IFERROR(IF(INDEX('Disaggregation Records'!$F$155:$F$385,MATCH(RIGHT(Q1177,255),RIGHT('Disaggregation Records'!$D$155:$D$385,255),0))="","",INDEX('Disaggregation Records'!$F$155:$F$385,MATCH(RIGHT(Q1177,255),RIGHT('Disaggregation Records'!$D$155:$D$385,255),0))),"")</f>
        <v/>
      </c>
      <c r="T1177" s="89" t="str">
        <f t="array" aca="1" ref="T1177" ca="1">IFERROR(IF(INDEX('Disaggregation Records'!$H$155:$H$385,MATCH(RIGHT(Q1177,255),RIGHT('Disaggregation Records'!$D$155:$D$385,255),0))="","",INDEX('Disaggregation Records'!$H$155:$H$385,MATCH(RIGHT(Q1177,255),RIGHT('Disaggregation Records'!$D$155:$D$385,255),0))),"")</f>
        <v/>
      </c>
      <c r="U1177" s="89">
        <f>U1175+1</f>
        <v>1698</v>
      </c>
      <c r="V1177" s="89" t="str">
        <f t="array" aca="1" ref="V1177" ca="1">IFERROR(IF(INDEX('Disaggregation Records'!$I$155:$I$385,MATCH(RIGHT(Q1177,255),RIGHT('Disaggregation Records'!$D$155:$D$385,255),0))="","",INDEX('Disaggregation Records'!$I$155:$I$385,MATCH(RIGHT(Q1177,255),RIGHT('Disaggregation Records'!$D$155:$D$385,255),0))),"")</f>
        <v/>
      </c>
      <c r="W1177" s="89" t="str">
        <f ca="1">IFERROR(INDEX('Reference Records'!L$77:L$157,MATCH(LEFT(C1177,255),'Reference Records'!E$77:E$157,0)),"")</f>
        <v/>
      </c>
    </row>
    <row r="1178" spans="1:23" s="89" customFormat="1" ht="40.35" customHeight="1">
      <c r="A1178" s="564"/>
      <c r="B1178" s="799"/>
      <c r="C1178" s="800"/>
      <c r="D1178" s="801"/>
      <c r="E1178" s="801"/>
      <c r="F1178" s="128"/>
      <c r="G1178" s="802"/>
      <c r="H1178" s="781"/>
      <c r="I1178" s="803"/>
      <c r="J1178" s="779"/>
      <c r="K1178" s="800"/>
      <c r="L1178" s="800"/>
      <c r="M1178" s="779"/>
      <c r="N1178" s="779"/>
    </row>
    <row r="1179" spans="1:23" s="89" customFormat="1" ht="40.35" customHeight="1">
      <c r="A1179" s="564" t="str">
        <f ca="1">INDIRECT("'update Helper'!C"&amp;U1179)</f>
        <v>a163p000004VjpCAAS</v>
      </c>
      <c r="B1179" s="794">
        <v>14</v>
      </c>
      <c r="C1179" s="795" t="str">
        <f ca="1">VLOOKUP(B1179,'Coverage Indicators - Section D'!$A$9:$AU$70,47,FALSE)</f>
        <v/>
      </c>
      <c r="D1179" s="796" t="str">
        <f ca="1">R1179</f>
        <v/>
      </c>
      <c r="E1179" s="796" t="str">
        <f ca="1">S1179</f>
        <v/>
      </c>
      <c r="F1179" s="127"/>
      <c r="G1179" s="797" t="str">
        <f ca="1">IF(OR(INDIRECT("'update Helper'!E"&amp;U1179)="",F1179&lt;&gt;0,F1180&lt;&gt;0),IF(IFERROR((F1179/F1180),"")="","",(F1179/F1180)),INDIRECT("'update Helper'!E"&amp;U1179)/100)</f>
        <v/>
      </c>
      <c r="H1179" s="784"/>
      <c r="I1179" s="798"/>
      <c r="J1179" s="777"/>
      <c r="K1179" s="795" t="str">
        <f ca="1">W1179</f>
        <v/>
      </c>
      <c r="L1179" s="795" t="str">
        <f ca="1">V1179</f>
        <v/>
      </c>
      <c r="M1179" s="777"/>
      <c r="N1179" s="777"/>
      <c r="P1179" s="89">
        <f ca="1">IF(AND(EXACT(C1179,C1177),C1177&lt;&gt;0),P1177+1,0)</f>
        <v>39</v>
      </c>
      <c r="Q1179" s="89" t="str">
        <f ca="1">IF(C1179&lt;&gt;"",C1179&amp;"-"&amp;P1179,"")</f>
        <v/>
      </c>
      <c r="R1179" s="89" t="str">
        <f t="array" aca="1" ref="R1179" ca="1">IFERROR(IF(INDEX('Disaggregation Records'!$E$155:$E$385,MATCH(RIGHT(Q1179,255),RIGHT('Disaggregation Records'!$D$155:$D$385,255),0))="","",INDEX('Disaggregation Records'!$E$155:$E$385,MATCH(RIGHT(Q1179,255),RIGHT('Disaggregation Records'!$D$155:$D$385,255),0))),"")</f>
        <v/>
      </c>
      <c r="S1179" s="89" t="str">
        <f t="array" aca="1" ref="S1179" ca="1">IFERROR(IF(INDEX('Disaggregation Records'!$F$155:$F$385,MATCH(RIGHT(Q1179,255),RIGHT('Disaggregation Records'!$D$155:$D$385,255),0))="","",INDEX('Disaggregation Records'!$F$155:$F$385,MATCH(RIGHT(Q1179,255),RIGHT('Disaggregation Records'!$D$155:$D$385,255),0))),"")</f>
        <v/>
      </c>
      <c r="T1179" s="89" t="str">
        <f t="array" aca="1" ref="T1179" ca="1">IFERROR(IF(INDEX('Disaggregation Records'!$H$155:$H$385,MATCH(RIGHT(Q1179,255),RIGHT('Disaggregation Records'!$D$155:$D$385,255),0))="","",INDEX('Disaggregation Records'!$H$155:$H$385,MATCH(RIGHT(Q1179,255),RIGHT('Disaggregation Records'!$D$155:$D$385,255),0))),"")</f>
        <v/>
      </c>
      <c r="U1179" s="89">
        <f>U1177+1</f>
        <v>1699</v>
      </c>
      <c r="V1179" s="89" t="str">
        <f t="array" aca="1" ref="V1179" ca="1">IFERROR(IF(INDEX('Disaggregation Records'!$I$155:$I$385,MATCH(RIGHT(Q1179,255),RIGHT('Disaggregation Records'!$D$155:$D$385,255),0))="","",INDEX('Disaggregation Records'!$I$155:$I$385,MATCH(RIGHT(Q1179,255),RIGHT('Disaggregation Records'!$D$155:$D$385,255),0))),"")</f>
        <v/>
      </c>
      <c r="W1179" s="89" t="str">
        <f ca="1">IFERROR(INDEX('Reference Records'!L$77:L$157,MATCH(LEFT(C1179,255),'Reference Records'!E$77:E$157,0)),"")</f>
        <v/>
      </c>
    </row>
    <row r="1180" spans="1:23" s="89" customFormat="1" ht="40.35" customHeight="1">
      <c r="A1180" s="564"/>
      <c r="B1180" s="799"/>
      <c r="C1180" s="800"/>
      <c r="D1180" s="801"/>
      <c r="E1180" s="801"/>
      <c r="F1180" s="128"/>
      <c r="G1180" s="802"/>
      <c r="H1180" s="781"/>
      <c r="I1180" s="803"/>
      <c r="J1180" s="779"/>
      <c r="K1180" s="800"/>
      <c r="L1180" s="800"/>
      <c r="M1180" s="779"/>
      <c r="N1180" s="779"/>
    </row>
    <row r="1181" spans="1:23" s="89" customFormat="1" ht="40.35" customHeight="1">
      <c r="A1181" s="564" t="str">
        <f ca="1">INDIRECT("'update Helper'!C"&amp;U1181)</f>
        <v>a163p000004VjpDAAS</v>
      </c>
      <c r="B1181" s="794">
        <v>15</v>
      </c>
      <c r="C1181" s="795" t="str">
        <f ca="1">VLOOKUP(B1181,'Coverage Indicators - Section D'!$A$9:$AU$70,47,FALSE)</f>
        <v/>
      </c>
      <c r="D1181" s="796" t="str">
        <f ca="1">R1181</f>
        <v/>
      </c>
      <c r="E1181" s="796" t="str">
        <f ca="1">S1181</f>
        <v/>
      </c>
      <c r="F1181" s="127"/>
      <c r="G1181" s="797" t="str">
        <f ca="1">IF(OR(INDIRECT("'update Helper'!E"&amp;U1181)="",F1181&lt;&gt;0,F1182&lt;&gt;0),IF(IFERROR((F1181/F1182),"")="","",(F1181/F1182)),INDIRECT("'update Helper'!E"&amp;U1181)/100)</f>
        <v/>
      </c>
      <c r="H1181" s="784"/>
      <c r="I1181" s="798"/>
      <c r="J1181" s="777"/>
      <c r="K1181" s="795" t="str">
        <f ca="1">W1181</f>
        <v/>
      </c>
      <c r="L1181" s="795" t="str">
        <f ca="1">V1181</f>
        <v/>
      </c>
      <c r="M1181" s="777"/>
      <c r="N1181" s="777"/>
      <c r="P1181" s="89">
        <f ca="1">IF(AND(EXACT(C1181,C1179),C1179&lt;&gt;0),P1179+1,0)</f>
        <v>40</v>
      </c>
      <c r="Q1181" s="89" t="str">
        <f ca="1">IF(C1181&lt;&gt;"",C1181&amp;"-"&amp;P1181,"")</f>
        <v/>
      </c>
      <c r="R1181" s="89" t="str">
        <f t="array" aca="1" ref="R1181" ca="1">IFERROR(IF(INDEX('Disaggregation Records'!$E$155:$E$385,MATCH(RIGHT(Q1181,255),RIGHT('Disaggregation Records'!$D$155:$D$385,255),0))="","",INDEX('Disaggregation Records'!$E$155:$E$385,MATCH(RIGHT(Q1181,255),RIGHT('Disaggregation Records'!$D$155:$D$385,255),0))),"")</f>
        <v/>
      </c>
      <c r="S1181" s="89" t="str">
        <f t="array" aca="1" ref="S1181" ca="1">IFERROR(IF(INDEX('Disaggregation Records'!$F$155:$F$385,MATCH(RIGHT(Q1181,255),RIGHT('Disaggregation Records'!$D$155:$D$385,255),0))="","",INDEX('Disaggregation Records'!$F$155:$F$385,MATCH(RIGHT(Q1181,255),RIGHT('Disaggregation Records'!$D$155:$D$385,255),0))),"")</f>
        <v/>
      </c>
      <c r="T1181" s="89" t="str">
        <f t="array" aca="1" ref="T1181" ca="1">IFERROR(IF(INDEX('Disaggregation Records'!$H$155:$H$385,MATCH(RIGHT(Q1181,255),RIGHT('Disaggregation Records'!$D$155:$D$385,255),0))="","",INDEX('Disaggregation Records'!$H$155:$H$385,MATCH(RIGHT(Q1181,255),RIGHT('Disaggregation Records'!$D$155:$D$385,255),0))),"")</f>
        <v/>
      </c>
      <c r="U1181" s="89">
        <f>U1179+1</f>
        <v>1700</v>
      </c>
      <c r="V1181" s="89" t="str">
        <f t="array" aca="1" ref="V1181" ca="1">IFERROR(IF(INDEX('Disaggregation Records'!$I$155:$I$385,MATCH(RIGHT(Q1181,255),RIGHT('Disaggregation Records'!$D$155:$D$385,255),0))="","",INDEX('Disaggregation Records'!$I$155:$I$385,MATCH(RIGHT(Q1181,255),RIGHT('Disaggregation Records'!$D$155:$D$385,255),0))),"")</f>
        <v/>
      </c>
      <c r="W1181" s="89" t="str">
        <f ca="1">IFERROR(INDEX('Reference Records'!L$77:L$157,MATCH(LEFT(C1181,255),'Reference Records'!E$77:E$157,0)),"")</f>
        <v/>
      </c>
    </row>
    <row r="1182" spans="1:23" s="89" customFormat="1" ht="40.35" customHeight="1">
      <c r="A1182" s="564"/>
      <c r="B1182" s="799"/>
      <c r="C1182" s="800"/>
      <c r="D1182" s="801"/>
      <c r="E1182" s="801"/>
      <c r="F1182" s="128"/>
      <c r="G1182" s="802"/>
      <c r="H1182" s="781"/>
      <c r="I1182" s="803"/>
      <c r="J1182" s="779"/>
      <c r="K1182" s="800"/>
      <c r="L1182" s="800"/>
      <c r="M1182" s="779"/>
      <c r="N1182" s="779"/>
    </row>
    <row r="1183" spans="1:23" s="89" customFormat="1" ht="40.35" customHeight="1">
      <c r="A1183" s="564" t="str">
        <f ca="1">INDIRECT("'update Helper'!C"&amp;U1183)</f>
        <v>a163p000004VjpEAAS</v>
      </c>
      <c r="B1183" s="794">
        <v>15</v>
      </c>
      <c r="C1183" s="795" t="str">
        <f ca="1">VLOOKUP(B1183,'Coverage Indicators - Section D'!$A$9:$AU$70,47,FALSE)</f>
        <v/>
      </c>
      <c r="D1183" s="796" t="str">
        <f ca="1">R1183</f>
        <v/>
      </c>
      <c r="E1183" s="796" t="str">
        <f ca="1">S1183</f>
        <v/>
      </c>
      <c r="F1183" s="127"/>
      <c r="G1183" s="797" t="str">
        <f ca="1">IF(OR(INDIRECT("'update Helper'!E"&amp;U1183)="",F1183&lt;&gt;0,F1184&lt;&gt;0),IF(IFERROR((F1183/F1184),"")="","",(F1183/F1184)),INDIRECT("'update Helper'!E"&amp;U1183)/100)</f>
        <v/>
      </c>
      <c r="H1183" s="784"/>
      <c r="I1183" s="798"/>
      <c r="J1183" s="777"/>
      <c r="K1183" s="795" t="str">
        <f ca="1">W1183</f>
        <v/>
      </c>
      <c r="L1183" s="795" t="str">
        <f ca="1">V1183</f>
        <v/>
      </c>
      <c r="M1183" s="777"/>
      <c r="N1183" s="777"/>
      <c r="P1183" s="89">
        <f ca="1">IF(AND(EXACT(C1183,C1181),C1181&lt;&gt;0),P1181+1,0)</f>
        <v>41</v>
      </c>
      <c r="Q1183" s="89" t="str">
        <f ca="1">IF(C1183&lt;&gt;"",C1183&amp;"-"&amp;P1183,"")</f>
        <v/>
      </c>
      <c r="R1183" s="89" t="str">
        <f t="array" aca="1" ref="R1183" ca="1">IFERROR(IF(INDEX('Disaggregation Records'!$E$155:$E$385,MATCH(RIGHT(Q1183,255),RIGHT('Disaggregation Records'!$D$155:$D$385,255),0))="","",INDEX('Disaggregation Records'!$E$155:$E$385,MATCH(RIGHT(Q1183,255),RIGHT('Disaggregation Records'!$D$155:$D$385,255),0))),"")</f>
        <v/>
      </c>
      <c r="S1183" s="89" t="str">
        <f t="array" aca="1" ref="S1183" ca="1">IFERROR(IF(INDEX('Disaggregation Records'!$F$155:$F$385,MATCH(RIGHT(Q1183,255),RIGHT('Disaggregation Records'!$D$155:$D$385,255),0))="","",INDEX('Disaggregation Records'!$F$155:$F$385,MATCH(RIGHT(Q1183,255),RIGHT('Disaggregation Records'!$D$155:$D$385,255),0))),"")</f>
        <v/>
      </c>
      <c r="T1183" s="89" t="str">
        <f t="array" aca="1" ref="T1183" ca="1">IFERROR(IF(INDEX('Disaggregation Records'!$H$155:$H$385,MATCH(RIGHT(Q1183,255),RIGHT('Disaggregation Records'!$D$155:$D$385,255),0))="","",INDEX('Disaggregation Records'!$H$155:$H$385,MATCH(RIGHT(Q1183,255),RIGHT('Disaggregation Records'!$D$155:$D$385,255),0))),"")</f>
        <v/>
      </c>
      <c r="U1183" s="89">
        <f>U1181+1</f>
        <v>1701</v>
      </c>
      <c r="V1183" s="89" t="str">
        <f t="array" aca="1" ref="V1183" ca="1">IFERROR(IF(INDEX('Disaggregation Records'!$I$155:$I$385,MATCH(RIGHT(Q1183,255),RIGHT('Disaggregation Records'!$D$155:$D$385,255),0))="","",INDEX('Disaggregation Records'!$I$155:$I$385,MATCH(RIGHT(Q1183,255),RIGHT('Disaggregation Records'!$D$155:$D$385,255),0))),"")</f>
        <v/>
      </c>
      <c r="W1183" s="89" t="str">
        <f ca="1">IFERROR(INDEX('Reference Records'!L$77:L$157,MATCH(LEFT(C1183,255),'Reference Records'!E$77:E$157,0)),"")</f>
        <v/>
      </c>
    </row>
    <row r="1184" spans="1:23" s="89" customFormat="1" ht="40.35" customHeight="1">
      <c r="A1184" s="564"/>
      <c r="B1184" s="799"/>
      <c r="C1184" s="800"/>
      <c r="D1184" s="801"/>
      <c r="E1184" s="801"/>
      <c r="F1184" s="128"/>
      <c r="G1184" s="802"/>
      <c r="H1184" s="781"/>
      <c r="I1184" s="803"/>
      <c r="J1184" s="779"/>
      <c r="K1184" s="800"/>
      <c r="L1184" s="800"/>
      <c r="M1184" s="779"/>
      <c r="N1184" s="779"/>
    </row>
    <row r="1185" spans="1:23" s="89" customFormat="1" ht="40.35" customHeight="1">
      <c r="A1185" s="564" t="str">
        <f ca="1">INDIRECT("'update Helper'!C"&amp;U1185)</f>
        <v>a163p000004VjpFAAS</v>
      </c>
      <c r="B1185" s="794">
        <v>15</v>
      </c>
      <c r="C1185" s="795" t="str">
        <f ca="1">VLOOKUP(B1185,'Coverage Indicators - Section D'!$A$9:$AU$70,47,FALSE)</f>
        <v/>
      </c>
      <c r="D1185" s="796" t="str">
        <f ca="1">R1185</f>
        <v/>
      </c>
      <c r="E1185" s="796" t="str">
        <f ca="1">S1185</f>
        <v/>
      </c>
      <c r="F1185" s="127"/>
      <c r="G1185" s="797" t="str">
        <f ca="1">IF(OR(INDIRECT("'update Helper'!E"&amp;U1185)="",F1185&lt;&gt;0,F1186&lt;&gt;0),IF(IFERROR((F1185/F1186),"")="","",(F1185/F1186)),INDIRECT("'update Helper'!E"&amp;U1185)/100)</f>
        <v/>
      </c>
      <c r="H1185" s="784"/>
      <c r="I1185" s="798"/>
      <c r="J1185" s="777"/>
      <c r="K1185" s="795" t="str">
        <f ca="1">W1185</f>
        <v/>
      </c>
      <c r="L1185" s="795" t="str">
        <f ca="1">V1185</f>
        <v/>
      </c>
      <c r="M1185" s="777"/>
      <c r="N1185" s="777"/>
      <c r="P1185" s="89">
        <f ca="1">IF(AND(EXACT(C1185,C1183),C1183&lt;&gt;0),P1183+1,0)</f>
        <v>42</v>
      </c>
      <c r="Q1185" s="89" t="str">
        <f ca="1">IF(C1185&lt;&gt;"",C1185&amp;"-"&amp;P1185,"")</f>
        <v/>
      </c>
      <c r="R1185" s="89" t="str">
        <f t="array" aca="1" ref="R1185" ca="1">IFERROR(IF(INDEX('Disaggregation Records'!$E$155:$E$385,MATCH(RIGHT(Q1185,255),RIGHT('Disaggregation Records'!$D$155:$D$385,255),0))="","",INDEX('Disaggregation Records'!$E$155:$E$385,MATCH(RIGHT(Q1185,255),RIGHT('Disaggregation Records'!$D$155:$D$385,255),0))),"")</f>
        <v/>
      </c>
      <c r="S1185" s="89" t="str">
        <f t="array" aca="1" ref="S1185" ca="1">IFERROR(IF(INDEX('Disaggregation Records'!$F$155:$F$385,MATCH(RIGHT(Q1185,255),RIGHT('Disaggregation Records'!$D$155:$D$385,255),0))="","",INDEX('Disaggregation Records'!$F$155:$F$385,MATCH(RIGHT(Q1185,255),RIGHT('Disaggregation Records'!$D$155:$D$385,255),0))),"")</f>
        <v/>
      </c>
      <c r="T1185" s="89" t="str">
        <f t="array" aca="1" ref="T1185" ca="1">IFERROR(IF(INDEX('Disaggregation Records'!$H$155:$H$385,MATCH(RIGHT(Q1185,255),RIGHT('Disaggregation Records'!$D$155:$D$385,255),0))="","",INDEX('Disaggregation Records'!$H$155:$H$385,MATCH(RIGHT(Q1185,255),RIGHT('Disaggregation Records'!$D$155:$D$385,255),0))),"")</f>
        <v/>
      </c>
      <c r="U1185" s="89">
        <f>U1183+1</f>
        <v>1702</v>
      </c>
      <c r="V1185" s="89" t="str">
        <f t="array" aca="1" ref="V1185" ca="1">IFERROR(IF(INDEX('Disaggregation Records'!$I$155:$I$385,MATCH(RIGHT(Q1185,255),RIGHT('Disaggregation Records'!$D$155:$D$385,255),0))="","",INDEX('Disaggregation Records'!$I$155:$I$385,MATCH(RIGHT(Q1185,255),RIGHT('Disaggregation Records'!$D$155:$D$385,255),0))),"")</f>
        <v/>
      </c>
      <c r="W1185" s="89" t="str">
        <f ca="1">IFERROR(INDEX('Reference Records'!L$77:L$157,MATCH(LEFT(C1185,255),'Reference Records'!E$77:E$157,0)),"")</f>
        <v/>
      </c>
    </row>
    <row r="1186" spans="1:23" s="89" customFormat="1" ht="40.35" customHeight="1">
      <c r="A1186" s="564"/>
      <c r="B1186" s="799"/>
      <c r="C1186" s="800"/>
      <c r="D1186" s="801"/>
      <c r="E1186" s="801"/>
      <c r="F1186" s="128"/>
      <c r="G1186" s="802"/>
      <c r="H1186" s="781"/>
      <c r="I1186" s="803"/>
      <c r="J1186" s="779"/>
      <c r="K1186" s="800"/>
      <c r="L1186" s="800"/>
      <c r="M1186" s="779"/>
      <c r="N1186" s="779"/>
    </row>
    <row r="1187" spans="1:23" s="89" customFormat="1" ht="40.35" customHeight="1">
      <c r="A1187" s="564" t="str">
        <f ca="1">INDIRECT("'update Helper'!C"&amp;U1187)</f>
        <v>a163p000004VjpGAAS</v>
      </c>
      <c r="B1187" s="794">
        <v>15</v>
      </c>
      <c r="C1187" s="795" t="str">
        <f ca="1">VLOOKUP(B1187,'Coverage Indicators - Section D'!$A$9:$AU$70,47,FALSE)</f>
        <v/>
      </c>
      <c r="D1187" s="796" t="str">
        <f ca="1">R1187</f>
        <v/>
      </c>
      <c r="E1187" s="796" t="str">
        <f ca="1">S1187</f>
        <v/>
      </c>
      <c r="F1187" s="127"/>
      <c r="G1187" s="797" t="str">
        <f ca="1">IF(OR(INDIRECT("'update Helper'!E"&amp;U1187)="",F1187&lt;&gt;0,F1188&lt;&gt;0),IF(IFERROR((F1187/F1188),"")="","",(F1187/F1188)),INDIRECT("'update Helper'!E"&amp;U1187)/100)</f>
        <v/>
      </c>
      <c r="H1187" s="784"/>
      <c r="I1187" s="798"/>
      <c r="J1187" s="777"/>
      <c r="K1187" s="795" t="str">
        <f ca="1">W1187</f>
        <v/>
      </c>
      <c r="L1187" s="795" t="str">
        <f ca="1">V1187</f>
        <v/>
      </c>
      <c r="M1187" s="777"/>
      <c r="N1187" s="777"/>
      <c r="P1187" s="89">
        <f ca="1">IF(AND(EXACT(C1187,C1185),C1185&lt;&gt;0),P1185+1,0)</f>
        <v>43</v>
      </c>
      <c r="Q1187" s="89" t="str">
        <f ca="1">IF(C1187&lt;&gt;"",C1187&amp;"-"&amp;P1187,"")</f>
        <v/>
      </c>
      <c r="R1187" s="89" t="str">
        <f t="array" aca="1" ref="R1187" ca="1">IFERROR(IF(INDEX('Disaggregation Records'!$E$155:$E$385,MATCH(RIGHT(Q1187,255),RIGHT('Disaggregation Records'!$D$155:$D$385,255),0))="","",INDEX('Disaggregation Records'!$E$155:$E$385,MATCH(RIGHT(Q1187,255),RIGHT('Disaggregation Records'!$D$155:$D$385,255),0))),"")</f>
        <v/>
      </c>
      <c r="S1187" s="89" t="str">
        <f t="array" aca="1" ref="S1187" ca="1">IFERROR(IF(INDEX('Disaggregation Records'!$F$155:$F$385,MATCH(RIGHT(Q1187,255),RIGHT('Disaggregation Records'!$D$155:$D$385,255),0))="","",INDEX('Disaggregation Records'!$F$155:$F$385,MATCH(RIGHT(Q1187,255),RIGHT('Disaggregation Records'!$D$155:$D$385,255),0))),"")</f>
        <v/>
      </c>
      <c r="T1187" s="89" t="str">
        <f t="array" aca="1" ref="T1187" ca="1">IFERROR(IF(INDEX('Disaggregation Records'!$H$155:$H$385,MATCH(RIGHT(Q1187,255),RIGHT('Disaggregation Records'!$D$155:$D$385,255),0))="","",INDEX('Disaggregation Records'!$H$155:$H$385,MATCH(RIGHT(Q1187,255),RIGHT('Disaggregation Records'!$D$155:$D$385,255),0))),"")</f>
        <v/>
      </c>
      <c r="U1187" s="89">
        <f>U1185+1</f>
        <v>1703</v>
      </c>
      <c r="V1187" s="89" t="str">
        <f t="array" aca="1" ref="V1187" ca="1">IFERROR(IF(INDEX('Disaggregation Records'!$I$155:$I$385,MATCH(RIGHT(Q1187,255),RIGHT('Disaggregation Records'!$D$155:$D$385,255),0))="","",INDEX('Disaggregation Records'!$I$155:$I$385,MATCH(RIGHT(Q1187,255),RIGHT('Disaggregation Records'!$D$155:$D$385,255),0))),"")</f>
        <v/>
      </c>
      <c r="W1187" s="89" t="str">
        <f ca="1">IFERROR(INDEX('Reference Records'!L$77:L$157,MATCH(LEFT(C1187,255),'Reference Records'!E$77:E$157,0)),"")</f>
        <v/>
      </c>
    </row>
    <row r="1188" spans="1:23" s="89" customFormat="1" ht="40.35" customHeight="1">
      <c r="A1188" s="564"/>
      <c r="B1188" s="799"/>
      <c r="C1188" s="800"/>
      <c r="D1188" s="801"/>
      <c r="E1188" s="801"/>
      <c r="F1188" s="128"/>
      <c r="G1188" s="802"/>
      <c r="H1188" s="781"/>
      <c r="I1188" s="803"/>
      <c r="J1188" s="779"/>
      <c r="K1188" s="800"/>
      <c r="L1188" s="800"/>
      <c r="M1188" s="779"/>
      <c r="N1188" s="779"/>
    </row>
    <row r="1189" spans="1:23" s="89" customFormat="1" ht="40.35" customHeight="1">
      <c r="A1189" s="564" t="str">
        <f ca="1">INDIRECT("'update Helper'!C"&amp;U1189)</f>
        <v>a163p000004VjpHAAS</v>
      </c>
      <c r="B1189" s="794">
        <v>15</v>
      </c>
      <c r="C1189" s="795" t="str">
        <f ca="1">VLOOKUP(B1189,'Coverage Indicators - Section D'!$A$9:$AU$70,47,FALSE)</f>
        <v/>
      </c>
      <c r="D1189" s="796" t="str">
        <f ca="1">R1189</f>
        <v/>
      </c>
      <c r="E1189" s="796" t="str">
        <f ca="1">S1189</f>
        <v/>
      </c>
      <c r="F1189" s="127"/>
      <c r="G1189" s="797" t="str">
        <f ca="1">IF(OR(INDIRECT("'update Helper'!E"&amp;U1189)="",F1189&lt;&gt;0,F1190&lt;&gt;0),IF(IFERROR((F1189/F1190),"")="","",(F1189/F1190)),INDIRECT("'update Helper'!E"&amp;U1189)/100)</f>
        <v/>
      </c>
      <c r="H1189" s="784"/>
      <c r="I1189" s="798"/>
      <c r="J1189" s="777"/>
      <c r="K1189" s="795" t="str">
        <f ca="1">W1189</f>
        <v/>
      </c>
      <c r="L1189" s="795" t="str">
        <f ca="1">V1189</f>
        <v/>
      </c>
      <c r="M1189" s="777"/>
      <c r="N1189" s="777"/>
      <c r="P1189" s="89">
        <f ca="1">IF(AND(EXACT(C1189,C1187),C1187&lt;&gt;0),P1187+1,0)</f>
        <v>44</v>
      </c>
      <c r="Q1189" s="89" t="str">
        <f ca="1">IF(C1189&lt;&gt;"",C1189&amp;"-"&amp;P1189,"")</f>
        <v/>
      </c>
      <c r="R1189" s="89" t="str">
        <f t="array" aca="1" ref="R1189" ca="1">IFERROR(IF(INDEX('Disaggregation Records'!$E$155:$E$385,MATCH(RIGHT(Q1189,255),RIGHT('Disaggregation Records'!$D$155:$D$385,255),0))="","",INDEX('Disaggregation Records'!$E$155:$E$385,MATCH(RIGHT(Q1189,255),RIGHT('Disaggregation Records'!$D$155:$D$385,255),0))),"")</f>
        <v/>
      </c>
      <c r="S1189" s="89" t="str">
        <f t="array" aca="1" ref="S1189" ca="1">IFERROR(IF(INDEX('Disaggregation Records'!$F$155:$F$385,MATCH(RIGHT(Q1189,255),RIGHT('Disaggregation Records'!$D$155:$D$385,255),0))="","",INDEX('Disaggregation Records'!$F$155:$F$385,MATCH(RIGHT(Q1189,255),RIGHT('Disaggregation Records'!$D$155:$D$385,255),0))),"")</f>
        <v/>
      </c>
      <c r="T1189" s="89" t="str">
        <f t="array" aca="1" ref="T1189" ca="1">IFERROR(IF(INDEX('Disaggregation Records'!$H$155:$H$385,MATCH(RIGHT(Q1189,255),RIGHT('Disaggregation Records'!$D$155:$D$385,255),0))="","",INDEX('Disaggregation Records'!$H$155:$H$385,MATCH(RIGHT(Q1189,255),RIGHT('Disaggregation Records'!$D$155:$D$385,255),0))),"")</f>
        <v/>
      </c>
      <c r="U1189" s="89">
        <f>U1187+1</f>
        <v>1704</v>
      </c>
      <c r="V1189" s="89" t="str">
        <f t="array" aca="1" ref="V1189" ca="1">IFERROR(IF(INDEX('Disaggregation Records'!$I$155:$I$385,MATCH(RIGHT(Q1189,255),RIGHT('Disaggregation Records'!$D$155:$D$385,255),0))="","",INDEX('Disaggregation Records'!$I$155:$I$385,MATCH(RIGHT(Q1189,255),RIGHT('Disaggregation Records'!$D$155:$D$385,255),0))),"")</f>
        <v/>
      </c>
      <c r="W1189" s="89" t="str">
        <f ca="1">IFERROR(INDEX('Reference Records'!L$77:L$157,MATCH(LEFT(C1189,255),'Reference Records'!E$77:E$157,0)),"")</f>
        <v/>
      </c>
    </row>
    <row r="1190" spans="1:23" s="89" customFormat="1" ht="40.35" customHeight="1">
      <c r="A1190" s="564"/>
      <c r="B1190" s="799"/>
      <c r="C1190" s="800"/>
      <c r="D1190" s="801"/>
      <c r="E1190" s="801"/>
      <c r="F1190" s="128"/>
      <c r="G1190" s="802"/>
      <c r="H1190" s="781"/>
      <c r="I1190" s="803"/>
      <c r="J1190" s="779"/>
      <c r="K1190" s="800"/>
      <c r="L1190" s="800"/>
      <c r="M1190" s="779"/>
      <c r="N1190" s="779"/>
    </row>
    <row r="1191" spans="1:23" s="89" customFormat="1" ht="40.35" customHeight="1">
      <c r="A1191" s="564" t="str">
        <f ca="1">INDIRECT("'update Helper'!C"&amp;U1191)</f>
        <v>a163p000004VjpIAAS</v>
      </c>
      <c r="B1191" s="794">
        <v>15</v>
      </c>
      <c r="C1191" s="795" t="str">
        <f ca="1">VLOOKUP(B1191,'Coverage Indicators - Section D'!$A$9:$AU$70,47,FALSE)</f>
        <v/>
      </c>
      <c r="D1191" s="796" t="str">
        <f ca="1">R1191</f>
        <v/>
      </c>
      <c r="E1191" s="796" t="str">
        <f ca="1">S1191</f>
        <v/>
      </c>
      <c r="F1191" s="127"/>
      <c r="G1191" s="797" t="str">
        <f ca="1">IF(OR(INDIRECT("'update Helper'!E"&amp;U1191)="",F1191&lt;&gt;0,F1192&lt;&gt;0),IF(IFERROR((F1191/F1192),"")="","",(F1191/F1192)),INDIRECT("'update Helper'!E"&amp;U1191)/100)</f>
        <v/>
      </c>
      <c r="H1191" s="784"/>
      <c r="I1191" s="798"/>
      <c r="J1191" s="777"/>
      <c r="K1191" s="795" t="str">
        <f ca="1">W1191</f>
        <v/>
      </c>
      <c r="L1191" s="795" t="str">
        <f ca="1">V1191</f>
        <v/>
      </c>
      <c r="M1191" s="777"/>
      <c r="N1191" s="777"/>
      <c r="P1191" s="89">
        <f ca="1">IF(AND(EXACT(C1191,C1189),C1189&lt;&gt;0),P1189+1,0)</f>
        <v>45</v>
      </c>
      <c r="Q1191" s="89" t="str">
        <f ca="1">IF(C1191&lt;&gt;"",C1191&amp;"-"&amp;P1191,"")</f>
        <v/>
      </c>
      <c r="R1191" s="89" t="str">
        <f t="array" aca="1" ref="R1191" ca="1">IFERROR(IF(INDEX('Disaggregation Records'!$E$155:$E$385,MATCH(RIGHT(Q1191,255),RIGHT('Disaggregation Records'!$D$155:$D$385,255),0))="","",INDEX('Disaggregation Records'!$E$155:$E$385,MATCH(RIGHT(Q1191,255),RIGHT('Disaggregation Records'!$D$155:$D$385,255),0))),"")</f>
        <v/>
      </c>
      <c r="S1191" s="89" t="str">
        <f t="array" aca="1" ref="S1191" ca="1">IFERROR(IF(INDEX('Disaggregation Records'!$F$155:$F$385,MATCH(RIGHT(Q1191,255),RIGHT('Disaggregation Records'!$D$155:$D$385,255),0))="","",INDEX('Disaggregation Records'!$F$155:$F$385,MATCH(RIGHT(Q1191,255),RIGHT('Disaggregation Records'!$D$155:$D$385,255),0))),"")</f>
        <v/>
      </c>
      <c r="T1191" s="89" t="str">
        <f t="array" aca="1" ref="T1191" ca="1">IFERROR(IF(INDEX('Disaggregation Records'!$H$155:$H$385,MATCH(RIGHT(Q1191,255),RIGHT('Disaggregation Records'!$D$155:$D$385,255),0))="","",INDEX('Disaggregation Records'!$H$155:$H$385,MATCH(RIGHT(Q1191,255),RIGHT('Disaggregation Records'!$D$155:$D$385,255),0))),"")</f>
        <v/>
      </c>
      <c r="U1191" s="89">
        <f>U1189+1</f>
        <v>1705</v>
      </c>
      <c r="V1191" s="89" t="str">
        <f t="array" aca="1" ref="V1191" ca="1">IFERROR(IF(INDEX('Disaggregation Records'!$I$155:$I$385,MATCH(RIGHT(Q1191,255),RIGHT('Disaggregation Records'!$D$155:$D$385,255),0))="","",INDEX('Disaggregation Records'!$I$155:$I$385,MATCH(RIGHT(Q1191,255),RIGHT('Disaggregation Records'!$D$155:$D$385,255),0))),"")</f>
        <v/>
      </c>
      <c r="W1191" s="89" t="str">
        <f ca="1">IFERROR(INDEX('Reference Records'!L$77:L$157,MATCH(LEFT(C1191,255),'Reference Records'!E$77:E$157,0)),"")</f>
        <v/>
      </c>
    </row>
    <row r="1192" spans="1:23" s="89" customFormat="1" ht="40.35" customHeight="1">
      <c r="A1192" s="564"/>
      <c r="B1192" s="799"/>
      <c r="C1192" s="800"/>
      <c r="D1192" s="801"/>
      <c r="E1192" s="801"/>
      <c r="F1192" s="128"/>
      <c r="G1192" s="802"/>
      <c r="H1192" s="781"/>
      <c r="I1192" s="803"/>
      <c r="J1192" s="779"/>
      <c r="K1192" s="800"/>
      <c r="L1192" s="800"/>
      <c r="M1192" s="779"/>
      <c r="N1192" s="779"/>
    </row>
    <row r="1193" spans="1:23" s="89" customFormat="1" ht="40.35" customHeight="1">
      <c r="A1193" s="564" t="str">
        <f ca="1">INDIRECT("'update Helper'!C"&amp;U1193)</f>
        <v>a163p000004VjpJAAS</v>
      </c>
      <c r="B1193" s="794">
        <v>15</v>
      </c>
      <c r="C1193" s="795" t="str">
        <f ca="1">VLOOKUP(B1193,'Coverage Indicators - Section D'!$A$9:$AU$70,47,FALSE)</f>
        <v/>
      </c>
      <c r="D1193" s="796" t="str">
        <f ca="1">R1193</f>
        <v/>
      </c>
      <c r="E1193" s="796" t="str">
        <f ca="1">S1193</f>
        <v/>
      </c>
      <c r="F1193" s="127"/>
      <c r="G1193" s="797" t="str">
        <f ca="1">IF(OR(INDIRECT("'update Helper'!E"&amp;U1193)="",F1193&lt;&gt;0,F1194&lt;&gt;0),IF(IFERROR((F1193/F1194),"")="","",(F1193/F1194)),INDIRECT("'update Helper'!E"&amp;U1193)/100)</f>
        <v/>
      </c>
      <c r="H1193" s="784"/>
      <c r="I1193" s="798"/>
      <c r="J1193" s="777"/>
      <c r="K1193" s="795" t="str">
        <f ca="1">W1193</f>
        <v/>
      </c>
      <c r="L1193" s="795" t="str">
        <f ca="1">V1193</f>
        <v/>
      </c>
      <c r="M1193" s="777"/>
      <c r="N1193" s="777"/>
      <c r="P1193" s="89">
        <f ca="1">IF(AND(EXACT(C1193,C1191),C1191&lt;&gt;0),P1191+1,0)</f>
        <v>46</v>
      </c>
      <c r="Q1193" s="89" t="str">
        <f ca="1">IF(C1193&lt;&gt;"",C1193&amp;"-"&amp;P1193,"")</f>
        <v/>
      </c>
      <c r="R1193" s="89" t="str">
        <f t="array" aca="1" ref="R1193" ca="1">IFERROR(IF(INDEX('Disaggregation Records'!$E$155:$E$385,MATCH(RIGHT(Q1193,255),RIGHT('Disaggregation Records'!$D$155:$D$385,255),0))="","",INDEX('Disaggregation Records'!$E$155:$E$385,MATCH(RIGHT(Q1193,255),RIGHT('Disaggregation Records'!$D$155:$D$385,255),0))),"")</f>
        <v/>
      </c>
      <c r="S1193" s="89" t="str">
        <f t="array" aca="1" ref="S1193" ca="1">IFERROR(IF(INDEX('Disaggregation Records'!$F$155:$F$385,MATCH(RIGHT(Q1193,255),RIGHT('Disaggregation Records'!$D$155:$D$385,255),0))="","",INDEX('Disaggregation Records'!$F$155:$F$385,MATCH(RIGHT(Q1193,255),RIGHT('Disaggregation Records'!$D$155:$D$385,255),0))),"")</f>
        <v/>
      </c>
      <c r="T1193" s="89" t="str">
        <f t="array" aca="1" ref="T1193" ca="1">IFERROR(IF(INDEX('Disaggregation Records'!$H$155:$H$385,MATCH(RIGHT(Q1193,255),RIGHT('Disaggregation Records'!$D$155:$D$385,255),0))="","",INDEX('Disaggregation Records'!$H$155:$H$385,MATCH(RIGHT(Q1193,255),RIGHT('Disaggregation Records'!$D$155:$D$385,255),0))),"")</f>
        <v/>
      </c>
      <c r="U1193" s="89">
        <f>U1191+1</f>
        <v>1706</v>
      </c>
      <c r="V1193" s="89" t="str">
        <f t="array" aca="1" ref="V1193" ca="1">IFERROR(IF(INDEX('Disaggregation Records'!$I$155:$I$385,MATCH(RIGHT(Q1193,255),RIGHT('Disaggregation Records'!$D$155:$D$385,255),0))="","",INDEX('Disaggregation Records'!$I$155:$I$385,MATCH(RIGHT(Q1193,255),RIGHT('Disaggregation Records'!$D$155:$D$385,255),0))),"")</f>
        <v/>
      </c>
      <c r="W1193" s="89" t="str">
        <f ca="1">IFERROR(INDEX('Reference Records'!L$77:L$157,MATCH(LEFT(C1193,255),'Reference Records'!E$77:E$157,0)),"")</f>
        <v/>
      </c>
    </row>
    <row r="1194" spans="1:23" s="89" customFormat="1" ht="40.35" customHeight="1">
      <c r="A1194" s="564"/>
      <c r="B1194" s="799"/>
      <c r="C1194" s="800"/>
      <c r="D1194" s="801"/>
      <c r="E1194" s="801"/>
      <c r="F1194" s="128"/>
      <c r="G1194" s="802"/>
      <c r="H1194" s="781"/>
      <c r="I1194" s="803"/>
      <c r="J1194" s="779"/>
      <c r="K1194" s="800"/>
      <c r="L1194" s="800"/>
      <c r="M1194" s="779"/>
      <c r="N1194" s="779"/>
    </row>
    <row r="1195" spans="1:23" s="89" customFormat="1" ht="40.35" customHeight="1">
      <c r="A1195" s="564" t="str">
        <f ca="1">INDIRECT("'update Helper'!C"&amp;U1195)</f>
        <v>a163p000004VjpKAAS</v>
      </c>
      <c r="B1195" s="794">
        <v>15</v>
      </c>
      <c r="C1195" s="795" t="str">
        <f ca="1">VLOOKUP(B1195,'Coverage Indicators - Section D'!$A$9:$AU$70,47,FALSE)</f>
        <v/>
      </c>
      <c r="D1195" s="796" t="str">
        <f ca="1">R1195</f>
        <v/>
      </c>
      <c r="E1195" s="796" t="str">
        <f ca="1">S1195</f>
        <v/>
      </c>
      <c r="F1195" s="127"/>
      <c r="G1195" s="797" t="str">
        <f ca="1">IF(OR(INDIRECT("'update Helper'!E"&amp;U1195)="",F1195&lt;&gt;0,F1196&lt;&gt;0),IF(IFERROR((F1195/F1196),"")="","",(F1195/F1196)),INDIRECT("'update Helper'!E"&amp;U1195)/100)</f>
        <v/>
      </c>
      <c r="H1195" s="784"/>
      <c r="I1195" s="798"/>
      <c r="J1195" s="777"/>
      <c r="K1195" s="795" t="str">
        <f ca="1">W1195</f>
        <v/>
      </c>
      <c r="L1195" s="795" t="str">
        <f ca="1">V1195</f>
        <v/>
      </c>
      <c r="M1195" s="777"/>
      <c r="N1195" s="777"/>
      <c r="P1195" s="89">
        <f ca="1">IF(AND(EXACT(C1195,C1193),C1193&lt;&gt;0),P1193+1,0)</f>
        <v>47</v>
      </c>
      <c r="Q1195" s="89" t="str">
        <f ca="1">IF(C1195&lt;&gt;"",C1195&amp;"-"&amp;P1195,"")</f>
        <v/>
      </c>
      <c r="R1195" s="89" t="str">
        <f t="array" aca="1" ref="R1195" ca="1">IFERROR(IF(INDEX('Disaggregation Records'!$E$155:$E$385,MATCH(RIGHT(Q1195,255),RIGHT('Disaggregation Records'!$D$155:$D$385,255),0))="","",INDEX('Disaggregation Records'!$E$155:$E$385,MATCH(RIGHT(Q1195,255),RIGHT('Disaggregation Records'!$D$155:$D$385,255),0))),"")</f>
        <v/>
      </c>
      <c r="S1195" s="89" t="str">
        <f t="array" aca="1" ref="S1195" ca="1">IFERROR(IF(INDEX('Disaggregation Records'!$F$155:$F$385,MATCH(RIGHT(Q1195,255),RIGHT('Disaggregation Records'!$D$155:$D$385,255),0))="","",INDEX('Disaggregation Records'!$F$155:$F$385,MATCH(RIGHT(Q1195,255),RIGHT('Disaggregation Records'!$D$155:$D$385,255),0))),"")</f>
        <v/>
      </c>
      <c r="T1195" s="89" t="str">
        <f t="array" aca="1" ref="T1195" ca="1">IFERROR(IF(INDEX('Disaggregation Records'!$H$155:$H$385,MATCH(RIGHT(Q1195,255),RIGHT('Disaggregation Records'!$D$155:$D$385,255),0))="","",INDEX('Disaggregation Records'!$H$155:$H$385,MATCH(RIGHT(Q1195,255),RIGHT('Disaggregation Records'!$D$155:$D$385,255),0))),"")</f>
        <v/>
      </c>
      <c r="U1195" s="89">
        <f>U1193+1</f>
        <v>1707</v>
      </c>
      <c r="V1195" s="89" t="str">
        <f t="array" aca="1" ref="V1195" ca="1">IFERROR(IF(INDEX('Disaggregation Records'!$I$155:$I$385,MATCH(RIGHT(Q1195,255),RIGHT('Disaggregation Records'!$D$155:$D$385,255),0))="","",INDEX('Disaggregation Records'!$I$155:$I$385,MATCH(RIGHT(Q1195,255),RIGHT('Disaggregation Records'!$D$155:$D$385,255),0))),"")</f>
        <v/>
      </c>
      <c r="W1195" s="89" t="str">
        <f ca="1">IFERROR(INDEX('Reference Records'!L$77:L$157,MATCH(LEFT(C1195,255),'Reference Records'!E$77:E$157,0)),"")</f>
        <v/>
      </c>
    </row>
    <row r="1196" spans="1:23" s="89" customFormat="1" ht="40.35" customHeight="1">
      <c r="A1196" s="564"/>
      <c r="B1196" s="799"/>
      <c r="C1196" s="800"/>
      <c r="D1196" s="801"/>
      <c r="E1196" s="801"/>
      <c r="F1196" s="128"/>
      <c r="G1196" s="802"/>
      <c r="H1196" s="781"/>
      <c r="I1196" s="803"/>
      <c r="J1196" s="779"/>
      <c r="K1196" s="800"/>
      <c r="L1196" s="800"/>
      <c r="M1196" s="779"/>
      <c r="N1196" s="779"/>
    </row>
    <row r="1197" spans="1:23" s="89" customFormat="1" ht="40.35" customHeight="1">
      <c r="A1197" s="564" t="str">
        <f ca="1">INDIRECT("'update Helper'!C"&amp;U1197)</f>
        <v>a163p000004VjpLAAS</v>
      </c>
      <c r="B1197" s="794">
        <v>15</v>
      </c>
      <c r="C1197" s="795" t="str">
        <f ca="1">VLOOKUP(B1197,'Coverage Indicators - Section D'!$A$9:$AU$70,47,FALSE)</f>
        <v/>
      </c>
      <c r="D1197" s="796" t="str">
        <f ca="1">R1197</f>
        <v/>
      </c>
      <c r="E1197" s="796" t="str">
        <f ca="1">S1197</f>
        <v/>
      </c>
      <c r="F1197" s="127"/>
      <c r="G1197" s="797" t="str">
        <f ca="1">IF(OR(INDIRECT("'update Helper'!E"&amp;U1197)="",F1197&lt;&gt;0,F1198&lt;&gt;0),IF(IFERROR((F1197/F1198),"")="","",(F1197/F1198)),INDIRECT("'update Helper'!E"&amp;U1197)/100)</f>
        <v/>
      </c>
      <c r="H1197" s="784"/>
      <c r="I1197" s="798"/>
      <c r="J1197" s="777"/>
      <c r="K1197" s="795" t="str">
        <f ca="1">W1197</f>
        <v/>
      </c>
      <c r="L1197" s="795" t="str">
        <f ca="1">V1197</f>
        <v/>
      </c>
      <c r="M1197" s="777"/>
      <c r="N1197" s="777"/>
      <c r="P1197" s="89">
        <f ca="1">IF(AND(EXACT(C1197,C1195),C1195&lt;&gt;0),P1195+1,0)</f>
        <v>48</v>
      </c>
      <c r="Q1197" s="89" t="str">
        <f ca="1">IF(C1197&lt;&gt;"",C1197&amp;"-"&amp;P1197,"")</f>
        <v/>
      </c>
      <c r="R1197" s="89" t="str">
        <f t="array" aca="1" ref="R1197" ca="1">IFERROR(IF(INDEX('Disaggregation Records'!$E$155:$E$385,MATCH(RIGHT(Q1197,255),RIGHT('Disaggregation Records'!$D$155:$D$385,255),0))="","",INDEX('Disaggregation Records'!$E$155:$E$385,MATCH(RIGHT(Q1197,255),RIGHT('Disaggregation Records'!$D$155:$D$385,255),0))),"")</f>
        <v/>
      </c>
      <c r="S1197" s="89" t="str">
        <f t="array" aca="1" ref="S1197" ca="1">IFERROR(IF(INDEX('Disaggregation Records'!$F$155:$F$385,MATCH(RIGHT(Q1197,255),RIGHT('Disaggregation Records'!$D$155:$D$385,255),0))="","",INDEX('Disaggregation Records'!$F$155:$F$385,MATCH(RIGHT(Q1197,255),RIGHT('Disaggregation Records'!$D$155:$D$385,255),0))),"")</f>
        <v/>
      </c>
      <c r="T1197" s="89" t="str">
        <f t="array" aca="1" ref="T1197" ca="1">IFERROR(IF(INDEX('Disaggregation Records'!$H$155:$H$385,MATCH(RIGHT(Q1197,255),RIGHT('Disaggregation Records'!$D$155:$D$385,255),0))="","",INDEX('Disaggregation Records'!$H$155:$H$385,MATCH(RIGHT(Q1197,255),RIGHT('Disaggregation Records'!$D$155:$D$385,255),0))),"")</f>
        <v/>
      </c>
      <c r="U1197" s="89">
        <f>U1195+1</f>
        <v>1708</v>
      </c>
      <c r="V1197" s="89" t="str">
        <f t="array" aca="1" ref="V1197" ca="1">IFERROR(IF(INDEX('Disaggregation Records'!$I$155:$I$385,MATCH(RIGHT(Q1197,255),RIGHT('Disaggregation Records'!$D$155:$D$385,255),0))="","",INDEX('Disaggregation Records'!$I$155:$I$385,MATCH(RIGHT(Q1197,255),RIGHT('Disaggregation Records'!$D$155:$D$385,255),0))),"")</f>
        <v/>
      </c>
      <c r="W1197" s="89" t="str">
        <f ca="1">IFERROR(INDEX('Reference Records'!L$77:L$157,MATCH(LEFT(C1197,255),'Reference Records'!E$77:E$157,0)),"")</f>
        <v/>
      </c>
    </row>
    <row r="1198" spans="1:23" s="89" customFormat="1" ht="40.35" customHeight="1">
      <c r="A1198" s="564"/>
      <c r="B1198" s="799"/>
      <c r="C1198" s="800"/>
      <c r="D1198" s="801"/>
      <c r="E1198" s="801"/>
      <c r="F1198" s="128"/>
      <c r="G1198" s="802"/>
      <c r="H1198" s="781"/>
      <c r="I1198" s="803"/>
      <c r="J1198" s="779"/>
      <c r="K1198" s="800"/>
      <c r="L1198" s="800"/>
      <c r="M1198" s="779"/>
      <c r="N1198" s="779"/>
    </row>
    <row r="1199" spans="1:23" s="89" customFormat="1" ht="40.35" customHeight="1">
      <c r="A1199" s="564" t="str">
        <f ca="1">INDIRECT("'update Helper'!C"&amp;U1199)</f>
        <v>a163p000004VjpMAAS</v>
      </c>
      <c r="B1199" s="794">
        <v>15</v>
      </c>
      <c r="C1199" s="795" t="str">
        <f ca="1">VLOOKUP(B1199,'Coverage Indicators - Section D'!$A$9:$AU$70,47,FALSE)</f>
        <v/>
      </c>
      <c r="D1199" s="796" t="str">
        <f ca="1">R1199</f>
        <v/>
      </c>
      <c r="E1199" s="796" t="str">
        <f ca="1">S1199</f>
        <v/>
      </c>
      <c r="F1199" s="127"/>
      <c r="G1199" s="797" t="str">
        <f ca="1">IF(OR(INDIRECT("'update Helper'!E"&amp;U1199)="",F1199&lt;&gt;0,F1200&lt;&gt;0),IF(IFERROR((F1199/F1200),"")="","",(F1199/F1200)),INDIRECT("'update Helper'!E"&amp;U1199)/100)</f>
        <v/>
      </c>
      <c r="H1199" s="784"/>
      <c r="I1199" s="798"/>
      <c r="J1199" s="777"/>
      <c r="K1199" s="795" t="str">
        <f ca="1">W1199</f>
        <v/>
      </c>
      <c r="L1199" s="795" t="str">
        <f ca="1">V1199</f>
        <v/>
      </c>
      <c r="M1199" s="777"/>
      <c r="N1199" s="777"/>
      <c r="P1199" s="89">
        <f ca="1">IF(AND(EXACT(C1199,C1197),C1197&lt;&gt;0),P1197+1,0)</f>
        <v>49</v>
      </c>
      <c r="Q1199" s="89" t="str">
        <f ca="1">IF(C1199&lt;&gt;"",C1199&amp;"-"&amp;P1199,"")</f>
        <v/>
      </c>
      <c r="R1199" s="89" t="str">
        <f t="array" aca="1" ref="R1199" ca="1">IFERROR(IF(INDEX('Disaggregation Records'!$E$155:$E$385,MATCH(RIGHT(Q1199,255),RIGHT('Disaggregation Records'!$D$155:$D$385,255),0))="","",INDEX('Disaggregation Records'!$E$155:$E$385,MATCH(RIGHT(Q1199,255),RIGHT('Disaggregation Records'!$D$155:$D$385,255),0))),"")</f>
        <v/>
      </c>
      <c r="S1199" s="89" t="str">
        <f t="array" aca="1" ref="S1199" ca="1">IFERROR(IF(INDEX('Disaggregation Records'!$F$155:$F$385,MATCH(RIGHT(Q1199,255),RIGHT('Disaggregation Records'!$D$155:$D$385,255),0))="","",INDEX('Disaggregation Records'!$F$155:$F$385,MATCH(RIGHT(Q1199,255),RIGHT('Disaggregation Records'!$D$155:$D$385,255),0))),"")</f>
        <v/>
      </c>
      <c r="T1199" s="89" t="str">
        <f t="array" aca="1" ref="T1199" ca="1">IFERROR(IF(INDEX('Disaggregation Records'!$H$155:$H$385,MATCH(RIGHT(Q1199,255),RIGHT('Disaggregation Records'!$D$155:$D$385,255),0))="","",INDEX('Disaggregation Records'!$H$155:$H$385,MATCH(RIGHT(Q1199,255),RIGHT('Disaggregation Records'!$D$155:$D$385,255),0))),"")</f>
        <v/>
      </c>
      <c r="U1199" s="89">
        <f>U1197+1</f>
        <v>1709</v>
      </c>
      <c r="V1199" s="89" t="str">
        <f t="array" aca="1" ref="V1199" ca="1">IFERROR(IF(INDEX('Disaggregation Records'!$I$155:$I$385,MATCH(RIGHT(Q1199,255),RIGHT('Disaggregation Records'!$D$155:$D$385,255),0))="","",INDEX('Disaggregation Records'!$I$155:$I$385,MATCH(RIGHT(Q1199,255),RIGHT('Disaggregation Records'!$D$155:$D$385,255),0))),"")</f>
        <v/>
      </c>
      <c r="W1199" s="89" t="str">
        <f ca="1">IFERROR(INDEX('Reference Records'!L$77:L$157,MATCH(LEFT(C1199,255),'Reference Records'!E$77:E$157,0)),"")</f>
        <v/>
      </c>
    </row>
    <row r="1200" spans="1:23" s="89" customFormat="1" ht="40.35" customHeight="1">
      <c r="A1200" s="564"/>
      <c r="B1200" s="799"/>
      <c r="C1200" s="800"/>
      <c r="D1200" s="801"/>
      <c r="E1200" s="801"/>
      <c r="F1200" s="128"/>
      <c r="G1200" s="802"/>
      <c r="H1200" s="781"/>
      <c r="I1200" s="803"/>
      <c r="J1200" s="779"/>
      <c r="K1200" s="800"/>
      <c r="L1200" s="800"/>
      <c r="M1200" s="779"/>
      <c r="N1200" s="779"/>
    </row>
    <row r="1201" spans="1:23" s="89" customFormat="1" ht="40.35" customHeight="1">
      <c r="A1201" s="564" t="str">
        <f ca="1">INDIRECT("'update Helper'!C"&amp;U1201)</f>
        <v>a163p000004VjpNAAS</v>
      </c>
      <c r="B1201" s="794">
        <v>15</v>
      </c>
      <c r="C1201" s="795" t="str">
        <f ca="1">VLOOKUP(B1201,'Coverage Indicators - Section D'!$A$9:$AU$70,47,FALSE)</f>
        <v/>
      </c>
      <c r="D1201" s="796" t="str">
        <f ca="1">R1201</f>
        <v/>
      </c>
      <c r="E1201" s="796" t="str">
        <f ca="1">S1201</f>
        <v/>
      </c>
      <c r="F1201" s="127"/>
      <c r="G1201" s="797" t="str">
        <f ca="1">IF(OR(INDIRECT("'update Helper'!E"&amp;U1201)="",F1201&lt;&gt;0,F1202&lt;&gt;0),IF(IFERROR((F1201/F1202),"")="","",(F1201/F1202)),INDIRECT("'update Helper'!E"&amp;U1201)/100)</f>
        <v/>
      </c>
      <c r="H1201" s="784"/>
      <c r="I1201" s="798"/>
      <c r="J1201" s="777"/>
      <c r="K1201" s="795" t="str">
        <f ca="1">W1201</f>
        <v/>
      </c>
      <c r="L1201" s="795" t="str">
        <f ca="1">V1201</f>
        <v/>
      </c>
      <c r="M1201" s="777"/>
      <c r="N1201" s="777"/>
      <c r="P1201" s="89">
        <f ca="1">IF(AND(EXACT(C1201,C1199),C1199&lt;&gt;0),P1199+1,0)</f>
        <v>50</v>
      </c>
      <c r="Q1201" s="89" t="str">
        <f ca="1">IF(C1201&lt;&gt;"",C1201&amp;"-"&amp;P1201,"")</f>
        <v/>
      </c>
      <c r="R1201" s="89" t="str">
        <f t="array" aca="1" ref="R1201" ca="1">IFERROR(IF(INDEX('Disaggregation Records'!$E$155:$E$385,MATCH(RIGHT(Q1201,255),RIGHT('Disaggregation Records'!$D$155:$D$385,255),0))="","",INDEX('Disaggregation Records'!$E$155:$E$385,MATCH(RIGHT(Q1201,255),RIGHT('Disaggregation Records'!$D$155:$D$385,255),0))),"")</f>
        <v/>
      </c>
      <c r="S1201" s="89" t="str">
        <f t="array" aca="1" ref="S1201" ca="1">IFERROR(IF(INDEX('Disaggregation Records'!$F$155:$F$385,MATCH(RIGHT(Q1201,255),RIGHT('Disaggregation Records'!$D$155:$D$385,255),0))="","",INDEX('Disaggregation Records'!$F$155:$F$385,MATCH(RIGHT(Q1201,255),RIGHT('Disaggregation Records'!$D$155:$D$385,255),0))),"")</f>
        <v/>
      </c>
      <c r="T1201" s="89" t="str">
        <f t="array" aca="1" ref="T1201" ca="1">IFERROR(IF(INDEX('Disaggregation Records'!$H$155:$H$385,MATCH(RIGHT(Q1201,255),RIGHT('Disaggregation Records'!$D$155:$D$385,255),0))="","",INDEX('Disaggregation Records'!$H$155:$H$385,MATCH(RIGHT(Q1201,255),RIGHT('Disaggregation Records'!$D$155:$D$385,255),0))),"")</f>
        <v/>
      </c>
      <c r="U1201" s="89">
        <f>U1199+1</f>
        <v>1710</v>
      </c>
      <c r="V1201" s="89" t="str">
        <f t="array" aca="1" ref="V1201" ca="1">IFERROR(IF(INDEX('Disaggregation Records'!$I$155:$I$385,MATCH(RIGHT(Q1201,255),RIGHT('Disaggregation Records'!$D$155:$D$385,255),0))="","",INDEX('Disaggregation Records'!$I$155:$I$385,MATCH(RIGHT(Q1201,255),RIGHT('Disaggregation Records'!$D$155:$D$385,255),0))),"")</f>
        <v/>
      </c>
      <c r="W1201" s="89" t="str">
        <f ca="1">IFERROR(INDEX('Reference Records'!L$77:L$157,MATCH(LEFT(C1201,255),'Reference Records'!E$77:E$157,0)),"")</f>
        <v/>
      </c>
    </row>
    <row r="1202" spans="1:23" s="89" customFormat="1" ht="40.35" customHeight="1">
      <c r="A1202" s="564"/>
      <c r="B1202" s="799"/>
      <c r="C1202" s="800"/>
      <c r="D1202" s="801"/>
      <c r="E1202" s="801"/>
      <c r="F1202" s="128"/>
      <c r="G1202" s="802"/>
      <c r="H1202" s="781"/>
      <c r="I1202" s="803"/>
      <c r="J1202" s="779"/>
      <c r="K1202" s="800"/>
      <c r="L1202" s="800"/>
      <c r="M1202" s="779"/>
      <c r="N1202" s="779"/>
    </row>
    <row r="1203" spans="1:23" s="89" customFormat="1" ht="40.35" customHeight="1">
      <c r="A1203" s="564" t="str">
        <f ca="1">INDIRECT("'update Helper'!C"&amp;U1203)</f>
        <v>a163p000004VjpOAAS</v>
      </c>
      <c r="B1203" s="794">
        <v>15</v>
      </c>
      <c r="C1203" s="795" t="str">
        <f ca="1">VLOOKUP(B1203,'Coverage Indicators - Section D'!$A$9:$AU$70,47,FALSE)</f>
        <v/>
      </c>
      <c r="D1203" s="796" t="str">
        <f ca="1">R1203</f>
        <v/>
      </c>
      <c r="E1203" s="796" t="str">
        <f ca="1">S1203</f>
        <v/>
      </c>
      <c r="F1203" s="127"/>
      <c r="G1203" s="797" t="str">
        <f ca="1">IF(OR(INDIRECT("'update Helper'!E"&amp;U1203)="",F1203&lt;&gt;0,F1204&lt;&gt;0),IF(IFERROR((F1203/F1204),"")="","",(F1203/F1204)),INDIRECT("'update Helper'!E"&amp;U1203)/100)</f>
        <v/>
      </c>
      <c r="H1203" s="784"/>
      <c r="I1203" s="798"/>
      <c r="J1203" s="777"/>
      <c r="K1203" s="795" t="str">
        <f ca="1">W1203</f>
        <v/>
      </c>
      <c r="L1203" s="795" t="str">
        <f ca="1">V1203</f>
        <v/>
      </c>
      <c r="M1203" s="777"/>
      <c r="N1203" s="777"/>
      <c r="P1203" s="89">
        <f ca="1">IF(AND(EXACT(C1203,C1201),C1201&lt;&gt;0),P1201+1,0)</f>
        <v>51</v>
      </c>
      <c r="Q1203" s="89" t="str">
        <f ca="1">IF(C1203&lt;&gt;"",C1203&amp;"-"&amp;P1203,"")</f>
        <v/>
      </c>
      <c r="R1203" s="89" t="str">
        <f t="array" aca="1" ref="R1203" ca="1">IFERROR(IF(INDEX('Disaggregation Records'!$E$155:$E$385,MATCH(RIGHT(Q1203,255),RIGHT('Disaggregation Records'!$D$155:$D$385,255),0))="","",INDEX('Disaggregation Records'!$E$155:$E$385,MATCH(RIGHT(Q1203,255),RIGHT('Disaggregation Records'!$D$155:$D$385,255),0))),"")</f>
        <v/>
      </c>
      <c r="S1203" s="89" t="str">
        <f t="array" aca="1" ref="S1203" ca="1">IFERROR(IF(INDEX('Disaggregation Records'!$F$155:$F$385,MATCH(RIGHT(Q1203,255),RIGHT('Disaggregation Records'!$D$155:$D$385,255),0))="","",INDEX('Disaggregation Records'!$F$155:$F$385,MATCH(RIGHT(Q1203,255),RIGHT('Disaggregation Records'!$D$155:$D$385,255),0))),"")</f>
        <v/>
      </c>
      <c r="T1203" s="89" t="str">
        <f t="array" aca="1" ref="T1203" ca="1">IFERROR(IF(INDEX('Disaggregation Records'!$H$155:$H$385,MATCH(RIGHT(Q1203,255),RIGHT('Disaggregation Records'!$D$155:$D$385,255),0))="","",INDEX('Disaggregation Records'!$H$155:$H$385,MATCH(RIGHT(Q1203,255),RIGHT('Disaggregation Records'!$D$155:$D$385,255),0))),"")</f>
        <v/>
      </c>
      <c r="U1203" s="89">
        <f>U1201+1</f>
        <v>1711</v>
      </c>
      <c r="V1203" s="89" t="str">
        <f t="array" aca="1" ref="V1203" ca="1">IFERROR(IF(INDEX('Disaggregation Records'!$I$155:$I$385,MATCH(RIGHT(Q1203,255),RIGHT('Disaggregation Records'!$D$155:$D$385,255),0))="","",INDEX('Disaggregation Records'!$I$155:$I$385,MATCH(RIGHT(Q1203,255),RIGHT('Disaggregation Records'!$D$155:$D$385,255),0))),"")</f>
        <v/>
      </c>
      <c r="W1203" s="89" t="str">
        <f ca="1">IFERROR(INDEX('Reference Records'!L$77:L$157,MATCH(LEFT(C1203,255),'Reference Records'!E$77:E$157,0)),"")</f>
        <v/>
      </c>
    </row>
    <row r="1204" spans="1:23" s="89" customFormat="1" ht="40.35" customHeight="1">
      <c r="A1204" s="564"/>
      <c r="B1204" s="799"/>
      <c r="C1204" s="800"/>
      <c r="D1204" s="801"/>
      <c r="E1204" s="801"/>
      <c r="F1204" s="128"/>
      <c r="G1204" s="802"/>
      <c r="H1204" s="781"/>
      <c r="I1204" s="803"/>
      <c r="J1204" s="779"/>
      <c r="K1204" s="800"/>
      <c r="L1204" s="800"/>
      <c r="M1204" s="779"/>
      <c r="N1204" s="779"/>
    </row>
    <row r="1205" spans="1:23" s="89" customFormat="1" ht="40.35" customHeight="1">
      <c r="A1205" s="564" t="str">
        <f ca="1">INDIRECT("'update Helper'!C"&amp;U1205)</f>
        <v>a163p000004VjpPAAS</v>
      </c>
      <c r="B1205" s="794">
        <v>15</v>
      </c>
      <c r="C1205" s="795" t="str">
        <f ca="1">VLOOKUP(B1205,'Coverage Indicators - Section D'!$A$9:$AU$70,47,FALSE)</f>
        <v/>
      </c>
      <c r="D1205" s="796" t="str">
        <f ca="1">R1205</f>
        <v/>
      </c>
      <c r="E1205" s="796" t="str">
        <f ca="1">S1205</f>
        <v/>
      </c>
      <c r="F1205" s="127"/>
      <c r="G1205" s="797" t="str">
        <f ca="1">IF(OR(INDIRECT("'update Helper'!E"&amp;U1205)="",F1205&lt;&gt;0,F1206&lt;&gt;0),IF(IFERROR((F1205/F1206),"")="","",(F1205/F1206)),INDIRECT("'update Helper'!E"&amp;U1205)/100)</f>
        <v/>
      </c>
      <c r="H1205" s="784"/>
      <c r="I1205" s="798"/>
      <c r="J1205" s="777"/>
      <c r="K1205" s="795" t="str">
        <f ca="1">W1205</f>
        <v/>
      </c>
      <c r="L1205" s="795" t="str">
        <f ca="1">V1205</f>
        <v/>
      </c>
      <c r="M1205" s="777"/>
      <c r="N1205" s="777"/>
      <c r="P1205" s="89">
        <f ca="1">IF(AND(EXACT(C1205,C1203),C1203&lt;&gt;0),P1203+1,0)</f>
        <v>52</v>
      </c>
      <c r="Q1205" s="89" t="str">
        <f ca="1">IF(C1205&lt;&gt;"",C1205&amp;"-"&amp;P1205,"")</f>
        <v/>
      </c>
      <c r="R1205" s="89" t="str">
        <f t="array" aca="1" ref="R1205" ca="1">IFERROR(IF(INDEX('Disaggregation Records'!$E$155:$E$385,MATCH(RIGHT(Q1205,255),RIGHT('Disaggregation Records'!$D$155:$D$385,255),0))="","",INDEX('Disaggregation Records'!$E$155:$E$385,MATCH(RIGHT(Q1205,255),RIGHT('Disaggregation Records'!$D$155:$D$385,255),0))),"")</f>
        <v/>
      </c>
      <c r="S1205" s="89" t="str">
        <f t="array" aca="1" ref="S1205" ca="1">IFERROR(IF(INDEX('Disaggregation Records'!$F$155:$F$385,MATCH(RIGHT(Q1205,255),RIGHT('Disaggregation Records'!$D$155:$D$385,255),0))="","",INDEX('Disaggregation Records'!$F$155:$F$385,MATCH(RIGHT(Q1205,255),RIGHT('Disaggregation Records'!$D$155:$D$385,255),0))),"")</f>
        <v/>
      </c>
      <c r="T1205" s="89" t="str">
        <f t="array" aca="1" ref="T1205" ca="1">IFERROR(IF(INDEX('Disaggregation Records'!$H$155:$H$385,MATCH(RIGHT(Q1205,255),RIGHT('Disaggregation Records'!$D$155:$D$385,255),0))="","",INDEX('Disaggregation Records'!$H$155:$H$385,MATCH(RIGHT(Q1205,255),RIGHT('Disaggregation Records'!$D$155:$D$385,255),0))),"")</f>
        <v/>
      </c>
      <c r="U1205" s="89">
        <f>U1203+1</f>
        <v>1712</v>
      </c>
      <c r="V1205" s="89" t="str">
        <f t="array" aca="1" ref="V1205" ca="1">IFERROR(IF(INDEX('Disaggregation Records'!$I$155:$I$385,MATCH(RIGHT(Q1205,255),RIGHT('Disaggregation Records'!$D$155:$D$385,255),0))="","",INDEX('Disaggregation Records'!$I$155:$I$385,MATCH(RIGHT(Q1205,255),RIGHT('Disaggregation Records'!$D$155:$D$385,255),0))),"")</f>
        <v/>
      </c>
      <c r="W1205" s="89" t="str">
        <f ca="1">IFERROR(INDEX('Reference Records'!L$77:L$157,MATCH(LEFT(C1205,255),'Reference Records'!E$77:E$157,0)),"")</f>
        <v/>
      </c>
    </row>
    <row r="1206" spans="1:23" s="89" customFormat="1" ht="40.35" customHeight="1">
      <c r="A1206" s="564"/>
      <c r="B1206" s="799"/>
      <c r="C1206" s="800"/>
      <c r="D1206" s="801"/>
      <c r="E1206" s="801"/>
      <c r="F1206" s="128"/>
      <c r="G1206" s="802"/>
      <c r="H1206" s="781"/>
      <c r="I1206" s="803"/>
      <c r="J1206" s="779"/>
      <c r="K1206" s="800"/>
      <c r="L1206" s="800"/>
      <c r="M1206" s="779"/>
      <c r="N1206" s="779"/>
    </row>
    <row r="1207" spans="1:23" s="89" customFormat="1" ht="40.35" customHeight="1">
      <c r="A1207" s="564" t="str">
        <f ca="1">INDIRECT("'update Helper'!C"&amp;U1207)</f>
        <v>a163p000004VjpQAAS</v>
      </c>
      <c r="B1207" s="794">
        <v>15</v>
      </c>
      <c r="C1207" s="795" t="str">
        <f ca="1">VLOOKUP(B1207,'Coverage Indicators - Section D'!$A$9:$AU$70,47,FALSE)</f>
        <v/>
      </c>
      <c r="D1207" s="796" t="str">
        <f ca="1">R1207</f>
        <v/>
      </c>
      <c r="E1207" s="796" t="str">
        <f ca="1">S1207</f>
        <v/>
      </c>
      <c r="F1207" s="127"/>
      <c r="G1207" s="797" t="str">
        <f ca="1">IF(OR(INDIRECT("'update Helper'!E"&amp;U1207)="",F1207&lt;&gt;0,F1208&lt;&gt;0),IF(IFERROR((F1207/F1208),"")="","",(F1207/F1208)),INDIRECT("'update Helper'!E"&amp;U1207)/100)</f>
        <v/>
      </c>
      <c r="H1207" s="784"/>
      <c r="I1207" s="798"/>
      <c r="J1207" s="777"/>
      <c r="K1207" s="795" t="str">
        <f ca="1">W1207</f>
        <v/>
      </c>
      <c r="L1207" s="795" t="str">
        <f ca="1">V1207</f>
        <v/>
      </c>
      <c r="M1207" s="777"/>
      <c r="N1207" s="777"/>
      <c r="P1207" s="89">
        <f ca="1">IF(AND(EXACT(C1207,C1205),C1205&lt;&gt;0),P1205+1,0)</f>
        <v>53</v>
      </c>
      <c r="Q1207" s="89" t="str">
        <f ca="1">IF(C1207&lt;&gt;"",C1207&amp;"-"&amp;P1207,"")</f>
        <v/>
      </c>
      <c r="R1207" s="89" t="str">
        <f t="array" aca="1" ref="R1207" ca="1">IFERROR(IF(INDEX('Disaggregation Records'!$E$155:$E$385,MATCH(RIGHT(Q1207,255),RIGHT('Disaggregation Records'!$D$155:$D$385,255),0))="","",INDEX('Disaggregation Records'!$E$155:$E$385,MATCH(RIGHT(Q1207,255),RIGHT('Disaggregation Records'!$D$155:$D$385,255),0))),"")</f>
        <v/>
      </c>
      <c r="S1207" s="89" t="str">
        <f t="array" aca="1" ref="S1207" ca="1">IFERROR(IF(INDEX('Disaggregation Records'!$F$155:$F$385,MATCH(RIGHT(Q1207,255),RIGHT('Disaggregation Records'!$D$155:$D$385,255),0))="","",INDEX('Disaggregation Records'!$F$155:$F$385,MATCH(RIGHT(Q1207,255),RIGHT('Disaggregation Records'!$D$155:$D$385,255),0))),"")</f>
        <v/>
      </c>
      <c r="T1207" s="89" t="str">
        <f t="array" aca="1" ref="T1207" ca="1">IFERROR(IF(INDEX('Disaggregation Records'!$H$155:$H$385,MATCH(RIGHT(Q1207,255),RIGHT('Disaggregation Records'!$D$155:$D$385,255),0))="","",INDEX('Disaggregation Records'!$H$155:$H$385,MATCH(RIGHT(Q1207,255),RIGHT('Disaggregation Records'!$D$155:$D$385,255),0))),"")</f>
        <v/>
      </c>
      <c r="U1207" s="89">
        <f>U1205+1</f>
        <v>1713</v>
      </c>
      <c r="V1207" s="89" t="str">
        <f t="array" aca="1" ref="V1207" ca="1">IFERROR(IF(INDEX('Disaggregation Records'!$I$155:$I$385,MATCH(RIGHT(Q1207,255),RIGHT('Disaggregation Records'!$D$155:$D$385,255),0))="","",INDEX('Disaggregation Records'!$I$155:$I$385,MATCH(RIGHT(Q1207,255),RIGHT('Disaggregation Records'!$D$155:$D$385,255),0))),"")</f>
        <v/>
      </c>
      <c r="W1207" s="89" t="str">
        <f ca="1">IFERROR(INDEX('Reference Records'!L$77:L$157,MATCH(LEFT(C1207,255),'Reference Records'!E$77:E$157,0)),"")</f>
        <v/>
      </c>
    </row>
    <row r="1208" spans="1:23" s="89" customFormat="1" ht="40.35" customHeight="1">
      <c r="A1208" s="564"/>
      <c r="B1208" s="799"/>
      <c r="C1208" s="800"/>
      <c r="D1208" s="801"/>
      <c r="E1208" s="801"/>
      <c r="F1208" s="128"/>
      <c r="G1208" s="802"/>
      <c r="H1208" s="781"/>
      <c r="I1208" s="803"/>
      <c r="J1208" s="779"/>
      <c r="K1208" s="800"/>
      <c r="L1208" s="800"/>
      <c r="M1208" s="779"/>
      <c r="N1208" s="779"/>
    </row>
    <row r="1209" spans="1:23" s="89" customFormat="1" ht="40.35" customHeight="1">
      <c r="A1209" s="564" t="str">
        <f ca="1">INDIRECT("'update Helper'!C"&amp;U1209)</f>
        <v>a163p000004VjpRAAS</v>
      </c>
      <c r="B1209" s="794">
        <v>15</v>
      </c>
      <c r="C1209" s="795" t="str">
        <f ca="1">VLOOKUP(B1209,'Coverage Indicators - Section D'!$A$9:$AU$70,47,FALSE)</f>
        <v/>
      </c>
      <c r="D1209" s="796" t="str">
        <f ca="1">R1209</f>
        <v/>
      </c>
      <c r="E1209" s="796" t="str">
        <f ca="1">S1209</f>
        <v/>
      </c>
      <c r="F1209" s="127"/>
      <c r="G1209" s="797" t="str">
        <f ca="1">IF(OR(INDIRECT("'update Helper'!E"&amp;U1209)="",F1209&lt;&gt;0,F1210&lt;&gt;0),IF(IFERROR((F1209/F1210),"")="","",(F1209/F1210)),INDIRECT("'update Helper'!E"&amp;U1209)/100)</f>
        <v/>
      </c>
      <c r="H1209" s="784"/>
      <c r="I1209" s="798"/>
      <c r="J1209" s="777"/>
      <c r="K1209" s="795" t="str">
        <f ca="1">W1209</f>
        <v/>
      </c>
      <c r="L1209" s="795" t="str">
        <f ca="1">V1209</f>
        <v/>
      </c>
      <c r="M1209" s="777"/>
      <c r="N1209" s="777"/>
      <c r="P1209" s="89">
        <f ca="1">IF(AND(EXACT(C1209,C1207),C1207&lt;&gt;0),P1207+1,0)</f>
        <v>54</v>
      </c>
      <c r="Q1209" s="89" t="str">
        <f ca="1">IF(C1209&lt;&gt;"",C1209&amp;"-"&amp;P1209,"")</f>
        <v/>
      </c>
      <c r="R1209" s="89" t="str">
        <f t="array" aca="1" ref="R1209" ca="1">IFERROR(IF(INDEX('Disaggregation Records'!$E$155:$E$385,MATCH(RIGHT(Q1209,255),RIGHT('Disaggregation Records'!$D$155:$D$385,255),0))="","",INDEX('Disaggregation Records'!$E$155:$E$385,MATCH(RIGHT(Q1209,255),RIGHT('Disaggregation Records'!$D$155:$D$385,255),0))),"")</f>
        <v/>
      </c>
      <c r="S1209" s="89" t="str">
        <f t="array" aca="1" ref="S1209" ca="1">IFERROR(IF(INDEX('Disaggregation Records'!$F$155:$F$385,MATCH(RIGHT(Q1209,255),RIGHT('Disaggregation Records'!$D$155:$D$385,255),0))="","",INDEX('Disaggregation Records'!$F$155:$F$385,MATCH(RIGHT(Q1209,255),RIGHT('Disaggregation Records'!$D$155:$D$385,255),0))),"")</f>
        <v/>
      </c>
      <c r="T1209" s="89" t="str">
        <f t="array" aca="1" ref="T1209" ca="1">IFERROR(IF(INDEX('Disaggregation Records'!$H$155:$H$385,MATCH(RIGHT(Q1209,255),RIGHT('Disaggregation Records'!$D$155:$D$385,255),0))="","",INDEX('Disaggregation Records'!$H$155:$H$385,MATCH(RIGHT(Q1209,255),RIGHT('Disaggregation Records'!$D$155:$D$385,255),0))),"")</f>
        <v/>
      </c>
      <c r="U1209" s="89">
        <f>U1207+1</f>
        <v>1714</v>
      </c>
      <c r="V1209" s="89" t="str">
        <f t="array" aca="1" ref="V1209" ca="1">IFERROR(IF(INDEX('Disaggregation Records'!$I$155:$I$385,MATCH(RIGHT(Q1209,255),RIGHT('Disaggregation Records'!$D$155:$D$385,255),0))="","",INDEX('Disaggregation Records'!$I$155:$I$385,MATCH(RIGHT(Q1209,255),RIGHT('Disaggregation Records'!$D$155:$D$385,255),0))),"")</f>
        <v/>
      </c>
      <c r="W1209" s="89" t="str">
        <f ca="1">IFERROR(INDEX('Reference Records'!L$77:L$157,MATCH(LEFT(C1209,255),'Reference Records'!E$77:E$157,0)),"")</f>
        <v/>
      </c>
    </row>
    <row r="1210" spans="1:23" s="89" customFormat="1" ht="40.35" customHeight="1">
      <c r="A1210" s="564"/>
      <c r="B1210" s="799"/>
      <c r="C1210" s="800"/>
      <c r="D1210" s="801"/>
      <c r="E1210" s="801"/>
      <c r="F1210" s="128"/>
      <c r="G1210" s="802"/>
      <c r="H1210" s="781"/>
      <c r="I1210" s="803"/>
      <c r="J1210" s="779"/>
      <c r="K1210" s="800"/>
      <c r="L1210" s="800"/>
      <c r="M1210" s="779"/>
      <c r="N1210" s="779"/>
    </row>
    <row r="1211" spans="1:23" s="89" customFormat="1" ht="40.35" customHeight="1">
      <c r="A1211" s="564" t="str">
        <f ca="1">INDIRECT("'update Helper'!C"&amp;U1211)</f>
        <v>a163p000004VjpSAAS</v>
      </c>
      <c r="B1211" s="794">
        <v>15</v>
      </c>
      <c r="C1211" s="795" t="str">
        <f ca="1">VLOOKUP(B1211,'Coverage Indicators - Section D'!$A$9:$AU$70,47,FALSE)</f>
        <v/>
      </c>
      <c r="D1211" s="796" t="str">
        <f ca="1">R1211</f>
        <v/>
      </c>
      <c r="E1211" s="796" t="str">
        <f ca="1">S1211</f>
        <v/>
      </c>
      <c r="F1211" s="127"/>
      <c r="G1211" s="797" t="str">
        <f ca="1">IF(OR(INDIRECT("'update Helper'!E"&amp;U1211)="",F1211&lt;&gt;0,F1212&lt;&gt;0),IF(IFERROR((F1211/F1212),"")="","",(F1211/F1212)),INDIRECT("'update Helper'!E"&amp;U1211)/100)</f>
        <v/>
      </c>
      <c r="H1211" s="784"/>
      <c r="I1211" s="798"/>
      <c r="J1211" s="777"/>
      <c r="K1211" s="795" t="str">
        <f ca="1">W1211</f>
        <v/>
      </c>
      <c r="L1211" s="795" t="str">
        <f ca="1">V1211</f>
        <v/>
      </c>
      <c r="M1211" s="777"/>
      <c r="N1211" s="777"/>
      <c r="P1211" s="89">
        <f ca="1">IF(AND(EXACT(C1211,C1209),C1209&lt;&gt;0),P1209+1,0)</f>
        <v>55</v>
      </c>
      <c r="Q1211" s="89" t="str">
        <f ca="1">IF(C1211&lt;&gt;"",C1211&amp;"-"&amp;P1211,"")</f>
        <v/>
      </c>
      <c r="R1211" s="89" t="str">
        <f t="array" aca="1" ref="R1211" ca="1">IFERROR(IF(INDEX('Disaggregation Records'!$E$155:$E$385,MATCH(RIGHT(Q1211,255),RIGHT('Disaggregation Records'!$D$155:$D$385,255),0))="","",INDEX('Disaggregation Records'!$E$155:$E$385,MATCH(RIGHT(Q1211,255),RIGHT('Disaggregation Records'!$D$155:$D$385,255),0))),"")</f>
        <v/>
      </c>
      <c r="S1211" s="89" t="str">
        <f t="array" aca="1" ref="S1211" ca="1">IFERROR(IF(INDEX('Disaggregation Records'!$F$155:$F$385,MATCH(RIGHT(Q1211,255),RIGHT('Disaggregation Records'!$D$155:$D$385,255),0))="","",INDEX('Disaggregation Records'!$F$155:$F$385,MATCH(RIGHT(Q1211,255),RIGHT('Disaggregation Records'!$D$155:$D$385,255),0))),"")</f>
        <v/>
      </c>
      <c r="T1211" s="89" t="str">
        <f t="array" aca="1" ref="T1211" ca="1">IFERROR(IF(INDEX('Disaggregation Records'!$H$155:$H$385,MATCH(RIGHT(Q1211,255),RIGHT('Disaggregation Records'!$D$155:$D$385,255),0))="","",INDEX('Disaggregation Records'!$H$155:$H$385,MATCH(RIGHT(Q1211,255),RIGHT('Disaggregation Records'!$D$155:$D$385,255),0))),"")</f>
        <v/>
      </c>
      <c r="U1211" s="89">
        <f>U1209+1</f>
        <v>1715</v>
      </c>
      <c r="V1211" s="89" t="str">
        <f t="array" aca="1" ref="V1211" ca="1">IFERROR(IF(INDEX('Disaggregation Records'!$I$155:$I$385,MATCH(RIGHT(Q1211,255),RIGHT('Disaggregation Records'!$D$155:$D$385,255),0))="","",INDEX('Disaggregation Records'!$I$155:$I$385,MATCH(RIGHT(Q1211,255),RIGHT('Disaggregation Records'!$D$155:$D$385,255),0))),"")</f>
        <v/>
      </c>
      <c r="W1211" s="89" t="str">
        <f ca="1">IFERROR(INDEX('Reference Records'!L$77:L$157,MATCH(LEFT(C1211,255),'Reference Records'!E$77:E$157,0)),"")</f>
        <v/>
      </c>
    </row>
    <row r="1212" spans="1:23" s="89" customFormat="1" ht="40.35" customHeight="1">
      <c r="A1212" s="564"/>
      <c r="B1212" s="799"/>
      <c r="C1212" s="800"/>
      <c r="D1212" s="801"/>
      <c r="E1212" s="801"/>
      <c r="F1212" s="128"/>
      <c r="G1212" s="802"/>
      <c r="H1212" s="781"/>
      <c r="I1212" s="803"/>
      <c r="J1212" s="779"/>
      <c r="K1212" s="800"/>
      <c r="L1212" s="800"/>
      <c r="M1212" s="779"/>
      <c r="N1212" s="779"/>
    </row>
    <row r="1213" spans="1:23" s="89" customFormat="1" ht="40.35" customHeight="1">
      <c r="A1213" s="564" t="str">
        <f ca="1">INDIRECT("'update Helper'!C"&amp;U1213)</f>
        <v>a163p000004VjpTAAS</v>
      </c>
      <c r="B1213" s="794">
        <v>15</v>
      </c>
      <c r="C1213" s="795" t="str">
        <f ca="1">VLOOKUP(B1213,'Coverage Indicators - Section D'!$A$9:$AU$70,47,FALSE)</f>
        <v/>
      </c>
      <c r="D1213" s="796" t="str">
        <f ca="1">R1213</f>
        <v/>
      </c>
      <c r="E1213" s="796" t="str">
        <f ca="1">S1213</f>
        <v/>
      </c>
      <c r="F1213" s="127"/>
      <c r="G1213" s="797" t="str">
        <f ca="1">IF(OR(INDIRECT("'update Helper'!E"&amp;U1213)="",F1213&lt;&gt;0,F1214&lt;&gt;0),IF(IFERROR((F1213/F1214),"")="","",(F1213/F1214)),INDIRECT("'update Helper'!E"&amp;U1213)/100)</f>
        <v/>
      </c>
      <c r="H1213" s="784"/>
      <c r="I1213" s="798"/>
      <c r="J1213" s="777"/>
      <c r="K1213" s="795" t="str">
        <f ca="1">W1213</f>
        <v/>
      </c>
      <c r="L1213" s="795" t="str">
        <f ca="1">V1213</f>
        <v/>
      </c>
      <c r="M1213" s="777"/>
      <c r="N1213" s="777"/>
      <c r="P1213" s="89">
        <f ca="1">IF(AND(EXACT(C1213,C1211),C1211&lt;&gt;0),P1211+1,0)</f>
        <v>56</v>
      </c>
      <c r="Q1213" s="89" t="str">
        <f ca="1">IF(C1213&lt;&gt;"",C1213&amp;"-"&amp;P1213,"")</f>
        <v/>
      </c>
      <c r="R1213" s="89" t="str">
        <f t="array" aca="1" ref="R1213" ca="1">IFERROR(IF(INDEX('Disaggregation Records'!$E$155:$E$385,MATCH(RIGHT(Q1213,255),RIGHT('Disaggregation Records'!$D$155:$D$385,255),0))="","",INDEX('Disaggregation Records'!$E$155:$E$385,MATCH(RIGHT(Q1213,255),RIGHT('Disaggregation Records'!$D$155:$D$385,255),0))),"")</f>
        <v/>
      </c>
      <c r="S1213" s="89" t="str">
        <f t="array" aca="1" ref="S1213" ca="1">IFERROR(IF(INDEX('Disaggregation Records'!$F$155:$F$385,MATCH(RIGHT(Q1213,255),RIGHT('Disaggregation Records'!$D$155:$D$385,255),0))="","",INDEX('Disaggregation Records'!$F$155:$F$385,MATCH(RIGHT(Q1213,255),RIGHT('Disaggregation Records'!$D$155:$D$385,255),0))),"")</f>
        <v/>
      </c>
      <c r="T1213" s="89" t="str">
        <f t="array" aca="1" ref="T1213" ca="1">IFERROR(IF(INDEX('Disaggregation Records'!$H$155:$H$385,MATCH(RIGHT(Q1213,255),RIGHT('Disaggregation Records'!$D$155:$D$385,255),0))="","",INDEX('Disaggregation Records'!$H$155:$H$385,MATCH(RIGHT(Q1213,255),RIGHT('Disaggregation Records'!$D$155:$D$385,255),0))),"")</f>
        <v/>
      </c>
      <c r="U1213" s="89">
        <f>U1211+1</f>
        <v>1716</v>
      </c>
      <c r="V1213" s="89" t="str">
        <f t="array" aca="1" ref="V1213" ca="1">IFERROR(IF(INDEX('Disaggregation Records'!$I$155:$I$385,MATCH(RIGHT(Q1213,255),RIGHT('Disaggregation Records'!$D$155:$D$385,255),0))="","",INDEX('Disaggregation Records'!$I$155:$I$385,MATCH(RIGHT(Q1213,255),RIGHT('Disaggregation Records'!$D$155:$D$385,255),0))),"")</f>
        <v/>
      </c>
      <c r="W1213" s="89" t="str">
        <f ca="1">IFERROR(INDEX('Reference Records'!L$77:L$157,MATCH(LEFT(C1213,255),'Reference Records'!E$77:E$157,0)),"")</f>
        <v/>
      </c>
    </row>
    <row r="1214" spans="1:23" s="89" customFormat="1" ht="40.35" customHeight="1">
      <c r="A1214" s="564"/>
      <c r="B1214" s="799"/>
      <c r="C1214" s="800"/>
      <c r="D1214" s="801"/>
      <c r="E1214" s="801"/>
      <c r="F1214" s="128"/>
      <c r="G1214" s="802"/>
      <c r="H1214" s="781"/>
      <c r="I1214" s="803"/>
      <c r="J1214" s="779"/>
      <c r="K1214" s="800"/>
      <c r="L1214" s="800"/>
      <c r="M1214" s="779"/>
      <c r="N1214" s="779"/>
    </row>
    <row r="1215" spans="1:23" s="89" customFormat="1" ht="40.35" customHeight="1">
      <c r="A1215" s="564" t="str">
        <f ca="1">INDIRECT("'update Helper'!C"&amp;U1215)</f>
        <v>a163p000004VjpUAAS</v>
      </c>
      <c r="B1215" s="794">
        <v>15</v>
      </c>
      <c r="C1215" s="795" t="str">
        <f ca="1">VLOOKUP(B1215,'Coverage Indicators - Section D'!$A$9:$AU$70,47,FALSE)</f>
        <v/>
      </c>
      <c r="D1215" s="796" t="str">
        <f ca="1">R1215</f>
        <v/>
      </c>
      <c r="E1215" s="796" t="str">
        <f ca="1">S1215</f>
        <v/>
      </c>
      <c r="F1215" s="127"/>
      <c r="G1215" s="797" t="str">
        <f ca="1">IF(OR(INDIRECT("'update Helper'!E"&amp;U1215)="",F1215&lt;&gt;0,F1216&lt;&gt;0),IF(IFERROR((F1215/F1216),"")="","",(F1215/F1216)),INDIRECT("'update Helper'!E"&amp;U1215)/100)</f>
        <v/>
      </c>
      <c r="H1215" s="784"/>
      <c r="I1215" s="798"/>
      <c r="J1215" s="777"/>
      <c r="K1215" s="795" t="str">
        <f ca="1">W1215</f>
        <v/>
      </c>
      <c r="L1215" s="795" t="str">
        <f ca="1">V1215</f>
        <v/>
      </c>
      <c r="M1215" s="777"/>
      <c r="N1215" s="777"/>
      <c r="P1215" s="89">
        <f ca="1">IF(AND(EXACT(C1215,C1213),C1213&lt;&gt;0),P1213+1,0)</f>
        <v>57</v>
      </c>
      <c r="Q1215" s="89" t="str">
        <f ca="1">IF(C1215&lt;&gt;"",C1215&amp;"-"&amp;P1215,"")</f>
        <v/>
      </c>
      <c r="R1215" s="89" t="str">
        <f t="array" aca="1" ref="R1215" ca="1">IFERROR(IF(INDEX('Disaggregation Records'!$E$155:$E$385,MATCH(RIGHT(Q1215,255),RIGHT('Disaggregation Records'!$D$155:$D$385,255),0))="","",INDEX('Disaggregation Records'!$E$155:$E$385,MATCH(RIGHT(Q1215,255),RIGHT('Disaggregation Records'!$D$155:$D$385,255),0))),"")</f>
        <v/>
      </c>
      <c r="S1215" s="89" t="str">
        <f t="array" aca="1" ref="S1215" ca="1">IFERROR(IF(INDEX('Disaggregation Records'!$F$155:$F$385,MATCH(RIGHT(Q1215,255),RIGHT('Disaggregation Records'!$D$155:$D$385,255),0))="","",INDEX('Disaggregation Records'!$F$155:$F$385,MATCH(RIGHT(Q1215,255),RIGHT('Disaggregation Records'!$D$155:$D$385,255),0))),"")</f>
        <v/>
      </c>
      <c r="T1215" s="89" t="str">
        <f t="array" aca="1" ref="T1215" ca="1">IFERROR(IF(INDEX('Disaggregation Records'!$H$155:$H$385,MATCH(RIGHT(Q1215,255),RIGHT('Disaggregation Records'!$D$155:$D$385,255),0))="","",INDEX('Disaggregation Records'!$H$155:$H$385,MATCH(RIGHT(Q1215,255),RIGHT('Disaggregation Records'!$D$155:$D$385,255),0))),"")</f>
        <v/>
      </c>
      <c r="U1215" s="89">
        <f>U1213+1</f>
        <v>1717</v>
      </c>
      <c r="V1215" s="89" t="str">
        <f t="array" aca="1" ref="V1215" ca="1">IFERROR(IF(INDEX('Disaggregation Records'!$I$155:$I$385,MATCH(RIGHT(Q1215,255),RIGHT('Disaggregation Records'!$D$155:$D$385,255),0))="","",INDEX('Disaggregation Records'!$I$155:$I$385,MATCH(RIGHT(Q1215,255),RIGHT('Disaggregation Records'!$D$155:$D$385,255),0))),"")</f>
        <v/>
      </c>
      <c r="W1215" s="89" t="str">
        <f ca="1">IFERROR(INDEX('Reference Records'!L$77:L$157,MATCH(LEFT(C1215,255),'Reference Records'!E$77:E$157,0)),"")</f>
        <v/>
      </c>
    </row>
    <row r="1216" spans="1:23" s="89" customFormat="1" ht="40.35" customHeight="1">
      <c r="A1216" s="564"/>
      <c r="B1216" s="799"/>
      <c r="C1216" s="800"/>
      <c r="D1216" s="801"/>
      <c r="E1216" s="801"/>
      <c r="F1216" s="128"/>
      <c r="G1216" s="802"/>
      <c r="H1216" s="781"/>
      <c r="I1216" s="803"/>
      <c r="J1216" s="779"/>
      <c r="K1216" s="800"/>
      <c r="L1216" s="800"/>
      <c r="M1216" s="779"/>
      <c r="N1216" s="779"/>
    </row>
    <row r="1217" spans="1:23" s="89" customFormat="1" ht="40.35" customHeight="1">
      <c r="A1217" s="564" t="str">
        <f ca="1">INDIRECT("'update Helper'!C"&amp;U1217)</f>
        <v>a163p000004VjpVAAS</v>
      </c>
      <c r="B1217" s="794">
        <v>15</v>
      </c>
      <c r="C1217" s="795" t="str">
        <f ca="1">VLOOKUP(B1217,'Coverage Indicators - Section D'!$A$9:$AU$70,47,FALSE)</f>
        <v/>
      </c>
      <c r="D1217" s="796" t="str">
        <f ca="1">R1217</f>
        <v/>
      </c>
      <c r="E1217" s="796" t="str">
        <f ca="1">S1217</f>
        <v/>
      </c>
      <c r="F1217" s="127"/>
      <c r="G1217" s="797" t="str">
        <f ca="1">IF(OR(INDIRECT("'update Helper'!E"&amp;U1217)="",F1217&lt;&gt;0,F1218&lt;&gt;0),IF(IFERROR((F1217/F1218),"")="","",(F1217/F1218)),INDIRECT("'update Helper'!E"&amp;U1217)/100)</f>
        <v/>
      </c>
      <c r="H1217" s="784"/>
      <c r="I1217" s="798"/>
      <c r="J1217" s="777"/>
      <c r="K1217" s="795" t="str">
        <f ca="1">W1217</f>
        <v/>
      </c>
      <c r="L1217" s="795" t="str">
        <f ca="1">V1217</f>
        <v/>
      </c>
      <c r="M1217" s="777"/>
      <c r="N1217" s="777"/>
      <c r="P1217" s="89">
        <f ca="1">IF(AND(EXACT(C1217,C1215),C1215&lt;&gt;0),P1215+1,0)</f>
        <v>58</v>
      </c>
      <c r="Q1217" s="89" t="str">
        <f ca="1">IF(C1217&lt;&gt;"",C1217&amp;"-"&amp;P1217,"")</f>
        <v/>
      </c>
      <c r="R1217" s="89" t="str">
        <f t="array" aca="1" ref="R1217" ca="1">IFERROR(IF(INDEX('Disaggregation Records'!$E$155:$E$385,MATCH(RIGHT(Q1217,255),RIGHT('Disaggregation Records'!$D$155:$D$385,255),0))="","",INDEX('Disaggregation Records'!$E$155:$E$385,MATCH(RIGHT(Q1217,255),RIGHT('Disaggregation Records'!$D$155:$D$385,255),0))),"")</f>
        <v/>
      </c>
      <c r="S1217" s="89" t="str">
        <f t="array" aca="1" ref="S1217" ca="1">IFERROR(IF(INDEX('Disaggregation Records'!$F$155:$F$385,MATCH(RIGHT(Q1217,255),RIGHT('Disaggregation Records'!$D$155:$D$385,255),0))="","",INDEX('Disaggregation Records'!$F$155:$F$385,MATCH(RIGHT(Q1217,255),RIGHT('Disaggregation Records'!$D$155:$D$385,255),0))),"")</f>
        <v/>
      </c>
      <c r="T1217" s="89" t="str">
        <f t="array" aca="1" ref="T1217" ca="1">IFERROR(IF(INDEX('Disaggregation Records'!$H$155:$H$385,MATCH(RIGHT(Q1217,255),RIGHT('Disaggregation Records'!$D$155:$D$385,255),0))="","",INDEX('Disaggregation Records'!$H$155:$H$385,MATCH(RIGHT(Q1217,255),RIGHT('Disaggregation Records'!$D$155:$D$385,255),0))),"")</f>
        <v/>
      </c>
      <c r="U1217" s="89">
        <f>U1215+1</f>
        <v>1718</v>
      </c>
      <c r="V1217" s="89" t="str">
        <f t="array" aca="1" ref="V1217" ca="1">IFERROR(IF(INDEX('Disaggregation Records'!$I$155:$I$385,MATCH(RIGHT(Q1217,255),RIGHT('Disaggregation Records'!$D$155:$D$385,255),0))="","",INDEX('Disaggregation Records'!$I$155:$I$385,MATCH(RIGHT(Q1217,255),RIGHT('Disaggregation Records'!$D$155:$D$385,255),0))),"")</f>
        <v/>
      </c>
      <c r="W1217" s="89" t="str">
        <f ca="1">IFERROR(INDEX('Reference Records'!L$77:L$157,MATCH(LEFT(C1217,255),'Reference Records'!E$77:E$157,0)),"")</f>
        <v/>
      </c>
    </row>
    <row r="1218" spans="1:23" s="89" customFormat="1" ht="40.35" customHeight="1">
      <c r="A1218" s="564"/>
      <c r="B1218" s="799"/>
      <c r="C1218" s="800"/>
      <c r="D1218" s="801"/>
      <c r="E1218" s="801"/>
      <c r="F1218" s="128"/>
      <c r="G1218" s="802"/>
      <c r="H1218" s="781"/>
      <c r="I1218" s="803"/>
      <c r="J1218" s="779"/>
      <c r="K1218" s="800"/>
      <c r="L1218" s="800"/>
      <c r="M1218" s="779"/>
      <c r="N1218" s="779"/>
    </row>
    <row r="1219" spans="1:23" s="89" customFormat="1" ht="40.35" customHeight="1">
      <c r="A1219" s="564" t="str">
        <f ca="1">INDIRECT("'update Helper'!C"&amp;U1219)</f>
        <v>a163p000004VjpWAAS</v>
      </c>
      <c r="B1219" s="794">
        <v>15</v>
      </c>
      <c r="C1219" s="795" t="str">
        <f ca="1">VLOOKUP(B1219,'Coverage Indicators - Section D'!$A$9:$AU$70,47,FALSE)</f>
        <v/>
      </c>
      <c r="D1219" s="796" t="str">
        <f ca="1">R1219</f>
        <v/>
      </c>
      <c r="E1219" s="796" t="str">
        <f ca="1">S1219</f>
        <v/>
      </c>
      <c r="F1219" s="127"/>
      <c r="G1219" s="797" t="str">
        <f ca="1">IF(OR(INDIRECT("'update Helper'!E"&amp;U1219)="",F1219&lt;&gt;0,F1220&lt;&gt;0),IF(IFERROR((F1219/F1220),"")="","",(F1219/F1220)),INDIRECT("'update Helper'!E"&amp;U1219)/100)</f>
        <v/>
      </c>
      <c r="H1219" s="784"/>
      <c r="I1219" s="798"/>
      <c r="J1219" s="777"/>
      <c r="K1219" s="795" t="str">
        <f ca="1">W1219</f>
        <v/>
      </c>
      <c r="L1219" s="795" t="str">
        <f ca="1">V1219</f>
        <v/>
      </c>
      <c r="M1219" s="777"/>
      <c r="N1219" s="777"/>
      <c r="P1219" s="89">
        <f ca="1">IF(AND(EXACT(C1219,C1217),C1217&lt;&gt;0),P1217+1,0)</f>
        <v>59</v>
      </c>
      <c r="Q1219" s="89" t="str">
        <f ca="1">IF(C1219&lt;&gt;"",C1219&amp;"-"&amp;P1219,"")</f>
        <v/>
      </c>
      <c r="R1219" s="89" t="str">
        <f t="array" aca="1" ref="R1219" ca="1">IFERROR(IF(INDEX('Disaggregation Records'!$E$155:$E$385,MATCH(RIGHT(Q1219,255),RIGHT('Disaggregation Records'!$D$155:$D$385,255),0))="","",INDEX('Disaggregation Records'!$E$155:$E$385,MATCH(RIGHT(Q1219,255),RIGHT('Disaggregation Records'!$D$155:$D$385,255),0))),"")</f>
        <v/>
      </c>
      <c r="S1219" s="89" t="str">
        <f t="array" aca="1" ref="S1219" ca="1">IFERROR(IF(INDEX('Disaggregation Records'!$F$155:$F$385,MATCH(RIGHT(Q1219,255),RIGHT('Disaggregation Records'!$D$155:$D$385,255),0))="","",INDEX('Disaggregation Records'!$F$155:$F$385,MATCH(RIGHT(Q1219,255),RIGHT('Disaggregation Records'!$D$155:$D$385,255),0))),"")</f>
        <v/>
      </c>
      <c r="T1219" s="89" t="str">
        <f t="array" aca="1" ref="T1219" ca="1">IFERROR(IF(INDEX('Disaggregation Records'!$H$155:$H$385,MATCH(RIGHT(Q1219,255),RIGHT('Disaggregation Records'!$D$155:$D$385,255),0))="","",INDEX('Disaggregation Records'!$H$155:$H$385,MATCH(RIGHT(Q1219,255),RIGHT('Disaggregation Records'!$D$155:$D$385,255),0))),"")</f>
        <v/>
      </c>
      <c r="U1219" s="89">
        <f>U1217+1</f>
        <v>1719</v>
      </c>
      <c r="V1219" s="89" t="str">
        <f t="array" aca="1" ref="V1219" ca="1">IFERROR(IF(INDEX('Disaggregation Records'!$I$155:$I$385,MATCH(RIGHT(Q1219,255),RIGHT('Disaggregation Records'!$D$155:$D$385,255),0))="","",INDEX('Disaggregation Records'!$I$155:$I$385,MATCH(RIGHT(Q1219,255),RIGHT('Disaggregation Records'!$D$155:$D$385,255),0))),"")</f>
        <v/>
      </c>
      <c r="W1219" s="89" t="str">
        <f ca="1">IFERROR(INDEX('Reference Records'!L$77:L$157,MATCH(LEFT(C1219,255),'Reference Records'!E$77:E$157,0)),"")</f>
        <v/>
      </c>
    </row>
    <row r="1220" spans="1:23" s="89" customFormat="1" ht="40.35" customHeight="1">
      <c r="A1220" s="564"/>
      <c r="B1220" s="799"/>
      <c r="C1220" s="800"/>
      <c r="D1220" s="801"/>
      <c r="E1220" s="801"/>
      <c r="F1220" s="128"/>
      <c r="G1220" s="802"/>
      <c r="H1220" s="781"/>
      <c r="I1220" s="803"/>
      <c r="J1220" s="779"/>
      <c r="K1220" s="800"/>
      <c r="L1220" s="800"/>
      <c r="M1220" s="779"/>
      <c r="N1220" s="779"/>
    </row>
    <row r="1221" spans="1:23" s="89" customFormat="1" ht="40.35" customHeight="1">
      <c r="A1221" s="564" t="str">
        <f ca="1">INDIRECT("'update Helper'!C"&amp;U1221)</f>
        <v>a163p000004VjpXAAS</v>
      </c>
      <c r="B1221" s="794">
        <v>16</v>
      </c>
      <c r="C1221" s="795" t="str">
        <f ca="1">VLOOKUP(B1221,'Coverage Indicators - Section D'!$A$9:$AU$70,47,FALSE)</f>
        <v/>
      </c>
      <c r="D1221" s="796" t="str">
        <f ca="1">R1221</f>
        <v/>
      </c>
      <c r="E1221" s="796" t="str">
        <f ca="1">S1221</f>
        <v/>
      </c>
      <c r="F1221" s="127"/>
      <c r="G1221" s="797" t="str">
        <f ca="1">IF(OR(INDIRECT("'update Helper'!E"&amp;U1221)="",F1221&lt;&gt;0,F1222&lt;&gt;0),IF(IFERROR((F1221/F1222),"")="","",(F1221/F1222)),INDIRECT("'update Helper'!E"&amp;U1221)/100)</f>
        <v/>
      </c>
      <c r="H1221" s="784"/>
      <c r="I1221" s="798"/>
      <c r="J1221" s="777"/>
      <c r="K1221" s="795" t="str">
        <f ca="1">W1221</f>
        <v/>
      </c>
      <c r="L1221" s="795" t="str">
        <f ca="1">V1221</f>
        <v/>
      </c>
      <c r="M1221" s="777"/>
      <c r="N1221" s="777"/>
      <c r="P1221" s="89">
        <f ca="1">IF(AND(EXACT(C1221,C1219),C1219&lt;&gt;0),P1219+1,0)</f>
        <v>60</v>
      </c>
      <c r="Q1221" s="89" t="str">
        <f ca="1">IF(C1221&lt;&gt;"",C1221&amp;"-"&amp;P1221,"")</f>
        <v/>
      </c>
      <c r="R1221" s="89" t="str">
        <f t="array" aca="1" ref="R1221" ca="1">IFERROR(IF(INDEX('Disaggregation Records'!$E$155:$E$385,MATCH(RIGHT(Q1221,255),RIGHT('Disaggregation Records'!$D$155:$D$385,255),0))="","",INDEX('Disaggregation Records'!$E$155:$E$385,MATCH(RIGHT(Q1221,255),RIGHT('Disaggregation Records'!$D$155:$D$385,255),0))),"")</f>
        <v/>
      </c>
      <c r="S1221" s="89" t="str">
        <f t="array" aca="1" ref="S1221" ca="1">IFERROR(IF(INDEX('Disaggregation Records'!$F$155:$F$385,MATCH(RIGHT(Q1221,255),RIGHT('Disaggregation Records'!$D$155:$D$385,255),0))="","",INDEX('Disaggregation Records'!$F$155:$F$385,MATCH(RIGHT(Q1221,255),RIGHT('Disaggregation Records'!$D$155:$D$385,255),0))),"")</f>
        <v/>
      </c>
      <c r="T1221" s="89" t="str">
        <f t="array" aca="1" ref="T1221" ca="1">IFERROR(IF(INDEX('Disaggregation Records'!$H$155:$H$385,MATCH(RIGHT(Q1221,255),RIGHT('Disaggregation Records'!$D$155:$D$385,255),0))="","",INDEX('Disaggregation Records'!$H$155:$H$385,MATCH(RIGHT(Q1221,255),RIGHT('Disaggregation Records'!$D$155:$D$385,255),0))),"")</f>
        <v/>
      </c>
      <c r="U1221" s="89">
        <f>U1219+1</f>
        <v>1720</v>
      </c>
      <c r="V1221" s="89" t="str">
        <f t="array" aca="1" ref="V1221" ca="1">IFERROR(IF(INDEX('Disaggregation Records'!$I$155:$I$385,MATCH(RIGHT(Q1221,255),RIGHT('Disaggregation Records'!$D$155:$D$385,255),0))="","",INDEX('Disaggregation Records'!$I$155:$I$385,MATCH(RIGHT(Q1221,255),RIGHT('Disaggregation Records'!$D$155:$D$385,255),0))),"")</f>
        <v/>
      </c>
      <c r="W1221" s="89" t="str">
        <f ca="1">IFERROR(INDEX('Reference Records'!L$77:L$157,MATCH(LEFT(C1221,255),'Reference Records'!E$77:E$157,0)),"")</f>
        <v/>
      </c>
    </row>
    <row r="1222" spans="1:23" s="89" customFormat="1" ht="40.35" customHeight="1">
      <c r="A1222" s="564"/>
      <c r="B1222" s="799"/>
      <c r="C1222" s="800"/>
      <c r="D1222" s="801"/>
      <c r="E1222" s="801"/>
      <c r="F1222" s="128"/>
      <c r="G1222" s="802"/>
      <c r="H1222" s="781"/>
      <c r="I1222" s="803"/>
      <c r="J1222" s="779"/>
      <c r="K1222" s="800"/>
      <c r="L1222" s="800"/>
      <c r="M1222" s="779"/>
      <c r="N1222" s="779"/>
    </row>
    <row r="1223" spans="1:23" s="89" customFormat="1" ht="40.35" customHeight="1">
      <c r="A1223" s="564" t="str">
        <f ca="1">INDIRECT("'update Helper'!C"&amp;U1223)</f>
        <v>a163p000004VjpYAAS</v>
      </c>
      <c r="B1223" s="794">
        <v>16</v>
      </c>
      <c r="C1223" s="795" t="str">
        <f ca="1">VLOOKUP(B1223,'Coverage Indicators - Section D'!$A$9:$AU$70,47,FALSE)</f>
        <v/>
      </c>
      <c r="D1223" s="796" t="str">
        <f ca="1">R1223</f>
        <v/>
      </c>
      <c r="E1223" s="796" t="str">
        <f ca="1">S1223</f>
        <v/>
      </c>
      <c r="F1223" s="127"/>
      <c r="G1223" s="797" t="str">
        <f ca="1">IF(OR(INDIRECT("'update Helper'!E"&amp;U1223)="",F1223&lt;&gt;0,F1224&lt;&gt;0),IF(IFERROR((F1223/F1224),"")="","",(F1223/F1224)),INDIRECT("'update Helper'!E"&amp;U1223)/100)</f>
        <v/>
      </c>
      <c r="H1223" s="784"/>
      <c r="I1223" s="798"/>
      <c r="J1223" s="777"/>
      <c r="K1223" s="795" t="str">
        <f ca="1">W1223</f>
        <v/>
      </c>
      <c r="L1223" s="795" t="str">
        <f ca="1">V1223</f>
        <v/>
      </c>
      <c r="M1223" s="777"/>
      <c r="N1223" s="777"/>
      <c r="P1223" s="89">
        <f ca="1">IF(AND(EXACT(C1223,C1221),C1221&lt;&gt;0),P1221+1,0)</f>
        <v>61</v>
      </c>
      <c r="Q1223" s="89" t="str">
        <f ca="1">IF(C1223&lt;&gt;"",C1223&amp;"-"&amp;P1223,"")</f>
        <v/>
      </c>
      <c r="R1223" s="89" t="str">
        <f t="array" aca="1" ref="R1223" ca="1">IFERROR(IF(INDEX('Disaggregation Records'!$E$155:$E$385,MATCH(RIGHT(Q1223,255),RIGHT('Disaggregation Records'!$D$155:$D$385,255),0))="","",INDEX('Disaggregation Records'!$E$155:$E$385,MATCH(RIGHT(Q1223,255),RIGHT('Disaggregation Records'!$D$155:$D$385,255),0))),"")</f>
        <v/>
      </c>
      <c r="S1223" s="89" t="str">
        <f t="array" aca="1" ref="S1223" ca="1">IFERROR(IF(INDEX('Disaggregation Records'!$F$155:$F$385,MATCH(RIGHT(Q1223,255),RIGHT('Disaggregation Records'!$D$155:$D$385,255),0))="","",INDEX('Disaggregation Records'!$F$155:$F$385,MATCH(RIGHT(Q1223,255),RIGHT('Disaggregation Records'!$D$155:$D$385,255),0))),"")</f>
        <v/>
      </c>
      <c r="T1223" s="89" t="str">
        <f t="array" aca="1" ref="T1223" ca="1">IFERROR(IF(INDEX('Disaggregation Records'!$H$155:$H$385,MATCH(RIGHT(Q1223,255),RIGHT('Disaggregation Records'!$D$155:$D$385,255),0))="","",INDEX('Disaggregation Records'!$H$155:$H$385,MATCH(RIGHT(Q1223,255),RIGHT('Disaggregation Records'!$D$155:$D$385,255),0))),"")</f>
        <v/>
      </c>
      <c r="U1223" s="89">
        <f>U1221+1</f>
        <v>1721</v>
      </c>
      <c r="V1223" s="89" t="str">
        <f t="array" aca="1" ref="V1223" ca="1">IFERROR(IF(INDEX('Disaggregation Records'!$I$155:$I$385,MATCH(RIGHT(Q1223,255),RIGHT('Disaggregation Records'!$D$155:$D$385,255),0))="","",INDEX('Disaggregation Records'!$I$155:$I$385,MATCH(RIGHT(Q1223,255),RIGHT('Disaggregation Records'!$D$155:$D$385,255),0))),"")</f>
        <v/>
      </c>
      <c r="W1223" s="89" t="str">
        <f ca="1">IFERROR(INDEX('Reference Records'!L$77:L$157,MATCH(LEFT(C1223,255),'Reference Records'!E$77:E$157,0)),"")</f>
        <v/>
      </c>
    </row>
    <row r="1224" spans="1:23" s="89" customFormat="1" ht="40.35" customHeight="1">
      <c r="A1224" s="564"/>
      <c r="B1224" s="799"/>
      <c r="C1224" s="800"/>
      <c r="D1224" s="801"/>
      <c r="E1224" s="801"/>
      <c r="F1224" s="128"/>
      <c r="G1224" s="802"/>
      <c r="H1224" s="781"/>
      <c r="I1224" s="803"/>
      <c r="J1224" s="779"/>
      <c r="K1224" s="800"/>
      <c r="L1224" s="800"/>
      <c r="M1224" s="779"/>
      <c r="N1224" s="779"/>
    </row>
    <row r="1225" spans="1:23" s="89" customFormat="1" ht="40.35" customHeight="1">
      <c r="A1225" s="564" t="str">
        <f ca="1">INDIRECT("'update Helper'!C"&amp;U1225)</f>
        <v>a163p000004VjpZAAS</v>
      </c>
      <c r="B1225" s="794">
        <v>16</v>
      </c>
      <c r="C1225" s="795" t="str">
        <f ca="1">VLOOKUP(B1225,'Coverage Indicators - Section D'!$A$9:$AU$70,47,FALSE)</f>
        <v/>
      </c>
      <c r="D1225" s="796" t="str">
        <f ca="1">R1225</f>
        <v/>
      </c>
      <c r="E1225" s="796" t="str">
        <f ca="1">S1225</f>
        <v/>
      </c>
      <c r="F1225" s="127"/>
      <c r="G1225" s="797" t="str">
        <f ca="1">IF(OR(INDIRECT("'update Helper'!E"&amp;U1225)="",F1225&lt;&gt;0,F1226&lt;&gt;0),IF(IFERROR((F1225/F1226),"")="","",(F1225/F1226)),INDIRECT("'update Helper'!E"&amp;U1225)/100)</f>
        <v/>
      </c>
      <c r="H1225" s="784"/>
      <c r="I1225" s="798"/>
      <c r="J1225" s="777"/>
      <c r="K1225" s="795" t="str">
        <f ca="1">W1225</f>
        <v/>
      </c>
      <c r="L1225" s="795" t="str">
        <f ca="1">V1225</f>
        <v/>
      </c>
      <c r="M1225" s="777"/>
      <c r="N1225" s="777"/>
      <c r="P1225" s="89">
        <f ca="1">IF(AND(EXACT(C1225,C1223),C1223&lt;&gt;0),P1223+1,0)</f>
        <v>62</v>
      </c>
      <c r="Q1225" s="89" t="str">
        <f ca="1">IF(C1225&lt;&gt;"",C1225&amp;"-"&amp;P1225,"")</f>
        <v/>
      </c>
      <c r="R1225" s="89" t="str">
        <f t="array" aca="1" ref="R1225" ca="1">IFERROR(IF(INDEX('Disaggregation Records'!$E$155:$E$385,MATCH(RIGHT(Q1225,255),RIGHT('Disaggregation Records'!$D$155:$D$385,255),0))="","",INDEX('Disaggregation Records'!$E$155:$E$385,MATCH(RIGHT(Q1225,255),RIGHT('Disaggregation Records'!$D$155:$D$385,255),0))),"")</f>
        <v/>
      </c>
      <c r="S1225" s="89" t="str">
        <f t="array" aca="1" ref="S1225" ca="1">IFERROR(IF(INDEX('Disaggregation Records'!$F$155:$F$385,MATCH(RIGHT(Q1225,255),RIGHT('Disaggregation Records'!$D$155:$D$385,255),0))="","",INDEX('Disaggregation Records'!$F$155:$F$385,MATCH(RIGHT(Q1225,255),RIGHT('Disaggregation Records'!$D$155:$D$385,255),0))),"")</f>
        <v/>
      </c>
      <c r="T1225" s="89" t="str">
        <f t="array" aca="1" ref="T1225" ca="1">IFERROR(IF(INDEX('Disaggregation Records'!$H$155:$H$385,MATCH(RIGHT(Q1225,255),RIGHT('Disaggregation Records'!$D$155:$D$385,255),0))="","",INDEX('Disaggregation Records'!$H$155:$H$385,MATCH(RIGHT(Q1225,255),RIGHT('Disaggregation Records'!$D$155:$D$385,255),0))),"")</f>
        <v/>
      </c>
      <c r="U1225" s="89">
        <f>U1223+1</f>
        <v>1722</v>
      </c>
      <c r="V1225" s="89" t="str">
        <f t="array" aca="1" ref="V1225" ca="1">IFERROR(IF(INDEX('Disaggregation Records'!$I$155:$I$385,MATCH(RIGHT(Q1225,255),RIGHT('Disaggregation Records'!$D$155:$D$385,255),0))="","",INDEX('Disaggregation Records'!$I$155:$I$385,MATCH(RIGHT(Q1225,255),RIGHT('Disaggregation Records'!$D$155:$D$385,255),0))),"")</f>
        <v/>
      </c>
      <c r="W1225" s="89" t="str">
        <f ca="1">IFERROR(INDEX('Reference Records'!L$77:L$157,MATCH(LEFT(C1225,255),'Reference Records'!E$77:E$157,0)),"")</f>
        <v/>
      </c>
    </row>
    <row r="1226" spans="1:23" s="89" customFormat="1" ht="40.35" customHeight="1">
      <c r="A1226" s="564"/>
      <c r="B1226" s="799"/>
      <c r="C1226" s="800"/>
      <c r="D1226" s="801"/>
      <c r="E1226" s="801"/>
      <c r="F1226" s="128"/>
      <c r="G1226" s="802"/>
      <c r="H1226" s="781"/>
      <c r="I1226" s="803"/>
      <c r="J1226" s="779"/>
      <c r="K1226" s="800"/>
      <c r="L1226" s="800"/>
      <c r="M1226" s="779"/>
      <c r="N1226" s="779"/>
    </row>
    <row r="1227" spans="1:23" s="89" customFormat="1" ht="40.35" customHeight="1">
      <c r="A1227" s="564" t="str">
        <f ca="1">INDIRECT("'update Helper'!C"&amp;U1227)</f>
        <v>a163p000004VjpaAAC</v>
      </c>
      <c r="B1227" s="794">
        <v>16</v>
      </c>
      <c r="C1227" s="795" t="str">
        <f ca="1">VLOOKUP(B1227,'Coverage Indicators - Section D'!$A$9:$AU$70,47,FALSE)</f>
        <v/>
      </c>
      <c r="D1227" s="796" t="str">
        <f ca="1">R1227</f>
        <v/>
      </c>
      <c r="E1227" s="796" t="str">
        <f ca="1">S1227</f>
        <v/>
      </c>
      <c r="F1227" s="127"/>
      <c r="G1227" s="797" t="str">
        <f ca="1">IF(OR(INDIRECT("'update Helper'!E"&amp;U1227)="",F1227&lt;&gt;0,F1228&lt;&gt;0),IF(IFERROR((F1227/F1228),"")="","",(F1227/F1228)),INDIRECT("'update Helper'!E"&amp;U1227)/100)</f>
        <v/>
      </c>
      <c r="H1227" s="784"/>
      <c r="I1227" s="798"/>
      <c r="J1227" s="777"/>
      <c r="K1227" s="795" t="str">
        <f ca="1">W1227</f>
        <v/>
      </c>
      <c r="L1227" s="795" t="str">
        <f ca="1">V1227</f>
        <v/>
      </c>
      <c r="M1227" s="777"/>
      <c r="N1227" s="777"/>
      <c r="P1227" s="89">
        <f ca="1">IF(AND(EXACT(C1227,C1225),C1225&lt;&gt;0),P1225+1,0)</f>
        <v>63</v>
      </c>
      <c r="Q1227" s="89" t="str">
        <f ca="1">IF(C1227&lt;&gt;"",C1227&amp;"-"&amp;P1227,"")</f>
        <v/>
      </c>
      <c r="R1227" s="89" t="str">
        <f t="array" aca="1" ref="R1227" ca="1">IFERROR(IF(INDEX('Disaggregation Records'!$E$155:$E$385,MATCH(RIGHT(Q1227,255),RIGHT('Disaggregation Records'!$D$155:$D$385,255),0))="","",INDEX('Disaggregation Records'!$E$155:$E$385,MATCH(RIGHT(Q1227,255),RIGHT('Disaggregation Records'!$D$155:$D$385,255),0))),"")</f>
        <v/>
      </c>
      <c r="S1227" s="89" t="str">
        <f t="array" aca="1" ref="S1227" ca="1">IFERROR(IF(INDEX('Disaggregation Records'!$F$155:$F$385,MATCH(RIGHT(Q1227,255),RIGHT('Disaggregation Records'!$D$155:$D$385,255),0))="","",INDEX('Disaggregation Records'!$F$155:$F$385,MATCH(RIGHT(Q1227,255),RIGHT('Disaggregation Records'!$D$155:$D$385,255),0))),"")</f>
        <v/>
      </c>
      <c r="T1227" s="89" t="str">
        <f t="array" aca="1" ref="T1227" ca="1">IFERROR(IF(INDEX('Disaggregation Records'!$H$155:$H$385,MATCH(RIGHT(Q1227,255),RIGHT('Disaggregation Records'!$D$155:$D$385,255),0))="","",INDEX('Disaggregation Records'!$H$155:$H$385,MATCH(RIGHT(Q1227,255),RIGHT('Disaggregation Records'!$D$155:$D$385,255),0))),"")</f>
        <v/>
      </c>
      <c r="U1227" s="89">
        <f>U1225+1</f>
        <v>1723</v>
      </c>
      <c r="V1227" s="89" t="str">
        <f t="array" aca="1" ref="V1227" ca="1">IFERROR(IF(INDEX('Disaggregation Records'!$I$155:$I$385,MATCH(RIGHT(Q1227,255),RIGHT('Disaggregation Records'!$D$155:$D$385,255),0))="","",INDEX('Disaggregation Records'!$I$155:$I$385,MATCH(RIGHT(Q1227,255),RIGHT('Disaggregation Records'!$D$155:$D$385,255),0))),"")</f>
        <v/>
      </c>
      <c r="W1227" s="89" t="str">
        <f ca="1">IFERROR(INDEX('Reference Records'!L$77:L$157,MATCH(LEFT(C1227,255),'Reference Records'!E$77:E$157,0)),"")</f>
        <v/>
      </c>
    </row>
    <row r="1228" spans="1:23" s="89" customFormat="1" ht="40.35" customHeight="1">
      <c r="A1228" s="564"/>
      <c r="B1228" s="799"/>
      <c r="C1228" s="800"/>
      <c r="D1228" s="801"/>
      <c r="E1228" s="801"/>
      <c r="F1228" s="128"/>
      <c r="G1228" s="802"/>
      <c r="H1228" s="781"/>
      <c r="I1228" s="803"/>
      <c r="J1228" s="779"/>
      <c r="K1228" s="800"/>
      <c r="L1228" s="800"/>
      <c r="M1228" s="779"/>
      <c r="N1228" s="779"/>
    </row>
    <row r="1229" spans="1:23" s="89" customFormat="1" ht="40.35" customHeight="1">
      <c r="A1229" s="564" t="str">
        <f ca="1">INDIRECT("'update Helper'!C"&amp;U1229)</f>
        <v>a163p000004VjpbAAC</v>
      </c>
      <c r="B1229" s="794">
        <v>16</v>
      </c>
      <c r="C1229" s="795" t="str">
        <f ca="1">VLOOKUP(B1229,'Coverage Indicators - Section D'!$A$9:$AU$70,47,FALSE)</f>
        <v/>
      </c>
      <c r="D1229" s="796" t="str">
        <f ca="1">R1229</f>
        <v/>
      </c>
      <c r="E1229" s="796" t="str">
        <f ca="1">S1229</f>
        <v/>
      </c>
      <c r="F1229" s="127"/>
      <c r="G1229" s="797" t="str">
        <f ca="1">IF(OR(INDIRECT("'update Helper'!E"&amp;U1229)="",F1229&lt;&gt;0,F1230&lt;&gt;0),IF(IFERROR((F1229/F1230),"")="","",(F1229/F1230)),INDIRECT("'update Helper'!E"&amp;U1229)/100)</f>
        <v/>
      </c>
      <c r="H1229" s="784"/>
      <c r="I1229" s="798"/>
      <c r="J1229" s="777"/>
      <c r="K1229" s="795" t="str">
        <f ca="1">W1229</f>
        <v/>
      </c>
      <c r="L1229" s="795" t="str">
        <f ca="1">V1229</f>
        <v/>
      </c>
      <c r="M1229" s="777"/>
      <c r="N1229" s="777"/>
      <c r="P1229" s="89">
        <f ca="1">IF(AND(EXACT(C1229,C1227),C1227&lt;&gt;0),P1227+1,0)</f>
        <v>64</v>
      </c>
      <c r="Q1229" s="89" t="str">
        <f ca="1">IF(C1229&lt;&gt;"",C1229&amp;"-"&amp;P1229,"")</f>
        <v/>
      </c>
      <c r="R1229" s="89" t="str">
        <f t="array" aca="1" ref="R1229" ca="1">IFERROR(IF(INDEX('Disaggregation Records'!$E$155:$E$385,MATCH(RIGHT(Q1229,255),RIGHT('Disaggregation Records'!$D$155:$D$385,255),0))="","",INDEX('Disaggregation Records'!$E$155:$E$385,MATCH(RIGHT(Q1229,255),RIGHT('Disaggregation Records'!$D$155:$D$385,255),0))),"")</f>
        <v/>
      </c>
      <c r="S1229" s="89" t="str">
        <f t="array" aca="1" ref="S1229" ca="1">IFERROR(IF(INDEX('Disaggregation Records'!$F$155:$F$385,MATCH(RIGHT(Q1229,255),RIGHT('Disaggregation Records'!$D$155:$D$385,255),0))="","",INDEX('Disaggregation Records'!$F$155:$F$385,MATCH(RIGHT(Q1229,255),RIGHT('Disaggregation Records'!$D$155:$D$385,255),0))),"")</f>
        <v/>
      </c>
      <c r="T1229" s="89" t="str">
        <f t="array" aca="1" ref="T1229" ca="1">IFERROR(IF(INDEX('Disaggregation Records'!$H$155:$H$385,MATCH(RIGHT(Q1229,255),RIGHT('Disaggregation Records'!$D$155:$D$385,255),0))="","",INDEX('Disaggregation Records'!$H$155:$H$385,MATCH(RIGHT(Q1229,255),RIGHT('Disaggregation Records'!$D$155:$D$385,255),0))),"")</f>
        <v/>
      </c>
      <c r="U1229" s="89">
        <f>U1227+1</f>
        <v>1724</v>
      </c>
      <c r="V1229" s="89" t="str">
        <f t="array" aca="1" ref="V1229" ca="1">IFERROR(IF(INDEX('Disaggregation Records'!$I$155:$I$385,MATCH(RIGHT(Q1229,255),RIGHT('Disaggregation Records'!$D$155:$D$385,255),0))="","",INDEX('Disaggregation Records'!$I$155:$I$385,MATCH(RIGHT(Q1229,255),RIGHT('Disaggregation Records'!$D$155:$D$385,255),0))),"")</f>
        <v/>
      </c>
      <c r="W1229" s="89" t="str">
        <f ca="1">IFERROR(INDEX('Reference Records'!L$77:L$157,MATCH(LEFT(C1229,255),'Reference Records'!E$77:E$157,0)),"")</f>
        <v/>
      </c>
    </row>
    <row r="1230" spans="1:23" s="89" customFormat="1" ht="40.35" customHeight="1">
      <c r="A1230" s="564"/>
      <c r="B1230" s="799"/>
      <c r="C1230" s="800"/>
      <c r="D1230" s="801"/>
      <c r="E1230" s="801"/>
      <c r="F1230" s="128"/>
      <c r="G1230" s="802"/>
      <c r="H1230" s="781"/>
      <c r="I1230" s="803"/>
      <c r="J1230" s="779"/>
      <c r="K1230" s="800"/>
      <c r="L1230" s="800"/>
      <c r="M1230" s="779"/>
      <c r="N1230" s="779"/>
    </row>
    <row r="1231" spans="1:23" s="89" customFormat="1" ht="40.35" customHeight="1">
      <c r="A1231" s="564" t="str">
        <f ca="1">INDIRECT("'update Helper'!C"&amp;U1231)</f>
        <v>a163p000004VjpcAAC</v>
      </c>
      <c r="B1231" s="794">
        <v>16</v>
      </c>
      <c r="C1231" s="795" t="str">
        <f ca="1">VLOOKUP(B1231,'Coverage Indicators - Section D'!$A$9:$AU$70,47,FALSE)</f>
        <v/>
      </c>
      <c r="D1231" s="796" t="str">
        <f ca="1">R1231</f>
        <v/>
      </c>
      <c r="E1231" s="796" t="str">
        <f ca="1">S1231</f>
        <v/>
      </c>
      <c r="F1231" s="127"/>
      <c r="G1231" s="797" t="str">
        <f ca="1">IF(OR(INDIRECT("'update Helper'!E"&amp;U1231)="",F1231&lt;&gt;0,F1232&lt;&gt;0),IF(IFERROR((F1231/F1232),"")="","",(F1231/F1232)),INDIRECT("'update Helper'!E"&amp;U1231)/100)</f>
        <v/>
      </c>
      <c r="H1231" s="784"/>
      <c r="I1231" s="798"/>
      <c r="J1231" s="777"/>
      <c r="K1231" s="795" t="str">
        <f ca="1">W1231</f>
        <v/>
      </c>
      <c r="L1231" s="795" t="str">
        <f ca="1">V1231</f>
        <v/>
      </c>
      <c r="M1231" s="777"/>
      <c r="N1231" s="777"/>
      <c r="P1231" s="89">
        <f ca="1">IF(AND(EXACT(C1231,C1229),C1229&lt;&gt;0),P1229+1,0)</f>
        <v>65</v>
      </c>
      <c r="Q1231" s="89" t="str">
        <f ca="1">IF(C1231&lt;&gt;"",C1231&amp;"-"&amp;P1231,"")</f>
        <v/>
      </c>
      <c r="R1231" s="89" t="str">
        <f t="array" aca="1" ref="R1231" ca="1">IFERROR(IF(INDEX('Disaggregation Records'!$E$155:$E$385,MATCH(RIGHT(Q1231,255),RIGHT('Disaggregation Records'!$D$155:$D$385,255),0))="","",INDEX('Disaggregation Records'!$E$155:$E$385,MATCH(RIGHT(Q1231,255),RIGHT('Disaggregation Records'!$D$155:$D$385,255),0))),"")</f>
        <v/>
      </c>
      <c r="S1231" s="89" t="str">
        <f t="array" aca="1" ref="S1231" ca="1">IFERROR(IF(INDEX('Disaggregation Records'!$F$155:$F$385,MATCH(RIGHT(Q1231,255),RIGHT('Disaggregation Records'!$D$155:$D$385,255),0))="","",INDEX('Disaggregation Records'!$F$155:$F$385,MATCH(RIGHT(Q1231,255),RIGHT('Disaggregation Records'!$D$155:$D$385,255),0))),"")</f>
        <v/>
      </c>
      <c r="T1231" s="89" t="str">
        <f t="array" aca="1" ref="T1231" ca="1">IFERROR(IF(INDEX('Disaggregation Records'!$H$155:$H$385,MATCH(RIGHT(Q1231,255),RIGHT('Disaggregation Records'!$D$155:$D$385,255),0))="","",INDEX('Disaggregation Records'!$H$155:$H$385,MATCH(RIGHT(Q1231,255),RIGHT('Disaggregation Records'!$D$155:$D$385,255),0))),"")</f>
        <v/>
      </c>
      <c r="U1231" s="89">
        <f>U1229+1</f>
        <v>1725</v>
      </c>
      <c r="V1231" s="89" t="str">
        <f t="array" aca="1" ref="V1231" ca="1">IFERROR(IF(INDEX('Disaggregation Records'!$I$155:$I$385,MATCH(RIGHT(Q1231,255),RIGHT('Disaggregation Records'!$D$155:$D$385,255),0))="","",INDEX('Disaggregation Records'!$I$155:$I$385,MATCH(RIGHT(Q1231,255),RIGHT('Disaggregation Records'!$D$155:$D$385,255),0))),"")</f>
        <v/>
      </c>
      <c r="W1231" s="89" t="str">
        <f ca="1">IFERROR(INDEX('Reference Records'!L$77:L$157,MATCH(LEFT(C1231,255),'Reference Records'!E$77:E$157,0)),"")</f>
        <v/>
      </c>
    </row>
    <row r="1232" spans="1:23" s="89" customFormat="1" ht="40.35" customHeight="1">
      <c r="A1232" s="564"/>
      <c r="B1232" s="799"/>
      <c r="C1232" s="800"/>
      <c r="D1232" s="801"/>
      <c r="E1232" s="801"/>
      <c r="F1232" s="128"/>
      <c r="G1232" s="802"/>
      <c r="H1232" s="781"/>
      <c r="I1232" s="803"/>
      <c r="J1232" s="779"/>
      <c r="K1232" s="800"/>
      <c r="L1232" s="800"/>
      <c r="M1232" s="779"/>
      <c r="N1232" s="779"/>
    </row>
    <row r="1233" spans="1:23" s="89" customFormat="1" ht="40.35" customHeight="1">
      <c r="A1233" s="564" t="str">
        <f ca="1">INDIRECT("'update Helper'!C"&amp;U1233)</f>
        <v>a163p000004VjpdAAC</v>
      </c>
      <c r="B1233" s="794">
        <v>16</v>
      </c>
      <c r="C1233" s="795" t="str">
        <f ca="1">VLOOKUP(B1233,'Coverage Indicators - Section D'!$A$9:$AU$70,47,FALSE)</f>
        <v/>
      </c>
      <c r="D1233" s="796" t="str">
        <f ca="1">R1233</f>
        <v/>
      </c>
      <c r="E1233" s="796" t="str">
        <f ca="1">S1233</f>
        <v/>
      </c>
      <c r="F1233" s="127"/>
      <c r="G1233" s="797" t="str">
        <f ca="1">IF(OR(INDIRECT("'update Helper'!E"&amp;U1233)="",F1233&lt;&gt;0,F1234&lt;&gt;0),IF(IFERROR((F1233/F1234),"")="","",(F1233/F1234)),INDIRECT("'update Helper'!E"&amp;U1233)/100)</f>
        <v/>
      </c>
      <c r="H1233" s="784"/>
      <c r="I1233" s="798"/>
      <c r="J1233" s="777"/>
      <c r="K1233" s="795" t="str">
        <f ca="1">W1233</f>
        <v/>
      </c>
      <c r="L1233" s="795" t="str">
        <f ca="1">V1233</f>
        <v/>
      </c>
      <c r="M1233" s="777"/>
      <c r="N1233" s="777"/>
      <c r="P1233" s="89">
        <f ca="1">IF(AND(EXACT(C1233,C1231),C1231&lt;&gt;0),P1231+1,0)</f>
        <v>66</v>
      </c>
      <c r="Q1233" s="89" t="str">
        <f ca="1">IF(C1233&lt;&gt;"",C1233&amp;"-"&amp;P1233,"")</f>
        <v/>
      </c>
      <c r="R1233" s="89" t="str">
        <f t="array" aca="1" ref="R1233" ca="1">IFERROR(IF(INDEX('Disaggregation Records'!$E$155:$E$385,MATCH(RIGHT(Q1233,255),RIGHT('Disaggregation Records'!$D$155:$D$385,255),0))="","",INDEX('Disaggregation Records'!$E$155:$E$385,MATCH(RIGHT(Q1233,255),RIGHT('Disaggregation Records'!$D$155:$D$385,255),0))),"")</f>
        <v/>
      </c>
      <c r="S1233" s="89" t="str">
        <f t="array" aca="1" ref="S1233" ca="1">IFERROR(IF(INDEX('Disaggregation Records'!$F$155:$F$385,MATCH(RIGHT(Q1233,255),RIGHT('Disaggregation Records'!$D$155:$D$385,255),0))="","",INDEX('Disaggregation Records'!$F$155:$F$385,MATCH(RIGHT(Q1233,255),RIGHT('Disaggregation Records'!$D$155:$D$385,255),0))),"")</f>
        <v/>
      </c>
      <c r="T1233" s="89" t="str">
        <f t="array" aca="1" ref="T1233" ca="1">IFERROR(IF(INDEX('Disaggregation Records'!$H$155:$H$385,MATCH(RIGHT(Q1233,255),RIGHT('Disaggregation Records'!$D$155:$D$385,255),0))="","",INDEX('Disaggregation Records'!$H$155:$H$385,MATCH(RIGHT(Q1233,255),RIGHT('Disaggregation Records'!$D$155:$D$385,255),0))),"")</f>
        <v/>
      </c>
      <c r="U1233" s="89">
        <f>U1231+1</f>
        <v>1726</v>
      </c>
      <c r="V1233" s="89" t="str">
        <f t="array" aca="1" ref="V1233" ca="1">IFERROR(IF(INDEX('Disaggregation Records'!$I$155:$I$385,MATCH(RIGHT(Q1233,255),RIGHT('Disaggregation Records'!$D$155:$D$385,255),0))="","",INDEX('Disaggregation Records'!$I$155:$I$385,MATCH(RIGHT(Q1233,255),RIGHT('Disaggregation Records'!$D$155:$D$385,255),0))),"")</f>
        <v/>
      </c>
      <c r="W1233" s="89" t="str">
        <f ca="1">IFERROR(INDEX('Reference Records'!L$77:L$157,MATCH(LEFT(C1233,255),'Reference Records'!E$77:E$157,0)),"")</f>
        <v/>
      </c>
    </row>
    <row r="1234" spans="1:23" s="89" customFormat="1" ht="40.35" customHeight="1">
      <c r="A1234" s="564"/>
      <c r="B1234" s="799"/>
      <c r="C1234" s="800"/>
      <c r="D1234" s="801"/>
      <c r="E1234" s="801"/>
      <c r="F1234" s="128"/>
      <c r="G1234" s="802"/>
      <c r="H1234" s="781"/>
      <c r="I1234" s="803"/>
      <c r="J1234" s="779"/>
      <c r="K1234" s="800"/>
      <c r="L1234" s="800"/>
      <c r="M1234" s="779"/>
      <c r="N1234" s="779"/>
    </row>
    <row r="1235" spans="1:23" s="89" customFormat="1" ht="40.35" customHeight="1">
      <c r="A1235" s="564" t="str">
        <f ca="1">INDIRECT("'update Helper'!C"&amp;U1235)</f>
        <v>a163p000004VjpeAAC</v>
      </c>
      <c r="B1235" s="794">
        <v>16</v>
      </c>
      <c r="C1235" s="795" t="str">
        <f ca="1">VLOOKUP(B1235,'Coverage Indicators - Section D'!$A$9:$AU$70,47,FALSE)</f>
        <v/>
      </c>
      <c r="D1235" s="796" t="str">
        <f ca="1">R1235</f>
        <v/>
      </c>
      <c r="E1235" s="796" t="str">
        <f ca="1">S1235</f>
        <v/>
      </c>
      <c r="F1235" s="127"/>
      <c r="G1235" s="797" t="str">
        <f ca="1">IF(OR(INDIRECT("'update Helper'!E"&amp;U1235)="",F1235&lt;&gt;0,F1236&lt;&gt;0),IF(IFERROR((F1235/F1236),"")="","",(F1235/F1236)),INDIRECT("'update Helper'!E"&amp;U1235)/100)</f>
        <v/>
      </c>
      <c r="H1235" s="784"/>
      <c r="I1235" s="798"/>
      <c r="J1235" s="777"/>
      <c r="K1235" s="795" t="str">
        <f ca="1">W1235</f>
        <v/>
      </c>
      <c r="L1235" s="795" t="str">
        <f ca="1">V1235</f>
        <v/>
      </c>
      <c r="M1235" s="777"/>
      <c r="N1235" s="777"/>
      <c r="P1235" s="89">
        <f ca="1">IF(AND(EXACT(C1235,C1233),C1233&lt;&gt;0),P1233+1,0)</f>
        <v>67</v>
      </c>
      <c r="Q1235" s="89" t="str">
        <f ca="1">IF(C1235&lt;&gt;"",C1235&amp;"-"&amp;P1235,"")</f>
        <v/>
      </c>
      <c r="R1235" s="89" t="str">
        <f t="array" aca="1" ref="R1235" ca="1">IFERROR(IF(INDEX('Disaggregation Records'!$E$155:$E$385,MATCH(RIGHT(Q1235,255),RIGHT('Disaggregation Records'!$D$155:$D$385,255),0))="","",INDEX('Disaggregation Records'!$E$155:$E$385,MATCH(RIGHT(Q1235,255),RIGHT('Disaggregation Records'!$D$155:$D$385,255),0))),"")</f>
        <v/>
      </c>
      <c r="S1235" s="89" t="str">
        <f t="array" aca="1" ref="S1235" ca="1">IFERROR(IF(INDEX('Disaggregation Records'!$F$155:$F$385,MATCH(RIGHT(Q1235,255),RIGHT('Disaggregation Records'!$D$155:$D$385,255),0))="","",INDEX('Disaggregation Records'!$F$155:$F$385,MATCH(RIGHT(Q1235,255),RIGHT('Disaggregation Records'!$D$155:$D$385,255),0))),"")</f>
        <v/>
      </c>
      <c r="T1235" s="89" t="str">
        <f t="array" aca="1" ref="T1235" ca="1">IFERROR(IF(INDEX('Disaggregation Records'!$H$155:$H$385,MATCH(RIGHT(Q1235,255),RIGHT('Disaggregation Records'!$D$155:$D$385,255),0))="","",INDEX('Disaggregation Records'!$H$155:$H$385,MATCH(RIGHT(Q1235,255),RIGHT('Disaggregation Records'!$D$155:$D$385,255),0))),"")</f>
        <v/>
      </c>
      <c r="U1235" s="89">
        <f>U1233+1</f>
        <v>1727</v>
      </c>
      <c r="V1235" s="89" t="str">
        <f t="array" aca="1" ref="V1235" ca="1">IFERROR(IF(INDEX('Disaggregation Records'!$I$155:$I$385,MATCH(RIGHT(Q1235,255),RIGHT('Disaggregation Records'!$D$155:$D$385,255),0))="","",INDEX('Disaggregation Records'!$I$155:$I$385,MATCH(RIGHT(Q1235,255),RIGHT('Disaggregation Records'!$D$155:$D$385,255),0))),"")</f>
        <v/>
      </c>
      <c r="W1235" s="89" t="str">
        <f ca="1">IFERROR(INDEX('Reference Records'!L$77:L$157,MATCH(LEFT(C1235,255),'Reference Records'!E$77:E$157,0)),"")</f>
        <v/>
      </c>
    </row>
    <row r="1236" spans="1:23" s="89" customFormat="1" ht="40.35" customHeight="1">
      <c r="A1236" s="564"/>
      <c r="B1236" s="799"/>
      <c r="C1236" s="800"/>
      <c r="D1236" s="801"/>
      <c r="E1236" s="801"/>
      <c r="F1236" s="128"/>
      <c r="G1236" s="802"/>
      <c r="H1236" s="781"/>
      <c r="I1236" s="803"/>
      <c r="J1236" s="779"/>
      <c r="K1236" s="800"/>
      <c r="L1236" s="800"/>
      <c r="M1236" s="779"/>
      <c r="N1236" s="779"/>
    </row>
    <row r="1237" spans="1:23" s="89" customFormat="1" ht="40.35" customHeight="1">
      <c r="A1237" s="564" t="str">
        <f ca="1">INDIRECT("'update Helper'!C"&amp;U1237)</f>
        <v>a163p000004VjpfAAC</v>
      </c>
      <c r="B1237" s="794">
        <v>16</v>
      </c>
      <c r="C1237" s="795" t="str">
        <f ca="1">VLOOKUP(B1237,'Coverage Indicators - Section D'!$A$9:$AU$70,47,FALSE)</f>
        <v/>
      </c>
      <c r="D1237" s="796" t="str">
        <f ca="1">R1237</f>
        <v/>
      </c>
      <c r="E1237" s="796" t="str">
        <f ca="1">S1237</f>
        <v/>
      </c>
      <c r="F1237" s="127"/>
      <c r="G1237" s="797" t="str">
        <f ca="1">IF(OR(INDIRECT("'update Helper'!E"&amp;U1237)="",F1237&lt;&gt;0,F1238&lt;&gt;0),IF(IFERROR((F1237/F1238),"")="","",(F1237/F1238)),INDIRECT("'update Helper'!E"&amp;U1237)/100)</f>
        <v/>
      </c>
      <c r="H1237" s="784"/>
      <c r="I1237" s="798"/>
      <c r="J1237" s="777"/>
      <c r="K1237" s="795" t="str">
        <f ca="1">W1237</f>
        <v/>
      </c>
      <c r="L1237" s="795" t="str">
        <f ca="1">V1237</f>
        <v/>
      </c>
      <c r="M1237" s="777"/>
      <c r="N1237" s="777"/>
      <c r="P1237" s="89">
        <f ca="1">IF(AND(EXACT(C1237,C1235),C1235&lt;&gt;0),P1235+1,0)</f>
        <v>68</v>
      </c>
      <c r="Q1237" s="89" t="str">
        <f ca="1">IF(C1237&lt;&gt;"",C1237&amp;"-"&amp;P1237,"")</f>
        <v/>
      </c>
      <c r="R1237" s="89" t="str">
        <f t="array" aca="1" ref="R1237" ca="1">IFERROR(IF(INDEX('Disaggregation Records'!$E$155:$E$385,MATCH(RIGHT(Q1237,255),RIGHT('Disaggregation Records'!$D$155:$D$385,255),0))="","",INDEX('Disaggregation Records'!$E$155:$E$385,MATCH(RIGHT(Q1237,255),RIGHT('Disaggregation Records'!$D$155:$D$385,255),0))),"")</f>
        <v/>
      </c>
      <c r="S1237" s="89" t="str">
        <f t="array" aca="1" ref="S1237" ca="1">IFERROR(IF(INDEX('Disaggregation Records'!$F$155:$F$385,MATCH(RIGHT(Q1237,255),RIGHT('Disaggregation Records'!$D$155:$D$385,255),0))="","",INDEX('Disaggregation Records'!$F$155:$F$385,MATCH(RIGHT(Q1237,255),RIGHT('Disaggregation Records'!$D$155:$D$385,255),0))),"")</f>
        <v/>
      </c>
      <c r="T1237" s="89" t="str">
        <f t="array" aca="1" ref="T1237" ca="1">IFERROR(IF(INDEX('Disaggregation Records'!$H$155:$H$385,MATCH(RIGHT(Q1237,255),RIGHT('Disaggregation Records'!$D$155:$D$385,255),0))="","",INDEX('Disaggregation Records'!$H$155:$H$385,MATCH(RIGHT(Q1237,255),RIGHT('Disaggregation Records'!$D$155:$D$385,255),0))),"")</f>
        <v/>
      </c>
      <c r="U1237" s="89">
        <f>U1235+1</f>
        <v>1728</v>
      </c>
      <c r="V1237" s="89" t="str">
        <f t="array" aca="1" ref="V1237" ca="1">IFERROR(IF(INDEX('Disaggregation Records'!$I$155:$I$385,MATCH(RIGHT(Q1237,255),RIGHT('Disaggregation Records'!$D$155:$D$385,255),0))="","",INDEX('Disaggregation Records'!$I$155:$I$385,MATCH(RIGHT(Q1237,255),RIGHT('Disaggregation Records'!$D$155:$D$385,255),0))),"")</f>
        <v/>
      </c>
      <c r="W1237" s="89" t="str">
        <f ca="1">IFERROR(INDEX('Reference Records'!L$77:L$157,MATCH(LEFT(C1237,255),'Reference Records'!E$77:E$157,0)),"")</f>
        <v/>
      </c>
    </row>
    <row r="1238" spans="1:23" s="89" customFormat="1" ht="40.35" customHeight="1">
      <c r="A1238" s="564"/>
      <c r="B1238" s="799"/>
      <c r="C1238" s="800"/>
      <c r="D1238" s="801"/>
      <c r="E1238" s="801"/>
      <c r="F1238" s="128"/>
      <c r="G1238" s="802"/>
      <c r="H1238" s="781"/>
      <c r="I1238" s="803"/>
      <c r="J1238" s="779"/>
      <c r="K1238" s="800"/>
      <c r="L1238" s="800"/>
      <c r="M1238" s="779"/>
      <c r="N1238" s="779"/>
    </row>
    <row r="1239" spans="1:23" s="89" customFormat="1" ht="40.35" customHeight="1">
      <c r="A1239" s="564" t="str">
        <f ca="1">INDIRECT("'update Helper'!C"&amp;U1239)</f>
        <v>a163p000004VjpgAAC</v>
      </c>
      <c r="B1239" s="794">
        <v>16</v>
      </c>
      <c r="C1239" s="795" t="str">
        <f ca="1">VLOOKUP(B1239,'Coverage Indicators - Section D'!$A$9:$AU$70,47,FALSE)</f>
        <v/>
      </c>
      <c r="D1239" s="796" t="str">
        <f ca="1">R1239</f>
        <v/>
      </c>
      <c r="E1239" s="796" t="str">
        <f ca="1">S1239</f>
        <v/>
      </c>
      <c r="F1239" s="127"/>
      <c r="G1239" s="797" t="str">
        <f ca="1">IF(OR(INDIRECT("'update Helper'!E"&amp;U1239)="",F1239&lt;&gt;0,F1240&lt;&gt;0),IF(IFERROR((F1239/F1240),"")="","",(F1239/F1240)),INDIRECT("'update Helper'!E"&amp;U1239)/100)</f>
        <v/>
      </c>
      <c r="H1239" s="784"/>
      <c r="I1239" s="798"/>
      <c r="J1239" s="777"/>
      <c r="K1239" s="795" t="str">
        <f ca="1">W1239</f>
        <v/>
      </c>
      <c r="L1239" s="795" t="str">
        <f ca="1">V1239</f>
        <v/>
      </c>
      <c r="M1239" s="777"/>
      <c r="N1239" s="777"/>
      <c r="P1239" s="89">
        <f ca="1">IF(AND(EXACT(C1239,C1237),C1237&lt;&gt;0),P1237+1,0)</f>
        <v>69</v>
      </c>
      <c r="Q1239" s="89" t="str">
        <f ca="1">IF(C1239&lt;&gt;"",C1239&amp;"-"&amp;P1239,"")</f>
        <v/>
      </c>
      <c r="R1239" s="89" t="str">
        <f t="array" aca="1" ref="R1239" ca="1">IFERROR(IF(INDEX('Disaggregation Records'!$E$155:$E$385,MATCH(RIGHT(Q1239,255),RIGHT('Disaggregation Records'!$D$155:$D$385,255),0))="","",INDEX('Disaggregation Records'!$E$155:$E$385,MATCH(RIGHT(Q1239,255),RIGHT('Disaggregation Records'!$D$155:$D$385,255),0))),"")</f>
        <v/>
      </c>
      <c r="S1239" s="89" t="str">
        <f t="array" aca="1" ref="S1239" ca="1">IFERROR(IF(INDEX('Disaggregation Records'!$F$155:$F$385,MATCH(RIGHT(Q1239,255),RIGHT('Disaggregation Records'!$D$155:$D$385,255),0))="","",INDEX('Disaggregation Records'!$F$155:$F$385,MATCH(RIGHT(Q1239,255),RIGHT('Disaggregation Records'!$D$155:$D$385,255),0))),"")</f>
        <v/>
      </c>
      <c r="T1239" s="89" t="str">
        <f t="array" aca="1" ref="T1239" ca="1">IFERROR(IF(INDEX('Disaggregation Records'!$H$155:$H$385,MATCH(RIGHT(Q1239,255),RIGHT('Disaggregation Records'!$D$155:$D$385,255),0))="","",INDEX('Disaggregation Records'!$H$155:$H$385,MATCH(RIGHT(Q1239,255),RIGHT('Disaggregation Records'!$D$155:$D$385,255),0))),"")</f>
        <v/>
      </c>
      <c r="U1239" s="89">
        <f>U1237+1</f>
        <v>1729</v>
      </c>
      <c r="V1239" s="89" t="str">
        <f t="array" aca="1" ref="V1239" ca="1">IFERROR(IF(INDEX('Disaggregation Records'!$I$155:$I$385,MATCH(RIGHT(Q1239,255),RIGHT('Disaggregation Records'!$D$155:$D$385,255),0))="","",INDEX('Disaggregation Records'!$I$155:$I$385,MATCH(RIGHT(Q1239,255),RIGHT('Disaggregation Records'!$D$155:$D$385,255),0))),"")</f>
        <v/>
      </c>
      <c r="W1239" s="89" t="str">
        <f ca="1">IFERROR(INDEX('Reference Records'!L$77:L$157,MATCH(LEFT(C1239,255),'Reference Records'!E$77:E$157,0)),"")</f>
        <v/>
      </c>
    </row>
    <row r="1240" spans="1:23" s="89" customFormat="1" ht="40.35" customHeight="1">
      <c r="A1240" s="564"/>
      <c r="B1240" s="799"/>
      <c r="C1240" s="800"/>
      <c r="D1240" s="801"/>
      <c r="E1240" s="801"/>
      <c r="F1240" s="128"/>
      <c r="G1240" s="802"/>
      <c r="H1240" s="781"/>
      <c r="I1240" s="803"/>
      <c r="J1240" s="779"/>
      <c r="K1240" s="800"/>
      <c r="L1240" s="800"/>
      <c r="M1240" s="779"/>
      <c r="N1240" s="779"/>
    </row>
    <row r="1241" spans="1:23" s="89" customFormat="1" ht="40.35" customHeight="1">
      <c r="A1241" s="564" t="str">
        <f ca="1">INDIRECT("'update Helper'!C"&amp;U1241)</f>
        <v>a163p000004VjphAAC</v>
      </c>
      <c r="B1241" s="794">
        <v>16</v>
      </c>
      <c r="C1241" s="795" t="str">
        <f ca="1">VLOOKUP(B1241,'Coverage Indicators - Section D'!$A$9:$AU$70,47,FALSE)</f>
        <v/>
      </c>
      <c r="D1241" s="796" t="str">
        <f ca="1">R1241</f>
        <v/>
      </c>
      <c r="E1241" s="796" t="str">
        <f ca="1">S1241</f>
        <v/>
      </c>
      <c r="F1241" s="127"/>
      <c r="G1241" s="797" t="str">
        <f ca="1">IF(OR(INDIRECT("'update Helper'!E"&amp;U1241)="",F1241&lt;&gt;0,F1242&lt;&gt;0),IF(IFERROR((F1241/F1242),"")="","",(F1241/F1242)),INDIRECT("'update Helper'!E"&amp;U1241)/100)</f>
        <v/>
      </c>
      <c r="H1241" s="784"/>
      <c r="I1241" s="798"/>
      <c r="J1241" s="777"/>
      <c r="K1241" s="795" t="str">
        <f ca="1">W1241</f>
        <v/>
      </c>
      <c r="L1241" s="795" t="str">
        <f ca="1">V1241</f>
        <v/>
      </c>
      <c r="M1241" s="777"/>
      <c r="N1241" s="777"/>
      <c r="P1241" s="89">
        <f ca="1">IF(AND(EXACT(C1241,C1239),C1239&lt;&gt;0),P1239+1,0)</f>
        <v>70</v>
      </c>
      <c r="Q1241" s="89" t="str">
        <f ca="1">IF(C1241&lt;&gt;"",C1241&amp;"-"&amp;P1241,"")</f>
        <v/>
      </c>
      <c r="R1241" s="89" t="str">
        <f t="array" aca="1" ref="R1241" ca="1">IFERROR(IF(INDEX('Disaggregation Records'!$E$155:$E$385,MATCH(RIGHT(Q1241,255),RIGHT('Disaggregation Records'!$D$155:$D$385,255),0))="","",INDEX('Disaggregation Records'!$E$155:$E$385,MATCH(RIGHT(Q1241,255),RIGHT('Disaggregation Records'!$D$155:$D$385,255),0))),"")</f>
        <v/>
      </c>
      <c r="S1241" s="89" t="str">
        <f t="array" aca="1" ref="S1241" ca="1">IFERROR(IF(INDEX('Disaggregation Records'!$F$155:$F$385,MATCH(RIGHT(Q1241,255),RIGHT('Disaggregation Records'!$D$155:$D$385,255),0))="","",INDEX('Disaggregation Records'!$F$155:$F$385,MATCH(RIGHT(Q1241,255),RIGHT('Disaggregation Records'!$D$155:$D$385,255),0))),"")</f>
        <v/>
      </c>
      <c r="T1241" s="89" t="str">
        <f t="array" aca="1" ref="T1241" ca="1">IFERROR(IF(INDEX('Disaggregation Records'!$H$155:$H$385,MATCH(RIGHT(Q1241,255),RIGHT('Disaggregation Records'!$D$155:$D$385,255),0))="","",INDEX('Disaggregation Records'!$H$155:$H$385,MATCH(RIGHT(Q1241,255),RIGHT('Disaggregation Records'!$D$155:$D$385,255),0))),"")</f>
        <v/>
      </c>
      <c r="U1241" s="89">
        <f>U1239+1</f>
        <v>1730</v>
      </c>
      <c r="V1241" s="89" t="str">
        <f t="array" aca="1" ref="V1241" ca="1">IFERROR(IF(INDEX('Disaggregation Records'!$I$155:$I$385,MATCH(RIGHT(Q1241,255),RIGHT('Disaggregation Records'!$D$155:$D$385,255),0))="","",INDEX('Disaggregation Records'!$I$155:$I$385,MATCH(RIGHT(Q1241,255),RIGHT('Disaggregation Records'!$D$155:$D$385,255),0))),"")</f>
        <v/>
      </c>
      <c r="W1241" s="89" t="str">
        <f ca="1">IFERROR(INDEX('Reference Records'!L$77:L$157,MATCH(LEFT(C1241,255),'Reference Records'!E$77:E$157,0)),"")</f>
        <v/>
      </c>
    </row>
    <row r="1242" spans="1:23" s="89" customFormat="1" ht="40.35" customHeight="1">
      <c r="A1242" s="564"/>
      <c r="B1242" s="799"/>
      <c r="C1242" s="800"/>
      <c r="D1242" s="801"/>
      <c r="E1242" s="801"/>
      <c r="F1242" s="128"/>
      <c r="G1242" s="802"/>
      <c r="H1242" s="781"/>
      <c r="I1242" s="803"/>
      <c r="J1242" s="779"/>
      <c r="K1242" s="800"/>
      <c r="L1242" s="800"/>
      <c r="M1242" s="779"/>
      <c r="N1242" s="779"/>
    </row>
    <row r="1243" spans="1:23" s="89" customFormat="1" ht="40.35" customHeight="1">
      <c r="A1243" s="564" t="str">
        <f ca="1">INDIRECT("'update Helper'!C"&amp;U1243)</f>
        <v>a163p000004VjpiAAC</v>
      </c>
      <c r="B1243" s="794">
        <v>16</v>
      </c>
      <c r="C1243" s="795" t="str">
        <f ca="1">VLOOKUP(B1243,'Coverage Indicators - Section D'!$A$9:$AU$70,47,FALSE)</f>
        <v/>
      </c>
      <c r="D1243" s="796" t="str">
        <f ca="1">R1243</f>
        <v/>
      </c>
      <c r="E1243" s="796" t="str">
        <f ca="1">S1243</f>
        <v/>
      </c>
      <c r="F1243" s="127"/>
      <c r="G1243" s="797" t="str">
        <f ca="1">IF(OR(INDIRECT("'update Helper'!E"&amp;U1243)="",F1243&lt;&gt;0,F1244&lt;&gt;0),IF(IFERROR((F1243/F1244),"")="","",(F1243/F1244)),INDIRECT("'update Helper'!E"&amp;U1243)/100)</f>
        <v/>
      </c>
      <c r="H1243" s="784"/>
      <c r="I1243" s="798"/>
      <c r="J1243" s="777"/>
      <c r="K1243" s="795" t="str">
        <f ca="1">W1243</f>
        <v/>
      </c>
      <c r="L1243" s="795" t="str">
        <f ca="1">V1243</f>
        <v/>
      </c>
      <c r="M1243" s="777"/>
      <c r="N1243" s="777"/>
      <c r="P1243" s="89">
        <f ca="1">IF(AND(EXACT(C1243,C1241),C1241&lt;&gt;0),P1241+1,0)</f>
        <v>71</v>
      </c>
      <c r="Q1243" s="89" t="str">
        <f ca="1">IF(C1243&lt;&gt;"",C1243&amp;"-"&amp;P1243,"")</f>
        <v/>
      </c>
      <c r="R1243" s="89" t="str">
        <f t="array" aca="1" ref="R1243" ca="1">IFERROR(IF(INDEX('Disaggregation Records'!$E$155:$E$385,MATCH(RIGHT(Q1243,255),RIGHT('Disaggregation Records'!$D$155:$D$385,255),0))="","",INDEX('Disaggregation Records'!$E$155:$E$385,MATCH(RIGHT(Q1243,255),RIGHT('Disaggregation Records'!$D$155:$D$385,255),0))),"")</f>
        <v/>
      </c>
      <c r="S1243" s="89" t="str">
        <f t="array" aca="1" ref="S1243" ca="1">IFERROR(IF(INDEX('Disaggregation Records'!$F$155:$F$385,MATCH(RIGHT(Q1243,255),RIGHT('Disaggregation Records'!$D$155:$D$385,255),0))="","",INDEX('Disaggregation Records'!$F$155:$F$385,MATCH(RIGHT(Q1243,255),RIGHT('Disaggregation Records'!$D$155:$D$385,255),0))),"")</f>
        <v/>
      </c>
      <c r="T1243" s="89" t="str">
        <f t="array" aca="1" ref="T1243" ca="1">IFERROR(IF(INDEX('Disaggregation Records'!$H$155:$H$385,MATCH(RIGHT(Q1243,255),RIGHT('Disaggregation Records'!$D$155:$D$385,255),0))="","",INDEX('Disaggregation Records'!$H$155:$H$385,MATCH(RIGHT(Q1243,255),RIGHT('Disaggregation Records'!$D$155:$D$385,255),0))),"")</f>
        <v/>
      </c>
      <c r="U1243" s="89">
        <f>U1241+1</f>
        <v>1731</v>
      </c>
      <c r="V1243" s="89" t="str">
        <f t="array" aca="1" ref="V1243" ca="1">IFERROR(IF(INDEX('Disaggregation Records'!$I$155:$I$385,MATCH(RIGHT(Q1243,255),RIGHT('Disaggregation Records'!$D$155:$D$385,255),0))="","",INDEX('Disaggregation Records'!$I$155:$I$385,MATCH(RIGHT(Q1243,255),RIGHT('Disaggregation Records'!$D$155:$D$385,255),0))),"")</f>
        <v/>
      </c>
      <c r="W1243" s="89" t="str">
        <f ca="1">IFERROR(INDEX('Reference Records'!L$77:L$157,MATCH(LEFT(C1243,255),'Reference Records'!E$77:E$157,0)),"")</f>
        <v/>
      </c>
    </row>
    <row r="1244" spans="1:23" s="89" customFormat="1" ht="40.35" customHeight="1">
      <c r="A1244" s="564"/>
      <c r="B1244" s="799"/>
      <c r="C1244" s="800"/>
      <c r="D1244" s="801"/>
      <c r="E1244" s="801"/>
      <c r="F1244" s="128"/>
      <c r="G1244" s="802"/>
      <c r="H1244" s="781"/>
      <c r="I1244" s="803"/>
      <c r="J1244" s="779"/>
      <c r="K1244" s="800"/>
      <c r="L1244" s="800"/>
      <c r="M1244" s="779"/>
      <c r="N1244" s="779"/>
    </row>
    <row r="1245" spans="1:23" s="89" customFormat="1" ht="40.35" customHeight="1">
      <c r="A1245" s="564" t="str">
        <f ca="1">INDIRECT("'update Helper'!C"&amp;U1245)</f>
        <v>a163p000004VjpjAAC</v>
      </c>
      <c r="B1245" s="794">
        <v>16</v>
      </c>
      <c r="C1245" s="795" t="str">
        <f ca="1">VLOOKUP(B1245,'Coverage Indicators - Section D'!$A$9:$AU$70,47,FALSE)</f>
        <v/>
      </c>
      <c r="D1245" s="796" t="str">
        <f ca="1">R1245</f>
        <v/>
      </c>
      <c r="E1245" s="796" t="str">
        <f ca="1">S1245</f>
        <v/>
      </c>
      <c r="F1245" s="127"/>
      <c r="G1245" s="797" t="str">
        <f ca="1">IF(OR(INDIRECT("'update Helper'!E"&amp;U1245)="",F1245&lt;&gt;0,F1246&lt;&gt;0),IF(IFERROR((F1245/F1246),"")="","",(F1245/F1246)),INDIRECT("'update Helper'!E"&amp;U1245)/100)</f>
        <v/>
      </c>
      <c r="H1245" s="784"/>
      <c r="I1245" s="798"/>
      <c r="J1245" s="777"/>
      <c r="K1245" s="795" t="str">
        <f ca="1">W1245</f>
        <v/>
      </c>
      <c r="L1245" s="795" t="str">
        <f ca="1">V1245</f>
        <v/>
      </c>
      <c r="M1245" s="777"/>
      <c r="N1245" s="777"/>
      <c r="P1245" s="89">
        <f ca="1">IF(AND(EXACT(C1245,C1243),C1243&lt;&gt;0),P1243+1,0)</f>
        <v>72</v>
      </c>
      <c r="Q1245" s="89" t="str">
        <f ca="1">IF(C1245&lt;&gt;"",C1245&amp;"-"&amp;P1245,"")</f>
        <v/>
      </c>
      <c r="R1245" s="89" t="str">
        <f t="array" aca="1" ref="R1245" ca="1">IFERROR(IF(INDEX('Disaggregation Records'!$E$155:$E$385,MATCH(RIGHT(Q1245,255),RIGHT('Disaggregation Records'!$D$155:$D$385,255),0))="","",INDEX('Disaggregation Records'!$E$155:$E$385,MATCH(RIGHT(Q1245,255),RIGHT('Disaggregation Records'!$D$155:$D$385,255),0))),"")</f>
        <v/>
      </c>
      <c r="S1245" s="89" t="str">
        <f t="array" aca="1" ref="S1245" ca="1">IFERROR(IF(INDEX('Disaggregation Records'!$F$155:$F$385,MATCH(RIGHT(Q1245,255),RIGHT('Disaggregation Records'!$D$155:$D$385,255),0))="","",INDEX('Disaggregation Records'!$F$155:$F$385,MATCH(RIGHT(Q1245,255),RIGHT('Disaggregation Records'!$D$155:$D$385,255),0))),"")</f>
        <v/>
      </c>
      <c r="T1245" s="89" t="str">
        <f t="array" aca="1" ref="T1245" ca="1">IFERROR(IF(INDEX('Disaggregation Records'!$H$155:$H$385,MATCH(RIGHT(Q1245,255),RIGHT('Disaggregation Records'!$D$155:$D$385,255),0))="","",INDEX('Disaggregation Records'!$H$155:$H$385,MATCH(RIGHT(Q1245,255),RIGHT('Disaggregation Records'!$D$155:$D$385,255),0))),"")</f>
        <v/>
      </c>
      <c r="U1245" s="89">
        <f>U1243+1</f>
        <v>1732</v>
      </c>
      <c r="V1245" s="89" t="str">
        <f t="array" aca="1" ref="V1245" ca="1">IFERROR(IF(INDEX('Disaggregation Records'!$I$155:$I$385,MATCH(RIGHT(Q1245,255),RIGHT('Disaggregation Records'!$D$155:$D$385,255),0))="","",INDEX('Disaggregation Records'!$I$155:$I$385,MATCH(RIGHT(Q1245,255),RIGHT('Disaggregation Records'!$D$155:$D$385,255),0))),"")</f>
        <v/>
      </c>
      <c r="W1245" s="89" t="str">
        <f ca="1">IFERROR(INDEX('Reference Records'!L$77:L$157,MATCH(LEFT(C1245,255),'Reference Records'!E$77:E$157,0)),"")</f>
        <v/>
      </c>
    </row>
    <row r="1246" spans="1:23" s="89" customFormat="1" ht="40.35" customHeight="1">
      <c r="A1246" s="564"/>
      <c r="B1246" s="799"/>
      <c r="C1246" s="800"/>
      <c r="D1246" s="801"/>
      <c r="E1246" s="801"/>
      <c r="F1246" s="128"/>
      <c r="G1246" s="802"/>
      <c r="H1246" s="781"/>
      <c r="I1246" s="803"/>
      <c r="J1246" s="779"/>
      <c r="K1246" s="800"/>
      <c r="L1246" s="800"/>
      <c r="M1246" s="779"/>
      <c r="N1246" s="779"/>
    </row>
    <row r="1247" spans="1:23" s="89" customFormat="1" ht="40.35" customHeight="1">
      <c r="A1247" s="564" t="str">
        <f ca="1">INDIRECT("'update Helper'!C"&amp;U1247)</f>
        <v>a163p000004VjpkAAC</v>
      </c>
      <c r="B1247" s="794">
        <v>16</v>
      </c>
      <c r="C1247" s="795" t="str">
        <f ca="1">VLOOKUP(B1247,'Coverage Indicators - Section D'!$A$9:$AU$70,47,FALSE)</f>
        <v/>
      </c>
      <c r="D1247" s="796" t="str">
        <f ca="1">R1247</f>
        <v/>
      </c>
      <c r="E1247" s="796" t="str">
        <f ca="1">S1247</f>
        <v/>
      </c>
      <c r="F1247" s="127"/>
      <c r="G1247" s="797" t="str">
        <f ca="1">IF(OR(INDIRECT("'update Helper'!E"&amp;U1247)="",F1247&lt;&gt;0,F1248&lt;&gt;0),IF(IFERROR((F1247/F1248),"")="","",(F1247/F1248)),INDIRECT("'update Helper'!E"&amp;U1247)/100)</f>
        <v/>
      </c>
      <c r="H1247" s="784"/>
      <c r="I1247" s="798"/>
      <c r="J1247" s="777"/>
      <c r="K1247" s="795" t="str">
        <f ca="1">W1247</f>
        <v/>
      </c>
      <c r="L1247" s="795" t="str">
        <f ca="1">V1247</f>
        <v/>
      </c>
      <c r="M1247" s="777"/>
      <c r="N1247" s="777"/>
      <c r="P1247" s="89">
        <f ca="1">IF(AND(EXACT(C1247,C1245),C1245&lt;&gt;0),P1245+1,0)</f>
        <v>73</v>
      </c>
      <c r="Q1247" s="89" t="str">
        <f ca="1">IF(C1247&lt;&gt;"",C1247&amp;"-"&amp;P1247,"")</f>
        <v/>
      </c>
      <c r="R1247" s="89" t="str">
        <f t="array" aca="1" ref="R1247" ca="1">IFERROR(IF(INDEX('Disaggregation Records'!$E$155:$E$385,MATCH(RIGHT(Q1247,255),RIGHT('Disaggregation Records'!$D$155:$D$385,255),0))="","",INDEX('Disaggregation Records'!$E$155:$E$385,MATCH(RIGHT(Q1247,255),RIGHT('Disaggregation Records'!$D$155:$D$385,255),0))),"")</f>
        <v/>
      </c>
      <c r="S1247" s="89" t="str">
        <f t="array" aca="1" ref="S1247" ca="1">IFERROR(IF(INDEX('Disaggregation Records'!$F$155:$F$385,MATCH(RIGHT(Q1247,255),RIGHT('Disaggregation Records'!$D$155:$D$385,255),0))="","",INDEX('Disaggregation Records'!$F$155:$F$385,MATCH(RIGHT(Q1247,255),RIGHT('Disaggregation Records'!$D$155:$D$385,255),0))),"")</f>
        <v/>
      </c>
      <c r="T1247" s="89" t="str">
        <f t="array" aca="1" ref="T1247" ca="1">IFERROR(IF(INDEX('Disaggregation Records'!$H$155:$H$385,MATCH(RIGHT(Q1247,255),RIGHT('Disaggregation Records'!$D$155:$D$385,255),0))="","",INDEX('Disaggregation Records'!$H$155:$H$385,MATCH(RIGHT(Q1247,255),RIGHT('Disaggregation Records'!$D$155:$D$385,255),0))),"")</f>
        <v/>
      </c>
      <c r="U1247" s="89">
        <f>U1245+1</f>
        <v>1733</v>
      </c>
      <c r="V1247" s="89" t="str">
        <f t="array" aca="1" ref="V1247" ca="1">IFERROR(IF(INDEX('Disaggregation Records'!$I$155:$I$385,MATCH(RIGHT(Q1247,255),RIGHT('Disaggregation Records'!$D$155:$D$385,255),0))="","",INDEX('Disaggregation Records'!$I$155:$I$385,MATCH(RIGHT(Q1247,255),RIGHT('Disaggregation Records'!$D$155:$D$385,255),0))),"")</f>
        <v/>
      </c>
      <c r="W1247" s="89" t="str">
        <f ca="1">IFERROR(INDEX('Reference Records'!L$77:L$157,MATCH(LEFT(C1247,255),'Reference Records'!E$77:E$157,0)),"")</f>
        <v/>
      </c>
    </row>
    <row r="1248" spans="1:23" s="89" customFormat="1" ht="40.35" customHeight="1">
      <c r="A1248" s="564"/>
      <c r="B1248" s="799"/>
      <c r="C1248" s="800"/>
      <c r="D1248" s="801"/>
      <c r="E1248" s="801"/>
      <c r="F1248" s="128"/>
      <c r="G1248" s="802"/>
      <c r="H1248" s="781"/>
      <c r="I1248" s="803"/>
      <c r="J1248" s="779"/>
      <c r="K1248" s="800"/>
      <c r="L1248" s="800"/>
      <c r="M1248" s="779"/>
      <c r="N1248" s="779"/>
    </row>
    <row r="1249" spans="1:23" s="89" customFormat="1" ht="40.35" customHeight="1">
      <c r="A1249" s="564" t="str">
        <f ca="1">INDIRECT("'update Helper'!C"&amp;U1249)</f>
        <v>a163p000004VjplAAC</v>
      </c>
      <c r="B1249" s="794">
        <v>16</v>
      </c>
      <c r="C1249" s="795" t="str">
        <f ca="1">VLOOKUP(B1249,'Coverage Indicators - Section D'!$A$9:$AU$70,47,FALSE)</f>
        <v/>
      </c>
      <c r="D1249" s="796" t="str">
        <f ca="1">R1249</f>
        <v/>
      </c>
      <c r="E1249" s="796" t="str">
        <f ca="1">S1249</f>
        <v/>
      </c>
      <c r="F1249" s="127"/>
      <c r="G1249" s="797" t="str">
        <f ca="1">IF(OR(INDIRECT("'update Helper'!E"&amp;U1249)="",F1249&lt;&gt;0,F1250&lt;&gt;0),IF(IFERROR((F1249/F1250),"")="","",(F1249/F1250)),INDIRECT("'update Helper'!E"&amp;U1249)/100)</f>
        <v/>
      </c>
      <c r="H1249" s="784"/>
      <c r="I1249" s="798"/>
      <c r="J1249" s="777"/>
      <c r="K1249" s="795" t="str">
        <f ca="1">W1249</f>
        <v/>
      </c>
      <c r="L1249" s="795" t="str">
        <f ca="1">V1249</f>
        <v/>
      </c>
      <c r="M1249" s="777"/>
      <c r="N1249" s="777"/>
      <c r="P1249" s="89">
        <f ca="1">IF(AND(EXACT(C1249,C1247),C1247&lt;&gt;0),P1247+1,0)</f>
        <v>74</v>
      </c>
      <c r="Q1249" s="89" t="str">
        <f ca="1">IF(C1249&lt;&gt;"",C1249&amp;"-"&amp;P1249,"")</f>
        <v/>
      </c>
      <c r="R1249" s="89" t="str">
        <f t="array" aca="1" ref="R1249" ca="1">IFERROR(IF(INDEX('Disaggregation Records'!$E$155:$E$385,MATCH(RIGHT(Q1249,255),RIGHT('Disaggregation Records'!$D$155:$D$385,255),0))="","",INDEX('Disaggregation Records'!$E$155:$E$385,MATCH(RIGHT(Q1249,255),RIGHT('Disaggregation Records'!$D$155:$D$385,255),0))),"")</f>
        <v/>
      </c>
      <c r="S1249" s="89" t="str">
        <f t="array" aca="1" ref="S1249" ca="1">IFERROR(IF(INDEX('Disaggregation Records'!$F$155:$F$385,MATCH(RIGHT(Q1249,255),RIGHT('Disaggregation Records'!$D$155:$D$385,255),0))="","",INDEX('Disaggregation Records'!$F$155:$F$385,MATCH(RIGHT(Q1249,255),RIGHT('Disaggregation Records'!$D$155:$D$385,255),0))),"")</f>
        <v/>
      </c>
      <c r="T1249" s="89" t="str">
        <f t="array" aca="1" ref="T1249" ca="1">IFERROR(IF(INDEX('Disaggregation Records'!$H$155:$H$385,MATCH(RIGHT(Q1249,255),RIGHT('Disaggregation Records'!$D$155:$D$385,255),0))="","",INDEX('Disaggregation Records'!$H$155:$H$385,MATCH(RIGHT(Q1249,255),RIGHT('Disaggregation Records'!$D$155:$D$385,255),0))),"")</f>
        <v/>
      </c>
      <c r="U1249" s="89">
        <f>U1247+1</f>
        <v>1734</v>
      </c>
      <c r="V1249" s="89" t="str">
        <f t="array" aca="1" ref="V1249" ca="1">IFERROR(IF(INDEX('Disaggregation Records'!$I$155:$I$385,MATCH(RIGHT(Q1249,255),RIGHT('Disaggregation Records'!$D$155:$D$385,255),0))="","",INDEX('Disaggregation Records'!$I$155:$I$385,MATCH(RIGHT(Q1249,255),RIGHT('Disaggregation Records'!$D$155:$D$385,255),0))),"")</f>
        <v/>
      </c>
      <c r="W1249" s="89" t="str">
        <f ca="1">IFERROR(INDEX('Reference Records'!L$77:L$157,MATCH(LEFT(C1249,255),'Reference Records'!E$77:E$157,0)),"")</f>
        <v/>
      </c>
    </row>
    <row r="1250" spans="1:23" s="89" customFormat="1" ht="40.35" customHeight="1">
      <c r="A1250" s="564"/>
      <c r="B1250" s="799"/>
      <c r="C1250" s="800"/>
      <c r="D1250" s="801"/>
      <c r="E1250" s="801"/>
      <c r="F1250" s="128"/>
      <c r="G1250" s="802"/>
      <c r="H1250" s="781"/>
      <c r="I1250" s="803"/>
      <c r="J1250" s="779"/>
      <c r="K1250" s="800"/>
      <c r="L1250" s="800"/>
      <c r="M1250" s="779"/>
      <c r="N1250" s="779"/>
    </row>
    <row r="1251" spans="1:23" s="89" customFormat="1" ht="40.35" customHeight="1">
      <c r="A1251" s="564" t="str">
        <f ca="1">INDIRECT("'update Helper'!C"&amp;U1251)</f>
        <v>a163p000004VjpmAAC</v>
      </c>
      <c r="B1251" s="794">
        <v>16</v>
      </c>
      <c r="C1251" s="795" t="str">
        <f ca="1">VLOOKUP(B1251,'Coverage Indicators - Section D'!$A$9:$AU$70,47,FALSE)</f>
        <v/>
      </c>
      <c r="D1251" s="796" t="str">
        <f ca="1">R1251</f>
        <v/>
      </c>
      <c r="E1251" s="796" t="str">
        <f ca="1">S1251</f>
        <v/>
      </c>
      <c r="F1251" s="127"/>
      <c r="G1251" s="797" t="str">
        <f ca="1">IF(OR(INDIRECT("'update Helper'!E"&amp;U1251)="",F1251&lt;&gt;0,F1252&lt;&gt;0),IF(IFERROR((F1251/F1252),"")="","",(F1251/F1252)),INDIRECT("'update Helper'!E"&amp;U1251)/100)</f>
        <v/>
      </c>
      <c r="H1251" s="784"/>
      <c r="I1251" s="798"/>
      <c r="J1251" s="777"/>
      <c r="K1251" s="795" t="str">
        <f ca="1">W1251</f>
        <v/>
      </c>
      <c r="L1251" s="795" t="str">
        <f ca="1">V1251</f>
        <v/>
      </c>
      <c r="M1251" s="777"/>
      <c r="N1251" s="777"/>
      <c r="P1251" s="89">
        <f ca="1">IF(AND(EXACT(C1251,C1249),C1249&lt;&gt;0),P1249+1,0)</f>
        <v>75</v>
      </c>
      <c r="Q1251" s="89" t="str">
        <f ca="1">IF(C1251&lt;&gt;"",C1251&amp;"-"&amp;P1251,"")</f>
        <v/>
      </c>
      <c r="R1251" s="89" t="str">
        <f t="array" aca="1" ref="R1251" ca="1">IFERROR(IF(INDEX('Disaggregation Records'!$E$155:$E$385,MATCH(RIGHT(Q1251,255),RIGHT('Disaggregation Records'!$D$155:$D$385,255),0))="","",INDEX('Disaggregation Records'!$E$155:$E$385,MATCH(RIGHT(Q1251,255),RIGHT('Disaggregation Records'!$D$155:$D$385,255),0))),"")</f>
        <v/>
      </c>
      <c r="S1251" s="89" t="str">
        <f t="array" aca="1" ref="S1251" ca="1">IFERROR(IF(INDEX('Disaggregation Records'!$F$155:$F$385,MATCH(RIGHT(Q1251,255),RIGHT('Disaggregation Records'!$D$155:$D$385,255),0))="","",INDEX('Disaggregation Records'!$F$155:$F$385,MATCH(RIGHT(Q1251,255),RIGHT('Disaggregation Records'!$D$155:$D$385,255),0))),"")</f>
        <v/>
      </c>
      <c r="T1251" s="89" t="str">
        <f t="array" aca="1" ref="T1251" ca="1">IFERROR(IF(INDEX('Disaggregation Records'!$H$155:$H$385,MATCH(RIGHT(Q1251,255),RIGHT('Disaggregation Records'!$D$155:$D$385,255),0))="","",INDEX('Disaggregation Records'!$H$155:$H$385,MATCH(RIGHT(Q1251,255),RIGHT('Disaggregation Records'!$D$155:$D$385,255),0))),"")</f>
        <v/>
      </c>
      <c r="U1251" s="89">
        <f>U1249+1</f>
        <v>1735</v>
      </c>
      <c r="V1251" s="89" t="str">
        <f t="array" aca="1" ref="V1251" ca="1">IFERROR(IF(INDEX('Disaggregation Records'!$I$155:$I$385,MATCH(RIGHT(Q1251,255),RIGHT('Disaggregation Records'!$D$155:$D$385,255),0))="","",INDEX('Disaggregation Records'!$I$155:$I$385,MATCH(RIGHT(Q1251,255),RIGHT('Disaggregation Records'!$D$155:$D$385,255),0))),"")</f>
        <v/>
      </c>
      <c r="W1251" s="89" t="str">
        <f ca="1">IFERROR(INDEX('Reference Records'!L$77:L$157,MATCH(LEFT(C1251,255),'Reference Records'!E$77:E$157,0)),"")</f>
        <v/>
      </c>
    </row>
    <row r="1252" spans="1:23" s="89" customFormat="1" ht="40.35" customHeight="1">
      <c r="A1252" s="564"/>
      <c r="B1252" s="799"/>
      <c r="C1252" s="800"/>
      <c r="D1252" s="801"/>
      <c r="E1252" s="801"/>
      <c r="F1252" s="128"/>
      <c r="G1252" s="802"/>
      <c r="H1252" s="781"/>
      <c r="I1252" s="803"/>
      <c r="J1252" s="779"/>
      <c r="K1252" s="800"/>
      <c r="L1252" s="800"/>
      <c r="M1252" s="779"/>
      <c r="N1252" s="779"/>
    </row>
    <row r="1253" spans="1:23" s="89" customFormat="1" ht="40.35" customHeight="1">
      <c r="A1253" s="564" t="str">
        <f ca="1">INDIRECT("'update Helper'!C"&amp;U1253)</f>
        <v>a163p000004VjpnAAC</v>
      </c>
      <c r="B1253" s="794">
        <v>16</v>
      </c>
      <c r="C1253" s="795" t="str">
        <f ca="1">VLOOKUP(B1253,'Coverage Indicators - Section D'!$A$9:$AU$70,47,FALSE)</f>
        <v/>
      </c>
      <c r="D1253" s="796" t="str">
        <f ca="1">R1253</f>
        <v/>
      </c>
      <c r="E1253" s="796" t="str">
        <f ca="1">S1253</f>
        <v/>
      </c>
      <c r="F1253" s="127"/>
      <c r="G1253" s="797" t="str">
        <f ca="1">IF(OR(INDIRECT("'update Helper'!E"&amp;U1253)="",F1253&lt;&gt;0,F1254&lt;&gt;0),IF(IFERROR((F1253/F1254),"")="","",(F1253/F1254)),INDIRECT("'update Helper'!E"&amp;U1253)/100)</f>
        <v/>
      </c>
      <c r="H1253" s="784"/>
      <c r="I1253" s="798"/>
      <c r="J1253" s="777"/>
      <c r="K1253" s="795" t="str">
        <f ca="1">W1253</f>
        <v/>
      </c>
      <c r="L1253" s="795" t="str">
        <f ca="1">V1253</f>
        <v/>
      </c>
      <c r="M1253" s="777"/>
      <c r="N1253" s="777"/>
      <c r="P1253" s="89">
        <f ca="1">IF(AND(EXACT(C1253,C1251),C1251&lt;&gt;0),P1251+1,0)</f>
        <v>76</v>
      </c>
      <c r="Q1253" s="89" t="str">
        <f ca="1">IF(C1253&lt;&gt;"",C1253&amp;"-"&amp;P1253,"")</f>
        <v/>
      </c>
      <c r="R1253" s="89" t="str">
        <f t="array" aca="1" ref="R1253" ca="1">IFERROR(IF(INDEX('Disaggregation Records'!$E$155:$E$385,MATCH(RIGHT(Q1253,255),RIGHT('Disaggregation Records'!$D$155:$D$385,255),0))="","",INDEX('Disaggregation Records'!$E$155:$E$385,MATCH(RIGHT(Q1253,255),RIGHT('Disaggregation Records'!$D$155:$D$385,255),0))),"")</f>
        <v/>
      </c>
      <c r="S1253" s="89" t="str">
        <f t="array" aca="1" ref="S1253" ca="1">IFERROR(IF(INDEX('Disaggregation Records'!$F$155:$F$385,MATCH(RIGHT(Q1253,255),RIGHT('Disaggregation Records'!$D$155:$D$385,255),0))="","",INDEX('Disaggregation Records'!$F$155:$F$385,MATCH(RIGHT(Q1253,255),RIGHT('Disaggregation Records'!$D$155:$D$385,255),0))),"")</f>
        <v/>
      </c>
      <c r="T1253" s="89" t="str">
        <f t="array" aca="1" ref="T1253" ca="1">IFERROR(IF(INDEX('Disaggregation Records'!$H$155:$H$385,MATCH(RIGHT(Q1253,255),RIGHT('Disaggregation Records'!$D$155:$D$385,255),0))="","",INDEX('Disaggregation Records'!$H$155:$H$385,MATCH(RIGHT(Q1253,255),RIGHT('Disaggregation Records'!$D$155:$D$385,255),0))),"")</f>
        <v/>
      </c>
      <c r="U1253" s="89">
        <f>U1251+1</f>
        <v>1736</v>
      </c>
      <c r="V1253" s="89" t="str">
        <f t="array" aca="1" ref="V1253" ca="1">IFERROR(IF(INDEX('Disaggregation Records'!$I$155:$I$385,MATCH(RIGHT(Q1253,255),RIGHT('Disaggregation Records'!$D$155:$D$385,255),0))="","",INDEX('Disaggregation Records'!$I$155:$I$385,MATCH(RIGHT(Q1253,255),RIGHT('Disaggregation Records'!$D$155:$D$385,255),0))),"")</f>
        <v/>
      </c>
      <c r="W1253" s="89" t="str">
        <f ca="1">IFERROR(INDEX('Reference Records'!L$77:L$157,MATCH(LEFT(C1253,255),'Reference Records'!E$77:E$157,0)),"")</f>
        <v/>
      </c>
    </row>
    <row r="1254" spans="1:23" s="89" customFormat="1" ht="40.35" customHeight="1">
      <c r="A1254" s="564"/>
      <c r="B1254" s="799"/>
      <c r="C1254" s="800"/>
      <c r="D1254" s="801"/>
      <c r="E1254" s="801"/>
      <c r="F1254" s="128"/>
      <c r="G1254" s="802"/>
      <c r="H1254" s="781"/>
      <c r="I1254" s="803"/>
      <c r="J1254" s="779"/>
      <c r="K1254" s="800"/>
      <c r="L1254" s="800"/>
      <c r="M1254" s="779"/>
      <c r="N1254" s="779"/>
    </row>
    <row r="1255" spans="1:23" s="89" customFormat="1" ht="40.35" customHeight="1">
      <c r="A1255" s="564" t="str">
        <f ca="1">INDIRECT("'update Helper'!C"&amp;U1255)</f>
        <v>a163p000004VjpoAAC</v>
      </c>
      <c r="B1255" s="794">
        <v>16</v>
      </c>
      <c r="C1255" s="795" t="str">
        <f ca="1">VLOOKUP(B1255,'Coverage Indicators - Section D'!$A$9:$AU$70,47,FALSE)</f>
        <v/>
      </c>
      <c r="D1255" s="796" t="str">
        <f ca="1">R1255</f>
        <v/>
      </c>
      <c r="E1255" s="796" t="str">
        <f ca="1">S1255</f>
        <v/>
      </c>
      <c r="F1255" s="127"/>
      <c r="G1255" s="797" t="str">
        <f ca="1">IF(OR(INDIRECT("'update Helper'!E"&amp;U1255)="",F1255&lt;&gt;0,F1256&lt;&gt;0),IF(IFERROR((F1255/F1256),"")="","",(F1255/F1256)),INDIRECT("'update Helper'!E"&amp;U1255)/100)</f>
        <v/>
      </c>
      <c r="H1255" s="784"/>
      <c r="I1255" s="798"/>
      <c r="J1255" s="777"/>
      <c r="K1255" s="795" t="str">
        <f ca="1">W1255</f>
        <v/>
      </c>
      <c r="L1255" s="795" t="str">
        <f ca="1">V1255</f>
        <v/>
      </c>
      <c r="M1255" s="777"/>
      <c r="N1255" s="777"/>
      <c r="P1255" s="89">
        <f ca="1">IF(AND(EXACT(C1255,C1253),C1253&lt;&gt;0),P1253+1,0)</f>
        <v>77</v>
      </c>
      <c r="Q1255" s="89" t="str">
        <f ca="1">IF(C1255&lt;&gt;"",C1255&amp;"-"&amp;P1255,"")</f>
        <v/>
      </c>
      <c r="R1255" s="89" t="str">
        <f t="array" aca="1" ref="R1255" ca="1">IFERROR(IF(INDEX('Disaggregation Records'!$E$155:$E$385,MATCH(RIGHT(Q1255,255),RIGHT('Disaggregation Records'!$D$155:$D$385,255),0))="","",INDEX('Disaggregation Records'!$E$155:$E$385,MATCH(RIGHT(Q1255,255),RIGHT('Disaggregation Records'!$D$155:$D$385,255),0))),"")</f>
        <v/>
      </c>
      <c r="S1255" s="89" t="str">
        <f t="array" aca="1" ref="S1255" ca="1">IFERROR(IF(INDEX('Disaggregation Records'!$F$155:$F$385,MATCH(RIGHT(Q1255,255),RIGHT('Disaggregation Records'!$D$155:$D$385,255),0))="","",INDEX('Disaggregation Records'!$F$155:$F$385,MATCH(RIGHT(Q1255,255),RIGHT('Disaggregation Records'!$D$155:$D$385,255),0))),"")</f>
        <v/>
      </c>
      <c r="T1255" s="89" t="str">
        <f t="array" aca="1" ref="T1255" ca="1">IFERROR(IF(INDEX('Disaggregation Records'!$H$155:$H$385,MATCH(RIGHT(Q1255,255),RIGHT('Disaggregation Records'!$D$155:$D$385,255),0))="","",INDEX('Disaggregation Records'!$H$155:$H$385,MATCH(RIGHT(Q1255,255),RIGHT('Disaggregation Records'!$D$155:$D$385,255),0))),"")</f>
        <v/>
      </c>
      <c r="U1255" s="89">
        <f>U1253+1</f>
        <v>1737</v>
      </c>
      <c r="V1255" s="89" t="str">
        <f t="array" aca="1" ref="V1255" ca="1">IFERROR(IF(INDEX('Disaggregation Records'!$I$155:$I$385,MATCH(RIGHT(Q1255,255),RIGHT('Disaggregation Records'!$D$155:$D$385,255),0))="","",INDEX('Disaggregation Records'!$I$155:$I$385,MATCH(RIGHT(Q1255,255),RIGHT('Disaggregation Records'!$D$155:$D$385,255),0))),"")</f>
        <v/>
      </c>
      <c r="W1255" s="89" t="str">
        <f ca="1">IFERROR(INDEX('Reference Records'!L$77:L$157,MATCH(LEFT(C1255,255),'Reference Records'!E$77:E$157,0)),"")</f>
        <v/>
      </c>
    </row>
    <row r="1256" spans="1:23" s="89" customFormat="1" ht="40.35" customHeight="1">
      <c r="A1256" s="564"/>
      <c r="B1256" s="799"/>
      <c r="C1256" s="800"/>
      <c r="D1256" s="801"/>
      <c r="E1256" s="801"/>
      <c r="F1256" s="128"/>
      <c r="G1256" s="802"/>
      <c r="H1256" s="781"/>
      <c r="I1256" s="803"/>
      <c r="J1256" s="779"/>
      <c r="K1256" s="800"/>
      <c r="L1256" s="800"/>
      <c r="M1256" s="779"/>
      <c r="N1256" s="779"/>
    </row>
    <row r="1257" spans="1:23" s="89" customFormat="1" ht="40.35" customHeight="1">
      <c r="A1257" s="564" t="str">
        <f ca="1">INDIRECT("'update Helper'!C"&amp;U1257)</f>
        <v>a163p000004VjppAAC</v>
      </c>
      <c r="B1257" s="794">
        <v>16</v>
      </c>
      <c r="C1257" s="795" t="str">
        <f ca="1">VLOOKUP(B1257,'Coverage Indicators - Section D'!$A$9:$AU$70,47,FALSE)</f>
        <v/>
      </c>
      <c r="D1257" s="796" t="str">
        <f ca="1">R1257</f>
        <v/>
      </c>
      <c r="E1257" s="796" t="str">
        <f ca="1">S1257</f>
        <v/>
      </c>
      <c r="F1257" s="127"/>
      <c r="G1257" s="797" t="str">
        <f ca="1">IF(OR(INDIRECT("'update Helper'!E"&amp;U1257)="",F1257&lt;&gt;0,F1258&lt;&gt;0),IF(IFERROR((F1257/F1258),"")="","",(F1257/F1258)),INDIRECT("'update Helper'!E"&amp;U1257)/100)</f>
        <v/>
      </c>
      <c r="H1257" s="784"/>
      <c r="I1257" s="798"/>
      <c r="J1257" s="777"/>
      <c r="K1257" s="795" t="str">
        <f ca="1">W1257</f>
        <v/>
      </c>
      <c r="L1257" s="795" t="str">
        <f ca="1">V1257</f>
        <v/>
      </c>
      <c r="M1257" s="777"/>
      <c r="N1257" s="777"/>
      <c r="P1257" s="89">
        <f ca="1">IF(AND(EXACT(C1257,C1255),C1255&lt;&gt;0),P1255+1,0)</f>
        <v>78</v>
      </c>
      <c r="Q1257" s="89" t="str">
        <f ca="1">IF(C1257&lt;&gt;"",C1257&amp;"-"&amp;P1257,"")</f>
        <v/>
      </c>
      <c r="R1257" s="89" t="str">
        <f t="array" aca="1" ref="R1257" ca="1">IFERROR(IF(INDEX('Disaggregation Records'!$E$155:$E$385,MATCH(RIGHT(Q1257,255),RIGHT('Disaggregation Records'!$D$155:$D$385,255),0))="","",INDEX('Disaggregation Records'!$E$155:$E$385,MATCH(RIGHT(Q1257,255),RIGHT('Disaggregation Records'!$D$155:$D$385,255),0))),"")</f>
        <v/>
      </c>
      <c r="S1257" s="89" t="str">
        <f t="array" aca="1" ref="S1257" ca="1">IFERROR(IF(INDEX('Disaggregation Records'!$F$155:$F$385,MATCH(RIGHT(Q1257,255),RIGHT('Disaggregation Records'!$D$155:$D$385,255),0))="","",INDEX('Disaggregation Records'!$F$155:$F$385,MATCH(RIGHT(Q1257,255),RIGHT('Disaggregation Records'!$D$155:$D$385,255),0))),"")</f>
        <v/>
      </c>
      <c r="T1257" s="89" t="str">
        <f t="array" aca="1" ref="T1257" ca="1">IFERROR(IF(INDEX('Disaggregation Records'!$H$155:$H$385,MATCH(RIGHT(Q1257,255),RIGHT('Disaggregation Records'!$D$155:$D$385,255),0))="","",INDEX('Disaggregation Records'!$H$155:$H$385,MATCH(RIGHT(Q1257,255),RIGHT('Disaggregation Records'!$D$155:$D$385,255),0))),"")</f>
        <v/>
      </c>
      <c r="U1257" s="89">
        <f>U1255+1</f>
        <v>1738</v>
      </c>
      <c r="V1257" s="89" t="str">
        <f t="array" aca="1" ref="V1257" ca="1">IFERROR(IF(INDEX('Disaggregation Records'!$I$155:$I$385,MATCH(RIGHT(Q1257,255),RIGHT('Disaggregation Records'!$D$155:$D$385,255),0))="","",INDEX('Disaggregation Records'!$I$155:$I$385,MATCH(RIGHT(Q1257,255),RIGHT('Disaggregation Records'!$D$155:$D$385,255),0))),"")</f>
        <v/>
      </c>
      <c r="W1257" s="89" t="str">
        <f ca="1">IFERROR(INDEX('Reference Records'!L$77:L$157,MATCH(LEFT(C1257,255),'Reference Records'!E$77:E$157,0)),"")</f>
        <v/>
      </c>
    </row>
    <row r="1258" spans="1:23" s="89" customFormat="1" ht="40.35" customHeight="1">
      <c r="A1258" s="564"/>
      <c r="B1258" s="799"/>
      <c r="C1258" s="800"/>
      <c r="D1258" s="801"/>
      <c r="E1258" s="801"/>
      <c r="F1258" s="128"/>
      <c r="G1258" s="802"/>
      <c r="H1258" s="781"/>
      <c r="I1258" s="803"/>
      <c r="J1258" s="779"/>
      <c r="K1258" s="800"/>
      <c r="L1258" s="800"/>
      <c r="M1258" s="779"/>
      <c r="N1258" s="779"/>
    </row>
    <row r="1259" spans="1:23" s="89" customFormat="1" ht="40.35" customHeight="1">
      <c r="A1259" s="564" t="str">
        <f ca="1">INDIRECT("'update Helper'!C"&amp;U1259)</f>
        <v>a163p000004VjpqAAC</v>
      </c>
      <c r="B1259" s="794">
        <v>16</v>
      </c>
      <c r="C1259" s="795" t="str">
        <f ca="1">VLOOKUP(B1259,'Coverage Indicators - Section D'!$A$9:$AU$70,47,FALSE)</f>
        <v/>
      </c>
      <c r="D1259" s="796" t="str">
        <f ca="1">R1259</f>
        <v/>
      </c>
      <c r="E1259" s="796" t="str">
        <f ca="1">S1259</f>
        <v/>
      </c>
      <c r="F1259" s="127"/>
      <c r="G1259" s="797" t="str">
        <f ca="1">IF(OR(INDIRECT("'update Helper'!E"&amp;U1259)="",F1259&lt;&gt;0,F1260&lt;&gt;0),IF(IFERROR((F1259/F1260),"")="","",(F1259/F1260)),INDIRECT("'update Helper'!E"&amp;U1259)/100)</f>
        <v/>
      </c>
      <c r="H1259" s="784"/>
      <c r="I1259" s="798"/>
      <c r="J1259" s="777"/>
      <c r="K1259" s="795" t="str">
        <f ca="1">W1259</f>
        <v/>
      </c>
      <c r="L1259" s="795" t="str">
        <f ca="1">V1259</f>
        <v/>
      </c>
      <c r="M1259" s="777"/>
      <c r="N1259" s="777"/>
      <c r="P1259" s="89">
        <f ca="1">IF(AND(EXACT(C1259,C1257),C1257&lt;&gt;0),P1257+1,0)</f>
        <v>79</v>
      </c>
      <c r="Q1259" s="89" t="str">
        <f ca="1">IF(C1259&lt;&gt;"",C1259&amp;"-"&amp;P1259,"")</f>
        <v/>
      </c>
      <c r="R1259" s="89" t="str">
        <f t="array" aca="1" ref="R1259" ca="1">IFERROR(IF(INDEX('Disaggregation Records'!$E$155:$E$385,MATCH(RIGHT(Q1259,255),RIGHT('Disaggregation Records'!$D$155:$D$385,255),0))="","",INDEX('Disaggregation Records'!$E$155:$E$385,MATCH(RIGHT(Q1259,255),RIGHT('Disaggregation Records'!$D$155:$D$385,255),0))),"")</f>
        <v/>
      </c>
      <c r="S1259" s="89" t="str">
        <f t="array" aca="1" ref="S1259" ca="1">IFERROR(IF(INDEX('Disaggregation Records'!$F$155:$F$385,MATCH(RIGHT(Q1259,255),RIGHT('Disaggregation Records'!$D$155:$D$385,255),0))="","",INDEX('Disaggregation Records'!$F$155:$F$385,MATCH(RIGHT(Q1259,255),RIGHT('Disaggregation Records'!$D$155:$D$385,255),0))),"")</f>
        <v/>
      </c>
      <c r="T1259" s="89" t="str">
        <f t="array" aca="1" ref="T1259" ca="1">IFERROR(IF(INDEX('Disaggregation Records'!$H$155:$H$385,MATCH(RIGHT(Q1259,255),RIGHT('Disaggregation Records'!$D$155:$D$385,255),0))="","",INDEX('Disaggregation Records'!$H$155:$H$385,MATCH(RIGHT(Q1259,255),RIGHT('Disaggregation Records'!$D$155:$D$385,255),0))),"")</f>
        <v/>
      </c>
      <c r="U1259" s="89">
        <f>U1257+1</f>
        <v>1739</v>
      </c>
      <c r="V1259" s="89" t="str">
        <f t="array" aca="1" ref="V1259" ca="1">IFERROR(IF(INDEX('Disaggregation Records'!$I$155:$I$385,MATCH(RIGHT(Q1259,255),RIGHT('Disaggregation Records'!$D$155:$D$385,255),0))="","",INDEX('Disaggregation Records'!$I$155:$I$385,MATCH(RIGHT(Q1259,255),RIGHT('Disaggregation Records'!$D$155:$D$385,255),0))),"")</f>
        <v/>
      </c>
      <c r="W1259" s="89" t="str">
        <f ca="1">IFERROR(INDEX('Reference Records'!L$77:L$157,MATCH(LEFT(C1259,255),'Reference Records'!E$77:E$157,0)),"")</f>
        <v/>
      </c>
    </row>
    <row r="1260" spans="1:23" s="89" customFormat="1" ht="40.35" customHeight="1">
      <c r="A1260" s="564"/>
      <c r="B1260" s="799"/>
      <c r="C1260" s="800"/>
      <c r="D1260" s="801"/>
      <c r="E1260" s="801"/>
      <c r="F1260" s="128"/>
      <c r="G1260" s="802"/>
      <c r="H1260" s="781"/>
      <c r="I1260" s="803"/>
      <c r="J1260" s="779"/>
      <c r="K1260" s="800"/>
      <c r="L1260" s="800"/>
      <c r="M1260" s="779"/>
      <c r="N1260" s="779"/>
    </row>
    <row r="1261" spans="1:23" s="89" customFormat="1" ht="40.35" customHeight="1">
      <c r="A1261" s="564" t="str">
        <f ca="1">INDIRECT("'update Helper'!C"&amp;U1261)</f>
        <v>a163p000004VjprAAC</v>
      </c>
      <c r="B1261" s="794">
        <v>17</v>
      </c>
      <c r="C1261" s="795" t="str">
        <f ca="1">VLOOKUP(B1261,'Coverage Indicators - Section D'!$A$9:$AU$70,47,FALSE)</f>
        <v/>
      </c>
      <c r="D1261" s="796" t="str">
        <f ca="1">R1261</f>
        <v/>
      </c>
      <c r="E1261" s="796" t="str">
        <f ca="1">S1261</f>
        <v/>
      </c>
      <c r="F1261" s="127"/>
      <c r="G1261" s="797" t="str">
        <f ca="1">IF(OR(INDIRECT("'update Helper'!E"&amp;U1261)="",F1261&lt;&gt;0,F1262&lt;&gt;0),IF(IFERROR((F1261/F1262),"")="","",(F1261/F1262)),INDIRECT("'update Helper'!E"&amp;U1261)/100)</f>
        <v/>
      </c>
      <c r="H1261" s="784"/>
      <c r="I1261" s="798"/>
      <c r="J1261" s="777"/>
      <c r="K1261" s="795" t="str">
        <f ca="1">W1261</f>
        <v/>
      </c>
      <c r="L1261" s="795" t="str">
        <f ca="1">V1261</f>
        <v/>
      </c>
      <c r="M1261" s="777"/>
      <c r="N1261" s="777"/>
      <c r="P1261" s="89">
        <f ca="1">IF(AND(EXACT(C1261,C1259),C1259&lt;&gt;0),P1259+1,0)</f>
        <v>80</v>
      </c>
      <c r="Q1261" s="89" t="str">
        <f ca="1">IF(C1261&lt;&gt;"",C1261&amp;"-"&amp;P1261,"")</f>
        <v/>
      </c>
      <c r="R1261" s="89" t="str">
        <f t="array" aca="1" ref="R1261" ca="1">IFERROR(IF(INDEX('Disaggregation Records'!$E$155:$E$385,MATCH(RIGHT(Q1261,255),RIGHT('Disaggregation Records'!$D$155:$D$385,255),0))="","",INDEX('Disaggregation Records'!$E$155:$E$385,MATCH(RIGHT(Q1261,255),RIGHT('Disaggregation Records'!$D$155:$D$385,255),0))),"")</f>
        <v/>
      </c>
      <c r="S1261" s="89" t="str">
        <f t="array" aca="1" ref="S1261" ca="1">IFERROR(IF(INDEX('Disaggregation Records'!$F$155:$F$385,MATCH(RIGHT(Q1261,255),RIGHT('Disaggregation Records'!$D$155:$D$385,255),0))="","",INDEX('Disaggregation Records'!$F$155:$F$385,MATCH(RIGHT(Q1261,255),RIGHT('Disaggregation Records'!$D$155:$D$385,255),0))),"")</f>
        <v/>
      </c>
      <c r="T1261" s="89" t="str">
        <f t="array" aca="1" ref="T1261" ca="1">IFERROR(IF(INDEX('Disaggregation Records'!$H$155:$H$385,MATCH(RIGHT(Q1261,255),RIGHT('Disaggregation Records'!$D$155:$D$385,255),0))="","",INDEX('Disaggregation Records'!$H$155:$H$385,MATCH(RIGHT(Q1261,255),RIGHT('Disaggregation Records'!$D$155:$D$385,255),0))),"")</f>
        <v/>
      </c>
      <c r="U1261" s="89">
        <f>U1259+1</f>
        <v>1740</v>
      </c>
      <c r="V1261" s="89" t="str">
        <f t="array" aca="1" ref="V1261" ca="1">IFERROR(IF(INDEX('Disaggregation Records'!$I$155:$I$385,MATCH(RIGHT(Q1261,255),RIGHT('Disaggregation Records'!$D$155:$D$385,255),0))="","",INDEX('Disaggregation Records'!$I$155:$I$385,MATCH(RIGHT(Q1261,255),RIGHT('Disaggregation Records'!$D$155:$D$385,255),0))),"")</f>
        <v/>
      </c>
      <c r="W1261" s="89" t="str">
        <f ca="1">IFERROR(INDEX('Reference Records'!L$77:L$157,MATCH(LEFT(C1261,255),'Reference Records'!E$77:E$157,0)),"")</f>
        <v/>
      </c>
    </row>
    <row r="1262" spans="1:23" s="89" customFormat="1" ht="40.35" customHeight="1">
      <c r="A1262" s="564"/>
      <c r="B1262" s="799"/>
      <c r="C1262" s="800"/>
      <c r="D1262" s="801"/>
      <c r="E1262" s="801"/>
      <c r="F1262" s="128"/>
      <c r="G1262" s="802"/>
      <c r="H1262" s="781"/>
      <c r="I1262" s="803"/>
      <c r="J1262" s="779"/>
      <c r="K1262" s="800"/>
      <c r="L1262" s="800"/>
      <c r="M1262" s="779"/>
      <c r="N1262" s="779"/>
    </row>
    <row r="1263" spans="1:23" s="89" customFormat="1" ht="40.35" customHeight="1">
      <c r="A1263" s="564" t="str">
        <f ca="1">INDIRECT("'update Helper'!C"&amp;U1263)</f>
        <v>a163p000004VjpsAAC</v>
      </c>
      <c r="B1263" s="794">
        <v>17</v>
      </c>
      <c r="C1263" s="795" t="str">
        <f ca="1">VLOOKUP(B1263,'Coverage Indicators - Section D'!$A$9:$AU$70,47,FALSE)</f>
        <v/>
      </c>
      <c r="D1263" s="796" t="str">
        <f ca="1">R1263</f>
        <v/>
      </c>
      <c r="E1263" s="796" t="str">
        <f ca="1">S1263</f>
        <v/>
      </c>
      <c r="F1263" s="127"/>
      <c r="G1263" s="797" t="str">
        <f ca="1">IF(OR(INDIRECT("'update Helper'!E"&amp;U1263)="",F1263&lt;&gt;0,F1264&lt;&gt;0),IF(IFERROR((F1263/F1264),"")="","",(F1263/F1264)),INDIRECT("'update Helper'!E"&amp;U1263)/100)</f>
        <v/>
      </c>
      <c r="H1263" s="784"/>
      <c r="I1263" s="798"/>
      <c r="J1263" s="777"/>
      <c r="K1263" s="795" t="str">
        <f ca="1">W1263</f>
        <v/>
      </c>
      <c r="L1263" s="795" t="str">
        <f ca="1">V1263</f>
        <v/>
      </c>
      <c r="M1263" s="777"/>
      <c r="N1263" s="777"/>
      <c r="P1263" s="89">
        <f ca="1">IF(AND(EXACT(C1263,C1261),C1261&lt;&gt;0),P1261+1,0)</f>
        <v>81</v>
      </c>
      <c r="Q1263" s="89" t="str">
        <f ca="1">IF(C1263&lt;&gt;"",C1263&amp;"-"&amp;P1263,"")</f>
        <v/>
      </c>
      <c r="R1263" s="89" t="str">
        <f t="array" aca="1" ref="R1263" ca="1">IFERROR(IF(INDEX('Disaggregation Records'!$E$155:$E$385,MATCH(RIGHT(Q1263,255),RIGHT('Disaggregation Records'!$D$155:$D$385,255),0))="","",INDEX('Disaggregation Records'!$E$155:$E$385,MATCH(RIGHT(Q1263,255),RIGHT('Disaggregation Records'!$D$155:$D$385,255),0))),"")</f>
        <v/>
      </c>
      <c r="S1263" s="89" t="str">
        <f t="array" aca="1" ref="S1263" ca="1">IFERROR(IF(INDEX('Disaggregation Records'!$F$155:$F$385,MATCH(RIGHT(Q1263,255),RIGHT('Disaggregation Records'!$D$155:$D$385,255),0))="","",INDEX('Disaggregation Records'!$F$155:$F$385,MATCH(RIGHT(Q1263,255),RIGHT('Disaggregation Records'!$D$155:$D$385,255),0))),"")</f>
        <v/>
      </c>
      <c r="T1263" s="89" t="str">
        <f t="array" aca="1" ref="T1263" ca="1">IFERROR(IF(INDEX('Disaggregation Records'!$H$155:$H$385,MATCH(RIGHT(Q1263,255),RIGHT('Disaggregation Records'!$D$155:$D$385,255),0))="","",INDEX('Disaggregation Records'!$H$155:$H$385,MATCH(RIGHT(Q1263,255),RIGHT('Disaggregation Records'!$D$155:$D$385,255),0))),"")</f>
        <v/>
      </c>
      <c r="U1263" s="89">
        <f>U1261+1</f>
        <v>1741</v>
      </c>
      <c r="V1263" s="89" t="str">
        <f t="array" aca="1" ref="V1263" ca="1">IFERROR(IF(INDEX('Disaggregation Records'!$I$155:$I$385,MATCH(RIGHT(Q1263,255),RIGHT('Disaggregation Records'!$D$155:$D$385,255),0))="","",INDEX('Disaggregation Records'!$I$155:$I$385,MATCH(RIGHT(Q1263,255),RIGHT('Disaggregation Records'!$D$155:$D$385,255),0))),"")</f>
        <v/>
      </c>
      <c r="W1263" s="89" t="str">
        <f ca="1">IFERROR(INDEX('Reference Records'!L$77:L$157,MATCH(LEFT(C1263,255),'Reference Records'!E$77:E$157,0)),"")</f>
        <v/>
      </c>
    </row>
    <row r="1264" spans="1:23" s="89" customFormat="1" ht="40.35" customHeight="1">
      <c r="A1264" s="564"/>
      <c r="B1264" s="799"/>
      <c r="C1264" s="800"/>
      <c r="D1264" s="801"/>
      <c r="E1264" s="801"/>
      <c r="F1264" s="128"/>
      <c r="G1264" s="802"/>
      <c r="H1264" s="781"/>
      <c r="I1264" s="803"/>
      <c r="J1264" s="779"/>
      <c r="K1264" s="800"/>
      <c r="L1264" s="800"/>
      <c r="M1264" s="779"/>
      <c r="N1264" s="779"/>
    </row>
    <row r="1265" spans="1:23" s="89" customFormat="1" ht="40.35" customHeight="1">
      <c r="A1265" s="564" t="str">
        <f ca="1">INDIRECT("'update Helper'!C"&amp;U1265)</f>
        <v>a163p000004VjptAAC</v>
      </c>
      <c r="B1265" s="794">
        <v>17</v>
      </c>
      <c r="C1265" s="795" t="str">
        <f ca="1">VLOOKUP(B1265,'Coverage Indicators - Section D'!$A$9:$AU$70,47,FALSE)</f>
        <v/>
      </c>
      <c r="D1265" s="796" t="str">
        <f ca="1">R1265</f>
        <v/>
      </c>
      <c r="E1265" s="796" t="str">
        <f ca="1">S1265</f>
        <v/>
      </c>
      <c r="F1265" s="127"/>
      <c r="G1265" s="797" t="str">
        <f ca="1">IF(OR(INDIRECT("'update Helper'!E"&amp;U1265)="",F1265&lt;&gt;0,F1266&lt;&gt;0),IF(IFERROR((F1265/F1266),"")="","",(F1265/F1266)),INDIRECT("'update Helper'!E"&amp;U1265)/100)</f>
        <v/>
      </c>
      <c r="H1265" s="784"/>
      <c r="I1265" s="798"/>
      <c r="J1265" s="777"/>
      <c r="K1265" s="795" t="str">
        <f ca="1">W1265</f>
        <v/>
      </c>
      <c r="L1265" s="795" t="str">
        <f ca="1">V1265</f>
        <v/>
      </c>
      <c r="M1265" s="777"/>
      <c r="N1265" s="777"/>
      <c r="P1265" s="89">
        <f ca="1">IF(AND(EXACT(C1265,C1263),C1263&lt;&gt;0),P1263+1,0)</f>
        <v>82</v>
      </c>
      <c r="Q1265" s="89" t="str">
        <f ca="1">IF(C1265&lt;&gt;"",C1265&amp;"-"&amp;P1265,"")</f>
        <v/>
      </c>
      <c r="R1265" s="89" t="str">
        <f t="array" aca="1" ref="R1265" ca="1">IFERROR(IF(INDEX('Disaggregation Records'!$E$155:$E$385,MATCH(RIGHT(Q1265,255),RIGHT('Disaggregation Records'!$D$155:$D$385,255),0))="","",INDEX('Disaggregation Records'!$E$155:$E$385,MATCH(RIGHT(Q1265,255),RIGHT('Disaggregation Records'!$D$155:$D$385,255),0))),"")</f>
        <v/>
      </c>
      <c r="S1265" s="89" t="str">
        <f t="array" aca="1" ref="S1265" ca="1">IFERROR(IF(INDEX('Disaggregation Records'!$F$155:$F$385,MATCH(RIGHT(Q1265,255),RIGHT('Disaggregation Records'!$D$155:$D$385,255),0))="","",INDEX('Disaggregation Records'!$F$155:$F$385,MATCH(RIGHT(Q1265,255),RIGHT('Disaggregation Records'!$D$155:$D$385,255),0))),"")</f>
        <v/>
      </c>
      <c r="T1265" s="89" t="str">
        <f t="array" aca="1" ref="T1265" ca="1">IFERROR(IF(INDEX('Disaggregation Records'!$H$155:$H$385,MATCH(RIGHT(Q1265,255),RIGHT('Disaggregation Records'!$D$155:$D$385,255),0))="","",INDEX('Disaggregation Records'!$H$155:$H$385,MATCH(RIGHT(Q1265,255),RIGHT('Disaggregation Records'!$D$155:$D$385,255),0))),"")</f>
        <v/>
      </c>
      <c r="U1265" s="89">
        <f>U1263+1</f>
        <v>1742</v>
      </c>
      <c r="V1265" s="89" t="str">
        <f t="array" aca="1" ref="V1265" ca="1">IFERROR(IF(INDEX('Disaggregation Records'!$I$155:$I$385,MATCH(RIGHT(Q1265,255),RIGHT('Disaggregation Records'!$D$155:$D$385,255),0))="","",INDEX('Disaggregation Records'!$I$155:$I$385,MATCH(RIGHT(Q1265,255),RIGHT('Disaggregation Records'!$D$155:$D$385,255),0))),"")</f>
        <v/>
      </c>
      <c r="W1265" s="89" t="str">
        <f ca="1">IFERROR(INDEX('Reference Records'!L$77:L$157,MATCH(LEFT(C1265,255),'Reference Records'!E$77:E$157,0)),"")</f>
        <v/>
      </c>
    </row>
    <row r="1266" spans="1:23" s="89" customFormat="1" ht="40.35" customHeight="1">
      <c r="A1266" s="564"/>
      <c r="B1266" s="799"/>
      <c r="C1266" s="800"/>
      <c r="D1266" s="801"/>
      <c r="E1266" s="801"/>
      <c r="F1266" s="128"/>
      <c r="G1266" s="802"/>
      <c r="H1266" s="781"/>
      <c r="I1266" s="803"/>
      <c r="J1266" s="779"/>
      <c r="K1266" s="800"/>
      <c r="L1266" s="800"/>
      <c r="M1266" s="779"/>
      <c r="N1266" s="779"/>
    </row>
    <row r="1267" spans="1:23" s="89" customFormat="1" ht="40.35" customHeight="1">
      <c r="A1267" s="564" t="str">
        <f ca="1">INDIRECT("'update Helper'!C"&amp;U1267)</f>
        <v>a163p000004VjpuAAC</v>
      </c>
      <c r="B1267" s="794">
        <v>17</v>
      </c>
      <c r="C1267" s="795" t="str">
        <f ca="1">VLOOKUP(B1267,'Coverage Indicators - Section D'!$A$9:$AU$70,47,FALSE)</f>
        <v/>
      </c>
      <c r="D1267" s="796" t="str">
        <f ca="1">R1267</f>
        <v/>
      </c>
      <c r="E1267" s="796" t="str">
        <f ca="1">S1267</f>
        <v/>
      </c>
      <c r="F1267" s="127"/>
      <c r="G1267" s="797" t="str">
        <f ca="1">IF(OR(INDIRECT("'update Helper'!E"&amp;U1267)="",F1267&lt;&gt;0,F1268&lt;&gt;0),IF(IFERROR((F1267/F1268),"")="","",(F1267/F1268)),INDIRECT("'update Helper'!E"&amp;U1267)/100)</f>
        <v/>
      </c>
      <c r="H1267" s="784"/>
      <c r="I1267" s="798"/>
      <c r="J1267" s="777"/>
      <c r="K1267" s="795" t="str">
        <f ca="1">W1267</f>
        <v/>
      </c>
      <c r="L1267" s="795" t="str">
        <f ca="1">V1267</f>
        <v/>
      </c>
      <c r="M1267" s="777"/>
      <c r="N1267" s="777"/>
      <c r="P1267" s="89">
        <f ca="1">IF(AND(EXACT(C1267,C1265),C1265&lt;&gt;0),P1265+1,0)</f>
        <v>83</v>
      </c>
      <c r="Q1267" s="89" t="str">
        <f ca="1">IF(C1267&lt;&gt;"",C1267&amp;"-"&amp;P1267,"")</f>
        <v/>
      </c>
      <c r="R1267" s="89" t="str">
        <f t="array" aca="1" ref="R1267" ca="1">IFERROR(IF(INDEX('Disaggregation Records'!$E$155:$E$385,MATCH(RIGHT(Q1267,255),RIGHT('Disaggregation Records'!$D$155:$D$385,255),0))="","",INDEX('Disaggregation Records'!$E$155:$E$385,MATCH(RIGHT(Q1267,255),RIGHT('Disaggregation Records'!$D$155:$D$385,255),0))),"")</f>
        <v/>
      </c>
      <c r="S1267" s="89" t="str">
        <f t="array" aca="1" ref="S1267" ca="1">IFERROR(IF(INDEX('Disaggregation Records'!$F$155:$F$385,MATCH(RIGHT(Q1267,255),RIGHT('Disaggregation Records'!$D$155:$D$385,255),0))="","",INDEX('Disaggregation Records'!$F$155:$F$385,MATCH(RIGHT(Q1267,255),RIGHT('Disaggregation Records'!$D$155:$D$385,255),0))),"")</f>
        <v/>
      </c>
      <c r="T1267" s="89" t="str">
        <f t="array" aca="1" ref="T1267" ca="1">IFERROR(IF(INDEX('Disaggregation Records'!$H$155:$H$385,MATCH(RIGHT(Q1267,255),RIGHT('Disaggregation Records'!$D$155:$D$385,255),0))="","",INDEX('Disaggregation Records'!$H$155:$H$385,MATCH(RIGHT(Q1267,255),RIGHT('Disaggregation Records'!$D$155:$D$385,255),0))),"")</f>
        <v/>
      </c>
      <c r="U1267" s="89">
        <f>U1265+1</f>
        <v>1743</v>
      </c>
      <c r="V1267" s="89" t="str">
        <f t="array" aca="1" ref="V1267" ca="1">IFERROR(IF(INDEX('Disaggregation Records'!$I$155:$I$385,MATCH(RIGHT(Q1267,255),RIGHT('Disaggregation Records'!$D$155:$D$385,255),0))="","",INDEX('Disaggregation Records'!$I$155:$I$385,MATCH(RIGHT(Q1267,255),RIGHT('Disaggregation Records'!$D$155:$D$385,255),0))),"")</f>
        <v/>
      </c>
      <c r="W1267" s="89" t="str">
        <f ca="1">IFERROR(INDEX('Reference Records'!L$77:L$157,MATCH(LEFT(C1267,255),'Reference Records'!E$77:E$157,0)),"")</f>
        <v/>
      </c>
    </row>
    <row r="1268" spans="1:23" s="89" customFormat="1" ht="40.35" customHeight="1">
      <c r="A1268" s="564"/>
      <c r="B1268" s="799"/>
      <c r="C1268" s="800"/>
      <c r="D1268" s="801"/>
      <c r="E1268" s="801"/>
      <c r="F1268" s="128"/>
      <c r="G1268" s="802"/>
      <c r="H1268" s="781"/>
      <c r="I1268" s="803"/>
      <c r="J1268" s="779"/>
      <c r="K1268" s="800"/>
      <c r="L1268" s="800"/>
      <c r="M1268" s="779"/>
      <c r="N1268" s="779"/>
    </row>
    <row r="1269" spans="1:23" s="89" customFormat="1" ht="40.35" customHeight="1">
      <c r="A1269" s="564" t="str">
        <f ca="1">INDIRECT("'update Helper'!C"&amp;U1269)</f>
        <v>a163p000004VjpvAAC</v>
      </c>
      <c r="B1269" s="794">
        <v>17</v>
      </c>
      <c r="C1269" s="795" t="str">
        <f ca="1">VLOOKUP(B1269,'Coverage Indicators - Section D'!$A$9:$AU$70,47,FALSE)</f>
        <v/>
      </c>
      <c r="D1269" s="796" t="str">
        <f ca="1">R1269</f>
        <v/>
      </c>
      <c r="E1269" s="796" t="str">
        <f ca="1">S1269</f>
        <v/>
      </c>
      <c r="F1269" s="127"/>
      <c r="G1269" s="797" t="str">
        <f ca="1">IF(OR(INDIRECT("'update Helper'!E"&amp;U1269)="",F1269&lt;&gt;0,F1270&lt;&gt;0),IF(IFERROR((F1269/F1270),"")="","",(F1269/F1270)),INDIRECT("'update Helper'!E"&amp;U1269)/100)</f>
        <v/>
      </c>
      <c r="H1269" s="784"/>
      <c r="I1269" s="798"/>
      <c r="J1269" s="777"/>
      <c r="K1269" s="795" t="str">
        <f ca="1">W1269</f>
        <v/>
      </c>
      <c r="L1269" s="795" t="str">
        <f ca="1">V1269</f>
        <v/>
      </c>
      <c r="M1269" s="777"/>
      <c r="N1269" s="777"/>
      <c r="P1269" s="89">
        <f ca="1">IF(AND(EXACT(C1269,C1267),C1267&lt;&gt;0),P1267+1,0)</f>
        <v>84</v>
      </c>
      <c r="Q1269" s="89" t="str">
        <f ca="1">IF(C1269&lt;&gt;"",C1269&amp;"-"&amp;P1269,"")</f>
        <v/>
      </c>
      <c r="R1269" s="89" t="str">
        <f t="array" aca="1" ref="R1269" ca="1">IFERROR(IF(INDEX('Disaggregation Records'!$E$155:$E$385,MATCH(RIGHT(Q1269,255),RIGHT('Disaggregation Records'!$D$155:$D$385,255),0))="","",INDEX('Disaggregation Records'!$E$155:$E$385,MATCH(RIGHT(Q1269,255),RIGHT('Disaggregation Records'!$D$155:$D$385,255),0))),"")</f>
        <v/>
      </c>
      <c r="S1269" s="89" t="str">
        <f t="array" aca="1" ref="S1269" ca="1">IFERROR(IF(INDEX('Disaggregation Records'!$F$155:$F$385,MATCH(RIGHT(Q1269,255),RIGHT('Disaggregation Records'!$D$155:$D$385,255),0))="","",INDEX('Disaggregation Records'!$F$155:$F$385,MATCH(RIGHT(Q1269,255),RIGHT('Disaggregation Records'!$D$155:$D$385,255),0))),"")</f>
        <v/>
      </c>
      <c r="T1269" s="89" t="str">
        <f t="array" aca="1" ref="T1269" ca="1">IFERROR(IF(INDEX('Disaggregation Records'!$H$155:$H$385,MATCH(RIGHT(Q1269,255),RIGHT('Disaggregation Records'!$D$155:$D$385,255),0))="","",INDEX('Disaggregation Records'!$H$155:$H$385,MATCH(RIGHT(Q1269,255),RIGHT('Disaggregation Records'!$D$155:$D$385,255),0))),"")</f>
        <v/>
      </c>
      <c r="U1269" s="89">
        <f>U1267+1</f>
        <v>1744</v>
      </c>
      <c r="V1269" s="89" t="str">
        <f t="array" aca="1" ref="V1269" ca="1">IFERROR(IF(INDEX('Disaggregation Records'!$I$155:$I$385,MATCH(RIGHT(Q1269,255),RIGHT('Disaggregation Records'!$D$155:$D$385,255),0))="","",INDEX('Disaggregation Records'!$I$155:$I$385,MATCH(RIGHT(Q1269,255),RIGHT('Disaggregation Records'!$D$155:$D$385,255),0))),"")</f>
        <v/>
      </c>
      <c r="W1269" s="89" t="str">
        <f ca="1">IFERROR(INDEX('Reference Records'!L$77:L$157,MATCH(LEFT(C1269,255),'Reference Records'!E$77:E$157,0)),"")</f>
        <v/>
      </c>
    </row>
    <row r="1270" spans="1:23" s="89" customFormat="1" ht="40.35" customHeight="1">
      <c r="A1270" s="564"/>
      <c r="B1270" s="799"/>
      <c r="C1270" s="800"/>
      <c r="D1270" s="801"/>
      <c r="E1270" s="801"/>
      <c r="F1270" s="128"/>
      <c r="G1270" s="802"/>
      <c r="H1270" s="781"/>
      <c r="I1270" s="803"/>
      <c r="J1270" s="779"/>
      <c r="K1270" s="800"/>
      <c r="L1270" s="800"/>
      <c r="M1270" s="779"/>
      <c r="N1270" s="779"/>
    </row>
    <row r="1271" spans="1:23" s="89" customFormat="1" ht="40.35" customHeight="1">
      <c r="A1271" s="564" t="str">
        <f ca="1">INDIRECT("'update Helper'!C"&amp;U1271)</f>
        <v>a163p000004VjpwAAC</v>
      </c>
      <c r="B1271" s="794">
        <v>17</v>
      </c>
      <c r="C1271" s="795" t="str">
        <f ca="1">VLOOKUP(B1271,'Coverage Indicators - Section D'!$A$9:$AU$70,47,FALSE)</f>
        <v/>
      </c>
      <c r="D1271" s="796" t="str">
        <f ca="1">R1271</f>
        <v/>
      </c>
      <c r="E1271" s="796" t="str">
        <f ca="1">S1271</f>
        <v/>
      </c>
      <c r="F1271" s="127"/>
      <c r="G1271" s="797" t="str">
        <f ca="1">IF(OR(INDIRECT("'update Helper'!E"&amp;U1271)="",F1271&lt;&gt;0,F1272&lt;&gt;0),IF(IFERROR((F1271/F1272),"")="","",(F1271/F1272)),INDIRECT("'update Helper'!E"&amp;U1271)/100)</f>
        <v/>
      </c>
      <c r="H1271" s="784"/>
      <c r="I1271" s="798"/>
      <c r="J1271" s="777"/>
      <c r="K1271" s="795" t="str">
        <f ca="1">W1271</f>
        <v/>
      </c>
      <c r="L1271" s="795" t="str">
        <f ca="1">V1271</f>
        <v/>
      </c>
      <c r="M1271" s="777"/>
      <c r="N1271" s="777"/>
      <c r="P1271" s="89">
        <f ca="1">IF(AND(EXACT(C1271,C1269),C1269&lt;&gt;0),P1269+1,0)</f>
        <v>85</v>
      </c>
      <c r="Q1271" s="89" t="str">
        <f ca="1">IF(C1271&lt;&gt;"",C1271&amp;"-"&amp;P1271,"")</f>
        <v/>
      </c>
      <c r="R1271" s="89" t="str">
        <f t="array" aca="1" ref="R1271" ca="1">IFERROR(IF(INDEX('Disaggregation Records'!$E$155:$E$385,MATCH(RIGHT(Q1271,255),RIGHT('Disaggregation Records'!$D$155:$D$385,255),0))="","",INDEX('Disaggregation Records'!$E$155:$E$385,MATCH(RIGHT(Q1271,255),RIGHT('Disaggregation Records'!$D$155:$D$385,255),0))),"")</f>
        <v/>
      </c>
      <c r="S1271" s="89" t="str">
        <f t="array" aca="1" ref="S1271" ca="1">IFERROR(IF(INDEX('Disaggregation Records'!$F$155:$F$385,MATCH(RIGHT(Q1271,255),RIGHT('Disaggregation Records'!$D$155:$D$385,255),0))="","",INDEX('Disaggregation Records'!$F$155:$F$385,MATCH(RIGHT(Q1271,255),RIGHT('Disaggregation Records'!$D$155:$D$385,255),0))),"")</f>
        <v/>
      </c>
      <c r="T1271" s="89" t="str">
        <f t="array" aca="1" ref="T1271" ca="1">IFERROR(IF(INDEX('Disaggregation Records'!$H$155:$H$385,MATCH(RIGHT(Q1271,255),RIGHT('Disaggregation Records'!$D$155:$D$385,255),0))="","",INDEX('Disaggregation Records'!$H$155:$H$385,MATCH(RIGHT(Q1271,255),RIGHT('Disaggregation Records'!$D$155:$D$385,255),0))),"")</f>
        <v/>
      </c>
      <c r="U1271" s="89">
        <f>U1269+1</f>
        <v>1745</v>
      </c>
      <c r="V1271" s="89" t="str">
        <f t="array" aca="1" ref="V1271" ca="1">IFERROR(IF(INDEX('Disaggregation Records'!$I$155:$I$385,MATCH(RIGHT(Q1271,255),RIGHT('Disaggregation Records'!$D$155:$D$385,255),0))="","",INDEX('Disaggregation Records'!$I$155:$I$385,MATCH(RIGHT(Q1271,255),RIGHT('Disaggregation Records'!$D$155:$D$385,255),0))),"")</f>
        <v/>
      </c>
      <c r="W1271" s="89" t="str">
        <f ca="1">IFERROR(INDEX('Reference Records'!L$77:L$157,MATCH(LEFT(C1271,255),'Reference Records'!E$77:E$157,0)),"")</f>
        <v/>
      </c>
    </row>
    <row r="1272" spans="1:23" s="89" customFormat="1" ht="40.35" customHeight="1">
      <c r="A1272" s="564"/>
      <c r="B1272" s="799"/>
      <c r="C1272" s="800"/>
      <c r="D1272" s="801"/>
      <c r="E1272" s="801"/>
      <c r="F1272" s="128"/>
      <c r="G1272" s="802"/>
      <c r="H1272" s="781"/>
      <c r="I1272" s="803"/>
      <c r="J1272" s="779"/>
      <c r="K1272" s="800"/>
      <c r="L1272" s="800"/>
      <c r="M1272" s="779"/>
      <c r="N1272" s="779"/>
    </row>
    <row r="1273" spans="1:23" s="89" customFormat="1" ht="40.35" customHeight="1">
      <c r="A1273" s="564" t="str">
        <f ca="1">INDIRECT("'update Helper'!C"&amp;U1273)</f>
        <v>a163p000004VjpxAAC</v>
      </c>
      <c r="B1273" s="794">
        <v>17</v>
      </c>
      <c r="C1273" s="795" t="str">
        <f ca="1">VLOOKUP(B1273,'Coverage Indicators - Section D'!$A$9:$AU$70,47,FALSE)</f>
        <v/>
      </c>
      <c r="D1273" s="796" t="str">
        <f ca="1">R1273</f>
        <v/>
      </c>
      <c r="E1273" s="796" t="str">
        <f ca="1">S1273</f>
        <v/>
      </c>
      <c r="F1273" s="127"/>
      <c r="G1273" s="797" t="str">
        <f ca="1">IF(OR(INDIRECT("'update Helper'!E"&amp;U1273)="",F1273&lt;&gt;0,F1274&lt;&gt;0),IF(IFERROR((F1273/F1274),"")="","",(F1273/F1274)),INDIRECT("'update Helper'!E"&amp;U1273)/100)</f>
        <v/>
      </c>
      <c r="H1273" s="784"/>
      <c r="I1273" s="798"/>
      <c r="J1273" s="777"/>
      <c r="K1273" s="795" t="str">
        <f ca="1">W1273</f>
        <v/>
      </c>
      <c r="L1273" s="795" t="str">
        <f ca="1">V1273</f>
        <v/>
      </c>
      <c r="M1273" s="777"/>
      <c r="N1273" s="777"/>
      <c r="P1273" s="89">
        <f ca="1">IF(AND(EXACT(C1273,C1271),C1271&lt;&gt;0),P1271+1,0)</f>
        <v>86</v>
      </c>
      <c r="Q1273" s="89" t="str">
        <f ca="1">IF(C1273&lt;&gt;"",C1273&amp;"-"&amp;P1273,"")</f>
        <v/>
      </c>
      <c r="R1273" s="89" t="str">
        <f t="array" aca="1" ref="R1273" ca="1">IFERROR(IF(INDEX('Disaggregation Records'!$E$155:$E$385,MATCH(RIGHT(Q1273,255),RIGHT('Disaggregation Records'!$D$155:$D$385,255),0))="","",INDEX('Disaggregation Records'!$E$155:$E$385,MATCH(RIGHT(Q1273,255),RIGHT('Disaggregation Records'!$D$155:$D$385,255),0))),"")</f>
        <v/>
      </c>
      <c r="S1273" s="89" t="str">
        <f t="array" aca="1" ref="S1273" ca="1">IFERROR(IF(INDEX('Disaggregation Records'!$F$155:$F$385,MATCH(RIGHT(Q1273,255),RIGHT('Disaggregation Records'!$D$155:$D$385,255),0))="","",INDEX('Disaggregation Records'!$F$155:$F$385,MATCH(RIGHT(Q1273,255),RIGHT('Disaggregation Records'!$D$155:$D$385,255),0))),"")</f>
        <v/>
      </c>
      <c r="T1273" s="89" t="str">
        <f t="array" aca="1" ref="T1273" ca="1">IFERROR(IF(INDEX('Disaggregation Records'!$H$155:$H$385,MATCH(RIGHT(Q1273,255),RIGHT('Disaggregation Records'!$D$155:$D$385,255),0))="","",INDEX('Disaggregation Records'!$H$155:$H$385,MATCH(RIGHT(Q1273,255),RIGHT('Disaggregation Records'!$D$155:$D$385,255),0))),"")</f>
        <v/>
      </c>
      <c r="U1273" s="89">
        <f>U1271+1</f>
        <v>1746</v>
      </c>
      <c r="V1273" s="89" t="str">
        <f t="array" aca="1" ref="V1273" ca="1">IFERROR(IF(INDEX('Disaggregation Records'!$I$155:$I$385,MATCH(RIGHT(Q1273,255),RIGHT('Disaggregation Records'!$D$155:$D$385,255),0))="","",INDEX('Disaggregation Records'!$I$155:$I$385,MATCH(RIGHT(Q1273,255),RIGHT('Disaggregation Records'!$D$155:$D$385,255),0))),"")</f>
        <v/>
      </c>
      <c r="W1273" s="89" t="str">
        <f ca="1">IFERROR(INDEX('Reference Records'!L$77:L$157,MATCH(LEFT(C1273,255),'Reference Records'!E$77:E$157,0)),"")</f>
        <v/>
      </c>
    </row>
    <row r="1274" spans="1:23" s="89" customFormat="1" ht="40.35" customHeight="1">
      <c r="A1274" s="564"/>
      <c r="B1274" s="799"/>
      <c r="C1274" s="800"/>
      <c r="D1274" s="801"/>
      <c r="E1274" s="801"/>
      <c r="F1274" s="128"/>
      <c r="G1274" s="802"/>
      <c r="H1274" s="781"/>
      <c r="I1274" s="803"/>
      <c r="J1274" s="779"/>
      <c r="K1274" s="800"/>
      <c r="L1274" s="800"/>
      <c r="M1274" s="779"/>
      <c r="N1274" s="779"/>
    </row>
    <row r="1275" spans="1:23" s="89" customFormat="1" ht="40.35" customHeight="1">
      <c r="A1275" s="564" t="str">
        <f ca="1">INDIRECT("'update Helper'!C"&amp;U1275)</f>
        <v>a163p000004VjpyAAC</v>
      </c>
      <c r="B1275" s="794">
        <v>17</v>
      </c>
      <c r="C1275" s="795" t="str">
        <f ca="1">VLOOKUP(B1275,'Coverage Indicators - Section D'!$A$9:$AU$70,47,FALSE)</f>
        <v/>
      </c>
      <c r="D1275" s="796" t="str">
        <f ca="1">R1275</f>
        <v/>
      </c>
      <c r="E1275" s="796" t="str">
        <f ca="1">S1275</f>
        <v/>
      </c>
      <c r="F1275" s="127"/>
      <c r="G1275" s="797" t="str">
        <f ca="1">IF(OR(INDIRECT("'update Helper'!E"&amp;U1275)="",F1275&lt;&gt;0,F1276&lt;&gt;0),IF(IFERROR((F1275/F1276),"")="","",(F1275/F1276)),INDIRECT("'update Helper'!E"&amp;U1275)/100)</f>
        <v/>
      </c>
      <c r="H1275" s="784"/>
      <c r="I1275" s="798"/>
      <c r="J1275" s="777"/>
      <c r="K1275" s="795" t="str">
        <f ca="1">W1275</f>
        <v/>
      </c>
      <c r="L1275" s="795" t="str">
        <f ca="1">V1275</f>
        <v/>
      </c>
      <c r="M1275" s="777"/>
      <c r="N1275" s="777"/>
      <c r="P1275" s="89">
        <f ca="1">IF(AND(EXACT(C1275,C1273),C1273&lt;&gt;0),P1273+1,0)</f>
        <v>87</v>
      </c>
      <c r="Q1275" s="89" t="str">
        <f ca="1">IF(C1275&lt;&gt;"",C1275&amp;"-"&amp;P1275,"")</f>
        <v/>
      </c>
      <c r="R1275" s="89" t="str">
        <f t="array" aca="1" ref="R1275" ca="1">IFERROR(IF(INDEX('Disaggregation Records'!$E$155:$E$385,MATCH(RIGHT(Q1275,255),RIGHT('Disaggregation Records'!$D$155:$D$385,255),0))="","",INDEX('Disaggregation Records'!$E$155:$E$385,MATCH(RIGHT(Q1275,255),RIGHT('Disaggregation Records'!$D$155:$D$385,255),0))),"")</f>
        <v/>
      </c>
      <c r="S1275" s="89" t="str">
        <f t="array" aca="1" ref="S1275" ca="1">IFERROR(IF(INDEX('Disaggregation Records'!$F$155:$F$385,MATCH(RIGHT(Q1275,255),RIGHT('Disaggregation Records'!$D$155:$D$385,255),0))="","",INDEX('Disaggregation Records'!$F$155:$F$385,MATCH(RIGHT(Q1275,255),RIGHT('Disaggregation Records'!$D$155:$D$385,255),0))),"")</f>
        <v/>
      </c>
      <c r="T1275" s="89" t="str">
        <f t="array" aca="1" ref="T1275" ca="1">IFERROR(IF(INDEX('Disaggregation Records'!$H$155:$H$385,MATCH(RIGHT(Q1275,255),RIGHT('Disaggregation Records'!$D$155:$D$385,255),0))="","",INDEX('Disaggregation Records'!$H$155:$H$385,MATCH(RIGHT(Q1275,255),RIGHT('Disaggregation Records'!$D$155:$D$385,255),0))),"")</f>
        <v/>
      </c>
      <c r="U1275" s="89">
        <f>U1273+1</f>
        <v>1747</v>
      </c>
      <c r="V1275" s="89" t="str">
        <f t="array" aca="1" ref="V1275" ca="1">IFERROR(IF(INDEX('Disaggregation Records'!$I$155:$I$385,MATCH(RIGHT(Q1275,255),RIGHT('Disaggregation Records'!$D$155:$D$385,255),0))="","",INDEX('Disaggregation Records'!$I$155:$I$385,MATCH(RIGHT(Q1275,255),RIGHT('Disaggregation Records'!$D$155:$D$385,255),0))),"")</f>
        <v/>
      </c>
      <c r="W1275" s="89" t="str">
        <f ca="1">IFERROR(INDEX('Reference Records'!L$77:L$157,MATCH(LEFT(C1275,255),'Reference Records'!E$77:E$157,0)),"")</f>
        <v/>
      </c>
    </row>
    <row r="1276" spans="1:23" s="89" customFormat="1" ht="40.35" customHeight="1">
      <c r="A1276" s="564"/>
      <c r="B1276" s="799"/>
      <c r="C1276" s="800"/>
      <c r="D1276" s="801"/>
      <c r="E1276" s="801"/>
      <c r="F1276" s="128"/>
      <c r="G1276" s="802"/>
      <c r="H1276" s="781"/>
      <c r="I1276" s="803"/>
      <c r="J1276" s="779"/>
      <c r="K1276" s="800"/>
      <c r="L1276" s="800"/>
      <c r="M1276" s="779"/>
      <c r="N1276" s="779"/>
    </row>
    <row r="1277" spans="1:23" s="89" customFormat="1" ht="40.35" customHeight="1">
      <c r="A1277" s="564" t="str">
        <f ca="1">INDIRECT("'update Helper'!C"&amp;U1277)</f>
        <v>a163p000004VjpzAAC</v>
      </c>
      <c r="B1277" s="794">
        <v>17</v>
      </c>
      <c r="C1277" s="795" t="str">
        <f ca="1">VLOOKUP(B1277,'Coverage Indicators - Section D'!$A$9:$AU$70,47,FALSE)</f>
        <v/>
      </c>
      <c r="D1277" s="796" t="str">
        <f ca="1">R1277</f>
        <v/>
      </c>
      <c r="E1277" s="796" t="str">
        <f ca="1">S1277</f>
        <v/>
      </c>
      <c r="F1277" s="127"/>
      <c r="G1277" s="797" t="str">
        <f ca="1">IF(OR(INDIRECT("'update Helper'!E"&amp;U1277)="",F1277&lt;&gt;0,F1278&lt;&gt;0),IF(IFERROR((F1277/F1278),"")="","",(F1277/F1278)),INDIRECT("'update Helper'!E"&amp;U1277)/100)</f>
        <v/>
      </c>
      <c r="H1277" s="784"/>
      <c r="I1277" s="798"/>
      <c r="J1277" s="777"/>
      <c r="K1277" s="795" t="str">
        <f ca="1">W1277</f>
        <v/>
      </c>
      <c r="L1277" s="795" t="str">
        <f ca="1">V1277</f>
        <v/>
      </c>
      <c r="M1277" s="777"/>
      <c r="N1277" s="777"/>
      <c r="P1277" s="89">
        <f ca="1">IF(AND(EXACT(C1277,C1275),C1275&lt;&gt;0),P1275+1,0)</f>
        <v>88</v>
      </c>
      <c r="Q1277" s="89" t="str">
        <f ca="1">IF(C1277&lt;&gt;"",C1277&amp;"-"&amp;P1277,"")</f>
        <v/>
      </c>
      <c r="R1277" s="89" t="str">
        <f t="array" aca="1" ref="R1277" ca="1">IFERROR(IF(INDEX('Disaggregation Records'!$E$155:$E$385,MATCH(RIGHT(Q1277,255),RIGHT('Disaggregation Records'!$D$155:$D$385,255),0))="","",INDEX('Disaggregation Records'!$E$155:$E$385,MATCH(RIGHT(Q1277,255),RIGHT('Disaggregation Records'!$D$155:$D$385,255),0))),"")</f>
        <v/>
      </c>
      <c r="S1277" s="89" t="str">
        <f t="array" aca="1" ref="S1277" ca="1">IFERROR(IF(INDEX('Disaggregation Records'!$F$155:$F$385,MATCH(RIGHT(Q1277,255),RIGHT('Disaggregation Records'!$D$155:$D$385,255),0))="","",INDEX('Disaggregation Records'!$F$155:$F$385,MATCH(RIGHT(Q1277,255),RIGHT('Disaggregation Records'!$D$155:$D$385,255),0))),"")</f>
        <v/>
      </c>
      <c r="T1277" s="89" t="str">
        <f t="array" aca="1" ref="T1277" ca="1">IFERROR(IF(INDEX('Disaggregation Records'!$H$155:$H$385,MATCH(RIGHT(Q1277,255),RIGHT('Disaggregation Records'!$D$155:$D$385,255),0))="","",INDEX('Disaggregation Records'!$H$155:$H$385,MATCH(RIGHT(Q1277,255),RIGHT('Disaggregation Records'!$D$155:$D$385,255),0))),"")</f>
        <v/>
      </c>
      <c r="U1277" s="89">
        <f>U1275+1</f>
        <v>1748</v>
      </c>
      <c r="V1277" s="89" t="str">
        <f t="array" aca="1" ref="V1277" ca="1">IFERROR(IF(INDEX('Disaggregation Records'!$I$155:$I$385,MATCH(RIGHT(Q1277,255),RIGHT('Disaggregation Records'!$D$155:$D$385,255),0))="","",INDEX('Disaggregation Records'!$I$155:$I$385,MATCH(RIGHT(Q1277,255),RIGHT('Disaggregation Records'!$D$155:$D$385,255),0))),"")</f>
        <v/>
      </c>
      <c r="W1277" s="89" t="str">
        <f ca="1">IFERROR(INDEX('Reference Records'!L$77:L$157,MATCH(LEFT(C1277,255),'Reference Records'!E$77:E$157,0)),"")</f>
        <v/>
      </c>
    </row>
    <row r="1278" spans="1:23" s="89" customFormat="1" ht="40.35" customHeight="1">
      <c r="A1278" s="564"/>
      <c r="B1278" s="799"/>
      <c r="C1278" s="800"/>
      <c r="D1278" s="801"/>
      <c r="E1278" s="801"/>
      <c r="F1278" s="128"/>
      <c r="G1278" s="802"/>
      <c r="H1278" s="781"/>
      <c r="I1278" s="803"/>
      <c r="J1278" s="779"/>
      <c r="K1278" s="800"/>
      <c r="L1278" s="800"/>
      <c r="M1278" s="779"/>
      <c r="N1278" s="779"/>
    </row>
    <row r="1279" spans="1:23" s="89" customFormat="1" ht="40.35" customHeight="1">
      <c r="A1279" s="564" t="str">
        <f ca="1">INDIRECT("'update Helper'!C"&amp;U1279)</f>
        <v>a163p000004Vjq0AAC</v>
      </c>
      <c r="B1279" s="794">
        <v>17</v>
      </c>
      <c r="C1279" s="795" t="str">
        <f ca="1">VLOOKUP(B1279,'Coverage Indicators - Section D'!$A$9:$AU$70,47,FALSE)</f>
        <v/>
      </c>
      <c r="D1279" s="796" t="str">
        <f ca="1">R1279</f>
        <v/>
      </c>
      <c r="E1279" s="796" t="str">
        <f ca="1">S1279</f>
        <v/>
      </c>
      <c r="F1279" s="127"/>
      <c r="G1279" s="797" t="str">
        <f ca="1">IF(OR(INDIRECT("'update Helper'!E"&amp;U1279)="",F1279&lt;&gt;0,F1280&lt;&gt;0),IF(IFERROR((F1279/F1280),"")="","",(F1279/F1280)),INDIRECT("'update Helper'!E"&amp;U1279)/100)</f>
        <v/>
      </c>
      <c r="H1279" s="784"/>
      <c r="I1279" s="798"/>
      <c r="J1279" s="777"/>
      <c r="K1279" s="795" t="str">
        <f ca="1">W1279</f>
        <v/>
      </c>
      <c r="L1279" s="795" t="str">
        <f ca="1">V1279</f>
        <v/>
      </c>
      <c r="M1279" s="777"/>
      <c r="N1279" s="777"/>
      <c r="P1279" s="89">
        <f ca="1">IF(AND(EXACT(C1279,C1277),C1277&lt;&gt;0),P1277+1,0)</f>
        <v>89</v>
      </c>
      <c r="Q1279" s="89" t="str">
        <f ca="1">IF(C1279&lt;&gt;"",C1279&amp;"-"&amp;P1279,"")</f>
        <v/>
      </c>
      <c r="R1279" s="89" t="str">
        <f t="array" aca="1" ref="R1279" ca="1">IFERROR(IF(INDEX('Disaggregation Records'!$E$155:$E$385,MATCH(RIGHT(Q1279,255),RIGHT('Disaggregation Records'!$D$155:$D$385,255),0))="","",INDEX('Disaggregation Records'!$E$155:$E$385,MATCH(RIGHT(Q1279,255),RIGHT('Disaggregation Records'!$D$155:$D$385,255),0))),"")</f>
        <v/>
      </c>
      <c r="S1279" s="89" t="str">
        <f t="array" aca="1" ref="S1279" ca="1">IFERROR(IF(INDEX('Disaggregation Records'!$F$155:$F$385,MATCH(RIGHT(Q1279,255),RIGHT('Disaggregation Records'!$D$155:$D$385,255),0))="","",INDEX('Disaggregation Records'!$F$155:$F$385,MATCH(RIGHT(Q1279,255),RIGHT('Disaggregation Records'!$D$155:$D$385,255),0))),"")</f>
        <v/>
      </c>
      <c r="T1279" s="89" t="str">
        <f t="array" aca="1" ref="T1279" ca="1">IFERROR(IF(INDEX('Disaggregation Records'!$H$155:$H$385,MATCH(RIGHT(Q1279,255),RIGHT('Disaggregation Records'!$D$155:$D$385,255),0))="","",INDEX('Disaggregation Records'!$H$155:$H$385,MATCH(RIGHT(Q1279,255),RIGHT('Disaggregation Records'!$D$155:$D$385,255),0))),"")</f>
        <v/>
      </c>
      <c r="U1279" s="89">
        <f>U1277+1</f>
        <v>1749</v>
      </c>
      <c r="V1279" s="89" t="str">
        <f t="array" aca="1" ref="V1279" ca="1">IFERROR(IF(INDEX('Disaggregation Records'!$I$155:$I$385,MATCH(RIGHT(Q1279,255),RIGHT('Disaggregation Records'!$D$155:$D$385,255),0))="","",INDEX('Disaggregation Records'!$I$155:$I$385,MATCH(RIGHT(Q1279,255),RIGHT('Disaggregation Records'!$D$155:$D$385,255),0))),"")</f>
        <v/>
      </c>
      <c r="W1279" s="89" t="str">
        <f ca="1">IFERROR(INDEX('Reference Records'!L$77:L$157,MATCH(LEFT(C1279,255),'Reference Records'!E$77:E$157,0)),"")</f>
        <v/>
      </c>
    </row>
    <row r="1280" spans="1:23" s="89" customFormat="1" ht="40.35" customHeight="1">
      <c r="A1280" s="564"/>
      <c r="B1280" s="799"/>
      <c r="C1280" s="800"/>
      <c r="D1280" s="801"/>
      <c r="E1280" s="801"/>
      <c r="F1280" s="128"/>
      <c r="G1280" s="802"/>
      <c r="H1280" s="781"/>
      <c r="I1280" s="803"/>
      <c r="J1280" s="779"/>
      <c r="K1280" s="800"/>
      <c r="L1280" s="800"/>
      <c r="M1280" s="779"/>
      <c r="N1280" s="779"/>
    </row>
    <row r="1281" spans="1:23" s="89" customFormat="1" ht="40.35" customHeight="1">
      <c r="A1281" s="564" t="str">
        <f ca="1">INDIRECT("'update Helper'!C"&amp;U1281)</f>
        <v>a163p000004Vjq1AAC</v>
      </c>
      <c r="B1281" s="794">
        <v>17</v>
      </c>
      <c r="C1281" s="795" t="str">
        <f ca="1">VLOOKUP(B1281,'Coverage Indicators - Section D'!$A$9:$AU$70,47,FALSE)</f>
        <v/>
      </c>
      <c r="D1281" s="796" t="str">
        <f ca="1">R1281</f>
        <v/>
      </c>
      <c r="E1281" s="796" t="str">
        <f ca="1">S1281</f>
        <v/>
      </c>
      <c r="F1281" s="127"/>
      <c r="G1281" s="797" t="str">
        <f ca="1">IF(OR(INDIRECT("'update Helper'!E"&amp;U1281)="",F1281&lt;&gt;0,F1282&lt;&gt;0),IF(IFERROR((F1281/F1282),"")="","",(F1281/F1282)),INDIRECT("'update Helper'!E"&amp;U1281)/100)</f>
        <v/>
      </c>
      <c r="H1281" s="784"/>
      <c r="I1281" s="798"/>
      <c r="J1281" s="777"/>
      <c r="K1281" s="795" t="str">
        <f ca="1">W1281</f>
        <v/>
      </c>
      <c r="L1281" s="795" t="str">
        <f ca="1">V1281</f>
        <v/>
      </c>
      <c r="M1281" s="777"/>
      <c r="N1281" s="777"/>
      <c r="P1281" s="89">
        <f ca="1">IF(AND(EXACT(C1281,C1279),C1279&lt;&gt;0),P1279+1,0)</f>
        <v>90</v>
      </c>
      <c r="Q1281" s="89" t="str">
        <f ca="1">IF(C1281&lt;&gt;"",C1281&amp;"-"&amp;P1281,"")</f>
        <v/>
      </c>
      <c r="R1281" s="89" t="str">
        <f t="array" aca="1" ref="R1281" ca="1">IFERROR(IF(INDEX('Disaggregation Records'!$E$155:$E$385,MATCH(RIGHT(Q1281,255),RIGHT('Disaggregation Records'!$D$155:$D$385,255),0))="","",INDEX('Disaggregation Records'!$E$155:$E$385,MATCH(RIGHT(Q1281,255),RIGHT('Disaggregation Records'!$D$155:$D$385,255),0))),"")</f>
        <v/>
      </c>
      <c r="S1281" s="89" t="str">
        <f t="array" aca="1" ref="S1281" ca="1">IFERROR(IF(INDEX('Disaggregation Records'!$F$155:$F$385,MATCH(RIGHT(Q1281,255),RIGHT('Disaggregation Records'!$D$155:$D$385,255),0))="","",INDEX('Disaggregation Records'!$F$155:$F$385,MATCH(RIGHT(Q1281,255),RIGHT('Disaggregation Records'!$D$155:$D$385,255),0))),"")</f>
        <v/>
      </c>
      <c r="T1281" s="89" t="str">
        <f t="array" aca="1" ref="T1281" ca="1">IFERROR(IF(INDEX('Disaggregation Records'!$H$155:$H$385,MATCH(RIGHT(Q1281,255),RIGHT('Disaggregation Records'!$D$155:$D$385,255),0))="","",INDEX('Disaggregation Records'!$H$155:$H$385,MATCH(RIGHT(Q1281,255),RIGHT('Disaggregation Records'!$D$155:$D$385,255),0))),"")</f>
        <v/>
      </c>
      <c r="U1281" s="89">
        <f>U1279+1</f>
        <v>1750</v>
      </c>
      <c r="V1281" s="89" t="str">
        <f t="array" aca="1" ref="V1281" ca="1">IFERROR(IF(INDEX('Disaggregation Records'!$I$155:$I$385,MATCH(RIGHT(Q1281,255),RIGHT('Disaggregation Records'!$D$155:$D$385,255),0))="","",INDEX('Disaggregation Records'!$I$155:$I$385,MATCH(RIGHT(Q1281,255),RIGHT('Disaggregation Records'!$D$155:$D$385,255),0))),"")</f>
        <v/>
      </c>
      <c r="W1281" s="89" t="str">
        <f ca="1">IFERROR(INDEX('Reference Records'!L$77:L$157,MATCH(LEFT(C1281,255),'Reference Records'!E$77:E$157,0)),"")</f>
        <v/>
      </c>
    </row>
    <row r="1282" spans="1:23" s="89" customFormat="1" ht="40.35" customHeight="1">
      <c r="A1282" s="564"/>
      <c r="B1282" s="799"/>
      <c r="C1282" s="800"/>
      <c r="D1282" s="801"/>
      <c r="E1282" s="801"/>
      <c r="F1282" s="128"/>
      <c r="G1282" s="802"/>
      <c r="H1282" s="781"/>
      <c r="I1282" s="803"/>
      <c r="J1282" s="779"/>
      <c r="K1282" s="800"/>
      <c r="L1282" s="800"/>
      <c r="M1282" s="779"/>
      <c r="N1282" s="779"/>
    </row>
    <row r="1283" spans="1:23" s="89" customFormat="1" ht="40.35" customHeight="1">
      <c r="A1283" s="564" t="str">
        <f ca="1">INDIRECT("'update Helper'!C"&amp;U1283)</f>
        <v>a163p000004Vjq2AAC</v>
      </c>
      <c r="B1283" s="794">
        <v>17</v>
      </c>
      <c r="C1283" s="795" t="str">
        <f ca="1">VLOOKUP(B1283,'Coverage Indicators - Section D'!$A$9:$AU$70,47,FALSE)</f>
        <v/>
      </c>
      <c r="D1283" s="796" t="str">
        <f ca="1">R1283</f>
        <v/>
      </c>
      <c r="E1283" s="796" t="str">
        <f ca="1">S1283</f>
        <v/>
      </c>
      <c r="F1283" s="127"/>
      <c r="G1283" s="797" t="str">
        <f ca="1">IF(OR(INDIRECT("'update Helper'!E"&amp;U1283)="",F1283&lt;&gt;0,F1284&lt;&gt;0),IF(IFERROR((F1283/F1284),"")="","",(F1283/F1284)),INDIRECT("'update Helper'!E"&amp;U1283)/100)</f>
        <v/>
      </c>
      <c r="H1283" s="784"/>
      <c r="I1283" s="798"/>
      <c r="J1283" s="777"/>
      <c r="K1283" s="795" t="str">
        <f ca="1">W1283</f>
        <v/>
      </c>
      <c r="L1283" s="795" t="str">
        <f ca="1">V1283</f>
        <v/>
      </c>
      <c r="M1283" s="777"/>
      <c r="N1283" s="777"/>
      <c r="P1283" s="89">
        <f ca="1">IF(AND(EXACT(C1283,C1281),C1281&lt;&gt;0),P1281+1,0)</f>
        <v>91</v>
      </c>
      <c r="Q1283" s="89" t="str">
        <f ca="1">IF(C1283&lt;&gt;"",C1283&amp;"-"&amp;P1283,"")</f>
        <v/>
      </c>
      <c r="R1283" s="89" t="str">
        <f t="array" aca="1" ref="R1283" ca="1">IFERROR(IF(INDEX('Disaggregation Records'!$E$155:$E$385,MATCH(RIGHT(Q1283,255),RIGHT('Disaggregation Records'!$D$155:$D$385,255),0))="","",INDEX('Disaggregation Records'!$E$155:$E$385,MATCH(RIGHT(Q1283,255),RIGHT('Disaggregation Records'!$D$155:$D$385,255),0))),"")</f>
        <v/>
      </c>
      <c r="S1283" s="89" t="str">
        <f t="array" aca="1" ref="S1283" ca="1">IFERROR(IF(INDEX('Disaggregation Records'!$F$155:$F$385,MATCH(RIGHT(Q1283,255),RIGHT('Disaggregation Records'!$D$155:$D$385,255),0))="","",INDEX('Disaggregation Records'!$F$155:$F$385,MATCH(RIGHT(Q1283,255),RIGHT('Disaggregation Records'!$D$155:$D$385,255),0))),"")</f>
        <v/>
      </c>
      <c r="T1283" s="89" t="str">
        <f t="array" aca="1" ref="T1283" ca="1">IFERROR(IF(INDEX('Disaggregation Records'!$H$155:$H$385,MATCH(RIGHT(Q1283,255),RIGHT('Disaggregation Records'!$D$155:$D$385,255),0))="","",INDEX('Disaggregation Records'!$H$155:$H$385,MATCH(RIGHT(Q1283,255),RIGHT('Disaggregation Records'!$D$155:$D$385,255),0))),"")</f>
        <v/>
      </c>
      <c r="U1283" s="89">
        <f>U1281+1</f>
        <v>1751</v>
      </c>
      <c r="V1283" s="89" t="str">
        <f t="array" aca="1" ref="V1283" ca="1">IFERROR(IF(INDEX('Disaggregation Records'!$I$155:$I$385,MATCH(RIGHT(Q1283,255),RIGHT('Disaggregation Records'!$D$155:$D$385,255),0))="","",INDEX('Disaggregation Records'!$I$155:$I$385,MATCH(RIGHT(Q1283,255),RIGHT('Disaggregation Records'!$D$155:$D$385,255),0))),"")</f>
        <v/>
      </c>
      <c r="W1283" s="89" t="str">
        <f ca="1">IFERROR(INDEX('Reference Records'!L$77:L$157,MATCH(LEFT(C1283,255),'Reference Records'!E$77:E$157,0)),"")</f>
        <v/>
      </c>
    </row>
    <row r="1284" spans="1:23" s="89" customFormat="1" ht="40.35" customHeight="1">
      <c r="A1284" s="564"/>
      <c r="B1284" s="799"/>
      <c r="C1284" s="800"/>
      <c r="D1284" s="801"/>
      <c r="E1284" s="801"/>
      <c r="F1284" s="128"/>
      <c r="G1284" s="802"/>
      <c r="H1284" s="781"/>
      <c r="I1284" s="803"/>
      <c r="J1284" s="779"/>
      <c r="K1284" s="800"/>
      <c r="L1284" s="800"/>
      <c r="M1284" s="779"/>
      <c r="N1284" s="779"/>
    </row>
    <row r="1285" spans="1:23" s="89" customFormat="1" ht="40.35" customHeight="1">
      <c r="A1285" s="564" t="str">
        <f ca="1">INDIRECT("'update Helper'!C"&amp;U1285)</f>
        <v>a163p000004Vjq3AAC</v>
      </c>
      <c r="B1285" s="794">
        <v>17</v>
      </c>
      <c r="C1285" s="795" t="str">
        <f ca="1">VLOOKUP(B1285,'Coverage Indicators - Section D'!$A$9:$AU$70,47,FALSE)</f>
        <v/>
      </c>
      <c r="D1285" s="796" t="str">
        <f ca="1">R1285</f>
        <v/>
      </c>
      <c r="E1285" s="796" t="str">
        <f ca="1">S1285</f>
        <v/>
      </c>
      <c r="F1285" s="127"/>
      <c r="G1285" s="797" t="str">
        <f ca="1">IF(OR(INDIRECT("'update Helper'!E"&amp;U1285)="",F1285&lt;&gt;0,F1286&lt;&gt;0),IF(IFERROR((F1285/F1286),"")="","",(F1285/F1286)),INDIRECT("'update Helper'!E"&amp;U1285)/100)</f>
        <v/>
      </c>
      <c r="H1285" s="784"/>
      <c r="I1285" s="798"/>
      <c r="J1285" s="777"/>
      <c r="K1285" s="795" t="str">
        <f ca="1">W1285</f>
        <v/>
      </c>
      <c r="L1285" s="795" t="str">
        <f ca="1">V1285</f>
        <v/>
      </c>
      <c r="M1285" s="777"/>
      <c r="N1285" s="777"/>
      <c r="P1285" s="89">
        <f ca="1">IF(AND(EXACT(C1285,C1283),C1283&lt;&gt;0),P1283+1,0)</f>
        <v>92</v>
      </c>
      <c r="Q1285" s="89" t="str">
        <f ca="1">IF(C1285&lt;&gt;"",C1285&amp;"-"&amp;P1285,"")</f>
        <v/>
      </c>
      <c r="R1285" s="89" t="str">
        <f t="array" aca="1" ref="R1285" ca="1">IFERROR(IF(INDEX('Disaggregation Records'!$E$155:$E$385,MATCH(RIGHT(Q1285,255),RIGHT('Disaggregation Records'!$D$155:$D$385,255),0))="","",INDEX('Disaggregation Records'!$E$155:$E$385,MATCH(RIGHT(Q1285,255),RIGHT('Disaggregation Records'!$D$155:$D$385,255),0))),"")</f>
        <v/>
      </c>
      <c r="S1285" s="89" t="str">
        <f t="array" aca="1" ref="S1285" ca="1">IFERROR(IF(INDEX('Disaggregation Records'!$F$155:$F$385,MATCH(RIGHT(Q1285,255),RIGHT('Disaggregation Records'!$D$155:$D$385,255),0))="","",INDEX('Disaggregation Records'!$F$155:$F$385,MATCH(RIGHT(Q1285,255),RIGHT('Disaggregation Records'!$D$155:$D$385,255),0))),"")</f>
        <v/>
      </c>
      <c r="T1285" s="89" t="str">
        <f t="array" aca="1" ref="T1285" ca="1">IFERROR(IF(INDEX('Disaggregation Records'!$H$155:$H$385,MATCH(RIGHT(Q1285,255),RIGHT('Disaggregation Records'!$D$155:$D$385,255),0))="","",INDEX('Disaggregation Records'!$H$155:$H$385,MATCH(RIGHT(Q1285,255),RIGHT('Disaggregation Records'!$D$155:$D$385,255),0))),"")</f>
        <v/>
      </c>
      <c r="U1285" s="89">
        <f>U1283+1</f>
        <v>1752</v>
      </c>
      <c r="V1285" s="89" t="str">
        <f t="array" aca="1" ref="V1285" ca="1">IFERROR(IF(INDEX('Disaggregation Records'!$I$155:$I$385,MATCH(RIGHT(Q1285,255),RIGHT('Disaggregation Records'!$D$155:$D$385,255),0))="","",INDEX('Disaggregation Records'!$I$155:$I$385,MATCH(RIGHT(Q1285,255),RIGHT('Disaggregation Records'!$D$155:$D$385,255),0))),"")</f>
        <v/>
      </c>
      <c r="W1285" s="89" t="str">
        <f ca="1">IFERROR(INDEX('Reference Records'!L$77:L$157,MATCH(LEFT(C1285,255),'Reference Records'!E$77:E$157,0)),"")</f>
        <v/>
      </c>
    </row>
    <row r="1286" spans="1:23" s="89" customFormat="1" ht="40.35" customHeight="1">
      <c r="A1286" s="564"/>
      <c r="B1286" s="799"/>
      <c r="C1286" s="800"/>
      <c r="D1286" s="801"/>
      <c r="E1286" s="801"/>
      <c r="F1286" s="128"/>
      <c r="G1286" s="802"/>
      <c r="H1286" s="781"/>
      <c r="I1286" s="803"/>
      <c r="J1286" s="779"/>
      <c r="K1286" s="800"/>
      <c r="L1286" s="800"/>
      <c r="M1286" s="779"/>
      <c r="N1286" s="779"/>
    </row>
    <row r="1287" spans="1:23" s="89" customFormat="1" ht="40.35" customHeight="1">
      <c r="A1287" s="564" t="str">
        <f ca="1">INDIRECT("'update Helper'!C"&amp;U1287)</f>
        <v>a163p000004Vjq4AAC</v>
      </c>
      <c r="B1287" s="794">
        <v>17</v>
      </c>
      <c r="C1287" s="795" t="str">
        <f ca="1">VLOOKUP(B1287,'Coverage Indicators - Section D'!$A$9:$AU$70,47,FALSE)</f>
        <v/>
      </c>
      <c r="D1287" s="796" t="str">
        <f ca="1">R1287</f>
        <v/>
      </c>
      <c r="E1287" s="796" t="str">
        <f ca="1">S1287</f>
        <v/>
      </c>
      <c r="F1287" s="127"/>
      <c r="G1287" s="797" t="str">
        <f ca="1">IF(OR(INDIRECT("'update Helper'!E"&amp;U1287)="",F1287&lt;&gt;0,F1288&lt;&gt;0),IF(IFERROR((F1287/F1288),"")="","",(F1287/F1288)),INDIRECT("'update Helper'!E"&amp;U1287)/100)</f>
        <v/>
      </c>
      <c r="H1287" s="784"/>
      <c r="I1287" s="798"/>
      <c r="J1287" s="777"/>
      <c r="K1287" s="795" t="str">
        <f ca="1">W1287</f>
        <v/>
      </c>
      <c r="L1287" s="795" t="str">
        <f ca="1">V1287</f>
        <v/>
      </c>
      <c r="M1287" s="777"/>
      <c r="N1287" s="777"/>
      <c r="P1287" s="89">
        <f ca="1">IF(AND(EXACT(C1287,C1285),C1285&lt;&gt;0),P1285+1,0)</f>
        <v>93</v>
      </c>
      <c r="Q1287" s="89" t="str">
        <f ca="1">IF(C1287&lt;&gt;"",C1287&amp;"-"&amp;P1287,"")</f>
        <v/>
      </c>
      <c r="R1287" s="89" t="str">
        <f t="array" aca="1" ref="R1287" ca="1">IFERROR(IF(INDEX('Disaggregation Records'!$E$155:$E$385,MATCH(RIGHT(Q1287,255),RIGHT('Disaggregation Records'!$D$155:$D$385,255),0))="","",INDEX('Disaggregation Records'!$E$155:$E$385,MATCH(RIGHT(Q1287,255),RIGHT('Disaggregation Records'!$D$155:$D$385,255),0))),"")</f>
        <v/>
      </c>
      <c r="S1287" s="89" t="str">
        <f t="array" aca="1" ref="S1287" ca="1">IFERROR(IF(INDEX('Disaggregation Records'!$F$155:$F$385,MATCH(RIGHT(Q1287,255),RIGHT('Disaggregation Records'!$D$155:$D$385,255),0))="","",INDEX('Disaggregation Records'!$F$155:$F$385,MATCH(RIGHT(Q1287,255),RIGHT('Disaggregation Records'!$D$155:$D$385,255),0))),"")</f>
        <v/>
      </c>
      <c r="T1287" s="89" t="str">
        <f t="array" aca="1" ref="T1287" ca="1">IFERROR(IF(INDEX('Disaggregation Records'!$H$155:$H$385,MATCH(RIGHT(Q1287,255),RIGHT('Disaggregation Records'!$D$155:$D$385,255),0))="","",INDEX('Disaggregation Records'!$H$155:$H$385,MATCH(RIGHT(Q1287,255),RIGHT('Disaggregation Records'!$D$155:$D$385,255),0))),"")</f>
        <v/>
      </c>
      <c r="U1287" s="89">
        <f>U1285+1</f>
        <v>1753</v>
      </c>
      <c r="V1287" s="89" t="str">
        <f t="array" aca="1" ref="V1287" ca="1">IFERROR(IF(INDEX('Disaggregation Records'!$I$155:$I$385,MATCH(RIGHT(Q1287,255),RIGHT('Disaggregation Records'!$D$155:$D$385,255),0))="","",INDEX('Disaggregation Records'!$I$155:$I$385,MATCH(RIGHT(Q1287,255),RIGHT('Disaggregation Records'!$D$155:$D$385,255),0))),"")</f>
        <v/>
      </c>
      <c r="W1287" s="89" t="str">
        <f ca="1">IFERROR(INDEX('Reference Records'!L$77:L$157,MATCH(LEFT(C1287,255),'Reference Records'!E$77:E$157,0)),"")</f>
        <v/>
      </c>
    </row>
    <row r="1288" spans="1:23" s="89" customFormat="1" ht="40.35" customHeight="1">
      <c r="A1288" s="564"/>
      <c r="B1288" s="799"/>
      <c r="C1288" s="800"/>
      <c r="D1288" s="801"/>
      <c r="E1288" s="801"/>
      <c r="F1288" s="128"/>
      <c r="G1288" s="802"/>
      <c r="H1288" s="781"/>
      <c r="I1288" s="803"/>
      <c r="J1288" s="779"/>
      <c r="K1288" s="800"/>
      <c r="L1288" s="800"/>
      <c r="M1288" s="779"/>
      <c r="N1288" s="779"/>
    </row>
    <row r="1289" spans="1:23" s="89" customFormat="1" ht="40.35" customHeight="1">
      <c r="A1289" s="564" t="str">
        <f ca="1">INDIRECT("'update Helper'!C"&amp;U1289)</f>
        <v>a163p000004Vjq5AAC</v>
      </c>
      <c r="B1289" s="794">
        <v>17</v>
      </c>
      <c r="C1289" s="795" t="str">
        <f ca="1">VLOOKUP(B1289,'Coverage Indicators - Section D'!$A$9:$AU$70,47,FALSE)</f>
        <v/>
      </c>
      <c r="D1289" s="796" t="str">
        <f ca="1">R1289</f>
        <v/>
      </c>
      <c r="E1289" s="796" t="str">
        <f ca="1">S1289</f>
        <v/>
      </c>
      <c r="F1289" s="127"/>
      <c r="G1289" s="797" t="str">
        <f ca="1">IF(OR(INDIRECT("'update Helper'!E"&amp;U1289)="",F1289&lt;&gt;0,F1290&lt;&gt;0),IF(IFERROR((F1289/F1290),"")="","",(F1289/F1290)),INDIRECT("'update Helper'!E"&amp;U1289)/100)</f>
        <v/>
      </c>
      <c r="H1289" s="784"/>
      <c r="I1289" s="798"/>
      <c r="J1289" s="777"/>
      <c r="K1289" s="795" t="str">
        <f ca="1">W1289</f>
        <v/>
      </c>
      <c r="L1289" s="795" t="str">
        <f ca="1">V1289</f>
        <v/>
      </c>
      <c r="M1289" s="777"/>
      <c r="N1289" s="777"/>
      <c r="P1289" s="89">
        <f ca="1">IF(AND(EXACT(C1289,C1287),C1287&lt;&gt;0),P1287+1,0)</f>
        <v>94</v>
      </c>
      <c r="Q1289" s="89" t="str">
        <f ca="1">IF(C1289&lt;&gt;"",C1289&amp;"-"&amp;P1289,"")</f>
        <v/>
      </c>
      <c r="R1289" s="89" t="str">
        <f t="array" aca="1" ref="R1289" ca="1">IFERROR(IF(INDEX('Disaggregation Records'!$E$155:$E$385,MATCH(RIGHT(Q1289,255),RIGHT('Disaggregation Records'!$D$155:$D$385,255),0))="","",INDEX('Disaggregation Records'!$E$155:$E$385,MATCH(RIGHT(Q1289,255),RIGHT('Disaggregation Records'!$D$155:$D$385,255),0))),"")</f>
        <v/>
      </c>
      <c r="S1289" s="89" t="str">
        <f t="array" aca="1" ref="S1289" ca="1">IFERROR(IF(INDEX('Disaggregation Records'!$F$155:$F$385,MATCH(RIGHT(Q1289,255),RIGHT('Disaggregation Records'!$D$155:$D$385,255),0))="","",INDEX('Disaggregation Records'!$F$155:$F$385,MATCH(RIGHT(Q1289,255),RIGHT('Disaggregation Records'!$D$155:$D$385,255),0))),"")</f>
        <v/>
      </c>
      <c r="T1289" s="89" t="str">
        <f t="array" aca="1" ref="T1289" ca="1">IFERROR(IF(INDEX('Disaggregation Records'!$H$155:$H$385,MATCH(RIGHT(Q1289,255),RIGHT('Disaggregation Records'!$D$155:$D$385,255),0))="","",INDEX('Disaggregation Records'!$H$155:$H$385,MATCH(RIGHT(Q1289,255),RIGHT('Disaggregation Records'!$D$155:$D$385,255),0))),"")</f>
        <v/>
      </c>
      <c r="U1289" s="89">
        <f>U1287+1</f>
        <v>1754</v>
      </c>
      <c r="V1289" s="89" t="str">
        <f t="array" aca="1" ref="V1289" ca="1">IFERROR(IF(INDEX('Disaggregation Records'!$I$155:$I$385,MATCH(RIGHT(Q1289,255),RIGHT('Disaggregation Records'!$D$155:$D$385,255),0))="","",INDEX('Disaggregation Records'!$I$155:$I$385,MATCH(RIGHT(Q1289,255),RIGHT('Disaggregation Records'!$D$155:$D$385,255),0))),"")</f>
        <v/>
      </c>
      <c r="W1289" s="89" t="str">
        <f ca="1">IFERROR(INDEX('Reference Records'!L$77:L$157,MATCH(LEFT(C1289,255),'Reference Records'!E$77:E$157,0)),"")</f>
        <v/>
      </c>
    </row>
    <row r="1290" spans="1:23" s="89" customFormat="1" ht="40.35" customHeight="1">
      <c r="A1290" s="564"/>
      <c r="B1290" s="799"/>
      <c r="C1290" s="800"/>
      <c r="D1290" s="801"/>
      <c r="E1290" s="801"/>
      <c r="F1290" s="128"/>
      <c r="G1290" s="802"/>
      <c r="H1290" s="781"/>
      <c r="I1290" s="803"/>
      <c r="J1290" s="779"/>
      <c r="K1290" s="800"/>
      <c r="L1290" s="800"/>
      <c r="M1290" s="779"/>
      <c r="N1290" s="779"/>
    </row>
    <row r="1291" spans="1:23" s="89" customFormat="1" ht="40.35" customHeight="1">
      <c r="A1291" s="564" t="str">
        <f ca="1">INDIRECT("'update Helper'!C"&amp;U1291)</f>
        <v>a163p000004Vjq6AAC</v>
      </c>
      <c r="B1291" s="794">
        <v>17</v>
      </c>
      <c r="C1291" s="795" t="str">
        <f ca="1">VLOOKUP(B1291,'Coverage Indicators - Section D'!$A$9:$AU$70,47,FALSE)</f>
        <v/>
      </c>
      <c r="D1291" s="796" t="str">
        <f ca="1">R1291</f>
        <v/>
      </c>
      <c r="E1291" s="796" t="str">
        <f ca="1">S1291</f>
        <v/>
      </c>
      <c r="F1291" s="127"/>
      <c r="G1291" s="797" t="str">
        <f ca="1">IF(OR(INDIRECT("'update Helper'!E"&amp;U1291)="",F1291&lt;&gt;0,F1292&lt;&gt;0),IF(IFERROR((F1291/F1292),"")="","",(F1291/F1292)),INDIRECT("'update Helper'!E"&amp;U1291)/100)</f>
        <v/>
      </c>
      <c r="H1291" s="784"/>
      <c r="I1291" s="798"/>
      <c r="J1291" s="777"/>
      <c r="K1291" s="795" t="str">
        <f ca="1">W1291</f>
        <v/>
      </c>
      <c r="L1291" s="795" t="str">
        <f ca="1">V1291</f>
        <v/>
      </c>
      <c r="M1291" s="777"/>
      <c r="N1291" s="777"/>
      <c r="P1291" s="89">
        <f ca="1">IF(AND(EXACT(C1291,C1289),C1289&lt;&gt;0),P1289+1,0)</f>
        <v>95</v>
      </c>
      <c r="Q1291" s="89" t="str">
        <f ca="1">IF(C1291&lt;&gt;"",C1291&amp;"-"&amp;P1291,"")</f>
        <v/>
      </c>
      <c r="R1291" s="89" t="str">
        <f t="array" aca="1" ref="R1291" ca="1">IFERROR(IF(INDEX('Disaggregation Records'!$E$155:$E$385,MATCH(RIGHT(Q1291,255),RIGHT('Disaggregation Records'!$D$155:$D$385,255),0))="","",INDEX('Disaggregation Records'!$E$155:$E$385,MATCH(RIGHT(Q1291,255),RIGHT('Disaggregation Records'!$D$155:$D$385,255),0))),"")</f>
        <v/>
      </c>
      <c r="S1291" s="89" t="str">
        <f t="array" aca="1" ref="S1291" ca="1">IFERROR(IF(INDEX('Disaggregation Records'!$F$155:$F$385,MATCH(RIGHT(Q1291,255),RIGHT('Disaggregation Records'!$D$155:$D$385,255),0))="","",INDEX('Disaggregation Records'!$F$155:$F$385,MATCH(RIGHT(Q1291,255),RIGHT('Disaggregation Records'!$D$155:$D$385,255),0))),"")</f>
        <v/>
      </c>
      <c r="T1291" s="89" t="str">
        <f t="array" aca="1" ref="T1291" ca="1">IFERROR(IF(INDEX('Disaggregation Records'!$H$155:$H$385,MATCH(RIGHT(Q1291,255),RIGHT('Disaggregation Records'!$D$155:$D$385,255),0))="","",INDEX('Disaggregation Records'!$H$155:$H$385,MATCH(RIGHT(Q1291,255),RIGHT('Disaggregation Records'!$D$155:$D$385,255),0))),"")</f>
        <v/>
      </c>
      <c r="U1291" s="89">
        <f>U1289+1</f>
        <v>1755</v>
      </c>
      <c r="V1291" s="89" t="str">
        <f t="array" aca="1" ref="V1291" ca="1">IFERROR(IF(INDEX('Disaggregation Records'!$I$155:$I$385,MATCH(RIGHT(Q1291,255),RIGHT('Disaggregation Records'!$D$155:$D$385,255),0))="","",INDEX('Disaggregation Records'!$I$155:$I$385,MATCH(RIGHT(Q1291,255),RIGHT('Disaggregation Records'!$D$155:$D$385,255),0))),"")</f>
        <v/>
      </c>
      <c r="W1291" s="89" t="str">
        <f ca="1">IFERROR(INDEX('Reference Records'!L$77:L$157,MATCH(LEFT(C1291,255),'Reference Records'!E$77:E$157,0)),"")</f>
        <v/>
      </c>
    </row>
    <row r="1292" spans="1:23" s="89" customFormat="1" ht="40.35" customHeight="1">
      <c r="A1292" s="564"/>
      <c r="B1292" s="799"/>
      <c r="C1292" s="800"/>
      <c r="D1292" s="801"/>
      <c r="E1292" s="801"/>
      <c r="F1292" s="128"/>
      <c r="G1292" s="802"/>
      <c r="H1292" s="781"/>
      <c r="I1292" s="803"/>
      <c r="J1292" s="779"/>
      <c r="K1292" s="800"/>
      <c r="L1292" s="800"/>
      <c r="M1292" s="779"/>
      <c r="N1292" s="779"/>
    </row>
    <row r="1293" spans="1:23" s="89" customFormat="1" ht="40.35" customHeight="1">
      <c r="A1293" s="564" t="str">
        <f ca="1">INDIRECT("'update Helper'!C"&amp;U1293)</f>
        <v>a163p000004Vjq7AAC</v>
      </c>
      <c r="B1293" s="794">
        <v>17</v>
      </c>
      <c r="C1293" s="795" t="str">
        <f ca="1">VLOOKUP(B1293,'Coverage Indicators - Section D'!$A$9:$AU$70,47,FALSE)</f>
        <v/>
      </c>
      <c r="D1293" s="796" t="str">
        <f ca="1">R1293</f>
        <v/>
      </c>
      <c r="E1293" s="796" t="str">
        <f ca="1">S1293</f>
        <v/>
      </c>
      <c r="F1293" s="127"/>
      <c r="G1293" s="797" t="str">
        <f ca="1">IF(OR(INDIRECT("'update Helper'!E"&amp;U1293)="",F1293&lt;&gt;0,F1294&lt;&gt;0),IF(IFERROR((F1293/F1294),"")="","",(F1293/F1294)),INDIRECT("'update Helper'!E"&amp;U1293)/100)</f>
        <v/>
      </c>
      <c r="H1293" s="784"/>
      <c r="I1293" s="798"/>
      <c r="J1293" s="777"/>
      <c r="K1293" s="795" t="str">
        <f ca="1">W1293</f>
        <v/>
      </c>
      <c r="L1293" s="795" t="str">
        <f ca="1">V1293</f>
        <v/>
      </c>
      <c r="M1293" s="777"/>
      <c r="N1293" s="777"/>
      <c r="P1293" s="89">
        <f ca="1">IF(AND(EXACT(C1293,C1291),C1291&lt;&gt;0),P1291+1,0)</f>
        <v>96</v>
      </c>
      <c r="Q1293" s="89" t="str">
        <f ca="1">IF(C1293&lt;&gt;"",C1293&amp;"-"&amp;P1293,"")</f>
        <v/>
      </c>
      <c r="R1293" s="89" t="str">
        <f t="array" aca="1" ref="R1293" ca="1">IFERROR(IF(INDEX('Disaggregation Records'!$E$155:$E$385,MATCH(RIGHT(Q1293,255),RIGHT('Disaggregation Records'!$D$155:$D$385,255),0))="","",INDEX('Disaggregation Records'!$E$155:$E$385,MATCH(RIGHT(Q1293,255),RIGHT('Disaggregation Records'!$D$155:$D$385,255),0))),"")</f>
        <v/>
      </c>
      <c r="S1293" s="89" t="str">
        <f t="array" aca="1" ref="S1293" ca="1">IFERROR(IF(INDEX('Disaggregation Records'!$F$155:$F$385,MATCH(RIGHT(Q1293,255),RIGHT('Disaggregation Records'!$D$155:$D$385,255),0))="","",INDEX('Disaggregation Records'!$F$155:$F$385,MATCH(RIGHT(Q1293,255),RIGHT('Disaggregation Records'!$D$155:$D$385,255),0))),"")</f>
        <v/>
      </c>
      <c r="T1293" s="89" t="str">
        <f t="array" aca="1" ref="T1293" ca="1">IFERROR(IF(INDEX('Disaggregation Records'!$H$155:$H$385,MATCH(RIGHT(Q1293,255),RIGHT('Disaggregation Records'!$D$155:$D$385,255),0))="","",INDEX('Disaggregation Records'!$H$155:$H$385,MATCH(RIGHT(Q1293,255),RIGHT('Disaggregation Records'!$D$155:$D$385,255),0))),"")</f>
        <v/>
      </c>
      <c r="U1293" s="89">
        <f>U1291+1</f>
        <v>1756</v>
      </c>
      <c r="V1293" s="89" t="str">
        <f t="array" aca="1" ref="V1293" ca="1">IFERROR(IF(INDEX('Disaggregation Records'!$I$155:$I$385,MATCH(RIGHT(Q1293,255),RIGHT('Disaggregation Records'!$D$155:$D$385,255),0))="","",INDEX('Disaggregation Records'!$I$155:$I$385,MATCH(RIGHT(Q1293,255),RIGHT('Disaggregation Records'!$D$155:$D$385,255),0))),"")</f>
        <v/>
      </c>
      <c r="W1293" s="89" t="str">
        <f ca="1">IFERROR(INDEX('Reference Records'!L$77:L$157,MATCH(LEFT(C1293,255),'Reference Records'!E$77:E$157,0)),"")</f>
        <v/>
      </c>
    </row>
    <row r="1294" spans="1:23" s="89" customFormat="1" ht="40.35" customHeight="1">
      <c r="A1294" s="564"/>
      <c r="B1294" s="799"/>
      <c r="C1294" s="800"/>
      <c r="D1294" s="801"/>
      <c r="E1294" s="801"/>
      <c r="F1294" s="128"/>
      <c r="G1294" s="802"/>
      <c r="H1294" s="781"/>
      <c r="I1294" s="803"/>
      <c r="J1294" s="779"/>
      <c r="K1294" s="800"/>
      <c r="L1294" s="800"/>
      <c r="M1294" s="779"/>
      <c r="N1294" s="779"/>
    </row>
    <row r="1295" spans="1:23" s="89" customFormat="1" ht="40.35" customHeight="1">
      <c r="A1295" s="564" t="str">
        <f ca="1">INDIRECT("'update Helper'!C"&amp;U1295)</f>
        <v>a163p000004Vjq8AAC</v>
      </c>
      <c r="B1295" s="794">
        <v>17</v>
      </c>
      <c r="C1295" s="795" t="str">
        <f ca="1">VLOOKUP(B1295,'Coverage Indicators - Section D'!$A$9:$AU$70,47,FALSE)</f>
        <v/>
      </c>
      <c r="D1295" s="796" t="str">
        <f ca="1">R1295</f>
        <v/>
      </c>
      <c r="E1295" s="796" t="str">
        <f ca="1">S1295</f>
        <v/>
      </c>
      <c r="F1295" s="127"/>
      <c r="G1295" s="797" t="str">
        <f ca="1">IF(OR(INDIRECT("'update Helper'!E"&amp;U1295)="",F1295&lt;&gt;0,F1296&lt;&gt;0),IF(IFERROR((F1295/F1296),"")="","",(F1295/F1296)),INDIRECT("'update Helper'!E"&amp;U1295)/100)</f>
        <v/>
      </c>
      <c r="H1295" s="784"/>
      <c r="I1295" s="798"/>
      <c r="J1295" s="777"/>
      <c r="K1295" s="795" t="str">
        <f ca="1">W1295</f>
        <v/>
      </c>
      <c r="L1295" s="795" t="str">
        <f ca="1">V1295</f>
        <v/>
      </c>
      <c r="M1295" s="777"/>
      <c r="N1295" s="777"/>
      <c r="P1295" s="89">
        <f ca="1">IF(AND(EXACT(C1295,C1293),C1293&lt;&gt;0),P1293+1,0)</f>
        <v>97</v>
      </c>
      <c r="Q1295" s="89" t="str">
        <f ca="1">IF(C1295&lt;&gt;"",C1295&amp;"-"&amp;P1295,"")</f>
        <v/>
      </c>
      <c r="R1295" s="89" t="str">
        <f t="array" aca="1" ref="R1295" ca="1">IFERROR(IF(INDEX('Disaggregation Records'!$E$155:$E$385,MATCH(RIGHT(Q1295,255),RIGHT('Disaggregation Records'!$D$155:$D$385,255),0))="","",INDEX('Disaggregation Records'!$E$155:$E$385,MATCH(RIGHT(Q1295,255),RIGHT('Disaggregation Records'!$D$155:$D$385,255),0))),"")</f>
        <v/>
      </c>
      <c r="S1295" s="89" t="str">
        <f t="array" aca="1" ref="S1295" ca="1">IFERROR(IF(INDEX('Disaggregation Records'!$F$155:$F$385,MATCH(RIGHT(Q1295,255),RIGHT('Disaggregation Records'!$D$155:$D$385,255),0))="","",INDEX('Disaggregation Records'!$F$155:$F$385,MATCH(RIGHT(Q1295,255),RIGHT('Disaggregation Records'!$D$155:$D$385,255),0))),"")</f>
        <v/>
      </c>
      <c r="T1295" s="89" t="str">
        <f t="array" aca="1" ref="T1295" ca="1">IFERROR(IF(INDEX('Disaggregation Records'!$H$155:$H$385,MATCH(RIGHT(Q1295,255),RIGHT('Disaggregation Records'!$D$155:$D$385,255),0))="","",INDEX('Disaggregation Records'!$H$155:$H$385,MATCH(RIGHT(Q1295,255),RIGHT('Disaggregation Records'!$D$155:$D$385,255),0))),"")</f>
        <v/>
      </c>
      <c r="U1295" s="89">
        <f>U1293+1</f>
        <v>1757</v>
      </c>
      <c r="V1295" s="89" t="str">
        <f t="array" aca="1" ref="V1295" ca="1">IFERROR(IF(INDEX('Disaggregation Records'!$I$155:$I$385,MATCH(RIGHT(Q1295,255),RIGHT('Disaggregation Records'!$D$155:$D$385,255),0))="","",INDEX('Disaggregation Records'!$I$155:$I$385,MATCH(RIGHT(Q1295,255),RIGHT('Disaggregation Records'!$D$155:$D$385,255),0))),"")</f>
        <v/>
      </c>
      <c r="W1295" s="89" t="str">
        <f ca="1">IFERROR(INDEX('Reference Records'!L$77:L$157,MATCH(LEFT(C1295,255),'Reference Records'!E$77:E$157,0)),"")</f>
        <v/>
      </c>
    </row>
    <row r="1296" spans="1:23" s="89" customFormat="1" ht="40.35" customHeight="1">
      <c r="A1296" s="564"/>
      <c r="B1296" s="799"/>
      <c r="C1296" s="800"/>
      <c r="D1296" s="801"/>
      <c r="E1296" s="801"/>
      <c r="F1296" s="128"/>
      <c r="G1296" s="802"/>
      <c r="H1296" s="781"/>
      <c r="I1296" s="803"/>
      <c r="J1296" s="779"/>
      <c r="K1296" s="800"/>
      <c r="L1296" s="800"/>
      <c r="M1296" s="779"/>
      <c r="N1296" s="779"/>
    </row>
    <row r="1297" spans="1:23" s="89" customFormat="1" ht="40.35" customHeight="1">
      <c r="A1297" s="564" t="str">
        <f ca="1">INDIRECT("'update Helper'!C"&amp;U1297)</f>
        <v>a163p000004Vjq9AAC</v>
      </c>
      <c r="B1297" s="794">
        <v>17</v>
      </c>
      <c r="C1297" s="795" t="str">
        <f ca="1">VLOOKUP(B1297,'Coverage Indicators - Section D'!$A$9:$AU$70,47,FALSE)</f>
        <v/>
      </c>
      <c r="D1297" s="796" t="str">
        <f ca="1">R1297</f>
        <v/>
      </c>
      <c r="E1297" s="796" t="str">
        <f ca="1">S1297</f>
        <v/>
      </c>
      <c r="F1297" s="127"/>
      <c r="G1297" s="797" t="str">
        <f ca="1">IF(OR(INDIRECT("'update Helper'!E"&amp;U1297)="",F1297&lt;&gt;0,F1298&lt;&gt;0),IF(IFERROR((F1297/F1298),"")="","",(F1297/F1298)),INDIRECT("'update Helper'!E"&amp;U1297)/100)</f>
        <v/>
      </c>
      <c r="H1297" s="784"/>
      <c r="I1297" s="798"/>
      <c r="J1297" s="777"/>
      <c r="K1297" s="795" t="str">
        <f ca="1">W1297</f>
        <v/>
      </c>
      <c r="L1297" s="795" t="str">
        <f ca="1">V1297</f>
        <v/>
      </c>
      <c r="M1297" s="777"/>
      <c r="N1297" s="777"/>
      <c r="P1297" s="89">
        <f ca="1">IF(AND(EXACT(C1297,C1295),C1295&lt;&gt;0),P1295+1,0)</f>
        <v>98</v>
      </c>
      <c r="Q1297" s="89" t="str">
        <f ca="1">IF(C1297&lt;&gt;"",C1297&amp;"-"&amp;P1297,"")</f>
        <v/>
      </c>
      <c r="R1297" s="89" t="str">
        <f t="array" aca="1" ref="R1297" ca="1">IFERROR(IF(INDEX('Disaggregation Records'!$E$155:$E$385,MATCH(RIGHT(Q1297,255),RIGHT('Disaggregation Records'!$D$155:$D$385,255),0))="","",INDEX('Disaggregation Records'!$E$155:$E$385,MATCH(RIGHT(Q1297,255),RIGHT('Disaggregation Records'!$D$155:$D$385,255),0))),"")</f>
        <v/>
      </c>
      <c r="S1297" s="89" t="str">
        <f t="array" aca="1" ref="S1297" ca="1">IFERROR(IF(INDEX('Disaggregation Records'!$F$155:$F$385,MATCH(RIGHT(Q1297,255),RIGHT('Disaggregation Records'!$D$155:$D$385,255),0))="","",INDEX('Disaggregation Records'!$F$155:$F$385,MATCH(RIGHT(Q1297,255),RIGHT('Disaggregation Records'!$D$155:$D$385,255),0))),"")</f>
        <v/>
      </c>
      <c r="T1297" s="89" t="str">
        <f t="array" aca="1" ref="T1297" ca="1">IFERROR(IF(INDEX('Disaggregation Records'!$H$155:$H$385,MATCH(RIGHT(Q1297,255),RIGHT('Disaggregation Records'!$D$155:$D$385,255),0))="","",INDEX('Disaggregation Records'!$H$155:$H$385,MATCH(RIGHT(Q1297,255),RIGHT('Disaggregation Records'!$D$155:$D$385,255),0))),"")</f>
        <v/>
      </c>
      <c r="U1297" s="89">
        <f>U1295+1</f>
        <v>1758</v>
      </c>
      <c r="V1297" s="89" t="str">
        <f t="array" aca="1" ref="V1297" ca="1">IFERROR(IF(INDEX('Disaggregation Records'!$I$155:$I$385,MATCH(RIGHT(Q1297,255),RIGHT('Disaggregation Records'!$D$155:$D$385,255),0))="","",INDEX('Disaggregation Records'!$I$155:$I$385,MATCH(RIGHT(Q1297,255),RIGHT('Disaggregation Records'!$D$155:$D$385,255),0))),"")</f>
        <v/>
      </c>
      <c r="W1297" s="89" t="str">
        <f ca="1">IFERROR(INDEX('Reference Records'!L$77:L$157,MATCH(LEFT(C1297,255),'Reference Records'!E$77:E$157,0)),"")</f>
        <v/>
      </c>
    </row>
    <row r="1298" spans="1:23" s="89" customFormat="1" ht="40.35" customHeight="1">
      <c r="A1298" s="564"/>
      <c r="B1298" s="799"/>
      <c r="C1298" s="800"/>
      <c r="D1298" s="801"/>
      <c r="E1298" s="801"/>
      <c r="F1298" s="128"/>
      <c r="G1298" s="802"/>
      <c r="H1298" s="781"/>
      <c r="I1298" s="803"/>
      <c r="J1298" s="779"/>
      <c r="K1298" s="800"/>
      <c r="L1298" s="800"/>
      <c r="M1298" s="779"/>
      <c r="N1298" s="779"/>
    </row>
    <row r="1299" spans="1:23" s="89" customFormat="1" ht="40.35" customHeight="1">
      <c r="A1299" s="564" t="str">
        <f ca="1">INDIRECT("'update Helper'!C"&amp;U1299)</f>
        <v>a163p000004VjqAAAS</v>
      </c>
      <c r="B1299" s="794">
        <v>17</v>
      </c>
      <c r="C1299" s="795" t="str">
        <f ca="1">VLOOKUP(B1299,'Coverage Indicators - Section D'!$A$9:$AU$70,47,FALSE)</f>
        <v/>
      </c>
      <c r="D1299" s="796" t="str">
        <f ca="1">R1299</f>
        <v/>
      </c>
      <c r="E1299" s="796" t="str">
        <f ca="1">S1299</f>
        <v/>
      </c>
      <c r="F1299" s="127"/>
      <c r="G1299" s="797" t="str">
        <f ca="1">IF(OR(INDIRECT("'update Helper'!E"&amp;U1299)="",F1299&lt;&gt;0,F1300&lt;&gt;0),IF(IFERROR((F1299/F1300),"")="","",(F1299/F1300)),INDIRECT("'update Helper'!E"&amp;U1299)/100)</f>
        <v/>
      </c>
      <c r="H1299" s="784"/>
      <c r="I1299" s="798"/>
      <c r="J1299" s="777"/>
      <c r="K1299" s="795" t="str">
        <f ca="1">W1299</f>
        <v/>
      </c>
      <c r="L1299" s="795" t="str">
        <f ca="1">V1299</f>
        <v/>
      </c>
      <c r="M1299" s="777"/>
      <c r="N1299" s="777"/>
      <c r="P1299" s="89">
        <f ca="1">IF(AND(EXACT(C1299,C1297),C1297&lt;&gt;0),P1297+1,0)</f>
        <v>99</v>
      </c>
      <c r="Q1299" s="89" t="str">
        <f ca="1">IF(C1299&lt;&gt;"",C1299&amp;"-"&amp;P1299,"")</f>
        <v/>
      </c>
      <c r="R1299" s="89" t="str">
        <f t="array" aca="1" ref="R1299" ca="1">IFERROR(IF(INDEX('Disaggregation Records'!$E$155:$E$385,MATCH(RIGHT(Q1299,255),RIGHT('Disaggregation Records'!$D$155:$D$385,255),0))="","",INDEX('Disaggregation Records'!$E$155:$E$385,MATCH(RIGHT(Q1299,255),RIGHT('Disaggregation Records'!$D$155:$D$385,255),0))),"")</f>
        <v/>
      </c>
      <c r="S1299" s="89" t="str">
        <f t="array" aca="1" ref="S1299" ca="1">IFERROR(IF(INDEX('Disaggregation Records'!$F$155:$F$385,MATCH(RIGHT(Q1299,255),RIGHT('Disaggregation Records'!$D$155:$D$385,255),0))="","",INDEX('Disaggregation Records'!$F$155:$F$385,MATCH(RIGHT(Q1299,255),RIGHT('Disaggregation Records'!$D$155:$D$385,255),0))),"")</f>
        <v/>
      </c>
      <c r="T1299" s="89" t="str">
        <f t="array" aca="1" ref="T1299" ca="1">IFERROR(IF(INDEX('Disaggregation Records'!$H$155:$H$385,MATCH(RIGHT(Q1299,255),RIGHT('Disaggregation Records'!$D$155:$D$385,255),0))="","",INDEX('Disaggregation Records'!$H$155:$H$385,MATCH(RIGHT(Q1299,255),RIGHT('Disaggregation Records'!$D$155:$D$385,255),0))),"")</f>
        <v/>
      </c>
      <c r="U1299" s="89">
        <f>U1297+1</f>
        <v>1759</v>
      </c>
      <c r="V1299" s="89" t="str">
        <f t="array" aca="1" ref="V1299" ca="1">IFERROR(IF(INDEX('Disaggregation Records'!$I$155:$I$385,MATCH(RIGHT(Q1299,255),RIGHT('Disaggregation Records'!$D$155:$D$385,255),0))="","",INDEX('Disaggregation Records'!$I$155:$I$385,MATCH(RIGHT(Q1299,255),RIGHT('Disaggregation Records'!$D$155:$D$385,255),0))),"")</f>
        <v/>
      </c>
      <c r="W1299" s="89" t="str">
        <f ca="1">IFERROR(INDEX('Reference Records'!L$77:L$157,MATCH(LEFT(C1299,255),'Reference Records'!E$77:E$157,0)),"")</f>
        <v/>
      </c>
    </row>
    <row r="1300" spans="1:23" s="89" customFormat="1" ht="40.35" customHeight="1">
      <c r="A1300" s="564"/>
      <c r="B1300" s="799"/>
      <c r="C1300" s="800"/>
      <c r="D1300" s="801"/>
      <c r="E1300" s="801"/>
      <c r="F1300" s="128"/>
      <c r="G1300" s="802"/>
      <c r="H1300" s="781"/>
      <c r="I1300" s="803"/>
      <c r="J1300" s="779"/>
      <c r="K1300" s="800"/>
      <c r="L1300" s="800"/>
      <c r="M1300" s="779"/>
      <c r="N1300" s="779"/>
    </row>
    <row r="1301" spans="1:23" s="89" customFormat="1" ht="40.35" customHeight="1">
      <c r="A1301" s="564" t="str">
        <f ca="1">INDIRECT("'update Helper'!C"&amp;U1301)</f>
        <v>a163p000004VjqBAAS</v>
      </c>
      <c r="B1301" s="794">
        <v>18</v>
      </c>
      <c r="C1301" s="795" t="str">
        <f ca="1">VLOOKUP(B1301,'Coverage Indicators - Section D'!$A$9:$AU$70,47,FALSE)</f>
        <v/>
      </c>
      <c r="D1301" s="796" t="str">
        <f ca="1">R1301</f>
        <v/>
      </c>
      <c r="E1301" s="796" t="str">
        <f ca="1">S1301</f>
        <v/>
      </c>
      <c r="F1301" s="127"/>
      <c r="G1301" s="797" t="str">
        <f ca="1">IF(OR(INDIRECT("'update Helper'!E"&amp;U1301)="",F1301&lt;&gt;0,F1302&lt;&gt;0),IF(IFERROR((F1301/F1302),"")="","",(F1301/F1302)),INDIRECT("'update Helper'!E"&amp;U1301)/100)</f>
        <v/>
      </c>
      <c r="H1301" s="784"/>
      <c r="I1301" s="798"/>
      <c r="J1301" s="777"/>
      <c r="K1301" s="795" t="str">
        <f ca="1">W1301</f>
        <v/>
      </c>
      <c r="L1301" s="795" t="str">
        <f ca="1">V1301</f>
        <v/>
      </c>
      <c r="M1301" s="777"/>
      <c r="N1301" s="777"/>
      <c r="P1301" s="89">
        <f ca="1">IF(AND(EXACT(C1301,C1299),C1299&lt;&gt;0),P1299+1,0)</f>
        <v>100</v>
      </c>
      <c r="Q1301" s="89" t="str">
        <f ca="1">IF(C1301&lt;&gt;"",C1301&amp;"-"&amp;P1301,"")</f>
        <v/>
      </c>
      <c r="R1301" s="89" t="str">
        <f t="array" aca="1" ref="R1301" ca="1">IFERROR(IF(INDEX('Disaggregation Records'!$E$155:$E$385,MATCH(RIGHT(Q1301,255),RIGHT('Disaggregation Records'!$D$155:$D$385,255),0))="","",INDEX('Disaggregation Records'!$E$155:$E$385,MATCH(RIGHT(Q1301,255),RIGHT('Disaggregation Records'!$D$155:$D$385,255),0))),"")</f>
        <v/>
      </c>
      <c r="S1301" s="89" t="str">
        <f t="array" aca="1" ref="S1301" ca="1">IFERROR(IF(INDEX('Disaggregation Records'!$F$155:$F$385,MATCH(RIGHT(Q1301,255),RIGHT('Disaggregation Records'!$D$155:$D$385,255),0))="","",INDEX('Disaggregation Records'!$F$155:$F$385,MATCH(RIGHT(Q1301,255),RIGHT('Disaggregation Records'!$D$155:$D$385,255),0))),"")</f>
        <v/>
      </c>
      <c r="T1301" s="89" t="str">
        <f t="array" aca="1" ref="T1301" ca="1">IFERROR(IF(INDEX('Disaggregation Records'!$H$155:$H$385,MATCH(RIGHT(Q1301,255),RIGHT('Disaggregation Records'!$D$155:$D$385,255),0))="","",INDEX('Disaggregation Records'!$H$155:$H$385,MATCH(RIGHT(Q1301,255),RIGHT('Disaggregation Records'!$D$155:$D$385,255),0))),"")</f>
        <v/>
      </c>
      <c r="U1301" s="89">
        <f>U1299+1</f>
        <v>1760</v>
      </c>
      <c r="V1301" s="89" t="str">
        <f t="array" aca="1" ref="V1301" ca="1">IFERROR(IF(INDEX('Disaggregation Records'!$I$155:$I$385,MATCH(RIGHT(Q1301,255),RIGHT('Disaggregation Records'!$D$155:$D$385,255),0))="","",INDEX('Disaggregation Records'!$I$155:$I$385,MATCH(RIGHT(Q1301,255),RIGHT('Disaggregation Records'!$D$155:$D$385,255),0))),"")</f>
        <v/>
      </c>
      <c r="W1301" s="89" t="str">
        <f ca="1">IFERROR(INDEX('Reference Records'!L$77:L$157,MATCH(LEFT(C1301,255),'Reference Records'!E$77:E$157,0)),"")</f>
        <v/>
      </c>
    </row>
    <row r="1302" spans="1:23" s="89" customFormat="1" ht="40.35" customHeight="1">
      <c r="A1302" s="564"/>
      <c r="B1302" s="799"/>
      <c r="C1302" s="800"/>
      <c r="D1302" s="801"/>
      <c r="E1302" s="801"/>
      <c r="F1302" s="128"/>
      <c r="G1302" s="802"/>
      <c r="H1302" s="781"/>
      <c r="I1302" s="803"/>
      <c r="J1302" s="779"/>
      <c r="K1302" s="800"/>
      <c r="L1302" s="800"/>
      <c r="M1302" s="779"/>
      <c r="N1302" s="779"/>
    </row>
    <row r="1303" spans="1:23" s="89" customFormat="1" ht="40.35" customHeight="1">
      <c r="A1303" s="564" t="str">
        <f ca="1">INDIRECT("'update Helper'!C"&amp;U1303)</f>
        <v>a163p000004VjqCAAS</v>
      </c>
      <c r="B1303" s="794">
        <v>18</v>
      </c>
      <c r="C1303" s="795" t="str">
        <f ca="1">VLOOKUP(B1303,'Coverage Indicators - Section D'!$A$9:$AU$70,47,FALSE)</f>
        <v/>
      </c>
      <c r="D1303" s="796" t="str">
        <f ca="1">R1303</f>
        <v/>
      </c>
      <c r="E1303" s="796" t="str">
        <f ca="1">S1303</f>
        <v/>
      </c>
      <c r="F1303" s="127"/>
      <c r="G1303" s="797" t="str">
        <f ca="1">IF(OR(INDIRECT("'update Helper'!E"&amp;U1303)="",F1303&lt;&gt;0,F1304&lt;&gt;0),IF(IFERROR((F1303/F1304),"")="","",(F1303/F1304)),INDIRECT("'update Helper'!E"&amp;U1303)/100)</f>
        <v/>
      </c>
      <c r="H1303" s="784"/>
      <c r="I1303" s="798"/>
      <c r="J1303" s="777"/>
      <c r="K1303" s="795" t="str">
        <f ca="1">W1303</f>
        <v/>
      </c>
      <c r="L1303" s="795" t="str">
        <f ca="1">V1303</f>
        <v/>
      </c>
      <c r="M1303" s="777"/>
      <c r="N1303" s="777"/>
      <c r="P1303" s="89">
        <f ca="1">IF(AND(EXACT(C1303,C1301),C1301&lt;&gt;0),P1301+1,0)</f>
        <v>101</v>
      </c>
      <c r="Q1303" s="89" t="str">
        <f ca="1">IF(C1303&lt;&gt;"",C1303&amp;"-"&amp;P1303,"")</f>
        <v/>
      </c>
      <c r="R1303" s="89" t="str">
        <f t="array" aca="1" ref="R1303" ca="1">IFERROR(IF(INDEX('Disaggregation Records'!$E$155:$E$385,MATCH(RIGHT(Q1303,255),RIGHT('Disaggregation Records'!$D$155:$D$385,255),0))="","",INDEX('Disaggregation Records'!$E$155:$E$385,MATCH(RIGHT(Q1303,255),RIGHT('Disaggregation Records'!$D$155:$D$385,255),0))),"")</f>
        <v/>
      </c>
      <c r="S1303" s="89" t="str">
        <f t="array" aca="1" ref="S1303" ca="1">IFERROR(IF(INDEX('Disaggregation Records'!$F$155:$F$385,MATCH(RIGHT(Q1303,255),RIGHT('Disaggregation Records'!$D$155:$D$385,255),0))="","",INDEX('Disaggregation Records'!$F$155:$F$385,MATCH(RIGHT(Q1303,255),RIGHT('Disaggregation Records'!$D$155:$D$385,255),0))),"")</f>
        <v/>
      </c>
      <c r="T1303" s="89" t="str">
        <f t="array" aca="1" ref="T1303" ca="1">IFERROR(IF(INDEX('Disaggregation Records'!$H$155:$H$385,MATCH(RIGHT(Q1303,255),RIGHT('Disaggregation Records'!$D$155:$D$385,255),0))="","",INDEX('Disaggregation Records'!$H$155:$H$385,MATCH(RIGHT(Q1303,255),RIGHT('Disaggregation Records'!$D$155:$D$385,255),0))),"")</f>
        <v/>
      </c>
      <c r="U1303" s="89">
        <f>U1301+1</f>
        <v>1761</v>
      </c>
      <c r="V1303" s="89" t="str">
        <f t="array" aca="1" ref="V1303" ca="1">IFERROR(IF(INDEX('Disaggregation Records'!$I$155:$I$385,MATCH(RIGHT(Q1303,255),RIGHT('Disaggregation Records'!$D$155:$D$385,255),0))="","",INDEX('Disaggregation Records'!$I$155:$I$385,MATCH(RIGHT(Q1303,255),RIGHT('Disaggregation Records'!$D$155:$D$385,255),0))),"")</f>
        <v/>
      </c>
      <c r="W1303" s="89" t="str">
        <f ca="1">IFERROR(INDEX('Reference Records'!L$77:L$157,MATCH(LEFT(C1303,255),'Reference Records'!E$77:E$157,0)),"")</f>
        <v/>
      </c>
    </row>
    <row r="1304" spans="1:23" s="89" customFormat="1" ht="40.35" customHeight="1">
      <c r="A1304" s="564"/>
      <c r="B1304" s="799"/>
      <c r="C1304" s="800"/>
      <c r="D1304" s="801"/>
      <c r="E1304" s="801"/>
      <c r="F1304" s="128"/>
      <c r="G1304" s="802"/>
      <c r="H1304" s="781"/>
      <c r="I1304" s="803"/>
      <c r="J1304" s="779"/>
      <c r="K1304" s="800"/>
      <c r="L1304" s="800"/>
      <c r="M1304" s="779"/>
      <c r="N1304" s="779"/>
    </row>
    <row r="1305" spans="1:23" s="89" customFormat="1" ht="40.35" customHeight="1">
      <c r="A1305" s="564" t="str">
        <f ca="1">INDIRECT("'update Helper'!C"&amp;U1305)</f>
        <v>a163p000004VjqDAAS</v>
      </c>
      <c r="B1305" s="794">
        <v>18</v>
      </c>
      <c r="C1305" s="795" t="str">
        <f ca="1">VLOOKUP(B1305,'Coverage Indicators - Section D'!$A$9:$AU$70,47,FALSE)</f>
        <v/>
      </c>
      <c r="D1305" s="796" t="str">
        <f ca="1">R1305</f>
        <v/>
      </c>
      <c r="E1305" s="796" t="str">
        <f ca="1">S1305</f>
        <v/>
      </c>
      <c r="F1305" s="127"/>
      <c r="G1305" s="797" t="str">
        <f ca="1">IF(OR(INDIRECT("'update Helper'!E"&amp;U1305)="",F1305&lt;&gt;0,F1306&lt;&gt;0),IF(IFERROR((F1305/F1306),"")="","",(F1305/F1306)),INDIRECT("'update Helper'!E"&amp;U1305)/100)</f>
        <v/>
      </c>
      <c r="H1305" s="784"/>
      <c r="I1305" s="798"/>
      <c r="J1305" s="777"/>
      <c r="K1305" s="795" t="str">
        <f ca="1">W1305</f>
        <v/>
      </c>
      <c r="L1305" s="795" t="str">
        <f ca="1">V1305</f>
        <v/>
      </c>
      <c r="M1305" s="777"/>
      <c r="N1305" s="777"/>
      <c r="P1305" s="89">
        <f ca="1">IF(AND(EXACT(C1305,C1303),C1303&lt;&gt;0),P1303+1,0)</f>
        <v>102</v>
      </c>
      <c r="Q1305" s="89" t="str">
        <f ca="1">IF(C1305&lt;&gt;"",C1305&amp;"-"&amp;P1305,"")</f>
        <v/>
      </c>
      <c r="R1305" s="89" t="str">
        <f t="array" aca="1" ref="R1305" ca="1">IFERROR(IF(INDEX('Disaggregation Records'!$E$155:$E$385,MATCH(RIGHT(Q1305,255),RIGHT('Disaggregation Records'!$D$155:$D$385,255),0))="","",INDEX('Disaggregation Records'!$E$155:$E$385,MATCH(RIGHT(Q1305,255),RIGHT('Disaggregation Records'!$D$155:$D$385,255),0))),"")</f>
        <v/>
      </c>
      <c r="S1305" s="89" t="str">
        <f t="array" aca="1" ref="S1305" ca="1">IFERROR(IF(INDEX('Disaggregation Records'!$F$155:$F$385,MATCH(RIGHT(Q1305,255),RIGHT('Disaggregation Records'!$D$155:$D$385,255),0))="","",INDEX('Disaggregation Records'!$F$155:$F$385,MATCH(RIGHT(Q1305,255),RIGHT('Disaggregation Records'!$D$155:$D$385,255),0))),"")</f>
        <v/>
      </c>
      <c r="T1305" s="89" t="str">
        <f t="array" aca="1" ref="T1305" ca="1">IFERROR(IF(INDEX('Disaggregation Records'!$H$155:$H$385,MATCH(RIGHT(Q1305,255),RIGHT('Disaggregation Records'!$D$155:$D$385,255),0))="","",INDEX('Disaggregation Records'!$H$155:$H$385,MATCH(RIGHT(Q1305,255),RIGHT('Disaggregation Records'!$D$155:$D$385,255),0))),"")</f>
        <v/>
      </c>
      <c r="U1305" s="89">
        <f>U1303+1</f>
        <v>1762</v>
      </c>
      <c r="V1305" s="89" t="str">
        <f t="array" aca="1" ref="V1305" ca="1">IFERROR(IF(INDEX('Disaggregation Records'!$I$155:$I$385,MATCH(RIGHT(Q1305,255),RIGHT('Disaggregation Records'!$D$155:$D$385,255),0))="","",INDEX('Disaggregation Records'!$I$155:$I$385,MATCH(RIGHT(Q1305,255),RIGHT('Disaggregation Records'!$D$155:$D$385,255),0))),"")</f>
        <v/>
      </c>
      <c r="W1305" s="89" t="str">
        <f ca="1">IFERROR(INDEX('Reference Records'!L$77:L$157,MATCH(LEFT(C1305,255),'Reference Records'!E$77:E$157,0)),"")</f>
        <v/>
      </c>
    </row>
    <row r="1306" spans="1:23" s="89" customFormat="1" ht="40.35" customHeight="1">
      <c r="A1306" s="564"/>
      <c r="B1306" s="799"/>
      <c r="C1306" s="800"/>
      <c r="D1306" s="801"/>
      <c r="E1306" s="801"/>
      <c r="F1306" s="128"/>
      <c r="G1306" s="802"/>
      <c r="H1306" s="781"/>
      <c r="I1306" s="803"/>
      <c r="J1306" s="779"/>
      <c r="K1306" s="800"/>
      <c r="L1306" s="800"/>
      <c r="M1306" s="779"/>
      <c r="N1306" s="779"/>
    </row>
    <row r="1307" spans="1:23" s="89" customFormat="1" ht="40.35" customHeight="1">
      <c r="A1307" s="564" t="str">
        <f ca="1">INDIRECT("'update Helper'!C"&amp;U1307)</f>
        <v>a163p000004VjqEAAS</v>
      </c>
      <c r="B1307" s="794">
        <v>18</v>
      </c>
      <c r="C1307" s="795" t="str">
        <f ca="1">VLOOKUP(B1307,'Coverage Indicators - Section D'!$A$9:$AU$70,47,FALSE)</f>
        <v/>
      </c>
      <c r="D1307" s="796" t="str">
        <f ca="1">R1307</f>
        <v/>
      </c>
      <c r="E1307" s="796" t="str">
        <f ca="1">S1307</f>
        <v/>
      </c>
      <c r="F1307" s="127"/>
      <c r="G1307" s="797" t="str">
        <f ca="1">IF(OR(INDIRECT("'update Helper'!E"&amp;U1307)="",F1307&lt;&gt;0,F1308&lt;&gt;0),IF(IFERROR((F1307/F1308),"")="","",(F1307/F1308)),INDIRECT("'update Helper'!E"&amp;U1307)/100)</f>
        <v/>
      </c>
      <c r="H1307" s="784"/>
      <c r="I1307" s="798"/>
      <c r="J1307" s="777"/>
      <c r="K1307" s="795" t="str">
        <f ca="1">W1307</f>
        <v/>
      </c>
      <c r="L1307" s="795" t="str">
        <f ca="1">V1307</f>
        <v/>
      </c>
      <c r="M1307" s="777"/>
      <c r="N1307" s="777"/>
      <c r="P1307" s="89">
        <f ca="1">IF(AND(EXACT(C1307,C1305),C1305&lt;&gt;0),P1305+1,0)</f>
        <v>103</v>
      </c>
      <c r="Q1307" s="89" t="str">
        <f ca="1">IF(C1307&lt;&gt;"",C1307&amp;"-"&amp;P1307,"")</f>
        <v/>
      </c>
      <c r="R1307" s="89" t="str">
        <f t="array" aca="1" ref="R1307" ca="1">IFERROR(IF(INDEX('Disaggregation Records'!$E$155:$E$385,MATCH(RIGHT(Q1307,255),RIGHT('Disaggregation Records'!$D$155:$D$385,255),0))="","",INDEX('Disaggregation Records'!$E$155:$E$385,MATCH(RIGHT(Q1307,255),RIGHT('Disaggregation Records'!$D$155:$D$385,255),0))),"")</f>
        <v/>
      </c>
      <c r="S1307" s="89" t="str">
        <f t="array" aca="1" ref="S1307" ca="1">IFERROR(IF(INDEX('Disaggregation Records'!$F$155:$F$385,MATCH(RIGHT(Q1307,255),RIGHT('Disaggregation Records'!$D$155:$D$385,255),0))="","",INDEX('Disaggregation Records'!$F$155:$F$385,MATCH(RIGHT(Q1307,255),RIGHT('Disaggregation Records'!$D$155:$D$385,255),0))),"")</f>
        <v/>
      </c>
      <c r="T1307" s="89" t="str">
        <f t="array" aca="1" ref="T1307" ca="1">IFERROR(IF(INDEX('Disaggregation Records'!$H$155:$H$385,MATCH(RIGHT(Q1307,255),RIGHT('Disaggregation Records'!$D$155:$D$385,255),0))="","",INDEX('Disaggregation Records'!$H$155:$H$385,MATCH(RIGHT(Q1307,255),RIGHT('Disaggregation Records'!$D$155:$D$385,255),0))),"")</f>
        <v/>
      </c>
      <c r="U1307" s="89">
        <f>U1305+1</f>
        <v>1763</v>
      </c>
      <c r="V1307" s="89" t="str">
        <f t="array" aca="1" ref="V1307" ca="1">IFERROR(IF(INDEX('Disaggregation Records'!$I$155:$I$385,MATCH(RIGHT(Q1307,255),RIGHT('Disaggregation Records'!$D$155:$D$385,255),0))="","",INDEX('Disaggregation Records'!$I$155:$I$385,MATCH(RIGHT(Q1307,255),RIGHT('Disaggregation Records'!$D$155:$D$385,255),0))),"")</f>
        <v/>
      </c>
      <c r="W1307" s="89" t="str">
        <f ca="1">IFERROR(INDEX('Reference Records'!L$77:L$157,MATCH(LEFT(C1307,255),'Reference Records'!E$77:E$157,0)),"")</f>
        <v/>
      </c>
    </row>
    <row r="1308" spans="1:23" s="89" customFormat="1" ht="40.35" customHeight="1">
      <c r="A1308" s="564"/>
      <c r="B1308" s="799"/>
      <c r="C1308" s="800"/>
      <c r="D1308" s="801"/>
      <c r="E1308" s="801"/>
      <c r="F1308" s="128"/>
      <c r="G1308" s="802"/>
      <c r="H1308" s="781"/>
      <c r="I1308" s="803"/>
      <c r="J1308" s="779"/>
      <c r="K1308" s="800"/>
      <c r="L1308" s="800"/>
      <c r="M1308" s="779"/>
      <c r="N1308" s="779"/>
    </row>
    <row r="1309" spans="1:23" s="89" customFormat="1" ht="40.35" customHeight="1">
      <c r="A1309" s="564" t="str">
        <f ca="1">INDIRECT("'update Helper'!C"&amp;U1309)</f>
        <v>a163p000004VjqFAAS</v>
      </c>
      <c r="B1309" s="794">
        <v>18</v>
      </c>
      <c r="C1309" s="795" t="str">
        <f ca="1">VLOOKUP(B1309,'Coverage Indicators - Section D'!$A$9:$AU$70,47,FALSE)</f>
        <v/>
      </c>
      <c r="D1309" s="796" t="str">
        <f ca="1">R1309</f>
        <v/>
      </c>
      <c r="E1309" s="796" t="str">
        <f ca="1">S1309</f>
        <v/>
      </c>
      <c r="F1309" s="127"/>
      <c r="G1309" s="797" t="str">
        <f ca="1">IF(OR(INDIRECT("'update Helper'!E"&amp;U1309)="",F1309&lt;&gt;0,F1310&lt;&gt;0),IF(IFERROR((F1309/F1310),"")="","",(F1309/F1310)),INDIRECT("'update Helper'!E"&amp;U1309)/100)</f>
        <v/>
      </c>
      <c r="H1309" s="784"/>
      <c r="I1309" s="798"/>
      <c r="J1309" s="777"/>
      <c r="K1309" s="795" t="str">
        <f ca="1">W1309</f>
        <v/>
      </c>
      <c r="L1309" s="795" t="str">
        <f ca="1">V1309</f>
        <v/>
      </c>
      <c r="M1309" s="777"/>
      <c r="N1309" s="777"/>
      <c r="P1309" s="89">
        <f ca="1">IF(AND(EXACT(C1309,C1307),C1307&lt;&gt;0),P1307+1,0)</f>
        <v>104</v>
      </c>
      <c r="Q1309" s="89" t="str">
        <f ca="1">IF(C1309&lt;&gt;"",C1309&amp;"-"&amp;P1309,"")</f>
        <v/>
      </c>
      <c r="R1309" s="89" t="str">
        <f t="array" aca="1" ref="R1309" ca="1">IFERROR(IF(INDEX('Disaggregation Records'!$E$155:$E$385,MATCH(RIGHT(Q1309,255),RIGHT('Disaggregation Records'!$D$155:$D$385,255),0))="","",INDEX('Disaggregation Records'!$E$155:$E$385,MATCH(RIGHT(Q1309,255),RIGHT('Disaggregation Records'!$D$155:$D$385,255),0))),"")</f>
        <v/>
      </c>
      <c r="S1309" s="89" t="str">
        <f t="array" aca="1" ref="S1309" ca="1">IFERROR(IF(INDEX('Disaggregation Records'!$F$155:$F$385,MATCH(RIGHT(Q1309,255),RIGHT('Disaggregation Records'!$D$155:$D$385,255),0))="","",INDEX('Disaggregation Records'!$F$155:$F$385,MATCH(RIGHT(Q1309,255),RIGHT('Disaggregation Records'!$D$155:$D$385,255),0))),"")</f>
        <v/>
      </c>
      <c r="T1309" s="89" t="str">
        <f t="array" aca="1" ref="T1309" ca="1">IFERROR(IF(INDEX('Disaggregation Records'!$H$155:$H$385,MATCH(RIGHT(Q1309,255),RIGHT('Disaggregation Records'!$D$155:$D$385,255),0))="","",INDEX('Disaggregation Records'!$H$155:$H$385,MATCH(RIGHT(Q1309,255),RIGHT('Disaggregation Records'!$D$155:$D$385,255),0))),"")</f>
        <v/>
      </c>
      <c r="U1309" s="89">
        <f>U1307+1</f>
        <v>1764</v>
      </c>
      <c r="V1309" s="89" t="str">
        <f t="array" aca="1" ref="V1309" ca="1">IFERROR(IF(INDEX('Disaggregation Records'!$I$155:$I$385,MATCH(RIGHT(Q1309,255),RIGHT('Disaggregation Records'!$D$155:$D$385,255),0))="","",INDEX('Disaggregation Records'!$I$155:$I$385,MATCH(RIGHT(Q1309,255),RIGHT('Disaggregation Records'!$D$155:$D$385,255),0))),"")</f>
        <v/>
      </c>
      <c r="W1309" s="89" t="str">
        <f ca="1">IFERROR(INDEX('Reference Records'!L$77:L$157,MATCH(LEFT(C1309,255),'Reference Records'!E$77:E$157,0)),"")</f>
        <v/>
      </c>
    </row>
    <row r="1310" spans="1:23" s="89" customFormat="1" ht="40.35" customHeight="1">
      <c r="A1310" s="564"/>
      <c r="B1310" s="799"/>
      <c r="C1310" s="800"/>
      <c r="D1310" s="801"/>
      <c r="E1310" s="801"/>
      <c r="F1310" s="128"/>
      <c r="G1310" s="802"/>
      <c r="H1310" s="781"/>
      <c r="I1310" s="803"/>
      <c r="J1310" s="779"/>
      <c r="K1310" s="800"/>
      <c r="L1310" s="800"/>
      <c r="M1310" s="779"/>
      <c r="N1310" s="779"/>
    </row>
    <row r="1311" spans="1:23" s="89" customFormat="1" ht="40.35" customHeight="1">
      <c r="A1311" s="564" t="str">
        <f ca="1">INDIRECT("'update Helper'!C"&amp;U1311)</f>
        <v>a163p000004VjqGAAS</v>
      </c>
      <c r="B1311" s="794">
        <v>18</v>
      </c>
      <c r="C1311" s="795" t="str">
        <f ca="1">VLOOKUP(B1311,'Coverage Indicators - Section D'!$A$9:$AU$70,47,FALSE)</f>
        <v/>
      </c>
      <c r="D1311" s="796" t="str">
        <f ca="1">R1311</f>
        <v/>
      </c>
      <c r="E1311" s="796" t="str">
        <f ca="1">S1311</f>
        <v/>
      </c>
      <c r="F1311" s="127"/>
      <c r="G1311" s="797" t="str">
        <f ca="1">IF(OR(INDIRECT("'update Helper'!E"&amp;U1311)="",F1311&lt;&gt;0,F1312&lt;&gt;0),IF(IFERROR((F1311/F1312),"")="","",(F1311/F1312)),INDIRECT("'update Helper'!E"&amp;U1311)/100)</f>
        <v/>
      </c>
      <c r="H1311" s="784"/>
      <c r="I1311" s="798"/>
      <c r="J1311" s="777"/>
      <c r="K1311" s="795" t="str">
        <f ca="1">W1311</f>
        <v/>
      </c>
      <c r="L1311" s="795" t="str">
        <f ca="1">V1311</f>
        <v/>
      </c>
      <c r="M1311" s="777"/>
      <c r="N1311" s="777"/>
      <c r="P1311" s="89">
        <f ca="1">IF(AND(EXACT(C1311,C1309),C1309&lt;&gt;0),P1309+1,0)</f>
        <v>105</v>
      </c>
      <c r="Q1311" s="89" t="str">
        <f ca="1">IF(C1311&lt;&gt;"",C1311&amp;"-"&amp;P1311,"")</f>
        <v/>
      </c>
      <c r="R1311" s="89" t="str">
        <f t="array" aca="1" ref="R1311" ca="1">IFERROR(IF(INDEX('Disaggregation Records'!$E$155:$E$385,MATCH(RIGHT(Q1311,255),RIGHT('Disaggregation Records'!$D$155:$D$385,255),0))="","",INDEX('Disaggregation Records'!$E$155:$E$385,MATCH(RIGHT(Q1311,255),RIGHT('Disaggregation Records'!$D$155:$D$385,255),0))),"")</f>
        <v/>
      </c>
      <c r="S1311" s="89" t="str">
        <f t="array" aca="1" ref="S1311" ca="1">IFERROR(IF(INDEX('Disaggregation Records'!$F$155:$F$385,MATCH(RIGHT(Q1311,255),RIGHT('Disaggregation Records'!$D$155:$D$385,255),0))="","",INDEX('Disaggregation Records'!$F$155:$F$385,MATCH(RIGHT(Q1311,255),RIGHT('Disaggregation Records'!$D$155:$D$385,255),0))),"")</f>
        <v/>
      </c>
      <c r="T1311" s="89" t="str">
        <f t="array" aca="1" ref="T1311" ca="1">IFERROR(IF(INDEX('Disaggregation Records'!$H$155:$H$385,MATCH(RIGHT(Q1311,255),RIGHT('Disaggregation Records'!$D$155:$D$385,255),0))="","",INDEX('Disaggregation Records'!$H$155:$H$385,MATCH(RIGHT(Q1311,255),RIGHT('Disaggregation Records'!$D$155:$D$385,255),0))),"")</f>
        <v/>
      </c>
      <c r="U1311" s="89">
        <f>U1309+1</f>
        <v>1765</v>
      </c>
      <c r="V1311" s="89" t="str">
        <f t="array" aca="1" ref="V1311" ca="1">IFERROR(IF(INDEX('Disaggregation Records'!$I$155:$I$385,MATCH(RIGHT(Q1311,255),RIGHT('Disaggregation Records'!$D$155:$D$385,255),0))="","",INDEX('Disaggregation Records'!$I$155:$I$385,MATCH(RIGHT(Q1311,255),RIGHT('Disaggregation Records'!$D$155:$D$385,255),0))),"")</f>
        <v/>
      </c>
      <c r="W1311" s="89" t="str">
        <f ca="1">IFERROR(INDEX('Reference Records'!L$77:L$157,MATCH(LEFT(C1311,255),'Reference Records'!E$77:E$157,0)),"")</f>
        <v/>
      </c>
    </row>
    <row r="1312" spans="1:23" s="89" customFormat="1" ht="40.35" customHeight="1">
      <c r="A1312" s="564"/>
      <c r="B1312" s="799"/>
      <c r="C1312" s="800"/>
      <c r="D1312" s="801"/>
      <c r="E1312" s="801"/>
      <c r="F1312" s="128"/>
      <c r="G1312" s="802"/>
      <c r="H1312" s="781"/>
      <c r="I1312" s="803"/>
      <c r="J1312" s="779"/>
      <c r="K1312" s="800"/>
      <c r="L1312" s="800"/>
      <c r="M1312" s="779"/>
      <c r="N1312" s="779"/>
    </row>
    <row r="1313" spans="1:23" s="89" customFormat="1" ht="40.35" customHeight="1">
      <c r="A1313" s="564" t="str">
        <f ca="1">INDIRECT("'update Helper'!C"&amp;U1313)</f>
        <v>a163p000004VjqHAAS</v>
      </c>
      <c r="B1313" s="794">
        <v>18</v>
      </c>
      <c r="C1313" s="795" t="str">
        <f ca="1">VLOOKUP(B1313,'Coverage Indicators - Section D'!$A$9:$AU$70,47,FALSE)</f>
        <v/>
      </c>
      <c r="D1313" s="796" t="str">
        <f ca="1">R1313</f>
        <v/>
      </c>
      <c r="E1313" s="796" t="str">
        <f ca="1">S1313</f>
        <v/>
      </c>
      <c r="F1313" s="127"/>
      <c r="G1313" s="797" t="str">
        <f ca="1">IF(OR(INDIRECT("'update Helper'!E"&amp;U1313)="",F1313&lt;&gt;0,F1314&lt;&gt;0),IF(IFERROR((F1313/F1314),"")="","",(F1313/F1314)),INDIRECT("'update Helper'!E"&amp;U1313)/100)</f>
        <v/>
      </c>
      <c r="H1313" s="784"/>
      <c r="I1313" s="798"/>
      <c r="J1313" s="777"/>
      <c r="K1313" s="795" t="str">
        <f ca="1">W1313</f>
        <v/>
      </c>
      <c r="L1313" s="795" t="str">
        <f ca="1">V1313</f>
        <v/>
      </c>
      <c r="M1313" s="777"/>
      <c r="N1313" s="777"/>
      <c r="P1313" s="89">
        <f ca="1">IF(AND(EXACT(C1313,C1311),C1311&lt;&gt;0),P1311+1,0)</f>
        <v>106</v>
      </c>
      <c r="Q1313" s="89" t="str">
        <f ca="1">IF(C1313&lt;&gt;"",C1313&amp;"-"&amp;P1313,"")</f>
        <v/>
      </c>
      <c r="R1313" s="89" t="str">
        <f t="array" aca="1" ref="R1313" ca="1">IFERROR(IF(INDEX('Disaggregation Records'!$E$155:$E$385,MATCH(RIGHT(Q1313,255),RIGHT('Disaggregation Records'!$D$155:$D$385,255),0))="","",INDEX('Disaggregation Records'!$E$155:$E$385,MATCH(RIGHT(Q1313,255),RIGHT('Disaggregation Records'!$D$155:$D$385,255),0))),"")</f>
        <v/>
      </c>
      <c r="S1313" s="89" t="str">
        <f t="array" aca="1" ref="S1313" ca="1">IFERROR(IF(INDEX('Disaggregation Records'!$F$155:$F$385,MATCH(RIGHT(Q1313,255),RIGHT('Disaggregation Records'!$D$155:$D$385,255),0))="","",INDEX('Disaggregation Records'!$F$155:$F$385,MATCH(RIGHT(Q1313,255),RIGHT('Disaggregation Records'!$D$155:$D$385,255),0))),"")</f>
        <v/>
      </c>
      <c r="T1313" s="89" t="str">
        <f t="array" aca="1" ref="T1313" ca="1">IFERROR(IF(INDEX('Disaggregation Records'!$H$155:$H$385,MATCH(RIGHT(Q1313,255),RIGHT('Disaggregation Records'!$D$155:$D$385,255),0))="","",INDEX('Disaggregation Records'!$H$155:$H$385,MATCH(RIGHT(Q1313,255),RIGHT('Disaggregation Records'!$D$155:$D$385,255),0))),"")</f>
        <v/>
      </c>
      <c r="U1313" s="89">
        <f>U1311+1</f>
        <v>1766</v>
      </c>
      <c r="V1313" s="89" t="str">
        <f t="array" aca="1" ref="V1313" ca="1">IFERROR(IF(INDEX('Disaggregation Records'!$I$155:$I$385,MATCH(RIGHT(Q1313,255),RIGHT('Disaggregation Records'!$D$155:$D$385,255),0))="","",INDEX('Disaggregation Records'!$I$155:$I$385,MATCH(RIGHT(Q1313,255),RIGHT('Disaggregation Records'!$D$155:$D$385,255),0))),"")</f>
        <v/>
      </c>
      <c r="W1313" s="89" t="str">
        <f ca="1">IFERROR(INDEX('Reference Records'!L$77:L$157,MATCH(LEFT(C1313,255),'Reference Records'!E$77:E$157,0)),"")</f>
        <v/>
      </c>
    </row>
    <row r="1314" spans="1:23" s="89" customFormat="1" ht="40.35" customHeight="1">
      <c r="A1314" s="564"/>
      <c r="B1314" s="799"/>
      <c r="C1314" s="800"/>
      <c r="D1314" s="801"/>
      <c r="E1314" s="801"/>
      <c r="F1314" s="128"/>
      <c r="G1314" s="802"/>
      <c r="H1314" s="781"/>
      <c r="I1314" s="803"/>
      <c r="J1314" s="779"/>
      <c r="K1314" s="800"/>
      <c r="L1314" s="800"/>
      <c r="M1314" s="779"/>
      <c r="N1314" s="779"/>
    </row>
    <row r="1315" spans="1:23" s="89" customFormat="1" ht="40.35" customHeight="1">
      <c r="A1315" s="564" t="str">
        <f ca="1">INDIRECT("'update Helper'!C"&amp;U1315)</f>
        <v>a163p000004VjqIAAS</v>
      </c>
      <c r="B1315" s="794">
        <v>18</v>
      </c>
      <c r="C1315" s="795" t="str">
        <f ca="1">VLOOKUP(B1315,'Coverage Indicators - Section D'!$A$9:$AU$70,47,FALSE)</f>
        <v/>
      </c>
      <c r="D1315" s="796" t="str">
        <f ca="1">R1315</f>
        <v/>
      </c>
      <c r="E1315" s="796" t="str">
        <f ca="1">S1315</f>
        <v/>
      </c>
      <c r="F1315" s="127"/>
      <c r="G1315" s="797" t="str">
        <f ca="1">IF(OR(INDIRECT("'update Helper'!E"&amp;U1315)="",F1315&lt;&gt;0,F1316&lt;&gt;0),IF(IFERROR((F1315/F1316),"")="","",(F1315/F1316)),INDIRECT("'update Helper'!E"&amp;U1315)/100)</f>
        <v/>
      </c>
      <c r="H1315" s="784"/>
      <c r="I1315" s="798"/>
      <c r="J1315" s="777"/>
      <c r="K1315" s="795" t="str">
        <f ca="1">W1315</f>
        <v/>
      </c>
      <c r="L1315" s="795" t="str">
        <f ca="1">V1315</f>
        <v/>
      </c>
      <c r="M1315" s="777"/>
      <c r="N1315" s="777"/>
      <c r="P1315" s="89">
        <f ca="1">IF(AND(EXACT(C1315,C1313),C1313&lt;&gt;0),P1313+1,0)</f>
        <v>107</v>
      </c>
      <c r="Q1315" s="89" t="str">
        <f ca="1">IF(C1315&lt;&gt;"",C1315&amp;"-"&amp;P1315,"")</f>
        <v/>
      </c>
      <c r="R1315" s="89" t="str">
        <f t="array" aca="1" ref="R1315" ca="1">IFERROR(IF(INDEX('Disaggregation Records'!$E$155:$E$385,MATCH(RIGHT(Q1315,255),RIGHT('Disaggregation Records'!$D$155:$D$385,255),0))="","",INDEX('Disaggregation Records'!$E$155:$E$385,MATCH(RIGHT(Q1315,255),RIGHT('Disaggregation Records'!$D$155:$D$385,255),0))),"")</f>
        <v/>
      </c>
      <c r="S1315" s="89" t="str">
        <f t="array" aca="1" ref="S1315" ca="1">IFERROR(IF(INDEX('Disaggregation Records'!$F$155:$F$385,MATCH(RIGHT(Q1315,255),RIGHT('Disaggregation Records'!$D$155:$D$385,255),0))="","",INDEX('Disaggregation Records'!$F$155:$F$385,MATCH(RIGHT(Q1315,255),RIGHT('Disaggregation Records'!$D$155:$D$385,255),0))),"")</f>
        <v/>
      </c>
      <c r="T1315" s="89" t="str">
        <f t="array" aca="1" ref="T1315" ca="1">IFERROR(IF(INDEX('Disaggregation Records'!$H$155:$H$385,MATCH(RIGHT(Q1315,255),RIGHT('Disaggregation Records'!$D$155:$D$385,255),0))="","",INDEX('Disaggregation Records'!$H$155:$H$385,MATCH(RIGHT(Q1315,255),RIGHT('Disaggregation Records'!$D$155:$D$385,255),0))),"")</f>
        <v/>
      </c>
      <c r="U1315" s="89">
        <f>U1313+1</f>
        <v>1767</v>
      </c>
      <c r="V1315" s="89" t="str">
        <f t="array" aca="1" ref="V1315" ca="1">IFERROR(IF(INDEX('Disaggregation Records'!$I$155:$I$385,MATCH(RIGHT(Q1315,255),RIGHT('Disaggregation Records'!$D$155:$D$385,255),0))="","",INDEX('Disaggregation Records'!$I$155:$I$385,MATCH(RIGHT(Q1315,255),RIGHT('Disaggregation Records'!$D$155:$D$385,255),0))),"")</f>
        <v/>
      </c>
      <c r="W1315" s="89" t="str">
        <f ca="1">IFERROR(INDEX('Reference Records'!L$77:L$157,MATCH(LEFT(C1315,255),'Reference Records'!E$77:E$157,0)),"")</f>
        <v/>
      </c>
    </row>
    <row r="1316" spans="1:23" s="89" customFormat="1" ht="40.35" customHeight="1">
      <c r="A1316" s="564"/>
      <c r="B1316" s="799"/>
      <c r="C1316" s="800"/>
      <c r="D1316" s="801"/>
      <c r="E1316" s="801"/>
      <c r="F1316" s="128"/>
      <c r="G1316" s="802"/>
      <c r="H1316" s="781"/>
      <c r="I1316" s="803"/>
      <c r="J1316" s="779"/>
      <c r="K1316" s="800"/>
      <c r="L1316" s="800"/>
      <c r="M1316" s="779"/>
      <c r="N1316" s="779"/>
    </row>
    <row r="1317" spans="1:23" s="89" customFormat="1" ht="40.35" customHeight="1">
      <c r="A1317" s="564" t="str">
        <f ca="1">INDIRECT("'update Helper'!C"&amp;U1317)</f>
        <v>a163p000004VjqJAAS</v>
      </c>
      <c r="B1317" s="794">
        <v>18</v>
      </c>
      <c r="C1317" s="795" t="str">
        <f ca="1">VLOOKUP(B1317,'Coverage Indicators - Section D'!$A$9:$AU$70,47,FALSE)</f>
        <v/>
      </c>
      <c r="D1317" s="796" t="str">
        <f ca="1">R1317</f>
        <v/>
      </c>
      <c r="E1317" s="796" t="str">
        <f ca="1">S1317</f>
        <v/>
      </c>
      <c r="F1317" s="127"/>
      <c r="G1317" s="797" t="str">
        <f ca="1">IF(OR(INDIRECT("'update Helper'!E"&amp;U1317)="",F1317&lt;&gt;0,F1318&lt;&gt;0),IF(IFERROR((F1317/F1318),"")="","",(F1317/F1318)),INDIRECT("'update Helper'!E"&amp;U1317)/100)</f>
        <v/>
      </c>
      <c r="H1317" s="784"/>
      <c r="I1317" s="798"/>
      <c r="J1317" s="777"/>
      <c r="K1317" s="795" t="str">
        <f ca="1">W1317</f>
        <v/>
      </c>
      <c r="L1317" s="795" t="str">
        <f ca="1">V1317</f>
        <v/>
      </c>
      <c r="M1317" s="777"/>
      <c r="N1317" s="777"/>
      <c r="P1317" s="89">
        <f ca="1">IF(AND(EXACT(C1317,C1315),C1315&lt;&gt;0),P1315+1,0)</f>
        <v>108</v>
      </c>
      <c r="Q1317" s="89" t="str">
        <f ca="1">IF(C1317&lt;&gt;"",C1317&amp;"-"&amp;P1317,"")</f>
        <v/>
      </c>
      <c r="R1317" s="89" t="str">
        <f t="array" aca="1" ref="R1317" ca="1">IFERROR(IF(INDEX('Disaggregation Records'!$E$155:$E$385,MATCH(RIGHT(Q1317,255),RIGHT('Disaggregation Records'!$D$155:$D$385,255),0))="","",INDEX('Disaggregation Records'!$E$155:$E$385,MATCH(RIGHT(Q1317,255),RIGHT('Disaggregation Records'!$D$155:$D$385,255),0))),"")</f>
        <v/>
      </c>
      <c r="S1317" s="89" t="str">
        <f t="array" aca="1" ref="S1317" ca="1">IFERROR(IF(INDEX('Disaggregation Records'!$F$155:$F$385,MATCH(RIGHT(Q1317,255),RIGHT('Disaggregation Records'!$D$155:$D$385,255),0))="","",INDEX('Disaggregation Records'!$F$155:$F$385,MATCH(RIGHT(Q1317,255),RIGHT('Disaggregation Records'!$D$155:$D$385,255),0))),"")</f>
        <v/>
      </c>
      <c r="T1317" s="89" t="str">
        <f t="array" aca="1" ref="T1317" ca="1">IFERROR(IF(INDEX('Disaggregation Records'!$H$155:$H$385,MATCH(RIGHT(Q1317,255),RIGHT('Disaggregation Records'!$D$155:$D$385,255),0))="","",INDEX('Disaggregation Records'!$H$155:$H$385,MATCH(RIGHT(Q1317,255),RIGHT('Disaggregation Records'!$D$155:$D$385,255),0))),"")</f>
        <v/>
      </c>
      <c r="U1317" s="89">
        <f>U1315+1</f>
        <v>1768</v>
      </c>
      <c r="V1317" s="89" t="str">
        <f t="array" aca="1" ref="V1317" ca="1">IFERROR(IF(INDEX('Disaggregation Records'!$I$155:$I$385,MATCH(RIGHT(Q1317,255),RIGHT('Disaggregation Records'!$D$155:$D$385,255),0))="","",INDEX('Disaggregation Records'!$I$155:$I$385,MATCH(RIGHT(Q1317,255),RIGHT('Disaggregation Records'!$D$155:$D$385,255),0))),"")</f>
        <v/>
      </c>
      <c r="W1317" s="89" t="str">
        <f ca="1">IFERROR(INDEX('Reference Records'!L$77:L$157,MATCH(LEFT(C1317,255),'Reference Records'!E$77:E$157,0)),"")</f>
        <v/>
      </c>
    </row>
    <row r="1318" spans="1:23" s="89" customFormat="1" ht="40.35" customHeight="1">
      <c r="A1318" s="564"/>
      <c r="B1318" s="799"/>
      <c r="C1318" s="800"/>
      <c r="D1318" s="801"/>
      <c r="E1318" s="801"/>
      <c r="F1318" s="128"/>
      <c r="G1318" s="802"/>
      <c r="H1318" s="781"/>
      <c r="I1318" s="803"/>
      <c r="J1318" s="779"/>
      <c r="K1318" s="800"/>
      <c r="L1318" s="800"/>
      <c r="M1318" s="779"/>
      <c r="N1318" s="779"/>
    </row>
    <row r="1319" spans="1:23" s="89" customFormat="1" ht="40.35" customHeight="1">
      <c r="A1319" s="564" t="str">
        <f ca="1">INDIRECT("'update Helper'!C"&amp;U1319)</f>
        <v>a163p000004VjqKAAS</v>
      </c>
      <c r="B1319" s="794">
        <v>18</v>
      </c>
      <c r="C1319" s="795" t="str">
        <f ca="1">VLOOKUP(B1319,'Coverage Indicators - Section D'!$A$9:$AU$70,47,FALSE)</f>
        <v/>
      </c>
      <c r="D1319" s="796" t="str">
        <f ca="1">R1319</f>
        <v/>
      </c>
      <c r="E1319" s="796" t="str">
        <f ca="1">S1319</f>
        <v/>
      </c>
      <c r="F1319" s="127"/>
      <c r="G1319" s="797" t="str">
        <f ca="1">IF(OR(INDIRECT("'update Helper'!E"&amp;U1319)="",F1319&lt;&gt;0,F1320&lt;&gt;0),IF(IFERROR((F1319/F1320),"")="","",(F1319/F1320)),INDIRECT("'update Helper'!E"&amp;U1319)/100)</f>
        <v/>
      </c>
      <c r="H1319" s="784"/>
      <c r="I1319" s="798"/>
      <c r="J1319" s="777"/>
      <c r="K1319" s="795" t="str">
        <f ca="1">W1319</f>
        <v/>
      </c>
      <c r="L1319" s="795" t="str">
        <f ca="1">V1319</f>
        <v/>
      </c>
      <c r="M1319" s="777"/>
      <c r="N1319" s="777"/>
      <c r="P1319" s="89">
        <f ca="1">IF(AND(EXACT(C1319,C1317),C1317&lt;&gt;0),P1317+1,0)</f>
        <v>109</v>
      </c>
      <c r="Q1319" s="89" t="str">
        <f ca="1">IF(C1319&lt;&gt;"",C1319&amp;"-"&amp;P1319,"")</f>
        <v/>
      </c>
      <c r="R1319" s="89" t="str">
        <f t="array" aca="1" ref="R1319" ca="1">IFERROR(IF(INDEX('Disaggregation Records'!$E$155:$E$385,MATCH(RIGHT(Q1319,255),RIGHT('Disaggregation Records'!$D$155:$D$385,255),0))="","",INDEX('Disaggregation Records'!$E$155:$E$385,MATCH(RIGHT(Q1319,255),RIGHT('Disaggregation Records'!$D$155:$D$385,255),0))),"")</f>
        <v/>
      </c>
      <c r="S1319" s="89" t="str">
        <f t="array" aca="1" ref="S1319" ca="1">IFERROR(IF(INDEX('Disaggregation Records'!$F$155:$F$385,MATCH(RIGHT(Q1319,255),RIGHT('Disaggregation Records'!$D$155:$D$385,255),0))="","",INDEX('Disaggregation Records'!$F$155:$F$385,MATCH(RIGHT(Q1319,255),RIGHT('Disaggregation Records'!$D$155:$D$385,255),0))),"")</f>
        <v/>
      </c>
      <c r="T1319" s="89" t="str">
        <f t="array" aca="1" ref="T1319" ca="1">IFERROR(IF(INDEX('Disaggregation Records'!$H$155:$H$385,MATCH(RIGHT(Q1319,255),RIGHT('Disaggregation Records'!$D$155:$D$385,255),0))="","",INDEX('Disaggregation Records'!$H$155:$H$385,MATCH(RIGHT(Q1319,255),RIGHT('Disaggregation Records'!$D$155:$D$385,255),0))),"")</f>
        <v/>
      </c>
      <c r="U1319" s="89">
        <f>U1317+1</f>
        <v>1769</v>
      </c>
      <c r="V1319" s="89" t="str">
        <f t="array" aca="1" ref="V1319" ca="1">IFERROR(IF(INDEX('Disaggregation Records'!$I$155:$I$385,MATCH(RIGHT(Q1319,255),RIGHT('Disaggregation Records'!$D$155:$D$385,255),0))="","",INDEX('Disaggregation Records'!$I$155:$I$385,MATCH(RIGHT(Q1319,255),RIGHT('Disaggregation Records'!$D$155:$D$385,255),0))),"")</f>
        <v/>
      </c>
      <c r="W1319" s="89" t="str">
        <f ca="1">IFERROR(INDEX('Reference Records'!L$77:L$157,MATCH(LEFT(C1319,255),'Reference Records'!E$77:E$157,0)),"")</f>
        <v/>
      </c>
    </row>
    <row r="1320" spans="1:23" s="89" customFormat="1" ht="40.35" customHeight="1">
      <c r="A1320" s="564"/>
      <c r="B1320" s="799"/>
      <c r="C1320" s="800"/>
      <c r="D1320" s="801"/>
      <c r="E1320" s="801"/>
      <c r="F1320" s="128"/>
      <c r="G1320" s="802"/>
      <c r="H1320" s="781"/>
      <c r="I1320" s="803"/>
      <c r="J1320" s="779"/>
      <c r="K1320" s="800"/>
      <c r="L1320" s="800"/>
      <c r="M1320" s="779"/>
      <c r="N1320" s="779"/>
    </row>
    <row r="1321" spans="1:23" s="89" customFormat="1" ht="40.35" customHeight="1">
      <c r="A1321" s="564" t="str">
        <f ca="1">INDIRECT("'update Helper'!C"&amp;U1321)</f>
        <v>a163p000004VjqLAAS</v>
      </c>
      <c r="B1321" s="794">
        <v>18</v>
      </c>
      <c r="C1321" s="795" t="str">
        <f ca="1">VLOOKUP(B1321,'Coverage Indicators - Section D'!$A$9:$AU$70,47,FALSE)</f>
        <v/>
      </c>
      <c r="D1321" s="796" t="str">
        <f ca="1">R1321</f>
        <v/>
      </c>
      <c r="E1321" s="796" t="str">
        <f ca="1">S1321</f>
        <v/>
      </c>
      <c r="F1321" s="127"/>
      <c r="G1321" s="797" t="str">
        <f ca="1">IF(OR(INDIRECT("'update Helper'!E"&amp;U1321)="",F1321&lt;&gt;0,F1322&lt;&gt;0),IF(IFERROR((F1321/F1322),"")="","",(F1321/F1322)),INDIRECT("'update Helper'!E"&amp;U1321)/100)</f>
        <v/>
      </c>
      <c r="H1321" s="784"/>
      <c r="I1321" s="798"/>
      <c r="J1321" s="777"/>
      <c r="K1321" s="795" t="str">
        <f ca="1">W1321</f>
        <v/>
      </c>
      <c r="L1321" s="795" t="str">
        <f ca="1">V1321</f>
        <v/>
      </c>
      <c r="M1321" s="777"/>
      <c r="N1321" s="777"/>
      <c r="P1321" s="89">
        <f ca="1">IF(AND(EXACT(C1321,C1319),C1319&lt;&gt;0),P1319+1,0)</f>
        <v>110</v>
      </c>
      <c r="Q1321" s="89" t="str">
        <f ca="1">IF(C1321&lt;&gt;"",C1321&amp;"-"&amp;P1321,"")</f>
        <v/>
      </c>
      <c r="R1321" s="89" t="str">
        <f t="array" aca="1" ref="R1321" ca="1">IFERROR(IF(INDEX('Disaggregation Records'!$E$155:$E$385,MATCH(RIGHT(Q1321,255),RIGHT('Disaggregation Records'!$D$155:$D$385,255),0))="","",INDEX('Disaggregation Records'!$E$155:$E$385,MATCH(RIGHT(Q1321,255),RIGHT('Disaggregation Records'!$D$155:$D$385,255),0))),"")</f>
        <v/>
      </c>
      <c r="S1321" s="89" t="str">
        <f t="array" aca="1" ref="S1321" ca="1">IFERROR(IF(INDEX('Disaggregation Records'!$F$155:$F$385,MATCH(RIGHT(Q1321,255),RIGHT('Disaggregation Records'!$D$155:$D$385,255),0))="","",INDEX('Disaggregation Records'!$F$155:$F$385,MATCH(RIGHT(Q1321,255),RIGHT('Disaggregation Records'!$D$155:$D$385,255),0))),"")</f>
        <v/>
      </c>
      <c r="T1321" s="89" t="str">
        <f t="array" aca="1" ref="T1321" ca="1">IFERROR(IF(INDEX('Disaggregation Records'!$H$155:$H$385,MATCH(RIGHT(Q1321,255),RIGHT('Disaggregation Records'!$D$155:$D$385,255),0))="","",INDEX('Disaggregation Records'!$H$155:$H$385,MATCH(RIGHT(Q1321,255),RIGHT('Disaggregation Records'!$D$155:$D$385,255),0))),"")</f>
        <v/>
      </c>
      <c r="U1321" s="89">
        <f>U1319+1</f>
        <v>1770</v>
      </c>
      <c r="V1321" s="89" t="str">
        <f t="array" aca="1" ref="V1321" ca="1">IFERROR(IF(INDEX('Disaggregation Records'!$I$155:$I$385,MATCH(RIGHT(Q1321,255),RIGHT('Disaggregation Records'!$D$155:$D$385,255),0))="","",INDEX('Disaggregation Records'!$I$155:$I$385,MATCH(RIGHT(Q1321,255),RIGHT('Disaggregation Records'!$D$155:$D$385,255),0))),"")</f>
        <v/>
      </c>
      <c r="W1321" s="89" t="str">
        <f ca="1">IFERROR(INDEX('Reference Records'!L$77:L$157,MATCH(LEFT(C1321,255),'Reference Records'!E$77:E$157,0)),"")</f>
        <v/>
      </c>
    </row>
    <row r="1322" spans="1:23" s="89" customFormat="1" ht="40.35" customHeight="1">
      <c r="A1322" s="564"/>
      <c r="B1322" s="799"/>
      <c r="C1322" s="800"/>
      <c r="D1322" s="801"/>
      <c r="E1322" s="801"/>
      <c r="F1322" s="128"/>
      <c r="G1322" s="802"/>
      <c r="H1322" s="781"/>
      <c r="I1322" s="803"/>
      <c r="J1322" s="779"/>
      <c r="K1322" s="800"/>
      <c r="L1322" s="800"/>
      <c r="M1322" s="779"/>
      <c r="N1322" s="779"/>
    </row>
    <row r="1323" spans="1:23" s="89" customFormat="1" ht="40.35" customHeight="1">
      <c r="A1323" s="564" t="str">
        <f ca="1">INDIRECT("'update Helper'!C"&amp;U1323)</f>
        <v>a163p000004VjqMAAS</v>
      </c>
      <c r="B1323" s="794">
        <v>18</v>
      </c>
      <c r="C1323" s="795" t="str">
        <f ca="1">VLOOKUP(B1323,'Coverage Indicators - Section D'!$A$9:$AU$70,47,FALSE)</f>
        <v/>
      </c>
      <c r="D1323" s="796" t="str">
        <f ca="1">R1323</f>
        <v/>
      </c>
      <c r="E1323" s="796" t="str">
        <f ca="1">S1323</f>
        <v/>
      </c>
      <c r="F1323" s="127"/>
      <c r="G1323" s="797" t="str">
        <f ca="1">IF(OR(INDIRECT("'update Helper'!E"&amp;U1323)="",F1323&lt;&gt;0,F1324&lt;&gt;0),IF(IFERROR((F1323/F1324),"")="","",(F1323/F1324)),INDIRECT("'update Helper'!E"&amp;U1323)/100)</f>
        <v/>
      </c>
      <c r="H1323" s="784"/>
      <c r="I1323" s="798"/>
      <c r="J1323" s="777"/>
      <c r="K1323" s="795" t="str">
        <f ca="1">W1323</f>
        <v/>
      </c>
      <c r="L1323" s="795" t="str">
        <f ca="1">V1323</f>
        <v/>
      </c>
      <c r="M1323" s="777"/>
      <c r="N1323" s="777"/>
      <c r="P1323" s="89">
        <f ca="1">IF(AND(EXACT(C1323,C1321),C1321&lt;&gt;0),P1321+1,0)</f>
        <v>111</v>
      </c>
      <c r="Q1323" s="89" t="str">
        <f ca="1">IF(C1323&lt;&gt;"",C1323&amp;"-"&amp;P1323,"")</f>
        <v/>
      </c>
      <c r="R1323" s="89" t="str">
        <f t="array" aca="1" ref="R1323" ca="1">IFERROR(IF(INDEX('Disaggregation Records'!$E$155:$E$385,MATCH(RIGHT(Q1323,255),RIGHT('Disaggregation Records'!$D$155:$D$385,255),0))="","",INDEX('Disaggregation Records'!$E$155:$E$385,MATCH(RIGHT(Q1323,255),RIGHT('Disaggregation Records'!$D$155:$D$385,255),0))),"")</f>
        <v/>
      </c>
      <c r="S1323" s="89" t="str">
        <f t="array" aca="1" ref="S1323" ca="1">IFERROR(IF(INDEX('Disaggregation Records'!$F$155:$F$385,MATCH(RIGHT(Q1323,255),RIGHT('Disaggregation Records'!$D$155:$D$385,255),0))="","",INDEX('Disaggregation Records'!$F$155:$F$385,MATCH(RIGHT(Q1323,255),RIGHT('Disaggregation Records'!$D$155:$D$385,255),0))),"")</f>
        <v/>
      </c>
      <c r="T1323" s="89" t="str">
        <f t="array" aca="1" ref="T1323" ca="1">IFERROR(IF(INDEX('Disaggregation Records'!$H$155:$H$385,MATCH(RIGHT(Q1323,255),RIGHT('Disaggregation Records'!$D$155:$D$385,255),0))="","",INDEX('Disaggregation Records'!$H$155:$H$385,MATCH(RIGHT(Q1323,255),RIGHT('Disaggregation Records'!$D$155:$D$385,255),0))),"")</f>
        <v/>
      </c>
      <c r="U1323" s="89">
        <f>U1321+1</f>
        <v>1771</v>
      </c>
      <c r="V1323" s="89" t="str">
        <f t="array" aca="1" ref="V1323" ca="1">IFERROR(IF(INDEX('Disaggregation Records'!$I$155:$I$385,MATCH(RIGHT(Q1323,255),RIGHT('Disaggregation Records'!$D$155:$D$385,255),0))="","",INDEX('Disaggregation Records'!$I$155:$I$385,MATCH(RIGHT(Q1323,255),RIGHT('Disaggregation Records'!$D$155:$D$385,255),0))),"")</f>
        <v/>
      </c>
      <c r="W1323" s="89" t="str">
        <f ca="1">IFERROR(INDEX('Reference Records'!L$77:L$157,MATCH(LEFT(C1323,255),'Reference Records'!E$77:E$157,0)),"")</f>
        <v/>
      </c>
    </row>
    <row r="1324" spans="1:23" s="89" customFormat="1" ht="40.35" customHeight="1">
      <c r="A1324" s="564"/>
      <c r="B1324" s="799"/>
      <c r="C1324" s="800"/>
      <c r="D1324" s="801"/>
      <c r="E1324" s="801"/>
      <c r="F1324" s="128"/>
      <c r="G1324" s="802"/>
      <c r="H1324" s="781"/>
      <c r="I1324" s="803"/>
      <c r="J1324" s="779"/>
      <c r="K1324" s="800"/>
      <c r="L1324" s="800"/>
      <c r="M1324" s="779"/>
      <c r="N1324" s="779"/>
    </row>
    <row r="1325" spans="1:23" s="89" customFormat="1" ht="40.35" customHeight="1">
      <c r="A1325" s="564" t="str">
        <f ca="1">INDIRECT("'update Helper'!C"&amp;U1325)</f>
        <v>a163p000004VjqNAAS</v>
      </c>
      <c r="B1325" s="794">
        <v>18</v>
      </c>
      <c r="C1325" s="795" t="str">
        <f ca="1">VLOOKUP(B1325,'Coverage Indicators - Section D'!$A$9:$AU$70,47,FALSE)</f>
        <v/>
      </c>
      <c r="D1325" s="796" t="str">
        <f ca="1">R1325</f>
        <v/>
      </c>
      <c r="E1325" s="796" t="str">
        <f ca="1">S1325</f>
        <v/>
      </c>
      <c r="F1325" s="127"/>
      <c r="G1325" s="797" t="str">
        <f ca="1">IF(OR(INDIRECT("'update Helper'!E"&amp;U1325)="",F1325&lt;&gt;0,F1326&lt;&gt;0),IF(IFERROR((F1325/F1326),"")="","",(F1325/F1326)),INDIRECT("'update Helper'!E"&amp;U1325)/100)</f>
        <v/>
      </c>
      <c r="H1325" s="784"/>
      <c r="I1325" s="798"/>
      <c r="J1325" s="777"/>
      <c r="K1325" s="795" t="str">
        <f ca="1">W1325</f>
        <v/>
      </c>
      <c r="L1325" s="795" t="str">
        <f ca="1">V1325</f>
        <v/>
      </c>
      <c r="M1325" s="777"/>
      <c r="N1325" s="777"/>
      <c r="P1325" s="89">
        <f ca="1">IF(AND(EXACT(C1325,C1323),C1323&lt;&gt;0),P1323+1,0)</f>
        <v>112</v>
      </c>
      <c r="Q1325" s="89" t="str">
        <f ca="1">IF(C1325&lt;&gt;"",C1325&amp;"-"&amp;P1325,"")</f>
        <v/>
      </c>
      <c r="R1325" s="89" t="str">
        <f t="array" aca="1" ref="R1325" ca="1">IFERROR(IF(INDEX('Disaggregation Records'!$E$155:$E$385,MATCH(RIGHT(Q1325,255),RIGHT('Disaggregation Records'!$D$155:$D$385,255),0))="","",INDEX('Disaggregation Records'!$E$155:$E$385,MATCH(RIGHT(Q1325,255),RIGHT('Disaggregation Records'!$D$155:$D$385,255),0))),"")</f>
        <v/>
      </c>
      <c r="S1325" s="89" t="str">
        <f t="array" aca="1" ref="S1325" ca="1">IFERROR(IF(INDEX('Disaggregation Records'!$F$155:$F$385,MATCH(RIGHT(Q1325,255),RIGHT('Disaggregation Records'!$D$155:$D$385,255),0))="","",INDEX('Disaggregation Records'!$F$155:$F$385,MATCH(RIGHT(Q1325,255),RIGHT('Disaggregation Records'!$D$155:$D$385,255),0))),"")</f>
        <v/>
      </c>
      <c r="T1325" s="89" t="str">
        <f t="array" aca="1" ref="T1325" ca="1">IFERROR(IF(INDEX('Disaggregation Records'!$H$155:$H$385,MATCH(RIGHT(Q1325,255),RIGHT('Disaggregation Records'!$D$155:$D$385,255),0))="","",INDEX('Disaggregation Records'!$H$155:$H$385,MATCH(RIGHT(Q1325,255),RIGHT('Disaggregation Records'!$D$155:$D$385,255),0))),"")</f>
        <v/>
      </c>
      <c r="U1325" s="89">
        <f>U1323+1</f>
        <v>1772</v>
      </c>
      <c r="V1325" s="89" t="str">
        <f t="array" aca="1" ref="V1325" ca="1">IFERROR(IF(INDEX('Disaggregation Records'!$I$155:$I$385,MATCH(RIGHT(Q1325,255),RIGHT('Disaggregation Records'!$D$155:$D$385,255),0))="","",INDEX('Disaggregation Records'!$I$155:$I$385,MATCH(RIGHT(Q1325,255),RIGHT('Disaggregation Records'!$D$155:$D$385,255),0))),"")</f>
        <v/>
      </c>
      <c r="W1325" s="89" t="str">
        <f ca="1">IFERROR(INDEX('Reference Records'!L$77:L$157,MATCH(LEFT(C1325,255),'Reference Records'!E$77:E$157,0)),"")</f>
        <v/>
      </c>
    </row>
    <row r="1326" spans="1:23" s="89" customFormat="1" ht="40.35" customHeight="1">
      <c r="A1326" s="564"/>
      <c r="B1326" s="799"/>
      <c r="C1326" s="800"/>
      <c r="D1326" s="801"/>
      <c r="E1326" s="801"/>
      <c r="F1326" s="128"/>
      <c r="G1326" s="802"/>
      <c r="H1326" s="781"/>
      <c r="I1326" s="803"/>
      <c r="J1326" s="779"/>
      <c r="K1326" s="800"/>
      <c r="L1326" s="800"/>
      <c r="M1326" s="779"/>
      <c r="N1326" s="779"/>
    </row>
    <row r="1327" spans="1:23" s="89" customFormat="1" ht="40.35" customHeight="1">
      <c r="A1327" s="564" t="str">
        <f ca="1">INDIRECT("'update Helper'!C"&amp;U1327)</f>
        <v>a163p000004VjqOAAS</v>
      </c>
      <c r="B1327" s="794">
        <v>18</v>
      </c>
      <c r="C1327" s="795" t="str">
        <f ca="1">VLOOKUP(B1327,'Coverage Indicators - Section D'!$A$9:$AU$70,47,FALSE)</f>
        <v/>
      </c>
      <c r="D1327" s="796" t="str">
        <f ca="1">R1327</f>
        <v/>
      </c>
      <c r="E1327" s="796" t="str">
        <f ca="1">S1327</f>
        <v/>
      </c>
      <c r="F1327" s="127"/>
      <c r="G1327" s="797" t="str">
        <f ca="1">IF(OR(INDIRECT("'update Helper'!E"&amp;U1327)="",F1327&lt;&gt;0,F1328&lt;&gt;0),IF(IFERROR((F1327/F1328),"")="","",(F1327/F1328)),INDIRECT("'update Helper'!E"&amp;U1327)/100)</f>
        <v/>
      </c>
      <c r="H1327" s="784"/>
      <c r="I1327" s="798"/>
      <c r="J1327" s="777"/>
      <c r="K1327" s="795" t="str">
        <f ca="1">W1327</f>
        <v/>
      </c>
      <c r="L1327" s="795" t="str">
        <f ca="1">V1327</f>
        <v/>
      </c>
      <c r="M1327" s="777"/>
      <c r="N1327" s="777"/>
      <c r="P1327" s="89">
        <f ca="1">IF(AND(EXACT(C1327,C1325),C1325&lt;&gt;0),P1325+1,0)</f>
        <v>113</v>
      </c>
      <c r="Q1327" s="89" t="str">
        <f ca="1">IF(C1327&lt;&gt;"",C1327&amp;"-"&amp;P1327,"")</f>
        <v/>
      </c>
      <c r="R1327" s="89" t="str">
        <f t="array" aca="1" ref="R1327" ca="1">IFERROR(IF(INDEX('Disaggregation Records'!$E$155:$E$385,MATCH(RIGHT(Q1327,255),RIGHT('Disaggregation Records'!$D$155:$D$385,255),0))="","",INDEX('Disaggregation Records'!$E$155:$E$385,MATCH(RIGHT(Q1327,255),RIGHT('Disaggregation Records'!$D$155:$D$385,255),0))),"")</f>
        <v/>
      </c>
      <c r="S1327" s="89" t="str">
        <f t="array" aca="1" ref="S1327" ca="1">IFERROR(IF(INDEX('Disaggregation Records'!$F$155:$F$385,MATCH(RIGHT(Q1327,255),RIGHT('Disaggregation Records'!$D$155:$D$385,255),0))="","",INDEX('Disaggregation Records'!$F$155:$F$385,MATCH(RIGHT(Q1327,255),RIGHT('Disaggregation Records'!$D$155:$D$385,255),0))),"")</f>
        <v/>
      </c>
      <c r="T1327" s="89" t="str">
        <f t="array" aca="1" ref="T1327" ca="1">IFERROR(IF(INDEX('Disaggregation Records'!$H$155:$H$385,MATCH(RIGHT(Q1327,255),RIGHT('Disaggregation Records'!$D$155:$D$385,255),0))="","",INDEX('Disaggregation Records'!$H$155:$H$385,MATCH(RIGHT(Q1327,255),RIGHT('Disaggregation Records'!$D$155:$D$385,255),0))),"")</f>
        <v/>
      </c>
      <c r="U1327" s="89">
        <f>U1325+1</f>
        <v>1773</v>
      </c>
      <c r="V1327" s="89" t="str">
        <f t="array" aca="1" ref="V1327" ca="1">IFERROR(IF(INDEX('Disaggregation Records'!$I$155:$I$385,MATCH(RIGHT(Q1327,255),RIGHT('Disaggregation Records'!$D$155:$D$385,255),0))="","",INDEX('Disaggregation Records'!$I$155:$I$385,MATCH(RIGHT(Q1327,255),RIGHT('Disaggregation Records'!$D$155:$D$385,255),0))),"")</f>
        <v/>
      </c>
      <c r="W1327" s="89" t="str">
        <f ca="1">IFERROR(INDEX('Reference Records'!L$77:L$157,MATCH(LEFT(C1327,255),'Reference Records'!E$77:E$157,0)),"")</f>
        <v/>
      </c>
    </row>
    <row r="1328" spans="1:23" s="89" customFormat="1" ht="40.35" customHeight="1">
      <c r="A1328" s="564"/>
      <c r="B1328" s="799"/>
      <c r="C1328" s="800"/>
      <c r="D1328" s="801"/>
      <c r="E1328" s="801"/>
      <c r="F1328" s="128"/>
      <c r="G1328" s="802"/>
      <c r="H1328" s="781"/>
      <c r="I1328" s="803"/>
      <c r="J1328" s="779"/>
      <c r="K1328" s="800"/>
      <c r="L1328" s="800"/>
      <c r="M1328" s="779"/>
      <c r="N1328" s="779"/>
    </row>
    <row r="1329" spans="1:23" s="89" customFormat="1" ht="40.35" customHeight="1">
      <c r="A1329" s="564" t="str">
        <f ca="1">INDIRECT("'update Helper'!C"&amp;U1329)</f>
        <v>a163p000004VjqPAAS</v>
      </c>
      <c r="B1329" s="794">
        <v>18</v>
      </c>
      <c r="C1329" s="795" t="str">
        <f ca="1">VLOOKUP(B1329,'Coverage Indicators - Section D'!$A$9:$AU$70,47,FALSE)</f>
        <v/>
      </c>
      <c r="D1329" s="796" t="str">
        <f ca="1">R1329</f>
        <v/>
      </c>
      <c r="E1329" s="796" t="str">
        <f ca="1">S1329</f>
        <v/>
      </c>
      <c r="F1329" s="127"/>
      <c r="G1329" s="797" t="str">
        <f ca="1">IF(OR(INDIRECT("'update Helper'!E"&amp;U1329)="",F1329&lt;&gt;0,F1330&lt;&gt;0),IF(IFERROR((F1329/F1330),"")="","",(F1329/F1330)),INDIRECT("'update Helper'!E"&amp;U1329)/100)</f>
        <v/>
      </c>
      <c r="H1329" s="784"/>
      <c r="I1329" s="798"/>
      <c r="J1329" s="777"/>
      <c r="K1329" s="795" t="str">
        <f ca="1">W1329</f>
        <v/>
      </c>
      <c r="L1329" s="795" t="str">
        <f ca="1">V1329</f>
        <v/>
      </c>
      <c r="M1329" s="777"/>
      <c r="N1329" s="777"/>
      <c r="P1329" s="89">
        <f ca="1">IF(AND(EXACT(C1329,C1327),C1327&lt;&gt;0),P1327+1,0)</f>
        <v>114</v>
      </c>
      <c r="Q1329" s="89" t="str">
        <f ca="1">IF(C1329&lt;&gt;"",C1329&amp;"-"&amp;P1329,"")</f>
        <v/>
      </c>
      <c r="R1329" s="89" t="str">
        <f t="array" aca="1" ref="R1329" ca="1">IFERROR(IF(INDEX('Disaggregation Records'!$E$155:$E$385,MATCH(RIGHT(Q1329,255),RIGHT('Disaggregation Records'!$D$155:$D$385,255),0))="","",INDEX('Disaggregation Records'!$E$155:$E$385,MATCH(RIGHT(Q1329,255),RIGHT('Disaggregation Records'!$D$155:$D$385,255),0))),"")</f>
        <v/>
      </c>
      <c r="S1329" s="89" t="str">
        <f t="array" aca="1" ref="S1329" ca="1">IFERROR(IF(INDEX('Disaggregation Records'!$F$155:$F$385,MATCH(RIGHT(Q1329,255),RIGHT('Disaggregation Records'!$D$155:$D$385,255),0))="","",INDEX('Disaggregation Records'!$F$155:$F$385,MATCH(RIGHT(Q1329,255),RIGHT('Disaggregation Records'!$D$155:$D$385,255),0))),"")</f>
        <v/>
      </c>
      <c r="T1329" s="89" t="str">
        <f t="array" aca="1" ref="T1329" ca="1">IFERROR(IF(INDEX('Disaggregation Records'!$H$155:$H$385,MATCH(RIGHT(Q1329,255),RIGHT('Disaggregation Records'!$D$155:$D$385,255),0))="","",INDEX('Disaggregation Records'!$H$155:$H$385,MATCH(RIGHT(Q1329,255),RIGHT('Disaggregation Records'!$D$155:$D$385,255),0))),"")</f>
        <v/>
      </c>
      <c r="U1329" s="89">
        <f>U1327+1</f>
        <v>1774</v>
      </c>
      <c r="V1329" s="89" t="str">
        <f t="array" aca="1" ref="V1329" ca="1">IFERROR(IF(INDEX('Disaggregation Records'!$I$155:$I$385,MATCH(RIGHT(Q1329,255),RIGHT('Disaggregation Records'!$D$155:$D$385,255),0))="","",INDEX('Disaggregation Records'!$I$155:$I$385,MATCH(RIGHT(Q1329,255),RIGHT('Disaggregation Records'!$D$155:$D$385,255),0))),"")</f>
        <v/>
      </c>
      <c r="W1329" s="89" t="str">
        <f ca="1">IFERROR(INDEX('Reference Records'!L$77:L$157,MATCH(LEFT(C1329,255),'Reference Records'!E$77:E$157,0)),"")</f>
        <v/>
      </c>
    </row>
    <row r="1330" spans="1:23" s="89" customFormat="1" ht="40.35" customHeight="1">
      <c r="A1330" s="564"/>
      <c r="B1330" s="799"/>
      <c r="C1330" s="800"/>
      <c r="D1330" s="801"/>
      <c r="E1330" s="801"/>
      <c r="F1330" s="128"/>
      <c r="G1330" s="802"/>
      <c r="H1330" s="781"/>
      <c r="I1330" s="803"/>
      <c r="J1330" s="779"/>
      <c r="K1330" s="800"/>
      <c r="L1330" s="800"/>
      <c r="M1330" s="779"/>
      <c r="N1330" s="779"/>
    </row>
    <row r="1331" spans="1:23" s="89" customFormat="1" ht="40.35" customHeight="1">
      <c r="A1331" s="564" t="str">
        <f ca="1">INDIRECT("'update Helper'!C"&amp;U1331)</f>
        <v>a163p000004VjqQAAS</v>
      </c>
      <c r="B1331" s="794">
        <v>18</v>
      </c>
      <c r="C1331" s="795" t="str">
        <f ca="1">VLOOKUP(B1331,'Coverage Indicators - Section D'!$A$9:$AU$70,47,FALSE)</f>
        <v/>
      </c>
      <c r="D1331" s="796" t="str">
        <f ca="1">R1331</f>
        <v/>
      </c>
      <c r="E1331" s="796" t="str">
        <f ca="1">S1331</f>
        <v/>
      </c>
      <c r="F1331" s="127"/>
      <c r="G1331" s="797" t="str">
        <f ca="1">IF(OR(INDIRECT("'update Helper'!E"&amp;U1331)="",F1331&lt;&gt;0,F1332&lt;&gt;0),IF(IFERROR((F1331/F1332),"")="","",(F1331/F1332)),INDIRECT("'update Helper'!E"&amp;U1331)/100)</f>
        <v/>
      </c>
      <c r="H1331" s="784"/>
      <c r="I1331" s="798"/>
      <c r="J1331" s="777"/>
      <c r="K1331" s="795" t="str">
        <f ca="1">W1331</f>
        <v/>
      </c>
      <c r="L1331" s="795" t="str">
        <f ca="1">V1331</f>
        <v/>
      </c>
      <c r="M1331" s="777"/>
      <c r="N1331" s="777"/>
      <c r="P1331" s="89">
        <f ca="1">IF(AND(EXACT(C1331,C1329),C1329&lt;&gt;0),P1329+1,0)</f>
        <v>115</v>
      </c>
      <c r="Q1331" s="89" t="str">
        <f ca="1">IF(C1331&lt;&gt;"",C1331&amp;"-"&amp;P1331,"")</f>
        <v/>
      </c>
      <c r="R1331" s="89" t="str">
        <f t="array" aca="1" ref="R1331" ca="1">IFERROR(IF(INDEX('Disaggregation Records'!$E$155:$E$385,MATCH(RIGHT(Q1331,255),RIGHT('Disaggregation Records'!$D$155:$D$385,255),0))="","",INDEX('Disaggregation Records'!$E$155:$E$385,MATCH(RIGHT(Q1331,255),RIGHT('Disaggregation Records'!$D$155:$D$385,255),0))),"")</f>
        <v/>
      </c>
      <c r="S1331" s="89" t="str">
        <f t="array" aca="1" ref="S1331" ca="1">IFERROR(IF(INDEX('Disaggregation Records'!$F$155:$F$385,MATCH(RIGHT(Q1331,255),RIGHT('Disaggregation Records'!$D$155:$D$385,255),0))="","",INDEX('Disaggregation Records'!$F$155:$F$385,MATCH(RIGHT(Q1331,255),RIGHT('Disaggregation Records'!$D$155:$D$385,255),0))),"")</f>
        <v/>
      </c>
      <c r="T1331" s="89" t="str">
        <f t="array" aca="1" ref="T1331" ca="1">IFERROR(IF(INDEX('Disaggregation Records'!$H$155:$H$385,MATCH(RIGHT(Q1331,255),RIGHT('Disaggregation Records'!$D$155:$D$385,255),0))="","",INDEX('Disaggregation Records'!$H$155:$H$385,MATCH(RIGHT(Q1331,255),RIGHT('Disaggregation Records'!$D$155:$D$385,255),0))),"")</f>
        <v/>
      </c>
      <c r="U1331" s="89">
        <f>U1329+1</f>
        <v>1775</v>
      </c>
      <c r="V1331" s="89" t="str">
        <f t="array" aca="1" ref="V1331" ca="1">IFERROR(IF(INDEX('Disaggregation Records'!$I$155:$I$385,MATCH(RIGHT(Q1331,255),RIGHT('Disaggregation Records'!$D$155:$D$385,255),0))="","",INDEX('Disaggregation Records'!$I$155:$I$385,MATCH(RIGHT(Q1331,255),RIGHT('Disaggregation Records'!$D$155:$D$385,255),0))),"")</f>
        <v/>
      </c>
      <c r="W1331" s="89" t="str">
        <f ca="1">IFERROR(INDEX('Reference Records'!L$77:L$157,MATCH(LEFT(C1331,255),'Reference Records'!E$77:E$157,0)),"")</f>
        <v/>
      </c>
    </row>
    <row r="1332" spans="1:23" s="89" customFormat="1" ht="40.35" customHeight="1">
      <c r="A1332" s="564"/>
      <c r="B1332" s="799"/>
      <c r="C1332" s="800"/>
      <c r="D1332" s="801"/>
      <c r="E1332" s="801"/>
      <c r="F1332" s="128"/>
      <c r="G1332" s="802"/>
      <c r="H1332" s="781"/>
      <c r="I1332" s="803"/>
      <c r="J1332" s="779"/>
      <c r="K1332" s="800"/>
      <c r="L1332" s="800"/>
      <c r="M1332" s="779"/>
      <c r="N1332" s="779"/>
    </row>
    <row r="1333" spans="1:23" s="89" customFormat="1" ht="40.35" customHeight="1">
      <c r="A1333" s="564" t="str">
        <f ca="1">INDIRECT("'update Helper'!C"&amp;U1333)</f>
        <v>a163p000004VjqRAAS</v>
      </c>
      <c r="B1333" s="794">
        <v>18</v>
      </c>
      <c r="C1333" s="795" t="str">
        <f ca="1">VLOOKUP(B1333,'Coverage Indicators - Section D'!$A$9:$AU$70,47,FALSE)</f>
        <v/>
      </c>
      <c r="D1333" s="796" t="str">
        <f ca="1">R1333</f>
        <v/>
      </c>
      <c r="E1333" s="796" t="str">
        <f ca="1">S1333</f>
        <v/>
      </c>
      <c r="F1333" s="127"/>
      <c r="G1333" s="797" t="str">
        <f ca="1">IF(OR(INDIRECT("'update Helper'!E"&amp;U1333)="",F1333&lt;&gt;0,F1334&lt;&gt;0),IF(IFERROR((F1333/F1334),"")="","",(F1333/F1334)),INDIRECT("'update Helper'!E"&amp;U1333)/100)</f>
        <v/>
      </c>
      <c r="H1333" s="784"/>
      <c r="I1333" s="798"/>
      <c r="J1333" s="777"/>
      <c r="K1333" s="795" t="str">
        <f ca="1">W1333</f>
        <v/>
      </c>
      <c r="L1333" s="795" t="str">
        <f ca="1">V1333</f>
        <v/>
      </c>
      <c r="M1333" s="777"/>
      <c r="N1333" s="777"/>
      <c r="P1333" s="89">
        <f ca="1">IF(AND(EXACT(C1333,C1331),C1331&lt;&gt;0),P1331+1,0)</f>
        <v>116</v>
      </c>
      <c r="Q1333" s="89" t="str">
        <f ca="1">IF(C1333&lt;&gt;"",C1333&amp;"-"&amp;P1333,"")</f>
        <v/>
      </c>
      <c r="R1333" s="89" t="str">
        <f t="array" aca="1" ref="R1333" ca="1">IFERROR(IF(INDEX('Disaggregation Records'!$E$155:$E$385,MATCH(RIGHT(Q1333,255),RIGHT('Disaggregation Records'!$D$155:$D$385,255),0))="","",INDEX('Disaggregation Records'!$E$155:$E$385,MATCH(RIGHT(Q1333,255),RIGHT('Disaggregation Records'!$D$155:$D$385,255),0))),"")</f>
        <v/>
      </c>
      <c r="S1333" s="89" t="str">
        <f t="array" aca="1" ref="S1333" ca="1">IFERROR(IF(INDEX('Disaggregation Records'!$F$155:$F$385,MATCH(RIGHT(Q1333,255),RIGHT('Disaggregation Records'!$D$155:$D$385,255),0))="","",INDEX('Disaggregation Records'!$F$155:$F$385,MATCH(RIGHT(Q1333,255),RIGHT('Disaggregation Records'!$D$155:$D$385,255),0))),"")</f>
        <v/>
      </c>
      <c r="T1333" s="89" t="str">
        <f t="array" aca="1" ref="T1333" ca="1">IFERROR(IF(INDEX('Disaggregation Records'!$H$155:$H$385,MATCH(RIGHT(Q1333,255),RIGHT('Disaggregation Records'!$D$155:$D$385,255),0))="","",INDEX('Disaggregation Records'!$H$155:$H$385,MATCH(RIGHT(Q1333,255),RIGHT('Disaggregation Records'!$D$155:$D$385,255),0))),"")</f>
        <v/>
      </c>
      <c r="U1333" s="89">
        <f>U1331+1</f>
        <v>1776</v>
      </c>
      <c r="V1333" s="89" t="str">
        <f t="array" aca="1" ref="V1333" ca="1">IFERROR(IF(INDEX('Disaggregation Records'!$I$155:$I$385,MATCH(RIGHT(Q1333,255),RIGHT('Disaggregation Records'!$D$155:$D$385,255),0))="","",INDEX('Disaggregation Records'!$I$155:$I$385,MATCH(RIGHT(Q1333,255),RIGHT('Disaggregation Records'!$D$155:$D$385,255),0))),"")</f>
        <v/>
      </c>
      <c r="W1333" s="89" t="str">
        <f ca="1">IFERROR(INDEX('Reference Records'!L$77:L$157,MATCH(LEFT(C1333,255),'Reference Records'!E$77:E$157,0)),"")</f>
        <v/>
      </c>
    </row>
    <row r="1334" spans="1:23" s="89" customFormat="1" ht="40.35" customHeight="1">
      <c r="A1334" s="564"/>
      <c r="B1334" s="799"/>
      <c r="C1334" s="800"/>
      <c r="D1334" s="801"/>
      <c r="E1334" s="801"/>
      <c r="F1334" s="128"/>
      <c r="G1334" s="802"/>
      <c r="H1334" s="781"/>
      <c r="I1334" s="803"/>
      <c r="J1334" s="779"/>
      <c r="K1334" s="800"/>
      <c r="L1334" s="800"/>
      <c r="M1334" s="779"/>
      <c r="N1334" s="779"/>
    </row>
    <row r="1335" spans="1:23" s="89" customFormat="1" ht="40.35" customHeight="1">
      <c r="A1335" s="564" t="str">
        <f ca="1">INDIRECT("'update Helper'!C"&amp;U1335)</f>
        <v>a163p000004VjqSAAS</v>
      </c>
      <c r="B1335" s="794">
        <v>18</v>
      </c>
      <c r="C1335" s="795" t="str">
        <f ca="1">VLOOKUP(B1335,'Coverage Indicators - Section D'!$A$9:$AU$70,47,FALSE)</f>
        <v/>
      </c>
      <c r="D1335" s="796" t="str">
        <f ca="1">R1335</f>
        <v/>
      </c>
      <c r="E1335" s="796" t="str">
        <f ca="1">S1335</f>
        <v/>
      </c>
      <c r="F1335" s="127"/>
      <c r="G1335" s="797" t="str">
        <f ca="1">IF(OR(INDIRECT("'update Helper'!E"&amp;U1335)="",F1335&lt;&gt;0,F1336&lt;&gt;0),IF(IFERROR((F1335/F1336),"")="","",(F1335/F1336)),INDIRECT("'update Helper'!E"&amp;U1335)/100)</f>
        <v/>
      </c>
      <c r="H1335" s="784"/>
      <c r="I1335" s="798"/>
      <c r="J1335" s="777"/>
      <c r="K1335" s="795" t="str">
        <f ca="1">W1335</f>
        <v/>
      </c>
      <c r="L1335" s="795" t="str">
        <f ca="1">V1335</f>
        <v/>
      </c>
      <c r="M1335" s="777"/>
      <c r="N1335" s="777"/>
      <c r="P1335" s="89">
        <f ca="1">IF(AND(EXACT(C1335,C1333),C1333&lt;&gt;0),P1333+1,0)</f>
        <v>117</v>
      </c>
      <c r="Q1335" s="89" t="str">
        <f ca="1">IF(C1335&lt;&gt;"",C1335&amp;"-"&amp;P1335,"")</f>
        <v/>
      </c>
      <c r="R1335" s="89" t="str">
        <f t="array" aca="1" ref="R1335" ca="1">IFERROR(IF(INDEX('Disaggregation Records'!$E$155:$E$385,MATCH(RIGHT(Q1335,255),RIGHT('Disaggregation Records'!$D$155:$D$385,255),0))="","",INDEX('Disaggregation Records'!$E$155:$E$385,MATCH(RIGHT(Q1335,255),RIGHT('Disaggregation Records'!$D$155:$D$385,255),0))),"")</f>
        <v/>
      </c>
      <c r="S1335" s="89" t="str">
        <f t="array" aca="1" ref="S1335" ca="1">IFERROR(IF(INDEX('Disaggregation Records'!$F$155:$F$385,MATCH(RIGHT(Q1335,255),RIGHT('Disaggregation Records'!$D$155:$D$385,255),0))="","",INDEX('Disaggregation Records'!$F$155:$F$385,MATCH(RIGHT(Q1335,255),RIGHT('Disaggregation Records'!$D$155:$D$385,255),0))),"")</f>
        <v/>
      </c>
      <c r="T1335" s="89" t="str">
        <f t="array" aca="1" ref="T1335" ca="1">IFERROR(IF(INDEX('Disaggregation Records'!$H$155:$H$385,MATCH(RIGHT(Q1335,255),RIGHT('Disaggregation Records'!$D$155:$D$385,255),0))="","",INDEX('Disaggregation Records'!$H$155:$H$385,MATCH(RIGHT(Q1335,255),RIGHT('Disaggregation Records'!$D$155:$D$385,255),0))),"")</f>
        <v/>
      </c>
      <c r="U1335" s="89">
        <f>U1333+1</f>
        <v>1777</v>
      </c>
      <c r="V1335" s="89" t="str">
        <f t="array" aca="1" ref="V1335" ca="1">IFERROR(IF(INDEX('Disaggregation Records'!$I$155:$I$385,MATCH(RIGHT(Q1335,255),RIGHT('Disaggregation Records'!$D$155:$D$385,255),0))="","",INDEX('Disaggregation Records'!$I$155:$I$385,MATCH(RIGHT(Q1335,255),RIGHT('Disaggregation Records'!$D$155:$D$385,255),0))),"")</f>
        <v/>
      </c>
      <c r="W1335" s="89" t="str">
        <f ca="1">IFERROR(INDEX('Reference Records'!L$77:L$157,MATCH(LEFT(C1335,255),'Reference Records'!E$77:E$157,0)),"")</f>
        <v/>
      </c>
    </row>
    <row r="1336" spans="1:23" s="89" customFormat="1" ht="40.35" customHeight="1">
      <c r="A1336" s="564"/>
      <c r="B1336" s="799"/>
      <c r="C1336" s="800"/>
      <c r="D1336" s="801"/>
      <c r="E1336" s="801"/>
      <c r="F1336" s="128"/>
      <c r="G1336" s="802"/>
      <c r="H1336" s="781"/>
      <c r="I1336" s="803"/>
      <c r="J1336" s="779"/>
      <c r="K1336" s="800"/>
      <c r="L1336" s="800"/>
      <c r="M1336" s="779"/>
      <c r="N1336" s="779"/>
    </row>
    <row r="1337" spans="1:23" s="89" customFormat="1" ht="40.35" customHeight="1">
      <c r="A1337" s="564" t="str">
        <f ca="1">INDIRECT("'update Helper'!C"&amp;U1337)</f>
        <v>a163p000004VjqTAAS</v>
      </c>
      <c r="B1337" s="794">
        <v>18</v>
      </c>
      <c r="C1337" s="795" t="str">
        <f ca="1">VLOOKUP(B1337,'Coverage Indicators - Section D'!$A$9:$AU$70,47,FALSE)</f>
        <v/>
      </c>
      <c r="D1337" s="796" t="str">
        <f ca="1">R1337</f>
        <v/>
      </c>
      <c r="E1337" s="796" t="str">
        <f ca="1">S1337</f>
        <v/>
      </c>
      <c r="F1337" s="127"/>
      <c r="G1337" s="797" t="str">
        <f ca="1">IF(OR(INDIRECT("'update Helper'!E"&amp;U1337)="",F1337&lt;&gt;0,F1338&lt;&gt;0),IF(IFERROR((F1337/F1338),"")="","",(F1337/F1338)),INDIRECT("'update Helper'!E"&amp;U1337)/100)</f>
        <v/>
      </c>
      <c r="H1337" s="784"/>
      <c r="I1337" s="798"/>
      <c r="J1337" s="777"/>
      <c r="K1337" s="795" t="str">
        <f ca="1">W1337</f>
        <v/>
      </c>
      <c r="L1337" s="795" t="str">
        <f ca="1">V1337</f>
        <v/>
      </c>
      <c r="M1337" s="777"/>
      <c r="N1337" s="777"/>
      <c r="P1337" s="89">
        <f ca="1">IF(AND(EXACT(C1337,C1335),C1335&lt;&gt;0),P1335+1,0)</f>
        <v>118</v>
      </c>
      <c r="Q1337" s="89" t="str">
        <f ca="1">IF(C1337&lt;&gt;"",C1337&amp;"-"&amp;P1337,"")</f>
        <v/>
      </c>
      <c r="R1337" s="89" t="str">
        <f t="array" aca="1" ref="R1337" ca="1">IFERROR(IF(INDEX('Disaggregation Records'!$E$155:$E$385,MATCH(RIGHT(Q1337,255),RIGHT('Disaggregation Records'!$D$155:$D$385,255),0))="","",INDEX('Disaggregation Records'!$E$155:$E$385,MATCH(RIGHT(Q1337,255),RIGHT('Disaggregation Records'!$D$155:$D$385,255),0))),"")</f>
        <v/>
      </c>
      <c r="S1337" s="89" t="str">
        <f t="array" aca="1" ref="S1337" ca="1">IFERROR(IF(INDEX('Disaggregation Records'!$F$155:$F$385,MATCH(RIGHT(Q1337,255),RIGHT('Disaggregation Records'!$D$155:$D$385,255),0))="","",INDEX('Disaggregation Records'!$F$155:$F$385,MATCH(RIGHT(Q1337,255),RIGHT('Disaggregation Records'!$D$155:$D$385,255),0))),"")</f>
        <v/>
      </c>
      <c r="T1337" s="89" t="str">
        <f t="array" aca="1" ref="T1337" ca="1">IFERROR(IF(INDEX('Disaggregation Records'!$H$155:$H$385,MATCH(RIGHT(Q1337,255),RIGHT('Disaggregation Records'!$D$155:$D$385,255),0))="","",INDEX('Disaggregation Records'!$H$155:$H$385,MATCH(RIGHT(Q1337,255),RIGHT('Disaggregation Records'!$D$155:$D$385,255),0))),"")</f>
        <v/>
      </c>
      <c r="U1337" s="89">
        <f>U1335+1</f>
        <v>1778</v>
      </c>
      <c r="V1337" s="89" t="str">
        <f t="array" aca="1" ref="V1337" ca="1">IFERROR(IF(INDEX('Disaggregation Records'!$I$155:$I$385,MATCH(RIGHT(Q1337,255),RIGHT('Disaggregation Records'!$D$155:$D$385,255),0))="","",INDEX('Disaggregation Records'!$I$155:$I$385,MATCH(RIGHT(Q1337,255),RIGHT('Disaggregation Records'!$D$155:$D$385,255),0))),"")</f>
        <v/>
      </c>
      <c r="W1337" s="89" t="str">
        <f ca="1">IFERROR(INDEX('Reference Records'!L$77:L$157,MATCH(LEFT(C1337,255),'Reference Records'!E$77:E$157,0)),"")</f>
        <v/>
      </c>
    </row>
    <row r="1338" spans="1:23" s="89" customFormat="1" ht="40.35" customHeight="1">
      <c r="A1338" s="564"/>
      <c r="B1338" s="799"/>
      <c r="C1338" s="800"/>
      <c r="D1338" s="801"/>
      <c r="E1338" s="801"/>
      <c r="F1338" s="128"/>
      <c r="G1338" s="802"/>
      <c r="H1338" s="781"/>
      <c r="I1338" s="803"/>
      <c r="J1338" s="779"/>
      <c r="K1338" s="800"/>
      <c r="L1338" s="800"/>
      <c r="M1338" s="779"/>
      <c r="N1338" s="779"/>
    </row>
    <row r="1339" spans="1:23" s="89" customFormat="1" ht="40.35" customHeight="1">
      <c r="A1339" s="564" t="str">
        <f ca="1">INDIRECT("'update Helper'!C"&amp;U1339)</f>
        <v>a163p000004VjqUAAS</v>
      </c>
      <c r="B1339" s="794">
        <v>18</v>
      </c>
      <c r="C1339" s="795" t="str">
        <f ca="1">VLOOKUP(B1339,'Coverage Indicators - Section D'!$A$9:$AU$70,47,FALSE)</f>
        <v/>
      </c>
      <c r="D1339" s="796" t="str">
        <f ca="1">R1339</f>
        <v/>
      </c>
      <c r="E1339" s="796" t="str">
        <f ca="1">S1339</f>
        <v/>
      </c>
      <c r="F1339" s="127"/>
      <c r="G1339" s="797" t="str">
        <f ca="1">IF(OR(INDIRECT("'update Helper'!E"&amp;U1339)="",F1339&lt;&gt;0,F1340&lt;&gt;0),IF(IFERROR((F1339/F1340),"")="","",(F1339/F1340)),INDIRECT("'update Helper'!E"&amp;U1339)/100)</f>
        <v/>
      </c>
      <c r="H1339" s="784"/>
      <c r="I1339" s="798"/>
      <c r="J1339" s="777"/>
      <c r="K1339" s="795" t="str">
        <f ca="1">W1339</f>
        <v/>
      </c>
      <c r="L1339" s="795" t="str">
        <f ca="1">V1339</f>
        <v/>
      </c>
      <c r="M1339" s="777"/>
      <c r="N1339" s="777"/>
      <c r="P1339" s="89">
        <f ca="1">IF(AND(EXACT(C1339,C1337),C1337&lt;&gt;0),P1337+1,0)</f>
        <v>119</v>
      </c>
      <c r="Q1339" s="89" t="str">
        <f ca="1">IF(C1339&lt;&gt;"",C1339&amp;"-"&amp;P1339,"")</f>
        <v/>
      </c>
      <c r="R1339" s="89" t="str">
        <f t="array" aca="1" ref="R1339" ca="1">IFERROR(IF(INDEX('Disaggregation Records'!$E$155:$E$385,MATCH(RIGHT(Q1339,255),RIGHT('Disaggregation Records'!$D$155:$D$385,255),0))="","",INDEX('Disaggregation Records'!$E$155:$E$385,MATCH(RIGHT(Q1339,255),RIGHT('Disaggregation Records'!$D$155:$D$385,255),0))),"")</f>
        <v/>
      </c>
      <c r="S1339" s="89" t="str">
        <f t="array" aca="1" ref="S1339" ca="1">IFERROR(IF(INDEX('Disaggregation Records'!$F$155:$F$385,MATCH(RIGHT(Q1339,255),RIGHT('Disaggregation Records'!$D$155:$D$385,255),0))="","",INDEX('Disaggregation Records'!$F$155:$F$385,MATCH(RIGHT(Q1339,255),RIGHT('Disaggregation Records'!$D$155:$D$385,255),0))),"")</f>
        <v/>
      </c>
      <c r="T1339" s="89" t="str">
        <f t="array" aca="1" ref="T1339" ca="1">IFERROR(IF(INDEX('Disaggregation Records'!$H$155:$H$385,MATCH(RIGHT(Q1339,255),RIGHT('Disaggregation Records'!$D$155:$D$385,255),0))="","",INDEX('Disaggregation Records'!$H$155:$H$385,MATCH(RIGHT(Q1339,255),RIGHT('Disaggregation Records'!$D$155:$D$385,255),0))),"")</f>
        <v/>
      </c>
      <c r="U1339" s="89">
        <f>U1337+1</f>
        <v>1779</v>
      </c>
      <c r="V1339" s="89" t="str">
        <f t="array" aca="1" ref="V1339" ca="1">IFERROR(IF(INDEX('Disaggregation Records'!$I$155:$I$385,MATCH(RIGHT(Q1339,255),RIGHT('Disaggregation Records'!$D$155:$D$385,255),0))="","",INDEX('Disaggregation Records'!$I$155:$I$385,MATCH(RIGHT(Q1339,255),RIGHT('Disaggregation Records'!$D$155:$D$385,255),0))),"")</f>
        <v/>
      </c>
      <c r="W1339" s="89" t="str">
        <f ca="1">IFERROR(INDEX('Reference Records'!L$77:L$157,MATCH(LEFT(C1339,255),'Reference Records'!E$77:E$157,0)),"")</f>
        <v/>
      </c>
    </row>
    <row r="1340" spans="1:23" s="89" customFormat="1" ht="40.35" customHeight="1">
      <c r="A1340" s="564"/>
      <c r="B1340" s="799"/>
      <c r="C1340" s="800"/>
      <c r="D1340" s="801"/>
      <c r="E1340" s="801"/>
      <c r="F1340" s="128"/>
      <c r="G1340" s="802"/>
      <c r="H1340" s="781"/>
      <c r="I1340" s="803"/>
      <c r="J1340" s="779"/>
      <c r="K1340" s="800"/>
      <c r="L1340" s="800"/>
      <c r="M1340" s="779"/>
      <c r="N1340" s="779"/>
    </row>
    <row r="1341" spans="1:23" s="89" customFormat="1" ht="40.35" customHeight="1">
      <c r="A1341" s="564" t="str">
        <f ca="1">INDIRECT("'update Helper'!C"&amp;U1341)</f>
        <v>a163p000004VjqVAAS</v>
      </c>
      <c r="B1341" s="794">
        <v>19</v>
      </c>
      <c r="C1341" s="795" t="str">
        <f ca="1">VLOOKUP(B1341,'Coverage Indicators - Section D'!$A$9:$AU$70,47,FALSE)</f>
        <v/>
      </c>
      <c r="D1341" s="796" t="str">
        <f ca="1">R1341</f>
        <v/>
      </c>
      <c r="E1341" s="796" t="str">
        <f ca="1">S1341</f>
        <v/>
      </c>
      <c r="F1341" s="127"/>
      <c r="G1341" s="797" t="str">
        <f ca="1">IF(OR(INDIRECT("'update Helper'!E"&amp;U1341)="",F1341&lt;&gt;0,F1342&lt;&gt;0),IF(IFERROR((F1341/F1342),"")="","",(F1341/F1342)),INDIRECT("'update Helper'!E"&amp;U1341)/100)</f>
        <v/>
      </c>
      <c r="H1341" s="784"/>
      <c r="I1341" s="798"/>
      <c r="J1341" s="777"/>
      <c r="K1341" s="795" t="str">
        <f ca="1">W1341</f>
        <v/>
      </c>
      <c r="L1341" s="795" t="str">
        <f ca="1">V1341</f>
        <v/>
      </c>
      <c r="M1341" s="777"/>
      <c r="N1341" s="777"/>
      <c r="P1341" s="89">
        <f ca="1">IF(AND(EXACT(C1341,C1339),C1339&lt;&gt;0),P1339+1,0)</f>
        <v>120</v>
      </c>
      <c r="Q1341" s="89" t="str">
        <f ca="1">IF(C1341&lt;&gt;"",C1341&amp;"-"&amp;P1341,"")</f>
        <v/>
      </c>
      <c r="R1341" s="89" t="str">
        <f t="array" aca="1" ref="R1341" ca="1">IFERROR(IF(INDEX('Disaggregation Records'!$E$155:$E$385,MATCH(RIGHT(Q1341,255),RIGHT('Disaggregation Records'!$D$155:$D$385,255),0))="","",INDEX('Disaggregation Records'!$E$155:$E$385,MATCH(RIGHT(Q1341,255),RIGHT('Disaggregation Records'!$D$155:$D$385,255),0))),"")</f>
        <v/>
      </c>
      <c r="S1341" s="89" t="str">
        <f t="array" aca="1" ref="S1341" ca="1">IFERROR(IF(INDEX('Disaggregation Records'!$F$155:$F$385,MATCH(RIGHT(Q1341,255),RIGHT('Disaggregation Records'!$D$155:$D$385,255),0))="","",INDEX('Disaggregation Records'!$F$155:$F$385,MATCH(RIGHT(Q1341,255),RIGHT('Disaggregation Records'!$D$155:$D$385,255),0))),"")</f>
        <v/>
      </c>
      <c r="T1341" s="89" t="str">
        <f t="array" aca="1" ref="T1341" ca="1">IFERROR(IF(INDEX('Disaggregation Records'!$H$155:$H$385,MATCH(RIGHT(Q1341,255),RIGHT('Disaggregation Records'!$D$155:$D$385,255),0))="","",INDEX('Disaggregation Records'!$H$155:$H$385,MATCH(RIGHT(Q1341,255),RIGHT('Disaggregation Records'!$D$155:$D$385,255),0))),"")</f>
        <v/>
      </c>
      <c r="U1341" s="89">
        <f>U1339+1</f>
        <v>1780</v>
      </c>
      <c r="V1341" s="89" t="str">
        <f t="array" aca="1" ref="V1341" ca="1">IFERROR(IF(INDEX('Disaggregation Records'!$I$155:$I$385,MATCH(RIGHT(Q1341,255),RIGHT('Disaggregation Records'!$D$155:$D$385,255),0))="","",INDEX('Disaggregation Records'!$I$155:$I$385,MATCH(RIGHT(Q1341,255),RIGHT('Disaggregation Records'!$D$155:$D$385,255),0))),"")</f>
        <v/>
      </c>
      <c r="W1341" s="89" t="str">
        <f ca="1">IFERROR(INDEX('Reference Records'!L$77:L$157,MATCH(LEFT(C1341,255),'Reference Records'!E$77:E$157,0)),"")</f>
        <v/>
      </c>
    </row>
    <row r="1342" spans="1:23" s="89" customFormat="1" ht="40.35" customHeight="1">
      <c r="A1342" s="564"/>
      <c r="B1342" s="799"/>
      <c r="C1342" s="800"/>
      <c r="D1342" s="801"/>
      <c r="E1342" s="801"/>
      <c r="F1342" s="128"/>
      <c r="G1342" s="802"/>
      <c r="H1342" s="781"/>
      <c r="I1342" s="803"/>
      <c r="J1342" s="779"/>
      <c r="K1342" s="800"/>
      <c r="L1342" s="800"/>
      <c r="M1342" s="779"/>
      <c r="N1342" s="779"/>
    </row>
    <row r="1343" spans="1:23" s="89" customFormat="1" ht="40.35" customHeight="1">
      <c r="A1343" s="564" t="str">
        <f ca="1">INDIRECT("'update Helper'!C"&amp;U1343)</f>
        <v>a163p000004VjqWAAS</v>
      </c>
      <c r="B1343" s="794">
        <v>19</v>
      </c>
      <c r="C1343" s="795" t="str">
        <f ca="1">VLOOKUP(B1343,'Coverage Indicators - Section D'!$A$9:$AU$70,47,FALSE)</f>
        <v/>
      </c>
      <c r="D1343" s="796" t="str">
        <f ca="1">R1343</f>
        <v/>
      </c>
      <c r="E1343" s="796" t="str">
        <f ca="1">S1343</f>
        <v/>
      </c>
      <c r="F1343" s="127"/>
      <c r="G1343" s="797" t="str">
        <f ca="1">IF(OR(INDIRECT("'update Helper'!E"&amp;U1343)="",F1343&lt;&gt;0,F1344&lt;&gt;0),IF(IFERROR((F1343/F1344),"")="","",(F1343/F1344)),INDIRECT("'update Helper'!E"&amp;U1343)/100)</f>
        <v/>
      </c>
      <c r="H1343" s="784"/>
      <c r="I1343" s="798"/>
      <c r="J1343" s="777"/>
      <c r="K1343" s="795" t="str">
        <f ca="1">W1343</f>
        <v/>
      </c>
      <c r="L1343" s="795" t="str">
        <f ca="1">V1343</f>
        <v/>
      </c>
      <c r="M1343" s="777"/>
      <c r="N1343" s="777"/>
      <c r="P1343" s="89">
        <f ca="1">IF(AND(EXACT(C1343,C1341),C1341&lt;&gt;0),P1341+1,0)</f>
        <v>121</v>
      </c>
      <c r="Q1343" s="89" t="str">
        <f ca="1">IF(C1343&lt;&gt;"",C1343&amp;"-"&amp;P1343,"")</f>
        <v/>
      </c>
      <c r="R1343" s="89" t="str">
        <f t="array" aca="1" ref="R1343" ca="1">IFERROR(IF(INDEX('Disaggregation Records'!$E$155:$E$385,MATCH(RIGHT(Q1343,255),RIGHT('Disaggregation Records'!$D$155:$D$385,255),0))="","",INDEX('Disaggregation Records'!$E$155:$E$385,MATCH(RIGHT(Q1343,255),RIGHT('Disaggregation Records'!$D$155:$D$385,255),0))),"")</f>
        <v/>
      </c>
      <c r="S1343" s="89" t="str">
        <f t="array" aca="1" ref="S1343" ca="1">IFERROR(IF(INDEX('Disaggregation Records'!$F$155:$F$385,MATCH(RIGHT(Q1343,255),RIGHT('Disaggregation Records'!$D$155:$D$385,255),0))="","",INDEX('Disaggregation Records'!$F$155:$F$385,MATCH(RIGHT(Q1343,255),RIGHT('Disaggregation Records'!$D$155:$D$385,255),0))),"")</f>
        <v/>
      </c>
      <c r="T1343" s="89" t="str">
        <f t="array" aca="1" ref="T1343" ca="1">IFERROR(IF(INDEX('Disaggregation Records'!$H$155:$H$385,MATCH(RIGHT(Q1343,255),RIGHT('Disaggregation Records'!$D$155:$D$385,255),0))="","",INDEX('Disaggregation Records'!$H$155:$H$385,MATCH(RIGHT(Q1343,255),RIGHT('Disaggregation Records'!$D$155:$D$385,255),0))),"")</f>
        <v/>
      </c>
      <c r="U1343" s="89">
        <f>U1341+1</f>
        <v>1781</v>
      </c>
      <c r="V1343" s="89" t="str">
        <f t="array" aca="1" ref="V1343" ca="1">IFERROR(IF(INDEX('Disaggregation Records'!$I$155:$I$385,MATCH(RIGHT(Q1343,255),RIGHT('Disaggregation Records'!$D$155:$D$385,255),0))="","",INDEX('Disaggregation Records'!$I$155:$I$385,MATCH(RIGHT(Q1343,255),RIGHT('Disaggregation Records'!$D$155:$D$385,255),0))),"")</f>
        <v/>
      </c>
      <c r="W1343" s="89" t="str">
        <f ca="1">IFERROR(INDEX('Reference Records'!L$77:L$157,MATCH(LEFT(C1343,255),'Reference Records'!E$77:E$157,0)),"")</f>
        <v/>
      </c>
    </row>
    <row r="1344" spans="1:23" s="89" customFormat="1" ht="40.35" customHeight="1">
      <c r="A1344" s="564"/>
      <c r="B1344" s="799"/>
      <c r="C1344" s="800"/>
      <c r="D1344" s="801"/>
      <c r="E1344" s="801"/>
      <c r="F1344" s="128"/>
      <c r="G1344" s="802"/>
      <c r="H1344" s="781"/>
      <c r="I1344" s="803"/>
      <c r="J1344" s="779"/>
      <c r="K1344" s="800"/>
      <c r="L1344" s="800"/>
      <c r="M1344" s="779"/>
      <c r="N1344" s="779"/>
    </row>
    <row r="1345" spans="1:23" s="89" customFormat="1" ht="40.35" customHeight="1">
      <c r="A1345" s="564" t="str">
        <f ca="1">INDIRECT("'update Helper'!C"&amp;U1345)</f>
        <v>a163p000004VjqXAAS</v>
      </c>
      <c r="B1345" s="794">
        <v>19</v>
      </c>
      <c r="C1345" s="795" t="str">
        <f ca="1">VLOOKUP(B1345,'Coverage Indicators - Section D'!$A$9:$AU$70,47,FALSE)</f>
        <v/>
      </c>
      <c r="D1345" s="796" t="str">
        <f ca="1">R1345</f>
        <v/>
      </c>
      <c r="E1345" s="796" t="str">
        <f ca="1">S1345</f>
        <v/>
      </c>
      <c r="F1345" s="127"/>
      <c r="G1345" s="797" t="str">
        <f ca="1">IF(OR(INDIRECT("'update Helper'!E"&amp;U1345)="",F1345&lt;&gt;0,F1346&lt;&gt;0),IF(IFERROR((F1345/F1346),"")="","",(F1345/F1346)),INDIRECT("'update Helper'!E"&amp;U1345)/100)</f>
        <v/>
      </c>
      <c r="H1345" s="784"/>
      <c r="I1345" s="798"/>
      <c r="J1345" s="777"/>
      <c r="K1345" s="795" t="str">
        <f ca="1">W1345</f>
        <v/>
      </c>
      <c r="L1345" s="795" t="str">
        <f ca="1">V1345</f>
        <v/>
      </c>
      <c r="M1345" s="777"/>
      <c r="N1345" s="777"/>
      <c r="P1345" s="89">
        <f ca="1">IF(AND(EXACT(C1345,C1343),C1343&lt;&gt;0),P1343+1,0)</f>
        <v>122</v>
      </c>
      <c r="Q1345" s="89" t="str">
        <f ca="1">IF(C1345&lt;&gt;"",C1345&amp;"-"&amp;P1345,"")</f>
        <v/>
      </c>
      <c r="R1345" s="89" t="str">
        <f t="array" aca="1" ref="R1345" ca="1">IFERROR(IF(INDEX('Disaggregation Records'!$E$155:$E$385,MATCH(RIGHT(Q1345,255),RIGHT('Disaggregation Records'!$D$155:$D$385,255),0))="","",INDEX('Disaggregation Records'!$E$155:$E$385,MATCH(RIGHT(Q1345,255),RIGHT('Disaggregation Records'!$D$155:$D$385,255),0))),"")</f>
        <v/>
      </c>
      <c r="S1345" s="89" t="str">
        <f t="array" aca="1" ref="S1345" ca="1">IFERROR(IF(INDEX('Disaggregation Records'!$F$155:$F$385,MATCH(RIGHT(Q1345,255),RIGHT('Disaggregation Records'!$D$155:$D$385,255),0))="","",INDEX('Disaggregation Records'!$F$155:$F$385,MATCH(RIGHT(Q1345,255),RIGHT('Disaggregation Records'!$D$155:$D$385,255),0))),"")</f>
        <v/>
      </c>
      <c r="T1345" s="89" t="str">
        <f t="array" aca="1" ref="T1345" ca="1">IFERROR(IF(INDEX('Disaggregation Records'!$H$155:$H$385,MATCH(RIGHT(Q1345,255),RIGHT('Disaggregation Records'!$D$155:$D$385,255),0))="","",INDEX('Disaggregation Records'!$H$155:$H$385,MATCH(RIGHT(Q1345,255),RIGHT('Disaggregation Records'!$D$155:$D$385,255),0))),"")</f>
        <v/>
      </c>
      <c r="U1345" s="89">
        <f>U1343+1</f>
        <v>1782</v>
      </c>
      <c r="V1345" s="89" t="str">
        <f t="array" aca="1" ref="V1345" ca="1">IFERROR(IF(INDEX('Disaggregation Records'!$I$155:$I$385,MATCH(RIGHT(Q1345,255),RIGHT('Disaggregation Records'!$D$155:$D$385,255),0))="","",INDEX('Disaggregation Records'!$I$155:$I$385,MATCH(RIGHT(Q1345,255),RIGHT('Disaggregation Records'!$D$155:$D$385,255),0))),"")</f>
        <v/>
      </c>
      <c r="W1345" s="89" t="str">
        <f ca="1">IFERROR(INDEX('Reference Records'!L$77:L$157,MATCH(LEFT(C1345,255),'Reference Records'!E$77:E$157,0)),"")</f>
        <v/>
      </c>
    </row>
    <row r="1346" spans="1:23" s="89" customFormat="1" ht="40.35" customHeight="1">
      <c r="A1346" s="564"/>
      <c r="B1346" s="799"/>
      <c r="C1346" s="800"/>
      <c r="D1346" s="801"/>
      <c r="E1346" s="801"/>
      <c r="F1346" s="128"/>
      <c r="G1346" s="802"/>
      <c r="H1346" s="781"/>
      <c r="I1346" s="803"/>
      <c r="J1346" s="779"/>
      <c r="K1346" s="800"/>
      <c r="L1346" s="800"/>
      <c r="M1346" s="779"/>
      <c r="N1346" s="779"/>
    </row>
    <row r="1347" spans="1:23" s="89" customFormat="1" ht="40.35" customHeight="1">
      <c r="A1347" s="564" t="str">
        <f ca="1">INDIRECT("'update Helper'!C"&amp;U1347)</f>
        <v>a163p000004VjqYAAS</v>
      </c>
      <c r="B1347" s="794">
        <v>19</v>
      </c>
      <c r="C1347" s="795" t="str">
        <f ca="1">VLOOKUP(B1347,'Coverage Indicators - Section D'!$A$9:$AU$70,47,FALSE)</f>
        <v/>
      </c>
      <c r="D1347" s="796" t="str">
        <f ca="1">R1347</f>
        <v/>
      </c>
      <c r="E1347" s="796" t="str">
        <f ca="1">S1347</f>
        <v/>
      </c>
      <c r="F1347" s="127"/>
      <c r="G1347" s="797" t="str">
        <f ca="1">IF(OR(INDIRECT("'update Helper'!E"&amp;U1347)="",F1347&lt;&gt;0,F1348&lt;&gt;0),IF(IFERROR((F1347/F1348),"")="","",(F1347/F1348)),INDIRECT("'update Helper'!E"&amp;U1347)/100)</f>
        <v/>
      </c>
      <c r="H1347" s="784"/>
      <c r="I1347" s="798"/>
      <c r="J1347" s="777"/>
      <c r="K1347" s="795" t="str">
        <f ca="1">W1347</f>
        <v/>
      </c>
      <c r="L1347" s="795" t="str">
        <f ca="1">V1347</f>
        <v/>
      </c>
      <c r="M1347" s="777"/>
      <c r="N1347" s="777"/>
      <c r="P1347" s="89">
        <f ca="1">IF(AND(EXACT(C1347,C1345),C1345&lt;&gt;0),P1345+1,0)</f>
        <v>123</v>
      </c>
      <c r="Q1347" s="89" t="str">
        <f ca="1">IF(C1347&lt;&gt;"",C1347&amp;"-"&amp;P1347,"")</f>
        <v/>
      </c>
      <c r="R1347" s="89" t="str">
        <f t="array" aca="1" ref="R1347" ca="1">IFERROR(IF(INDEX('Disaggregation Records'!$E$155:$E$385,MATCH(RIGHT(Q1347,255),RIGHT('Disaggregation Records'!$D$155:$D$385,255),0))="","",INDEX('Disaggregation Records'!$E$155:$E$385,MATCH(RIGHT(Q1347,255),RIGHT('Disaggregation Records'!$D$155:$D$385,255),0))),"")</f>
        <v/>
      </c>
      <c r="S1347" s="89" t="str">
        <f t="array" aca="1" ref="S1347" ca="1">IFERROR(IF(INDEX('Disaggregation Records'!$F$155:$F$385,MATCH(RIGHT(Q1347,255),RIGHT('Disaggregation Records'!$D$155:$D$385,255),0))="","",INDEX('Disaggregation Records'!$F$155:$F$385,MATCH(RIGHT(Q1347,255),RIGHT('Disaggregation Records'!$D$155:$D$385,255),0))),"")</f>
        <v/>
      </c>
      <c r="T1347" s="89" t="str">
        <f t="array" aca="1" ref="T1347" ca="1">IFERROR(IF(INDEX('Disaggregation Records'!$H$155:$H$385,MATCH(RIGHT(Q1347,255),RIGHT('Disaggregation Records'!$D$155:$D$385,255),0))="","",INDEX('Disaggregation Records'!$H$155:$H$385,MATCH(RIGHT(Q1347,255),RIGHT('Disaggregation Records'!$D$155:$D$385,255),0))),"")</f>
        <v/>
      </c>
      <c r="U1347" s="89">
        <f>U1345+1</f>
        <v>1783</v>
      </c>
      <c r="V1347" s="89" t="str">
        <f t="array" aca="1" ref="V1347" ca="1">IFERROR(IF(INDEX('Disaggregation Records'!$I$155:$I$385,MATCH(RIGHT(Q1347,255),RIGHT('Disaggregation Records'!$D$155:$D$385,255),0))="","",INDEX('Disaggregation Records'!$I$155:$I$385,MATCH(RIGHT(Q1347,255),RIGHT('Disaggregation Records'!$D$155:$D$385,255),0))),"")</f>
        <v/>
      </c>
      <c r="W1347" s="89" t="str">
        <f ca="1">IFERROR(INDEX('Reference Records'!L$77:L$157,MATCH(LEFT(C1347,255),'Reference Records'!E$77:E$157,0)),"")</f>
        <v/>
      </c>
    </row>
    <row r="1348" spans="1:23" s="89" customFormat="1" ht="40.35" customHeight="1">
      <c r="A1348" s="564"/>
      <c r="B1348" s="799"/>
      <c r="C1348" s="800"/>
      <c r="D1348" s="801"/>
      <c r="E1348" s="801"/>
      <c r="F1348" s="128"/>
      <c r="G1348" s="802"/>
      <c r="H1348" s="781"/>
      <c r="I1348" s="803"/>
      <c r="J1348" s="779"/>
      <c r="K1348" s="800"/>
      <c r="L1348" s="800"/>
      <c r="M1348" s="779"/>
      <c r="N1348" s="779"/>
    </row>
    <row r="1349" spans="1:23" s="89" customFormat="1" ht="40.35" customHeight="1">
      <c r="A1349" s="564" t="str">
        <f ca="1">INDIRECT("'update Helper'!C"&amp;U1349)</f>
        <v>a163p000004VjqZAAS</v>
      </c>
      <c r="B1349" s="794">
        <v>19</v>
      </c>
      <c r="C1349" s="795" t="str">
        <f ca="1">VLOOKUP(B1349,'Coverage Indicators - Section D'!$A$9:$AU$70,47,FALSE)</f>
        <v/>
      </c>
      <c r="D1349" s="796" t="str">
        <f ca="1">R1349</f>
        <v/>
      </c>
      <c r="E1349" s="796" t="str">
        <f ca="1">S1349</f>
        <v/>
      </c>
      <c r="F1349" s="127"/>
      <c r="G1349" s="797" t="str">
        <f ca="1">IF(OR(INDIRECT("'update Helper'!E"&amp;U1349)="",F1349&lt;&gt;0,F1350&lt;&gt;0),IF(IFERROR((F1349/F1350),"")="","",(F1349/F1350)),INDIRECT("'update Helper'!E"&amp;U1349)/100)</f>
        <v/>
      </c>
      <c r="H1349" s="784"/>
      <c r="I1349" s="798"/>
      <c r="J1349" s="777"/>
      <c r="K1349" s="795" t="str">
        <f ca="1">W1349</f>
        <v/>
      </c>
      <c r="L1349" s="795" t="str">
        <f ca="1">V1349</f>
        <v/>
      </c>
      <c r="M1349" s="777"/>
      <c r="N1349" s="777"/>
      <c r="P1349" s="89">
        <f ca="1">IF(AND(EXACT(C1349,C1347),C1347&lt;&gt;0),P1347+1,0)</f>
        <v>124</v>
      </c>
      <c r="Q1349" s="89" t="str">
        <f ca="1">IF(C1349&lt;&gt;"",C1349&amp;"-"&amp;P1349,"")</f>
        <v/>
      </c>
      <c r="R1349" s="89" t="str">
        <f t="array" aca="1" ref="R1349" ca="1">IFERROR(IF(INDEX('Disaggregation Records'!$E$155:$E$385,MATCH(RIGHT(Q1349,255),RIGHT('Disaggregation Records'!$D$155:$D$385,255),0))="","",INDEX('Disaggregation Records'!$E$155:$E$385,MATCH(RIGHT(Q1349,255),RIGHT('Disaggregation Records'!$D$155:$D$385,255),0))),"")</f>
        <v/>
      </c>
      <c r="S1349" s="89" t="str">
        <f t="array" aca="1" ref="S1349" ca="1">IFERROR(IF(INDEX('Disaggregation Records'!$F$155:$F$385,MATCH(RIGHT(Q1349,255),RIGHT('Disaggregation Records'!$D$155:$D$385,255),0))="","",INDEX('Disaggregation Records'!$F$155:$F$385,MATCH(RIGHT(Q1349,255),RIGHT('Disaggregation Records'!$D$155:$D$385,255),0))),"")</f>
        <v/>
      </c>
      <c r="T1349" s="89" t="str">
        <f t="array" aca="1" ref="T1349" ca="1">IFERROR(IF(INDEX('Disaggregation Records'!$H$155:$H$385,MATCH(RIGHT(Q1349,255),RIGHT('Disaggregation Records'!$D$155:$D$385,255),0))="","",INDEX('Disaggregation Records'!$H$155:$H$385,MATCH(RIGHT(Q1349,255),RIGHT('Disaggregation Records'!$D$155:$D$385,255),0))),"")</f>
        <v/>
      </c>
      <c r="U1349" s="89">
        <f>U1347+1</f>
        <v>1784</v>
      </c>
      <c r="V1349" s="89" t="str">
        <f t="array" aca="1" ref="V1349" ca="1">IFERROR(IF(INDEX('Disaggregation Records'!$I$155:$I$385,MATCH(RIGHT(Q1349,255),RIGHT('Disaggregation Records'!$D$155:$D$385,255),0))="","",INDEX('Disaggregation Records'!$I$155:$I$385,MATCH(RIGHT(Q1349,255),RIGHT('Disaggregation Records'!$D$155:$D$385,255),0))),"")</f>
        <v/>
      </c>
      <c r="W1349" s="89" t="str">
        <f ca="1">IFERROR(INDEX('Reference Records'!L$77:L$157,MATCH(LEFT(C1349,255),'Reference Records'!E$77:E$157,0)),"")</f>
        <v/>
      </c>
    </row>
    <row r="1350" spans="1:23" s="89" customFormat="1" ht="40.35" customHeight="1">
      <c r="A1350" s="564"/>
      <c r="B1350" s="799"/>
      <c r="C1350" s="800"/>
      <c r="D1350" s="801"/>
      <c r="E1350" s="801"/>
      <c r="F1350" s="128"/>
      <c r="G1350" s="802"/>
      <c r="H1350" s="781"/>
      <c r="I1350" s="803"/>
      <c r="J1350" s="779"/>
      <c r="K1350" s="800"/>
      <c r="L1350" s="800"/>
      <c r="M1350" s="779"/>
      <c r="N1350" s="779"/>
    </row>
    <row r="1351" spans="1:23" s="89" customFormat="1" ht="40.35" customHeight="1">
      <c r="A1351" s="564" t="str">
        <f ca="1">INDIRECT("'update Helper'!C"&amp;U1351)</f>
        <v>a163p000004VjqaAAC</v>
      </c>
      <c r="B1351" s="794">
        <v>19</v>
      </c>
      <c r="C1351" s="795" t="str">
        <f ca="1">VLOOKUP(B1351,'Coverage Indicators - Section D'!$A$9:$AU$70,47,FALSE)</f>
        <v/>
      </c>
      <c r="D1351" s="796" t="str">
        <f ca="1">R1351</f>
        <v/>
      </c>
      <c r="E1351" s="796" t="str">
        <f ca="1">S1351</f>
        <v/>
      </c>
      <c r="F1351" s="127"/>
      <c r="G1351" s="797" t="str">
        <f ca="1">IF(OR(INDIRECT("'update Helper'!E"&amp;U1351)="",F1351&lt;&gt;0,F1352&lt;&gt;0),IF(IFERROR((F1351/F1352),"")="","",(F1351/F1352)),INDIRECT("'update Helper'!E"&amp;U1351)/100)</f>
        <v/>
      </c>
      <c r="H1351" s="784"/>
      <c r="I1351" s="798"/>
      <c r="J1351" s="777"/>
      <c r="K1351" s="795" t="str">
        <f ca="1">W1351</f>
        <v/>
      </c>
      <c r="L1351" s="795" t="str">
        <f ca="1">V1351</f>
        <v/>
      </c>
      <c r="M1351" s="777"/>
      <c r="N1351" s="777"/>
      <c r="P1351" s="89">
        <f ca="1">IF(AND(EXACT(C1351,C1349),C1349&lt;&gt;0),P1349+1,0)</f>
        <v>125</v>
      </c>
      <c r="Q1351" s="89" t="str">
        <f ca="1">IF(C1351&lt;&gt;"",C1351&amp;"-"&amp;P1351,"")</f>
        <v/>
      </c>
      <c r="R1351" s="89" t="str">
        <f t="array" aca="1" ref="R1351" ca="1">IFERROR(IF(INDEX('Disaggregation Records'!$E$155:$E$385,MATCH(RIGHT(Q1351,255),RIGHT('Disaggregation Records'!$D$155:$D$385,255),0))="","",INDEX('Disaggregation Records'!$E$155:$E$385,MATCH(RIGHT(Q1351,255),RIGHT('Disaggregation Records'!$D$155:$D$385,255),0))),"")</f>
        <v/>
      </c>
      <c r="S1351" s="89" t="str">
        <f t="array" aca="1" ref="S1351" ca="1">IFERROR(IF(INDEX('Disaggregation Records'!$F$155:$F$385,MATCH(RIGHT(Q1351,255),RIGHT('Disaggregation Records'!$D$155:$D$385,255),0))="","",INDEX('Disaggregation Records'!$F$155:$F$385,MATCH(RIGHT(Q1351,255),RIGHT('Disaggregation Records'!$D$155:$D$385,255),0))),"")</f>
        <v/>
      </c>
      <c r="T1351" s="89" t="str">
        <f t="array" aca="1" ref="T1351" ca="1">IFERROR(IF(INDEX('Disaggregation Records'!$H$155:$H$385,MATCH(RIGHT(Q1351,255),RIGHT('Disaggregation Records'!$D$155:$D$385,255),0))="","",INDEX('Disaggregation Records'!$H$155:$H$385,MATCH(RIGHT(Q1351,255),RIGHT('Disaggregation Records'!$D$155:$D$385,255),0))),"")</f>
        <v/>
      </c>
      <c r="U1351" s="89">
        <f>U1349+1</f>
        <v>1785</v>
      </c>
      <c r="V1351" s="89" t="str">
        <f t="array" aca="1" ref="V1351" ca="1">IFERROR(IF(INDEX('Disaggregation Records'!$I$155:$I$385,MATCH(RIGHT(Q1351,255),RIGHT('Disaggregation Records'!$D$155:$D$385,255),0))="","",INDEX('Disaggregation Records'!$I$155:$I$385,MATCH(RIGHT(Q1351,255),RIGHT('Disaggregation Records'!$D$155:$D$385,255),0))),"")</f>
        <v/>
      </c>
      <c r="W1351" s="89" t="str">
        <f ca="1">IFERROR(INDEX('Reference Records'!L$77:L$157,MATCH(LEFT(C1351,255),'Reference Records'!E$77:E$157,0)),"")</f>
        <v/>
      </c>
    </row>
    <row r="1352" spans="1:23" s="89" customFormat="1" ht="40.35" customHeight="1">
      <c r="A1352" s="564"/>
      <c r="B1352" s="799"/>
      <c r="C1352" s="800"/>
      <c r="D1352" s="801"/>
      <c r="E1352" s="801"/>
      <c r="F1352" s="128"/>
      <c r="G1352" s="802"/>
      <c r="H1352" s="781"/>
      <c r="I1352" s="803"/>
      <c r="J1352" s="779"/>
      <c r="K1352" s="800"/>
      <c r="L1352" s="800"/>
      <c r="M1352" s="779"/>
      <c r="N1352" s="779"/>
    </row>
    <row r="1353" spans="1:23" s="89" customFormat="1" ht="40.35" customHeight="1">
      <c r="A1353" s="564" t="str">
        <f ca="1">INDIRECT("'update Helper'!C"&amp;U1353)</f>
        <v>a163p000004VjqbAAC</v>
      </c>
      <c r="B1353" s="794">
        <v>19</v>
      </c>
      <c r="C1353" s="795" t="str">
        <f ca="1">VLOOKUP(B1353,'Coverage Indicators - Section D'!$A$9:$AU$70,47,FALSE)</f>
        <v/>
      </c>
      <c r="D1353" s="796" t="str">
        <f ca="1">R1353</f>
        <v/>
      </c>
      <c r="E1353" s="796" t="str">
        <f ca="1">S1353</f>
        <v/>
      </c>
      <c r="F1353" s="127"/>
      <c r="G1353" s="797" t="str">
        <f ca="1">IF(OR(INDIRECT("'update Helper'!E"&amp;U1353)="",F1353&lt;&gt;0,F1354&lt;&gt;0),IF(IFERROR((F1353/F1354),"")="","",(F1353/F1354)),INDIRECT("'update Helper'!E"&amp;U1353)/100)</f>
        <v/>
      </c>
      <c r="H1353" s="784"/>
      <c r="I1353" s="798"/>
      <c r="J1353" s="777"/>
      <c r="K1353" s="795" t="str">
        <f ca="1">W1353</f>
        <v/>
      </c>
      <c r="L1353" s="795" t="str">
        <f ca="1">V1353</f>
        <v/>
      </c>
      <c r="M1353" s="777"/>
      <c r="N1353" s="777"/>
      <c r="P1353" s="89">
        <f ca="1">IF(AND(EXACT(C1353,C1351),C1351&lt;&gt;0),P1351+1,0)</f>
        <v>126</v>
      </c>
      <c r="Q1353" s="89" t="str">
        <f ca="1">IF(C1353&lt;&gt;"",C1353&amp;"-"&amp;P1353,"")</f>
        <v/>
      </c>
      <c r="R1353" s="89" t="str">
        <f t="array" aca="1" ref="R1353" ca="1">IFERROR(IF(INDEX('Disaggregation Records'!$E$155:$E$385,MATCH(RIGHT(Q1353,255),RIGHT('Disaggregation Records'!$D$155:$D$385,255),0))="","",INDEX('Disaggregation Records'!$E$155:$E$385,MATCH(RIGHT(Q1353,255),RIGHT('Disaggregation Records'!$D$155:$D$385,255),0))),"")</f>
        <v/>
      </c>
      <c r="S1353" s="89" t="str">
        <f t="array" aca="1" ref="S1353" ca="1">IFERROR(IF(INDEX('Disaggregation Records'!$F$155:$F$385,MATCH(RIGHT(Q1353,255),RIGHT('Disaggregation Records'!$D$155:$D$385,255),0))="","",INDEX('Disaggregation Records'!$F$155:$F$385,MATCH(RIGHT(Q1353,255),RIGHT('Disaggregation Records'!$D$155:$D$385,255),0))),"")</f>
        <v/>
      </c>
      <c r="T1353" s="89" t="str">
        <f t="array" aca="1" ref="T1353" ca="1">IFERROR(IF(INDEX('Disaggregation Records'!$H$155:$H$385,MATCH(RIGHT(Q1353,255),RIGHT('Disaggregation Records'!$D$155:$D$385,255),0))="","",INDEX('Disaggregation Records'!$H$155:$H$385,MATCH(RIGHT(Q1353,255),RIGHT('Disaggregation Records'!$D$155:$D$385,255),0))),"")</f>
        <v/>
      </c>
      <c r="U1353" s="89">
        <f>U1351+1</f>
        <v>1786</v>
      </c>
      <c r="V1353" s="89" t="str">
        <f t="array" aca="1" ref="V1353" ca="1">IFERROR(IF(INDEX('Disaggregation Records'!$I$155:$I$385,MATCH(RIGHT(Q1353,255),RIGHT('Disaggregation Records'!$D$155:$D$385,255),0))="","",INDEX('Disaggregation Records'!$I$155:$I$385,MATCH(RIGHT(Q1353,255),RIGHT('Disaggregation Records'!$D$155:$D$385,255),0))),"")</f>
        <v/>
      </c>
      <c r="W1353" s="89" t="str">
        <f ca="1">IFERROR(INDEX('Reference Records'!L$77:L$157,MATCH(LEFT(C1353,255),'Reference Records'!E$77:E$157,0)),"")</f>
        <v/>
      </c>
    </row>
    <row r="1354" spans="1:23" s="89" customFormat="1" ht="40.35" customHeight="1">
      <c r="A1354" s="564"/>
      <c r="B1354" s="799"/>
      <c r="C1354" s="800"/>
      <c r="D1354" s="801"/>
      <c r="E1354" s="801"/>
      <c r="F1354" s="128"/>
      <c r="G1354" s="802"/>
      <c r="H1354" s="781"/>
      <c r="I1354" s="803"/>
      <c r="J1354" s="779"/>
      <c r="K1354" s="800"/>
      <c r="L1354" s="800"/>
      <c r="M1354" s="779"/>
      <c r="N1354" s="779"/>
    </row>
    <row r="1355" spans="1:23" s="89" customFormat="1" ht="40.35" customHeight="1">
      <c r="A1355" s="564" t="str">
        <f ca="1">INDIRECT("'update Helper'!C"&amp;U1355)</f>
        <v>a163p000004VjqcAAC</v>
      </c>
      <c r="B1355" s="794">
        <v>19</v>
      </c>
      <c r="C1355" s="795" t="str">
        <f ca="1">VLOOKUP(B1355,'Coverage Indicators - Section D'!$A$9:$AU$70,47,FALSE)</f>
        <v/>
      </c>
      <c r="D1355" s="796" t="str">
        <f ca="1">R1355</f>
        <v/>
      </c>
      <c r="E1355" s="796" t="str">
        <f ca="1">S1355</f>
        <v/>
      </c>
      <c r="F1355" s="127"/>
      <c r="G1355" s="797" t="str">
        <f ca="1">IF(OR(INDIRECT("'update Helper'!E"&amp;U1355)="",F1355&lt;&gt;0,F1356&lt;&gt;0),IF(IFERROR((F1355/F1356),"")="","",(F1355/F1356)),INDIRECT("'update Helper'!E"&amp;U1355)/100)</f>
        <v/>
      </c>
      <c r="H1355" s="784"/>
      <c r="I1355" s="798"/>
      <c r="J1355" s="777"/>
      <c r="K1355" s="795" t="str">
        <f ca="1">W1355</f>
        <v/>
      </c>
      <c r="L1355" s="795" t="str">
        <f ca="1">V1355</f>
        <v/>
      </c>
      <c r="M1355" s="777"/>
      <c r="N1355" s="777"/>
      <c r="P1355" s="89">
        <f ca="1">IF(AND(EXACT(C1355,C1353),C1353&lt;&gt;0),P1353+1,0)</f>
        <v>127</v>
      </c>
      <c r="Q1355" s="89" t="str">
        <f ca="1">IF(C1355&lt;&gt;"",C1355&amp;"-"&amp;P1355,"")</f>
        <v/>
      </c>
      <c r="R1355" s="89" t="str">
        <f t="array" aca="1" ref="R1355" ca="1">IFERROR(IF(INDEX('Disaggregation Records'!$E$155:$E$385,MATCH(RIGHT(Q1355,255),RIGHT('Disaggregation Records'!$D$155:$D$385,255),0))="","",INDEX('Disaggregation Records'!$E$155:$E$385,MATCH(RIGHT(Q1355,255),RIGHT('Disaggregation Records'!$D$155:$D$385,255),0))),"")</f>
        <v/>
      </c>
      <c r="S1355" s="89" t="str">
        <f t="array" aca="1" ref="S1355" ca="1">IFERROR(IF(INDEX('Disaggregation Records'!$F$155:$F$385,MATCH(RIGHT(Q1355,255),RIGHT('Disaggregation Records'!$D$155:$D$385,255),0))="","",INDEX('Disaggregation Records'!$F$155:$F$385,MATCH(RIGHT(Q1355,255),RIGHT('Disaggregation Records'!$D$155:$D$385,255),0))),"")</f>
        <v/>
      </c>
      <c r="T1355" s="89" t="str">
        <f t="array" aca="1" ref="T1355" ca="1">IFERROR(IF(INDEX('Disaggregation Records'!$H$155:$H$385,MATCH(RIGHT(Q1355,255),RIGHT('Disaggregation Records'!$D$155:$D$385,255),0))="","",INDEX('Disaggregation Records'!$H$155:$H$385,MATCH(RIGHT(Q1355,255),RIGHT('Disaggregation Records'!$D$155:$D$385,255),0))),"")</f>
        <v/>
      </c>
      <c r="U1355" s="89">
        <f>U1353+1</f>
        <v>1787</v>
      </c>
      <c r="V1355" s="89" t="str">
        <f t="array" aca="1" ref="V1355" ca="1">IFERROR(IF(INDEX('Disaggregation Records'!$I$155:$I$385,MATCH(RIGHT(Q1355,255),RIGHT('Disaggregation Records'!$D$155:$D$385,255),0))="","",INDEX('Disaggregation Records'!$I$155:$I$385,MATCH(RIGHT(Q1355,255),RIGHT('Disaggregation Records'!$D$155:$D$385,255),0))),"")</f>
        <v/>
      </c>
      <c r="W1355" s="89" t="str">
        <f ca="1">IFERROR(INDEX('Reference Records'!L$77:L$157,MATCH(LEFT(C1355,255),'Reference Records'!E$77:E$157,0)),"")</f>
        <v/>
      </c>
    </row>
    <row r="1356" spans="1:23" s="89" customFormat="1" ht="40.35" customHeight="1">
      <c r="A1356" s="564"/>
      <c r="B1356" s="799"/>
      <c r="C1356" s="800"/>
      <c r="D1356" s="801"/>
      <c r="E1356" s="801"/>
      <c r="F1356" s="128"/>
      <c r="G1356" s="802"/>
      <c r="H1356" s="781"/>
      <c r="I1356" s="803"/>
      <c r="J1356" s="779"/>
      <c r="K1356" s="800"/>
      <c r="L1356" s="800"/>
      <c r="M1356" s="779"/>
      <c r="N1356" s="779"/>
    </row>
    <row r="1357" spans="1:23" s="89" customFormat="1" ht="40.35" customHeight="1">
      <c r="A1357" s="564" t="str">
        <f ca="1">INDIRECT("'update Helper'!C"&amp;U1357)</f>
        <v>a163p000004VjqdAAC</v>
      </c>
      <c r="B1357" s="794">
        <v>19</v>
      </c>
      <c r="C1357" s="795" t="str">
        <f ca="1">VLOOKUP(B1357,'Coverage Indicators - Section D'!$A$9:$AU$70,47,FALSE)</f>
        <v/>
      </c>
      <c r="D1357" s="796" t="str">
        <f ca="1">R1357</f>
        <v/>
      </c>
      <c r="E1357" s="796" t="str">
        <f ca="1">S1357</f>
        <v/>
      </c>
      <c r="F1357" s="127"/>
      <c r="G1357" s="797" t="str">
        <f ca="1">IF(OR(INDIRECT("'update Helper'!E"&amp;U1357)="",F1357&lt;&gt;0,F1358&lt;&gt;0),IF(IFERROR((F1357/F1358),"")="","",(F1357/F1358)),INDIRECT("'update Helper'!E"&amp;U1357)/100)</f>
        <v/>
      </c>
      <c r="H1357" s="784"/>
      <c r="I1357" s="798"/>
      <c r="J1357" s="777"/>
      <c r="K1357" s="795" t="str">
        <f ca="1">W1357</f>
        <v/>
      </c>
      <c r="L1357" s="795" t="str">
        <f ca="1">V1357</f>
        <v/>
      </c>
      <c r="M1357" s="777"/>
      <c r="N1357" s="777"/>
      <c r="P1357" s="89">
        <f ca="1">IF(AND(EXACT(C1357,C1355),C1355&lt;&gt;0),P1355+1,0)</f>
        <v>128</v>
      </c>
      <c r="Q1357" s="89" t="str">
        <f ca="1">IF(C1357&lt;&gt;"",C1357&amp;"-"&amp;P1357,"")</f>
        <v/>
      </c>
      <c r="R1357" s="89" t="str">
        <f t="array" aca="1" ref="R1357" ca="1">IFERROR(IF(INDEX('Disaggregation Records'!$E$155:$E$385,MATCH(RIGHT(Q1357,255),RIGHT('Disaggregation Records'!$D$155:$D$385,255),0))="","",INDEX('Disaggregation Records'!$E$155:$E$385,MATCH(RIGHT(Q1357,255),RIGHT('Disaggregation Records'!$D$155:$D$385,255),0))),"")</f>
        <v/>
      </c>
      <c r="S1357" s="89" t="str">
        <f t="array" aca="1" ref="S1357" ca="1">IFERROR(IF(INDEX('Disaggregation Records'!$F$155:$F$385,MATCH(RIGHT(Q1357,255),RIGHT('Disaggregation Records'!$D$155:$D$385,255),0))="","",INDEX('Disaggregation Records'!$F$155:$F$385,MATCH(RIGHT(Q1357,255),RIGHT('Disaggregation Records'!$D$155:$D$385,255),0))),"")</f>
        <v/>
      </c>
      <c r="T1357" s="89" t="str">
        <f t="array" aca="1" ref="T1357" ca="1">IFERROR(IF(INDEX('Disaggregation Records'!$H$155:$H$385,MATCH(RIGHT(Q1357,255),RIGHT('Disaggregation Records'!$D$155:$D$385,255),0))="","",INDEX('Disaggregation Records'!$H$155:$H$385,MATCH(RIGHT(Q1357,255),RIGHT('Disaggregation Records'!$D$155:$D$385,255),0))),"")</f>
        <v/>
      </c>
      <c r="U1357" s="89">
        <f>U1355+1</f>
        <v>1788</v>
      </c>
      <c r="V1357" s="89" t="str">
        <f t="array" aca="1" ref="V1357" ca="1">IFERROR(IF(INDEX('Disaggregation Records'!$I$155:$I$385,MATCH(RIGHT(Q1357,255),RIGHT('Disaggregation Records'!$D$155:$D$385,255),0))="","",INDEX('Disaggregation Records'!$I$155:$I$385,MATCH(RIGHT(Q1357,255),RIGHT('Disaggregation Records'!$D$155:$D$385,255),0))),"")</f>
        <v/>
      </c>
      <c r="W1357" s="89" t="str">
        <f ca="1">IFERROR(INDEX('Reference Records'!L$77:L$157,MATCH(LEFT(C1357,255),'Reference Records'!E$77:E$157,0)),"")</f>
        <v/>
      </c>
    </row>
    <row r="1358" spans="1:23" s="89" customFormat="1" ht="40.35" customHeight="1">
      <c r="A1358" s="564"/>
      <c r="B1358" s="799"/>
      <c r="C1358" s="800"/>
      <c r="D1358" s="801"/>
      <c r="E1358" s="801"/>
      <c r="F1358" s="128"/>
      <c r="G1358" s="802"/>
      <c r="H1358" s="781"/>
      <c r="I1358" s="803"/>
      <c r="J1358" s="779"/>
      <c r="K1358" s="800"/>
      <c r="L1358" s="800"/>
      <c r="M1358" s="779"/>
      <c r="N1358" s="779"/>
    </row>
    <row r="1359" spans="1:23" s="89" customFormat="1" ht="40.35" customHeight="1">
      <c r="A1359" s="564" t="str">
        <f ca="1">INDIRECT("'update Helper'!C"&amp;U1359)</f>
        <v>a163p000004VjqeAAC</v>
      </c>
      <c r="B1359" s="794">
        <v>19</v>
      </c>
      <c r="C1359" s="795" t="str">
        <f ca="1">VLOOKUP(B1359,'Coverage Indicators - Section D'!$A$9:$AU$70,47,FALSE)</f>
        <v/>
      </c>
      <c r="D1359" s="796" t="str">
        <f ca="1">R1359</f>
        <v/>
      </c>
      <c r="E1359" s="796" t="str">
        <f ca="1">S1359</f>
        <v/>
      </c>
      <c r="F1359" s="127"/>
      <c r="G1359" s="797" t="str">
        <f ca="1">IF(OR(INDIRECT("'update Helper'!E"&amp;U1359)="",F1359&lt;&gt;0,F1360&lt;&gt;0),IF(IFERROR((F1359/F1360),"")="","",(F1359/F1360)),INDIRECT("'update Helper'!E"&amp;U1359)/100)</f>
        <v/>
      </c>
      <c r="H1359" s="784"/>
      <c r="I1359" s="798"/>
      <c r="J1359" s="777"/>
      <c r="K1359" s="795" t="str">
        <f ca="1">W1359</f>
        <v/>
      </c>
      <c r="L1359" s="795" t="str">
        <f ca="1">V1359</f>
        <v/>
      </c>
      <c r="M1359" s="777"/>
      <c r="N1359" s="777"/>
      <c r="P1359" s="89">
        <f ca="1">IF(AND(EXACT(C1359,C1357),C1357&lt;&gt;0),P1357+1,0)</f>
        <v>129</v>
      </c>
      <c r="Q1359" s="89" t="str">
        <f ca="1">IF(C1359&lt;&gt;"",C1359&amp;"-"&amp;P1359,"")</f>
        <v/>
      </c>
      <c r="R1359" s="89" t="str">
        <f t="array" aca="1" ref="R1359" ca="1">IFERROR(IF(INDEX('Disaggregation Records'!$E$155:$E$385,MATCH(RIGHT(Q1359,255),RIGHT('Disaggregation Records'!$D$155:$D$385,255),0))="","",INDEX('Disaggregation Records'!$E$155:$E$385,MATCH(RIGHT(Q1359,255),RIGHT('Disaggregation Records'!$D$155:$D$385,255),0))),"")</f>
        <v/>
      </c>
      <c r="S1359" s="89" t="str">
        <f t="array" aca="1" ref="S1359" ca="1">IFERROR(IF(INDEX('Disaggregation Records'!$F$155:$F$385,MATCH(RIGHT(Q1359,255),RIGHT('Disaggregation Records'!$D$155:$D$385,255),0))="","",INDEX('Disaggregation Records'!$F$155:$F$385,MATCH(RIGHT(Q1359,255),RIGHT('Disaggregation Records'!$D$155:$D$385,255),0))),"")</f>
        <v/>
      </c>
      <c r="T1359" s="89" t="str">
        <f t="array" aca="1" ref="T1359" ca="1">IFERROR(IF(INDEX('Disaggregation Records'!$H$155:$H$385,MATCH(RIGHT(Q1359,255),RIGHT('Disaggregation Records'!$D$155:$D$385,255),0))="","",INDEX('Disaggregation Records'!$H$155:$H$385,MATCH(RIGHT(Q1359,255),RIGHT('Disaggregation Records'!$D$155:$D$385,255),0))),"")</f>
        <v/>
      </c>
      <c r="U1359" s="89">
        <f>U1357+1</f>
        <v>1789</v>
      </c>
      <c r="V1359" s="89" t="str">
        <f t="array" aca="1" ref="V1359" ca="1">IFERROR(IF(INDEX('Disaggregation Records'!$I$155:$I$385,MATCH(RIGHT(Q1359,255),RIGHT('Disaggregation Records'!$D$155:$D$385,255),0))="","",INDEX('Disaggregation Records'!$I$155:$I$385,MATCH(RIGHT(Q1359,255),RIGHT('Disaggregation Records'!$D$155:$D$385,255),0))),"")</f>
        <v/>
      </c>
      <c r="W1359" s="89" t="str">
        <f ca="1">IFERROR(INDEX('Reference Records'!L$77:L$157,MATCH(LEFT(C1359,255),'Reference Records'!E$77:E$157,0)),"")</f>
        <v/>
      </c>
    </row>
    <row r="1360" spans="1:23" s="89" customFormat="1" ht="40.35" customHeight="1">
      <c r="A1360" s="564"/>
      <c r="B1360" s="799"/>
      <c r="C1360" s="800"/>
      <c r="D1360" s="801"/>
      <c r="E1360" s="801"/>
      <c r="F1360" s="128"/>
      <c r="G1360" s="802"/>
      <c r="H1360" s="781"/>
      <c r="I1360" s="803"/>
      <c r="J1360" s="779"/>
      <c r="K1360" s="800"/>
      <c r="L1360" s="800"/>
      <c r="M1360" s="779"/>
      <c r="N1360" s="779"/>
    </row>
    <row r="1361" spans="1:23" s="89" customFormat="1" ht="40.35" customHeight="1">
      <c r="A1361" s="564" t="str">
        <f ca="1">INDIRECT("'update Helper'!C"&amp;U1361)</f>
        <v>a163p000004VjqfAAC</v>
      </c>
      <c r="B1361" s="794">
        <v>19</v>
      </c>
      <c r="C1361" s="795" t="str">
        <f ca="1">VLOOKUP(B1361,'Coverage Indicators - Section D'!$A$9:$AU$70,47,FALSE)</f>
        <v/>
      </c>
      <c r="D1361" s="796" t="str">
        <f ca="1">R1361</f>
        <v/>
      </c>
      <c r="E1361" s="796" t="str">
        <f ca="1">S1361</f>
        <v/>
      </c>
      <c r="F1361" s="127"/>
      <c r="G1361" s="797" t="str">
        <f ca="1">IF(OR(INDIRECT("'update Helper'!E"&amp;U1361)="",F1361&lt;&gt;0,F1362&lt;&gt;0),IF(IFERROR((F1361/F1362),"")="","",(F1361/F1362)),INDIRECT("'update Helper'!E"&amp;U1361)/100)</f>
        <v/>
      </c>
      <c r="H1361" s="784"/>
      <c r="I1361" s="798"/>
      <c r="J1361" s="777"/>
      <c r="K1361" s="795" t="str">
        <f ca="1">W1361</f>
        <v/>
      </c>
      <c r="L1361" s="795" t="str">
        <f ca="1">V1361</f>
        <v/>
      </c>
      <c r="M1361" s="777"/>
      <c r="N1361" s="777"/>
      <c r="P1361" s="89">
        <f ca="1">IF(AND(EXACT(C1361,C1359),C1359&lt;&gt;0),P1359+1,0)</f>
        <v>130</v>
      </c>
      <c r="Q1361" s="89" t="str">
        <f ca="1">IF(C1361&lt;&gt;"",C1361&amp;"-"&amp;P1361,"")</f>
        <v/>
      </c>
      <c r="R1361" s="89" t="str">
        <f t="array" aca="1" ref="R1361" ca="1">IFERROR(IF(INDEX('Disaggregation Records'!$E$155:$E$385,MATCH(RIGHT(Q1361,255),RIGHT('Disaggregation Records'!$D$155:$D$385,255),0))="","",INDEX('Disaggregation Records'!$E$155:$E$385,MATCH(RIGHT(Q1361,255),RIGHT('Disaggregation Records'!$D$155:$D$385,255),0))),"")</f>
        <v/>
      </c>
      <c r="S1361" s="89" t="str">
        <f t="array" aca="1" ref="S1361" ca="1">IFERROR(IF(INDEX('Disaggregation Records'!$F$155:$F$385,MATCH(RIGHT(Q1361,255),RIGHT('Disaggregation Records'!$D$155:$D$385,255),0))="","",INDEX('Disaggregation Records'!$F$155:$F$385,MATCH(RIGHT(Q1361,255),RIGHT('Disaggregation Records'!$D$155:$D$385,255),0))),"")</f>
        <v/>
      </c>
      <c r="T1361" s="89" t="str">
        <f t="array" aca="1" ref="T1361" ca="1">IFERROR(IF(INDEX('Disaggregation Records'!$H$155:$H$385,MATCH(RIGHT(Q1361,255),RIGHT('Disaggregation Records'!$D$155:$D$385,255),0))="","",INDEX('Disaggregation Records'!$H$155:$H$385,MATCH(RIGHT(Q1361,255),RIGHT('Disaggregation Records'!$D$155:$D$385,255),0))),"")</f>
        <v/>
      </c>
      <c r="U1361" s="89">
        <f>U1359+1</f>
        <v>1790</v>
      </c>
      <c r="V1361" s="89" t="str">
        <f t="array" aca="1" ref="V1361" ca="1">IFERROR(IF(INDEX('Disaggregation Records'!$I$155:$I$385,MATCH(RIGHT(Q1361,255),RIGHT('Disaggregation Records'!$D$155:$D$385,255),0))="","",INDEX('Disaggregation Records'!$I$155:$I$385,MATCH(RIGHT(Q1361,255),RIGHT('Disaggregation Records'!$D$155:$D$385,255),0))),"")</f>
        <v/>
      </c>
      <c r="W1361" s="89" t="str">
        <f ca="1">IFERROR(INDEX('Reference Records'!L$77:L$157,MATCH(LEFT(C1361,255),'Reference Records'!E$77:E$157,0)),"")</f>
        <v/>
      </c>
    </row>
    <row r="1362" spans="1:23" s="89" customFormat="1" ht="40.35" customHeight="1">
      <c r="A1362" s="564"/>
      <c r="B1362" s="799"/>
      <c r="C1362" s="800"/>
      <c r="D1362" s="801"/>
      <c r="E1362" s="801"/>
      <c r="F1362" s="128"/>
      <c r="G1362" s="802"/>
      <c r="H1362" s="781"/>
      <c r="I1362" s="803"/>
      <c r="J1362" s="779"/>
      <c r="K1362" s="800"/>
      <c r="L1362" s="800"/>
      <c r="M1362" s="779"/>
      <c r="N1362" s="779"/>
    </row>
    <row r="1363" spans="1:23" s="89" customFormat="1" ht="40.35" customHeight="1">
      <c r="A1363" s="564" t="str">
        <f ca="1">INDIRECT("'update Helper'!C"&amp;U1363)</f>
        <v>a163p000004VjqgAAC</v>
      </c>
      <c r="B1363" s="794">
        <v>19</v>
      </c>
      <c r="C1363" s="795" t="str">
        <f ca="1">VLOOKUP(B1363,'Coverage Indicators - Section D'!$A$9:$AU$70,47,FALSE)</f>
        <v/>
      </c>
      <c r="D1363" s="796" t="str">
        <f ca="1">R1363</f>
        <v/>
      </c>
      <c r="E1363" s="796" t="str">
        <f ca="1">S1363</f>
        <v/>
      </c>
      <c r="F1363" s="127"/>
      <c r="G1363" s="797" t="str">
        <f ca="1">IF(OR(INDIRECT("'update Helper'!E"&amp;U1363)="",F1363&lt;&gt;0,F1364&lt;&gt;0),IF(IFERROR((F1363/F1364),"")="","",(F1363/F1364)),INDIRECT("'update Helper'!E"&amp;U1363)/100)</f>
        <v/>
      </c>
      <c r="H1363" s="784"/>
      <c r="I1363" s="798"/>
      <c r="J1363" s="777"/>
      <c r="K1363" s="795" t="str">
        <f ca="1">W1363</f>
        <v/>
      </c>
      <c r="L1363" s="795" t="str">
        <f ca="1">V1363</f>
        <v/>
      </c>
      <c r="M1363" s="777"/>
      <c r="N1363" s="777"/>
      <c r="P1363" s="89">
        <f ca="1">IF(AND(EXACT(C1363,C1361),C1361&lt;&gt;0),P1361+1,0)</f>
        <v>131</v>
      </c>
      <c r="Q1363" s="89" t="str">
        <f ca="1">IF(C1363&lt;&gt;"",C1363&amp;"-"&amp;P1363,"")</f>
        <v/>
      </c>
      <c r="R1363" s="89" t="str">
        <f t="array" aca="1" ref="R1363" ca="1">IFERROR(IF(INDEX('Disaggregation Records'!$E$155:$E$385,MATCH(RIGHT(Q1363,255),RIGHT('Disaggregation Records'!$D$155:$D$385,255),0))="","",INDEX('Disaggregation Records'!$E$155:$E$385,MATCH(RIGHT(Q1363,255),RIGHT('Disaggregation Records'!$D$155:$D$385,255),0))),"")</f>
        <v/>
      </c>
      <c r="S1363" s="89" t="str">
        <f t="array" aca="1" ref="S1363" ca="1">IFERROR(IF(INDEX('Disaggregation Records'!$F$155:$F$385,MATCH(RIGHT(Q1363,255),RIGHT('Disaggregation Records'!$D$155:$D$385,255),0))="","",INDEX('Disaggregation Records'!$F$155:$F$385,MATCH(RIGHT(Q1363,255),RIGHT('Disaggregation Records'!$D$155:$D$385,255),0))),"")</f>
        <v/>
      </c>
      <c r="T1363" s="89" t="str">
        <f t="array" aca="1" ref="T1363" ca="1">IFERROR(IF(INDEX('Disaggregation Records'!$H$155:$H$385,MATCH(RIGHT(Q1363,255),RIGHT('Disaggregation Records'!$D$155:$D$385,255),0))="","",INDEX('Disaggregation Records'!$H$155:$H$385,MATCH(RIGHT(Q1363,255),RIGHT('Disaggregation Records'!$D$155:$D$385,255),0))),"")</f>
        <v/>
      </c>
      <c r="U1363" s="89">
        <f>U1361+1</f>
        <v>1791</v>
      </c>
      <c r="V1363" s="89" t="str">
        <f t="array" aca="1" ref="V1363" ca="1">IFERROR(IF(INDEX('Disaggregation Records'!$I$155:$I$385,MATCH(RIGHT(Q1363,255),RIGHT('Disaggregation Records'!$D$155:$D$385,255),0))="","",INDEX('Disaggregation Records'!$I$155:$I$385,MATCH(RIGHT(Q1363,255),RIGHT('Disaggregation Records'!$D$155:$D$385,255),0))),"")</f>
        <v/>
      </c>
      <c r="W1363" s="89" t="str">
        <f ca="1">IFERROR(INDEX('Reference Records'!L$77:L$157,MATCH(LEFT(C1363,255),'Reference Records'!E$77:E$157,0)),"")</f>
        <v/>
      </c>
    </row>
    <row r="1364" spans="1:23" s="89" customFormat="1" ht="40.35" customHeight="1">
      <c r="A1364" s="564"/>
      <c r="B1364" s="799"/>
      <c r="C1364" s="800"/>
      <c r="D1364" s="801"/>
      <c r="E1364" s="801"/>
      <c r="F1364" s="128"/>
      <c r="G1364" s="802"/>
      <c r="H1364" s="781"/>
      <c r="I1364" s="803"/>
      <c r="J1364" s="779"/>
      <c r="K1364" s="800"/>
      <c r="L1364" s="800"/>
      <c r="M1364" s="779"/>
      <c r="N1364" s="779"/>
    </row>
    <row r="1365" spans="1:23" s="89" customFormat="1" ht="40.35" customHeight="1">
      <c r="A1365" s="564" t="str">
        <f ca="1">INDIRECT("'update Helper'!C"&amp;U1365)</f>
        <v>a163p000004VjqhAAC</v>
      </c>
      <c r="B1365" s="794">
        <v>19</v>
      </c>
      <c r="C1365" s="795" t="str">
        <f ca="1">VLOOKUP(B1365,'Coverage Indicators - Section D'!$A$9:$AU$70,47,FALSE)</f>
        <v/>
      </c>
      <c r="D1365" s="796" t="str">
        <f ca="1">R1365</f>
        <v/>
      </c>
      <c r="E1365" s="796" t="str">
        <f ca="1">S1365</f>
        <v/>
      </c>
      <c r="F1365" s="127"/>
      <c r="G1365" s="797" t="str">
        <f ca="1">IF(OR(INDIRECT("'update Helper'!E"&amp;U1365)="",F1365&lt;&gt;0,F1366&lt;&gt;0),IF(IFERROR((F1365/F1366),"")="","",(F1365/F1366)),INDIRECT("'update Helper'!E"&amp;U1365)/100)</f>
        <v/>
      </c>
      <c r="H1365" s="784"/>
      <c r="I1365" s="798"/>
      <c r="J1365" s="777"/>
      <c r="K1365" s="795" t="str">
        <f ca="1">W1365</f>
        <v/>
      </c>
      <c r="L1365" s="795" t="str">
        <f ca="1">V1365</f>
        <v/>
      </c>
      <c r="M1365" s="777"/>
      <c r="N1365" s="777"/>
      <c r="P1365" s="89">
        <f ca="1">IF(AND(EXACT(C1365,C1363),C1363&lt;&gt;0),P1363+1,0)</f>
        <v>132</v>
      </c>
      <c r="Q1365" s="89" t="str">
        <f ca="1">IF(C1365&lt;&gt;"",C1365&amp;"-"&amp;P1365,"")</f>
        <v/>
      </c>
      <c r="R1365" s="89" t="str">
        <f t="array" aca="1" ref="R1365" ca="1">IFERROR(IF(INDEX('Disaggregation Records'!$E$155:$E$385,MATCH(RIGHT(Q1365,255),RIGHT('Disaggregation Records'!$D$155:$D$385,255),0))="","",INDEX('Disaggregation Records'!$E$155:$E$385,MATCH(RIGHT(Q1365,255),RIGHT('Disaggregation Records'!$D$155:$D$385,255),0))),"")</f>
        <v/>
      </c>
      <c r="S1365" s="89" t="str">
        <f t="array" aca="1" ref="S1365" ca="1">IFERROR(IF(INDEX('Disaggregation Records'!$F$155:$F$385,MATCH(RIGHT(Q1365,255),RIGHT('Disaggregation Records'!$D$155:$D$385,255),0))="","",INDEX('Disaggregation Records'!$F$155:$F$385,MATCH(RIGHT(Q1365,255),RIGHT('Disaggregation Records'!$D$155:$D$385,255),0))),"")</f>
        <v/>
      </c>
      <c r="T1365" s="89" t="str">
        <f t="array" aca="1" ref="T1365" ca="1">IFERROR(IF(INDEX('Disaggregation Records'!$H$155:$H$385,MATCH(RIGHT(Q1365,255),RIGHT('Disaggregation Records'!$D$155:$D$385,255),0))="","",INDEX('Disaggregation Records'!$H$155:$H$385,MATCH(RIGHT(Q1365,255),RIGHT('Disaggregation Records'!$D$155:$D$385,255),0))),"")</f>
        <v/>
      </c>
      <c r="U1365" s="89">
        <f>U1363+1</f>
        <v>1792</v>
      </c>
      <c r="V1365" s="89" t="str">
        <f t="array" aca="1" ref="V1365" ca="1">IFERROR(IF(INDEX('Disaggregation Records'!$I$155:$I$385,MATCH(RIGHT(Q1365,255),RIGHT('Disaggregation Records'!$D$155:$D$385,255),0))="","",INDEX('Disaggregation Records'!$I$155:$I$385,MATCH(RIGHT(Q1365,255),RIGHT('Disaggregation Records'!$D$155:$D$385,255),0))),"")</f>
        <v/>
      </c>
      <c r="W1365" s="89" t="str">
        <f ca="1">IFERROR(INDEX('Reference Records'!L$77:L$157,MATCH(LEFT(C1365,255),'Reference Records'!E$77:E$157,0)),"")</f>
        <v/>
      </c>
    </row>
    <row r="1366" spans="1:23" s="89" customFormat="1" ht="40.35" customHeight="1">
      <c r="A1366" s="564"/>
      <c r="B1366" s="799"/>
      <c r="C1366" s="800"/>
      <c r="D1366" s="801"/>
      <c r="E1366" s="801"/>
      <c r="F1366" s="128"/>
      <c r="G1366" s="802"/>
      <c r="H1366" s="781"/>
      <c r="I1366" s="803"/>
      <c r="J1366" s="779"/>
      <c r="K1366" s="800"/>
      <c r="L1366" s="800"/>
      <c r="M1366" s="779"/>
      <c r="N1366" s="779"/>
    </row>
    <row r="1367" spans="1:23" s="89" customFormat="1" ht="40.35" customHeight="1">
      <c r="A1367" s="564" t="str">
        <f ca="1">INDIRECT("'update Helper'!C"&amp;U1367)</f>
        <v>a163p000004VjqiAAC</v>
      </c>
      <c r="B1367" s="794">
        <v>19</v>
      </c>
      <c r="C1367" s="795" t="str">
        <f ca="1">VLOOKUP(B1367,'Coverage Indicators - Section D'!$A$9:$AU$70,47,FALSE)</f>
        <v/>
      </c>
      <c r="D1367" s="796" t="str">
        <f ca="1">R1367</f>
        <v/>
      </c>
      <c r="E1367" s="796" t="str">
        <f ca="1">S1367</f>
        <v/>
      </c>
      <c r="F1367" s="127"/>
      <c r="G1367" s="797" t="str">
        <f ca="1">IF(OR(INDIRECT("'update Helper'!E"&amp;U1367)="",F1367&lt;&gt;0,F1368&lt;&gt;0),IF(IFERROR((F1367/F1368),"")="","",(F1367/F1368)),INDIRECT("'update Helper'!E"&amp;U1367)/100)</f>
        <v/>
      </c>
      <c r="H1367" s="784"/>
      <c r="I1367" s="798"/>
      <c r="J1367" s="777"/>
      <c r="K1367" s="795" t="str">
        <f ca="1">W1367</f>
        <v/>
      </c>
      <c r="L1367" s="795" t="str">
        <f ca="1">V1367</f>
        <v/>
      </c>
      <c r="M1367" s="777"/>
      <c r="N1367" s="777"/>
      <c r="P1367" s="89">
        <f ca="1">IF(AND(EXACT(C1367,C1365),C1365&lt;&gt;0),P1365+1,0)</f>
        <v>133</v>
      </c>
      <c r="Q1367" s="89" t="str">
        <f ca="1">IF(C1367&lt;&gt;"",C1367&amp;"-"&amp;P1367,"")</f>
        <v/>
      </c>
      <c r="R1367" s="89" t="str">
        <f t="array" aca="1" ref="R1367" ca="1">IFERROR(IF(INDEX('Disaggregation Records'!$E$155:$E$385,MATCH(RIGHT(Q1367,255),RIGHT('Disaggregation Records'!$D$155:$D$385,255),0))="","",INDEX('Disaggregation Records'!$E$155:$E$385,MATCH(RIGHT(Q1367,255),RIGHT('Disaggregation Records'!$D$155:$D$385,255),0))),"")</f>
        <v/>
      </c>
      <c r="S1367" s="89" t="str">
        <f t="array" aca="1" ref="S1367" ca="1">IFERROR(IF(INDEX('Disaggregation Records'!$F$155:$F$385,MATCH(RIGHT(Q1367,255),RIGHT('Disaggregation Records'!$D$155:$D$385,255),0))="","",INDEX('Disaggregation Records'!$F$155:$F$385,MATCH(RIGHT(Q1367,255),RIGHT('Disaggregation Records'!$D$155:$D$385,255),0))),"")</f>
        <v/>
      </c>
      <c r="T1367" s="89" t="str">
        <f t="array" aca="1" ref="T1367" ca="1">IFERROR(IF(INDEX('Disaggregation Records'!$H$155:$H$385,MATCH(RIGHT(Q1367,255),RIGHT('Disaggregation Records'!$D$155:$D$385,255),0))="","",INDEX('Disaggregation Records'!$H$155:$H$385,MATCH(RIGHT(Q1367,255),RIGHT('Disaggregation Records'!$D$155:$D$385,255),0))),"")</f>
        <v/>
      </c>
      <c r="U1367" s="89">
        <f>U1365+1</f>
        <v>1793</v>
      </c>
      <c r="V1367" s="89" t="str">
        <f t="array" aca="1" ref="V1367" ca="1">IFERROR(IF(INDEX('Disaggregation Records'!$I$155:$I$385,MATCH(RIGHT(Q1367,255),RIGHT('Disaggregation Records'!$D$155:$D$385,255),0))="","",INDEX('Disaggregation Records'!$I$155:$I$385,MATCH(RIGHT(Q1367,255),RIGHT('Disaggregation Records'!$D$155:$D$385,255),0))),"")</f>
        <v/>
      </c>
      <c r="W1367" s="89" t="str">
        <f ca="1">IFERROR(INDEX('Reference Records'!L$77:L$157,MATCH(LEFT(C1367,255),'Reference Records'!E$77:E$157,0)),"")</f>
        <v/>
      </c>
    </row>
    <row r="1368" spans="1:23" s="89" customFormat="1" ht="40.35" customHeight="1">
      <c r="A1368" s="564"/>
      <c r="B1368" s="799"/>
      <c r="C1368" s="800"/>
      <c r="D1368" s="801"/>
      <c r="E1368" s="801"/>
      <c r="F1368" s="128"/>
      <c r="G1368" s="802"/>
      <c r="H1368" s="781"/>
      <c r="I1368" s="803"/>
      <c r="J1368" s="779"/>
      <c r="K1368" s="800"/>
      <c r="L1368" s="800"/>
      <c r="M1368" s="779"/>
      <c r="N1368" s="779"/>
    </row>
    <row r="1369" spans="1:23" s="89" customFormat="1" ht="40.35" customHeight="1">
      <c r="A1369" s="564" t="str">
        <f ca="1">INDIRECT("'update Helper'!C"&amp;U1369)</f>
        <v>a163p000004VjqjAAC</v>
      </c>
      <c r="B1369" s="794">
        <v>19</v>
      </c>
      <c r="C1369" s="795" t="str">
        <f ca="1">VLOOKUP(B1369,'Coverage Indicators - Section D'!$A$9:$AU$70,47,FALSE)</f>
        <v/>
      </c>
      <c r="D1369" s="796" t="str">
        <f ca="1">R1369</f>
        <v/>
      </c>
      <c r="E1369" s="796" t="str">
        <f ca="1">S1369</f>
        <v/>
      </c>
      <c r="F1369" s="127"/>
      <c r="G1369" s="797" t="str">
        <f ca="1">IF(OR(INDIRECT("'update Helper'!E"&amp;U1369)="",F1369&lt;&gt;0,F1370&lt;&gt;0),IF(IFERROR((F1369/F1370),"")="","",(F1369/F1370)),INDIRECT("'update Helper'!E"&amp;U1369)/100)</f>
        <v/>
      </c>
      <c r="H1369" s="784"/>
      <c r="I1369" s="798"/>
      <c r="J1369" s="777"/>
      <c r="K1369" s="795" t="str">
        <f ca="1">W1369</f>
        <v/>
      </c>
      <c r="L1369" s="795" t="str">
        <f ca="1">V1369</f>
        <v/>
      </c>
      <c r="M1369" s="777"/>
      <c r="N1369" s="777"/>
      <c r="P1369" s="89">
        <f ca="1">IF(AND(EXACT(C1369,C1367),C1367&lt;&gt;0),P1367+1,0)</f>
        <v>134</v>
      </c>
      <c r="Q1369" s="89" t="str">
        <f ca="1">IF(C1369&lt;&gt;"",C1369&amp;"-"&amp;P1369,"")</f>
        <v/>
      </c>
      <c r="R1369" s="89" t="str">
        <f t="array" aca="1" ref="R1369" ca="1">IFERROR(IF(INDEX('Disaggregation Records'!$E$155:$E$385,MATCH(RIGHT(Q1369,255),RIGHT('Disaggregation Records'!$D$155:$D$385,255),0))="","",INDEX('Disaggregation Records'!$E$155:$E$385,MATCH(RIGHT(Q1369,255),RIGHT('Disaggregation Records'!$D$155:$D$385,255),0))),"")</f>
        <v/>
      </c>
      <c r="S1369" s="89" t="str">
        <f t="array" aca="1" ref="S1369" ca="1">IFERROR(IF(INDEX('Disaggregation Records'!$F$155:$F$385,MATCH(RIGHT(Q1369,255),RIGHT('Disaggregation Records'!$D$155:$D$385,255),0))="","",INDEX('Disaggregation Records'!$F$155:$F$385,MATCH(RIGHT(Q1369,255),RIGHT('Disaggregation Records'!$D$155:$D$385,255),0))),"")</f>
        <v/>
      </c>
      <c r="T1369" s="89" t="str">
        <f t="array" aca="1" ref="T1369" ca="1">IFERROR(IF(INDEX('Disaggregation Records'!$H$155:$H$385,MATCH(RIGHT(Q1369,255),RIGHT('Disaggregation Records'!$D$155:$D$385,255),0))="","",INDEX('Disaggregation Records'!$H$155:$H$385,MATCH(RIGHT(Q1369,255),RIGHT('Disaggregation Records'!$D$155:$D$385,255),0))),"")</f>
        <v/>
      </c>
      <c r="U1369" s="89">
        <f>U1367+1</f>
        <v>1794</v>
      </c>
      <c r="V1369" s="89" t="str">
        <f t="array" aca="1" ref="V1369" ca="1">IFERROR(IF(INDEX('Disaggregation Records'!$I$155:$I$385,MATCH(RIGHT(Q1369,255),RIGHT('Disaggregation Records'!$D$155:$D$385,255),0))="","",INDEX('Disaggregation Records'!$I$155:$I$385,MATCH(RIGHT(Q1369,255),RIGHT('Disaggregation Records'!$D$155:$D$385,255),0))),"")</f>
        <v/>
      </c>
      <c r="W1369" s="89" t="str">
        <f ca="1">IFERROR(INDEX('Reference Records'!L$77:L$157,MATCH(LEFT(C1369,255),'Reference Records'!E$77:E$157,0)),"")</f>
        <v/>
      </c>
    </row>
    <row r="1370" spans="1:23" s="89" customFormat="1" ht="40.35" customHeight="1">
      <c r="A1370" s="564"/>
      <c r="B1370" s="799"/>
      <c r="C1370" s="800"/>
      <c r="D1370" s="801"/>
      <c r="E1370" s="801"/>
      <c r="F1370" s="128"/>
      <c r="G1370" s="802"/>
      <c r="H1370" s="781"/>
      <c r="I1370" s="803"/>
      <c r="J1370" s="779"/>
      <c r="K1370" s="800"/>
      <c r="L1370" s="800"/>
      <c r="M1370" s="779"/>
      <c r="N1370" s="779"/>
    </row>
    <row r="1371" spans="1:23" s="89" customFormat="1" ht="40.35" customHeight="1">
      <c r="A1371" s="564" t="str">
        <f ca="1">INDIRECT("'update Helper'!C"&amp;U1371)</f>
        <v>a163p000004VjqkAAC</v>
      </c>
      <c r="B1371" s="794">
        <v>19</v>
      </c>
      <c r="C1371" s="795" t="str">
        <f ca="1">VLOOKUP(B1371,'Coverage Indicators - Section D'!$A$9:$AU$70,47,FALSE)</f>
        <v/>
      </c>
      <c r="D1371" s="796" t="str">
        <f ca="1">R1371</f>
        <v/>
      </c>
      <c r="E1371" s="796" t="str">
        <f ca="1">S1371</f>
        <v/>
      </c>
      <c r="F1371" s="127"/>
      <c r="G1371" s="797" t="str">
        <f ca="1">IF(OR(INDIRECT("'update Helper'!E"&amp;U1371)="",F1371&lt;&gt;0,F1372&lt;&gt;0),IF(IFERROR((F1371/F1372),"")="","",(F1371/F1372)),INDIRECT("'update Helper'!E"&amp;U1371)/100)</f>
        <v/>
      </c>
      <c r="H1371" s="784"/>
      <c r="I1371" s="798"/>
      <c r="J1371" s="777"/>
      <c r="K1371" s="795" t="str">
        <f ca="1">W1371</f>
        <v/>
      </c>
      <c r="L1371" s="795" t="str">
        <f ca="1">V1371</f>
        <v/>
      </c>
      <c r="M1371" s="777"/>
      <c r="N1371" s="777"/>
      <c r="P1371" s="89">
        <f ca="1">IF(AND(EXACT(C1371,C1369),C1369&lt;&gt;0),P1369+1,0)</f>
        <v>135</v>
      </c>
      <c r="Q1371" s="89" t="str">
        <f ca="1">IF(C1371&lt;&gt;"",C1371&amp;"-"&amp;P1371,"")</f>
        <v/>
      </c>
      <c r="R1371" s="89" t="str">
        <f t="array" aca="1" ref="R1371" ca="1">IFERROR(IF(INDEX('Disaggregation Records'!$E$155:$E$385,MATCH(RIGHT(Q1371,255),RIGHT('Disaggregation Records'!$D$155:$D$385,255),0))="","",INDEX('Disaggregation Records'!$E$155:$E$385,MATCH(RIGHT(Q1371,255),RIGHT('Disaggregation Records'!$D$155:$D$385,255),0))),"")</f>
        <v/>
      </c>
      <c r="S1371" s="89" t="str">
        <f t="array" aca="1" ref="S1371" ca="1">IFERROR(IF(INDEX('Disaggregation Records'!$F$155:$F$385,MATCH(RIGHT(Q1371,255),RIGHT('Disaggregation Records'!$D$155:$D$385,255),0))="","",INDEX('Disaggregation Records'!$F$155:$F$385,MATCH(RIGHT(Q1371,255),RIGHT('Disaggregation Records'!$D$155:$D$385,255),0))),"")</f>
        <v/>
      </c>
      <c r="T1371" s="89" t="str">
        <f t="array" aca="1" ref="T1371" ca="1">IFERROR(IF(INDEX('Disaggregation Records'!$H$155:$H$385,MATCH(RIGHT(Q1371,255),RIGHT('Disaggregation Records'!$D$155:$D$385,255),0))="","",INDEX('Disaggregation Records'!$H$155:$H$385,MATCH(RIGHT(Q1371,255),RIGHT('Disaggregation Records'!$D$155:$D$385,255),0))),"")</f>
        <v/>
      </c>
      <c r="U1371" s="89">
        <f>U1369+1</f>
        <v>1795</v>
      </c>
      <c r="V1371" s="89" t="str">
        <f t="array" aca="1" ref="V1371" ca="1">IFERROR(IF(INDEX('Disaggregation Records'!$I$155:$I$385,MATCH(RIGHT(Q1371,255),RIGHT('Disaggregation Records'!$D$155:$D$385,255),0))="","",INDEX('Disaggregation Records'!$I$155:$I$385,MATCH(RIGHT(Q1371,255),RIGHT('Disaggregation Records'!$D$155:$D$385,255),0))),"")</f>
        <v/>
      </c>
      <c r="W1371" s="89" t="str">
        <f ca="1">IFERROR(INDEX('Reference Records'!L$77:L$157,MATCH(LEFT(C1371,255),'Reference Records'!E$77:E$157,0)),"")</f>
        <v/>
      </c>
    </row>
    <row r="1372" spans="1:23" s="89" customFormat="1" ht="40.35" customHeight="1">
      <c r="A1372" s="564"/>
      <c r="B1372" s="799"/>
      <c r="C1372" s="800"/>
      <c r="D1372" s="801"/>
      <c r="E1372" s="801"/>
      <c r="F1372" s="128"/>
      <c r="G1372" s="802"/>
      <c r="H1372" s="781"/>
      <c r="I1372" s="803"/>
      <c r="J1372" s="779"/>
      <c r="K1372" s="800"/>
      <c r="L1372" s="800"/>
      <c r="M1372" s="779"/>
      <c r="N1372" s="779"/>
    </row>
    <row r="1373" spans="1:23" s="89" customFormat="1" ht="40.35" customHeight="1">
      <c r="A1373" s="564" t="str">
        <f ca="1">INDIRECT("'update Helper'!C"&amp;U1373)</f>
        <v>a163p000004VjqlAAC</v>
      </c>
      <c r="B1373" s="794">
        <v>19</v>
      </c>
      <c r="C1373" s="795" t="str">
        <f ca="1">VLOOKUP(B1373,'Coverage Indicators - Section D'!$A$9:$AU$70,47,FALSE)</f>
        <v/>
      </c>
      <c r="D1373" s="796" t="str">
        <f ca="1">R1373</f>
        <v/>
      </c>
      <c r="E1373" s="796" t="str">
        <f ca="1">S1373</f>
        <v/>
      </c>
      <c r="F1373" s="127"/>
      <c r="G1373" s="797" t="str">
        <f ca="1">IF(OR(INDIRECT("'update Helper'!E"&amp;U1373)="",F1373&lt;&gt;0,F1374&lt;&gt;0),IF(IFERROR((F1373/F1374),"")="","",(F1373/F1374)),INDIRECT("'update Helper'!E"&amp;U1373)/100)</f>
        <v/>
      </c>
      <c r="H1373" s="784"/>
      <c r="I1373" s="798"/>
      <c r="J1373" s="777"/>
      <c r="K1373" s="795" t="str">
        <f ca="1">W1373</f>
        <v/>
      </c>
      <c r="L1373" s="795" t="str">
        <f ca="1">V1373</f>
        <v/>
      </c>
      <c r="M1373" s="777"/>
      <c r="N1373" s="777"/>
      <c r="P1373" s="89">
        <f ca="1">IF(AND(EXACT(C1373,C1371),C1371&lt;&gt;0),P1371+1,0)</f>
        <v>136</v>
      </c>
      <c r="Q1373" s="89" t="str">
        <f ca="1">IF(C1373&lt;&gt;"",C1373&amp;"-"&amp;P1373,"")</f>
        <v/>
      </c>
      <c r="R1373" s="89" t="str">
        <f t="array" aca="1" ref="R1373" ca="1">IFERROR(IF(INDEX('Disaggregation Records'!$E$155:$E$385,MATCH(RIGHT(Q1373,255),RIGHT('Disaggregation Records'!$D$155:$D$385,255),0))="","",INDEX('Disaggregation Records'!$E$155:$E$385,MATCH(RIGHT(Q1373,255),RIGHT('Disaggregation Records'!$D$155:$D$385,255),0))),"")</f>
        <v/>
      </c>
      <c r="S1373" s="89" t="str">
        <f t="array" aca="1" ref="S1373" ca="1">IFERROR(IF(INDEX('Disaggregation Records'!$F$155:$F$385,MATCH(RIGHT(Q1373,255),RIGHT('Disaggregation Records'!$D$155:$D$385,255),0))="","",INDEX('Disaggregation Records'!$F$155:$F$385,MATCH(RIGHT(Q1373,255),RIGHT('Disaggregation Records'!$D$155:$D$385,255),0))),"")</f>
        <v/>
      </c>
      <c r="T1373" s="89" t="str">
        <f t="array" aca="1" ref="T1373" ca="1">IFERROR(IF(INDEX('Disaggregation Records'!$H$155:$H$385,MATCH(RIGHT(Q1373,255),RIGHT('Disaggregation Records'!$D$155:$D$385,255),0))="","",INDEX('Disaggregation Records'!$H$155:$H$385,MATCH(RIGHT(Q1373,255),RIGHT('Disaggregation Records'!$D$155:$D$385,255),0))),"")</f>
        <v/>
      </c>
      <c r="U1373" s="89">
        <f>U1371+1</f>
        <v>1796</v>
      </c>
      <c r="V1373" s="89" t="str">
        <f t="array" aca="1" ref="V1373" ca="1">IFERROR(IF(INDEX('Disaggregation Records'!$I$155:$I$385,MATCH(RIGHT(Q1373,255),RIGHT('Disaggregation Records'!$D$155:$D$385,255),0))="","",INDEX('Disaggregation Records'!$I$155:$I$385,MATCH(RIGHT(Q1373,255),RIGHT('Disaggregation Records'!$D$155:$D$385,255),0))),"")</f>
        <v/>
      </c>
      <c r="W1373" s="89" t="str">
        <f ca="1">IFERROR(INDEX('Reference Records'!L$77:L$157,MATCH(LEFT(C1373,255),'Reference Records'!E$77:E$157,0)),"")</f>
        <v/>
      </c>
    </row>
    <row r="1374" spans="1:23" s="89" customFormat="1" ht="40.35" customHeight="1">
      <c r="A1374" s="564"/>
      <c r="B1374" s="799"/>
      <c r="C1374" s="800"/>
      <c r="D1374" s="801"/>
      <c r="E1374" s="801"/>
      <c r="F1374" s="128"/>
      <c r="G1374" s="802"/>
      <c r="H1374" s="781"/>
      <c r="I1374" s="803"/>
      <c r="J1374" s="779"/>
      <c r="K1374" s="800"/>
      <c r="L1374" s="800"/>
      <c r="M1374" s="779"/>
      <c r="N1374" s="779"/>
    </row>
    <row r="1375" spans="1:23" s="89" customFormat="1" ht="40.35" customHeight="1">
      <c r="A1375" s="564" t="str">
        <f ca="1">INDIRECT("'update Helper'!C"&amp;U1375)</f>
        <v>a163p000004VjqmAAC</v>
      </c>
      <c r="B1375" s="794">
        <v>19</v>
      </c>
      <c r="C1375" s="795" t="str">
        <f ca="1">VLOOKUP(B1375,'Coverage Indicators - Section D'!$A$9:$AU$70,47,FALSE)</f>
        <v/>
      </c>
      <c r="D1375" s="796" t="str">
        <f ca="1">R1375</f>
        <v/>
      </c>
      <c r="E1375" s="796" t="str">
        <f ca="1">S1375</f>
        <v/>
      </c>
      <c r="F1375" s="127"/>
      <c r="G1375" s="797" t="str">
        <f ca="1">IF(OR(INDIRECT("'update Helper'!E"&amp;U1375)="",F1375&lt;&gt;0,F1376&lt;&gt;0),IF(IFERROR((F1375/F1376),"")="","",(F1375/F1376)),INDIRECT("'update Helper'!E"&amp;U1375)/100)</f>
        <v/>
      </c>
      <c r="H1375" s="784"/>
      <c r="I1375" s="798"/>
      <c r="J1375" s="777"/>
      <c r="K1375" s="795" t="str">
        <f ca="1">W1375</f>
        <v/>
      </c>
      <c r="L1375" s="795" t="str">
        <f ca="1">V1375</f>
        <v/>
      </c>
      <c r="M1375" s="777"/>
      <c r="N1375" s="777"/>
      <c r="P1375" s="89">
        <f ca="1">IF(AND(EXACT(C1375,C1373),C1373&lt;&gt;0),P1373+1,0)</f>
        <v>137</v>
      </c>
      <c r="Q1375" s="89" t="str">
        <f ca="1">IF(C1375&lt;&gt;"",C1375&amp;"-"&amp;P1375,"")</f>
        <v/>
      </c>
      <c r="R1375" s="89" t="str">
        <f t="array" aca="1" ref="R1375" ca="1">IFERROR(IF(INDEX('Disaggregation Records'!$E$155:$E$385,MATCH(RIGHT(Q1375,255),RIGHT('Disaggregation Records'!$D$155:$D$385,255),0))="","",INDEX('Disaggregation Records'!$E$155:$E$385,MATCH(RIGHT(Q1375,255),RIGHT('Disaggregation Records'!$D$155:$D$385,255),0))),"")</f>
        <v/>
      </c>
      <c r="S1375" s="89" t="str">
        <f t="array" aca="1" ref="S1375" ca="1">IFERROR(IF(INDEX('Disaggregation Records'!$F$155:$F$385,MATCH(RIGHT(Q1375,255),RIGHT('Disaggregation Records'!$D$155:$D$385,255),0))="","",INDEX('Disaggregation Records'!$F$155:$F$385,MATCH(RIGHT(Q1375,255),RIGHT('Disaggregation Records'!$D$155:$D$385,255),0))),"")</f>
        <v/>
      </c>
      <c r="T1375" s="89" t="str">
        <f t="array" aca="1" ref="T1375" ca="1">IFERROR(IF(INDEX('Disaggregation Records'!$H$155:$H$385,MATCH(RIGHT(Q1375,255),RIGHT('Disaggregation Records'!$D$155:$D$385,255),0))="","",INDEX('Disaggregation Records'!$H$155:$H$385,MATCH(RIGHT(Q1375,255),RIGHT('Disaggregation Records'!$D$155:$D$385,255),0))),"")</f>
        <v/>
      </c>
      <c r="U1375" s="89">
        <f>U1373+1</f>
        <v>1797</v>
      </c>
      <c r="V1375" s="89" t="str">
        <f t="array" aca="1" ref="V1375" ca="1">IFERROR(IF(INDEX('Disaggregation Records'!$I$155:$I$385,MATCH(RIGHT(Q1375,255),RIGHT('Disaggregation Records'!$D$155:$D$385,255),0))="","",INDEX('Disaggregation Records'!$I$155:$I$385,MATCH(RIGHT(Q1375,255),RIGHT('Disaggregation Records'!$D$155:$D$385,255),0))),"")</f>
        <v/>
      </c>
      <c r="W1375" s="89" t="str">
        <f ca="1">IFERROR(INDEX('Reference Records'!L$77:L$157,MATCH(LEFT(C1375,255),'Reference Records'!E$77:E$157,0)),"")</f>
        <v/>
      </c>
    </row>
    <row r="1376" spans="1:23" s="89" customFormat="1" ht="40.35" customHeight="1">
      <c r="A1376" s="564"/>
      <c r="B1376" s="799"/>
      <c r="C1376" s="800"/>
      <c r="D1376" s="801"/>
      <c r="E1376" s="801"/>
      <c r="F1376" s="128"/>
      <c r="G1376" s="802"/>
      <c r="H1376" s="781"/>
      <c r="I1376" s="803"/>
      <c r="J1376" s="779"/>
      <c r="K1376" s="800"/>
      <c r="L1376" s="800"/>
      <c r="M1376" s="779"/>
      <c r="N1376" s="779"/>
    </row>
    <row r="1377" spans="1:23" s="89" customFormat="1" ht="40.35" customHeight="1">
      <c r="A1377" s="564" t="str">
        <f ca="1">INDIRECT("'update Helper'!C"&amp;U1377)</f>
        <v>a163p000004VjqnAAC</v>
      </c>
      <c r="B1377" s="794">
        <v>19</v>
      </c>
      <c r="C1377" s="795" t="str">
        <f ca="1">VLOOKUP(B1377,'Coverage Indicators - Section D'!$A$9:$AU$70,47,FALSE)</f>
        <v/>
      </c>
      <c r="D1377" s="796" t="str">
        <f ca="1">R1377</f>
        <v/>
      </c>
      <c r="E1377" s="796" t="str">
        <f ca="1">S1377</f>
        <v/>
      </c>
      <c r="F1377" s="127"/>
      <c r="G1377" s="797" t="str">
        <f ca="1">IF(OR(INDIRECT("'update Helper'!E"&amp;U1377)="",F1377&lt;&gt;0,F1378&lt;&gt;0),IF(IFERROR((F1377/F1378),"")="","",(F1377/F1378)),INDIRECT("'update Helper'!E"&amp;U1377)/100)</f>
        <v/>
      </c>
      <c r="H1377" s="784"/>
      <c r="I1377" s="798"/>
      <c r="J1377" s="777"/>
      <c r="K1377" s="795" t="str">
        <f ca="1">W1377</f>
        <v/>
      </c>
      <c r="L1377" s="795" t="str">
        <f ca="1">V1377</f>
        <v/>
      </c>
      <c r="M1377" s="777"/>
      <c r="N1377" s="777"/>
      <c r="P1377" s="89">
        <f ca="1">IF(AND(EXACT(C1377,C1375),C1375&lt;&gt;0),P1375+1,0)</f>
        <v>138</v>
      </c>
      <c r="Q1377" s="89" t="str">
        <f ca="1">IF(C1377&lt;&gt;"",C1377&amp;"-"&amp;P1377,"")</f>
        <v/>
      </c>
      <c r="R1377" s="89" t="str">
        <f t="array" aca="1" ref="R1377" ca="1">IFERROR(IF(INDEX('Disaggregation Records'!$E$155:$E$385,MATCH(RIGHT(Q1377,255),RIGHT('Disaggregation Records'!$D$155:$D$385,255),0))="","",INDEX('Disaggregation Records'!$E$155:$E$385,MATCH(RIGHT(Q1377,255),RIGHT('Disaggregation Records'!$D$155:$D$385,255),0))),"")</f>
        <v/>
      </c>
      <c r="S1377" s="89" t="str">
        <f t="array" aca="1" ref="S1377" ca="1">IFERROR(IF(INDEX('Disaggregation Records'!$F$155:$F$385,MATCH(RIGHT(Q1377,255),RIGHT('Disaggregation Records'!$D$155:$D$385,255),0))="","",INDEX('Disaggregation Records'!$F$155:$F$385,MATCH(RIGHT(Q1377,255),RIGHT('Disaggregation Records'!$D$155:$D$385,255),0))),"")</f>
        <v/>
      </c>
      <c r="T1377" s="89" t="str">
        <f t="array" aca="1" ref="T1377" ca="1">IFERROR(IF(INDEX('Disaggregation Records'!$H$155:$H$385,MATCH(RIGHT(Q1377,255),RIGHT('Disaggregation Records'!$D$155:$D$385,255),0))="","",INDEX('Disaggregation Records'!$H$155:$H$385,MATCH(RIGHT(Q1377,255),RIGHT('Disaggregation Records'!$D$155:$D$385,255),0))),"")</f>
        <v/>
      </c>
      <c r="U1377" s="89">
        <f>U1375+1</f>
        <v>1798</v>
      </c>
      <c r="V1377" s="89" t="str">
        <f t="array" aca="1" ref="V1377" ca="1">IFERROR(IF(INDEX('Disaggregation Records'!$I$155:$I$385,MATCH(RIGHT(Q1377,255),RIGHT('Disaggregation Records'!$D$155:$D$385,255),0))="","",INDEX('Disaggregation Records'!$I$155:$I$385,MATCH(RIGHT(Q1377,255),RIGHT('Disaggregation Records'!$D$155:$D$385,255),0))),"")</f>
        <v/>
      </c>
      <c r="W1377" s="89" t="str">
        <f ca="1">IFERROR(INDEX('Reference Records'!L$77:L$157,MATCH(LEFT(C1377,255),'Reference Records'!E$77:E$157,0)),"")</f>
        <v/>
      </c>
    </row>
    <row r="1378" spans="1:23" s="89" customFormat="1" ht="40.35" customHeight="1">
      <c r="A1378" s="564"/>
      <c r="B1378" s="799"/>
      <c r="C1378" s="800"/>
      <c r="D1378" s="801"/>
      <c r="E1378" s="801"/>
      <c r="F1378" s="128"/>
      <c r="G1378" s="802"/>
      <c r="H1378" s="781"/>
      <c r="I1378" s="803"/>
      <c r="J1378" s="779"/>
      <c r="K1378" s="800"/>
      <c r="L1378" s="800"/>
      <c r="M1378" s="779"/>
      <c r="N1378" s="779"/>
    </row>
    <row r="1379" spans="1:23" s="89" customFormat="1" ht="40.35" customHeight="1">
      <c r="A1379" s="564" t="str">
        <f ca="1">INDIRECT("'update Helper'!C"&amp;U1379)</f>
        <v>a163p000004VjqoAAC</v>
      </c>
      <c r="B1379" s="794">
        <v>19</v>
      </c>
      <c r="C1379" s="795" t="str">
        <f ca="1">VLOOKUP(B1379,'Coverage Indicators - Section D'!$A$9:$AU$70,47,FALSE)</f>
        <v/>
      </c>
      <c r="D1379" s="796" t="str">
        <f ca="1">R1379</f>
        <v/>
      </c>
      <c r="E1379" s="796" t="str">
        <f ca="1">S1379</f>
        <v/>
      </c>
      <c r="F1379" s="127"/>
      <c r="G1379" s="797" t="str">
        <f ca="1">IF(OR(INDIRECT("'update Helper'!E"&amp;U1379)="",F1379&lt;&gt;0,F1380&lt;&gt;0),IF(IFERROR((F1379/F1380),"")="","",(F1379/F1380)),INDIRECT("'update Helper'!E"&amp;U1379)/100)</f>
        <v/>
      </c>
      <c r="H1379" s="784"/>
      <c r="I1379" s="798"/>
      <c r="J1379" s="777"/>
      <c r="K1379" s="795" t="str">
        <f ca="1">W1379</f>
        <v/>
      </c>
      <c r="L1379" s="795" t="str">
        <f ca="1">V1379</f>
        <v/>
      </c>
      <c r="M1379" s="777"/>
      <c r="N1379" s="777"/>
      <c r="P1379" s="89">
        <f ca="1">IF(AND(EXACT(C1379,C1377),C1377&lt;&gt;0),P1377+1,0)</f>
        <v>139</v>
      </c>
      <c r="Q1379" s="89" t="str">
        <f ca="1">IF(C1379&lt;&gt;"",C1379&amp;"-"&amp;P1379,"")</f>
        <v/>
      </c>
      <c r="R1379" s="89" t="str">
        <f t="array" aca="1" ref="R1379" ca="1">IFERROR(IF(INDEX('Disaggregation Records'!$E$155:$E$385,MATCH(RIGHT(Q1379,255),RIGHT('Disaggregation Records'!$D$155:$D$385,255),0))="","",INDEX('Disaggregation Records'!$E$155:$E$385,MATCH(RIGHT(Q1379,255),RIGHT('Disaggregation Records'!$D$155:$D$385,255),0))),"")</f>
        <v/>
      </c>
      <c r="S1379" s="89" t="str">
        <f t="array" aca="1" ref="S1379" ca="1">IFERROR(IF(INDEX('Disaggregation Records'!$F$155:$F$385,MATCH(RIGHT(Q1379,255),RIGHT('Disaggregation Records'!$D$155:$D$385,255),0))="","",INDEX('Disaggregation Records'!$F$155:$F$385,MATCH(RIGHT(Q1379,255),RIGHT('Disaggregation Records'!$D$155:$D$385,255),0))),"")</f>
        <v/>
      </c>
      <c r="T1379" s="89" t="str">
        <f t="array" aca="1" ref="T1379" ca="1">IFERROR(IF(INDEX('Disaggregation Records'!$H$155:$H$385,MATCH(RIGHT(Q1379,255),RIGHT('Disaggregation Records'!$D$155:$D$385,255),0))="","",INDEX('Disaggregation Records'!$H$155:$H$385,MATCH(RIGHT(Q1379,255),RIGHT('Disaggregation Records'!$D$155:$D$385,255),0))),"")</f>
        <v/>
      </c>
      <c r="U1379" s="89">
        <f>U1377+1</f>
        <v>1799</v>
      </c>
      <c r="V1379" s="89" t="str">
        <f t="array" aca="1" ref="V1379" ca="1">IFERROR(IF(INDEX('Disaggregation Records'!$I$155:$I$385,MATCH(RIGHT(Q1379,255),RIGHT('Disaggregation Records'!$D$155:$D$385,255),0))="","",INDEX('Disaggregation Records'!$I$155:$I$385,MATCH(RIGHT(Q1379,255),RIGHT('Disaggregation Records'!$D$155:$D$385,255),0))),"")</f>
        <v/>
      </c>
      <c r="W1379" s="89" t="str">
        <f ca="1">IFERROR(INDEX('Reference Records'!L$77:L$157,MATCH(LEFT(C1379,255),'Reference Records'!E$77:E$157,0)),"")</f>
        <v/>
      </c>
    </row>
    <row r="1380" spans="1:23" s="89" customFormat="1" ht="40.35" customHeight="1">
      <c r="A1380" s="564"/>
      <c r="B1380" s="799"/>
      <c r="C1380" s="800"/>
      <c r="D1380" s="801"/>
      <c r="E1380" s="801"/>
      <c r="F1380" s="128"/>
      <c r="G1380" s="802"/>
      <c r="H1380" s="781"/>
      <c r="I1380" s="803"/>
      <c r="J1380" s="779"/>
      <c r="K1380" s="800"/>
      <c r="L1380" s="800"/>
      <c r="M1380" s="779"/>
      <c r="N1380" s="779"/>
    </row>
    <row r="1381" spans="1:23" s="89" customFormat="1" ht="40.35" customHeight="1">
      <c r="A1381" s="564" t="str">
        <f ca="1">INDIRECT("'update Helper'!C"&amp;U1381)</f>
        <v>a163p000004VjqpAAC</v>
      </c>
      <c r="B1381" s="794">
        <v>20</v>
      </c>
      <c r="C1381" s="795" t="str">
        <f ca="1">VLOOKUP(B1381,'Coverage Indicators - Section D'!$A$9:$AU$70,47,FALSE)</f>
        <v/>
      </c>
      <c r="D1381" s="796" t="str">
        <f ca="1">R1381</f>
        <v/>
      </c>
      <c r="E1381" s="796" t="str">
        <f ca="1">S1381</f>
        <v/>
      </c>
      <c r="F1381" s="127"/>
      <c r="G1381" s="797" t="str">
        <f ca="1">IF(OR(INDIRECT("'update Helper'!E"&amp;U1381)="",F1381&lt;&gt;0,F1382&lt;&gt;0),IF(IFERROR((F1381/F1382),"")="","",(F1381/F1382)),INDIRECT("'update Helper'!E"&amp;U1381)/100)</f>
        <v/>
      </c>
      <c r="H1381" s="784"/>
      <c r="I1381" s="798"/>
      <c r="J1381" s="777"/>
      <c r="K1381" s="795" t="str">
        <f ca="1">W1381</f>
        <v/>
      </c>
      <c r="L1381" s="795" t="str">
        <f ca="1">V1381</f>
        <v/>
      </c>
      <c r="M1381" s="777"/>
      <c r="N1381" s="777"/>
      <c r="P1381" s="89">
        <f ca="1">IF(AND(EXACT(C1381,C1379),C1379&lt;&gt;0),P1379+1,0)</f>
        <v>140</v>
      </c>
      <c r="Q1381" s="89" t="str">
        <f ca="1">IF(C1381&lt;&gt;"",C1381&amp;"-"&amp;P1381,"")</f>
        <v/>
      </c>
      <c r="R1381" s="89" t="str">
        <f t="array" aca="1" ref="R1381" ca="1">IFERROR(IF(INDEX('Disaggregation Records'!$E$155:$E$385,MATCH(RIGHT(Q1381,255),RIGHT('Disaggregation Records'!$D$155:$D$385,255),0))="","",INDEX('Disaggregation Records'!$E$155:$E$385,MATCH(RIGHT(Q1381,255),RIGHT('Disaggregation Records'!$D$155:$D$385,255),0))),"")</f>
        <v/>
      </c>
      <c r="S1381" s="89" t="str">
        <f t="array" aca="1" ref="S1381" ca="1">IFERROR(IF(INDEX('Disaggregation Records'!$F$155:$F$385,MATCH(RIGHT(Q1381,255),RIGHT('Disaggregation Records'!$D$155:$D$385,255),0))="","",INDEX('Disaggregation Records'!$F$155:$F$385,MATCH(RIGHT(Q1381,255),RIGHT('Disaggregation Records'!$D$155:$D$385,255),0))),"")</f>
        <v/>
      </c>
      <c r="T1381" s="89" t="str">
        <f t="array" aca="1" ref="T1381" ca="1">IFERROR(IF(INDEX('Disaggregation Records'!$H$155:$H$385,MATCH(RIGHT(Q1381,255),RIGHT('Disaggregation Records'!$D$155:$D$385,255),0))="","",INDEX('Disaggregation Records'!$H$155:$H$385,MATCH(RIGHT(Q1381,255),RIGHT('Disaggregation Records'!$D$155:$D$385,255),0))),"")</f>
        <v/>
      </c>
      <c r="U1381" s="89">
        <f>U1379+1</f>
        <v>1800</v>
      </c>
      <c r="V1381" s="89" t="str">
        <f t="array" aca="1" ref="V1381" ca="1">IFERROR(IF(INDEX('Disaggregation Records'!$I$155:$I$385,MATCH(RIGHT(Q1381,255),RIGHT('Disaggregation Records'!$D$155:$D$385,255),0))="","",INDEX('Disaggregation Records'!$I$155:$I$385,MATCH(RIGHT(Q1381,255),RIGHT('Disaggregation Records'!$D$155:$D$385,255),0))),"")</f>
        <v/>
      </c>
      <c r="W1381" s="89" t="str">
        <f ca="1">IFERROR(INDEX('Reference Records'!L$77:L$157,MATCH(LEFT(C1381,255),'Reference Records'!E$77:E$157,0)),"")</f>
        <v/>
      </c>
    </row>
    <row r="1382" spans="1:23" s="89" customFormat="1" ht="40.35" customHeight="1">
      <c r="A1382" s="564"/>
      <c r="B1382" s="799"/>
      <c r="C1382" s="800"/>
      <c r="D1382" s="801"/>
      <c r="E1382" s="801"/>
      <c r="F1382" s="128"/>
      <c r="G1382" s="802"/>
      <c r="H1382" s="781"/>
      <c r="I1382" s="803"/>
      <c r="J1382" s="779"/>
      <c r="K1382" s="800"/>
      <c r="L1382" s="800"/>
      <c r="M1382" s="779"/>
      <c r="N1382" s="779"/>
    </row>
    <row r="1383" spans="1:23" s="89" customFormat="1" ht="40.35" customHeight="1">
      <c r="A1383" s="564" t="str">
        <f ca="1">INDIRECT("'update Helper'!C"&amp;U1383)</f>
        <v>a163p000004VjqqAAC</v>
      </c>
      <c r="B1383" s="794">
        <v>20</v>
      </c>
      <c r="C1383" s="795" t="str">
        <f ca="1">VLOOKUP(B1383,'Coverage Indicators - Section D'!$A$9:$AU$70,47,FALSE)</f>
        <v/>
      </c>
      <c r="D1383" s="796" t="str">
        <f ca="1">R1383</f>
        <v/>
      </c>
      <c r="E1383" s="796" t="str">
        <f ca="1">S1383</f>
        <v/>
      </c>
      <c r="F1383" s="127"/>
      <c r="G1383" s="797" t="str">
        <f ca="1">IF(OR(INDIRECT("'update Helper'!E"&amp;U1383)="",F1383&lt;&gt;0,F1384&lt;&gt;0),IF(IFERROR((F1383/F1384),"")="","",(F1383/F1384)),INDIRECT("'update Helper'!E"&amp;U1383)/100)</f>
        <v/>
      </c>
      <c r="H1383" s="784"/>
      <c r="I1383" s="798"/>
      <c r="J1383" s="777"/>
      <c r="K1383" s="795" t="str">
        <f ca="1">W1383</f>
        <v/>
      </c>
      <c r="L1383" s="795" t="str">
        <f ca="1">V1383</f>
        <v/>
      </c>
      <c r="M1383" s="777"/>
      <c r="N1383" s="777"/>
      <c r="P1383" s="89">
        <f ca="1">IF(AND(EXACT(C1383,C1381),C1381&lt;&gt;0),P1381+1,0)</f>
        <v>141</v>
      </c>
      <c r="Q1383" s="89" t="str">
        <f ca="1">IF(C1383&lt;&gt;"",C1383&amp;"-"&amp;P1383,"")</f>
        <v/>
      </c>
      <c r="R1383" s="89" t="str">
        <f t="array" aca="1" ref="R1383" ca="1">IFERROR(IF(INDEX('Disaggregation Records'!$E$155:$E$385,MATCH(RIGHT(Q1383,255),RIGHT('Disaggregation Records'!$D$155:$D$385,255),0))="","",INDEX('Disaggregation Records'!$E$155:$E$385,MATCH(RIGHT(Q1383,255),RIGHT('Disaggregation Records'!$D$155:$D$385,255),0))),"")</f>
        <v/>
      </c>
      <c r="S1383" s="89" t="str">
        <f t="array" aca="1" ref="S1383" ca="1">IFERROR(IF(INDEX('Disaggregation Records'!$F$155:$F$385,MATCH(RIGHT(Q1383,255),RIGHT('Disaggregation Records'!$D$155:$D$385,255),0))="","",INDEX('Disaggregation Records'!$F$155:$F$385,MATCH(RIGHT(Q1383,255),RIGHT('Disaggregation Records'!$D$155:$D$385,255),0))),"")</f>
        <v/>
      </c>
      <c r="T1383" s="89" t="str">
        <f t="array" aca="1" ref="T1383" ca="1">IFERROR(IF(INDEX('Disaggregation Records'!$H$155:$H$385,MATCH(RIGHT(Q1383,255),RIGHT('Disaggregation Records'!$D$155:$D$385,255),0))="","",INDEX('Disaggregation Records'!$H$155:$H$385,MATCH(RIGHT(Q1383,255),RIGHT('Disaggregation Records'!$D$155:$D$385,255),0))),"")</f>
        <v/>
      </c>
      <c r="U1383" s="89">
        <f>U1381+1</f>
        <v>1801</v>
      </c>
      <c r="V1383" s="89" t="str">
        <f t="array" aca="1" ref="V1383" ca="1">IFERROR(IF(INDEX('Disaggregation Records'!$I$155:$I$385,MATCH(RIGHT(Q1383,255),RIGHT('Disaggregation Records'!$D$155:$D$385,255),0))="","",INDEX('Disaggregation Records'!$I$155:$I$385,MATCH(RIGHT(Q1383,255),RIGHT('Disaggregation Records'!$D$155:$D$385,255),0))),"")</f>
        <v/>
      </c>
      <c r="W1383" s="89" t="str">
        <f ca="1">IFERROR(INDEX('Reference Records'!L$77:L$157,MATCH(LEFT(C1383,255),'Reference Records'!E$77:E$157,0)),"")</f>
        <v/>
      </c>
    </row>
    <row r="1384" spans="1:23" s="89" customFormat="1" ht="40.35" customHeight="1">
      <c r="A1384" s="564"/>
      <c r="B1384" s="799"/>
      <c r="C1384" s="800"/>
      <c r="D1384" s="801"/>
      <c r="E1384" s="801"/>
      <c r="F1384" s="128"/>
      <c r="G1384" s="802"/>
      <c r="H1384" s="781"/>
      <c r="I1384" s="803"/>
      <c r="J1384" s="779"/>
      <c r="K1384" s="800"/>
      <c r="L1384" s="800"/>
      <c r="M1384" s="779"/>
      <c r="N1384" s="779"/>
    </row>
    <row r="1385" spans="1:23" s="89" customFormat="1" ht="40.35" customHeight="1">
      <c r="A1385" s="564" t="str">
        <f ca="1">INDIRECT("'update Helper'!C"&amp;U1385)</f>
        <v>a163p000004VjqrAAC</v>
      </c>
      <c r="B1385" s="794">
        <v>20</v>
      </c>
      <c r="C1385" s="795" t="str">
        <f ca="1">VLOOKUP(B1385,'Coverage Indicators - Section D'!$A$9:$AU$70,47,FALSE)</f>
        <v/>
      </c>
      <c r="D1385" s="796" t="str">
        <f ca="1">R1385</f>
        <v/>
      </c>
      <c r="E1385" s="796" t="str">
        <f ca="1">S1385</f>
        <v/>
      </c>
      <c r="F1385" s="127"/>
      <c r="G1385" s="797" t="str">
        <f ca="1">IF(OR(INDIRECT("'update Helper'!E"&amp;U1385)="",F1385&lt;&gt;0,F1386&lt;&gt;0),IF(IFERROR((F1385/F1386),"")="","",(F1385/F1386)),INDIRECT("'update Helper'!E"&amp;U1385)/100)</f>
        <v/>
      </c>
      <c r="H1385" s="784"/>
      <c r="I1385" s="798"/>
      <c r="J1385" s="777"/>
      <c r="K1385" s="795" t="str">
        <f ca="1">W1385</f>
        <v/>
      </c>
      <c r="L1385" s="795" t="str">
        <f ca="1">V1385</f>
        <v/>
      </c>
      <c r="M1385" s="777"/>
      <c r="N1385" s="777"/>
      <c r="P1385" s="89">
        <f ca="1">IF(AND(EXACT(C1385,C1383),C1383&lt;&gt;0),P1383+1,0)</f>
        <v>142</v>
      </c>
      <c r="Q1385" s="89" t="str">
        <f ca="1">IF(C1385&lt;&gt;"",C1385&amp;"-"&amp;P1385,"")</f>
        <v/>
      </c>
      <c r="R1385" s="89" t="str">
        <f t="array" aca="1" ref="R1385" ca="1">IFERROR(IF(INDEX('Disaggregation Records'!$E$155:$E$385,MATCH(RIGHT(Q1385,255),RIGHT('Disaggregation Records'!$D$155:$D$385,255),0))="","",INDEX('Disaggregation Records'!$E$155:$E$385,MATCH(RIGHT(Q1385,255),RIGHT('Disaggregation Records'!$D$155:$D$385,255),0))),"")</f>
        <v/>
      </c>
      <c r="S1385" s="89" t="str">
        <f t="array" aca="1" ref="S1385" ca="1">IFERROR(IF(INDEX('Disaggregation Records'!$F$155:$F$385,MATCH(RIGHT(Q1385,255),RIGHT('Disaggregation Records'!$D$155:$D$385,255),0))="","",INDEX('Disaggregation Records'!$F$155:$F$385,MATCH(RIGHT(Q1385,255),RIGHT('Disaggregation Records'!$D$155:$D$385,255),0))),"")</f>
        <v/>
      </c>
      <c r="T1385" s="89" t="str">
        <f t="array" aca="1" ref="T1385" ca="1">IFERROR(IF(INDEX('Disaggregation Records'!$H$155:$H$385,MATCH(RIGHT(Q1385,255),RIGHT('Disaggregation Records'!$D$155:$D$385,255),0))="","",INDEX('Disaggregation Records'!$H$155:$H$385,MATCH(RIGHT(Q1385,255),RIGHT('Disaggregation Records'!$D$155:$D$385,255),0))),"")</f>
        <v/>
      </c>
      <c r="U1385" s="89">
        <f>U1383+1</f>
        <v>1802</v>
      </c>
      <c r="V1385" s="89" t="str">
        <f t="array" aca="1" ref="V1385" ca="1">IFERROR(IF(INDEX('Disaggregation Records'!$I$155:$I$385,MATCH(RIGHT(Q1385,255),RIGHT('Disaggregation Records'!$D$155:$D$385,255),0))="","",INDEX('Disaggregation Records'!$I$155:$I$385,MATCH(RIGHT(Q1385,255),RIGHT('Disaggregation Records'!$D$155:$D$385,255),0))),"")</f>
        <v/>
      </c>
      <c r="W1385" s="89" t="str">
        <f ca="1">IFERROR(INDEX('Reference Records'!L$77:L$157,MATCH(LEFT(C1385,255),'Reference Records'!E$77:E$157,0)),"")</f>
        <v/>
      </c>
    </row>
    <row r="1386" spans="1:23" s="89" customFormat="1" ht="40.35" customHeight="1">
      <c r="A1386" s="564"/>
      <c r="B1386" s="799"/>
      <c r="C1386" s="800"/>
      <c r="D1386" s="801"/>
      <c r="E1386" s="801"/>
      <c r="F1386" s="128"/>
      <c r="G1386" s="802"/>
      <c r="H1386" s="781"/>
      <c r="I1386" s="803"/>
      <c r="J1386" s="779"/>
      <c r="K1386" s="800"/>
      <c r="L1386" s="800"/>
      <c r="M1386" s="779"/>
      <c r="N1386" s="779"/>
    </row>
    <row r="1387" spans="1:23" s="89" customFormat="1" ht="40.35" customHeight="1">
      <c r="A1387" s="564" t="str">
        <f ca="1">INDIRECT("'update Helper'!C"&amp;U1387)</f>
        <v>a163p000004VjqsAAC</v>
      </c>
      <c r="B1387" s="794">
        <v>20</v>
      </c>
      <c r="C1387" s="795" t="str">
        <f ca="1">VLOOKUP(B1387,'Coverage Indicators - Section D'!$A$9:$AU$70,47,FALSE)</f>
        <v/>
      </c>
      <c r="D1387" s="796" t="str">
        <f ca="1">R1387</f>
        <v/>
      </c>
      <c r="E1387" s="796" t="str">
        <f ca="1">S1387</f>
        <v/>
      </c>
      <c r="F1387" s="127"/>
      <c r="G1387" s="797" t="str">
        <f ca="1">IF(OR(INDIRECT("'update Helper'!E"&amp;U1387)="",F1387&lt;&gt;0,F1388&lt;&gt;0),IF(IFERROR((F1387/F1388),"")="","",(F1387/F1388)),INDIRECT("'update Helper'!E"&amp;U1387)/100)</f>
        <v/>
      </c>
      <c r="H1387" s="784"/>
      <c r="I1387" s="798"/>
      <c r="J1387" s="777"/>
      <c r="K1387" s="795" t="str">
        <f ca="1">W1387</f>
        <v/>
      </c>
      <c r="L1387" s="795" t="str">
        <f ca="1">V1387</f>
        <v/>
      </c>
      <c r="M1387" s="777"/>
      <c r="N1387" s="777"/>
      <c r="P1387" s="89">
        <f ca="1">IF(AND(EXACT(C1387,C1385),C1385&lt;&gt;0),P1385+1,0)</f>
        <v>143</v>
      </c>
      <c r="Q1387" s="89" t="str">
        <f ca="1">IF(C1387&lt;&gt;"",C1387&amp;"-"&amp;P1387,"")</f>
        <v/>
      </c>
      <c r="R1387" s="89" t="str">
        <f t="array" aca="1" ref="R1387" ca="1">IFERROR(IF(INDEX('Disaggregation Records'!$E$155:$E$385,MATCH(RIGHT(Q1387,255),RIGHT('Disaggregation Records'!$D$155:$D$385,255),0))="","",INDEX('Disaggregation Records'!$E$155:$E$385,MATCH(RIGHT(Q1387,255),RIGHT('Disaggregation Records'!$D$155:$D$385,255),0))),"")</f>
        <v/>
      </c>
      <c r="S1387" s="89" t="str">
        <f t="array" aca="1" ref="S1387" ca="1">IFERROR(IF(INDEX('Disaggregation Records'!$F$155:$F$385,MATCH(RIGHT(Q1387,255),RIGHT('Disaggregation Records'!$D$155:$D$385,255),0))="","",INDEX('Disaggregation Records'!$F$155:$F$385,MATCH(RIGHT(Q1387,255),RIGHT('Disaggregation Records'!$D$155:$D$385,255),0))),"")</f>
        <v/>
      </c>
      <c r="T1387" s="89" t="str">
        <f t="array" aca="1" ref="T1387" ca="1">IFERROR(IF(INDEX('Disaggregation Records'!$H$155:$H$385,MATCH(RIGHT(Q1387,255),RIGHT('Disaggregation Records'!$D$155:$D$385,255),0))="","",INDEX('Disaggregation Records'!$H$155:$H$385,MATCH(RIGHT(Q1387,255),RIGHT('Disaggregation Records'!$D$155:$D$385,255),0))),"")</f>
        <v/>
      </c>
      <c r="U1387" s="89">
        <f>U1385+1</f>
        <v>1803</v>
      </c>
      <c r="V1387" s="89" t="str">
        <f t="array" aca="1" ref="V1387" ca="1">IFERROR(IF(INDEX('Disaggregation Records'!$I$155:$I$385,MATCH(RIGHT(Q1387,255),RIGHT('Disaggregation Records'!$D$155:$D$385,255),0))="","",INDEX('Disaggregation Records'!$I$155:$I$385,MATCH(RIGHT(Q1387,255),RIGHT('Disaggregation Records'!$D$155:$D$385,255),0))),"")</f>
        <v/>
      </c>
      <c r="W1387" s="89" t="str">
        <f ca="1">IFERROR(INDEX('Reference Records'!L$77:L$157,MATCH(LEFT(C1387,255),'Reference Records'!E$77:E$157,0)),"")</f>
        <v/>
      </c>
    </row>
    <row r="1388" spans="1:23" s="89" customFormat="1" ht="40.35" customHeight="1">
      <c r="A1388" s="564"/>
      <c r="B1388" s="799"/>
      <c r="C1388" s="800"/>
      <c r="D1388" s="801"/>
      <c r="E1388" s="801"/>
      <c r="F1388" s="128"/>
      <c r="G1388" s="802"/>
      <c r="H1388" s="781"/>
      <c r="I1388" s="803"/>
      <c r="J1388" s="779"/>
      <c r="K1388" s="800"/>
      <c r="L1388" s="800"/>
      <c r="M1388" s="779"/>
      <c r="N1388" s="779"/>
    </row>
    <row r="1389" spans="1:23" s="89" customFormat="1" ht="40.35" customHeight="1">
      <c r="A1389" s="564" t="str">
        <f ca="1">INDIRECT("'update Helper'!C"&amp;U1389)</f>
        <v>a163p000004VjqtAAC</v>
      </c>
      <c r="B1389" s="794">
        <v>20</v>
      </c>
      <c r="C1389" s="795" t="str">
        <f ca="1">VLOOKUP(B1389,'Coverage Indicators - Section D'!$A$9:$AU$70,47,FALSE)</f>
        <v/>
      </c>
      <c r="D1389" s="796" t="str">
        <f ca="1">R1389</f>
        <v/>
      </c>
      <c r="E1389" s="796" t="str">
        <f ca="1">S1389</f>
        <v/>
      </c>
      <c r="F1389" s="127"/>
      <c r="G1389" s="797" t="str">
        <f ca="1">IF(OR(INDIRECT("'update Helper'!E"&amp;U1389)="",F1389&lt;&gt;0,F1390&lt;&gt;0),IF(IFERROR((F1389/F1390),"")="","",(F1389/F1390)),INDIRECT("'update Helper'!E"&amp;U1389)/100)</f>
        <v/>
      </c>
      <c r="H1389" s="784"/>
      <c r="I1389" s="798"/>
      <c r="J1389" s="777"/>
      <c r="K1389" s="795" t="str">
        <f ca="1">W1389</f>
        <v/>
      </c>
      <c r="L1389" s="795" t="str">
        <f ca="1">V1389</f>
        <v/>
      </c>
      <c r="M1389" s="777"/>
      <c r="N1389" s="777"/>
      <c r="P1389" s="89">
        <f ca="1">IF(AND(EXACT(C1389,C1387),C1387&lt;&gt;0),P1387+1,0)</f>
        <v>144</v>
      </c>
      <c r="Q1389" s="89" t="str">
        <f ca="1">IF(C1389&lt;&gt;"",C1389&amp;"-"&amp;P1389,"")</f>
        <v/>
      </c>
      <c r="R1389" s="89" t="str">
        <f t="array" aca="1" ref="R1389" ca="1">IFERROR(IF(INDEX('Disaggregation Records'!$E$155:$E$385,MATCH(RIGHT(Q1389,255),RIGHT('Disaggregation Records'!$D$155:$D$385,255),0))="","",INDEX('Disaggregation Records'!$E$155:$E$385,MATCH(RIGHT(Q1389,255),RIGHT('Disaggregation Records'!$D$155:$D$385,255),0))),"")</f>
        <v/>
      </c>
      <c r="S1389" s="89" t="str">
        <f t="array" aca="1" ref="S1389" ca="1">IFERROR(IF(INDEX('Disaggregation Records'!$F$155:$F$385,MATCH(RIGHT(Q1389,255),RIGHT('Disaggregation Records'!$D$155:$D$385,255),0))="","",INDEX('Disaggregation Records'!$F$155:$F$385,MATCH(RIGHT(Q1389,255),RIGHT('Disaggregation Records'!$D$155:$D$385,255),0))),"")</f>
        <v/>
      </c>
      <c r="T1389" s="89" t="str">
        <f t="array" aca="1" ref="T1389" ca="1">IFERROR(IF(INDEX('Disaggregation Records'!$H$155:$H$385,MATCH(RIGHT(Q1389,255),RIGHT('Disaggregation Records'!$D$155:$D$385,255),0))="","",INDEX('Disaggregation Records'!$H$155:$H$385,MATCH(RIGHT(Q1389,255),RIGHT('Disaggregation Records'!$D$155:$D$385,255),0))),"")</f>
        <v/>
      </c>
      <c r="U1389" s="89">
        <f>U1387+1</f>
        <v>1804</v>
      </c>
      <c r="V1389" s="89" t="str">
        <f t="array" aca="1" ref="V1389" ca="1">IFERROR(IF(INDEX('Disaggregation Records'!$I$155:$I$385,MATCH(RIGHT(Q1389,255),RIGHT('Disaggregation Records'!$D$155:$D$385,255),0))="","",INDEX('Disaggregation Records'!$I$155:$I$385,MATCH(RIGHT(Q1389,255),RIGHT('Disaggregation Records'!$D$155:$D$385,255),0))),"")</f>
        <v/>
      </c>
      <c r="W1389" s="89" t="str">
        <f ca="1">IFERROR(INDEX('Reference Records'!L$77:L$157,MATCH(LEFT(C1389,255),'Reference Records'!E$77:E$157,0)),"")</f>
        <v/>
      </c>
    </row>
    <row r="1390" spans="1:23" s="89" customFormat="1" ht="40.35" customHeight="1">
      <c r="A1390" s="564"/>
      <c r="B1390" s="799"/>
      <c r="C1390" s="800"/>
      <c r="D1390" s="801"/>
      <c r="E1390" s="801"/>
      <c r="F1390" s="128"/>
      <c r="G1390" s="802"/>
      <c r="H1390" s="781"/>
      <c r="I1390" s="803"/>
      <c r="J1390" s="779"/>
      <c r="K1390" s="800"/>
      <c r="L1390" s="800"/>
      <c r="M1390" s="779"/>
      <c r="N1390" s="779"/>
    </row>
    <row r="1391" spans="1:23" s="89" customFormat="1" ht="40.35" customHeight="1">
      <c r="A1391" s="564" t="str">
        <f ca="1">INDIRECT("'update Helper'!C"&amp;U1391)</f>
        <v>a163p000004VjquAAC</v>
      </c>
      <c r="B1391" s="794">
        <v>20</v>
      </c>
      <c r="C1391" s="795" t="str">
        <f ca="1">VLOOKUP(B1391,'Coverage Indicators - Section D'!$A$9:$AU$70,47,FALSE)</f>
        <v/>
      </c>
      <c r="D1391" s="796" t="str">
        <f ca="1">R1391</f>
        <v/>
      </c>
      <c r="E1391" s="796" t="str">
        <f ca="1">S1391</f>
        <v/>
      </c>
      <c r="F1391" s="127"/>
      <c r="G1391" s="797" t="str">
        <f ca="1">IF(OR(INDIRECT("'update Helper'!E"&amp;U1391)="",F1391&lt;&gt;0,F1392&lt;&gt;0),IF(IFERROR((F1391/F1392),"")="","",(F1391/F1392)),INDIRECT("'update Helper'!E"&amp;U1391)/100)</f>
        <v/>
      </c>
      <c r="H1391" s="784"/>
      <c r="I1391" s="798"/>
      <c r="J1391" s="777"/>
      <c r="K1391" s="795" t="str">
        <f ca="1">W1391</f>
        <v/>
      </c>
      <c r="L1391" s="795" t="str">
        <f ca="1">V1391</f>
        <v/>
      </c>
      <c r="M1391" s="777"/>
      <c r="N1391" s="777"/>
      <c r="P1391" s="89">
        <f ca="1">IF(AND(EXACT(C1391,C1389),C1389&lt;&gt;0),P1389+1,0)</f>
        <v>145</v>
      </c>
      <c r="Q1391" s="89" t="str">
        <f ca="1">IF(C1391&lt;&gt;"",C1391&amp;"-"&amp;P1391,"")</f>
        <v/>
      </c>
      <c r="R1391" s="89" t="str">
        <f t="array" aca="1" ref="R1391" ca="1">IFERROR(IF(INDEX('Disaggregation Records'!$E$155:$E$385,MATCH(RIGHT(Q1391,255),RIGHT('Disaggregation Records'!$D$155:$D$385,255),0))="","",INDEX('Disaggregation Records'!$E$155:$E$385,MATCH(RIGHT(Q1391,255),RIGHT('Disaggregation Records'!$D$155:$D$385,255),0))),"")</f>
        <v/>
      </c>
      <c r="S1391" s="89" t="str">
        <f t="array" aca="1" ref="S1391" ca="1">IFERROR(IF(INDEX('Disaggregation Records'!$F$155:$F$385,MATCH(RIGHT(Q1391,255),RIGHT('Disaggregation Records'!$D$155:$D$385,255),0))="","",INDEX('Disaggregation Records'!$F$155:$F$385,MATCH(RIGHT(Q1391,255),RIGHT('Disaggregation Records'!$D$155:$D$385,255),0))),"")</f>
        <v/>
      </c>
      <c r="T1391" s="89" t="str">
        <f t="array" aca="1" ref="T1391" ca="1">IFERROR(IF(INDEX('Disaggregation Records'!$H$155:$H$385,MATCH(RIGHT(Q1391,255),RIGHT('Disaggregation Records'!$D$155:$D$385,255),0))="","",INDEX('Disaggregation Records'!$H$155:$H$385,MATCH(RIGHT(Q1391,255),RIGHT('Disaggregation Records'!$D$155:$D$385,255),0))),"")</f>
        <v/>
      </c>
      <c r="U1391" s="89">
        <f>U1389+1</f>
        <v>1805</v>
      </c>
      <c r="V1391" s="89" t="str">
        <f t="array" aca="1" ref="V1391" ca="1">IFERROR(IF(INDEX('Disaggregation Records'!$I$155:$I$385,MATCH(RIGHT(Q1391,255),RIGHT('Disaggregation Records'!$D$155:$D$385,255),0))="","",INDEX('Disaggregation Records'!$I$155:$I$385,MATCH(RIGHT(Q1391,255),RIGHT('Disaggregation Records'!$D$155:$D$385,255),0))),"")</f>
        <v/>
      </c>
      <c r="W1391" s="89" t="str">
        <f ca="1">IFERROR(INDEX('Reference Records'!L$77:L$157,MATCH(LEFT(C1391,255),'Reference Records'!E$77:E$157,0)),"")</f>
        <v/>
      </c>
    </row>
    <row r="1392" spans="1:23" s="89" customFormat="1" ht="40.35" customHeight="1">
      <c r="A1392" s="564"/>
      <c r="B1392" s="799"/>
      <c r="C1392" s="800"/>
      <c r="D1392" s="801"/>
      <c r="E1392" s="801"/>
      <c r="F1392" s="128"/>
      <c r="G1392" s="802"/>
      <c r="H1392" s="781"/>
      <c r="I1392" s="803"/>
      <c r="J1392" s="779"/>
      <c r="K1392" s="800"/>
      <c r="L1392" s="800"/>
      <c r="M1392" s="779"/>
      <c r="N1392" s="779"/>
    </row>
    <row r="1393" spans="1:23" s="89" customFormat="1" ht="40.35" customHeight="1">
      <c r="A1393" s="564" t="str">
        <f ca="1">INDIRECT("'update Helper'!C"&amp;U1393)</f>
        <v>a163p000004VjqvAAC</v>
      </c>
      <c r="B1393" s="794">
        <v>20</v>
      </c>
      <c r="C1393" s="795" t="str">
        <f ca="1">VLOOKUP(B1393,'Coverage Indicators - Section D'!$A$9:$AU$70,47,FALSE)</f>
        <v/>
      </c>
      <c r="D1393" s="796" t="str">
        <f ca="1">R1393</f>
        <v/>
      </c>
      <c r="E1393" s="796" t="str">
        <f ca="1">S1393</f>
        <v/>
      </c>
      <c r="F1393" s="127"/>
      <c r="G1393" s="797" t="str">
        <f ca="1">IF(OR(INDIRECT("'update Helper'!E"&amp;U1393)="",F1393&lt;&gt;0,F1394&lt;&gt;0),IF(IFERROR((F1393/F1394),"")="","",(F1393/F1394)),INDIRECT("'update Helper'!E"&amp;U1393)/100)</f>
        <v/>
      </c>
      <c r="H1393" s="784"/>
      <c r="I1393" s="798"/>
      <c r="J1393" s="777"/>
      <c r="K1393" s="795" t="str">
        <f ca="1">W1393</f>
        <v/>
      </c>
      <c r="L1393" s="795" t="str">
        <f ca="1">V1393</f>
        <v/>
      </c>
      <c r="M1393" s="777"/>
      <c r="N1393" s="777"/>
      <c r="P1393" s="89">
        <f ca="1">IF(AND(EXACT(C1393,C1391),C1391&lt;&gt;0),P1391+1,0)</f>
        <v>146</v>
      </c>
      <c r="Q1393" s="89" t="str">
        <f ca="1">IF(C1393&lt;&gt;"",C1393&amp;"-"&amp;P1393,"")</f>
        <v/>
      </c>
      <c r="R1393" s="89" t="str">
        <f t="array" aca="1" ref="R1393" ca="1">IFERROR(IF(INDEX('Disaggregation Records'!$E$155:$E$385,MATCH(RIGHT(Q1393,255),RIGHT('Disaggregation Records'!$D$155:$D$385,255),0))="","",INDEX('Disaggregation Records'!$E$155:$E$385,MATCH(RIGHT(Q1393,255),RIGHT('Disaggregation Records'!$D$155:$D$385,255),0))),"")</f>
        <v/>
      </c>
      <c r="S1393" s="89" t="str">
        <f t="array" aca="1" ref="S1393" ca="1">IFERROR(IF(INDEX('Disaggregation Records'!$F$155:$F$385,MATCH(RIGHT(Q1393,255),RIGHT('Disaggregation Records'!$D$155:$D$385,255),0))="","",INDEX('Disaggregation Records'!$F$155:$F$385,MATCH(RIGHT(Q1393,255),RIGHT('Disaggregation Records'!$D$155:$D$385,255),0))),"")</f>
        <v/>
      </c>
      <c r="T1393" s="89" t="str">
        <f t="array" aca="1" ref="T1393" ca="1">IFERROR(IF(INDEX('Disaggregation Records'!$H$155:$H$385,MATCH(RIGHT(Q1393,255),RIGHT('Disaggregation Records'!$D$155:$D$385,255),0))="","",INDEX('Disaggregation Records'!$H$155:$H$385,MATCH(RIGHT(Q1393,255),RIGHT('Disaggregation Records'!$D$155:$D$385,255),0))),"")</f>
        <v/>
      </c>
      <c r="U1393" s="89">
        <f>U1391+1</f>
        <v>1806</v>
      </c>
      <c r="V1393" s="89" t="str">
        <f t="array" aca="1" ref="V1393" ca="1">IFERROR(IF(INDEX('Disaggregation Records'!$I$155:$I$385,MATCH(RIGHT(Q1393,255),RIGHT('Disaggregation Records'!$D$155:$D$385,255),0))="","",INDEX('Disaggregation Records'!$I$155:$I$385,MATCH(RIGHT(Q1393,255),RIGHT('Disaggregation Records'!$D$155:$D$385,255),0))),"")</f>
        <v/>
      </c>
      <c r="W1393" s="89" t="str">
        <f ca="1">IFERROR(INDEX('Reference Records'!L$77:L$157,MATCH(LEFT(C1393,255),'Reference Records'!E$77:E$157,0)),"")</f>
        <v/>
      </c>
    </row>
    <row r="1394" spans="1:23" s="89" customFormat="1" ht="40.35" customHeight="1">
      <c r="A1394" s="564"/>
      <c r="B1394" s="799"/>
      <c r="C1394" s="800"/>
      <c r="D1394" s="801"/>
      <c r="E1394" s="801"/>
      <c r="F1394" s="128"/>
      <c r="G1394" s="802"/>
      <c r="H1394" s="781"/>
      <c r="I1394" s="803"/>
      <c r="J1394" s="779"/>
      <c r="K1394" s="800"/>
      <c r="L1394" s="800"/>
      <c r="M1394" s="779"/>
      <c r="N1394" s="779"/>
    </row>
    <row r="1395" spans="1:23" s="89" customFormat="1" ht="40.35" customHeight="1">
      <c r="A1395" s="564" t="str">
        <f ca="1">INDIRECT("'update Helper'!C"&amp;U1395)</f>
        <v>a163p000004VjqwAAC</v>
      </c>
      <c r="B1395" s="794">
        <v>20</v>
      </c>
      <c r="C1395" s="795" t="str">
        <f ca="1">VLOOKUP(B1395,'Coverage Indicators - Section D'!$A$9:$AU$70,47,FALSE)</f>
        <v/>
      </c>
      <c r="D1395" s="796" t="str">
        <f ca="1">R1395</f>
        <v/>
      </c>
      <c r="E1395" s="796" t="str">
        <f ca="1">S1395</f>
        <v/>
      </c>
      <c r="F1395" s="127"/>
      <c r="G1395" s="797" t="str">
        <f ca="1">IF(OR(INDIRECT("'update Helper'!E"&amp;U1395)="",F1395&lt;&gt;0,F1396&lt;&gt;0),IF(IFERROR((F1395/F1396),"")="","",(F1395/F1396)),INDIRECT("'update Helper'!E"&amp;U1395)/100)</f>
        <v/>
      </c>
      <c r="H1395" s="784"/>
      <c r="I1395" s="798"/>
      <c r="J1395" s="777"/>
      <c r="K1395" s="795" t="str">
        <f ca="1">W1395</f>
        <v/>
      </c>
      <c r="L1395" s="795" t="str">
        <f ca="1">V1395</f>
        <v/>
      </c>
      <c r="M1395" s="777"/>
      <c r="N1395" s="777"/>
      <c r="P1395" s="89">
        <f ca="1">IF(AND(EXACT(C1395,C1393),C1393&lt;&gt;0),P1393+1,0)</f>
        <v>147</v>
      </c>
      <c r="Q1395" s="89" t="str">
        <f ca="1">IF(C1395&lt;&gt;"",C1395&amp;"-"&amp;P1395,"")</f>
        <v/>
      </c>
      <c r="R1395" s="89" t="str">
        <f t="array" aca="1" ref="R1395" ca="1">IFERROR(IF(INDEX('Disaggregation Records'!$E$155:$E$385,MATCH(RIGHT(Q1395,255),RIGHT('Disaggregation Records'!$D$155:$D$385,255),0))="","",INDEX('Disaggregation Records'!$E$155:$E$385,MATCH(RIGHT(Q1395,255),RIGHT('Disaggregation Records'!$D$155:$D$385,255),0))),"")</f>
        <v/>
      </c>
      <c r="S1395" s="89" t="str">
        <f t="array" aca="1" ref="S1395" ca="1">IFERROR(IF(INDEX('Disaggregation Records'!$F$155:$F$385,MATCH(RIGHT(Q1395,255),RIGHT('Disaggregation Records'!$D$155:$D$385,255),0))="","",INDEX('Disaggregation Records'!$F$155:$F$385,MATCH(RIGHT(Q1395,255),RIGHT('Disaggregation Records'!$D$155:$D$385,255),0))),"")</f>
        <v/>
      </c>
      <c r="T1395" s="89" t="str">
        <f t="array" aca="1" ref="T1395" ca="1">IFERROR(IF(INDEX('Disaggregation Records'!$H$155:$H$385,MATCH(RIGHT(Q1395,255),RIGHT('Disaggregation Records'!$D$155:$D$385,255),0))="","",INDEX('Disaggregation Records'!$H$155:$H$385,MATCH(RIGHT(Q1395,255),RIGHT('Disaggregation Records'!$D$155:$D$385,255),0))),"")</f>
        <v/>
      </c>
      <c r="U1395" s="89">
        <f>U1393+1</f>
        <v>1807</v>
      </c>
      <c r="V1395" s="89" t="str">
        <f t="array" aca="1" ref="V1395" ca="1">IFERROR(IF(INDEX('Disaggregation Records'!$I$155:$I$385,MATCH(RIGHT(Q1395,255),RIGHT('Disaggregation Records'!$D$155:$D$385,255),0))="","",INDEX('Disaggregation Records'!$I$155:$I$385,MATCH(RIGHT(Q1395,255),RIGHT('Disaggregation Records'!$D$155:$D$385,255),0))),"")</f>
        <v/>
      </c>
      <c r="W1395" s="89" t="str">
        <f ca="1">IFERROR(INDEX('Reference Records'!L$77:L$157,MATCH(LEFT(C1395,255),'Reference Records'!E$77:E$157,0)),"")</f>
        <v/>
      </c>
    </row>
    <row r="1396" spans="1:23" s="89" customFormat="1" ht="40.35" customHeight="1">
      <c r="A1396" s="564"/>
      <c r="B1396" s="799"/>
      <c r="C1396" s="800"/>
      <c r="D1396" s="801"/>
      <c r="E1396" s="801"/>
      <c r="F1396" s="128"/>
      <c r="G1396" s="802"/>
      <c r="H1396" s="781"/>
      <c r="I1396" s="803"/>
      <c r="J1396" s="779"/>
      <c r="K1396" s="800"/>
      <c r="L1396" s="800"/>
      <c r="M1396" s="779"/>
      <c r="N1396" s="779"/>
    </row>
    <row r="1397" spans="1:23" s="89" customFormat="1" ht="40.35" customHeight="1">
      <c r="A1397" s="564" t="str">
        <f ca="1">INDIRECT("'update Helper'!C"&amp;U1397)</f>
        <v>a163p000004VjqxAAC</v>
      </c>
      <c r="B1397" s="794">
        <v>20</v>
      </c>
      <c r="C1397" s="795" t="str">
        <f ca="1">VLOOKUP(B1397,'Coverage Indicators - Section D'!$A$9:$AU$70,47,FALSE)</f>
        <v/>
      </c>
      <c r="D1397" s="796" t="str">
        <f ca="1">R1397</f>
        <v/>
      </c>
      <c r="E1397" s="796" t="str">
        <f ca="1">S1397</f>
        <v/>
      </c>
      <c r="F1397" s="127"/>
      <c r="G1397" s="797" t="str">
        <f ca="1">IF(OR(INDIRECT("'update Helper'!E"&amp;U1397)="",F1397&lt;&gt;0,F1398&lt;&gt;0),IF(IFERROR((F1397/F1398),"")="","",(F1397/F1398)),INDIRECT("'update Helper'!E"&amp;U1397)/100)</f>
        <v/>
      </c>
      <c r="H1397" s="784"/>
      <c r="I1397" s="798"/>
      <c r="J1397" s="777"/>
      <c r="K1397" s="795" t="str">
        <f ca="1">W1397</f>
        <v/>
      </c>
      <c r="L1397" s="795" t="str">
        <f ca="1">V1397</f>
        <v/>
      </c>
      <c r="M1397" s="777"/>
      <c r="N1397" s="777"/>
      <c r="P1397" s="89">
        <f ca="1">IF(AND(EXACT(C1397,C1395),C1395&lt;&gt;0),P1395+1,0)</f>
        <v>148</v>
      </c>
      <c r="Q1397" s="89" t="str">
        <f ca="1">IF(C1397&lt;&gt;"",C1397&amp;"-"&amp;P1397,"")</f>
        <v/>
      </c>
      <c r="R1397" s="89" t="str">
        <f t="array" aca="1" ref="R1397" ca="1">IFERROR(IF(INDEX('Disaggregation Records'!$E$155:$E$385,MATCH(RIGHT(Q1397,255),RIGHT('Disaggregation Records'!$D$155:$D$385,255),0))="","",INDEX('Disaggregation Records'!$E$155:$E$385,MATCH(RIGHT(Q1397,255),RIGHT('Disaggregation Records'!$D$155:$D$385,255),0))),"")</f>
        <v/>
      </c>
      <c r="S1397" s="89" t="str">
        <f t="array" aca="1" ref="S1397" ca="1">IFERROR(IF(INDEX('Disaggregation Records'!$F$155:$F$385,MATCH(RIGHT(Q1397,255),RIGHT('Disaggregation Records'!$D$155:$D$385,255),0))="","",INDEX('Disaggregation Records'!$F$155:$F$385,MATCH(RIGHT(Q1397,255),RIGHT('Disaggregation Records'!$D$155:$D$385,255),0))),"")</f>
        <v/>
      </c>
      <c r="T1397" s="89" t="str">
        <f t="array" aca="1" ref="T1397" ca="1">IFERROR(IF(INDEX('Disaggregation Records'!$H$155:$H$385,MATCH(RIGHT(Q1397,255),RIGHT('Disaggregation Records'!$D$155:$D$385,255),0))="","",INDEX('Disaggregation Records'!$H$155:$H$385,MATCH(RIGHT(Q1397,255),RIGHT('Disaggregation Records'!$D$155:$D$385,255),0))),"")</f>
        <v/>
      </c>
      <c r="U1397" s="89">
        <f>U1395+1</f>
        <v>1808</v>
      </c>
      <c r="V1397" s="89" t="str">
        <f t="array" aca="1" ref="V1397" ca="1">IFERROR(IF(INDEX('Disaggregation Records'!$I$155:$I$385,MATCH(RIGHT(Q1397,255),RIGHT('Disaggregation Records'!$D$155:$D$385,255),0))="","",INDEX('Disaggregation Records'!$I$155:$I$385,MATCH(RIGHT(Q1397,255),RIGHT('Disaggregation Records'!$D$155:$D$385,255),0))),"")</f>
        <v/>
      </c>
      <c r="W1397" s="89" t="str">
        <f ca="1">IFERROR(INDEX('Reference Records'!L$77:L$157,MATCH(LEFT(C1397,255),'Reference Records'!E$77:E$157,0)),"")</f>
        <v/>
      </c>
    </row>
    <row r="1398" spans="1:23" s="89" customFormat="1" ht="40.35" customHeight="1">
      <c r="A1398" s="564"/>
      <c r="B1398" s="799"/>
      <c r="C1398" s="800"/>
      <c r="D1398" s="801"/>
      <c r="E1398" s="801"/>
      <c r="F1398" s="128"/>
      <c r="G1398" s="802"/>
      <c r="H1398" s="781"/>
      <c r="I1398" s="803"/>
      <c r="J1398" s="779"/>
      <c r="K1398" s="800"/>
      <c r="L1398" s="800"/>
      <c r="M1398" s="779"/>
      <c r="N1398" s="779"/>
    </row>
    <row r="1399" spans="1:23" s="89" customFormat="1" ht="40.35" customHeight="1">
      <c r="A1399" s="564" t="str">
        <f ca="1">INDIRECT("'update Helper'!C"&amp;U1399)</f>
        <v>a163p000004VjqyAAC</v>
      </c>
      <c r="B1399" s="794">
        <v>20</v>
      </c>
      <c r="C1399" s="795" t="str">
        <f ca="1">VLOOKUP(B1399,'Coverage Indicators - Section D'!$A$9:$AU$70,47,FALSE)</f>
        <v/>
      </c>
      <c r="D1399" s="796" t="str">
        <f ca="1">R1399</f>
        <v/>
      </c>
      <c r="E1399" s="796" t="str">
        <f ca="1">S1399</f>
        <v/>
      </c>
      <c r="F1399" s="127"/>
      <c r="G1399" s="797" t="str">
        <f ca="1">IF(OR(INDIRECT("'update Helper'!E"&amp;U1399)="",F1399&lt;&gt;0,F1400&lt;&gt;0),IF(IFERROR((F1399/F1400),"")="","",(F1399/F1400)),INDIRECT("'update Helper'!E"&amp;U1399)/100)</f>
        <v/>
      </c>
      <c r="H1399" s="784"/>
      <c r="I1399" s="798"/>
      <c r="J1399" s="777"/>
      <c r="K1399" s="795" t="str">
        <f ca="1">W1399</f>
        <v/>
      </c>
      <c r="L1399" s="795" t="str">
        <f ca="1">V1399</f>
        <v/>
      </c>
      <c r="M1399" s="777"/>
      <c r="N1399" s="777"/>
      <c r="P1399" s="89">
        <f ca="1">IF(AND(EXACT(C1399,C1397),C1397&lt;&gt;0),P1397+1,0)</f>
        <v>149</v>
      </c>
      <c r="Q1399" s="89" t="str">
        <f ca="1">IF(C1399&lt;&gt;"",C1399&amp;"-"&amp;P1399,"")</f>
        <v/>
      </c>
      <c r="R1399" s="89" t="str">
        <f t="array" aca="1" ref="R1399" ca="1">IFERROR(IF(INDEX('Disaggregation Records'!$E$155:$E$385,MATCH(RIGHT(Q1399,255),RIGHT('Disaggregation Records'!$D$155:$D$385,255),0))="","",INDEX('Disaggregation Records'!$E$155:$E$385,MATCH(RIGHT(Q1399,255),RIGHT('Disaggregation Records'!$D$155:$D$385,255),0))),"")</f>
        <v/>
      </c>
      <c r="S1399" s="89" t="str">
        <f t="array" aca="1" ref="S1399" ca="1">IFERROR(IF(INDEX('Disaggregation Records'!$F$155:$F$385,MATCH(RIGHT(Q1399,255),RIGHT('Disaggregation Records'!$D$155:$D$385,255),0))="","",INDEX('Disaggregation Records'!$F$155:$F$385,MATCH(RIGHT(Q1399,255),RIGHT('Disaggregation Records'!$D$155:$D$385,255),0))),"")</f>
        <v/>
      </c>
      <c r="T1399" s="89" t="str">
        <f t="array" aca="1" ref="T1399" ca="1">IFERROR(IF(INDEX('Disaggregation Records'!$H$155:$H$385,MATCH(RIGHT(Q1399,255),RIGHT('Disaggregation Records'!$D$155:$D$385,255),0))="","",INDEX('Disaggregation Records'!$H$155:$H$385,MATCH(RIGHT(Q1399,255),RIGHT('Disaggregation Records'!$D$155:$D$385,255),0))),"")</f>
        <v/>
      </c>
      <c r="U1399" s="89">
        <f>U1397+1</f>
        <v>1809</v>
      </c>
      <c r="V1399" s="89" t="str">
        <f t="array" aca="1" ref="V1399" ca="1">IFERROR(IF(INDEX('Disaggregation Records'!$I$155:$I$385,MATCH(RIGHT(Q1399,255),RIGHT('Disaggregation Records'!$D$155:$D$385,255),0))="","",INDEX('Disaggregation Records'!$I$155:$I$385,MATCH(RIGHT(Q1399,255),RIGHT('Disaggregation Records'!$D$155:$D$385,255),0))),"")</f>
        <v/>
      </c>
      <c r="W1399" s="89" t="str">
        <f ca="1">IFERROR(INDEX('Reference Records'!L$77:L$157,MATCH(LEFT(C1399,255),'Reference Records'!E$77:E$157,0)),"")</f>
        <v/>
      </c>
    </row>
    <row r="1400" spans="1:23" s="89" customFormat="1" ht="40.35" customHeight="1">
      <c r="A1400" s="564"/>
      <c r="B1400" s="799"/>
      <c r="C1400" s="800"/>
      <c r="D1400" s="801"/>
      <c r="E1400" s="801"/>
      <c r="F1400" s="128"/>
      <c r="G1400" s="802"/>
      <c r="H1400" s="781"/>
      <c r="I1400" s="803"/>
      <c r="J1400" s="779"/>
      <c r="K1400" s="800"/>
      <c r="L1400" s="800"/>
      <c r="M1400" s="779"/>
      <c r="N1400" s="779"/>
    </row>
    <row r="1401" spans="1:23" s="89" customFormat="1" ht="40.35" customHeight="1">
      <c r="A1401" s="564" t="str">
        <f ca="1">INDIRECT("'update Helper'!C"&amp;U1401)</f>
        <v>a163p000004VjqzAAC</v>
      </c>
      <c r="B1401" s="794">
        <v>20</v>
      </c>
      <c r="C1401" s="795" t="str">
        <f ca="1">VLOOKUP(B1401,'Coverage Indicators - Section D'!$A$9:$AU$70,47,FALSE)</f>
        <v/>
      </c>
      <c r="D1401" s="796" t="str">
        <f ca="1">R1401</f>
        <v/>
      </c>
      <c r="E1401" s="796" t="str">
        <f ca="1">S1401</f>
        <v/>
      </c>
      <c r="F1401" s="127"/>
      <c r="G1401" s="797" t="str">
        <f ca="1">IF(OR(INDIRECT("'update Helper'!E"&amp;U1401)="",F1401&lt;&gt;0,F1402&lt;&gt;0),IF(IFERROR((F1401/F1402),"")="","",(F1401/F1402)),INDIRECT("'update Helper'!E"&amp;U1401)/100)</f>
        <v/>
      </c>
      <c r="H1401" s="784"/>
      <c r="I1401" s="798"/>
      <c r="J1401" s="777"/>
      <c r="K1401" s="795" t="str">
        <f ca="1">W1401</f>
        <v/>
      </c>
      <c r="L1401" s="795" t="str">
        <f ca="1">V1401</f>
        <v/>
      </c>
      <c r="M1401" s="777"/>
      <c r="N1401" s="777"/>
      <c r="P1401" s="89">
        <f ca="1">IF(AND(EXACT(C1401,C1399),C1399&lt;&gt;0),P1399+1,0)</f>
        <v>150</v>
      </c>
      <c r="Q1401" s="89" t="str">
        <f ca="1">IF(C1401&lt;&gt;"",C1401&amp;"-"&amp;P1401,"")</f>
        <v/>
      </c>
      <c r="R1401" s="89" t="str">
        <f t="array" aca="1" ref="R1401" ca="1">IFERROR(IF(INDEX('Disaggregation Records'!$E$155:$E$385,MATCH(RIGHT(Q1401,255),RIGHT('Disaggregation Records'!$D$155:$D$385,255),0))="","",INDEX('Disaggregation Records'!$E$155:$E$385,MATCH(RIGHT(Q1401,255),RIGHT('Disaggregation Records'!$D$155:$D$385,255),0))),"")</f>
        <v/>
      </c>
      <c r="S1401" s="89" t="str">
        <f t="array" aca="1" ref="S1401" ca="1">IFERROR(IF(INDEX('Disaggregation Records'!$F$155:$F$385,MATCH(RIGHT(Q1401,255),RIGHT('Disaggregation Records'!$D$155:$D$385,255),0))="","",INDEX('Disaggregation Records'!$F$155:$F$385,MATCH(RIGHT(Q1401,255),RIGHT('Disaggregation Records'!$D$155:$D$385,255),0))),"")</f>
        <v/>
      </c>
      <c r="T1401" s="89" t="str">
        <f t="array" aca="1" ref="T1401" ca="1">IFERROR(IF(INDEX('Disaggregation Records'!$H$155:$H$385,MATCH(RIGHT(Q1401,255),RIGHT('Disaggregation Records'!$D$155:$D$385,255),0))="","",INDEX('Disaggregation Records'!$H$155:$H$385,MATCH(RIGHT(Q1401,255),RIGHT('Disaggregation Records'!$D$155:$D$385,255),0))),"")</f>
        <v/>
      </c>
      <c r="U1401" s="89">
        <f>U1399+1</f>
        <v>1810</v>
      </c>
      <c r="V1401" s="89" t="str">
        <f t="array" aca="1" ref="V1401" ca="1">IFERROR(IF(INDEX('Disaggregation Records'!$I$155:$I$385,MATCH(RIGHT(Q1401,255),RIGHT('Disaggregation Records'!$D$155:$D$385,255),0))="","",INDEX('Disaggregation Records'!$I$155:$I$385,MATCH(RIGHT(Q1401,255),RIGHT('Disaggregation Records'!$D$155:$D$385,255),0))),"")</f>
        <v/>
      </c>
      <c r="W1401" s="89" t="str">
        <f ca="1">IFERROR(INDEX('Reference Records'!L$77:L$157,MATCH(LEFT(C1401,255),'Reference Records'!E$77:E$157,0)),"")</f>
        <v/>
      </c>
    </row>
    <row r="1402" spans="1:23" s="89" customFormat="1" ht="40.35" customHeight="1">
      <c r="A1402" s="564"/>
      <c r="B1402" s="799"/>
      <c r="C1402" s="800"/>
      <c r="D1402" s="801"/>
      <c r="E1402" s="801"/>
      <c r="F1402" s="128"/>
      <c r="G1402" s="802"/>
      <c r="H1402" s="781"/>
      <c r="I1402" s="803"/>
      <c r="J1402" s="779"/>
      <c r="K1402" s="800"/>
      <c r="L1402" s="800"/>
      <c r="M1402" s="779"/>
      <c r="N1402" s="779"/>
    </row>
    <row r="1403" spans="1:23" s="89" customFormat="1" ht="40.35" customHeight="1">
      <c r="A1403" s="564" t="str">
        <f ca="1">INDIRECT("'update Helper'!C"&amp;U1403)</f>
        <v>a163p000004Vjr0AAC</v>
      </c>
      <c r="B1403" s="794">
        <v>20</v>
      </c>
      <c r="C1403" s="795" t="str">
        <f ca="1">VLOOKUP(B1403,'Coverage Indicators - Section D'!$A$9:$AU$70,47,FALSE)</f>
        <v/>
      </c>
      <c r="D1403" s="796" t="str">
        <f ca="1">R1403</f>
        <v/>
      </c>
      <c r="E1403" s="796" t="str">
        <f ca="1">S1403</f>
        <v/>
      </c>
      <c r="F1403" s="127"/>
      <c r="G1403" s="797" t="str">
        <f ca="1">IF(OR(INDIRECT("'update Helper'!E"&amp;U1403)="",F1403&lt;&gt;0,F1404&lt;&gt;0),IF(IFERROR((F1403/F1404),"")="","",(F1403/F1404)),INDIRECT("'update Helper'!E"&amp;U1403)/100)</f>
        <v/>
      </c>
      <c r="H1403" s="784"/>
      <c r="I1403" s="798"/>
      <c r="J1403" s="777"/>
      <c r="K1403" s="795" t="str">
        <f ca="1">W1403</f>
        <v/>
      </c>
      <c r="L1403" s="795" t="str">
        <f ca="1">V1403</f>
        <v/>
      </c>
      <c r="M1403" s="777"/>
      <c r="N1403" s="777"/>
      <c r="P1403" s="89">
        <f ca="1">IF(AND(EXACT(C1403,C1401),C1401&lt;&gt;0),P1401+1,0)</f>
        <v>151</v>
      </c>
      <c r="Q1403" s="89" t="str">
        <f ca="1">IF(C1403&lt;&gt;"",C1403&amp;"-"&amp;P1403,"")</f>
        <v/>
      </c>
      <c r="R1403" s="89" t="str">
        <f t="array" aca="1" ref="R1403" ca="1">IFERROR(IF(INDEX('Disaggregation Records'!$E$155:$E$385,MATCH(RIGHT(Q1403,255),RIGHT('Disaggregation Records'!$D$155:$D$385,255),0))="","",INDEX('Disaggregation Records'!$E$155:$E$385,MATCH(RIGHT(Q1403,255),RIGHT('Disaggregation Records'!$D$155:$D$385,255),0))),"")</f>
        <v/>
      </c>
      <c r="S1403" s="89" t="str">
        <f t="array" aca="1" ref="S1403" ca="1">IFERROR(IF(INDEX('Disaggregation Records'!$F$155:$F$385,MATCH(RIGHT(Q1403,255),RIGHT('Disaggregation Records'!$D$155:$D$385,255),0))="","",INDEX('Disaggregation Records'!$F$155:$F$385,MATCH(RIGHT(Q1403,255),RIGHT('Disaggregation Records'!$D$155:$D$385,255),0))),"")</f>
        <v/>
      </c>
      <c r="T1403" s="89" t="str">
        <f t="array" aca="1" ref="T1403" ca="1">IFERROR(IF(INDEX('Disaggregation Records'!$H$155:$H$385,MATCH(RIGHT(Q1403,255),RIGHT('Disaggregation Records'!$D$155:$D$385,255),0))="","",INDEX('Disaggregation Records'!$H$155:$H$385,MATCH(RIGHT(Q1403,255),RIGHT('Disaggregation Records'!$D$155:$D$385,255),0))),"")</f>
        <v/>
      </c>
      <c r="U1403" s="89">
        <f>U1401+1</f>
        <v>1811</v>
      </c>
      <c r="V1403" s="89" t="str">
        <f t="array" aca="1" ref="V1403" ca="1">IFERROR(IF(INDEX('Disaggregation Records'!$I$155:$I$385,MATCH(RIGHT(Q1403,255),RIGHT('Disaggregation Records'!$D$155:$D$385,255),0))="","",INDEX('Disaggregation Records'!$I$155:$I$385,MATCH(RIGHT(Q1403,255),RIGHT('Disaggregation Records'!$D$155:$D$385,255),0))),"")</f>
        <v/>
      </c>
      <c r="W1403" s="89" t="str">
        <f ca="1">IFERROR(INDEX('Reference Records'!L$77:L$157,MATCH(LEFT(C1403,255),'Reference Records'!E$77:E$157,0)),"")</f>
        <v/>
      </c>
    </row>
    <row r="1404" spans="1:23" s="89" customFormat="1" ht="40.35" customHeight="1">
      <c r="A1404" s="564"/>
      <c r="B1404" s="799"/>
      <c r="C1404" s="800"/>
      <c r="D1404" s="801"/>
      <c r="E1404" s="801"/>
      <c r="F1404" s="128"/>
      <c r="G1404" s="802"/>
      <c r="H1404" s="781"/>
      <c r="I1404" s="803"/>
      <c r="J1404" s="779"/>
      <c r="K1404" s="800"/>
      <c r="L1404" s="800"/>
      <c r="M1404" s="779"/>
      <c r="N1404" s="779"/>
    </row>
    <row r="1405" spans="1:23" s="89" customFormat="1" ht="40.35" customHeight="1">
      <c r="A1405" s="564" t="str">
        <f ca="1">INDIRECT("'update Helper'!C"&amp;U1405)</f>
        <v>a163p000004Vjr1AAC</v>
      </c>
      <c r="B1405" s="794">
        <v>20</v>
      </c>
      <c r="C1405" s="795" t="str">
        <f ca="1">VLOOKUP(B1405,'Coverage Indicators - Section D'!$A$9:$AU$70,47,FALSE)</f>
        <v/>
      </c>
      <c r="D1405" s="796" t="str">
        <f ca="1">R1405</f>
        <v/>
      </c>
      <c r="E1405" s="796" t="str">
        <f ca="1">S1405</f>
        <v/>
      </c>
      <c r="F1405" s="127"/>
      <c r="G1405" s="797" t="str">
        <f ca="1">IF(OR(INDIRECT("'update Helper'!E"&amp;U1405)="",F1405&lt;&gt;0,F1406&lt;&gt;0),IF(IFERROR((F1405/F1406),"")="","",(F1405/F1406)),INDIRECT("'update Helper'!E"&amp;U1405)/100)</f>
        <v/>
      </c>
      <c r="H1405" s="784"/>
      <c r="I1405" s="798"/>
      <c r="J1405" s="777"/>
      <c r="K1405" s="795" t="str">
        <f ca="1">W1405</f>
        <v/>
      </c>
      <c r="L1405" s="795" t="str">
        <f ca="1">V1405</f>
        <v/>
      </c>
      <c r="M1405" s="777"/>
      <c r="N1405" s="777"/>
      <c r="P1405" s="89">
        <f ca="1">IF(AND(EXACT(C1405,C1403),C1403&lt;&gt;0),P1403+1,0)</f>
        <v>152</v>
      </c>
      <c r="Q1405" s="89" t="str">
        <f ca="1">IF(C1405&lt;&gt;"",C1405&amp;"-"&amp;P1405,"")</f>
        <v/>
      </c>
      <c r="R1405" s="89" t="str">
        <f t="array" aca="1" ref="R1405" ca="1">IFERROR(IF(INDEX('Disaggregation Records'!$E$155:$E$385,MATCH(RIGHT(Q1405,255),RIGHT('Disaggregation Records'!$D$155:$D$385,255),0))="","",INDEX('Disaggregation Records'!$E$155:$E$385,MATCH(RIGHT(Q1405,255),RIGHT('Disaggregation Records'!$D$155:$D$385,255),0))),"")</f>
        <v/>
      </c>
      <c r="S1405" s="89" t="str">
        <f t="array" aca="1" ref="S1405" ca="1">IFERROR(IF(INDEX('Disaggregation Records'!$F$155:$F$385,MATCH(RIGHT(Q1405,255),RIGHT('Disaggregation Records'!$D$155:$D$385,255),0))="","",INDEX('Disaggregation Records'!$F$155:$F$385,MATCH(RIGHT(Q1405,255),RIGHT('Disaggregation Records'!$D$155:$D$385,255),0))),"")</f>
        <v/>
      </c>
      <c r="T1405" s="89" t="str">
        <f t="array" aca="1" ref="T1405" ca="1">IFERROR(IF(INDEX('Disaggregation Records'!$H$155:$H$385,MATCH(RIGHT(Q1405,255),RIGHT('Disaggregation Records'!$D$155:$D$385,255),0))="","",INDEX('Disaggregation Records'!$H$155:$H$385,MATCH(RIGHT(Q1405,255),RIGHT('Disaggregation Records'!$D$155:$D$385,255),0))),"")</f>
        <v/>
      </c>
      <c r="U1405" s="89">
        <f>U1403+1</f>
        <v>1812</v>
      </c>
      <c r="V1405" s="89" t="str">
        <f t="array" aca="1" ref="V1405" ca="1">IFERROR(IF(INDEX('Disaggregation Records'!$I$155:$I$385,MATCH(RIGHT(Q1405,255),RIGHT('Disaggregation Records'!$D$155:$D$385,255),0))="","",INDEX('Disaggregation Records'!$I$155:$I$385,MATCH(RIGHT(Q1405,255),RIGHT('Disaggregation Records'!$D$155:$D$385,255),0))),"")</f>
        <v/>
      </c>
      <c r="W1405" s="89" t="str">
        <f ca="1">IFERROR(INDEX('Reference Records'!L$77:L$157,MATCH(LEFT(C1405,255),'Reference Records'!E$77:E$157,0)),"")</f>
        <v/>
      </c>
    </row>
    <row r="1406" spans="1:23" s="89" customFormat="1" ht="40.35" customHeight="1">
      <c r="A1406" s="564"/>
      <c r="B1406" s="799"/>
      <c r="C1406" s="800"/>
      <c r="D1406" s="801"/>
      <c r="E1406" s="801"/>
      <c r="F1406" s="128"/>
      <c r="G1406" s="802"/>
      <c r="H1406" s="781"/>
      <c r="I1406" s="803"/>
      <c r="J1406" s="779"/>
      <c r="K1406" s="800"/>
      <c r="L1406" s="800"/>
      <c r="M1406" s="779"/>
      <c r="N1406" s="779"/>
    </row>
    <row r="1407" spans="1:23" s="89" customFormat="1" ht="40.35" customHeight="1">
      <c r="A1407" s="564" t="str">
        <f ca="1">INDIRECT("'update Helper'!C"&amp;U1407)</f>
        <v>a163p000004Vjr2AAC</v>
      </c>
      <c r="B1407" s="794">
        <v>20</v>
      </c>
      <c r="C1407" s="795" t="str">
        <f ca="1">VLOOKUP(B1407,'Coverage Indicators - Section D'!$A$9:$AU$70,47,FALSE)</f>
        <v/>
      </c>
      <c r="D1407" s="796" t="str">
        <f ca="1">R1407</f>
        <v/>
      </c>
      <c r="E1407" s="796" t="str">
        <f ca="1">S1407</f>
        <v/>
      </c>
      <c r="F1407" s="127"/>
      <c r="G1407" s="797" t="str">
        <f ca="1">IF(OR(INDIRECT("'update Helper'!E"&amp;U1407)="",F1407&lt;&gt;0,F1408&lt;&gt;0),IF(IFERROR((F1407/F1408),"")="","",(F1407/F1408)),INDIRECT("'update Helper'!E"&amp;U1407)/100)</f>
        <v/>
      </c>
      <c r="H1407" s="784"/>
      <c r="I1407" s="798"/>
      <c r="J1407" s="777"/>
      <c r="K1407" s="795" t="str">
        <f ca="1">W1407</f>
        <v/>
      </c>
      <c r="L1407" s="795" t="str">
        <f ca="1">V1407</f>
        <v/>
      </c>
      <c r="M1407" s="777"/>
      <c r="N1407" s="777"/>
      <c r="P1407" s="89">
        <f ca="1">IF(AND(EXACT(C1407,C1405),C1405&lt;&gt;0),P1405+1,0)</f>
        <v>153</v>
      </c>
      <c r="Q1407" s="89" t="str">
        <f ca="1">IF(C1407&lt;&gt;"",C1407&amp;"-"&amp;P1407,"")</f>
        <v/>
      </c>
      <c r="R1407" s="89" t="str">
        <f t="array" aca="1" ref="R1407" ca="1">IFERROR(IF(INDEX('Disaggregation Records'!$E$155:$E$385,MATCH(RIGHT(Q1407,255),RIGHT('Disaggregation Records'!$D$155:$D$385,255),0))="","",INDEX('Disaggregation Records'!$E$155:$E$385,MATCH(RIGHT(Q1407,255),RIGHT('Disaggregation Records'!$D$155:$D$385,255),0))),"")</f>
        <v/>
      </c>
      <c r="S1407" s="89" t="str">
        <f t="array" aca="1" ref="S1407" ca="1">IFERROR(IF(INDEX('Disaggregation Records'!$F$155:$F$385,MATCH(RIGHT(Q1407,255),RIGHT('Disaggregation Records'!$D$155:$D$385,255),0))="","",INDEX('Disaggregation Records'!$F$155:$F$385,MATCH(RIGHT(Q1407,255),RIGHT('Disaggregation Records'!$D$155:$D$385,255),0))),"")</f>
        <v/>
      </c>
      <c r="T1407" s="89" t="str">
        <f t="array" aca="1" ref="T1407" ca="1">IFERROR(IF(INDEX('Disaggregation Records'!$H$155:$H$385,MATCH(RIGHT(Q1407,255),RIGHT('Disaggregation Records'!$D$155:$D$385,255),0))="","",INDEX('Disaggregation Records'!$H$155:$H$385,MATCH(RIGHT(Q1407,255),RIGHT('Disaggregation Records'!$D$155:$D$385,255),0))),"")</f>
        <v/>
      </c>
      <c r="U1407" s="89">
        <f>U1405+1</f>
        <v>1813</v>
      </c>
      <c r="V1407" s="89" t="str">
        <f t="array" aca="1" ref="V1407" ca="1">IFERROR(IF(INDEX('Disaggregation Records'!$I$155:$I$385,MATCH(RIGHT(Q1407,255),RIGHT('Disaggregation Records'!$D$155:$D$385,255),0))="","",INDEX('Disaggregation Records'!$I$155:$I$385,MATCH(RIGHT(Q1407,255),RIGHT('Disaggregation Records'!$D$155:$D$385,255),0))),"")</f>
        <v/>
      </c>
      <c r="W1407" s="89" t="str">
        <f ca="1">IFERROR(INDEX('Reference Records'!L$77:L$157,MATCH(LEFT(C1407,255),'Reference Records'!E$77:E$157,0)),"")</f>
        <v/>
      </c>
    </row>
    <row r="1408" spans="1:23" s="89" customFormat="1" ht="40.35" customHeight="1">
      <c r="A1408" s="564"/>
      <c r="B1408" s="799"/>
      <c r="C1408" s="800"/>
      <c r="D1408" s="801"/>
      <c r="E1408" s="801"/>
      <c r="F1408" s="128"/>
      <c r="G1408" s="802"/>
      <c r="H1408" s="781"/>
      <c r="I1408" s="803"/>
      <c r="J1408" s="779"/>
      <c r="K1408" s="800"/>
      <c r="L1408" s="800"/>
      <c r="M1408" s="779"/>
      <c r="N1408" s="779"/>
    </row>
    <row r="1409" spans="1:23" s="89" customFormat="1" ht="40.35" customHeight="1">
      <c r="A1409" s="564" t="str">
        <f ca="1">INDIRECT("'update Helper'!C"&amp;U1409)</f>
        <v>a163p000004Vjr3AAC</v>
      </c>
      <c r="B1409" s="794">
        <v>20</v>
      </c>
      <c r="C1409" s="795" t="str">
        <f ca="1">VLOOKUP(B1409,'Coverage Indicators - Section D'!$A$9:$AU$70,47,FALSE)</f>
        <v/>
      </c>
      <c r="D1409" s="796" t="str">
        <f ca="1">R1409</f>
        <v/>
      </c>
      <c r="E1409" s="796" t="str">
        <f ca="1">S1409</f>
        <v/>
      </c>
      <c r="F1409" s="127"/>
      <c r="G1409" s="797" t="str">
        <f ca="1">IF(OR(INDIRECT("'update Helper'!E"&amp;U1409)="",F1409&lt;&gt;0,F1410&lt;&gt;0),IF(IFERROR((F1409/F1410),"")="","",(F1409/F1410)),INDIRECT("'update Helper'!E"&amp;U1409)/100)</f>
        <v/>
      </c>
      <c r="H1409" s="784"/>
      <c r="I1409" s="798"/>
      <c r="J1409" s="777"/>
      <c r="K1409" s="795" t="str">
        <f ca="1">W1409</f>
        <v/>
      </c>
      <c r="L1409" s="795" t="str">
        <f ca="1">V1409</f>
        <v/>
      </c>
      <c r="M1409" s="777"/>
      <c r="N1409" s="777"/>
      <c r="P1409" s="89">
        <f ca="1">IF(AND(EXACT(C1409,C1407),C1407&lt;&gt;0),P1407+1,0)</f>
        <v>154</v>
      </c>
      <c r="Q1409" s="89" t="str">
        <f ca="1">IF(C1409&lt;&gt;"",C1409&amp;"-"&amp;P1409,"")</f>
        <v/>
      </c>
      <c r="R1409" s="89" t="str">
        <f t="array" aca="1" ref="R1409" ca="1">IFERROR(IF(INDEX('Disaggregation Records'!$E$155:$E$385,MATCH(RIGHT(Q1409,255),RIGHT('Disaggregation Records'!$D$155:$D$385,255),0))="","",INDEX('Disaggregation Records'!$E$155:$E$385,MATCH(RIGHT(Q1409,255),RIGHT('Disaggregation Records'!$D$155:$D$385,255),0))),"")</f>
        <v/>
      </c>
      <c r="S1409" s="89" t="str">
        <f t="array" aca="1" ref="S1409" ca="1">IFERROR(IF(INDEX('Disaggregation Records'!$F$155:$F$385,MATCH(RIGHT(Q1409,255),RIGHT('Disaggregation Records'!$D$155:$D$385,255),0))="","",INDEX('Disaggregation Records'!$F$155:$F$385,MATCH(RIGHT(Q1409,255),RIGHT('Disaggregation Records'!$D$155:$D$385,255),0))),"")</f>
        <v/>
      </c>
      <c r="T1409" s="89" t="str">
        <f t="array" aca="1" ref="T1409" ca="1">IFERROR(IF(INDEX('Disaggregation Records'!$H$155:$H$385,MATCH(RIGHT(Q1409,255),RIGHT('Disaggregation Records'!$D$155:$D$385,255),0))="","",INDEX('Disaggregation Records'!$H$155:$H$385,MATCH(RIGHT(Q1409,255),RIGHT('Disaggregation Records'!$D$155:$D$385,255),0))),"")</f>
        <v/>
      </c>
      <c r="U1409" s="89">
        <f>U1407+1</f>
        <v>1814</v>
      </c>
      <c r="V1409" s="89" t="str">
        <f t="array" aca="1" ref="V1409" ca="1">IFERROR(IF(INDEX('Disaggregation Records'!$I$155:$I$385,MATCH(RIGHT(Q1409,255),RIGHT('Disaggregation Records'!$D$155:$D$385,255),0))="","",INDEX('Disaggregation Records'!$I$155:$I$385,MATCH(RIGHT(Q1409,255),RIGHT('Disaggregation Records'!$D$155:$D$385,255),0))),"")</f>
        <v/>
      </c>
      <c r="W1409" s="89" t="str">
        <f ca="1">IFERROR(INDEX('Reference Records'!L$77:L$157,MATCH(LEFT(C1409,255),'Reference Records'!E$77:E$157,0)),"")</f>
        <v/>
      </c>
    </row>
    <row r="1410" spans="1:23" s="89" customFormat="1" ht="40.35" customHeight="1">
      <c r="A1410" s="564"/>
      <c r="B1410" s="799"/>
      <c r="C1410" s="800"/>
      <c r="D1410" s="801"/>
      <c r="E1410" s="801"/>
      <c r="F1410" s="128"/>
      <c r="G1410" s="802"/>
      <c r="H1410" s="781"/>
      <c r="I1410" s="803"/>
      <c r="J1410" s="779"/>
      <c r="K1410" s="800"/>
      <c r="L1410" s="800"/>
      <c r="M1410" s="779"/>
      <c r="N1410" s="779"/>
    </row>
    <row r="1411" spans="1:23" s="89" customFormat="1" ht="40.35" customHeight="1">
      <c r="A1411" s="564" t="str">
        <f ca="1">INDIRECT("'update Helper'!C"&amp;U1411)</f>
        <v>a163p000004Vjr4AAC</v>
      </c>
      <c r="B1411" s="794">
        <v>20</v>
      </c>
      <c r="C1411" s="795" t="str">
        <f ca="1">VLOOKUP(B1411,'Coverage Indicators - Section D'!$A$9:$AU$70,47,FALSE)</f>
        <v/>
      </c>
      <c r="D1411" s="796" t="str">
        <f ca="1">R1411</f>
        <v/>
      </c>
      <c r="E1411" s="796" t="str">
        <f ca="1">S1411</f>
        <v/>
      </c>
      <c r="F1411" s="127"/>
      <c r="G1411" s="797" t="str">
        <f ca="1">IF(OR(INDIRECT("'update Helper'!E"&amp;U1411)="",F1411&lt;&gt;0,F1412&lt;&gt;0),IF(IFERROR((F1411/F1412),"")="","",(F1411/F1412)),INDIRECT("'update Helper'!E"&amp;U1411)/100)</f>
        <v/>
      </c>
      <c r="H1411" s="784"/>
      <c r="I1411" s="798"/>
      <c r="J1411" s="777"/>
      <c r="K1411" s="795" t="str">
        <f ca="1">W1411</f>
        <v/>
      </c>
      <c r="L1411" s="795" t="str">
        <f ca="1">V1411</f>
        <v/>
      </c>
      <c r="M1411" s="777"/>
      <c r="N1411" s="777"/>
      <c r="P1411" s="89">
        <f ca="1">IF(AND(EXACT(C1411,C1409),C1409&lt;&gt;0),P1409+1,0)</f>
        <v>155</v>
      </c>
      <c r="Q1411" s="89" t="str">
        <f ca="1">IF(C1411&lt;&gt;"",C1411&amp;"-"&amp;P1411,"")</f>
        <v/>
      </c>
      <c r="R1411" s="89" t="str">
        <f t="array" aca="1" ref="R1411" ca="1">IFERROR(IF(INDEX('Disaggregation Records'!$E$155:$E$385,MATCH(RIGHT(Q1411,255),RIGHT('Disaggregation Records'!$D$155:$D$385,255),0))="","",INDEX('Disaggregation Records'!$E$155:$E$385,MATCH(RIGHT(Q1411,255),RIGHT('Disaggregation Records'!$D$155:$D$385,255),0))),"")</f>
        <v/>
      </c>
      <c r="S1411" s="89" t="str">
        <f t="array" aca="1" ref="S1411" ca="1">IFERROR(IF(INDEX('Disaggregation Records'!$F$155:$F$385,MATCH(RIGHT(Q1411,255),RIGHT('Disaggregation Records'!$D$155:$D$385,255),0))="","",INDEX('Disaggregation Records'!$F$155:$F$385,MATCH(RIGHT(Q1411,255),RIGHT('Disaggregation Records'!$D$155:$D$385,255),0))),"")</f>
        <v/>
      </c>
      <c r="T1411" s="89" t="str">
        <f t="array" aca="1" ref="T1411" ca="1">IFERROR(IF(INDEX('Disaggregation Records'!$H$155:$H$385,MATCH(RIGHT(Q1411,255),RIGHT('Disaggregation Records'!$D$155:$D$385,255),0))="","",INDEX('Disaggregation Records'!$H$155:$H$385,MATCH(RIGHT(Q1411,255),RIGHT('Disaggregation Records'!$D$155:$D$385,255),0))),"")</f>
        <v/>
      </c>
      <c r="U1411" s="89">
        <f>U1409+1</f>
        <v>1815</v>
      </c>
      <c r="V1411" s="89" t="str">
        <f t="array" aca="1" ref="V1411" ca="1">IFERROR(IF(INDEX('Disaggregation Records'!$I$155:$I$385,MATCH(RIGHT(Q1411,255),RIGHT('Disaggregation Records'!$D$155:$D$385,255),0))="","",INDEX('Disaggregation Records'!$I$155:$I$385,MATCH(RIGHT(Q1411,255),RIGHT('Disaggregation Records'!$D$155:$D$385,255),0))),"")</f>
        <v/>
      </c>
      <c r="W1411" s="89" t="str">
        <f ca="1">IFERROR(INDEX('Reference Records'!L$77:L$157,MATCH(LEFT(C1411,255),'Reference Records'!E$77:E$157,0)),"")</f>
        <v/>
      </c>
    </row>
    <row r="1412" spans="1:23" s="89" customFormat="1" ht="40.35" customHeight="1">
      <c r="A1412" s="564"/>
      <c r="B1412" s="799"/>
      <c r="C1412" s="800"/>
      <c r="D1412" s="801"/>
      <c r="E1412" s="801"/>
      <c r="F1412" s="128"/>
      <c r="G1412" s="802"/>
      <c r="H1412" s="781"/>
      <c r="I1412" s="803"/>
      <c r="J1412" s="779"/>
      <c r="K1412" s="800"/>
      <c r="L1412" s="800"/>
      <c r="M1412" s="779"/>
      <c r="N1412" s="779"/>
    </row>
    <row r="1413" spans="1:23" s="89" customFormat="1" ht="40.35" customHeight="1">
      <c r="A1413" s="564" t="str">
        <f ca="1">INDIRECT("'update Helper'!C"&amp;U1413)</f>
        <v>a163p000004Vjr5AAC</v>
      </c>
      <c r="B1413" s="794">
        <v>20</v>
      </c>
      <c r="C1413" s="795" t="str">
        <f ca="1">VLOOKUP(B1413,'Coverage Indicators - Section D'!$A$9:$AU$70,47,FALSE)</f>
        <v/>
      </c>
      <c r="D1413" s="796" t="str">
        <f ca="1">R1413</f>
        <v/>
      </c>
      <c r="E1413" s="796" t="str">
        <f ca="1">S1413</f>
        <v/>
      </c>
      <c r="F1413" s="127"/>
      <c r="G1413" s="797" t="str">
        <f ca="1">IF(OR(INDIRECT("'update Helper'!E"&amp;U1413)="",F1413&lt;&gt;0,F1414&lt;&gt;0),IF(IFERROR((F1413/F1414),"")="","",(F1413/F1414)),INDIRECT("'update Helper'!E"&amp;U1413)/100)</f>
        <v/>
      </c>
      <c r="H1413" s="784"/>
      <c r="I1413" s="798"/>
      <c r="J1413" s="777"/>
      <c r="K1413" s="795" t="str">
        <f ca="1">W1413</f>
        <v/>
      </c>
      <c r="L1413" s="795" t="str">
        <f ca="1">V1413</f>
        <v/>
      </c>
      <c r="M1413" s="777"/>
      <c r="N1413" s="777"/>
      <c r="P1413" s="89">
        <f ca="1">IF(AND(EXACT(C1413,C1411),C1411&lt;&gt;0),P1411+1,0)</f>
        <v>156</v>
      </c>
      <c r="Q1413" s="89" t="str">
        <f ca="1">IF(C1413&lt;&gt;"",C1413&amp;"-"&amp;P1413,"")</f>
        <v/>
      </c>
      <c r="R1413" s="89" t="str">
        <f t="array" aca="1" ref="R1413" ca="1">IFERROR(IF(INDEX('Disaggregation Records'!$E$155:$E$385,MATCH(RIGHT(Q1413,255),RIGHT('Disaggregation Records'!$D$155:$D$385,255),0))="","",INDEX('Disaggregation Records'!$E$155:$E$385,MATCH(RIGHT(Q1413,255),RIGHT('Disaggregation Records'!$D$155:$D$385,255),0))),"")</f>
        <v/>
      </c>
      <c r="S1413" s="89" t="str">
        <f t="array" aca="1" ref="S1413" ca="1">IFERROR(IF(INDEX('Disaggregation Records'!$F$155:$F$385,MATCH(RIGHT(Q1413,255),RIGHT('Disaggregation Records'!$D$155:$D$385,255),0))="","",INDEX('Disaggregation Records'!$F$155:$F$385,MATCH(RIGHT(Q1413,255),RIGHT('Disaggregation Records'!$D$155:$D$385,255),0))),"")</f>
        <v/>
      </c>
      <c r="T1413" s="89" t="str">
        <f t="array" aca="1" ref="T1413" ca="1">IFERROR(IF(INDEX('Disaggregation Records'!$H$155:$H$385,MATCH(RIGHT(Q1413,255),RIGHT('Disaggregation Records'!$D$155:$D$385,255),0))="","",INDEX('Disaggregation Records'!$H$155:$H$385,MATCH(RIGHT(Q1413,255),RIGHT('Disaggregation Records'!$D$155:$D$385,255),0))),"")</f>
        <v/>
      </c>
      <c r="U1413" s="89">
        <f>U1411+1</f>
        <v>1816</v>
      </c>
      <c r="V1413" s="89" t="str">
        <f t="array" aca="1" ref="V1413" ca="1">IFERROR(IF(INDEX('Disaggregation Records'!$I$155:$I$385,MATCH(RIGHT(Q1413,255),RIGHT('Disaggregation Records'!$D$155:$D$385,255),0))="","",INDEX('Disaggregation Records'!$I$155:$I$385,MATCH(RIGHT(Q1413,255),RIGHT('Disaggregation Records'!$D$155:$D$385,255),0))),"")</f>
        <v/>
      </c>
      <c r="W1413" s="89" t="str">
        <f ca="1">IFERROR(INDEX('Reference Records'!L$77:L$157,MATCH(LEFT(C1413,255),'Reference Records'!E$77:E$157,0)),"")</f>
        <v/>
      </c>
    </row>
    <row r="1414" spans="1:23" s="89" customFormat="1" ht="40.35" customHeight="1">
      <c r="A1414" s="564"/>
      <c r="B1414" s="799"/>
      <c r="C1414" s="800"/>
      <c r="D1414" s="801"/>
      <c r="E1414" s="801"/>
      <c r="F1414" s="128"/>
      <c r="G1414" s="802"/>
      <c r="H1414" s="781"/>
      <c r="I1414" s="803"/>
      <c r="J1414" s="779"/>
      <c r="K1414" s="800"/>
      <c r="L1414" s="800"/>
      <c r="M1414" s="779"/>
      <c r="N1414" s="779"/>
    </row>
    <row r="1415" spans="1:23" s="89" customFormat="1" ht="40.35" customHeight="1">
      <c r="A1415" s="564" t="str">
        <f ca="1">INDIRECT("'update Helper'!C"&amp;U1415)</f>
        <v>a163p000004Vjr6AAC</v>
      </c>
      <c r="B1415" s="794">
        <v>20</v>
      </c>
      <c r="C1415" s="795" t="str">
        <f ca="1">VLOOKUP(B1415,'Coverage Indicators - Section D'!$A$9:$AU$70,47,FALSE)</f>
        <v/>
      </c>
      <c r="D1415" s="796" t="str">
        <f ca="1">R1415</f>
        <v/>
      </c>
      <c r="E1415" s="796" t="str">
        <f ca="1">S1415</f>
        <v/>
      </c>
      <c r="F1415" s="127"/>
      <c r="G1415" s="797" t="str">
        <f ca="1">IF(OR(INDIRECT("'update Helper'!E"&amp;U1415)="",F1415&lt;&gt;0,F1416&lt;&gt;0),IF(IFERROR((F1415/F1416),"")="","",(F1415/F1416)),INDIRECT("'update Helper'!E"&amp;U1415)/100)</f>
        <v/>
      </c>
      <c r="H1415" s="784"/>
      <c r="I1415" s="798"/>
      <c r="J1415" s="777"/>
      <c r="K1415" s="795" t="str">
        <f ca="1">W1415</f>
        <v/>
      </c>
      <c r="L1415" s="795" t="str">
        <f ca="1">V1415</f>
        <v/>
      </c>
      <c r="M1415" s="777"/>
      <c r="N1415" s="777"/>
      <c r="P1415" s="89">
        <f ca="1">IF(AND(EXACT(C1415,C1413),C1413&lt;&gt;0),P1413+1,0)</f>
        <v>157</v>
      </c>
      <c r="Q1415" s="89" t="str">
        <f ca="1">IF(C1415&lt;&gt;"",C1415&amp;"-"&amp;P1415,"")</f>
        <v/>
      </c>
      <c r="R1415" s="89" t="str">
        <f t="array" aca="1" ref="R1415" ca="1">IFERROR(IF(INDEX('Disaggregation Records'!$E$155:$E$385,MATCH(RIGHT(Q1415,255),RIGHT('Disaggregation Records'!$D$155:$D$385,255),0))="","",INDEX('Disaggregation Records'!$E$155:$E$385,MATCH(RIGHT(Q1415,255),RIGHT('Disaggregation Records'!$D$155:$D$385,255),0))),"")</f>
        <v/>
      </c>
      <c r="S1415" s="89" t="str">
        <f t="array" aca="1" ref="S1415" ca="1">IFERROR(IF(INDEX('Disaggregation Records'!$F$155:$F$385,MATCH(RIGHT(Q1415,255),RIGHT('Disaggregation Records'!$D$155:$D$385,255),0))="","",INDEX('Disaggregation Records'!$F$155:$F$385,MATCH(RIGHT(Q1415,255),RIGHT('Disaggregation Records'!$D$155:$D$385,255),0))),"")</f>
        <v/>
      </c>
      <c r="T1415" s="89" t="str">
        <f t="array" aca="1" ref="T1415" ca="1">IFERROR(IF(INDEX('Disaggregation Records'!$H$155:$H$385,MATCH(RIGHT(Q1415,255),RIGHT('Disaggregation Records'!$D$155:$D$385,255),0))="","",INDEX('Disaggregation Records'!$H$155:$H$385,MATCH(RIGHT(Q1415,255),RIGHT('Disaggregation Records'!$D$155:$D$385,255),0))),"")</f>
        <v/>
      </c>
      <c r="U1415" s="89">
        <f>U1413+1</f>
        <v>1817</v>
      </c>
      <c r="V1415" s="89" t="str">
        <f t="array" aca="1" ref="V1415" ca="1">IFERROR(IF(INDEX('Disaggregation Records'!$I$155:$I$385,MATCH(RIGHT(Q1415,255),RIGHT('Disaggregation Records'!$D$155:$D$385,255),0))="","",INDEX('Disaggregation Records'!$I$155:$I$385,MATCH(RIGHT(Q1415,255),RIGHT('Disaggregation Records'!$D$155:$D$385,255),0))),"")</f>
        <v/>
      </c>
      <c r="W1415" s="89" t="str">
        <f ca="1">IFERROR(INDEX('Reference Records'!L$77:L$157,MATCH(LEFT(C1415,255),'Reference Records'!E$77:E$157,0)),"")</f>
        <v/>
      </c>
    </row>
    <row r="1416" spans="1:23" s="89" customFormat="1" ht="40.35" customHeight="1">
      <c r="A1416" s="564"/>
      <c r="B1416" s="799"/>
      <c r="C1416" s="800"/>
      <c r="D1416" s="801"/>
      <c r="E1416" s="801"/>
      <c r="F1416" s="128"/>
      <c r="G1416" s="802"/>
      <c r="H1416" s="781"/>
      <c r="I1416" s="803"/>
      <c r="J1416" s="779"/>
      <c r="K1416" s="800"/>
      <c r="L1416" s="800"/>
      <c r="M1416" s="779"/>
      <c r="N1416" s="779"/>
    </row>
    <row r="1417" spans="1:23" s="89" customFormat="1" ht="40.35" customHeight="1">
      <c r="A1417" s="564" t="str">
        <f ca="1">INDIRECT("'update Helper'!C"&amp;U1417)</f>
        <v>a163p000004Vjr7AAC</v>
      </c>
      <c r="B1417" s="794">
        <v>20</v>
      </c>
      <c r="C1417" s="795" t="str">
        <f ca="1">VLOOKUP(B1417,'Coverage Indicators - Section D'!$A$9:$AU$70,47,FALSE)</f>
        <v/>
      </c>
      <c r="D1417" s="796" t="str">
        <f ca="1">R1417</f>
        <v/>
      </c>
      <c r="E1417" s="796" t="str">
        <f ca="1">S1417</f>
        <v/>
      </c>
      <c r="F1417" s="127"/>
      <c r="G1417" s="797" t="str">
        <f ca="1">IF(OR(INDIRECT("'update Helper'!E"&amp;U1417)="",F1417&lt;&gt;0,F1418&lt;&gt;0),IF(IFERROR((F1417/F1418),"")="","",(F1417/F1418)),INDIRECT("'update Helper'!E"&amp;U1417)/100)</f>
        <v/>
      </c>
      <c r="H1417" s="784"/>
      <c r="I1417" s="798"/>
      <c r="J1417" s="777"/>
      <c r="K1417" s="795" t="str">
        <f ca="1">W1417</f>
        <v/>
      </c>
      <c r="L1417" s="795" t="str">
        <f ca="1">V1417</f>
        <v/>
      </c>
      <c r="M1417" s="777"/>
      <c r="N1417" s="777"/>
      <c r="P1417" s="89">
        <f ca="1">IF(AND(EXACT(C1417,C1415),C1415&lt;&gt;0),P1415+1,0)</f>
        <v>158</v>
      </c>
      <c r="Q1417" s="89" t="str">
        <f ca="1">IF(C1417&lt;&gt;"",C1417&amp;"-"&amp;P1417,"")</f>
        <v/>
      </c>
      <c r="R1417" s="89" t="str">
        <f t="array" aca="1" ref="R1417" ca="1">IFERROR(IF(INDEX('Disaggregation Records'!$E$155:$E$385,MATCH(RIGHT(Q1417,255),RIGHT('Disaggregation Records'!$D$155:$D$385,255),0))="","",INDEX('Disaggregation Records'!$E$155:$E$385,MATCH(RIGHT(Q1417,255),RIGHT('Disaggregation Records'!$D$155:$D$385,255),0))),"")</f>
        <v/>
      </c>
      <c r="S1417" s="89" t="str">
        <f t="array" aca="1" ref="S1417" ca="1">IFERROR(IF(INDEX('Disaggregation Records'!$F$155:$F$385,MATCH(RIGHT(Q1417,255),RIGHT('Disaggregation Records'!$D$155:$D$385,255),0))="","",INDEX('Disaggregation Records'!$F$155:$F$385,MATCH(RIGHT(Q1417,255),RIGHT('Disaggregation Records'!$D$155:$D$385,255),0))),"")</f>
        <v/>
      </c>
      <c r="T1417" s="89" t="str">
        <f t="array" aca="1" ref="T1417" ca="1">IFERROR(IF(INDEX('Disaggregation Records'!$H$155:$H$385,MATCH(RIGHT(Q1417,255),RIGHT('Disaggregation Records'!$D$155:$D$385,255),0))="","",INDEX('Disaggregation Records'!$H$155:$H$385,MATCH(RIGHT(Q1417,255),RIGHT('Disaggregation Records'!$D$155:$D$385,255),0))),"")</f>
        <v/>
      </c>
      <c r="U1417" s="89">
        <f>U1415+1</f>
        <v>1818</v>
      </c>
      <c r="V1417" s="89" t="str">
        <f t="array" aca="1" ref="V1417" ca="1">IFERROR(IF(INDEX('Disaggregation Records'!$I$155:$I$385,MATCH(RIGHT(Q1417,255),RIGHT('Disaggregation Records'!$D$155:$D$385,255),0))="","",INDEX('Disaggregation Records'!$I$155:$I$385,MATCH(RIGHT(Q1417,255),RIGHT('Disaggregation Records'!$D$155:$D$385,255),0))),"")</f>
        <v/>
      </c>
      <c r="W1417" s="89" t="str">
        <f ca="1">IFERROR(INDEX('Reference Records'!L$77:L$157,MATCH(LEFT(C1417,255),'Reference Records'!E$77:E$157,0)),"")</f>
        <v/>
      </c>
    </row>
    <row r="1418" spans="1:23" s="89" customFormat="1" ht="40.35" customHeight="1">
      <c r="A1418" s="564"/>
      <c r="B1418" s="799"/>
      <c r="C1418" s="800"/>
      <c r="D1418" s="801"/>
      <c r="E1418" s="801"/>
      <c r="F1418" s="128"/>
      <c r="G1418" s="802"/>
      <c r="H1418" s="781"/>
      <c r="I1418" s="803"/>
      <c r="J1418" s="779"/>
      <c r="K1418" s="800"/>
      <c r="L1418" s="800"/>
      <c r="M1418" s="779"/>
      <c r="N1418" s="779"/>
    </row>
    <row r="1419" spans="1:23" s="89" customFormat="1" ht="40.35" customHeight="1">
      <c r="A1419" s="564" t="str">
        <f ca="1">INDIRECT("'update Helper'!C"&amp;U1419)</f>
        <v>a163p000004Vjr8AAC</v>
      </c>
      <c r="B1419" s="794">
        <v>20</v>
      </c>
      <c r="C1419" s="795" t="str">
        <f ca="1">VLOOKUP(B1419,'Coverage Indicators - Section D'!$A$9:$AU$70,47,FALSE)</f>
        <v/>
      </c>
      <c r="D1419" s="796" t="str">
        <f ca="1">R1419</f>
        <v/>
      </c>
      <c r="E1419" s="796" t="str">
        <f ca="1">S1419</f>
        <v/>
      </c>
      <c r="F1419" s="127"/>
      <c r="G1419" s="797" t="str">
        <f ca="1">IF(OR(INDIRECT("'update Helper'!E"&amp;U1419)="",F1419&lt;&gt;0,F1420&lt;&gt;0),IF(IFERROR((F1419/F1420),"")="","",(F1419/F1420)),INDIRECT("'update Helper'!E"&amp;U1419)/100)</f>
        <v/>
      </c>
      <c r="H1419" s="784"/>
      <c r="I1419" s="798"/>
      <c r="J1419" s="777"/>
      <c r="K1419" s="795" t="str">
        <f ca="1">W1419</f>
        <v/>
      </c>
      <c r="L1419" s="795" t="str">
        <f ca="1">V1419</f>
        <v/>
      </c>
      <c r="M1419" s="777"/>
      <c r="N1419" s="777"/>
      <c r="P1419" s="89">
        <f ca="1">IF(AND(EXACT(C1419,C1417),C1417&lt;&gt;0),P1417+1,0)</f>
        <v>159</v>
      </c>
      <c r="Q1419" s="89" t="str">
        <f ca="1">IF(C1419&lt;&gt;"",C1419&amp;"-"&amp;P1419,"")</f>
        <v/>
      </c>
      <c r="R1419" s="89" t="str">
        <f t="array" aca="1" ref="R1419" ca="1">IFERROR(IF(INDEX('Disaggregation Records'!$E$155:$E$385,MATCH(RIGHT(Q1419,255),RIGHT('Disaggregation Records'!$D$155:$D$385,255),0))="","",INDEX('Disaggregation Records'!$E$155:$E$385,MATCH(RIGHT(Q1419,255),RIGHT('Disaggregation Records'!$D$155:$D$385,255),0))),"")</f>
        <v/>
      </c>
      <c r="S1419" s="89" t="str">
        <f t="array" aca="1" ref="S1419" ca="1">IFERROR(IF(INDEX('Disaggregation Records'!$F$155:$F$385,MATCH(RIGHT(Q1419,255),RIGHT('Disaggregation Records'!$D$155:$D$385,255),0))="","",INDEX('Disaggregation Records'!$F$155:$F$385,MATCH(RIGHT(Q1419,255),RIGHT('Disaggregation Records'!$D$155:$D$385,255),0))),"")</f>
        <v/>
      </c>
      <c r="T1419" s="89" t="str">
        <f t="array" aca="1" ref="T1419" ca="1">IFERROR(IF(INDEX('Disaggregation Records'!$H$155:$H$385,MATCH(RIGHT(Q1419,255),RIGHT('Disaggregation Records'!$D$155:$D$385,255),0))="","",INDEX('Disaggregation Records'!$H$155:$H$385,MATCH(RIGHT(Q1419,255),RIGHT('Disaggregation Records'!$D$155:$D$385,255),0))),"")</f>
        <v/>
      </c>
      <c r="U1419" s="89">
        <f>U1417+1</f>
        <v>1819</v>
      </c>
      <c r="V1419" s="89" t="str">
        <f t="array" aca="1" ref="V1419" ca="1">IFERROR(IF(INDEX('Disaggregation Records'!$I$155:$I$385,MATCH(RIGHT(Q1419,255),RIGHT('Disaggregation Records'!$D$155:$D$385,255),0))="","",INDEX('Disaggregation Records'!$I$155:$I$385,MATCH(RIGHT(Q1419,255),RIGHT('Disaggregation Records'!$D$155:$D$385,255),0))),"")</f>
        <v/>
      </c>
      <c r="W1419" s="89" t="str">
        <f ca="1">IFERROR(INDEX('Reference Records'!L$77:L$157,MATCH(LEFT(C1419,255),'Reference Records'!E$77:E$157,0)),"")</f>
        <v/>
      </c>
    </row>
    <row r="1420" spans="1:23" s="89" customFormat="1" ht="40.35" customHeight="1">
      <c r="A1420" s="564"/>
      <c r="B1420" s="799"/>
      <c r="C1420" s="800"/>
      <c r="D1420" s="801"/>
      <c r="E1420" s="801"/>
      <c r="F1420" s="128"/>
      <c r="G1420" s="802"/>
      <c r="H1420" s="781"/>
      <c r="I1420" s="803"/>
      <c r="J1420" s="779"/>
      <c r="K1420" s="800"/>
      <c r="L1420" s="800"/>
      <c r="M1420" s="779"/>
      <c r="N1420" s="779"/>
    </row>
    <row r="1421" spans="1:23" s="89" customFormat="1" ht="40.35" customHeight="1">
      <c r="A1421" s="564" t="str">
        <f ca="1">INDIRECT("'update Helper'!C"&amp;U1421)</f>
        <v>a163p000004Vjr9AAC</v>
      </c>
      <c r="B1421" s="794">
        <v>21</v>
      </c>
      <c r="C1421" s="795" t="str">
        <f ca="1">VLOOKUP(B1421,'Coverage Indicators - Section D'!$A$9:$AU$70,47,FALSE)</f>
        <v/>
      </c>
      <c r="D1421" s="796" t="str">
        <f ca="1">R1421</f>
        <v/>
      </c>
      <c r="E1421" s="796" t="str">
        <f ca="1">S1421</f>
        <v/>
      </c>
      <c r="F1421" s="127"/>
      <c r="G1421" s="797" t="str">
        <f ca="1">IF(OR(INDIRECT("'update Helper'!E"&amp;U1421)="",F1421&lt;&gt;0,F1422&lt;&gt;0),IF(IFERROR((F1421/F1422),"")="","",(F1421/F1422)),INDIRECT("'update Helper'!E"&amp;U1421)/100)</f>
        <v/>
      </c>
      <c r="H1421" s="784"/>
      <c r="I1421" s="798"/>
      <c r="J1421" s="777"/>
      <c r="K1421" s="795" t="str">
        <f ca="1">W1421</f>
        <v/>
      </c>
      <c r="L1421" s="795" t="str">
        <f ca="1">V1421</f>
        <v/>
      </c>
      <c r="M1421" s="777"/>
      <c r="N1421" s="777"/>
      <c r="P1421" s="89">
        <f ca="1">IF(AND(EXACT(C1421,C1419),C1419&lt;&gt;0),P1419+1,0)</f>
        <v>160</v>
      </c>
      <c r="Q1421" s="89" t="str">
        <f ca="1">IF(C1421&lt;&gt;"",C1421&amp;"-"&amp;P1421,"")</f>
        <v/>
      </c>
      <c r="R1421" s="89" t="str">
        <f t="array" aca="1" ref="R1421" ca="1">IFERROR(IF(INDEX('Disaggregation Records'!$E$155:$E$385,MATCH(RIGHT(Q1421,255),RIGHT('Disaggregation Records'!$D$155:$D$385,255),0))="","",INDEX('Disaggregation Records'!$E$155:$E$385,MATCH(RIGHT(Q1421,255),RIGHT('Disaggregation Records'!$D$155:$D$385,255),0))),"")</f>
        <v/>
      </c>
      <c r="S1421" s="89" t="str">
        <f t="array" aca="1" ref="S1421" ca="1">IFERROR(IF(INDEX('Disaggregation Records'!$F$155:$F$385,MATCH(RIGHT(Q1421,255),RIGHT('Disaggregation Records'!$D$155:$D$385,255),0))="","",INDEX('Disaggregation Records'!$F$155:$F$385,MATCH(RIGHT(Q1421,255),RIGHT('Disaggregation Records'!$D$155:$D$385,255),0))),"")</f>
        <v/>
      </c>
      <c r="T1421" s="89" t="str">
        <f t="array" aca="1" ref="T1421" ca="1">IFERROR(IF(INDEX('Disaggregation Records'!$H$155:$H$385,MATCH(RIGHT(Q1421,255),RIGHT('Disaggregation Records'!$D$155:$D$385,255),0))="","",INDEX('Disaggregation Records'!$H$155:$H$385,MATCH(RIGHT(Q1421,255),RIGHT('Disaggregation Records'!$D$155:$D$385,255),0))),"")</f>
        <v/>
      </c>
      <c r="U1421" s="89">
        <f>U1419+1</f>
        <v>1820</v>
      </c>
      <c r="V1421" s="89" t="str">
        <f t="array" aca="1" ref="V1421" ca="1">IFERROR(IF(INDEX('Disaggregation Records'!$I$155:$I$385,MATCH(RIGHT(Q1421,255),RIGHT('Disaggregation Records'!$D$155:$D$385,255),0))="","",INDEX('Disaggregation Records'!$I$155:$I$385,MATCH(RIGHT(Q1421,255),RIGHT('Disaggregation Records'!$D$155:$D$385,255),0))),"")</f>
        <v/>
      </c>
      <c r="W1421" s="89" t="str">
        <f ca="1">IFERROR(INDEX('Reference Records'!L$77:L$157,MATCH(LEFT(C1421,255),'Reference Records'!E$77:E$157,0)),"")</f>
        <v/>
      </c>
    </row>
    <row r="1422" spans="1:23" s="89" customFormat="1" ht="40.35" customHeight="1">
      <c r="A1422" s="564"/>
      <c r="B1422" s="799"/>
      <c r="C1422" s="800"/>
      <c r="D1422" s="801"/>
      <c r="E1422" s="801"/>
      <c r="F1422" s="128"/>
      <c r="G1422" s="802"/>
      <c r="H1422" s="781"/>
      <c r="I1422" s="803"/>
      <c r="J1422" s="779"/>
      <c r="K1422" s="800"/>
      <c r="L1422" s="800"/>
      <c r="M1422" s="779"/>
      <c r="N1422" s="779"/>
    </row>
    <row r="1423" spans="1:23" s="89" customFormat="1" ht="40.35" customHeight="1">
      <c r="A1423" s="564" t="str">
        <f ca="1">INDIRECT("'update Helper'!C"&amp;U1423)</f>
        <v>a163p000004VjrAAAS</v>
      </c>
      <c r="B1423" s="794">
        <v>21</v>
      </c>
      <c r="C1423" s="795" t="str">
        <f ca="1">VLOOKUP(B1423,'Coverage Indicators - Section D'!$A$9:$AU$70,47,FALSE)</f>
        <v/>
      </c>
      <c r="D1423" s="796" t="str">
        <f ca="1">R1423</f>
        <v/>
      </c>
      <c r="E1423" s="796" t="str">
        <f ca="1">S1423</f>
        <v/>
      </c>
      <c r="F1423" s="127"/>
      <c r="G1423" s="797" t="str">
        <f ca="1">IF(OR(INDIRECT("'update Helper'!E"&amp;U1423)="",F1423&lt;&gt;0,F1424&lt;&gt;0),IF(IFERROR((F1423/F1424),"")="","",(F1423/F1424)),INDIRECT("'update Helper'!E"&amp;U1423)/100)</f>
        <v/>
      </c>
      <c r="H1423" s="784"/>
      <c r="I1423" s="798"/>
      <c r="J1423" s="777"/>
      <c r="K1423" s="795" t="str">
        <f ca="1">W1423</f>
        <v/>
      </c>
      <c r="L1423" s="795" t="str">
        <f ca="1">V1423</f>
        <v/>
      </c>
      <c r="M1423" s="777"/>
      <c r="N1423" s="777"/>
      <c r="P1423" s="89">
        <f ca="1">IF(AND(EXACT(C1423,C1421),C1421&lt;&gt;0),P1421+1,0)</f>
        <v>161</v>
      </c>
      <c r="Q1423" s="89" t="str">
        <f ca="1">IF(C1423&lt;&gt;"",C1423&amp;"-"&amp;P1423,"")</f>
        <v/>
      </c>
      <c r="R1423" s="89" t="str">
        <f t="array" aca="1" ref="R1423" ca="1">IFERROR(IF(INDEX('Disaggregation Records'!$E$155:$E$385,MATCH(RIGHT(Q1423,255),RIGHT('Disaggregation Records'!$D$155:$D$385,255),0))="","",INDEX('Disaggregation Records'!$E$155:$E$385,MATCH(RIGHT(Q1423,255),RIGHT('Disaggregation Records'!$D$155:$D$385,255),0))),"")</f>
        <v/>
      </c>
      <c r="S1423" s="89" t="str">
        <f t="array" aca="1" ref="S1423" ca="1">IFERROR(IF(INDEX('Disaggregation Records'!$F$155:$F$385,MATCH(RIGHT(Q1423,255),RIGHT('Disaggregation Records'!$D$155:$D$385,255),0))="","",INDEX('Disaggregation Records'!$F$155:$F$385,MATCH(RIGHT(Q1423,255),RIGHT('Disaggregation Records'!$D$155:$D$385,255),0))),"")</f>
        <v/>
      </c>
      <c r="T1423" s="89" t="str">
        <f t="array" aca="1" ref="T1423" ca="1">IFERROR(IF(INDEX('Disaggregation Records'!$H$155:$H$385,MATCH(RIGHT(Q1423,255),RIGHT('Disaggregation Records'!$D$155:$D$385,255),0))="","",INDEX('Disaggregation Records'!$H$155:$H$385,MATCH(RIGHT(Q1423,255),RIGHT('Disaggregation Records'!$D$155:$D$385,255),0))),"")</f>
        <v/>
      </c>
      <c r="U1423" s="89">
        <f>U1421+1</f>
        <v>1821</v>
      </c>
      <c r="V1423" s="89" t="str">
        <f t="array" aca="1" ref="V1423" ca="1">IFERROR(IF(INDEX('Disaggregation Records'!$I$155:$I$385,MATCH(RIGHT(Q1423,255),RIGHT('Disaggregation Records'!$D$155:$D$385,255),0))="","",INDEX('Disaggregation Records'!$I$155:$I$385,MATCH(RIGHT(Q1423,255),RIGHT('Disaggregation Records'!$D$155:$D$385,255),0))),"")</f>
        <v/>
      </c>
      <c r="W1423" s="89" t="str">
        <f ca="1">IFERROR(INDEX('Reference Records'!L$77:L$157,MATCH(LEFT(C1423,255),'Reference Records'!E$77:E$157,0)),"")</f>
        <v/>
      </c>
    </row>
    <row r="1424" spans="1:23" s="89" customFormat="1" ht="40.35" customHeight="1">
      <c r="A1424" s="564"/>
      <c r="B1424" s="799"/>
      <c r="C1424" s="800"/>
      <c r="D1424" s="801"/>
      <c r="E1424" s="801"/>
      <c r="F1424" s="128"/>
      <c r="G1424" s="802"/>
      <c r="H1424" s="781"/>
      <c r="I1424" s="803"/>
      <c r="J1424" s="779"/>
      <c r="K1424" s="800"/>
      <c r="L1424" s="800"/>
      <c r="M1424" s="779"/>
      <c r="N1424" s="779"/>
    </row>
    <row r="1425" spans="1:23" s="89" customFormat="1" ht="40.35" customHeight="1">
      <c r="A1425" s="564" t="str">
        <f ca="1">INDIRECT("'update Helper'!C"&amp;U1425)</f>
        <v>a163p000004VjrBAAS</v>
      </c>
      <c r="B1425" s="794">
        <v>21</v>
      </c>
      <c r="C1425" s="795" t="str">
        <f ca="1">VLOOKUP(B1425,'Coverage Indicators - Section D'!$A$9:$AU$70,47,FALSE)</f>
        <v/>
      </c>
      <c r="D1425" s="796" t="str">
        <f ca="1">R1425</f>
        <v/>
      </c>
      <c r="E1425" s="796" t="str">
        <f ca="1">S1425</f>
        <v/>
      </c>
      <c r="F1425" s="127"/>
      <c r="G1425" s="797" t="str">
        <f ca="1">IF(OR(INDIRECT("'update Helper'!E"&amp;U1425)="",F1425&lt;&gt;0,F1426&lt;&gt;0),IF(IFERROR((F1425/F1426),"")="","",(F1425/F1426)),INDIRECT("'update Helper'!E"&amp;U1425)/100)</f>
        <v/>
      </c>
      <c r="H1425" s="784"/>
      <c r="I1425" s="798"/>
      <c r="J1425" s="777"/>
      <c r="K1425" s="795" t="str">
        <f ca="1">W1425</f>
        <v/>
      </c>
      <c r="L1425" s="795" t="str">
        <f ca="1">V1425</f>
        <v/>
      </c>
      <c r="M1425" s="777"/>
      <c r="N1425" s="777"/>
      <c r="P1425" s="89">
        <f ca="1">IF(AND(EXACT(C1425,C1423),C1423&lt;&gt;0),P1423+1,0)</f>
        <v>162</v>
      </c>
      <c r="Q1425" s="89" t="str">
        <f ca="1">IF(C1425&lt;&gt;"",C1425&amp;"-"&amp;P1425,"")</f>
        <v/>
      </c>
      <c r="R1425" s="89" t="str">
        <f t="array" aca="1" ref="R1425" ca="1">IFERROR(IF(INDEX('Disaggregation Records'!$E$155:$E$385,MATCH(RIGHT(Q1425,255),RIGHT('Disaggregation Records'!$D$155:$D$385,255),0))="","",INDEX('Disaggregation Records'!$E$155:$E$385,MATCH(RIGHT(Q1425,255),RIGHT('Disaggregation Records'!$D$155:$D$385,255),0))),"")</f>
        <v/>
      </c>
      <c r="S1425" s="89" t="str">
        <f t="array" aca="1" ref="S1425" ca="1">IFERROR(IF(INDEX('Disaggregation Records'!$F$155:$F$385,MATCH(RIGHT(Q1425,255),RIGHT('Disaggregation Records'!$D$155:$D$385,255),0))="","",INDEX('Disaggregation Records'!$F$155:$F$385,MATCH(RIGHT(Q1425,255),RIGHT('Disaggregation Records'!$D$155:$D$385,255),0))),"")</f>
        <v/>
      </c>
      <c r="T1425" s="89" t="str">
        <f t="array" aca="1" ref="T1425" ca="1">IFERROR(IF(INDEX('Disaggregation Records'!$H$155:$H$385,MATCH(RIGHT(Q1425,255),RIGHT('Disaggregation Records'!$D$155:$D$385,255),0))="","",INDEX('Disaggregation Records'!$H$155:$H$385,MATCH(RIGHT(Q1425,255),RIGHT('Disaggregation Records'!$D$155:$D$385,255),0))),"")</f>
        <v/>
      </c>
      <c r="U1425" s="89">
        <f>U1423+1</f>
        <v>1822</v>
      </c>
      <c r="V1425" s="89" t="str">
        <f t="array" aca="1" ref="V1425" ca="1">IFERROR(IF(INDEX('Disaggregation Records'!$I$155:$I$385,MATCH(RIGHT(Q1425,255),RIGHT('Disaggregation Records'!$D$155:$D$385,255),0))="","",INDEX('Disaggregation Records'!$I$155:$I$385,MATCH(RIGHT(Q1425,255),RIGHT('Disaggregation Records'!$D$155:$D$385,255),0))),"")</f>
        <v/>
      </c>
      <c r="W1425" s="89" t="str">
        <f ca="1">IFERROR(INDEX('Reference Records'!L$77:L$157,MATCH(LEFT(C1425,255),'Reference Records'!E$77:E$157,0)),"")</f>
        <v/>
      </c>
    </row>
    <row r="1426" spans="1:23" s="89" customFormat="1" ht="40.35" customHeight="1">
      <c r="A1426" s="564"/>
      <c r="B1426" s="799"/>
      <c r="C1426" s="800"/>
      <c r="D1426" s="801"/>
      <c r="E1426" s="801"/>
      <c r="F1426" s="128"/>
      <c r="G1426" s="802"/>
      <c r="H1426" s="781"/>
      <c r="I1426" s="803"/>
      <c r="J1426" s="779"/>
      <c r="K1426" s="800"/>
      <c r="L1426" s="800"/>
      <c r="M1426" s="779"/>
      <c r="N1426" s="779"/>
    </row>
    <row r="1427" spans="1:23" s="89" customFormat="1" ht="40.35" customHeight="1">
      <c r="A1427" s="564" t="str">
        <f ca="1">INDIRECT("'update Helper'!C"&amp;U1427)</f>
        <v>a163p000004VjrCAAS</v>
      </c>
      <c r="B1427" s="794">
        <v>21</v>
      </c>
      <c r="C1427" s="795" t="str">
        <f ca="1">VLOOKUP(B1427,'Coverage Indicators - Section D'!$A$9:$AU$70,47,FALSE)</f>
        <v/>
      </c>
      <c r="D1427" s="796" t="str">
        <f ca="1">R1427</f>
        <v/>
      </c>
      <c r="E1427" s="796" t="str">
        <f ca="1">S1427</f>
        <v/>
      </c>
      <c r="F1427" s="127"/>
      <c r="G1427" s="797" t="str">
        <f ca="1">IF(OR(INDIRECT("'update Helper'!E"&amp;U1427)="",F1427&lt;&gt;0,F1428&lt;&gt;0),IF(IFERROR((F1427/F1428),"")="","",(F1427/F1428)),INDIRECT("'update Helper'!E"&amp;U1427)/100)</f>
        <v/>
      </c>
      <c r="H1427" s="784"/>
      <c r="I1427" s="798"/>
      <c r="J1427" s="777"/>
      <c r="K1427" s="795" t="str">
        <f ca="1">W1427</f>
        <v/>
      </c>
      <c r="L1427" s="795" t="str">
        <f ca="1">V1427</f>
        <v/>
      </c>
      <c r="M1427" s="777"/>
      <c r="N1427" s="777"/>
      <c r="P1427" s="89">
        <f ca="1">IF(AND(EXACT(C1427,C1425),C1425&lt;&gt;0),P1425+1,0)</f>
        <v>163</v>
      </c>
      <c r="Q1427" s="89" t="str">
        <f ca="1">IF(C1427&lt;&gt;"",C1427&amp;"-"&amp;P1427,"")</f>
        <v/>
      </c>
      <c r="R1427" s="89" t="str">
        <f t="array" aca="1" ref="R1427" ca="1">IFERROR(IF(INDEX('Disaggregation Records'!$E$155:$E$385,MATCH(RIGHT(Q1427,255),RIGHT('Disaggregation Records'!$D$155:$D$385,255),0))="","",INDEX('Disaggregation Records'!$E$155:$E$385,MATCH(RIGHT(Q1427,255),RIGHT('Disaggregation Records'!$D$155:$D$385,255),0))),"")</f>
        <v/>
      </c>
      <c r="S1427" s="89" t="str">
        <f t="array" aca="1" ref="S1427" ca="1">IFERROR(IF(INDEX('Disaggregation Records'!$F$155:$F$385,MATCH(RIGHT(Q1427,255),RIGHT('Disaggregation Records'!$D$155:$D$385,255),0))="","",INDEX('Disaggregation Records'!$F$155:$F$385,MATCH(RIGHT(Q1427,255),RIGHT('Disaggregation Records'!$D$155:$D$385,255),0))),"")</f>
        <v/>
      </c>
      <c r="T1427" s="89" t="str">
        <f t="array" aca="1" ref="T1427" ca="1">IFERROR(IF(INDEX('Disaggregation Records'!$H$155:$H$385,MATCH(RIGHT(Q1427,255),RIGHT('Disaggregation Records'!$D$155:$D$385,255),0))="","",INDEX('Disaggregation Records'!$H$155:$H$385,MATCH(RIGHT(Q1427,255),RIGHT('Disaggregation Records'!$D$155:$D$385,255),0))),"")</f>
        <v/>
      </c>
      <c r="U1427" s="89">
        <f>U1425+1</f>
        <v>1823</v>
      </c>
      <c r="V1427" s="89" t="str">
        <f t="array" aca="1" ref="V1427" ca="1">IFERROR(IF(INDEX('Disaggregation Records'!$I$155:$I$385,MATCH(RIGHT(Q1427,255),RIGHT('Disaggregation Records'!$D$155:$D$385,255),0))="","",INDEX('Disaggregation Records'!$I$155:$I$385,MATCH(RIGHT(Q1427,255),RIGHT('Disaggregation Records'!$D$155:$D$385,255),0))),"")</f>
        <v/>
      </c>
      <c r="W1427" s="89" t="str">
        <f ca="1">IFERROR(INDEX('Reference Records'!L$77:L$157,MATCH(LEFT(C1427,255),'Reference Records'!E$77:E$157,0)),"")</f>
        <v/>
      </c>
    </row>
    <row r="1428" spans="1:23" s="89" customFormat="1" ht="40.35" customHeight="1">
      <c r="A1428" s="564"/>
      <c r="B1428" s="799"/>
      <c r="C1428" s="800"/>
      <c r="D1428" s="801"/>
      <c r="E1428" s="801"/>
      <c r="F1428" s="128"/>
      <c r="G1428" s="802"/>
      <c r="H1428" s="781"/>
      <c r="I1428" s="803"/>
      <c r="J1428" s="779"/>
      <c r="K1428" s="800"/>
      <c r="L1428" s="800"/>
      <c r="M1428" s="779"/>
      <c r="N1428" s="779"/>
    </row>
    <row r="1429" spans="1:23" s="89" customFormat="1" ht="40.35" customHeight="1">
      <c r="A1429" s="564" t="str">
        <f ca="1">INDIRECT("'update Helper'!C"&amp;U1429)</f>
        <v>a163p000004VjrDAAS</v>
      </c>
      <c r="B1429" s="794">
        <v>21</v>
      </c>
      <c r="C1429" s="795" t="str">
        <f ca="1">VLOOKUP(B1429,'Coverage Indicators - Section D'!$A$9:$AU$70,47,FALSE)</f>
        <v/>
      </c>
      <c r="D1429" s="796" t="str">
        <f ca="1">R1429</f>
        <v/>
      </c>
      <c r="E1429" s="796" t="str">
        <f ca="1">S1429</f>
        <v/>
      </c>
      <c r="F1429" s="127"/>
      <c r="G1429" s="797" t="str">
        <f ca="1">IF(OR(INDIRECT("'update Helper'!E"&amp;U1429)="",F1429&lt;&gt;0,F1430&lt;&gt;0),IF(IFERROR((F1429/F1430),"")="","",(F1429/F1430)),INDIRECT("'update Helper'!E"&amp;U1429)/100)</f>
        <v/>
      </c>
      <c r="H1429" s="784"/>
      <c r="I1429" s="798"/>
      <c r="J1429" s="777"/>
      <c r="K1429" s="795" t="str">
        <f ca="1">W1429</f>
        <v/>
      </c>
      <c r="L1429" s="795" t="str">
        <f ca="1">V1429</f>
        <v/>
      </c>
      <c r="M1429" s="777"/>
      <c r="N1429" s="777"/>
      <c r="P1429" s="89">
        <f ca="1">IF(AND(EXACT(C1429,C1427),C1427&lt;&gt;0),P1427+1,0)</f>
        <v>164</v>
      </c>
      <c r="Q1429" s="89" t="str">
        <f ca="1">IF(C1429&lt;&gt;"",C1429&amp;"-"&amp;P1429,"")</f>
        <v/>
      </c>
      <c r="R1429" s="89" t="str">
        <f t="array" aca="1" ref="R1429" ca="1">IFERROR(IF(INDEX('Disaggregation Records'!$E$155:$E$385,MATCH(RIGHT(Q1429,255),RIGHT('Disaggregation Records'!$D$155:$D$385,255),0))="","",INDEX('Disaggregation Records'!$E$155:$E$385,MATCH(RIGHT(Q1429,255),RIGHT('Disaggregation Records'!$D$155:$D$385,255),0))),"")</f>
        <v/>
      </c>
      <c r="S1429" s="89" t="str">
        <f t="array" aca="1" ref="S1429" ca="1">IFERROR(IF(INDEX('Disaggregation Records'!$F$155:$F$385,MATCH(RIGHT(Q1429,255),RIGHT('Disaggregation Records'!$D$155:$D$385,255),0))="","",INDEX('Disaggregation Records'!$F$155:$F$385,MATCH(RIGHT(Q1429,255),RIGHT('Disaggregation Records'!$D$155:$D$385,255),0))),"")</f>
        <v/>
      </c>
      <c r="T1429" s="89" t="str">
        <f t="array" aca="1" ref="T1429" ca="1">IFERROR(IF(INDEX('Disaggregation Records'!$H$155:$H$385,MATCH(RIGHT(Q1429,255),RIGHT('Disaggregation Records'!$D$155:$D$385,255),0))="","",INDEX('Disaggregation Records'!$H$155:$H$385,MATCH(RIGHT(Q1429,255),RIGHT('Disaggregation Records'!$D$155:$D$385,255),0))),"")</f>
        <v/>
      </c>
      <c r="U1429" s="89">
        <f>U1427+1</f>
        <v>1824</v>
      </c>
      <c r="V1429" s="89" t="str">
        <f t="array" aca="1" ref="V1429" ca="1">IFERROR(IF(INDEX('Disaggregation Records'!$I$155:$I$385,MATCH(RIGHT(Q1429,255),RIGHT('Disaggregation Records'!$D$155:$D$385,255),0))="","",INDEX('Disaggregation Records'!$I$155:$I$385,MATCH(RIGHT(Q1429,255),RIGHT('Disaggregation Records'!$D$155:$D$385,255),0))),"")</f>
        <v/>
      </c>
      <c r="W1429" s="89" t="str">
        <f ca="1">IFERROR(INDEX('Reference Records'!L$77:L$157,MATCH(LEFT(C1429,255),'Reference Records'!E$77:E$157,0)),"")</f>
        <v/>
      </c>
    </row>
    <row r="1430" spans="1:23" s="89" customFormat="1" ht="40.35" customHeight="1">
      <c r="A1430" s="564"/>
      <c r="B1430" s="799"/>
      <c r="C1430" s="800"/>
      <c r="D1430" s="801"/>
      <c r="E1430" s="801"/>
      <c r="F1430" s="128"/>
      <c r="G1430" s="802"/>
      <c r="H1430" s="781"/>
      <c r="I1430" s="803"/>
      <c r="J1430" s="779"/>
      <c r="K1430" s="800"/>
      <c r="L1430" s="800"/>
      <c r="M1430" s="779"/>
      <c r="N1430" s="779"/>
    </row>
    <row r="1431" spans="1:23" s="89" customFormat="1" ht="40.35" customHeight="1">
      <c r="A1431" s="564" t="str">
        <f ca="1">INDIRECT("'update Helper'!C"&amp;U1431)</f>
        <v>a163p000004VjrEAAS</v>
      </c>
      <c r="B1431" s="794">
        <v>21</v>
      </c>
      <c r="C1431" s="795" t="str">
        <f ca="1">VLOOKUP(B1431,'Coverage Indicators - Section D'!$A$9:$AU$70,47,FALSE)</f>
        <v/>
      </c>
      <c r="D1431" s="796" t="str">
        <f ca="1">R1431</f>
        <v/>
      </c>
      <c r="E1431" s="796" t="str">
        <f ca="1">S1431</f>
        <v/>
      </c>
      <c r="F1431" s="127"/>
      <c r="G1431" s="797" t="str">
        <f ca="1">IF(OR(INDIRECT("'update Helper'!E"&amp;U1431)="",F1431&lt;&gt;0,F1432&lt;&gt;0),IF(IFERROR((F1431/F1432),"")="","",(F1431/F1432)),INDIRECT("'update Helper'!E"&amp;U1431)/100)</f>
        <v/>
      </c>
      <c r="H1431" s="784"/>
      <c r="I1431" s="798"/>
      <c r="J1431" s="777"/>
      <c r="K1431" s="795" t="str">
        <f ca="1">W1431</f>
        <v/>
      </c>
      <c r="L1431" s="795" t="str">
        <f ca="1">V1431</f>
        <v/>
      </c>
      <c r="M1431" s="777"/>
      <c r="N1431" s="777"/>
      <c r="P1431" s="89">
        <f ca="1">IF(AND(EXACT(C1431,C1429),C1429&lt;&gt;0),P1429+1,0)</f>
        <v>165</v>
      </c>
      <c r="Q1431" s="89" t="str">
        <f ca="1">IF(C1431&lt;&gt;"",C1431&amp;"-"&amp;P1431,"")</f>
        <v/>
      </c>
      <c r="R1431" s="89" t="str">
        <f t="array" aca="1" ref="R1431" ca="1">IFERROR(IF(INDEX('Disaggregation Records'!$E$155:$E$385,MATCH(RIGHT(Q1431,255),RIGHT('Disaggregation Records'!$D$155:$D$385,255),0))="","",INDEX('Disaggregation Records'!$E$155:$E$385,MATCH(RIGHT(Q1431,255),RIGHT('Disaggregation Records'!$D$155:$D$385,255),0))),"")</f>
        <v/>
      </c>
      <c r="S1431" s="89" t="str">
        <f t="array" aca="1" ref="S1431" ca="1">IFERROR(IF(INDEX('Disaggregation Records'!$F$155:$F$385,MATCH(RIGHT(Q1431,255),RIGHT('Disaggregation Records'!$D$155:$D$385,255),0))="","",INDEX('Disaggregation Records'!$F$155:$F$385,MATCH(RIGHT(Q1431,255),RIGHT('Disaggregation Records'!$D$155:$D$385,255),0))),"")</f>
        <v/>
      </c>
      <c r="T1431" s="89" t="str">
        <f t="array" aca="1" ref="T1431" ca="1">IFERROR(IF(INDEX('Disaggregation Records'!$H$155:$H$385,MATCH(RIGHT(Q1431,255),RIGHT('Disaggregation Records'!$D$155:$D$385,255),0))="","",INDEX('Disaggregation Records'!$H$155:$H$385,MATCH(RIGHT(Q1431,255),RIGHT('Disaggregation Records'!$D$155:$D$385,255),0))),"")</f>
        <v/>
      </c>
      <c r="U1431" s="89">
        <f>U1429+1</f>
        <v>1825</v>
      </c>
      <c r="V1431" s="89" t="str">
        <f t="array" aca="1" ref="V1431" ca="1">IFERROR(IF(INDEX('Disaggregation Records'!$I$155:$I$385,MATCH(RIGHT(Q1431,255),RIGHT('Disaggregation Records'!$D$155:$D$385,255),0))="","",INDEX('Disaggregation Records'!$I$155:$I$385,MATCH(RIGHT(Q1431,255),RIGHT('Disaggregation Records'!$D$155:$D$385,255),0))),"")</f>
        <v/>
      </c>
      <c r="W1431" s="89" t="str">
        <f ca="1">IFERROR(INDEX('Reference Records'!L$77:L$157,MATCH(LEFT(C1431,255),'Reference Records'!E$77:E$157,0)),"")</f>
        <v/>
      </c>
    </row>
    <row r="1432" spans="1:23" s="89" customFormat="1" ht="40.35" customHeight="1">
      <c r="A1432" s="564"/>
      <c r="B1432" s="799"/>
      <c r="C1432" s="800"/>
      <c r="D1432" s="801"/>
      <c r="E1432" s="801"/>
      <c r="F1432" s="128"/>
      <c r="G1432" s="802"/>
      <c r="H1432" s="781"/>
      <c r="I1432" s="803"/>
      <c r="J1432" s="779"/>
      <c r="K1432" s="800"/>
      <c r="L1432" s="800"/>
      <c r="M1432" s="779"/>
      <c r="N1432" s="779"/>
    </row>
    <row r="1433" spans="1:23" s="89" customFormat="1" ht="40.35" customHeight="1">
      <c r="A1433" s="564" t="str">
        <f ca="1">INDIRECT("'update Helper'!C"&amp;U1433)</f>
        <v>a163p000004VjrFAAS</v>
      </c>
      <c r="B1433" s="794">
        <v>21</v>
      </c>
      <c r="C1433" s="795" t="str">
        <f ca="1">VLOOKUP(B1433,'Coverage Indicators - Section D'!$A$9:$AU$70,47,FALSE)</f>
        <v/>
      </c>
      <c r="D1433" s="796" t="str">
        <f ca="1">R1433</f>
        <v/>
      </c>
      <c r="E1433" s="796" t="str">
        <f ca="1">S1433</f>
        <v/>
      </c>
      <c r="F1433" s="127"/>
      <c r="G1433" s="797" t="str">
        <f ca="1">IF(OR(INDIRECT("'update Helper'!E"&amp;U1433)="",F1433&lt;&gt;0,F1434&lt;&gt;0),IF(IFERROR((F1433/F1434),"")="","",(F1433/F1434)),INDIRECT("'update Helper'!E"&amp;U1433)/100)</f>
        <v/>
      </c>
      <c r="H1433" s="784"/>
      <c r="I1433" s="798"/>
      <c r="J1433" s="777"/>
      <c r="K1433" s="795" t="str">
        <f ca="1">W1433</f>
        <v/>
      </c>
      <c r="L1433" s="795" t="str">
        <f ca="1">V1433</f>
        <v/>
      </c>
      <c r="M1433" s="777"/>
      <c r="N1433" s="777"/>
      <c r="P1433" s="89">
        <f ca="1">IF(AND(EXACT(C1433,C1431),C1431&lt;&gt;0),P1431+1,0)</f>
        <v>166</v>
      </c>
      <c r="Q1433" s="89" t="str">
        <f ca="1">IF(C1433&lt;&gt;"",C1433&amp;"-"&amp;P1433,"")</f>
        <v/>
      </c>
      <c r="R1433" s="89" t="str">
        <f t="array" aca="1" ref="R1433" ca="1">IFERROR(IF(INDEX('Disaggregation Records'!$E$155:$E$385,MATCH(RIGHT(Q1433,255),RIGHT('Disaggregation Records'!$D$155:$D$385,255),0))="","",INDEX('Disaggregation Records'!$E$155:$E$385,MATCH(RIGHT(Q1433,255),RIGHT('Disaggregation Records'!$D$155:$D$385,255),0))),"")</f>
        <v/>
      </c>
      <c r="S1433" s="89" t="str">
        <f t="array" aca="1" ref="S1433" ca="1">IFERROR(IF(INDEX('Disaggregation Records'!$F$155:$F$385,MATCH(RIGHT(Q1433,255),RIGHT('Disaggregation Records'!$D$155:$D$385,255),0))="","",INDEX('Disaggregation Records'!$F$155:$F$385,MATCH(RIGHT(Q1433,255),RIGHT('Disaggregation Records'!$D$155:$D$385,255),0))),"")</f>
        <v/>
      </c>
      <c r="T1433" s="89" t="str">
        <f t="array" aca="1" ref="T1433" ca="1">IFERROR(IF(INDEX('Disaggregation Records'!$H$155:$H$385,MATCH(RIGHT(Q1433,255),RIGHT('Disaggregation Records'!$D$155:$D$385,255),0))="","",INDEX('Disaggregation Records'!$H$155:$H$385,MATCH(RIGHT(Q1433,255),RIGHT('Disaggregation Records'!$D$155:$D$385,255),0))),"")</f>
        <v/>
      </c>
      <c r="U1433" s="89">
        <f>U1431+1</f>
        <v>1826</v>
      </c>
      <c r="V1433" s="89" t="str">
        <f t="array" aca="1" ref="V1433" ca="1">IFERROR(IF(INDEX('Disaggregation Records'!$I$155:$I$385,MATCH(RIGHT(Q1433,255),RIGHT('Disaggregation Records'!$D$155:$D$385,255),0))="","",INDEX('Disaggregation Records'!$I$155:$I$385,MATCH(RIGHT(Q1433,255),RIGHT('Disaggregation Records'!$D$155:$D$385,255),0))),"")</f>
        <v/>
      </c>
      <c r="W1433" s="89" t="str">
        <f ca="1">IFERROR(INDEX('Reference Records'!L$77:L$157,MATCH(LEFT(C1433,255),'Reference Records'!E$77:E$157,0)),"")</f>
        <v/>
      </c>
    </row>
    <row r="1434" spans="1:23" s="89" customFormat="1" ht="40.35" customHeight="1">
      <c r="A1434" s="564"/>
      <c r="B1434" s="799"/>
      <c r="C1434" s="800"/>
      <c r="D1434" s="801"/>
      <c r="E1434" s="801"/>
      <c r="F1434" s="128"/>
      <c r="G1434" s="802"/>
      <c r="H1434" s="781"/>
      <c r="I1434" s="803"/>
      <c r="J1434" s="779"/>
      <c r="K1434" s="800"/>
      <c r="L1434" s="800"/>
      <c r="M1434" s="779"/>
      <c r="N1434" s="779"/>
    </row>
    <row r="1435" spans="1:23" s="89" customFormat="1" ht="40.35" customHeight="1">
      <c r="A1435" s="564" t="str">
        <f ca="1">INDIRECT("'update Helper'!C"&amp;U1435)</f>
        <v>a163p000004VjrGAAS</v>
      </c>
      <c r="B1435" s="794">
        <v>21</v>
      </c>
      <c r="C1435" s="795" t="str">
        <f ca="1">VLOOKUP(B1435,'Coverage Indicators - Section D'!$A$9:$AU$70,47,FALSE)</f>
        <v/>
      </c>
      <c r="D1435" s="796" t="str">
        <f ca="1">R1435</f>
        <v/>
      </c>
      <c r="E1435" s="796" t="str">
        <f ca="1">S1435</f>
        <v/>
      </c>
      <c r="F1435" s="127"/>
      <c r="G1435" s="797" t="str">
        <f ca="1">IF(OR(INDIRECT("'update Helper'!E"&amp;U1435)="",F1435&lt;&gt;0,F1436&lt;&gt;0),IF(IFERROR((F1435/F1436),"")="","",(F1435/F1436)),INDIRECT("'update Helper'!E"&amp;U1435)/100)</f>
        <v/>
      </c>
      <c r="H1435" s="784"/>
      <c r="I1435" s="798"/>
      <c r="J1435" s="777"/>
      <c r="K1435" s="795" t="str">
        <f ca="1">W1435</f>
        <v/>
      </c>
      <c r="L1435" s="795" t="str">
        <f ca="1">V1435</f>
        <v/>
      </c>
      <c r="M1435" s="777"/>
      <c r="N1435" s="777"/>
      <c r="P1435" s="89">
        <f ca="1">IF(AND(EXACT(C1435,C1433),C1433&lt;&gt;0),P1433+1,0)</f>
        <v>167</v>
      </c>
      <c r="Q1435" s="89" t="str">
        <f ca="1">IF(C1435&lt;&gt;"",C1435&amp;"-"&amp;P1435,"")</f>
        <v/>
      </c>
      <c r="R1435" s="89" t="str">
        <f t="array" aca="1" ref="R1435" ca="1">IFERROR(IF(INDEX('Disaggregation Records'!$E$155:$E$385,MATCH(RIGHT(Q1435,255),RIGHT('Disaggregation Records'!$D$155:$D$385,255),0))="","",INDEX('Disaggregation Records'!$E$155:$E$385,MATCH(RIGHT(Q1435,255),RIGHT('Disaggregation Records'!$D$155:$D$385,255),0))),"")</f>
        <v/>
      </c>
      <c r="S1435" s="89" t="str">
        <f t="array" aca="1" ref="S1435" ca="1">IFERROR(IF(INDEX('Disaggregation Records'!$F$155:$F$385,MATCH(RIGHT(Q1435,255),RIGHT('Disaggregation Records'!$D$155:$D$385,255),0))="","",INDEX('Disaggregation Records'!$F$155:$F$385,MATCH(RIGHT(Q1435,255),RIGHT('Disaggregation Records'!$D$155:$D$385,255),0))),"")</f>
        <v/>
      </c>
      <c r="T1435" s="89" t="str">
        <f t="array" aca="1" ref="T1435" ca="1">IFERROR(IF(INDEX('Disaggregation Records'!$H$155:$H$385,MATCH(RIGHT(Q1435,255),RIGHT('Disaggregation Records'!$D$155:$D$385,255),0))="","",INDEX('Disaggregation Records'!$H$155:$H$385,MATCH(RIGHT(Q1435,255),RIGHT('Disaggregation Records'!$D$155:$D$385,255),0))),"")</f>
        <v/>
      </c>
      <c r="U1435" s="89">
        <f>U1433+1</f>
        <v>1827</v>
      </c>
      <c r="V1435" s="89" t="str">
        <f t="array" aca="1" ref="V1435" ca="1">IFERROR(IF(INDEX('Disaggregation Records'!$I$155:$I$385,MATCH(RIGHT(Q1435,255),RIGHT('Disaggregation Records'!$D$155:$D$385,255),0))="","",INDEX('Disaggregation Records'!$I$155:$I$385,MATCH(RIGHT(Q1435,255),RIGHT('Disaggregation Records'!$D$155:$D$385,255),0))),"")</f>
        <v/>
      </c>
      <c r="W1435" s="89" t="str">
        <f ca="1">IFERROR(INDEX('Reference Records'!L$77:L$157,MATCH(LEFT(C1435,255),'Reference Records'!E$77:E$157,0)),"")</f>
        <v/>
      </c>
    </row>
    <row r="1436" spans="1:23" s="89" customFormat="1" ht="40.35" customHeight="1">
      <c r="A1436" s="564"/>
      <c r="B1436" s="799"/>
      <c r="C1436" s="800"/>
      <c r="D1436" s="801"/>
      <c r="E1436" s="801"/>
      <c r="F1436" s="128"/>
      <c r="G1436" s="802"/>
      <c r="H1436" s="781"/>
      <c r="I1436" s="803"/>
      <c r="J1436" s="779"/>
      <c r="K1436" s="800"/>
      <c r="L1436" s="800"/>
      <c r="M1436" s="779"/>
      <c r="N1436" s="779"/>
    </row>
    <row r="1437" spans="1:23" s="89" customFormat="1" ht="40.35" customHeight="1">
      <c r="A1437" s="564" t="str">
        <f ca="1">INDIRECT("'update Helper'!C"&amp;U1437)</f>
        <v>a163p000004VjrHAAS</v>
      </c>
      <c r="B1437" s="794">
        <v>21</v>
      </c>
      <c r="C1437" s="795" t="str">
        <f ca="1">VLOOKUP(B1437,'Coverage Indicators - Section D'!$A$9:$AU$70,47,FALSE)</f>
        <v/>
      </c>
      <c r="D1437" s="796" t="str">
        <f ca="1">R1437</f>
        <v/>
      </c>
      <c r="E1437" s="796" t="str">
        <f ca="1">S1437</f>
        <v/>
      </c>
      <c r="F1437" s="127"/>
      <c r="G1437" s="797" t="str">
        <f ca="1">IF(OR(INDIRECT("'update Helper'!E"&amp;U1437)="",F1437&lt;&gt;0,F1438&lt;&gt;0),IF(IFERROR((F1437/F1438),"")="","",(F1437/F1438)),INDIRECT("'update Helper'!E"&amp;U1437)/100)</f>
        <v/>
      </c>
      <c r="H1437" s="784"/>
      <c r="I1437" s="798"/>
      <c r="J1437" s="777"/>
      <c r="K1437" s="795" t="str">
        <f ca="1">W1437</f>
        <v/>
      </c>
      <c r="L1437" s="795" t="str">
        <f ca="1">V1437</f>
        <v/>
      </c>
      <c r="M1437" s="777"/>
      <c r="N1437" s="777"/>
      <c r="P1437" s="89">
        <f ca="1">IF(AND(EXACT(C1437,C1435),C1435&lt;&gt;0),P1435+1,0)</f>
        <v>168</v>
      </c>
      <c r="Q1437" s="89" t="str">
        <f ca="1">IF(C1437&lt;&gt;"",C1437&amp;"-"&amp;P1437,"")</f>
        <v/>
      </c>
      <c r="R1437" s="89" t="str">
        <f t="array" aca="1" ref="R1437" ca="1">IFERROR(IF(INDEX('Disaggregation Records'!$E$155:$E$385,MATCH(RIGHT(Q1437,255),RIGHT('Disaggregation Records'!$D$155:$D$385,255),0))="","",INDEX('Disaggregation Records'!$E$155:$E$385,MATCH(RIGHT(Q1437,255),RIGHT('Disaggregation Records'!$D$155:$D$385,255),0))),"")</f>
        <v/>
      </c>
      <c r="S1437" s="89" t="str">
        <f t="array" aca="1" ref="S1437" ca="1">IFERROR(IF(INDEX('Disaggregation Records'!$F$155:$F$385,MATCH(RIGHT(Q1437,255),RIGHT('Disaggregation Records'!$D$155:$D$385,255),0))="","",INDEX('Disaggregation Records'!$F$155:$F$385,MATCH(RIGHT(Q1437,255),RIGHT('Disaggregation Records'!$D$155:$D$385,255),0))),"")</f>
        <v/>
      </c>
      <c r="T1437" s="89" t="str">
        <f t="array" aca="1" ref="T1437" ca="1">IFERROR(IF(INDEX('Disaggregation Records'!$H$155:$H$385,MATCH(RIGHT(Q1437,255),RIGHT('Disaggregation Records'!$D$155:$D$385,255),0))="","",INDEX('Disaggregation Records'!$H$155:$H$385,MATCH(RIGHT(Q1437,255),RIGHT('Disaggregation Records'!$D$155:$D$385,255),0))),"")</f>
        <v/>
      </c>
      <c r="U1437" s="89">
        <f>U1435+1</f>
        <v>1828</v>
      </c>
      <c r="V1437" s="89" t="str">
        <f t="array" aca="1" ref="V1437" ca="1">IFERROR(IF(INDEX('Disaggregation Records'!$I$155:$I$385,MATCH(RIGHT(Q1437,255),RIGHT('Disaggregation Records'!$D$155:$D$385,255),0))="","",INDEX('Disaggregation Records'!$I$155:$I$385,MATCH(RIGHT(Q1437,255),RIGHT('Disaggregation Records'!$D$155:$D$385,255),0))),"")</f>
        <v/>
      </c>
      <c r="W1437" s="89" t="str">
        <f ca="1">IFERROR(INDEX('Reference Records'!L$77:L$157,MATCH(LEFT(C1437,255),'Reference Records'!E$77:E$157,0)),"")</f>
        <v/>
      </c>
    </row>
    <row r="1438" spans="1:23" s="89" customFormat="1" ht="40.35" customHeight="1">
      <c r="A1438" s="564"/>
      <c r="B1438" s="799"/>
      <c r="C1438" s="800"/>
      <c r="D1438" s="801"/>
      <c r="E1438" s="801"/>
      <c r="F1438" s="128"/>
      <c r="G1438" s="802"/>
      <c r="H1438" s="781"/>
      <c r="I1438" s="803"/>
      <c r="J1438" s="779"/>
      <c r="K1438" s="800"/>
      <c r="L1438" s="800"/>
      <c r="M1438" s="779"/>
      <c r="N1438" s="779"/>
    </row>
    <row r="1439" spans="1:23" s="89" customFormat="1" ht="40.35" customHeight="1">
      <c r="A1439" s="564" t="str">
        <f ca="1">INDIRECT("'update Helper'!C"&amp;U1439)</f>
        <v>a163p000004VjrIAAS</v>
      </c>
      <c r="B1439" s="794">
        <v>21</v>
      </c>
      <c r="C1439" s="795" t="str">
        <f ca="1">VLOOKUP(B1439,'Coverage Indicators - Section D'!$A$9:$AU$70,47,FALSE)</f>
        <v/>
      </c>
      <c r="D1439" s="796" t="str">
        <f ca="1">R1439</f>
        <v/>
      </c>
      <c r="E1439" s="796" t="str">
        <f ca="1">S1439</f>
        <v/>
      </c>
      <c r="F1439" s="127"/>
      <c r="G1439" s="797" t="str">
        <f ca="1">IF(OR(INDIRECT("'update Helper'!E"&amp;U1439)="",F1439&lt;&gt;0,F1440&lt;&gt;0),IF(IFERROR((F1439/F1440),"")="","",(F1439/F1440)),INDIRECT("'update Helper'!E"&amp;U1439)/100)</f>
        <v/>
      </c>
      <c r="H1439" s="784"/>
      <c r="I1439" s="798"/>
      <c r="J1439" s="777"/>
      <c r="K1439" s="795" t="str">
        <f ca="1">W1439</f>
        <v/>
      </c>
      <c r="L1439" s="795" t="str">
        <f ca="1">V1439</f>
        <v/>
      </c>
      <c r="M1439" s="777"/>
      <c r="N1439" s="777"/>
      <c r="P1439" s="89">
        <f ca="1">IF(AND(EXACT(C1439,C1437),C1437&lt;&gt;0),P1437+1,0)</f>
        <v>169</v>
      </c>
      <c r="Q1439" s="89" t="str">
        <f ca="1">IF(C1439&lt;&gt;"",C1439&amp;"-"&amp;P1439,"")</f>
        <v/>
      </c>
      <c r="R1439" s="89" t="str">
        <f t="array" aca="1" ref="R1439" ca="1">IFERROR(IF(INDEX('Disaggregation Records'!$E$155:$E$385,MATCH(RIGHT(Q1439,255),RIGHT('Disaggregation Records'!$D$155:$D$385,255),0))="","",INDEX('Disaggregation Records'!$E$155:$E$385,MATCH(RIGHT(Q1439,255),RIGHT('Disaggregation Records'!$D$155:$D$385,255),0))),"")</f>
        <v/>
      </c>
      <c r="S1439" s="89" t="str">
        <f t="array" aca="1" ref="S1439" ca="1">IFERROR(IF(INDEX('Disaggregation Records'!$F$155:$F$385,MATCH(RIGHT(Q1439,255),RIGHT('Disaggregation Records'!$D$155:$D$385,255),0))="","",INDEX('Disaggregation Records'!$F$155:$F$385,MATCH(RIGHT(Q1439,255),RIGHT('Disaggregation Records'!$D$155:$D$385,255),0))),"")</f>
        <v/>
      </c>
      <c r="T1439" s="89" t="str">
        <f t="array" aca="1" ref="T1439" ca="1">IFERROR(IF(INDEX('Disaggregation Records'!$H$155:$H$385,MATCH(RIGHT(Q1439,255),RIGHT('Disaggregation Records'!$D$155:$D$385,255),0))="","",INDEX('Disaggregation Records'!$H$155:$H$385,MATCH(RIGHT(Q1439,255),RIGHT('Disaggregation Records'!$D$155:$D$385,255),0))),"")</f>
        <v/>
      </c>
      <c r="U1439" s="89">
        <f>U1437+1</f>
        <v>1829</v>
      </c>
      <c r="V1439" s="89" t="str">
        <f t="array" aca="1" ref="V1439" ca="1">IFERROR(IF(INDEX('Disaggregation Records'!$I$155:$I$385,MATCH(RIGHT(Q1439,255),RIGHT('Disaggregation Records'!$D$155:$D$385,255),0))="","",INDEX('Disaggregation Records'!$I$155:$I$385,MATCH(RIGHT(Q1439,255),RIGHT('Disaggregation Records'!$D$155:$D$385,255),0))),"")</f>
        <v/>
      </c>
      <c r="W1439" s="89" t="str">
        <f ca="1">IFERROR(INDEX('Reference Records'!L$77:L$157,MATCH(LEFT(C1439,255),'Reference Records'!E$77:E$157,0)),"")</f>
        <v/>
      </c>
    </row>
    <row r="1440" spans="1:23" s="89" customFormat="1" ht="40.35" customHeight="1">
      <c r="A1440" s="564"/>
      <c r="B1440" s="799"/>
      <c r="C1440" s="800"/>
      <c r="D1440" s="801"/>
      <c r="E1440" s="801"/>
      <c r="F1440" s="128"/>
      <c r="G1440" s="802"/>
      <c r="H1440" s="781"/>
      <c r="I1440" s="803"/>
      <c r="J1440" s="779"/>
      <c r="K1440" s="800"/>
      <c r="L1440" s="800"/>
      <c r="M1440" s="779"/>
      <c r="N1440" s="779"/>
    </row>
    <row r="1441" spans="1:23" s="89" customFormat="1" ht="40.35" customHeight="1">
      <c r="A1441" s="564" t="str">
        <f ca="1">INDIRECT("'update Helper'!C"&amp;U1441)</f>
        <v>a163p000004VjrJAAS</v>
      </c>
      <c r="B1441" s="794">
        <v>21</v>
      </c>
      <c r="C1441" s="795" t="str">
        <f ca="1">VLOOKUP(B1441,'Coverage Indicators - Section D'!$A$9:$AU$70,47,FALSE)</f>
        <v/>
      </c>
      <c r="D1441" s="796" t="str">
        <f ca="1">R1441</f>
        <v/>
      </c>
      <c r="E1441" s="796" t="str">
        <f ca="1">S1441</f>
        <v/>
      </c>
      <c r="F1441" s="127"/>
      <c r="G1441" s="797" t="str">
        <f ca="1">IF(OR(INDIRECT("'update Helper'!E"&amp;U1441)="",F1441&lt;&gt;0,F1442&lt;&gt;0),IF(IFERROR((F1441/F1442),"")="","",(F1441/F1442)),INDIRECT("'update Helper'!E"&amp;U1441)/100)</f>
        <v/>
      </c>
      <c r="H1441" s="784"/>
      <c r="I1441" s="798"/>
      <c r="J1441" s="777"/>
      <c r="K1441" s="795" t="str">
        <f ca="1">W1441</f>
        <v/>
      </c>
      <c r="L1441" s="795" t="str">
        <f ca="1">V1441</f>
        <v/>
      </c>
      <c r="M1441" s="777"/>
      <c r="N1441" s="777"/>
      <c r="P1441" s="89">
        <f ca="1">IF(AND(EXACT(C1441,C1439),C1439&lt;&gt;0),P1439+1,0)</f>
        <v>170</v>
      </c>
      <c r="Q1441" s="89" t="str">
        <f ca="1">IF(C1441&lt;&gt;"",C1441&amp;"-"&amp;P1441,"")</f>
        <v/>
      </c>
      <c r="R1441" s="89" t="str">
        <f t="array" aca="1" ref="R1441" ca="1">IFERROR(IF(INDEX('Disaggregation Records'!$E$155:$E$385,MATCH(RIGHT(Q1441,255),RIGHT('Disaggregation Records'!$D$155:$D$385,255),0))="","",INDEX('Disaggregation Records'!$E$155:$E$385,MATCH(RIGHT(Q1441,255),RIGHT('Disaggregation Records'!$D$155:$D$385,255),0))),"")</f>
        <v/>
      </c>
      <c r="S1441" s="89" t="str">
        <f t="array" aca="1" ref="S1441" ca="1">IFERROR(IF(INDEX('Disaggregation Records'!$F$155:$F$385,MATCH(RIGHT(Q1441,255),RIGHT('Disaggregation Records'!$D$155:$D$385,255),0))="","",INDEX('Disaggregation Records'!$F$155:$F$385,MATCH(RIGHT(Q1441,255),RIGHT('Disaggregation Records'!$D$155:$D$385,255),0))),"")</f>
        <v/>
      </c>
      <c r="T1441" s="89" t="str">
        <f t="array" aca="1" ref="T1441" ca="1">IFERROR(IF(INDEX('Disaggregation Records'!$H$155:$H$385,MATCH(RIGHT(Q1441,255),RIGHT('Disaggregation Records'!$D$155:$D$385,255),0))="","",INDEX('Disaggregation Records'!$H$155:$H$385,MATCH(RIGHT(Q1441,255),RIGHT('Disaggregation Records'!$D$155:$D$385,255),0))),"")</f>
        <v/>
      </c>
      <c r="U1441" s="89">
        <f>U1439+1</f>
        <v>1830</v>
      </c>
      <c r="V1441" s="89" t="str">
        <f t="array" aca="1" ref="V1441" ca="1">IFERROR(IF(INDEX('Disaggregation Records'!$I$155:$I$385,MATCH(RIGHT(Q1441,255),RIGHT('Disaggregation Records'!$D$155:$D$385,255),0))="","",INDEX('Disaggregation Records'!$I$155:$I$385,MATCH(RIGHT(Q1441,255),RIGHT('Disaggregation Records'!$D$155:$D$385,255),0))),"")</f>
        <v/>
      </c>
      <c r="W1441" s="89" t="str">
        <f ca="1">IFERROR(INDEX('Reference Records'!L$77:L$157,MATCH(LEFT(C1441,255),'Reference Records'!E$77:E$157,0)),"")</f>
        <v/>
      </c>
    </row>
    <row r="1442" spans="1:23" s="89" customFormat="1" ht="40.35" customHeight="1">
      <c r="A1442" s="564"/>
      <c r="B1442" s="799"/>
      <c r="C1442" s="800"/>
      <c r="D1442" s="801"/>
      <c r="E1442" s="801"/>
      <c r="F1442" s="128"/>
      <c r="G1442" s="802"/>
      <c r="H1442" s="781"/>
      <c r="I1442" s="803"/>
      <c r="J1442" s="779"/>
      <c r="K1442" s="800"/>
      <c r="L1442" s="800"/>
      <c r="M1442" s="779"/>
      <c r="N1442" s="779"/>
    </row>
    <row r="1443" spans="1:23" s="89" customFormat="1" ht="40.35" customHeight="1">
      <c r="A1443" s="564" t="str">
        <f ca="1">INDIRECT("'update Helper'!C"&amp;U1443)</f>
        <v>a163p000004VjrKAAS</v>
      </c>
      <c r="B1443" s="794">
        <v>21</v>
      </c>
      <c r="C1443" s="795" t="str">
        <f ca="1">VLOOKUP(B1443,'Coverage Indicators - Section D'!$A$9:$AU$70,47,FALSE)</f>
        <v/>
      </c>
      <c r="D1443" s="796" t="str">
        <f ca="1">R1443</f>
        <v/>
      </c>
      <c r="E1443" s="796" t="str">
        <f ca="1">S1443</f>
        <v/>
      </c>
      <c r="F1443" s="127"/>
      <c r="G1443" s="797" t="str">
        <f ca="1">IF(OR(INDIRECT("'update Helper'!E"&amp;U1443)="",F1443&lt;&gt;0,F1444&lt;&gt;0),IF(IFERROR((F1443/F1444),"")="","",(F1443/F1444)),INDIRECT("'update Helper'!E"&amp;U1443)/100)</f>
        <v/>
      </c>
      <c r="H1443" s="784"/>
      <c r="I1443" s="798"/>
      <c r="J1443" s="777"/>
      <c r="K1443" s="795" t="str">
        <f ca="1">W1443</f>
        <v/>
      </c>
      <c r="L1443" s="795" t="str">
        <f ca="1">V1443</f>
        <v/>
      </c>
      <c r="M1443" s="777"/>
      <c r="N1443" s="777"/>
      <c r="P1443" s="89">
        <f ca="1">IF(AND(EXACT(C1443,C1441),C1441&lt;&gt;0),P1441+1,0)</f>
        <v>171</v>
      </c>
      <c r="Q1443" s="89" t="str">
        <f ca="1">IF(C1443&lt;&gt;"",C1443&amp;"-"&amp;P1443,"")</f>
        <v/>
      </c>
      <c r="R1443" s="89" t="str">
        <f t="array" aca="1" ref="R1443" ca="1">IFERROR(IF(INDEX('Disaggregation Records'!$E$155:$E$385,MATCH(RIGHT(Q1443,255),RIGHT('Disaggregation Records'!$D$155:$D$385,255),0))="","",INDEX('Disaggregation Records'!$E$155:$E$385,MATCH(RIGHT(Q1443,255),RIGHT('Disaggregation Records'!$D$155:$D$385,255),0))),"")</f>
        <v/>
      </c>
      <c r="S1443" s="89" t="str">
        <f t="array" aca="1" ref="S1443" ca="1">IFERROR(IF(INDEX('Disaggregation Records'!$F$155:$F$385,MATCH(RIGHT(Q1443,255),RIGHT('Disaggregation Records'!$D$155:$D$385,255),0))="","",INDEX('Disaggregation Records'!$F$155:$F$385,MATCH(RIGHT(Q1443,255),RIGHT('Disaggregation Records'!$D$155:$D$385,255),0))),"")</f>
        <v/>
      </c>
      <c r="T1443" s="89" t="str">
        <f t="array" aca="1" ref="T1443" ca="1">IFERROR(IF(INDEX('Disaggregation Records'!$H$155:$H$385,MATCH(RIGHT(Q1443,255),RIGHT('Disaggregation Records'!$D$155:$D$385,255),0))="","",INDEX('Disaggregation Records'!$H$155:$H$385,MATCH(RIGHT(Q1443,255),RIGHT('Disaggregation Records'!$D$155:$D$385,255),0))),"")</f>
        <v/>
      </c>
      <c r="U1443" s="89">
        <f>U1441+1</f>
        <v>1831</v>
      </c>
      <c r="V1443" s="89" t="str">
        <f t="array" aca="1" ref="V1443" ca="1">IFERROR(IF(INDEX('Disaggregation Records'!$I$155:$I$385,MATCH(RIGHT(Q1443,255),RIGHT('Disaggregation Records'!$D$155:$D$385,255),0))="","",INDEX('Disaggregation Records'!$I$155:$I$385,MATCH(RIGHT(Q1443,255),RIGHT('Disaggregation Records'!$D$155:$D$385,255),0))),"")</f>
        <v/>
      </c>
      <c r="W1443" s="89" t="str">
        <f ca="1">IFERROR(INDEX('Reference Records'!L$77:L$157,MATCH(LEFT(C1443,255),'Reference Records'!E$77:E$157,0)),"")</f>
        <v/>
      </c>
    </row>
    <row r="1444" spans="1:23" s="89" customFormat="1" ht="40.35" customHeight="1">
      <c r="A1444" s="564"/>
      <c r="B1444" s="799"/>
      <c r="C1444" s="800"/>
      <c r="D1444" s="801"/>
      <c r="E1444" s="801"/>
      <c r="F1444" s="128"/>
      <c r="G1444" s="802"/>
      <c r="H1444" s="781"/>
      <c r="I1444" s="803"/>
      <c r="J1444" s="779"/>
      <c r="K1444" s="800"/>
      <c r="L1444" s="800"/>
      <c r="M1444" s="779"/>
      <c r="N1444" s="779"/>
    </row>
    <row r="1445" spans="1:23" s="89" customFormat="1" ht="40.35" customHeight="1">
      <c r="A1445" s="564" t="str">
        <f ca="1">INDIRECT("'update Helper'!C"&amp;U1445)</f>
        <v>a163p000004VjrLAAS</v>
      </c>
      <c r="B1445" s="794">
        <v>21</v>
      </c>
      <c r="C1445" s="795" t="str">
        <f ca="1">VLOOKUP(B1445,'Coverage Indicators - Section D'!$A$9:$AU$70,47,FALSE)</f>
        <v/>
      </c>
      <c r="D1445" s="796" t="str">
        <f ca="1">R1445</f>
        <v/>
      </c>
      <c r="E1445" s="796" t="str">
        <f ca="1">S1445</f>
        <v/>
      </c>
      <c r="F1445" s="127"/>
      <c r="G1445" s="797" t="str">
        <f ca="1">IF(OR(INDIRECT("'update Helper'!E"&amp;U1445)="",F1445&lt;&gt;0,F1446&lt;&gt;0),IF(IFERROR((F1445/F1446),"")="","",(F1445/F1446)),INDIRECT("'update Helper'!E"&amp;U1445)/100)</f>
        <v/>
      </c>
      <c r="H1445" s="784"/>
      <c r="I1445" s="798"/>
      <c r="J1445" s="777"/>
      <c r="K1445" s="795" t="str">
        <f ca="1">W1445</f>
        <v/>
      </c>
      <c r="L1445" s="795" t="str">
        <f ca="1">V1445</f>
        <v/>
      </c>
      <c r="M1445" s="777"/>
      <c r="N1445" s="777"/>
      <c r="P1445" s="89">
        <f ca="1">IF(AND(EXACT(C1445,C1443),C1443&lt;&gt;0),P1443+1,0)</f>
        <v>172</v>
      </c>
      <c r="Q1445" s="89" t="str">
        <f ca="1">IF(C1445&lt;&gt;"",C1445&amp;"-"&amp;P1445,"")</f>
        <v/>
      </c>
      <c r="R1445" s="89" t="str">
        <f t="array" aca="1" ref="R1445" ca="1">IFERROR(IF(INDEX('Disaggregation Records'!$E$155:$E$385,MATCH(RIGHT(Q1445,255),RIGHT('Disaggregation Records'!$D$155:$D$385,255),0))="","",INDEX('Disaggregation Records'!$E$155:$E$385,MATCH(RIGHT(Q1445,255),RIGHT('Disaggregation Records'!$D$155:$D$385,255),0))),"")</f>
        <v/>
      </c>
      <c r="S1445" s="89" t="str">
        <f t="array" aca="1" ref="S1445" ca="1">IFERROR(IF(INDEX('Disaggregation Records'!$F$155:$F$385,MATCH(RIGHT(Q1445,255),RIGHT('Disaggregation Records'!$D$155:$D$385,255),0))="","",INDEX('Disaggregation Records'!$F$155:$F$385,MATCH(RIGHT(Q1445,255),RIGHT('Disaggregation Records'!$D$155:$D$385,255),0))),"")</f>
        <v/>
      </c>
      <c r="T1445" s="89" t="str">
        <f t="array" aca="1" ref="T1445" ca="1">IFERROR(IF(INDEX('Disaggregation Records'!$H$155:$H$385,MATCH(RIGHT(Q1445,255),RIGHT('Disaggregation Records'!$D$155:$D$385,255),0))="","",INDEX('Disaggregation Records'!$H$155:$H$385,MATCH(RIGHT(Q1445,255),RIGHT('Disaggregation Records'!$D$155:$D$385,255),0))),"")</f>
        <v/>
      </c>
      <c r="U1445" s="89">
        <f>U1443+1</f>
        <v>1832</v>
      </c>
      <c r="V1445" s="89" t="str">
        <f t="array" aca="1" ref="V1445" ca="1">IFERROR(IF(INDEX('Disaggregation Records'!$I$155:$I$385,MATCH(RIGHT(Q1445,255),RIGHT('Disaggregation Records'!$D$155:$D$385,255),0))="","",INDEX('Disaggregation Records'!$I$155:$I$385,MATCH(RIGHT(Q1445,255),RIGHT('Disaggregation Records'!$D$155:$D$385,255),0))),"")</f>
        <v/>
      </c>
      <c r="W1445" s="89" t="str">
        <f ca="1">IFERROR(INDEX('Reference Records'!L$77:L$157,MATCH(LEFT(C1445,255),'Reference Records'!E$77:E$157,0)),"")</f>
        <v/>
      </c>
    </row>
    <row r="1446" spans="1:23" s="89" customFormat="1" ht="40.35" customHeight="1">
      <c r="A1446" s="564"/>
      <c r="B1446" s="799"/>
      <c r="C1446" s="800"/>
      <c r="D1446" s="801"/>
      <c r="E1446" s="801"/>
      <c r="F1446" s="128"/>
      <c r="G1446" s="802"/>
      <c r="H1446" s="781"/>
      <c r="I1446" s="803"/>
      <c r="J1446" s="779"/>
      <c r="K1446" s="800"/>
      <c r="L1446" s="800"/>
      <c r="M1446" s="779"/>
      <c r="N1446" s="779"/>
    </row>
    <row r="1447" spans="1:23" s="89" customFormat="1" ht="40.35" customHeight="1">
      <c r="A1447" s="564" t="str">
        <f ca="1">INDIRECT("'update Helper'!C"&amp;U1447)</f>
        <v>a163p000004VjrMAAS</v>
      </c>
      <c r="B1447" s="794">
        <v>21</v>
      </c>
      <c r="C1447" s="795" t="str">
        <f ca="1">VLOOKUP(B1447,'Coverage Indicators - Section D'!$A$9:$AU$70,47,FALSE)</f>
        <v/>
      </c>
      <c r="D1447" s="796" t="str">
        <f ca="1">R1447</f>
        <v/>
      </c>
      <c r="E1447" s="796" t="str">
        <f ca="1">S1447</f>
        <v/>
      </c>
      <c r="F1447" s="127"/>
      <c r="G1447" s="797" t="str">
        <f ca="1">IF(OR(INDIRECT("'update Helper'!E"&amp;U1447)="",F1447&lt;&gt;0,F1448&lt;&gt;0),IF(IFERROR((F1447/F1448),"")="","",(F1447/F1448)),INDIRECT("'update Helper'!E"&amp;U1447)/100)</f>
        <v/>
      </c>
      <c r="H1447" s="784"/>
      <c r="I1447" s="798"/>
      <c r="J1447" s="777"/>
      <c r="K1447" s="795" t="str">
        <f ca="1">W1447</f>
        <v/>
      </c>
      <c r="L1447" s="795" t="str">
        <f ca="1">V1447</f>
        <v/>
      </c>
      <c r="M1447" s="777"/>
      <c r="N1447" s="777"/>
      <c r="P1447" s="89">
        <f ca="1">IF(AND(EXACT(C1447,C1445),C1445&lt;&gt;0),P1445+1,0)</f>
        <v>173</v>
      </c>
      <c r="Q1447" s="89" t="str">
        <f ca="1">IF(C1447&lt;&gt;"",C1447&amp;"-"&amp;P1447,"")</f>
        <v/>
      </c>
      <c r="R1447" s="89" t="str">
        <f t="array" aca="1" ref="R1447" ca="1">IFERROR(IF(INDEX('Disaggregation Records'!$E$155:$E$385,MATCH(RIGHT(Q1447,255),RIGHT('Disaggregation Records'!$D$155:$D$385,255),0))="","",INDEX('Disaggregation Records'!$E$155:$E$385,MATCH(RIGHT(Q1447,255),RIGHT('Disaggregation Records'!$D$155:$D$385,255),0))),"")</f>
        <v/>
      </c>
      <c r="S1447" s="89" t="str">
        <f t="array" aca="1" ref="S1447" ca="1">IFERROR(IF(INDEX('Disaggregation Records'!$F$155:$F$385,MATCH(RIGHT(Q1447,255),RIGHT('Disaggregation Records'!$D$155:$D$385,255),0))="","",INDEX('Disaggregation Records'!$F$155:$F$385,MATCH(RIGHT(Q1447,255),RIGHT('Disaggregation Records'!$D$155:$D$385,255),0))),"")</f>
        <v/>
      </c>
      <c r="T1447" s="89" t="str">
        <f t="array" aca="1" ref="T1447" ca="1">IFERROR(IF(INDEX('Disaggregation Records'!$H$155:$H$385,MATCH(RIGHT(Q1447,255),RIGHT('Disaggregation Records'!$D$155:$D$385,255),0))="","",INDEX('Disaggregation Records'!$H$155:$H$385,MATCH(RIGHT(Q1447,255),RIGHT('Disaggregation Records'!$D$155:$D$385,255),0))),"")</f>
        <v/>
      </c>
      <c r="U1447" s="89">
        <f>U1445+1</f>
        <v>1833</v>
      </c>
      <c r="V1447" s="89" t="str">
        <f t="array" aca="1" ref="V1447" ca="1">IFERROR(IF(INDEX('Disaggregation Records'!$I$155:$I$385,MATCH(RIGHT(Q1447,255),RIGHT('Disaggregation Records'!$D$155:$D$385,255),0))="","",INDEX('Disaggregation Records'!$I$155:$I$385,MATCH(RIGHT(Q1447,255),RIGHT('Disaggregation Records'!$D$155:$D$385,255),0))),"")</f>
        <v/>
      </c>
      <c r="W1447" s="89" t="str">
        <f ca="1">IFERROR(INDEX('Reference Records'!L$77:L$157,MATCH(LEFT(C1447,255),'Reference Records'!E$77:E$157,0)),"")</f>
        <v/>
      </c>
    </row>
    <row r="1448" spans="1:23" s="89" customFormat="1" ht="40.35" customHeight="1">
      <c r="A1448" s="564"/>
      <c r="B1448" s="799"/>
      <c r="C1448" s="800"/>
      <c r="D1448" s="801"/>
      <c r="E1448" s="801"/>
      <c r="F1448" s="128"/>
      <c r="G1448" s="802"/>
      <c r="H1448" s="781"/>
      <c r="I1448" s="803"/>
      <c r="J1448" s="779"/>
      <c r="K1448" s="800"/>
      <c r="L1448" s="800"/>
      <c r="M1448" s="779"/>
      <c r="N1448" s="779"/>
    </row>
    <row r="1449" spans="1:23" s="89" customFormat="1" ht="40.35" customHeight="1">
      <c r="A1449" s="564" t="str">
        <f ca="1">INDIRECT("'update Helper'!C"&amp;U1449)</f>
        <v>a163p000004VjrNAAS</v>
      </c>
      <c r="B1449" s="794">
        <v>21</v>
      </c>
      <c r="C1449" s="795" t="str">
        <f ca="1">VLOOKUP(B1449,'Coverage Indicators - Section D'!$A$9:$AU$70,47,FALSE)</f>
        <v/>
      </c>
      <c r="D1449" s="796" t="str">
        <f ca="1">R1449</f>
        <v/>
      </c>
      <c r="E1449" s="796" t="str">
        <f ca="1">S1449</f>
        <v/>
      </c>
      <c r="F1449" s="127"/>
      <c r="G1449" s="797" t="str">
        <f ca="1">IF(OR(INDIRECT("'update Helper'!E"&amp;U1449)="",F1449&lt;&gt;0,F1450&lt;&gt;0),IF(IFERROR((F1449/F1450),"")="","",(F1449/F1450)),INDIRECT("'update Helper'!E"&amp;U1449)/100)</f>
        <v/>
      </c>
      <c r="H1449" s="784"/>
      <c r="I1449" s="798"/>
      <c r="J1449" s="777"/>
      <c r="K1449" s="795" t="str">
        <f ca="1">W1449</f>
        <v/>
      </c>
      <c r="L1449" s="795" t="str">
        <f ca="1">V1449</f>
        <v/>
      </c>
      <c r="M1449" s="777"/>
      <c r="N1449" s="777"/>
      <c r="P1449" s="89">
        <f ca="1">IF(AND(EXACT(C1449,C1447),C1447&lt;&gt;0),P1447+1,0)</f>
        <v>174</v>
      </c>
      <c r="Q1449" s="89" t="str">
        <f ca="1">IF(C1449&lt;&gt;"",C1449&amp;"-"&amp;P1449,"")</f>
        <v/>
      </c>
      <c r="R1449" s="89" t="str">
        <f t="array" aca="1" ref="R1449" ca="1">IFERROR(IF(INDEX('Disaggregation Records'!$E$155:$E$385,MATCH(RIGHT(Q1449,255),RIGHT('Disaggregation Records'!$D$155:$D$385,255),0))="","",INDEX('Disaggregation Records'!$E$155:$E$385,MATCH(RIGHT(Q1449,255),RIGHT('Disaggregation Records'!$D$155:$D$385,255),0))),"")</f>
        <v/>
      </c>
      <c r="S1449" s="89" t="str">
        <f t="array" aca="1" ref="S1449" ca="1">IFERROR(IF(INDEX('Disaggregation Records'!$F$155:$F$385,MATCH(RIGHT(Q1449,255),RIGHT('Disaggregation Records'!$D$155:$D$385,255),0))="","",INDEX('Disaggregation Records'!$F$155:$F$385,MATCH(RIGHT(Q1449,255),RIGHT('Disaggregation Records'!$D$155:$D$385,255),0))),"")</f>
        <v/>
      </c>
      <c r="T1449" s="89" t="str">
        <f t="array" aca="1" ref="T1449" ca="1">IFERROR(IF(INDEX('Disaggregation Records'!$H$155:$H$385,MATCH(RIGHT(Q1449,255),RIGHT('Disaggregation Records'!$D$155:$D$385,255),0))="","",INDEX('Disaggregation Records'!$H$155:$H$385,MATCH(RIGHT(Q1449,255),RIGHT('Disaggregation Records'!$D$155:$D$385,255),0))),"")</f>
        <v/>
      </c>
      <c r="U1449" s="89">
        <f>U1447+1</f>
        <v>1834</v>
      </c>
      <c r="V1449" s="89" t="str">
        <f t="array" aca="1" ref="V1449" ca="1">IFERROR(IF(INDEX('Disaggregation Records'!$I$155:$I$385,MATCH(RIGHT(Q1449,255),RIGHT('Disaggregation Records'!$D$155:$D$385,255),0))="","",INDEX('Disaggregation Records'!$I$155:$I$385,MATCH(RIGHT(Q1449,255),RIGHT('Disaggregation Records'!$D$155:$D$385,255),0))),"")</f>
        <v/>
      </c>
      <c r="W1449" s="89" t="str">
        <f ca="1">IFERROR(INDEX('Reference Records'!L$77:L$157,MATCH(LEFT(C1449,255),'Reference Records'!E$77:E$157,0)),"")</f>
        <v/>
      </c>
    </row>
    <row r="1450" spans="1:23" s="89" customFormat="1" ht="40.35" customHeight="1">
      <c r="A1450" s="564"/>
      <c r="B1450" s="799"/>
      <c r="C1450" s="800"/>
      <c r="D1450" s="801"/>
      <c r="E1450" s="801"/>
      <c r="F1450" s="128"/>
      <c r="G1450" s="802"/>
      <c r="H1450" s="781"/>
      <c r="I1450" s="803"/>
      <c r="J1450" s="779"/>
      <c r="K1450" s="800"/>
      <c r="L1450" s="800"/>
      <c r="M1450" s="779"/>
      <c r="N1450" s="779"/>
    </row>
    <row r="1451" spans="1:23" s="89" customFormat="1" ht="40.35" customHeight="1">
      <c r="A1451" s="564" t="str">
        <f ca="1">INDIRECT("'update Helper'!C"&amp;U1451)</f>
        <v>a163p000004VjrOAAS</v>
      </c>
      <c r="B1451" s="794">
        <v>21</v>
      </c>
      <c r="C1451" s="795" t="str">
        <f ca="1">VLOOKUP(B1451,'Coverage Indicators - Section D'!$A$9:$AU$70,47,FALSE)</f>
        <v/>
      </c>
      <c r="D1451" s="796" t="str">
        <f ca="1">R1451</f>
        <v/>
      </c>
      <c r="E1451" s="796" t="str">
        <f ca="1">S1451</f>
        <v/>
      </c>
      <c r="F1451" s="127"/>
      <c r="G1451" s="797" t="str">
        <f ca="1">IF(OR(INDIRECT("'update Helper'!E"&amp;U1451)="",F1451&lt;&gt;0,F1452&lt;&gt;0),IF(IFERROR((F1451/F1452),"")="","",(F1451/F1452)),INDIRECT("'update Helper'!E"&amp;U1451)/100)</f>
        <v/>
      </c>
      <c r="H1451" s="784"/>
      <c r="I1451" s="798"/>
      <c r="J1451" s="777"/>
      <c r="K1451" s="795" t="str">
        <f ca="1">W1451</f>
        <v/>
      </c>
      <c r="L1451" s="795" t="str">
        <f ca="1">V1451</f>
        <v/>
      </c>
      <c r="M1451" s="777"/>
      <c r="N1451" s="777"/>
      <c r="P1451" s="89">
        <f ca="1">IF(AND(EXACT(C1451,C1449),C1449&lt;&gt;0),P1449+1,0)</f>
        <v>175</v>
      </c>
      <c r="Q1451" s="89" t="str">
        <f ca="1">IF(C1451&lt;&gt;"",C1451&amp;"-"&amp;P1451,"")</f>
        <v/>
      </c>
      <c r="R1451" s="89" t="str">
        <f t="array" aca="1" ref="R1451" ca="1">IFERROR(IF(INDEX('Disaggregation Records'!$E$155:$E$385,MATCH(RIGHT(Q1451,255),RIGHT('Disaggregation Records'!$D$155:$D$385,255),0))="","",INDEX('Disaggregation Records'!$E$155:$E$385,MATCH(RIGHT(Q1451,255),RIGHT('Disaggregation Records'!$D$155:$D$385,255),0))),"")</f>
        <v/>
      </c>
      <c r="S1451" s="89" t="str">
        <f t="array" aca="1" ref="S1451" ca="1">IFERROR(IF(INDEX('Disaggregation Records'!$F$155:$F$385,MATCH(RIGHT(Q1451,255),RIGHT('Disaggregation Records'!$D$155:$D$385,255),0))="","",INDEX('Disaggregation Records'!$F$155:$F$385,MATCH(RIGHT(Q1451,255),RIGHT('Disaggregation Records'!$D$155:$D$385,255),0))),"")</f>
        <v/>
      </c>
      <c r="T1451" s="89" t="str">
        <f t="array" aca="1" ref="T1451" ca="1">IFERROR(IF(INDEX('Disaggregation Records'!$H$155:$H$385,MATCH(RIGHT(Q1451,255),RIGHT('Disaggregation Records'!$D$155:$D$385,255),0))="","",INDEX('Disaggregation Records'!$H$155:$H$385,MATCH(RIGHT(Q1451,255),RIGHT('Disaggregation Records'!$D$155:$D$385,255),0))),"")</f>
        <v/>
      </c>
      <c r="U1451" s="89">
        <f>U1449+1</f>
        <v>1835</v>
      </c>
      <c r="V1451" s="89" t="str">
        <f t="array" aca="1" ref="V1451" ca="1">IFERROR(IF(INDEX('Disaggregation Records'!$I$155:$I$385,MATCH(RIGHT(Q1451,255),RIGHT('Disaggregation Records'!$D$155:$D$385,255),0))="","",INDEX('Disaggregation Records'!$I$155:$I$385,MATCH(RIGHT(Q1451,255),RIGHT('Disaggregation Records'!$D$155:$D$385,255),0))),"")</f>
        <v/>
      </c>
      <c r="W1451" s="89" t="str">
        <f ca="1">IFERROR(INDEX('Reference Records'!L$77:L$157,MATCH(LEFT(C1451,255),'Reference Records'!E$77:E$157,0)),"")</f>
        <v/>
      </c>
    </row>
    <row r="1452" spans="1:23" s="89" customFormat="1" ht="40.35" customHeight="1">
      <c r="A1452" s="564"/>
      <c r="B1452" s="799"/>
      <c r="C1452" s="800"/>
      <c r="D1452" s="801"/>
      <c r="E1452" s="801"/>
      <c r="F1452" s="128"/>
      <c r="G1452" s="802"/>
      <c r="H1452" s="781"/>
      <c r="I1452" s="803"/>
      <c r="J1452" s="779"/>
      <c r="K1452" s="800"/>
      <c r="L1452" s="800"/>
      <c r="M1452" s="779"/>
      <c r="N1452" s="779"/>
    </row>
    <row r="1453" spans="1:23" s="89" customFormat="1" ht="40.35" customHeight="1">
      <c r="A1453" s="564" t="str">
        <f ca="1">INDIRECT("'update Helper'!C"&amp;U1453)</f>
        <v>a163p000004VjrPAAS</v>
      </c>
      <c r="B1453" s="794">
        <v>21</v>
      </c>
      <c r="C1453" s="795" t="str">
        <f ca="1">VLOOKUP(B1453,'Coverage Indicators - Section D'!$A$9:$AU$70,47,FALSE)</f>
        <v/>
      </c>
      <c r="D1453" s="796" t="str">
        <f ca="1">R1453</f>
        <v/>
      </c>
      <c r="E1453" s="796" t="str">
        <f ca="1">S1453</f>
        <v/>
      </c>
      <c r="F1453" s="127"/>
      <c r="G1453" s="797" t="str">
        <f ca="1">IF(OR(INDIRECT("'update Helper'!E"&amp;U1453)="",F1453&lt;&gt;0,F1454&lt;&gt;0),IF(IFERROR((F1453/F1454),"")="","",(F1453/F1454)),INDIRECT("'update Helper'!E"&amp;U1453)/100)</f>
        <v/>
      </c>
      <c r="H1453" s="784"/>
      <c r="I1453" s="798"/>
      <c r="J1453" s="777"/>
      <c r="K1453" s="795" t="str">
        <f ca="1">W1453</f>
        <v/>
      </c>
      <c r="L1453" s="795" t="str">
        <f ca="1">V1453</f>
        <v/>
      </c>
      <c r="M1453" s="777"/>
      <c r="N1453" s="777"/>
      <c r="P1453" s="89">
        <f ca="1">IF(AND(EXACT(C1453,C1451),C1451&lt;&gt;0),P1451+1,0)</f>
        <v>176</v>
      </c>
      <c r="Q1453" s="89" t="str">
        <f ca="1">IF(C1453&lt;&gt;"",C1453&amp;"-"&amp;P1453,"")</f>
        <v/>
      </c>
      <c r="R1453" s="89" t="str">
        <f t="array" aca="1" ref="R1453" ca="1">IFERROR(IF(INDEX('Disaggregation Records'!$E$155:$E$385,MATCH(RIGHT(Q1453,255),RIGHT('Disaggregation Records'!$D$155:$D$385,255),0))="","",INDEX('Disaggregation Records'!$E$155:$E$385,MATCH(RIGHT(Q1453,255),RIGHT('Disaggregation Records'!$D$155:$D$385,255),0))),"")</f>
        <v/>
      </c>
      <c r="S1453" s="89" t="str">
        <f t="array" aca="1" ref="S1453" ca="1">IFERROR(IF(INDEX('Disaggregation Records'!$F$155:$F$385,MATCH(RIGHT(Q1453,255),RIGHT('Disaggregation Records'!$D$155:$D$385,255),0))="","",INDEX('Disaggregation Records'!$F$155:$F$385,MATCH(RIGHT(Q1453,255),RIGHT('Disaggregation Records'!$D$155:$D$385,255),0))),"")</f>
        <v/>
      </c>
      <c r="T1453" s="89" t="str">
        <f t="array" aca="1" ref="T1453" ca="1">IFERROR(IF(INDEX('Disaggregation Records'!$H$155:$H$385,MATCH(RIGHT(Q1453,255),RIGHT('Disaggregation Records'!$D$155:$D$385,255),0))="","",INDEX('Disaggregation Records'!$H$155:$H$385,MATCH(RIGHT(Q1453,255),RIGHT('Disaggregation Records'!$D$155:$D$385,255),0))),"")</f>
        <v/>
      </c>
      <c r="U1453" s="89">
        <f>U1451+1</f>
        <v>1836</v>
      </c>
      <c r="V1453" s="89" t="str">
        <f t="array" aca="1" ref="V1453" ca="1">IFERROR(IF(INDEX('Disaggregation Records'!$I$155:$I$385,MATCH(RIGHT(Q1453,255),RIGHT('Disaggregation Records'!$D$155:$D$385,255),0))="","",INDEX('Disaggregation Records'!$I$155:$I$385,MATCH(RIGHT(Q1453,255),RIGHT('Disaggregation Records'!$D$155:$D$385,255),0))),"")</f>
        <v/>
      </c>
      <c r="W1453" s="89" t="str">
        <f ca="1">IFERROR(INDEX('Reference Records'!L$77:L$157,MATCH(LEFT(C1453,255),'Reference Records'!E$77:E$157,0)),"")</f>
        <v/>
      </c>
    </row>
    <row r="1454" spans="1:23" s="89" customFormat="1" ht="40.35" customHeight="1">
      <c r="A1454" s="564"/>
      <c r="B1454" s="799"/>
      <c r="C1454" s="800"/>
      <c r="D1454" s="801"/>
      <c r="E1454" s="801"/>
      <c r="F1454" s="128"/>
      <c r="G1454" s="802"/>
      <c r="H1454" s="781"/>
      <c r="I1454" s="803"/>
      <c r="J1454" s="779"/>
      <c r="K1454" s="800"/>
      <c r="L1454" s="800"/>
      <c r="M1454" s="779"/>
      <c r="N1454" s="779"/>
    </row>
    <row r="1455" spans="1:23" s="89" customFormat="1" ht="40.35" customHeight="1">
      <c r="A1455" s="564" t="str">
        <f ca="1">INDIRECT("'update Helper'!C"&amp;U1455)</f>
        <v>a163p000004VjrQAAS</v>
      </c>
      <c r="B1455" s="794">
        <v>21</v>
      </c>
      <c r="C1455" s="795" t="str">
        <f ca="1">VLOOKUP(B1455,'Coverage Indicators - Section D'!$A$9:$AU$70,47,FALSE)</f>
        <v/>
      </c>
      <c r="D1455" s="796" t="str">
        <f ca="1">R1455</f>
        <v/>
      </c>
      <c r="E1455" s="796" t="str">
        <f ca="1">S1455</f>
        <v/>
      </c>
      <c r="F1455" s="127"/>
      <c r="G1455" s="797" t="str">
        <f ca="1">IF(OR(INDIRECT("'update Helper'!E"&amp;U1455)="",F1455&lt;&gt;0,F1456&lt;&gt;0),IF(IFERROR((F1455/F1456),"")="","",(F1455/F1456)),INDIRECT("'update Helper'!E"&amp;U1455)/100)</f>
        <v/>
      </c>
      <c r="H1455" s="784"/>
      <c r="I1455" s="798"/>
      <c r="J1455" s="777"/>
      <c r="K1455" s="795" t="str">
        <f ca="1">W1455</f>
        <v/>
      </c>
      <c r="L1455" s="795" t="str">
        <f ca="1">V1455</f>
        <v/>
      </c>
      <c r="M1455" s="777"/>
      <c r="N1455" s="777"/>
      <c r="P1455" s="89">
        <f ca="1">IF(AND(EXACT(C1455,C1453),C1453&lt;&gt;0),P1453+1,0)</f>
        <v>177</v>
      </c>
      <c r="Q1455" s="89" t="str">
        <f ca="1">IF(C1455&lt;&gt;"",C1455&amp;"-"&amp;P1455,"")</f>
        <v/>
      </c>
      <c r="R1455" s="89" t="str">
        <f t="array" aca="1" ref="R1455" ca="1">IFERROR(IF(INDEX('Disaggregation Records'!$E$155:$E$385,MATCH(RIGHT(Q1455,255),RIGHT('Disaggregation Records'!$D$155:$D$385,255),0))="","",INDEX('Disaggregation Records'!$E$155:$E$385,MATCH(RIGHT(Q1455,255),RIGHT('Disaggregation Records'!$D$155:$D$385,255),0))),"")</f>
        <v/>
      </c>
      <c r="S1455" s="89" t="str">
        <f t="array" aca="1" ref="S1455" ca="1">IFERROR(IF(INDEX('Disaggregation Records'!$F$155:$F$385,MATCH(RIGHT(Q1455,255),RIGHT('Disaggregation Records'!$D$155:$D$385,255),0))="","",INDEX('Disaggregation Records'!$F$155:$F$385,MATCH(RIGHT(Q1455,255),RIGHT('Disaggregation Records'!$D$155:$D$385,255),0))),"")</f>
        <v/>
      </c>
      <c r="T1455" s="89" t="str">
        <f t="array" aca="1" ref="T1455" ca="1">IFERROR(IF(INDEX('Disaggregation Records'!$H$155:$H$385,MATCH(RIGHT(Q1455,255),RIGHT('Disaggregation Records'!$D$155:$D$385,255),0))="","",INDEX('Disaggregation Records'!$H$155:$H$385,MATCH(RIGHT(Q1455,255),RIGHT('Disaggregation Records'!$D$155:$D$385,255),0))),"")</f>
        <v/>
      </c>
      <c r="U1455" s="89">
        <f>U1453+1</f>
        <v>1837</v>
      </c>
      <c r="V1455" s="89" t="str">
        <f t="array" aca="1" ref="V1455" ca="1">IFERROR(IF(INDEX('Disaggregation Records'!$I$155:$I$385,MATCH(RIGHT(Q1455,255),RIGHT('Disaggregation Records'!$D$155:$D$385,255),0))="","",INDEX('Disaggregation Records'!$I$155:$I$385,MATCH(RIGHT(Q1455,255),RIGHT('Disaggregation Records'!$D$155:$D$385,255),0))),"")</f>
        <v/>
      </c>
      <c r="W1455" s="89" t="str">
        <f ca="1">IFERROR(INDEX('Reference Records'!L$77:L$157,MATCH(LEFT(C1455,255),'Reference Records'!E$77:E$157,0)),"")</f>
        <v/>
      </c>
    </row>
    <row r="1456" spans="1:23" s="89" customFormat="1" ht="40.35" customHeight="1">
      <c r="A1456" s="564"/>
      <c r="B1456" s="799"/>
      <c r="C1456" s="800"/>
      <c r="D1456" s="801"/>
      <c r="E1456" s="801"/>
      <c r="F1456" s="128"/>
      <c r="G1456" s="802"/>
      <c r="H1456" s="781"/>
      <c r="I1456" s="803"/>
      <c r="J1456" s="779"/>
      <c r="K1456" s="800"/>
      <c r="L1456" s="800"/>
      <c r="M1456" s="779"/>
      <c r="N1456" s="779"/>
    </row>
    <row r="1457" spans="1:23" s="89" customFormat="1" ht="40.35" customHeight="1">
      <c r="A1457" s="564" t="str">
        <f ca="1">INDIRECT("'update Helper'!C"&amp;U1457)</f>
        <v>a163p000004VjrRAAS</v>
      </c>
      <c r="B1457" s="794">
        <v>21</v>
      </c>
      <c r="C1457" s="795" t="str">
        <f ca="1">VLOOKUP(B1457,'Coverage Indicators - Section D'!$A$9:$AU$70,47,FALSE)</f>
        <v/>
      </c>
      <c r="D1457" s="796" t="str">
        <f ca="1">R1457</f>
        <v/>
      </c>
      <c r="E1457" s="796" t="str">
        <f ca="1">S1457</f>
        <v/>
      </c>
      <c r="F1457" s="127"/>
      <c r="G1457" s="797" t="str">
        <f ca="1">IF(OR(INDIRECT("'update Helper'!E"&amp;U1457)="",F1457&lt;&gt;0,F1458&lt;&gt;0),IF(IFERROR((F1457/F1458),"")="","",(F1457/F1458)),INDIRECT("'update Helper'!E"&amp;U1457)/100)</f>
        <v/>
      </c>
      <c r="H1457" s="784"/>
      <c r="I1457" s="798"/>
      <c r="J1457" s="777"/>
      <c r="K1457" s="795" t="str">
        <f ca="1">W1457</f>
        <v/>
      </c>
      <c r="L1457" s="795" t="str">
        <f ca="1">V1457</f>
        <v/>
      </c>
      <c r="M1457" s="777"/>
      <c r="N1457" s="777"/>
      <c r="P1457" s="89">
        <f ca="1">IF(AND(EXACT(C1457,C1455),C1455&lt;&gt;0),P1455+1,0)</f>
        <v>178</v>
      </c>
      <c r="Q1457" s="89" t="str">
        <f ca="1">IF(C1457&lt;&gt;"",C1457&amp;"-"&amp;P1457,"")</f>
        <v/>
      </c>
      <c r="R1457" s="89" t="str">
        <f t="array" aca="1" ref="R1457" ca="1">IFERROR(IF(INDEX('Disaggregation Records'!$E$155:$E$385,MATCH(RIGHT(Q1457,255),RIGHT('Disaggregation Records'!$D$155:$D$385,255),0))="","",INDEX('Disaggregation Records'!$E$155:$E$385,MATCH(RIGHT(Q1457,255),RIGHT('Disaggregation Records'!$D$155:$D$385,255),0))),"")</f>
        <v/>
      </c>
      <c r="S1457" s="89" t="str">
        <f t="array" aca="1" ref="S1457" ca="1">IFERROR(IF(INDEX('Disaggregation Records'!$F$155:$F$385,MATCH(RIGHT(Q1457,255),RIGHT('Disaggregation Records'!$D$155:$D$385,255),0))="","",INDEX('Disaggregation Records'!$F$155:$F$385,MATCH(RIGHT(Q1457,255),RIGHT('Disaggregation Records'!$D$155:$D$385,255),0))),"")</f>
        <v/>
      </c>
      <c r="T1457" s="89" t="str">
        <f t="array" aca="1" ref="T1457" ca="1">IFERROR(IF(INDEX('Disaggregation Records'!$H$155:$H$385,MATCH(RIGHT(Q1457,255),RIGHT('Disaggregation Records'!$D$155:$D$385,255),0))="","",INDEX('Disaggregation Records'!$H$155:$H$385,MATCH(RIGHT(Q1457,255),RIGHT('Disaggregation Records'!$D$155:$D$385,255),0))),"")</f>
        <v/>
      </c>
      <c r="U1457" s="89">
        <f>U1455+1</f>
        <v>1838</v>
      </c>
      <c r="V1457" s="89" t="str">
        <f t="array" aca="1" ref="V1457" ca="1">IFERROR(IF(INDEX('Disaggregation Records'!$I$155:$I$385,MATCH(RIGHT(Q1457,255),RIGHT('Disaggregation Records'!$D$155:$D$385,255),0))="","",INDEX('Disaggregation Records'!$I$155:$I$385,MATCH(RIGHT(Q1457,255),RIGHT('Disaggregation Records'!$D$155:$D$385,255),0))),"")</f>
        <v/>
      </c>
      <c r="W1457" s="89" t="str">
        <f ca="1">IFERROR(INDEX('Reference Records'!L$77:L$157,MATCH(LEFT(C1457,255),'Reference Records'!E$77:E$157,0)),"")</f>
        <v/>
      </c>
    </row>
    <row r="1458" spans="1:23" s="89" customFormat="1" ht="40.35" customHeight="1">
      <c r="A1458" s="564"/>
      <c r="B1458" s="799"/>
      <c r="C1458" s="800"/>
      <c r="D1458" s="801"/>
      <c r="E1458" s="801"/>
      <c r="F1458" s="128"/>
      <c r="G1458" s="802"/>
      <c r="H1458" s="781"/>
      <c r="I1458" s="803"/>
      <c r="J1458" s="779"/>
      <c r="K1458" s="800"/>
      <c r="L1458" s="800"/>
      <c r="M1458" s="779"/>
      <c r="N1458" s="779"/>
    </row>
    <row r="1459" spans="1:23" s="89" customFormat="1" ht="40.35" customHeight="1">
      <c r="A1459" s="564" t="str">
        <f ca="1">INDIRECT("'update Helper'!C"&amp;U1459)</f>
        <v>a163p000004VjrSAAS</v>
      </c>
      <c r="B1459" s="794">
        <v>21</v>
      </c>
      <c r="C1459" s="795" t="str">
        <f ca="1">VLOOKUP(B1459,'Coverage Indicators - Section D'!$A$9:$AU$70,47,FALSE)</f>
        <v/>
      </c>
      <c r="D1459" s="796" t="str">
        <f ca="1">R1459</f>
        <v/>
      </c>
      <c r="E1459" s="796" t="str">
        <f ca="1">S1459</f>
        <v/>
      </c>
      <c r="F1459" s="127"/>
      <c r="G1459" s="797" t="str">
        <f ca="1">IF(OR(INDIRECT("'update Helper'!E"&amp;U1459)="",F1459&lt;&gt;0,F1460&lt;&gt;0),IF(IFERROR((F1459/F1460),"")="","",(F1459/F1460)),INDIRECT("'update Helper'!E"&amp;U1459)/100)</f>
        <v/>
      </c>
      <c r="H1459" s="784"/>
      <c r="I1459" s="798"/>
      <c r="J1459" s="777"/>
      <c r="K1459" s="795" t="str">
        <f ca="1">W1459</f>
        <v/>
      </c>
      <c r="L1459" s="795" t="str">
        <f ca="1">V1459</f>
        <v/>
      </c>
      <c r="M1459" s="777"/>
      <c r="N1459" s="777"/>
      <c r="P1459" s="89">
        <f ca="1">IF(AND(EXACT(C1459,C1457),C1457&lt;&gt;0),P1457+1,0)</f>
        <v>179</v>
      </c>
      <c r="Q1459" s="89" t="str">
        <f ca="1">IF(C1459&lt;&gt;"",C1459&amp;"-"&amp;P1459,"")</f>
        <v/>
      </c>
      <c r="R1459" s="89" t="str">
        <f t="array" aca="1" ref="R1459" ca="1">IFERROR(IF(INDEX('Disaggregation Records'!$E$155:$E$385,MATCH(RIGHT(Q1459,255),RIGHT('Disaggregation Records'!$D$155:$D$385,255),0))="","",INDEX('Disaggregation Records'!$E$155:$E$385,MATCH(RIGHT(Q1459,255),RIGHT('Disaggregation Records'!$D$155:$D$385,255),0))),"")</f>
        <v/>
      </c>
      <c r="S1459" s="89" t="str">
        <f t="array" aca="1" ref="S1459" ca="1">IFERROR(IF(INDEX('Disaggregation Records'!$F$155:$F$385,MATCH(RIGHT(Q1459,255),RIGHT('Disaggregation Records'!$D$155:$D$385,255),0))="","",INDEX('Disaggregation Records'!$F$155:$F$385,MATCH(RIGHT(Q1459,255),RIGHT('Disaggregation Records'!$D$155:$D$385,255),0))),"")</f>
        <v/>
      </c>
      <c r="T1459" s="89" t="str">
        <f t="array" aca="1" ref="T1459" ca="1">IFERROR(IF(INDEX('Disaggregation Records'!$H$155:$H$385,MATCH(RIGHT(Q1459,255),RIGHT('Disaggregation Records'!$D$155:$D$385,255),0))="","",INDEX('Disaggregation Records'!$H$155:$H$385,MATCH(RIGHT(Q1459,255),RIGHT('Disaggregation Records'!$D$155:$D$385,255),0))),"")</f>
        <v/>
      </c>
      <c r="U1459" s="89">
        <f>U1457+1</f>
        <v>1839</v>
      </c>
      <c r="V1459" s="89" t="str">
        <f t="array" aca="1" ref="V1459" ca="1">IFERROR(IF(INDEX('Disaggregation Records'!$I$155:$I$385,MATCH(RIGHT(Q1459,255),RIGHT('Disaggregation Records'!$D$155:$D$385,255),0))="","",INDEX('Disaggregation Records'!$I$155:$I$385,MATCH(RIGHT(Q1459,255),RIGHT('Disaggregation Records'!$D$155:$D$385,255),0))),"")</f>
        <v/>
      </c>
      <c r="W1459" s="89" t="str">
        <f ca="1">IFERROR(INDEX('Reference Records'!L$77:L$157,MATCH(LEFT(C1459,255),'Reference Records'!E$77:E$157,0)),"")</f>
        <v/>
      </c>
    </row>
    <row r="1460" spans="1:23" s="89" customFormat="1" ht="40.35" customHeight="1">
      <c r="A1460" s="564"/>
      <c r="B1460" s="799"/>
      <c r="C1460" s="800"/>
      <c r="D1460" s="801"/>
      <c r="E1460" s="801"/>
      <c r="F1460" s="128"/>
      <c r="G1460" s="802"/>
      <c r="H1460" s="781"/>
      <c r="I1460" s="803"/>
      <c r="J1460" s="779"/>
      <c r="K1460" s="800"/>
      <c r="L1460" s="800"/>
      <c r="M1460" s="779"/>
      <c r="N1460" s="779"/>
    </row>
    <row r="1461" spans="1:23" s="89" customFormat="1" ht="40.35" customHeight="1">
      <c r="A1461" s="564" t="str">
        <f ca="1">INDIRECT("'update Helper'!C"&amp;U1461)</f>
        <v>a163p000004VjrTAAS</v>
      </c>
      <c r="B1461" s="794">
        <v>22</v>
      </c>
      <c r="C1461" s="795" t="str">
        <f ca="1">VLOOKUP(B1461,'Coverage Indicators - Section D'!$A$9:$AU$70,47,FALSE)</f>
        <v/>
      </c>
      <c r="D1461" s="796" t="str">
        <f ca="1">R1461</f>
        <v/>
      </c>
      <c r="E1461" s="796" t="str">
        <f ca="1">S1461</f>
        <v/>
      </c>
      <c r="F1461" s="127"/>
      <c r="G1461" s="797" t="str">
        <f ca="1">IF(OR(INDIRECT("'update Helper'!E"&amp;U1461)="",F1461&lt;&gt;0,F1462&lt;&gt;0),IF(IFERROR((F1461/F1462),"")="","",(F1461/F1462)),INDIRECT("'update Helper'!E"&amp;U1461)/100)</f>
        <v/>
      </c>
      <c r="H1461" s="784"/>
      <c r="I1461" s="798"/>
      <c r="J1461" s="777"/>
      <c r="K1461" s="795" t="str">
        <f ca="1">W1461</f>
        <v/>
      </c>
      <c r="L1461" s="795" t="str">
        <f ca="1">V1461</f>
        <v/>
      </c>
      <c r="M1461" s="777"/>
      <c r="N1461" s="777"/>
      <c r="P1461" s="89">
        <f ca="1">IF(AND(EXACT(C1461,C1459),C1459&lt;&gt;0),P1459+1,0)</f>
        <v>180</v>
      </c>
      <c r="Q1461" s="89" t="str">
        <f ca="1">IF(C1461&lt;&gt;"",C1461&amp;"-"&amp;P1461,"")</f>
        <v/>
      </c>
      <c r="R1461" s="89" t="str">
        <f t="array" aca="1" ref="R1461" ca="1">IFERROR(IF(INDEX('Disaggregation Records'!$E$155:$E$385,MATCH(RIGHT(Q1461,255),RIGHT('Disaggregation Records'!$D$155:$D$385,255),0))="","",INDEX('Disaggregation Records'!$E$155:$E$385,MATCH(RIGHT(Q1461,255),RIGHT('Disaggregation Records'!$D$155:$D$385,255),0))),"")</f>
        <v/>
      </c>
      <c r="S1461" s="89" t="str">
        <f t="array" aca="1" ref="S1461" ca="1">IFERROR(IF(INDEX('Disaggregation Records'!$F$155:$F$385,MATCH(RIGHT(Q1461,255),RIGHT('Disaggregation Records'!$D$155:$D$385,255),0))="","",INDEX('Disaggregation Records'!$F$155:$F$385,MATCH(RIGHT(Q1461,255),RIGHT('Disaggregation Records'!$D$155:$D$385,255),0))),"")</f>
        <v/>
      </c>
      <c r="T1461" s="89" t="str">
        <f t="array" aca="1" ref="T1461" ca="1">IFERROR(IF(INDEX('Disaggregation Records'!$H$155:$H$385,MATCH(RIGHT(Q1461,255),RIGHT('Disaggregation Records'!$D$155:$D$385,255),0))="","",INDEX('Disaggregation Records'!$H$155:$H$385,MATCH(RIGHT(Q1461,255),RIGHT('Disaggregation Records'!$D$155:$D$385,255),0))),"")</f>
        <v/>
      </c>
      <c r="U1461" s="89">
        <f>U1459+1</f>
        <v>1840</v>
      </c>
      <c r="V1461" s="89" t="str">
        <f t="array" aca="1" ref="V1461" ca="1">IFERROR(IF(INDEX('Disaggregation Records'!$I$155:$I$385,MATCH(RIGHT(Q1461,255),RIGHT('Disaggregation Records'!$D$155:$D$385,255),0))="","",INDEX('Disaggregation Records'!$I$155:$I$385,MATCH(RIGHT(Q1461,255),RIGHT('Disaggregation Records'!$D$155:$D$385,255),0))),"")</f>
        <v/>
      </c>
      <c r="W1461" s="89" t="str">
        <f ca="1">IFERROR(INDEX('Reference Records'!L$77:L$157,MATCH(LEFT(C1461,255),'Reference Records'!E$77:E$157,0)),"")</f>
        <v/>
      </c>
    </row>
    <row r="1462" spans="1:23" s="89" customFormat="1" ht="40.35" customHeight="1">
      <c r="A1462" s="564"/>
      <c r="B1462" s="799"/>
      <c r="C1462" s="800"/>
      <c r="D1462" s="801"/>
      <c r="E1462" s="801"/>
      <c r="F1462" s="128"/>
      <c r="G1462" s="802"/>
      <c r="H1462" s="781"/>
      <c r="I1462" s="803"/>
      <c r="J1462" s="779"/>
      <c r="K1462" s="800"/>
      <c r="L1462" s="800"/>
      <c r="M1462" s="779"/>
      <c r="N1462" s="779"/>
    </row>
    <row r="1463" spans="1:23" s="89" customFormat="1" ht="40.35" customHeight="1">
      <c r="A1463" s="564" t="str">
        <f ca="1">INDIRECT("'update Helper'!C"&amp;U1463)</f>
        <v>a163p000004VjrUAAS</v>
      </c>
      <c r="B1463" s="794">
        <v>22</v>
      </c>
      <c r="C1463" s="795" t="str">
        <f ca="1">VLOOKUP(B1463,'Coverage Indicators - Section D'!$A$9:$AU$70,47,FALSE)</f>
        <v/>
      </c>
      <c r="D1463" s="796" t="str">
        <f ca="1">R1463</f>
        <v/>
      </c>
      <c r="E1463" s="796" t="str">
        <f ca="1">S1463</f>
        <v/>
      </c>
      <c r="F1463" s="127"/>
      <c r="G1463" s="797" t="str">
        <f ca="1">IF(OR(INDIRECT("'update Helper'!E"&amp;U1463)="",F1463&lt;&gt;0,F1464&lt;&gt;0),IF(IFERROR((F1463/F1464),"")="","",(F1463/F1464)),INDIRECT("'update Helper'!E"&amp;U1463)/100)</f>
        <v/>
      </c>
      <c r="H1463" s="784"/>
      <c r="I1463" s="798"/>
      <c r="J1463" s="777"/>
      <c r="K1463" s="795" t="str">
        <f ca="1">W1463</f>
        <v/>
      </c>
      <c r="L1463" s="795" t="str">
        <f ca="1">V1463</f>
        <v/>
      </c>
      <c r="M1463" s="777"/>
      <c r="N1463" s="777"/>
      <c r="P1463" s="89">
        <f ca="1">IF(AND(EXACT(C1463,C1461),C1461&lt;&gt;0),P1461+1,0)</f>
        <v>181</v>
      </c>
      <c r="Q1463" s="89" t="str">
        <f ca="1">IF(C1463&lt;&gt;"",C1463&amp;"-"&amp;P1463,"")</f>
        <v/>
      </c>
      <c r="R1463" s="89" t="str">
        <f t="array" aca="1" ref="R1463" ca="1">IFERROR(IF(INDEX('Disaggregation Records'!$E$155:$E$385,MATCH(RIGHT(Q1463,255),RIGHT('Disaggregation Records'!$D$155:$D$385,255),0))="","",INDEX('Disaggregation Records'!$E$155:$E$385,MATCH(RIGHT(Q1463,255),RIGHT('Disaggregation Records'!$D$155:$D$385,255),0))),"")</f>
        <v/>
      </c>
      <c r="S1463" s="89" t="str">
        <f t="array" aca="1" ref="S1463" ca="1">IFERROR(IF(INDEX('Disaggregation Records'!$F$155:$F$385,MATCH(RIGHT(Q1463,255),RIGHT('Disaggregation Records'!$D$155:$D$385,255),0))="","",INDEX('Disaggregation Records'!$F$155:$F$385,MATCH(RIGHT(Q1463,255),RIGHT('Disaggregation Records'!$D$155:$D$385,255),0))),"")</f>
        <v/>
      </c>
      <c r="T1463" s="89" t="str">
        <f t="array" aca="1" ref="T1463" ca="1">IFERROR(IF(INDEX('Disaggregation Records'!$H$155:$H$385,MATCH(RIGHT(Q1463,255),RIGHT('Disaggregation Records'!$D$155:$D$385,255),0))="","",INDEX('Disaggregation Records'!$H$155:$H$385,MATCH(RIGHT(Q1463,255),RIGHT('Disaggregation Records'!$D$155:$D$385,255),0))),"")</f>
        <v/>
      </c>
      <c r="U1463" s="89">
        <f>U1461+1</f>
        <v>1841</v>
      </c>
      <c r="V1463" s="89" t="str">
        <f t="array" aca="1" ref="V1463" ca="1">IFERROR(IF(INDEX('Disaggregation Records'!$I$155:$I$385,MATCH(RIGHT(Q1463,255),RIGHT('Disaggregation Records'!$D$155:$D$385,255),0))="","",INDEX('Disaggregation Records'!$I$155:$I$385,MATCH(RIGHT(Q1463,255),RIGHT('Disaggregation Records'!$D$155:$D$385,255),0))),"")</f>
        <v/>
      </c>
      <c r="W1463" s="89" t="str">
        <f ca="1">IFERROR(INDEX('Reference Records'!L$77:L$157,MATCH(LEFT(C1463,255),'Reference Records'!E$77:E$157,0)),"")</f>
        <v/>
      </c>
    </row>
    <row r="1464" spans="1:23" s="89" customFormat="1" ht="40.35" customHeight="1">
      <c r="A1464" s="564"/>
      <c r="B1464" s="799"/>
      <c r="C1464" s="800"/>
      <c r="D1464" s="801"/>
      <c r="E1464" s="801"/>
      <c r="F1464" s="128"/>
      <c r="G1464" s="802"/>
      <c r="H1464" s="781"/>
      <c r="I1464" s="803"/>
      <c r="J1464" s="779"/>
      <c r="K1464" s="800"/>
      <c r="L1464" s="800"/>
      <c r="M1464" s="779"/>
      <c r="N1464" s="779"/>
    </row>
    <row r="1465" spans="1:23" s="89" customFormat="1" ht="40.35" customHeight="1">
      <c r="A1465" s="564" t="str">
        <f ca="1">INDIRECT("'update Helper'!C"&amp;U1465)</f>
        <v>a163p000004VjrVAAS</v>
      </c>
      <c r="B1465" s="794">
        <v>22</v>
      </c>
      <c r="C1465" s="795" t="str">
        <f ca="1">VLOOKUP(B1465,'Coverage Indicators - Section D'!$A$9:$AU$70,47,FALSE)</f>
        <v/>
      </c>
      <c r="D1465" s="796" t="str">
        <f ca="1">R1465</f>
        <v/>
      </c>
      <c r="E1465" s="796" t="str">
        <f ca="1">S1465</f>
        <v/>
      </c>
      <c r="F1465" s="127"/>
      <c r="G1465" s="797" t="str">
        <f ca="1">IF(OR(INDIRECT("'update Helper'!E"&amp;U1465)="",F1465&lt;&gt;0,F1466&lt;&gt;0),IF(IFERROR((F1465/F1466),"")="","",(F1465/F1466)),INDIRECT("'update Helper'!E"&amp;U1465)/100)</f>
        <v/>
      </c>
      <c r="H1465" s="784"/>
      <c r="I1465" s="798"/>
      <c r="J1465" s="777"/>
      <c r="K1465" s="795" t="str">
        <f ca="1">W1465</f>
        <v/>
      </c>
      <c r="L1465" s="795" t="str">
        <f ca="1">V1465</f>
        <v/>
      </c>
      <c r="M1465" s="777"/>
      <c r="N1465" s="777"/>
      <c r="P1465" s="89">
        <f ca="1">IF(AND(EXACT(C1465,C1463),C1463&lt;&gt;0),P1463+1,0)</f>
        <v>182</v>
      </c>
      <c r="Q1465" s="89" t="str">
        <f ca="1">IF(C1465&lt;&gt;"",C1465&amp;"-"&amp;P1465,"")</f>
        <v/>
      </c>
      <c r="R1465" s="89" t="str">
        <f t="array" aca="1" ref="R1465" ca="1">IFERROR(IF(INDEX('Disaggregation Records'!$E$155:$E$385,MATCH(RIGHT(Q1465,255),RIGHT('Disaggregation Records'!$D$155:$D$385,255),0))="","",INDEX('Disaggregation Records'!$E$155:$E$385,MATCH(RIGHT(Q1465,255),RIGHT('Disaggregation Records'!$D$155:$D$385,255),0))),"")</f>
        <v/>
      </c>
      <c r="S1465" s="89" t="str">
        <f t="array" aca="1" ref="S1465" ca="1">IFERROR(IF(INDEX('Disaggregation Records'!$F$155:$F$385,MATCH(RIGHT(Q1465,255),RIGHT('Disaggregation Records'!$D$155:$D$385,255),0))="","",INDEX('Disaggregation Records'!$F$155:$F$385,MATCH(RIGHT(Q1465,255),RIGHT('Disaggregation Records'!$D$155:$D$385,255),0))),"")</f>
        <v/>
      </c>
      <c r="T1465" s="89" t="str">
        <f t="array" aca="1" ref="T1465" ca="1">IFERROR(IF(INDEX('Disaggregation Records'!$H$155:$H$385,MATCH(RIGHT(Q1465,255),RIGHT('Disaggregation Records'!$D$155:$D$385,255),0))="","",INDEX('Disaggregation Records'!$H$155:$H$385,MATCH(RIGHT(Q1465,255),RIGHT('Disaggregation Records'!$D$155:$D$385,255),0))),"")</f>
        <v/>
      </c>
      <c r="U1465" s="89">
        <f>U1463+1</f>
        <v>1842</v>
      </c>
      <c r="V1465" s="89" t="str">
        <f t="array" aca="1" ref="V1465" ca="1">IFERROR(IF(INDEX('Disaggregation Records'!$I$155:$I$385,MATCH(RIGHT(Q1465,255),RIGHT('Disaggregation Records'!$D$155:$D$385,255),0))="","",INDEX('Disaggregation Records'!$I$155:$I$385,MATCH(RIGHT(Q1465,255),RIGHT('Disaggregation Records'!$D$155:$D$385,255),0))),"")</f>
        <v/>
      </c>
      <c r="W1465" s="89" t="str">
        <f ca="1">IFERROR(INDEX('Reference Records'!L$77:L$157,MATCH(LEFT(C1465,255),'Reference Records'!E$77:E$157,0)),"")</f>
        <v/>
      </c>
    </row>
    <row r="1466" spans="1:23" s="89" customFormat="1" ht="40.35" customHeight="1">
      <c r="A1466" s="564"/>
      <c r="B1466" s="799"/>
      <c r="C1466" s="800"/>
      <c r="D1466" s="801"/>
      <c r="E1466" s="801"/>
      <c r="F1466" s="128"/>
      <c r="G1466" s="802"/>
      <c r="H1466" s="781"/>
      <c r="I1466" s="803"/>
      <c r="J1466" s="779"/>
      <c r="K1466" s="800"/>
      <c r="L1466" s="800"/>
      <c r="M1466" s="779"/>
      <c r="N1466" s="779"/>
    </row>
    <row r="1467" spans="1:23" s="89" customFormat="1" ht="40.35" customHeight="1">
      <c r="A1467" s="564" t="str">
        <f ca="1">INDIRECT("'update Helper'!C"&amp;U1467)</f>
        <v>a163p000004VjrWAAS</v>
      </c>
      <c r="B1467" s="794">
        <v>22</v>
      </c>
      <c r="C1467" s="795" t="str">
        <f ca="1">VLOOKUP(B1467,'Coverage Indicators - Section D'!$A$9:$AU$70,47,FALSE)</f>
        <v/>
      </c>
      <c r="D1467" s="796" t="str">
        <f ca="1">R1467</f>
        <v/>
      </c>
      <c r="E1467" s="796" t="str">
        <f ca="1">S1467</f>
        <v/>
      </c>
      <c r="F1467" s="127"/>
      <c r="G1467" s="797" t="str">
        <f ca="1">IF(OR(INDIRECT("'update Helper'!E"&amp;U1467)="",F1467&lt;&gt;0,F1468&lt;&gt;0),IF(IFERROR((F1467/F1468),"")="","",(F1467/F1468)),INDIRECT("'update Helper'!E"&amp;U1467)/100)</f>
        <v/>
      </c>
      <c r="H1467" s="784"/>
      <c r="I1467" s="798"/>
      <c r="J1467" s="777"/>
      <c r="K1467" s="795" t="str">
        <f ca="1">W1467</f>
        <v/>
      </c>
      <c r="L1467" s="795" t="str">
        <f ca="1">V1467</f>
        <v/>
      </c>
      <c r="M1467" s="777"/>
      <c r="N1467" s="777"/>
      <c r="P1467" s="89">
        <f ca="1">IF(AND(EXACT(C1467,C1465),C1465&lt;&gt;0),P1465+1,0)</f>
        <v>183</v>
      </c>
      <c r="Q1467" s="89" t="str">
        <f ca="1">IF(C1467&lt;&gt;"",C1467&amp;"-"&amp;P1467,"")</f>
        <v/>
      </c>
      <c r="R1467" s="89" t="str">
        <f t="array" aca="1" ref="R1467" ca="1">IFERROR(IF(INDEX('Disaggregation Records'!$E$155:$E$385,MATCH(RIGHT(Q1467,255),RIGHT('Disaggregation Records'!$D$155:$D$385,255),0))="","",INDEX('Disaggregation Records'!$E$155:$E$385,MATCH(RIGHT(Q1467,255),RIGHT('Disaggregation Records'!$D$155:$D$385,255),0))),"")</f>
        <v/>
      </c>
      <c r="S1467" s="89" t="str">
        <f t="array" aca="1" ref="S1467" ca="1">IFERROR(IF(INDEX('Disaggregation Records'!$F$155:$F$385,MATCH(RIGHT(Q1467,255),RIGHT('Disaggregation Records'!$D$155:$D$385,255),0))="","",INDEX('Disaggregation Records'!$F$155:$F$385,MATCH(RIGHT(Q1467,255),RIGHT('Disaggregation Records'!$D$155:$D$385,255),0))),"")</f>
        <v/>
      </c>
      <c r="T1467" s="89" t="str">
        <f t="array" aca="1" ref="T1467" ca="1">IFERROR(IF(INDEX('Disaggregation Records'!$H$155:$H$385,MATCH(RIGHT(Q1467,255),RIGHT('Disaggregation Records'!$D$155:$D$385,255),0))="","",INDEX('Disaggregation Records'!$H$155:$H$385,MATCH(RIGHT(Q1467,255),RIGHT('Disaggregation Records'!$D$155:$D$385,255),0))),"")</f>
        <v/>
      </c>
      <c r="U1467" s="89">
        <f>U1465+1</f>
        <v>1843</v>
      </c>
      <c r="V1467" s="89" t="str">
        <f t="array" aca="1" ref="V1467" ca="1">IFERROR(IF(INDEX('Disaggregation Records'!$I$155:$I$385,MATCH(RIGHT(Q1467,255),RIGHT('Disaggregation Records'!$D$155:$D$385,255),0))="","",INDEX('Disaggregation Records'!$I$155:$I$385,MATCH(RIGHT(Q1467,255),RIGHT('Disaggregation Records'!$D$155:$D$385,255),0))),"")</f>
        <v/>
      </c>
      <c r="W1467" s="89" t="str">
        <f ca="1">IFERROR(INDEX('Reference Records'!L$77:L$157,MATCH(LEFT(C1467,255),'Reference Records'!E$77:E$157,0)),"")</f>
        <v/>
      </c>
    </row>
    <row r="1468" spans="1:23" s="89" customFormat="1" ht="40.35" customHeight="1">
      <c r="A1468" s="564"/>
      <c r="B1468" s="799"/>
      <c r="C1468" s="800"/>
      <c r="D1468" s="801"/>
      <c r="E1468" s="801"/>
      <c r="F1468" s="128"/>
      <c r="G1468" s="802"/>
      <c r="H1468" s="781"/>
      <c r="I1468" s="803"/>
      <c r="J1468" s="779"/>
      <c r="K1468" s="800"/>
      <c r="L1468" s="800"/>
      <c r="M1468" s="779"/>
      <c r="N1468" s="779"/>
    </row>
    <row r="1469" spans="1:23" s="89" customFormat="1" ht="40.35" customHeight="1">
      <c r="A1469" s="564" t="str">
        <f ca="1">INDIRECT("'update Helper'!C"&amp;U1469)</f>
        <v>a163p000004VjrXAAS</v>
      </c>
      <c r="B1469" s="794">
        <v>22</v>
      </c>
      <c r="C1469" s="795" t="str">
        <f ca="1">VLOOKUP(B1469,'Coverage Indicators - Section D'!$A$9:$AU$70,47,FALSE)</f>
        <v/>
      </c>
      <c r="D1469" s="796" t="str">
        <f ca="1">R1469</f>
        <v/>
      </c>
      <c r="E1469" s="796" t="str">
        <f ca="1">S1469</f>
        <v/>
      </c>
      <c r="F1469" s="127"/>
      <c r="G1469" s="797" t="str">
        <f ca="1">IF(OR(INDIRECT("'update Helper'!E"&amp;U1469)="",F1469&lt;&gt;0,F1470&lt;&gt;0),IF(IFERROR((F1469/F1470),"")="","",(F1469/F1470)),INDIRECT("'update Helper'!E"&amp;U1469)/100)</f>
        <v/>
      </c>
      <c r="H1469" s="784"/>
      <c r="I1469" s="798"/>
      <c r="J1469" s="777"/>
      <c r="K1469" s="795" t="str">
        <f ca="1">W1469</f>
        <v/>
      </c>
      <c r="L1469" s="795" t="str">
        <f ca="1">V1469</f>
        <v/>
      </c>
      <c r="M1469" s="777"/>
      <c r="N1469" s="777"/>
      <c r="P1469" s="89">
        <f ca="1">IF(AND(EXACT(C1469,C1467),C1467&lt;&gt;0),P1467+1,0)</f>
        <v>184</v>
      </c>
      <c r="Q1469" s="89" t="str">
        <f ca="1">IF(C1469&lt;&gt;"",C1469&amp;"-"&amp;P1469,"")</f>
        <v/>
      </c>
      <c r="R1469" s="89" t="str">
        <f t="array" aca="1" ref="R1469" ca="1">IFERROR(IF(INDEX('Disaggregation Records'!$E$155:$E$385,MATCH(RIGHT(Q1469,255),RIGHT('Disaggregation Records'!$D$155:$D$385,255),0))="","",INDEX('Disaggregation Records'!$E$155:$E$385,MATCH(RIGHT(Q1469,255),RIGHT('Disaggregation Records'!$D$155:$D$385,255),0))),"")</f>
        <v/>
      </c>
      <c r="S1469" s="89" t="str">
        <f t="array" aca="1" ref="S1469" ca="1">IFERROR(IF(INDEX('Disaggregation Records'!$F$155:$F$385,MATCH(RIGHT(Q1469,255),RIGHT('Disaggregation Records'!$D$155:$D$385,255),0))="","",INDEX('Disaggregation Records'!$F$155:$F$385,MATCH(RIGHT(Q1469,255),RIGHT('Disaggregation Records'!$D$155:$D$385,255),0))),"")</f>
        <v/>
      </c>
      <c r="T1469" s="89" t="str">
        <f t="array" aca="1" ref="T1469" ca="1">IFERROR(IF(INDEX('Disaggregation Records'!$H$155:$H$385,MATCH(RIGHT(Q1469,255),RIGHT('Disaggregation Records'!$D$155:$D$385,255),0))="","",INDEX('Disaggregation Records'!$H$155:$H$385,MATCH(RIGHT(Q1469,255),RIGHT('Disaggregation Records'!$D$155:$D$385,255),0))),"")</f>
        <v/>
      </c>
      <c r="U1469" s="89">
        <f>U1467+1</f>
        <v>1844</v>
      </c>
      <c r="V1469" s="89" t="str">
        <f t="array" aca="1" ref="V1469" ca="1">IFERROR(IF(INDEX('Disaggregation Records'!$I$155:$I$385,MATCH(RIGHT(Q1469,255),RIGHT('Disaggregation Records'!$D$155:$D$385,255),0))="","",INDEX('Disaggregation Records'!$I$155:$I$385,MATCH(RIGHT(Q1469,255),RIGHT('Disaggregation Records'!$D$155:$D$385,255),0))),"")</f>
        <v/>
      </c>
      <c r="W1469" s="89" t="str">
        <f ca="1">IFERROR(INDEX('Reference Records'!L$77:L$157,MATCH(LEFT(C1469,255),'Reference Records'!E$77:E$157,0)),"")</f>
        <v/>
      </c>
    </row>
    <row r="1470" spans="1:23" s="89" customFormat="1" ht="40.35" customHeight="1">
      <c r="A1470" s="564"/>
      <c r="B1470" s="799"/>
      <c r="C1470" s="800"/>
      <c r="D1470" s="801"/>
      <c r="E1470" s="801"/>
      <c r="F1470" s="128"/>
      <c r="G1470" s="802"/>
      <c r="H1470" s="781"/>
      <c r="I1470" s="803"/>
      <c r="J1470" s="779"/>
      <c r="K1470" s="800"/>
      <c r="L1470" s="800"/>
      <c r="M1470" s="779"/>
      <c r="N1470" s="779"/>
    </row>
    <row r="1471" spans="1:23" s="89" customFormat="1" ht="40.35" customHeight="1">
      <c r="A1471" s="564" t="str">
        <f ca="1">INDIRECT("'update Helper'!C"&amp;U1471)</f>
        <v>a163p000004VjrYAAS</v>
      </c>
      <c r="B1471" s="794">
        <v>22</v>
      </c>
      <c r="C1471" s="795" t="str">
        <f ca="1">VLOOKUP(B1471,'Coverage Indicators - Section D'!$A$9:$AU$70,47,FALSE)</f>
        <v/>
      </c>
      <c r="D1471" s="796" t="str">
        <f ca="1">R1471</f>
        <v/>
      </c>
      <c r="E1471" s="796" t="str">
        <f ca="1">S1471</f>
        <v/>
      </c>
      <c r="F1471" s="127"/>
      <c r="G1471" s="797" t="str">
        <f ca="1">IF(OR(INDIRECT("'update Helper'!E"&amp;U1471)="",F1471&lt;&gt;0,F1472&lt;&gt;0),IF(IFERROR((F1471/F1472),"")="","",(F1471/F1472)),INDIRECT("'update Helper'!E"&amp;U1471)/100)</f>
        <v/>
      </c>
      <c r="H1471" s="784"/>
      <c r="I1471" s="798"/>
      <c r="J1471" s="777"/>
      <c r="K1471" s="795" t="str">
        <f ca="1">W1471</f>
        <v/>
      </c>
      <c r="L1471" s="795" t="str">
        <f ca="1">V1471</f>
        <v/>
      </c>
      <c r="M1471" s="777"/>
      <c r="N1471" s="777"/>
      <c r="P1471" s="89">
        <f ca="1">IF(AND(EXACT(C1471,C1469),C1469&lt;&gt;0),P1469+1,0)</f>
        <v>185</v>
      </c>
      <c r="Q1471" s="89" t="str">
        <f ca="1">IF(C1471&lt;&gt;"",C1471&amp;"-"&amp;P1471,"")</f>
        <v/>
      </c>
      <c r="R1471" s="89" t="str">
        <f t="array" aca="1" ref="R1471" ca="1">IFERROR(IF(INDEX('Disaggregation Records'!$E$155:$E$385,MATCH(RIGHT(Q1471,255),RIGHT('Disaggregation Records'!$D$155:$D$385,255),0))="","",INDEX('Disaggregation Records'!$E$155:$E$385,MATCH(RIGHT(Q1471,255),RIGHT('Disaggregation Records'!$D$155:$D$385,255),0))),"")</f>
        <v/>
      </c>
      <c r="S1471" s="89" t="str">
        <f t="array" aca="1" ref="S1471" ca="1">IFERROR(IF(INDEX('Disaggregation Records'!$F$155:$F$385,MATCH(RIGHT(Q1471,255),RIGHT('Disaggregation Records'!$D$155:$D$385,255),0))="","",INDEX('Disaggregation Records'!$F$155:$F$385,MATCH(RIGHT(Q1471,255),RIGHT('Disaggregation Records'!$D$155:$D$385,255),0))),"")</f>
        <v/>
      </c>
      <c r="T1471" s="89" t="str">
        <f t="array" aca="1" ref="T1471" ca="1">IFERROR(IF(INDEX('Disaggregation Records'!$H$155:$H$385,MATCH(RIGHT(Q1471,255),RIGHT('Disaggregation Records'!$D$155:$D$385,255),0))="","",INDEX('Disaggregation Records'!$H$155:$H$385,MATCH(RIGHT(Q1471,255),RIGHT('Disaggregation Records'!$D$155:$D$385,255),0))),"")</f>
        <v/>
      </c>
      <c r="U1471" s="89">
        <f>U1469+1</f>
        <v>1845</v>
      </c>
      <c r="V1471" s="89" t="str">
        <f t="array" aca="1" ref="V1471" ca="1">IFERROR(IF(INDEX('Disaggregation Records'!$I$155:$I$385,MATCH(RIGHT(Q1471,255),RIGHT('Disaggregation Records'!$D$155:$D$385,255),0))="","",INDEX('Disaggregation Records'!$I$155:$I$385,MATCH(RIGHT(Q1471,255),RIGHT('Disaggregation Records'!$D$155:$D$385,255),0))),"")</f>
        <v/>
      </c>
      <c r="W1471" s="89" t="str">
        <f ca="1">IFERROR(INDEX('Reference Records'!L$77:L$157,MATCH(LEFT(C1471,255),'Reference Records'!E$77:E$157,0)),"")</f>
        <v/>
      </c>
    </row>
    <row r="1472" spans="1:23" s="89" customFormat="1" ht="40.35" customHeight="1">
      <c r="A1472" s="564"/>
      <c r="B1472" s="799"/>
      <c r="C1472" s="800"/>
      <c r="D1472" s="801"/>
      <c r="E1472" s="801"/>
      <c r="F1472" s="128"/>
      <c r="G1472" s="802"/>
      <c r="H1472" s="781"/>
      <c r="I1472" s="803"/>
      <c r="J1472" s="779"/>
      <c r="K1472" s="800"/>
      <c r="L1472" s="800"/>
      <c r="M1472" s="779"/>
      <c r="N1472" s="779"/>
    </row>
    <row r="1473" spans="1:23" s="89" customFormat="1" ht="40.35" customHeight="1">
      <c r="A1473" s="564" t="str">
        <f ca="1">INDIRECT("'update Helper'!C"&amp;U1473)</f>
        <v>a163p000004VjrZAAS</v>
      </c>
      <c r="B1473" s="794">
        <v>22</v>
      </c>
      <c r="C1473" s="795" t="str">
        <f ca="1">VLOOKUP(B1473,'Coverage Indicators - Section D'!$A$9:$AU$70,47,FALSE)</f>
        <v/>
      </c>
      <c r="D1473" s="796" t="str">
        <f ca="1">R1473</f>
        <v/>
      </c>
      <c r="E1473" s="796" t="str">
        <f ca="1">S1473</f>
        <v/>
      </c>
      <c r="F1473" s="127"/>
      <c r="G1473" s="797" t="str">
        <f ca="1">IF(OR(INDIRECT("'update Helper'!E"&amp;U1473)="",F1473&lt;&gt;0,F1474&lt;&gt;0),IF(IFERROR((F1473/F1474),"")="","",(F1473/F1474)),INDIRECT("'update Helper'!E"&amp;U1473)/100)</f>
        <v/>
      </c>
      <c r="H1473" s="784"/>
      <c r="I1473" s="798"/>
      <c r="J1473" s="777"/>
      <c r="K1473" s="795" t="str">
        <f ca="1">W1473</f>
        <v/>
      </c>
      <c r="L1473" s="795" t="str">
        <f ca="1">V1473</f>
        <v/>
      </c>
      <c r="M1473" s="777"/>
      <c r="N1473" s="777"/>
      <c r="P1473" s="89">
        <f ca="1">IF(AND(EXACT(C1473,C1471),C1471&lt;&gt;0),P1471+1,0)</f>
        <v>186</v>
      </c>
      <c r="Q1473" s="89" t="str">
        <f ca="1">IF(C1473&lt;&gt;"",C1473&amp;"-"&amp;P1473,"")</f>
        <v/>
      </c>
      <c r="R1473" s="89" t="str">
        <f t="array" aca="1" ref="R1473" ca="1">IFERROR(IF(INDEX('Disaggregation Records'!$E$155:$E$385,MATCH(RIGHT(Q1473,255),RIGHT('Disaggregation Records'!$D$155:$D$385,255),0))="","",INDEX('Disaggregation Records'!$E$155:$E$385,MATCH(RIGHT(Q1473,255),RIGHT('Disaggregation Records'!$D$155:$D$385,255),0))),"")</f>
        <v/>
      </c>
      <c r="S1473" s="89" t="str">
        <f t="array" aca="1" ref="S1473" ca="1">IFERROR(IF(INDEX('Disaggregation Records'!$F$155:$F$385,MATCH(RIGHT(Q1473,255),RIGHT('Disaggregation Records'!$D$155:$D$385,255),0))="","",INDEX('Disaggregation Records'!$F$155:$F$385,MATCH(RIGHT(Q1473,255),RIGHT('Disaggregation Records'!$D$155:$D$385,255),0))),"")</f>
        <v/>
      </c>
      <c r="T1473" s="89" t="str">
        <f t="array" aca="1" ref="T1473" ca="1">IFERROR(IF(INDEX('Disaggregation Records'!$H$155:$H$385,MATCH(RIGHT(Q1473,255),RIGHT('Disaggregation Records'!$D$155:$D$385,255),0))="","",INDEX('Disaggregation Records'!$H$155:$H$385,MATCH(RIGHT(Q1473,255),RIGHT('Disaggregation Records'!$D$155:$D$385,255),0))),"")</f>
        <v/>
      </c>
      <c r="U1473" s="89">
        <f>U1471+1</f>
        <v>1846</v>
      </c>
      <c r="V1473" s="89" t="str">
        <f t="array" aca="1" ref="V1473" ca="1">IFERROR(IF(INDEX('Disaggregation Records'!$I$155:$I$385,MATCH(RIGHT(Q1473,255),RIGHT('Disaggregation Records'!$D$155:$D$385,255),0))="","",INDEX('Disaggregation Records'!$I$155:$I$385,MATCH(RIGHT(Q1473,255),RIGHT('Disaggregation Records'!$D$155:$D$385,255),0))),"")</f>
        <v/>
      </c>
      <c r="W1473" s="89" t="str">
        <f ca="1">IFERROR(INDEX('Reference Records'!L$77:L$157,MATCH(LEFT(C1473,255),'Reference Records'!E$77:E$157,0)),"")</f>
        <v/>
      </c>
    </row>
    <row r="1474" spans="1:23" s="89" customFormat="1" ht="40.35" customHeight="1">
      <c r="A1474" s="564"/>
      <c r="B1474" s="799"/>
      <c r="C1474" s="800"/>
      <c r="D1474" s="801"/>
      <c r="E1474" s="801"/>
      <c r="F1474" s="128"/>
      <c r="G1474" s="802"/>
      <c r="H1474" s="781"/>
      <c r="I1474" s="803"/>
      <c r="J1474" s="779"/>
      <c r="K1474" s="800"/>
      <c r="L1474" s="800"/>
      <c r="M1474" s="779"/>
      <c r="N1474" s="779"/>
    </row>
    <row r="1475" spans="1:23" s="89" customFormat="1" ht="40.35" customHeight="1">
      <c r="A1475" s="564" t="str">
        <f ca="1">INDIRECT("'update Helper'!C"&amp;U1475)</f>
        <v>a163p000004VjraAAC</v>
      </c>
      <c r="B1475" s="794">
        <v>22</v>
      </c>
      <c r="C1475" s="795" t="str">
        <f ca="1">VLOOKUP(B1475,'Coverage Indicators - Section D'!$A$9:$AU$70,47,FALSE)</f>
        <v/>
      </c>
      <c r="D1475" s="796" t="str">
        <f ca="1">R1475</f>
        <v/>
      </c>
      <c r="E1475" s="796" t="str">
        <f ca="1">S1475</f>
        <v/>
      </c>
      <c r="F1475" s="127"/>
      <c r="G1475" s="797" t="str">
        <f ca="1">IF(OR(INDIRECT("'update Helper'!E"&amp;U1475)="",F1475&lt;&gt;0,F1476&lt;&gt;0),IF(IFERROR((F1475/F1476),"")="","",(F1475/F1476)),INDIRECT("'update Helper'!E"&amp;U1475)/100)</f>
        <v/>
      </c>
      <c r="H1475" s="784"/>
      <c r="I1475" s="798"/>
      <c r="J1475" s="777"/>
      <c r="K1475" s="795" t="str">
        <f ca="1">W1475</f>
        <v/>
      </c>
      <c r="L1475" s="795" t="str">
        <f ca="1">V1475</f>
        <v/>
      </c>
      <c r="M1475" s="777"/>
      <c r="N1475" s="777"/>
      <c r="P1475" s="89">
        <f ca="1">IF(AND(EXACT(C1475,C1473),C1473&lt;&gt;0),P1473+1,0)</f>
        <v>187</v>
      </c>
      <c r="Q1475" s="89" t="str">
        <f ca="1">IF(C1475&lt;&gt;"",C1475&amp;"-"&amp;P1475,"")</f>
        <v/>
      </c>
      <c r="R1475" s="89" t="str">
        <f t="array" aca="1" ref="R1475" ca="1">IFERROR(IF(INDEX('Disaggregation Records'!$E$155:$E$385,MATCH(RIGHT(Q1475,255),RIGHT('Disaggregation Records'!$D$155:$D$385,255),0))="","",INDEX('Disaggregation Records'!$E$155:$E$385,MATCH(RIGHT(Q1475,255),RIGHT('Disaggregation Records'!$D$155:$D$385,255),0))),"")</f>
        <v/>
      </c>
      <c r="S1475" s="89" t="str">
        <f t="array" aca="1" ref="S1475" ca="1">IFERROR(IF(INDEX('Disaggregation Records'!$F$155:$F$385,MATCH(RIGHT(Q1475,255),RIGHT('Disaggregation Records'!$D$155:$D$385,255),0))="","",INDEX('Disaggregation Records'!$F$155:$F$385,MATCH(RIGHT(Q1475,255),RIGHT('Disaggregation Records'!$D$155:$D$385,255),0))),"")</f>
        <v/>
      </c>
      <c r="T1475" s="89" t="str">
        <f t="array" aca="1" ref="T1475" ca="1">IFERROR(IF(INDEX('Disaggregation Records'!$H$155:$H$385,MATCH(RIGHT(Q1475,255),RIGHT('Disaggregation Records'!$D$155:$D$385,255),0))="","",INDEX('Disaggregation Records'!$H$155:$H$385,MATCH(RIGHT(Q1475,255),RIGHT('Disaggregation Records'!$D$155:$D$385,255),0))),"")</f>
        <v/>
      </c>
      <c r="U1475" s="89">
        <f>U1473+1</f>
        <v>1847</v>
      </c>
      <c r="V1475" s="89" t="str">
        <f t="array" aca="1" ref="V1475" ca="1">IFERROR(IF(INDEX('Disaggregation Records'!$I$155:$I$385,MATCH(RIGHT(Q1475,255),RIGHT('Disaggregation Records'!$D$155:$D$385,255),0))="","",INDEX('Disaggregation Records'!$I$155:$I$385,MATCH(RIGHT(Q1475,255),RIGHT('Disaggregation Records'!$D$155:$D$385,255),0))),"")</f>
        <v/>
      </c>
      <c r="W1475" s="89" t="str">
        <f ca="1">IFERROR(INDEX('Reference Records'!L$77:L$157,MATCH(LEFT(C1475,255),'Reference Records'!E$77:E$157,0)),"")</f>
        <v/>
      </c>
    </row>
    <row r="1476" spans="1:23" s="89" customFormat="1" ht="40.35" customHeight="1">
      <c r="A1476" s="564"/>
      <c r="B1476" s="799"/>
      <c r="C1476" s="800"/>
      <c r="D1476" s="801"/>
      <c r="E1476" s="801"/>
      <c r="F1476" s="128"/>
      <c r="G1476" s="802"/>
      <c r="H1476" s="781"/>
      <c r="I1476" s="803"/>
      <c r="J1476" s="779"/>
      <c r="K1476" s="800"/>
      <c r="L1476" s="800"/>
      <c r="M1476" s="779"/>
      <c r="N1476" s="779"/>
    </row>
    <row r="1477" spans="1:23" s="89" customFormat="1" ht="40.35" customHeight="1">
      <c r="A1477" s="564" t="str">
        <f ca="1">INDIRECT("'update Helper'!C"&amp;U1477)</f>
        <v>a163p000004VjrbAAC</v>
      </c>
      <c r="B1477" s="794">
        <v>22</v>
      </c>
      <c r="C1477" s="795" t="str">
        <f ca="1">VLOOKUP(B1477,'Coverage Indicators - Section D'!$A$9:$AU$70,47,FALSE)</f>
        <v/>
      </c>
      <c r="D1477" s="796" t="str">
        <f ca="1">R1477</f>
        <v/>
      </c>
      <c r="E1477" s="796" t="str">
        <f ca="1">S1477</f>
        <v/>
      </c>
      <c r="F1477" s="127"/>
      <c r="G1477" s="797" t="str">
        <f ca="1">IF(OR(INDIRECT("'update Helper'!E"&amp;U1477)="",F1477&lt;&gt;0,F1478&lt;&gt;0),IF(IFERROR((F1477/F1478),"")="","",(F1477/F1478)),INDIRECT("'update Helper'!E"&amp;U1477)/100)</f>
        <v/>
      </c>
      <c r="H1477" s="784"/>
      <c r="I1477" s="798"/>
      <c r="J1477" s="777"/>
      <c r="K1477" s="795" t="str">
        <f ca="1">W1477</f>
        <v/>
      </c>
      <c r="L1477" s="795" t="str">
        <f ca="1">V1477</f>
        <v/>
      </c>
      <c r="M1477" s="777"/>
      <c r="N1477" s="777"/>
      <c r="P1477" s="89">
        <f ca="1">IF(AND(EXACT(C1477,C1475),C1475&lt;&gt;0),P1475+1,0)</f>
        <v>188</v>
      </c>
      <c r="Q1477" s="89" t="str">
        <f ca="1">IF(C1477&lt;&gt;"",C1477&amp;"-"&amp;P1477,"")</f>
        <v/>
      </c>
      <c r="R1477" s="89" t="str">
        <f t="array" aca="1" ref="R1477" ca="1">IFERROR(IF(INDEX('Disaggregation Records'!$E$155:$E$385,MATCH(RIGHT(Q1477,255),RIGHT('Disaggregation Records'!$D$155:$D$385,255),0))="","",INDEX('Disaggregation Records'!$E$155:$E$385,MATCH(RIGHT(Q1477,255),RIGHT('Disaggregation Records'!$D$155:$D$385,255),0))),"")</f>
        <v/>
      </c>
      <c r="S1477" s="89" t="str">
        <f t="array" aca="1" ref="S1477" ca="1">IFERROR(IF(INDEX('Disaggregation Records'!$F$155:$F$385,MATCH(RIGHT(Q1477,255),RIGHT('Disaggregation Records'!$D$155:$D$385,255),0))="","",INDEX('Disaggregation Records'!$F$155:$F$385,MATCH(RIGHT(Q1477,255),RIGHT('Disaggregation Records'!$D$155:$D$385,255),0))),"")</f>
        <v/>
      </c>
      <c r="T1477" s="89" t="str">
        <f t="array" aca="1" ref="T1477" ca="1">IFERROR(IF(INDEX('Disaggregation Records'!$H$155:$H$385,MATCH(RIGHT(Q1477,255),RIGHT('Disaggregation Records'!$D$155:$D$385,255),0))="","",INDEX('Disaggregation Records'!$H$155:$H$385,MATCH(RIGHT(Q1477,255),RIGHT('Disaggregation Records'!$D$155:$D$385,255),0))),"")</f>
        <v/>
      </c>
      <c r="U1477" s="89">
        <f>U1475+1</f>
        <v>1848</v>
      </c>
      <c r="V1477" s="89" t="str">
        <f t="array" aca="1" ref="V1477" ca="1">IFERROR(IF(INDEX('Disaggregation Records'!$I$155:$I$385,MATCH(RIGHT(Q1477,255),RIGHT('Disaggregation Records'!$D$155:$D$385,255),0))="","",INDEX('Disaggregation Records'!$I$155:$I$385,MATCH(RIGHT(Q1477,255),RIGHT('Disaggregation Records'!$D$155:$D$385,255),0))),"")</f>
        <v/>
      </c>
      <c r="W1477" s="89" t="str">
        <f ca="1">IFERROR(INDEX('Reference Records'!L$77:L$157,MATCH(LEFT(C1477,255),'Reference Records'!E$77:E$157,0)),"")</f>
        <v/>
      </c>
    </row>
    <row r="1478" spans="1:23" s="89" customFormat="1" ht="40.35" customHeight="1">
      <c r="A1478" s="564"/>
      <c r="B1478" s="799"/>
      <c r="C1478" s="800"/>
      <c r="D1478" s="801"/>
      <c r="E1478" s="801"/>
      <c r="F1478" s="128"/>
      <c r="G1478" s="802"/>
      <c r="H1478" s="781"/>
      <c r="I1478" s="803"/>
      <c r="J1478" s="779"/>
      <c r="K1478" s="800"/>
      <c r="L1478" s="800"/>
      <c r="M1478" s="779"/>
      <c r="N1478" s="779"/>
    </row>
    <row r="1479" spans="1:23" s="89" customFormat="1" ht="40.35" customHeight="1">
      <c r="A1479" s="564" t="str">
        <f ca="1">INDIRECT("'update Helper'!C"&amp;U1479)</f>
        <v>a163p000004VjrcAAC</v>
      </c>
      <c r="B1479" s="794">
        <v>22</v>
      </c>
      <c r="C1479" s="795" t="str">
        <f ca="1">VLOOKUP(B1479,'Coverage Indicators - Section D'!$A$9:$AU$70,47,FALSE)</f>
        <v/>
      </c>
      <c r="D1479" s="796" t="str">
        <f ca="1">R1479</f>
        <v/>
      </c>
      <c r="E1479" s="796" t="str">
        <f ca="1">S1479</f>
        <v/>
      </c>
      <c r="F1479" s="127"/>
      <c r="G1479" s="797" t="str">
        <f ca="1">IF(OR(INDIRECT("'update Helper'!E"&amp;U1479)="",F1479&lt;&gt;0,F1480&lt;&gt;0),IF(IFERROR((F1479/F1480),"")="","",(F1479/F1480)),INDIRECT("'update Helper'!E"&amp;U1479)/100)</f>
        <v/>
      </c>
      <c r="H1479" s="784"/>
      <c r="I1479" s="798"/>
      <c r="J1479" s="777"/>
      <c r="K1479" s="795" t="str">
        <f ca="1">W1479</f>
        <v/>
      </c>
      <c r="L1479" s="795" t="str">
        <f ca="1">V1479</f>
        <v/>
      </c>
      <c r="M1479" s="777"/>
      <c r="N1479" s="777"/>
      <c r="P1479" s="89">
        <f ca="1">IF(AND(EXACT(C1479,C1477),C1477&lt;&gt;0),P1477+1,0)</f>
        <v>189</v>
      </c>
      <c r="Q1479" s="89" t="str">
        <f ca="1">IF(C1479&lt;&gt;"",C1479&amp;"-"&amp;P1479,"")</f>
        <v/>
      </c>
      <c r="R1479" s="89" t="str">
        <f t="array" aca="1" ref="R1479" ca="1">IFERROR(IF(INDEX('Disaggregation Records'!$E$155:$E$385,MATCH(RIGHT(Q1479,255),RIGHT('Disaggregation Records'!$D$155:$D$385,255),0))="","",INDEX('Disaggregation Records'!$E$155:$E$385,MATCH(RIGHT(Q1479,255),RIGHT('Disaggregation Records'!$D$155:$D$385,255),0))),"")</f>
        <v/>
      </c>
      <c r="S1479" s="89" t="str">
        <f t="array" aca="1" ref="S1479" ca="1">IFERROR(IF(INDEX('Disaggregation Records'!$F$155:$F$385,MATCH(RIGHT(Q1479,255),RIGHT('Disaggregation Records'!$D$155:$D$385,255),0))="","",INDEX('Disaggregation Records'!$F$155:$F$385,MATCH(RIGHT(Q1479,255),RIGHT('Disaggregation Records'!$D$155:$D$385,255),0))),"")</f>
        <v/>
      </c>
      <c r="T1479" s="89" t="str">
        <f t="array" aca="1" ref="T1479" ca="1">IFERROR(IF(INDEX('Disaggregation Records'!$H$155:$H$385,MATCH(RIGHT(Q1479,255),RIGHT('Disaggregation Records'!$D$155:$D$385,255),0))="","",INDEX('Disaggregation Records'!$H$155:$H$385,MATCH(RIGHT(Q1479,255),RIGHT('Disaggregation Records'!$D$155:$D$385,255),0))),"")</f>
        <v/>
      </c>
      <c r="U1479" s="89">
        <f>U1477+1</f>
        <v>1849</v>
      </c>
      <c r="V1479" s="89" t="str">
        <f t="array" aca="1" ref="V1479" ca="1">IFERROR(IF(INDEX('Disaggregation Records'!$I$155:$I$385,MATCH(RIGHT(Q1479,255),RIGHT('Disaggregation Records'!$D$155:$D$385,255),0))="","",INDEX('Disaggregation Records'!$I$155:$I$385,MATCH(RIGHT(Q1479,255),RIGHT('Disaggregation Records'!$D$155:$D$385,255),0))),"")</f>
        <v/>
      </c>
      <c r="W1479" s="89" t="str">
        <f ca="1">IFERROR(INDEX('Reference Records'!L$77:L$157,MATCH(LEFT(C1479,255),'Reference Records'!E$77:E$157,0)),"")</f>
        <v/>
      </c>
    </row>
    <row r="1480" spans="1:23" s="89" customFormat="1" ht="40.35" customHeight="1">
      <c r="A1480" s="564"/>
      <c r="B1480" s="799"/>
      <c r="C1480" s="800"/>
      <c r="D1480" s="801"/>
      <c r="E1480" s="801"/>
      <c r="F1480" s="128"/>
      <c r="G1480" s="802"/>
      <c r="H1480" s="781"/>
      <c r="I1480" s="803"/>
      <c r="J1480" s="779"/>
      <c r="K1480" s="800"/>
      <c r="L1480" s="800"/>
      <c r="M1480" s="779"/>
      <c r="N1480" s="779"/>
    </row>
    <row r="1481" spans="1:23" s="89" customFormat="1" ht="40.35" customHeight="1">
      <c r="A1481" s="564" t="str">
        <f ca="1">INDIRECT("'update Helper'!C"&amp;U1481)</f>
        <v>a163p000004VjrdAAC</v>
      </c>
      <c r="B1481" s="794">
        <v>22</v>
      </c>
      <c r="C1481" s="795" t="str">
        <f ca="1">VLOOKUP(B1481,'Coverage Indicators - Section D'!$A$9:$AU$70,47,FALSE)</f>
        <v/>
      </c>
      <c r="D1481" s="796" t="str">
        <f ca="1">R1481</f>
        <v/>
      </c>
      <c r="E1481" s="796" t="str">
        <f ca="1">S1481</f>
        <v/>
      </c>
      <c r="F1481" s="127"/>
      <c r="G1481" s="797" t="str">
        <f ca="1">IF(OR(INDIRECT("'update Helper'!E"&amp;U1481)="",F1481&lt;&gt;0,F1482&lt;&gt;0),IF(IFERROR((F1481/F1482),"")="","",(F1481/F1482)),INDIRECT("'update Helper'!E"&amp;U1481)/100)</f>
        <v/>
      </c>
      <c r="H1481" s="784"/>
      <c r="I1481" s="798"/>
      <c r="J1481" s="777"/>
      <c r="K1481" s="795" t="str">
        <f ca="1">W1481</f>
        <v/>
      </c>
      <c r="L1481" s="795" t="str">
        <f ca="1">V1481</f>
        <v/>
      </c>
      <c r="M1481" s="777"/>
      <c r="N1481" s="777"/>
      <c r="P1481" s="89">
        <f ca="1">IF(AND(EXACT(C1481,C1479),C1479&lt;&gt;0),P1479+1,0)</f>
        <v>190</v>
      </c>
      <c r="Q1481" s="89" t="str">
        <f ca="1">IF(C1481&lt;&gt;"",C1481&amp;"-"&amp;P1481,"")</f>
        <v/>
      </c>
      <c r="R1481" s="89" t="str">
        <f t="array" aca="1" ref="R1481" ca="1">IFERROR(IF(INDEX('Disaggregation Records'!$E$155:$E$385,MATCH(RIGHT(Q1481,255),RIGHT('Disaggregation Records'!$D$155:$D$385,255),0))="","",INDEX('Disaggregation Records'!$E$155:$E$385,MATCH(RIGHT(Q1481,255),RIGHT('Disaggregation Records'!$D$155:$D$385,255),0))),"")</f>
        <v/>
      </c>
      <c r="S1481" s="89" t="str">
        <f t="array" aca="1" ref="S1481" ca="1">IFERROR(IF(INDEX('Disaggregation Records'!$F$155:$F$385,MATCH(RIGHT(Q1481,255),RIGHT('Disaggregation Records'!$D$155:$D$385,255),0))="","",INDEX('Disaggregation Records'!$F$155:$F$385,MATCH(RIGHT(Q1481,255),RIGHT('Disaggregation Records'!$D$155:$D$385,255),0))),"")</f>
        <v/>
      </c>
      <c r="T1481" s="89" t="str">
        <f t="array" aca="1" ref="T1481" ca="1">IFERROR(IF(INDEX('Disaggregation Records'!$H$155:$H$385,MATCH(RIGHT(Q1481,255),RIGHT('Disaggregation Records'!$D$155:$D$385,255),0))="","",INDEX('Disaggregation Records'!$H$155:$H$385,MATCH(RIGHT(Q1481,255),RIGHT('Disaggregation Records'!$D$155:$D$385,255),0))),"")</f>
        <v/>
      </c>
      <c r="U1481" s="89">
        <f>U1479+1</f>
        <v>1850</v>
      </c>
      <c r="V1481" s="89" t="str">
        <f t="array" aca="1" ref="V1481" ca="1">IFERROR(IF(INDEX('Disaggregation Records'!$I$155:$I$385,MATCH(RIGHT(Q1481,255),RIGHT('Disaggregation Records'!$D$155:$D$385,255),0))="","",INDEX('Disaggregation Records'!$I$155:$I$385,MATCH(RIGHT(Q1481,255),RIGHT('Disaggregation Records'!$D$155:$D$385,255),0))),"")</f>
        <v/>
      </c>
      <c r="W1481" s="89" t="str">
        <f ca="1">IFERROR(INDEX('Reference Records'!L$77:L$157,MATCH(LEFT(C1481,255),'Reference Records'!E$77:E$157,0)),"")</f>
        <v/>
      </c>
    </row>
    <row r="1482" spans="1:23" s="89" customFormat="1" ht="40.35" customHeight="1">
      <c r="A1482" s="564"/>
      <c r="B1482" s="799"/>
      <c r="C1482" s="800"/>
      <c r="D1482" s="801"/>
      <c r="E1482" s="801"/>
      <c r="F1482" s="128"/>
      <c r="G1482" s="802"/>
      <c r="H1482" s="781"/>
      <c r="I1482" s="803"/>
      <c r="J1482" s="779"/>
      <c r="K1482" s="800"/>
      <c r="L1482" s="800"/>
      <c r="M1482" s="779"/>
      <c r="N1482" s="779"/>
    </row>
    <row r="1483" spans="1:23" s="89" customFormat="1" ht="40.35" customHeight="1">
      <c r="A1483" s="564" t="str">
        <f ca="1">INDIRECT("'update Helper'!C"&amp;U1483)</f>
        <v>a163p000004VjreAAC</v>
      </c>
      <c r="B1483" s="794">
        <v>22</v>
      </c>
      <c r="C1483" s="795" t="str">
        <f ca="1">VLOOKUP(B1483,'Coverage Indicators - Section D'!$A$9:$AU$70,47,FALSE)</f>
        <v/>
      </c>
      <c r="D1483" s="796" t="str">
        <f ca="1">R1483</f>
        <v/>
      </c>
      <c r="E1483" s="796" t="str">
        <f ca="1">S1483</f>
        <v/>
      </c>
      <c r="F1483" s="127"/>
      <c r="G1483" s="797" t="str">
        <f ca="1">IF(OR(INDIRECT("'update Helper'!E"&amp;U1483)="",F1483&lt;&gt;0,F1484&lt;&gt;0),IF(IFERROR((F1483/F1484),"")="","",(F1483/F1484)),INDIRECT("'update Helper'!E"&amp;U1483)/100)</f>
        <v/>
      </c>
      <c r="H1483" s="784"/>
      <c r="I1483" s="798"/>
      <c r="J1483" s="777"/>
      <c r="K1483" s="795" t="str">
        <f ca="1">W1483</f>
        <v/>
      </c>
      <c r="L1483" s="795" t="str">
        <f ca="1">V1483</f>
        <v/>
      </c>
      <c r="M1483" s="777"/>
      <c r="N1483" s="777"/>
      <c r="P1483" s="89">
        <f ca="1">IF(AND(EXACT(C1483,C1481),C1481&lt;&gt;0),P1481+1,0)</f>
        <v>191</v>
      </c>
      <c r="Q1483" s="89" t="str">
        <f ca="1">IF(C1483&lt;&gt;"",C1483&amp;"-"&amp;P1483,"")</f>
        <v/>
      </c>
      <c r="R1483" s="89" t="str">
        <f t="array" aca="1" ref="R1483" ca="1">IFERROR(IF(INDEX('Disaggregation Records'!$E$155:$E$385,MATCH(RIGHT(Q1483,255),RIGHT('Disaggregation Records'!$D$155:$D$385,255),0))="","",INDEX('Disaggregation Records'!$E$155:$E$385,MATCH(RIGHT(Q1483,255),RIGHT('Disaggregation Records'!$D$155:$D$385,255),0))),"")</f>
        <v/>
      </c>
      <c r="S1483" s="89" t="str">
        <f t="array" aca="1" ref="S1483" ca="1">IFERROR(IF(INDEX('Disaggregation Records'!$F$155:$F$385,MATCH(RIGHT(Q1483,255),RIGHT('Disaggregation Records'!$D$155:$D$385,255),0))="","",INDEX('Disaggregation Records'!$F$155:$F$385,MATCH(RIGHT(Q1483,255),RIGHT('Disaggregation Records'!$D$155:$D$385,255),0))),"")</f>
        <v/>
      </c>
      <c r="T1483" s="89" t="str">
        <f t="array" aca="1" ref="T1483" ca="1">IFERROR(IF(INDEX('Disaggregation Records'!$H$155:$H$385,MATCH(RIGHT(Q1483,255),RIGHT('Disaggregation Records'!$D$155:$D$385,255),0))="","",INDEX('Disaggregation Records'!$H$155:$H$385,MATCH(RIGHT(Q1483,255),RIGHT('Disaggregation Records'!$D$155:$D$385,255),0))),"")</f>
        <v/>
      </c>
      <c r="U1483" s="89">
        <f>U1481+1</f>
        <v>1851</v>
      </c>
      <c r="V1483" s="89" t="str">
        <f t="array" aca="1" ref="V1483" ca="1">IFERROR(IF(INDEX('Disaggregation Records'!$I$155:$I$385,MATCH(RIGHT(Q1483,255),RIGHT('Disaggregation Records'!$D$155:$D$385,255),0))="","",INDEX('Disaggregation Records'!$I$155:$I$385,MATCH(RIGHT(Q1483,255),RIGHT('Disaggregation Records'!$D$155:$D$385,255),0))),"")</f>
        <v/>
      </c>
      <c r="W1483" s="89" t="str">
        <f ca="1">IFERROR(INDEX('Reference Records'!L$77:L$157,MATCH(LEFT(C1483,255),'Reference Records'!E$77:E$157,0)),"")</f>
        <v/>
      </c>
    </row>
    <row r="1484" spans="1:23" s="89" customFormat="1" ht="40.35" customHeight="1">
      <c r="A1484" s="564"/>
      <c r="B1484" s="799"/>
      <c r="C1484" s="800"/>
      <c r="D1484" s="801"/>
      <c r="E1484" s="801"/>
      <c r="F1484" s="128"/>
      <c r="G1484" s="802"/>
      <c r="H1484" s="781"/>
      <c r="I1484" s="803"/>
      <c r="J1484" s="779"/>
      <c r="K1484" s="800"/>
      <c r="L1484" s="800"/>
      <c r="M1484" s="779"/>
      <c r="N1484" s="779"/>
    </row>
    <row r="1485" spans="1:23" s="89" customFormat="1" ht="40.35" customHeight="1">
      <c r="A1485" s="564" t="str">
        <f ca="1">INDIRECT("'update Helper'!C"&amp;U1485)</f>
        <v>a163p000004VjrfAAC</v>
      </c>
      <c r="B1485" s="794">
        <v>22</v>
      </c>
      <c r="C1485" s="795" t="str">
        <f ca="1">VLOOKUP(B1485,'Coverage Indicators - Section D'!$A$9:$AU$70,47,FALSE)</f>
        <v/>
      </c>
      <c r="D1485" s="796" t="str">
        <f ca="1">R1485</f>
        <v/>
      </c>
      <c r="E1485" s="796" t="str">
        <f ca="1">S1485</f>
        <v/>
      </c>
      <c r="F1485" s="127"/>
      <c r="G1485" s="797" t="str">
        <f ca="1">IF(OR(INDIRECT("'update Helper'!E"&amp;U1485)="",F1485&lt;&gt;0,F1486&lt;&gt;0),IF(IFERROR((F1485/F1486),"")="","",(F1485/F1486)),INDIRECT("'update Helper'!E"&amp;U1485)/100)</f>
        <v/>
      </c>
      <c r="H1485" s="784"/>
      <c r="I1485" s="798"/>
      <c r="J1485" s="777"/>
      <c r="K1485" s="795" t="str">
        <f ca="1">W1485</f>
        <v/>
      </c>
      <c r="L1485" s="795" t="str">
        <f ca="1">V1485</f>
        <v/>
      </c>
      <c r="M1485" s="777"/>
      <c r="N1485" s="777"/>
      <c r="P1485" s="89">
        <f ca="1">IF(AND(EXACT(C1485,C1483),C1483&lt;&gt;0),P1483+1,0)</f>
        <v>192</v>
      </c>
      <c r="Q1485" s="89" t="str">
        <f ca="1">IF(C1485&lt;&gt;"",C1485&amp;"-"&amp;P1485,"")</f>
        <v/>
      </c>
      <c r="R1485" s="89" t="str">
        <f t="array" aca="1" ref="R1485" ca="1">IFERROR(IF(INDEX('Disaggregation Records'!$E$155:$E$385,MATCH(RIGHT(Q1485,255),RIGHT('Disaggregation Records'!$D$155:$D$385,255),0))="","",INDEX('Disaggregation Records'!$E$155:$E$385,MATCH(RIGHT(Q1485,255),RIGHT('Disaggregation Records'!$D$155:$D$385,255),0))),"")</f>
        <v/>
      </c>
      <c r="S1485" s="89" t="str">
        <f t="array" aca="1" ref="S1485" ca="1">IFERROR(IF(INDEX('Disaggregation Records'!$F$155:$F$385,MATCH(RIGHT(Q1485,255),RIGHT('Disaggregation Records'!$D$155:$D$385,255),0))="","",INDEX('Disaggregation Records'!$F$155:$F$385,MATCH(RIGHT(Q1485,255),RIGHT('Disaggregation Records'!$D$155:$D$385,255),0))),"")</f>
        <v/>
      </c>
      <c r="T1485" s="89" t="str">
        <f t="array" aca="1" ref="T1485" ca="1">IFERROR(IF(INDEX('Disaggregation Records'!$H$155:$H$385,MATCH(RIGHT(Q1485,255),RIGHT('Disaggregation Records'!$D$155:$D$385,255),0))="","",INDEX('Disaggregation Records'!$H$155:$H$385,MATCH(RIGHT(Q1485,255),RIGHT('Disaggregation Records'!$D$155:$D$385,255),0))),"")</f>
        <v/>
      </c>
      <c r="U1485" s="89">
        <f>U1483+1</f>
        <v>1852</v>
      </c>
      <c r="V1485" s="89" t="str">
        <f t="array" aca="1" ref="V1485" ca="1">IFERROR(IF(INDEX('Disaggregation Records'!$I$155:$I$385,MATCH(RIGHT(Q1485,255),RIGHT('Disaggregation Records'!$D$155:$D$385,255),0))="","",INDEX('Disaggregation Records'!$I$155:$I$385,MATCH(RIGHT(Q1485,255),RIGHT('Disaggregation Records'!$D$155:$D$385,255),0))),"")</f>
        <v/>
      </c>
      <c r="W1485" s="89" t="str">
        <f ca="1">IFERROR(INDEX('Reference Records'!L$77:L$157,MATCH(LEFT(C1485,255),'Reference Records'!E$77:E$157,0)),"")</f>
        <v/>
      </c>
    </row>
    <row r="1486" spans="1:23" s="89" customFormat="1" ht="40.35" customHeight="1">
      <c r="A1486" s="564"/>
      <c r="B1486" s="799"/>
      <c r="C1486" s="800"/>
      <c r="D1486" s="801"/>
      <c r="E1486" s="801"/>
      <c r="F1486" s="128"/>
      <c r="G1486" s="802"/>
      <c r="H1486" s="781"/>
      <c r="I1486" s="803"/>
      <c r="J1486" s="779"/>
      <c r="K1486" s="800"/>
      <c r="L1486" s="800"/>
      <c r="M1486" s="779"/>
      <c r="N1486" s="779"/>
    </row>
    <row r="1487" spans="1:23" s="89" customFormat="1" ht="40.35" customHeight="1">
      <c r="A1487" s="564" t="str">
        <f ca="1">INDIRECT("'update Helper'!C"&amp;U1487)</f>
        <v>a163p000004VjrgAAC</v>
      </c>
      <c r="B1487" s="794">
        <v>22</v>
      </c>
      <c r="C1487" s="795" t="str">
        <f ca="1">VLOOKUP(B1487,'Coverage Indicators - Section D'!$A$9:$AU$70,47,FALSE)</f>
        <v/>
      </c>
      <c r="D1487" s="796" t="str">
        <f ca="1">R1487</f>
        <v/>
      </c>
      <c r="E1487" s="796" t="str">
        <f ca="1">S1487</f>
        <v/>
      </c>
      <c r="F1487" s="127"/>
      <c r="G1487" s="797" t="str">
        <f ca="1">IF(OR(INDIRECT("'update Helper'!E"&amp;U1487)="",F1487&lt;&gt;0,F1488&lt;&gt;0),IF(IFERROR((F1487/F1488),"")="","",(F1487/F1488)),INDIRECT("'update Helper'!E"&amp;U1487)/100)</f>
        <v/>
      </c>
      <c r="H1487" s="784"/>
      <c r="I1487" s="798"/>
      <c r="J1487" s="777"/>
      <c r="K1487" s="795" t="str">
        <f ca="1">W1487</f>
        <v/>
      </c>
      <c r="L1487" s="795" t="str">
        <f ca="1">V1487</f>
        <v/>
      </c>
      <c r="M1487" s="777"/>
      <c r="N1487" s="777"/>
      <c r="P1487" s="89">
        <f ca="1">IF(AND(EXACT(C1487,C1485),C1485&lt;&gt;0),P1485+1,0)</f>
        <v>193</v>
      </c>
      <c r="Q1487" s="89" t="str">
        <f ca="1">IF(C1487&lt;&gt;"",C1487&amp;"-"&amp;P1487,"")</f>
        <v/>
      </c>
      <c r="R1487" s="89" t="str">
        <f t="array" aca="1" ref="R1487" ca="1">IFERROR(IF(INDEX('Disaggregation Records'!$E$155:$E$385,MATCH(RIGHT(Q1487,255),RIGHT('Disaggregation Records'!$D$155:$D$385,255),0))="","",INDEX('Disaggregation Records'!$E$155:$E$385,MATCH(RIGHT(Q1487,255),RIGHT('Disaggregation Records'!$D$155:$D$385,255),0))),"")</f>
        <v/>
      </c>
      <c r="S1487" s="89" t="str">
        <f t="array" aca="1" ref="S1487" ca="1">IFERROR(IF(INDEX('Disaggregation Records'!$F$155:$F$385,MATCH(RIGHT(Q1487,255),RIGHT('Disaggregation Records'!$D$155:$D$385,255),0))="","",INDEX('Disaggregation Records'!$F$155:$F$385,MATCH(RIGHT(Q1487,255),RIGHT('Disaggregation Records'!$D$155:$D$385,255),0))),"")</f>
        <v/>
      </c>
      <c r="T1487" s="89" t="str">
        <f t="array" aca="1" ref="T1487" ca="1">IFERROR(IF(INDEX('Disaggregation Records'!$H$155:$H$385,MATCH(RIGHT(Q1487,255),RIGHT('Disaggregation Records'!$D$155:$D$385,255),0))="","",INDEX('Disaggregation Records'!$H$155:$H$385,MATCH(RIGHT(Q1487,255),RIGHT('Disaggregation Records'!$D$155:$D$385,255),0))),"")</f>
        <v/>
      </c>
      <c r="U1487" s="89">
        <f>U1485+1</f>
        <v>1853</v>
      </c>
      <c r="V1487" s="89" t="str">
        <f t="array" aca="1" ref="V1487" ca="1">IFERROR(IF(INDEX('Disaggregation Records'!$I$155:$I$385,MATCH(RIGHT(Q1487,255),RIGHT('Disaggregation Records'!$D$155:$D$385,255),0))="","",INDEX('Disaggregation Records'!$I$155:$I$385,MATCH(RIGHT(Q1487,255),RIGHT('Disaggregation Records'!$D$155:$D$385,255),0))),"")</f>
        <v/>
      </c>
      <c r="W1487" s="89" t="str">
        <f ca="1">IFERROR(INDEX('Reference Records'!L$77:L$157,MATCH(LEFT(C1487,255),'Reference Records'!E$77:E$157,0)),"")</f>
        <v/>
      </c>
    </row>
    <row r="1488" spans="1:23" s="89" customFormat="1" ht="40.35" customHeight="1">
      <c r="A1488" s="564"/>
      <c r="B1488" s="799"/>
      <c r="C1488" s="800"/>
      <c r="D1488" s="801"/>
      <c r="E1488" s="801"/>
      <c r="F1488" s="128"/>
      <c r="G1488" s="802"/>
      <c r="H1488" s="781"/>
      <c r="I1488" s="803"/>
      <c r="J1488" s="779"/>
      <c r="K1488" s="800"/>
      <c r="L1488" s="800"/>
      <c r="M1488" s="779"/>
      <c r="N1488" s="779"/>
    </row>
    <row r="1489" spans="1:23" s="89" customFormat="1" ht="40.35" customHeight="1">
      <c r="A1489" s="564" t="str">
        <f ca="1">INDIRECT("'update Helper'!C"&amp;U1489)</f>
        <v>a163p000004VjrhAAC</v>
      </c>
      <c r="B1489" s="794">
        <v>22</v>
      </c>
      <c r="C1489" s="795" t="str">
        <f ca="1">VLOOKUP(B1489,'Coverage Indicators - Section D'!$A$9:$AU$70,47,FALSE)</f>
        <v/>
      </c>
      <c r="D1489" s="796" t="str">
        <f ca="1">R1489</f>
        <v/>
      </c>
      <c r="E1489" s="796" t="str">
        <f ca="1">S1489</f>
        <v/>
      </c>
      <c r="F1489" s="127"/>
      <c r="G1489" s="797" t="str">
        <f ca="1">IF(OR(INDIRECT("'update Helper'!E"&amp;U1489)="",F1489&lt;&gt;0,F1490&lt;&gt;0),IF(IFERROR((F1489/F1490),"")="","",(F1489/F1490)),INDIRECT("'update Helper'!E"&amp;U1489)/100)</f>
        <v/>
      </c>
      <c r="H1489" s="784"/>
      <c r="I1489" s="798"/>
      <c r="J1489" s="777"/>
      <c r="K1489" s="795" t="str">
        <f ca="1">W1489</f>
        <v/>
      </c>
      <c r="L1489" s="795" t="str">
        <f ca="1">V1489</f>
        <v/>
      </c>
      <c r="M1489" s="777"/>
      <c r="N1489" s="777"/>
      <c r="P1489" s="89">
        <f ca="1">IF(AND(EXACT(C1489,C1487),C1487&lt;&gt;0),P1487+1,0)</f>
        <v>194</v>
      </c>
      <c r="Q1489" s="89" t="str">
        <f ca="1">IF(C1489&lt;&gt;"",C1489&amp;"-"&amp;P1489,"")</f>
        <v/>
      </c>
      <c r="R1489" s="89" t="str">
        <f t="array" aca="1" ref="R1489" ca="1">IFERROR(IF(INDEX('Disaggregation Records'!$E$155:$E$385,MATCH(RIGHT(Q1489,255),RIGHT('Disaggregation Records'!$D$155:$D$385,255),0))="","",INDEX('Disaggregation Records'!$E$155:$E$385,MATCH(RIGHT(Q1489,255),RIGHT('Disaggregation Records'!$D$155:$D$385,255),0))),"")</f>
        <v/>
      </c>
      <c r="S1489" s="89" t="str">
        <f t="array" aca="1" ref="S1489" ca="1">IFERROR(IF(INDEX('Disaggregation Records'!$F$155:$F$385,MATCH(RIGHT(Q1489,255),RIGHT('Disaggregation Records'!$D$155:$D$385,255),0))="","",INDEX('Disaggregation Records'!$F$155:$F$385,MATCH(RIGHT(Q1489,255),RIGHT('Disaggregation Records'!$D$155:$D$385,255),0))),"")</f>
        <v/>
      </c>
      <c r="T1489" s="89" t="str">
        <f t="array" aca="1" ref="T1489" ca="1">IFERROR(IF(INDEX('Disaggregation Records'!$H$155:$H$385,MATCH(RIGHT(Q1489,255),RIGHT('Disaggregation Records'!$D$155:$D$385,255),0))="","",INDEX('Disaggregation Records'!$H$155:$H$385,MATCH(RIGHT(Q1489,255),RIGHT('Disaggregation Records'!$D$155:$D$385,255),0))),"")</f>
        <v/>
      </c>
      <c r="U1489" s="89">
        <f>U1487+1</f>
        <v>1854</v>
      </c>
      <c r="V1489" s="89" t="str">
        <f t="array" aca="1" ref="V1489" ca="1">IFERROR(IF(INDEX('Disaggregation Records'!$I$155:$I$385,MATCH(RIGHT(Q1489,255),RIGHT('Disaggregation Records'!$D$155:$D$385,255),0))="","",INDEX('Disaggregation Records'!$I$155:$I$385,MATCH(RIGHT(Q1489,255),RIGHT('Disaggregation Records'!$D$155:$D$385,255),0))),"")</f>
        <v/>
      </c>
      <c r="W1489" s="89" t="str">
        <f ca="1">IFERROR(INDEX('Reference Records'!L$77:L$157,MATCH(LEFT(C1489,255),'Reference Records'!E$77:E$157,0)),"")</f>
        <v/>
      </c>
    </row>
    <row r="1490" spans="1:23" s="89" customFormat="1" ht="40.35" customHeight="1">
      <c r="A1490" s="564"/>
      <c r="B1490" s="799"/>
      <c r="C1490" s="800"/>
      <c r="D1490" s="801"/>
      <c r="E1490" s="801"/>
      <c r="F1490" s="128"/>
      <c r="G1490" s="802"/>
      <c r="H1490" s="781"/>
      <c r="I1490" s="803"/>
      <c r="J1490" s="779"/>
      <c r="K1490" s="800"/>
      <c r="L1490" s="800"/>
      <c r="M1490" s="779"/>
      <c r="N1490" s="779"/>
    </row>
    <row r="1491" spans="1:23" s="89" customFormat="1" ht="40.35" customHeight="1">
      <c r="A1491" s="564" t="str">
        <f ca="1">INDIRECT("'update Helper'!C"&amp;U1491)</f>
        <v>a163p000004VjriAAC</v>
      </c>
      <c r="B1491" s="794">
        <v>22</v>
      </c>
      <c r="C1491" s="795" t="str">
        <f ca="1">VLOOKUP(B1491,'Coverage Indicators - Section D'!$A$9:$AU$70,47,FALSE)</f>
        <v/>
      </c>
      <c r="D1491" s="796" t="str">
        <f ca="1">R1491</f>
        <v/>
      </c>
      <c r="E1491" s="796" t="str">
        <f ca="1">S1491</f>
        <v/>
      </c>
      <c r="F1491" s="127"/>
      <c r="G1491" s="797" t="str">
        <f ca="1">IF(OR(INDIRECT("'update Helper'!E"&amp;U1491)="",F1491&lt;&gt;0,F1492&lt;&gt;0),IF(IFERROR((F1491/F1492),"")="","",(F1491/F1492)),INDIRECT("'update Helper'!E"&amp;U1491)/100)</f>
        <v/>
      </c>
      <c r="H1491" s="784"/>
      <c r="I1491" s="798"/>
      <c r="J1491" s="777"/>
      <c r="K1491" s="795" t="str">
        <f ca="1">W1491</f>
        <v/>
      </c>
      <c r="L1491" s="795" t="str">
        <f ca="1">V1491</f>
        <v/>
      </c>
      <c r="M1491" s="777"/>
      <c r="N1491" s="777"/>
      <c r="P1491" s="89">
        <f ca="1">IF(AND(EXACT(C1491,C1489),C1489&lt;&gt;0),P1489+1,0)</f>
        <v>195</v>
      </c>
      <c r="Q1491" s="89" t="str">
        <f ca="1">IF(C1491&lt;&gt;"",C1491&amp;"-"&amp;P1491,"")</f>
        <v/>
      </c>
      <c r="R1491" s="89" t="str">
        <f t="array" aca="1" ref="R1491" ca="1">IFERROR(IF(INDEX('Disaggregation Records'!$E$155:$E$385,MATCH(RIGHT(Q1491,255),RIGHT('Disaggregation Records'!$D$155:$D$385,255),0))="","",INDEX('Disaggregation Records'!$E$155:$E$385,MATCH(RIGHT(Q1491,255),RIGHT('Disaggregation Records'!$D$155:$D$385,255),0))),"")</f>
        <v/>
      </c>
      <c r="S1491" s="89" t="str">
        <f t="array" aca="1" ref="S1491" ca="1">IFERROR(IF(INDEX('Disaggregation Records'!$F$155:$F$385,MATCH(RIGHT(Q1491,255),RIGHT('Disaggregation Records'!$D$155:$D$385,255),0))="","",INDEX('Disaggregation Records'!$F$155:$F$385,MATCH(RIGHT(Q1491,255),RIGHT('Disaggregation Records'!$D$155:$D$385,255),0))),"")</f>
        <v/>
      </c>
      <c r="T1491" s="89" t="str">
        <f t="array" aca="1" ref="T1491" ca="1">IFERROR(IF(INDEX('Disaggregation Records'!$H$155:$H$385,MATCH(RIGHT(Q1491,255),RIGHT('Disaggregation Records'!$D$155:$D$385,255),0))="","",INDEX('Disaggregation Records'!$H$155:$H$385,MATCH(RIGHT(Q1491,255),RIGHT('Disaggregation Records'!$D$155:$D$385,255),0))),"")</f>
        <v/>
      </c>
      <c r="U1491" s="89">
        <f>U1489+1</f>
        <v>1855</v>
      </c>
      <c r="V1491" s="89" t="str">
        <f t="array" aca="1" ref="V1491" ca="1">IFERROR(IF(INDEX('Disaggregation Records'!$I$155:$I$385,MATCH(RIGHT(Q1491,255),RIGHT('Disaggregation Records'!$D$155:$D$385,255),0))="","",INDEX('Disaggregation Records'!$I$155:$I$385,MATCH(RIGHT(Q1491,255),RIGHT('Disaggregation Records'!$D$155:$D$385,255),0))),"")</f>
        <v/>
      </c>
      <c r="W1491" s="89" t="str">
        <f ca="1">IFERROR(INDEX('Reference Records'!L$77:L$157,MATCH(LEFT(C1491,255),'Reference Records'!E$77:E$157,0)),"")</f>
        <v/>
      </c>
    </row>
    <row r="1492" spans="1:23" s="89" customFormat="1" ht="40.35" customHeight="1">
      <c r="A1492" s="564"/>
      <c r="B1492" s="799"/>
      <c r="C1492" s="800"/>
      <c r="D1492" s="801"/>
      <c r="E1492" s="801"/>
      <c r="F1492" s="128"/>
      <c r="G1492" s="802"/>
      <c r="H1492" s="781"/>
      <c r="I1492" s="803"/>
      <c r="J1492" s="779"/>
      <c r="K1492" s="800"/>
      <c r="L1492" s="800"/>
      <c r="M1492" s="779"/>
      <c r="N1492" s="779"/>
    </row>
    <row r="1493" spans="1:23" s="89" customFormat="1" ht="40.35" customHeight="1">
      <c r="A1493" s="564" t="str">
        <f ca="1">INDIRECT("'update Helper'!C"&amp;U1493)</f>
        <v>a163p000004VjrjAAC</v>
      </c>
      <c r="B1493" s="794">
        <v>22</v>
      </c>
      <c r="C1493" s="795" t="str">
        <f ca="1">VLOOKUP(B1493,'Coverage Indicators - Section D'!$A$9:$AU$70,47,FALSE)</f>
        <v/>
      </c>
      <c r="D1493" s="796" t="str">
        <f ca="1">R1493</f>
        <v/>
      </c>
      <c r="E1493" s="796" t="str">
        <f ca="1">S1493</f>
        <v/>
      </c>
      <c r="F1493" s="127"/>
      <c r="G1493" s="797" t="str">
        <f ca="1">IF(OR(INDIRECT("'update Helper'!E"&amp;U1493)="",F1493&lt;&gt;0,F1494&lt;&gt;0),IF(IFERROR((F1493/F1494),"")="","",(F1493/F1494)),INDIRECT("'update Helper'!E"&amp;U1493)/100)</f>
        <v/>
      </c>
      <c r="H1493" s="784"/>
      <c r="I1493" s="798"/>
      <c r="J1493" s="777"/>
      <c r="K1493" s="795" t="str">
        <f ca="1">W1493</f>
        <v/>
      </c>
      <c r="L1493" s="795" t="str">
        <f ca="1">V1493</f>
        <v/>
      </c>
      <c r="M1493" s="777"/>
      <c r="N1493" s="777"/>
      <c r="P1493" s="89">
        <f ca="1">IF(AND(EXACT(C1493,C1491),C1491&lt;&gt;0),P1491+1,0)</f>
        <v>196</v>
      </c>
      <c r="Q1493" s="89" t="str">
        <f ca="1">IF(C1493&lt;&gt;"",C1493&amp;"-"&amp;P1493,"")</f>
        <v/>
      </c>
      <c r="R1493" s="89" t="str">
        <f t="array" aca="1" ref="R1493" ca="1">IFERROR(IF(INDEX('Disaggregation Records'!$E$155:$E$385,MATCH(RIGHT(Q1493,255),RIGHT('Disaggregation Records'!$D$155:$D$385,255),0))="","",INDEX('Disaggregation Records'!$E$155:$E$385,MATCH(RIGHT(Q1493,255),RIGHT('Disaggregation Records'!$D$155:$D$385,255),0))),"")</f>
        <v/>
      </c>
      <c r="S1493" s="89" t="str">
        <f t="array" aca="1" ref="S1493" ca="1">IFERROR(IF(INDEX('Disaggregation Records'!$F$155:$F$385,MATCH(RIGHT(Q1493,255),RIGHT('Disaggregation Records'!$D$155:$D$385,255),0))="","",INDEX('Disaggregation Records'!$F$155:$F$385,MATCH(RIGHT(Q1493,255),RIGHT('Disaggregation Records'!$D$155:$D$385,255),0))),"")</f>
        <v/>
      </c>
      <c r="T1493" s="89" t="str">
        <f t="array" aca="1" ref="T1493" ca="1">IFERROR(IF(INDEX('Disaggregation Records'!$H$155:$H$385,MATCH(RIGHT(Q1493,255),RIGHT('Disaggregation Records'!$D$155:$D$385,255),0))="","",INDEX('Disaggregation Records'!$H$155:$H$385,MATCH(RIGHT(Q1493,255),RIGHT('Disaggregation Records'!$D$155:$D$385,255),0))),"")</f>
        <v/>
      </c>
      <c r="U1493" s="89">
        <f>U1491+1</f>
        <v>1856</v>
      </c>
      <c r="V1493" s="89" t="str">
        <f t="array" aca="1" ref="V1493" ca="1">IFERROR(IF(INDEX('Disaggregation Records'!$I$155:$I$385,MATCH(RIGHT(Q1493,255),RIGHT('Disaggregation Records'!$D$155:$D$385,255),0))="","",INDEX('Disaggregation Records'!$I$155:$I$385,MATCH(RIGHT(Q1493,255),RIGHT('Disaggregation Records'!$D$155:$D$385,255),0))),"")</f>
        <v/>
      </c>
      <c r="W1493" s="89" t="str">
        <f ca="1">IFERROR(INDEX('Reference Records'!L$77:L$157,MATCH(LEFT(C1493,255),'Reference Records'!E$77:E$157,0)),"")</f>
        <v/>
      </c>
    </row>
    <row r="1494" spans="1:23" s="89" customFormat="1" ht="40.35" customHeight="1">
      <c r="A1494" s="564"/>
      <c r="B1494" s="799"/>
      <c r="C1494" s="800"/>
      <c r="D1494" s="801"/>
      <c r="E1494" s="801"/>
      <c r="F1494" s="128"/>
      <c r="G1494" s="802"/>
      <c r="H1494" s="781"/>
      <c r="I1494" s="803"/>
      <c r="J1494" s="779"/>
      <c r="K1494" s="800"/>
      <c r="L1494" s="800"/>
      <c r="M1494" s="779"/>
      <c r="N1494" s="779"/>
    </row>
    <row r="1495" spans="1:23" s="89" customFormat="1" ht="40.35" customHeight="1">
      <c r="A1495" s="564" t="str">
        <f ca="1">INDIRECT("'update Helper'!C"&amp;U1495)</f>
        <v>a163p000004VjrkAAC</v>
      </c>
      <c r="B1495" s="794">
        <v>22</v>
      </c>
      <c r="C1495" s="795" t="str">
        <f ca="1">VLOOKUP(B1495,'Coverage Indicators - Section D'!$A$9:$AU$70,47,FALSE)</f>
        <v/>
      </c>
      <c r="D1495" s="796" t="str">
        <f ca="1">R1495</f>
        <v/>
      </c>
      <c r="E1495" s="796" t="str">
        <f ca="1">S1495</f>
        <v/>
      </c>
      <c r="F1495" s="127"/>
      <c r="G1495" s="797" t="str">
        <f ca="1">IF(OR(INDIRECT("'update Helper'!E"&amp;U1495)="",F1495&lt;&gt;0,F1496&lt;&gt;0),IF(IFERROR((F1495/F1496),"")="","",(F1495/F1496)),INDIRECT("'update Helper'!E"&amp;U1495)/100)</f>
        <v/>
      </c>
      <c r="H1495" s="784"/>
      <c r="I1495" s="798"/>
      <c r="J1495" s="777"/>
      <c r="K1495" s="795" t="str">
        <f ca="1">W1495</f>
        <v/>
      </c>
      <c r="L1495" s="795" t="str">
        <f ca="1">V1495</f>
        <v/>
      </c>
      <c r="M1495" s="777"/>
      <c r="N1495" s="777"/>
      <c r="P1495" s="89">
        <f ca="1">IF(AND(EXACT(C1495,C1493),C1493&lt;&gt;0),P1493+1,0)</f>
        <v>197</v>
      </c>
      <c r="Q1495" s="89" t="str">
        <f ca="1">IF(C1495&lt;&gt;"",C1495&amp;"-"&amp;P1495,"")</f>
        <v/>
      </c>
      <c r="R1495" s="89" t="str">
        <f t="array" aca="1" ref="R1495" ca="1">IFERROR(IF(INDEX('Disaggregation Records'!$E$155:$E$385,MATCH(RIGHT(Q1495,255),RIGHT('Disaggregation Records'!$D$155:$D$385,255),0))="","",INDEX('Disaggregation Records'!$E$155:$E$385,MATCH(RIGHT(Q1495,255),RIGHT('Disaggregation Records'!$D$155:$D$385,255),0))),"")</f>
        <v/>
      </c>
      <c r="S1495" s="89" t="str">
        <f t="array" aca="1" ref="S1495" ca="1">IFERROR(IF(INDEX('Disaggregation Records'!$F$155:$F$385,MATCH(RIGHT(Q1495,255),RIGHT('Disaggregation Records'!$D$155:$D$385,255),0))="","",INDEX('Disaggregation Records'!$F$155:$F$385,MATCH(RIGHT(Q1495,255),RIGHT('Disaggregation Records'!$D$155:$D$385,255),0))),"")</f>
        <v/>
      </c>
      <c r="T1495" s="89" t="str">
        <f t="array" aca="1" ref="T1495" ca="1">IFERROR(IF(INDEX('Disaggregation Records'!$H$155:$H$385,MATCH(RIGHT(Q1495,255),RIGHT('Disaggregation Records'!$D$155:$D$385,255),0))="","",INDEX('Disaggregation Records'!$H$155:$H$385,MATCH(RIGHT(Q1495,255),RIGHT('Disaggregation Records'!$D$155:$D$385,255),0))),"")</f>
        <v/>
      </c>
      <c r="U1495" s="89">
        <f>U1493+1</f>
        <v>1857</v>
      </c>
      <c r="V1495" s="89" t="str">
        <f t="array" aca="1" ref="V1495" ca="1">IFERROR(IF(INDEX('Disaggregation Records'!$I$155:$I$385,MATCH(RIGHT(Q1495,255),RIGHT('Disaggregation Records'!$D$155:$D$385,255),0))="","",INDEX('Disaggregation Records'!$I$155:$I$385,MATCH(RIGHT(Q1495,255),RIGHT('Disaggregation Records'!$D$155:$D$385,255),0))),"")</f>
        <v/>
      </c>
      <c r="W1495" s="89" t="str">
        <f ca="1">IFERROR(INDEX('Reference Records'!L$77:L$157,MATCH(LEFT(C1495,255),'Reference Records'!E$77:E$157,0)),"")</f>
        <v/>
      </c>
    </row>
    <row r="1496" spans="1:23" s="89" customFormat="1" ht="40.35" customHeight="1">
      <c r="A1496" s="564"/>
      <c r="B1496" s="799"/>
      <c r="C1496" s="800"/>
      <c r="D1496" s="801"/>
      <c r="E1496" s="801"/>
      <c r="F1496" s="128"/>
      <c r="G1496" s="802"/>
      <c r="H1496" s="781"/>
      <c r="I1496" s="803"/>
      <c r="J1496" s="779"/>
      <c r="K1496" s="800"/>
      <c r="L1496" s="800"/>
      <c r="M1496" s="779"/>
      <c r="N1496" s="779"/>
    </row>
    <row r="1497" spans="1:23" s="89" customFormat="1" ht="40.35" customHeight="1">
      <c r="A1497" s="564" t="str">
        <f ca="1">INDIRECT("'update Helper'!C"&amp;U1497)</f>
        <v>a163p000004VjrlAAC</v>
      </c>
      <c r="B1497" s="794">
        <v>22</v>
      </c>
      <c r="C1497" s="795" t="str">
        <f ca="1">VLOOKUP(B1497,'Coverage Indicators - Section D'!$A$9:$AU$70,47,FALSE)</f>
        <v/>
      </c>
      <c r="D1497" s="796" t="str">
        <f ca="1">R1497</f>
        <v/>
      </c>
      <c r="E1497" s="796" t="str">
        <f ca="1">S1497</f>
        <v/>
      </c>
      <c r="F1497" s="127"/>
      <c r="G1497" s="797" t="str">
        <f ca="1">IF(OR(INDIRECT("'update Helper'!E"&amp;U1497)="",F1497&lt;&gt;0,F1498&lt;&gt;0),IF(IFERROR((F1497/F1498),"")="","",(F1497/F1498)),INDIRECT("'update Helper'!E"&amp;U1497)/100)</f>
        <v/>
      </c>
      <c r="H1497" s="784"/>
      <c r="I1497" s="798"/>
      <c r="J1497" s="777"/>
      <c r="K1497" s="795" t="str">
        <f ca="1">W1497</f>
        <v/>
      </c>
      <c r="L1497" s="795" t="str">
        <f ca="1">V1497</f>
        <v/>
      </c>
      <c r="M1497" s="777"/>
      <c r="N1497" s="777"/>
      <c r="P1497" s="89">
        <f ca="1">IF(AND(EXACT(C1497,C1495),C1495&lt;&gt;0),P1495+1,0)</f>
        <v>198</v>
      </c>
      <c r="Q1497" s="89" t="str">
        <f ca="1">IF(C1497&lt;&gt;"",C1497&amp;"-"&amp;P1497,"")</f>
        <v/>
      </c>
      <c r="R1497" s="89" t="str">
        <f t="array" aca="1" ref="R1497" ca="1">IFERROR(IF(INDEX('Disaggregation Records'!$E$155:$E$385,MATCH(RIGHT(Q1497,255),RIGHT('Disaggregation Records'!$D$155:$D$385,255),0))="","",INDEX('Disaggregation Records'!$E$155:$E$385,MATCH(RIGHT(Q1497,255),RIGHT('Disaggregation Records'!$D$155:$D$385,255),0))),"")</f>
        <v/>
      </c>
      <c r="S1497" s="89" t="str">
        <f t="array" aca="1" ref="S1497" ca="1">IFERROR(IF(INDEX('Disaggregation Records'!$F$155:$F$385,MATCH(RIGHT(Q1497,255),RIGHT('Disaggregation Records'!$D$155:$D$385,255),0))="","",INDEX('Disaggregation Records'!$F$155:$F$385,MATCH(RIGHT(Q1497,255),RIGHT('Disaggregation Records'!$D$155:$D$385,255),0))),"")</f>
        <v/>
      </c>
      <c r="T1497" s="89" t="str">
        <f t="array" aca="1" ref="T1497" ca="1">IFERROR(IF(INDEX('Disaggregation Records'!$H$155:$H$385,MATCH(RIGHT(Q1497,255),RIGHT('Disaggregation Records'!$D$155:$D$385,255),0))="","",INDEX('Disaggregation Records'!$H$155:$H$385,MATCH(RIGHT(Q1497,255),RIGHT('Disaggregation Records'!$D$155:$D$385,255),0))),"")</f>
        <v/>
      </c>
      <c r="U1497" s="89">
        <f>U1495+1</f>
        <v>1858</v>
      </c>
      <c r="V1497" s="89" t="str">
        <f t="array" aca="1" ref="V1497" ca="1">IFERROR(IF(INDEX('Disaggregation Records'!$I$155:$I$385,MATCH(RIGHT(Q1497,255),RIGHT('Disaggregation Records'!$D$155:$D$385,255),0))="","",INDEX('Disaggregation Records'!$I$155:$I$385,MATCH(RIGHT(Q1497,255),RIGHT('Disaggregation Records'!$D$155:$D$385,255),0))),"")</f>
        <v/>
      </c>
      <c r="W1497" s="89" t="str">
        <f ca="1">IFERROR(INDEX('Reference Records'!L$77:L$157,MATCH(LEFT(C1497,255),'Reference Records'!E$77:E$157,0)),"")</f>
        <v/>
      </c>
    </row>
    <row r="1498" spans="1:23" s="89" customFormat="1" ht="40.35" customHeight="1">
      <c r="A1498" s="564"/>
      <c r="B1498" s="799"/>
      <c r="C1498" s="800"/>
      <c r="D1498" s="801"/>
      <c r="E1498" s="801"/>
      <c r="F1498" s="128"/>
      <c r="G1498" s="802"/>
      <c r="H1498" s="781"/>
      <c r="I1498" s="803"/>
      <c r="J1498" s="779"/>
      <c r="K1498" s="800"/>
      <c r="L1498" s="800"/>
      <c r="M1498" s="779"/>
      <c r="N1498" s="779"/>
    </row>
    <row r="1499" spans="1:23" s="89" customFormat="1" ht="40.35" customHeight="1">
      <c r="A1499" s="564" t="str">
        <f ca="1">INDIRECT("'update Helper'!C"&amp;U1499)</f>
        <v>a163p000004VjrmAAC</v>
      </c>
      <c r="B1499" s="794">
        <v>22</v>
      </c>
      <c r="C1499" s="795" t="str">
        <f ca="1">VLOOKUP(B1499,'Coverage Indicators - Section D'!$A$9:$AU$70,47,FALSE)</f>
        <v/>
      </c>
      <c r="D1499" s="796" t="str">
        <f ca="1">R1499</f>
        <v/>
      </c>
      <c r="E1499" s="796" t="str">
        <f ca="1">S1499</f>
        <v/>
      </c>
      <c r="F1499" s="127"/>
      <c r="G1499" s="797" t="str">
        <f ca="1">IF(OR(INDIRECT("'update Helper'!E"&amp;U1499)="",F1499&lt;&gt;0,F1500&lt;&gt;0),IF(IFERROR((F1499/F1500),"")="","",(F1499/F1500)),INDIRECT("'update Helper'!E"&amp;U1499)/100)</f>
        <v/>
      </c>
      <c r="H1499" s="784"/>
      <c r="I1499" s="798"/>
      <c r="J1499" s="777"/>
      <c r="K1499" s="795" t="str">
        <f ca="1">W1499</f>
        <v/>
      </c>
      <c r="L1499" s="795" t="str">
        <f ca="1">V1499</f>
        <v/>
      </c>
      <c r="M1499" s="777"/>
      <c r="N1499" s="777"/>
      <c r="P1499" s="89">
        <f ca="1">IF(AND(EXACT(C1499,C1497),C1497&lt;&gt;0),P1497+1,0)</f>
        <v>199</v>
      </c>
      <c r="Q1499" s="89" t="str">
        <f ca="1">IF(C1499&lt;&gt;"",C1499&amp;"-"&amp;P1499,"")</f>
        <v/>
      </c>
      <c r="R1499" s="89" t="str">
        <f t="array" aca="1" ref="R1499" ca="1">IFERROR(IF(INDEX('Disaggregation Records'!$E$155:$E$385,MATCH(RIGHT(Q1499,255),RIGHT('Disaggregation Records'!$D$155:$D$385,255),0))="","",INDEX('Disaggregation Records'!$E$155:$E$385,MATCH(RIGHT(Q1499,255),RIGHT('Disaggregation Records'!$D$155:$D$385,255),0))),"")</f>
        <v/>
      </c>
      <c r="S1499" s="89" t="str">
        <f t="array" aca="1" ref="S1499" ca="1">IFERROR(IF(INDEX('Disaggregation Records'!$F$155:$F$385,MATCH(RIGHT(Q1499,255),RIGHT('Disaggregation Records'!$D$155:$D$385,255),0))="","",INDEX('Disaggregation Records'!$F$155:$F$385,MATCH(RIGHT(Q1499,255),RIGHT('Disaggregation Records'!$D$155:$D$385,255),0))),"")</f>
        <v/>
      </c>
      <c r="T1499" s="89" t="str">
        <f t="array" aca="1" ref="T1499" ca="1">IFERROR(IF(INDEX('Disaggregation Records'!$H$155:$H$385,MATCH(RIGHT(Q1499,255),RIGHT('Disaggregation Records'!$D$155:$D$385,255),0))="","",INDEX('Disaggregation Records'!$H$155:$H$385,MATCH(RIGHT(Q1499,255),RIGHT('Disaggregation Records'!$D$155:$D$385,255),0))),"")</f>
        <v/>
      </c>
      <c r="U1499" s="89">
        <f>U1497+1</f>
        <v>1859</v>
      </c>
      <c r="V1499" s="89" t="str">
        <f t="array" aca="1" ref="V1499" ca="1">IFERROR(IF(INDEX('Disaggregation Records'!$I$155:$I$385,MATCH(RIGHT(Q1499,255),RIGHT('Disaggregation Records'!$D$155:$D$385,255),0))="","",INDEX('Disaggregation Records'!$I$155:$I$385,MATCH(RIGHT(Q1499,255),RIGHT('Disaggregation Records'!$D$155:$D$385,255),0))),"")</f>
        <v/>
      </c>
      <c r="W1499" s="89" t="str">
        <f ca="1">IFERROR(INDEX('Reference Records'!L$77:L$157,MATCH(LEFT(C1499,255),'Reference Records'!E$77:E$157,0)),"")</f>
        <v/>
      </c>
    </row>
    <row r="1500" spans="1:23" s="89" customFormat="1" ht="40.35" customHeight="1">
      <c r="A1500" s="564"/>
      <c r="B1500" s="799"/>
      <c r="C1500" s="800"/>
      <c r="D1500" s="801"/>
      <c r="E1500" s="801"/>
      <c r="F1500" s="128"/>
      <c r="G1500" s="802"/>
      <c r="H1500" s="781"/>
      <c r="I1500" s="803"/>
      <c r="J1500" s="779"/>
      <c r="K1500" s="800"/>
      <c r="L1500" s="800"/>
      <c r="M1500" s="779"/>
      <c r="N1500" s="779"/>
    </row>
    <row r="1501" spans="1:23" s="89" customFormat="1" ht="40.35" customHeight="1">
      <c r="A1501" s="564" t="str">
        <f ca="1">INDIRECT("'update Helper'!C"&amp;U1501)</f>
        <v>a163p000004VjrnAAC</v>
      </c>
      <c r="B1501" s="794">
        <v>23</v>
      </c>
      <c r="C1501" s="795" t="str">
        <f ca="1">VLOOKUP(B1501,'Coverage Indicators - Section D'!$A$9:$AU$70,47,FALSE)</f>
        <v/>
      </c>
      <c r="D1501" s="796" t="str">
        <f ca="1">R1501</f>
        <v/>
      </c>
      <c r="E1501" s="796" t="str">
        <f ca="1">S1501</f>
        <v/>
      </c>
      <c r="F1501" s="127"/>
      <c r="G1501" s="797" t="str">
        <f ca="1">IF(OR(INDIRECT("'update Helper'!E"&amp;U1501)="",F1501&lt;&gt;0,F1502&lt;&gt;0),IF(IFERROR((F1501/F1502),"")="","",(F1501/F1502)),INDIRECT("'update Helper'!E"&amp;U1501)/100)</f>
        <v/>
      </c>
      <c r="H1501" s="784"/>
      <c r="I1501" s="798"/>
      <c r="J1501" s="777"/>
      <c r="K1501" s="795" t="str">
        <f ca="1">W1501</f>
        <v/>
      </c>
      <c r="L1501" s="795" t="str">
        <f ca="1">V1501</f>
        <v/>
      </c>
      <c r="M1501" s="777"/>
      <c r="N1501" s="777"/>
      <c r="P1501" s="89">
        <f ca="1">IF(AND(EXACT(C1501,C1499),C1499&lt;&gt;0),P1499+1,0)</f>
        <v>200</v>
      </c>
      <c r="Q1501" s="89" t="str">
        <f ca="1">IF(C1501&lt;&gt;"",C1501&amp;"-"&amp;P1501,"")</f>
        <v/>
      </c>
      <c r="R1501" s="89" t="str">
        <f t="array" aca="1" ref="R1501" ca="1">IFERROR(IF(INDEX('Disaggregation Records'!$E$155:$E$385,MATCH(RIGHT(Q1501,255),RIGHT('Disaggregation Records'!$D$155:$D$385,255),0))="","",INDEX('Disaggregation Records'!$E$155:$E$385,MATCH(RIGHT(Q1501,255),RIGHT('Disaggregation Records'!$D$155:$D$385,255),0))),"")</f>
        <v/>
      </c>
      <c r="S1501" s="89" t="str">
        <f t="array" aca="1" ref="S1501" ca="1">IFERROR(IF(INDEX('Disaggregation Records'!$F$155:$F$385,MATCH(RIGHT(Q1501,255),RIGHT('Disaggregation Records'!$D$155:$D$385,255),0))="","",INDEX('Disaggregation Records'!$F$155:$F$385,MATCH(RIGHT(Q1501,255),RIGHT('Disaggregation Records'!$D$155:$D$385,255),0))),"")</f>
        <v/>
      </c>
      <c r="T1501" s="89" t="str">
        <f t="array" aca="1" ref="T1501" ca="1">IFERROR(IF(INDEX('Disaggregation Records'!$H$155:$H$385,MATCH(RIGHT(Q1501,255),RIGHT('Disaggregation Records'!$D$155:$D$385,255),0))="","",INDEX('Disaggregation Records'!$H$155:$H$385,MATCH(RIGHT(Q1501,255),RIGHT('Disaggregation Records'!$D$155:$D$385,255),0))),"")</f>
        <v/>
      </c>
      <c r="U1501" s="89">
        <f>U1499+1</f>
        <v>1860</v>
      </c>
      <c r="V1501" s="89" t="str">
        <f t="array" aca="1" ref="V1501" ca="1">IFERROR(IF(INDEX('Disaggregation Records'!$I$155:$I$385,MATCH(RIGHT(Q1501,255),RIGHT('Disaggregation Records'!$D$155:$D$385,255),0))="","",INDEX('Disaggregation Records'!$I$155:$I$385,MATCH(RIGHT(Q1501,255),RIGHT('Disaggregation Records'!$D$155:$D$385,255),0))),"")</f>
        <v/>
      </c>
      <c r="W1501" s="89" t="str">
        <f ca="1">IFERROR(INDEX('Reference Records'!L$77:L$157,MATCH(LEFT(C1501,255),'Reference Records'!E$77:E$157,0)),"")</f>
        <v/>
      </c>
    </row>
    <row r="1502" spans="1:23" s="89" customFormat="1" ht="40.35" customHeight="1">
      <c r="A1502" s="564"/>
      <c r="B1502" s="799"/>
      <c r="C1502" s="800"/>
      <c r="D1502" s="801"/>
      <c r="E1502" s="801"/>
      <c r="F1502" s="128"/>
      <c r="G1502" s="802"/>
      <c r="H1502" s="781"/>
      <c r="I1502" s="803"/>
      <c r="J1502" s="779"/>
      <c r="K1502" s="800"/>
      <c r="L1502" s="800"/>
      <c r="M1502" s="779"/>
      <c r="N1502" s="779"/>
    </row>
    <row r="1503" spans="1:23" s="89" customFormat="1" ht="40.35" customHeight="1">
      <c r="A1503" s="564" t="str">
        <f ca="1">INDIRECT("'update Helper'!C"&amp;U1503)</f>
        <v>a163p000004VjroAAC</v>
      </c>
      <c r="B1503" s="794">
        <v>23</v>
      </c>
      <c r="C1503" s="795" t="str">
        <f ca="1">VLOOKUP(B1503,'Coverage Indicators - Section D'!$A$9:$AU$70,47,FALSE)</f>
        <v/>
      </c>
      <c r="D1503" s="796" t="str">
        <f ca="1">R1503</f>
        <v/>
      </c>
      <c r="E1503" s="796" t="str">
        <f ca="1">S1503</f>
        <v/>
      </c>
      <c r="F1503" s="127"/>
      <c r="G1503" s="797" t="str">
        <f ca="1">IF(OR(INDIRECT("'update Helper'!E"&amp;U1503)="",F1503&lt;&gt;0,F1504&lt;&gt;0),IF(IFERROR((F1503/F1504),"")="","",(F1503/F1504)),INDIRECT("'update Helper'!E"&amp;U1503)/100)</f>
        <v/>
      </c>
      <c r="H1503" s="784"/>
      <c r="I1503" s="798"/>
      <c r="J1503" s="777"/>
      <c r="K1503" s="795" t="str">
        <f ca="1">W1503</f>
        <v/>
      </c>
      <c r="L1503" s="795" t="str">
        <f ca="1">V1503</f>
        <v/>
      </c>
      <c r="M1503" s="777"/>
      <c r="N1503" s="777"/>
      <c r="P1503" s="89">
        <f ca="1">IF(AND(EXACT(C1503,C1501),C1501&lt;&gt;0),P1501+1,0)</f>
        <v>201</v>
      </c>
      <c r="Q1503" s="89" t="str">
        <f ca="1">IF(C1503&lt;&gt;"",C1503&amp;"-"&amp;P1503,"")</f>
        <v/>
      </c>
      <c r="R1503" s="89" t="str">
        <f t="array" aca="1" ref="R1503" ca="1">IFERROR(IF(INDEX('Disaggregation Records'!$E$155:$E$385,MATCH(RIGHT(Q1503,255),RIGHT('Disaggregation Records'!$D$155:$D$385,255),0))="","",INDEX('Disaggregation Records'!$E$155:$E$385,MATCH(RIGHT(Q1503,255),RIGHT('Disaggregation Records'!$D$155:$D$385,255),0))),"")</f>
        <v/>
      </c>
      <c r="S1503" s="89" t="str">
        <f t="array" aca="1" ref="S1503" ca="1">IFERROR(IF(INDEX('Disaggregation Records'!$F$155:$F$385,MATCH(RIGHT(Q1503,255),RIGHT('Disaggregation Records'!$D$155:$D$385,255),0))="","",INDEX('Disaggregation Records'!$F$155:$F$385,MATCH(RIGHT(Q1503,255),RIGHT('Disaggregation Records'!$D$155:$D$385,255),0))),"")</f>
        <v/>
      </c>
      <c r="T1503" s="89" t="str">
        <f t="array" aca="1" ref="T1503" ca="1">IFERROR(IF(INDEX('Disaggregation Records'!$H$155:$H$385,MATCH(RIGHT(Q1503,255),RIGHT('Disaggregation Records'!$D$155:$D$385,255),0))="","",INDEX('Disaggregation Records'!$H$155:$H$385,MATCH(RIGHT(Q1503,255),RIGHT('Disaggregation Records'!$D$155:$D$385,255),0))),"")</f>
        <v/>
      </c>
      <c r="U1503" s="89">
        <f>U1501+1</f>
        <v>1861</v>
      </c>
      <c r="V1503" s="89" t="str">
        <f t="array" aca="1" ref="V1503" ca="1">IFERROR(IF(INDEX('Disaggregation Records'!$I$155:$I$385,MATCH(RIGHT(Q1503,255),RIGHT('Disaggregation Records'!$D$155:$D$385,255),0))="","",INDEX('Disaggregation Records'!$I$155:$I$385,MATCH(RIGHT(Q1503,255),RIGHT('Disaggregation Records'!$D$155:$D$385,255),0))),"")</f>
        <v/>
      </c>
      <c r="W1503" s="89" t="str">
        <f ca="1">IFERROR(INDEX('Reference Records'!L$77:L$157,MATCH(LEFT(C1503,255),'Reference Records'!E$77:E$157,0)),"")</f>
        <v/>
      </c>
    </row>
    <row r="1504" spans="1:23" s="89" customFormat="1" ht="40.35" customHeight="1">
      <c r="A1504" s="564"/>
      <c r="B1504" s="799"/>
      <c r="C1504" s="800"/>
      <c r="D1504" s="801"/>
      <c r="E1504" s="801"/>
      <c r="F1504" s="128"/>
      <c r="G1504" s="802"/>
      <c r="H1504" s="781"/>
      <c r="I1504" s="803"/>
      <c r="J1504" s="779"/>
      <c r="K1504" s="800"/>
      <c r="L1504" s="800"/>
      <c r="M1504" s="779"/>
      <c r="N1504" s="779"/>
    </row>
    <row r="1505" spans="1:23" s="89" customFormat="1" ht="40.35" customHeight="1">
      <c r="A1505" s="564" t="str">
        <f ca="1">INDIRECT("'update Helper'!C"&amp;U1505)</f>
        <v>a163p000004VjrpAAC</v>
      </c>
      <c r="B1505" s="794">
        <v>23</v>
      </c>
      <c r="C1505" s="795" t="str">
        <f ca="1">VLOOKUP(B1505,'Coverage Indicators - Section D'!$A$9:$AU$70,47,FALSE)</f>
        <v/>
      </c>
      <c r="D1505" s="796" t="str">
        <f ca="1">R1505</f>
        <v/>
      </c>
      <c r="E1505" s="796" t="str">
        <f ca="1">S1505</f>
        <v/>
      </c>
      <c r="F1505" s="127"/>
      <c r="G1505" s="797" t="str">
        <f ca="1">IF(OR(INDIRECT("'update Helper'!E"&amp;U1505)="",F1505&lt;&gt;0,F1506&lt;&gt;0),IF(IFERROR((F1505/F1506),"")="","",(F1505/F1506)),INDIRECT("'update Helper'!E"&amp;U1505)/100)</f>
        <v/>
      </c>
      <c r="H1505" s="784"/>
      <c r="I1505" s="798"/>
      <c r="J1505" s="777"/>
      <c r="K1505" s="795" t="str">
        <f ca="1">W1505</f>
        <v/>
      </c>
      <c r="L1505" s="795" t="str">
        <f ca="1">V1505</f>
        <v/>
      </c>
      <c r="M1505" s="777"/>
      <c r="N1505" s="777"/>
      <c r="P1505" s="89">
        <f ca="1">IF(AND(EXACT(C1505,C1503),C1503&lt;&gt;0),P1503+1,0)</f>
        <v>202</v>
      </c>
      <c r="Q1505" s="89" t="str">
        <f ca="1">IF(C1505&lt;&gt;"",C1505&amp;"-"&amp;P1505,"")</f>
        <v/>
      </c>
      <c r="R1505" s="89" t="str">
        <f t="array" aca="1" ref="R1505" ca="1">IFERROR(IF(INDEX('Disaggregation Records'!$E$155:$E$385,MATCH(RIGHT(Q1505,255),RIGHT('Disaggregation Records'!$D$155:$D$385,255),0))="","",INDEX('Disaggregation Records'!$E$155:$E$385,MATCH(RIGHT(Q1505,255),RIGHT('Disaggregation Records'!$D$155:$D$385,255),0))),"")</f>
        <v/>
      </c>
      <c r="S1505" s="89" t="str">
        <f t="array" aca="1" ref="S1505" ca="1">IFERROR(IF(INDEX('Disaggregation Records'!$F$155:$F$385,MATCH(RIGHT(Q1505,255),RIGHT('Disaggregation Records'!$D$155:$D$385,255),0))="","",INDEX('Disaggregation Records'!$F$155:$F$385,MATCH(RIGHT(Q1505,255),RIGHT('Disaggregation Records'!$D$155:$D$385,255),0))),"")</f>
        <v/>
      </c>
      <c r="T1505" s="89" t="str">
        <f t="array" aca="1" ref="T1505" ca="1">IFERROR(IF(INDEX('Disaggregation Records'!$H$155:$H$385,MATCH(RIGHT(Q1505,255),RIGHT('Disaggregation Records'!$D$155:$D$385,255),0))="","",INDEX('Disaggregation Records'!$H$155:$H$385,MATCH(RIGHT(Q1505,255),RIGHT('Disaggregation Records'!$D$155:$D$385,255),0))),"")</f>
        <v/>
      </c>
      <c r="U1505" s="89">
        <f>U1503+1</f>
        <v>1862</v>
      </c>
      <c r="V1505" s="89" t="str">
        <f t="array" aca="1" ref="V1505" ca="1">IFERROR(IF(INDEX('Disaggregation Records'!$I$155:$I$385,MATCH(RIGHT(Q1505,255),RIGHT('Disaggregation Records'!$D$155:$D$385,255),0))="","",INDEX('Disaggregation Records'!$I$155:$I$385,MATCH(RIGHT(Q1505,255),RIGHT('Disaggregation Records'!$D$155:$D$385,255),0))),"")</f>
        <v/>
      </c>
      <c r="W1505" s="89" t="str">
        <f ca="1">IFERROR(INDEX('Reference Records'!L$77:L$157,MATCH(LEFT(C1505,255),'Reference Records'!E$77:E$157,0)),"")</f>
        <v/>
      </c>
    </row>
    <row r="1506" spans="1:23" s="89" customFormat="1" ht="40.35" customHeight="1">
      <c r="A1506" s="564"/>
      <c r="B1506" s="799"/>
      <c r="C1506" s="800"/>
      <c r="D1506" s="801"/>
      <c r="E1506" s="801"/>
      <c r="F1506" s="128"/>
      <c r="G1506" s="802"/>
      <c r="H1506" s="781"/>
      <c r="I1506" s="803"/>
      <c r="J1506" s="779"/>
      <c r="K1506" s="800"/>
      <c r="L1506" s="800"/>
      <c r="M1506" s="779"/>
      <c r="N1506" s="779"/>
    </row>
    <row r="1507" spans="1:23" s="89" customFormat="1" ht="40.35" customHeight="1">
      <c r="A1507" s="564" t="str">
        <f ca="1">INDIRECT("'update Helper'!C"&amp;U1507)</f>
        <v>a163p000004VjrqAAC</v>
      </c>
      <c r="B1507" s="794">
        <v>23</v>
      </c>
      <c r="C1507" s="795" t="str">
        <f ca="1">VLOOKUP(B1507,'Coverage Indicators - Section D'!$A$9:$AU$70,47,FALSE)</f>
        <v/>
      </c>
      <c r="D1507" s="796" t="str">
        <f ca="1">R1507</f>
        <v/>
      </c>
      <c r="E1507" s="796" t="str">
        <f ca="1">S1507</f>
        <v/>
      </c>
      <c r="F1507" s="127"/>
      <c r="G1507" s="797" t="str">
        <f ca="1">IF(OR(INDIRECT("'update Helper'!E"&amp;U1507)="",F1507&lt;&gt;0,F1508&lt;&gt;0),IF(IFERROR((F1507/F1508),"")="","",(F1507/F1508)),INDIRECT("'update Helper'!E"&amp;U1507)/100)</f>
        <v/>
      </c>
      <c r="H1507" s="784"/>
      <c r="I1507" s="798"/>
      <c r="J1507" s="777"/>
      <c r="K1507" s="795" t="str">
        <f ca="1">W1507</f>
        <v/>
      </c>
      <c r="L1507" s="795" t="str">
        <f ca="1">V1507</f>
        <v/>
      </c>
      <c r="M1507" s="777"/>
      <c r="N1507" s="777"/>
      <c r="P1507" s="89">
        <f ca="1">IF(AND(EXACT(C1507,C1505),C1505&lt;&gt;0),P1505+1,0)</f>
        <v>203</v>
      </c>
      <c r="Q1507" s="89" t="str">
        <f ca="1">IF(C1507&lt;&gt;"",C1507&amp;"-"&amp;P1507,"")</f>
        <v/>
      </c>
      <c r="R1507" s="89" t="str">
        <f t="array" aca="1" ref="R1507" ca="1">IFERROR(IF(INDEX('Disaggregation Records'!$E$155:$E$385,MATCH(RIGHT(Q1507,255),RIGHT('Disaggregation Records'!$D$155:$D$385,255),0))="","",INDEX('Disaggregation Records'!$E$155:$E$385,MATCH(RIGHT(Q1507,255),RIGHT('Disaggregation Records'!$D$155:$D$385,255),0))),"")</f>
        <v/>
      </c>
      <c r="S1507" s="89" t="str">
        <f t="array" aca="1" ref="S1507" ca="1">IFERROR(IF(INDEX('Disaggregation Records'!$F$155:$F$385,MATCH(RIGHT(Q1507,255),RIGHT('Disaggregation Records'!$D$155:$D$385,255),0))="","",INDEX('Disaggregation Records'!$F$155:$F$385,MATCH(RIGHT(Q1507,255),RIGHT('Disaggregation Records'!$D$155:$D$385,255),0))),"")</f>
        <v/>
      </c>
      <c r="T1507" s="89" t="str">
        <f t="array" aca="1" ref="T1507" ca="1">IFERROR(IF(INDEX('Disaggregation Records'!$H$155:$H$385,MATCH(RIGHT(Q1507,255),RIGHT('Disaggregation Records'!$D$155:$D$385,255),0))="","",INDEX('Disaggregation Records'!$H$155:$H$385,MATCH(RIGHT(Q1507,255),RIGHT('Disaggregation Records'!$D$155:$D$385,255),0))),"")</f>
        <v/>
      </c>
      <c r="U1507" s="89">
        <f>U1505+1</f>
        <v>1863</v>
      </c>
      <c r="V1507" s="89" t="str">
        <f t="array" aca="1" ref="V1507" ca="1">IFERROR(IF(INDEX('Disaggregation Records'!$I$155:$I$385,MATCH(RIGHT(Q1507,255),RIGHT('Disaggregation Records'!$D$155:$D$385,255),0))="","",INDEX('Disaggregation Records'!$I$155:$I$385,MATCH(RIGHT(Q1507,255),RIGHT('Disaggregation Records'!$D$155:$D$385,255),0))),"")</f>
        <v/>
      </c>
      <c r="W1507" s="89" t="str">
        <f ca="1">IFERROR(INDEX('Reference Records'!L$77:L$157,MATCH(LEFT(C1507,255),'Reference Records'!E$77:E$157,0)),"")</f>
        <v/>
      </c>
    </row>
    <row r="1508" spans="1:23" s="89" customFormat="1" ht="40.35" customHeight="1">
      <c r="A1508" s="564"/>
      <c r="B1508" s="799"/>
      <c r="C1508" s="800"/>
      <c r="D1508" s="801"/>
      <c r="E1508" s="801"/>
      <c r="F1508" s="128"/>
      <c r="G1508" s="802"/>
      <c r="H1508" s="781"/>
      <c r="I1508" s="803"/>
      <c r="J1508" s="779"/>
      <c r="K1508" s="800"/>
      <c r="L1508" s="800"/>
      <c r="M1508" s="779"/>
      <c r="N1508" s="779"/>
    </row>
    <row r="1509" spans="1:23" s="89" customFormat="1" ht="40.35" customHeight="1">
      <c r="A1509" s="564" t="str">
        <f ca="1">INDIRECT("'update Helper'!C"&amp;U1509)</f>
        <v>a163p000004VjrrAAC</v>
      </c>
      <c r="B1509" s="794">
        <v>23</v>
      </c>
      <c r="C1509" s="795" t="str">
        <f ca="1">VLOOKUP(B1509,'Coverage Indicators - Section D'!$A$9:$AU$70,47,FALSE)</f>
        <v/>
      </c>
      <c r="D1509" s="796" t="str">
        <f ca="1">R1509</f>
        <v/>
      </c>
      <c r="E1509" s="796" t="str">
        <f ca="1">S1509</f>
        <v/>
      </c>
      <c r="F1509" s="127"/>
      <c r="G1509" s="797" t="str">
        <f ca="1">IF(OR(INDIRECT("'update Helper'!E"&amp;U1509)="",F1509&lt;&gt;0,F1510&lt;&gt;0),IF(IFERROR((F1509/F1510),"")="","",(F1509/F1510)),INDIRECT("'update Helper'!E"&amp;U1509)/100)</f>
        <v/>
      </c>
      <c r="H1509" s="784"/>
      <c r="I1509" s="798"/>
      <c r="J1509" s="777"/>
      <c r="K1509" s="795" t="str">
        <f ca="1">W1509</f>
        <v/>
      </c>
      <c r="L1509" s="795" t="str">
        <f ca="1">V1509</f>
        <v/>
      </c>
      <c r="M1509" s="777"/>
      <c r="N1509" s="777"/>
      <c r="P1509" s="89">
        <f ca="1">IF(AND(EXACT(C1509,C1507),C1507&lt;&gt;0),P1507+1,0)</f>
        <v>204</v>
      </c>
      <c r="Q1509" s="89" t="str">
        <f ca="1">IF(C1509&lt;&gt;"",C1509&amp;"-"&amp;P1509,"")</f>
        <v/>
      </c>
      <c r="R1509" s="89" t="str">
        <f t="array" aca="1" ref="R1509" ca="1">IFERROR(IF(INDEX('Disaggregation Records'!$E$155:$E$385,MATCH(RIGHT(Q1509,255),RIGHT('Disaggregation Records'!$D$155:$D$385,255),0))="","",INDEX('Disaggregation Records'!$E$155:$E$385,MATCH(RIGHT(Q1509,255),RIGHT('Disaggregation Records'!$D$155:$D$385,255),0))),"")</f>
        <v/>
      </c>
      <c r="S1509" s="89" t="str">
        <f t="array" aca="1" ref="S1509" ca="1">IFERROR(IF(INDEX('Disaggregation Records'!$F$155:$F$385,MATCH(RIGHT(Q1509,255),RIGHT('Disaggregation Records'!$D$155:$D$385,255),0))="","",INDEX('Disaggregation Records'!$F$155:$F$385,MATCH(RIGHT(Q1509,255),RIGHT('Disaggregation Records'!$D$155:$D$385,255),0))),"")</f>
        <v/>
      </c>
      <c r="T1509" s="89" t="str">
        <f t="array" aca="1" ref="T1509" ca="1">IFERROR(IF(INDEX('Disaggregation Records'!$H$155:$H$385,MATCH(RIGHT(Q1509,255),RIGHT('Disaggregation Records'!$D$155:$D$385,255),0))="","",INDEX('Disaggregation Records'!$H$155:$H$385,MATCH(RIGHT(Q1509,255),RIGHT('Disaggregation Records'!$D$155:$D$385,255),0))),"")</f>
        <v/>
      </c>
      <c r="U1509" s="89">
        <f>U1507+1</f>
        <v>1864</v>
      </c>
      <c r="V1509" s="89" t="str">
        <f t="array" aca="1" ref="V1509" ca="1">IFERROR(IF(INDEX('Disaggregation Records'!$I$155:$I$385,MATCH(RIGHT(Q1509,255),RIGHT('Disaggregation Records'!$D$155:$D$385,255),0))="","",INDEX('Disaggregation Records'!$I$155:$I$385,MATCH(RIGHT(Q1509,255),RIGHT('Disaggregation Records'!$D$155:$D$385,255),0))),"")</f>
        <v/>
      </c>
      <c r="W1509" s="89" t="str">
        <f ca="1">IFERROR(INDEX('Reference Records'!L$77:L$157,MATCH(LEFT(C1509,255),'Reference Records'!E$77:E$157,0)),"")</f>
        <v/>
      </c>
    </row>
    <row r="1510" spans="1:23" s="89" customFormat="1" ht="40.35" customHeight="1">
      <c r="A1510" s="564"/>
      <c r="B1510" s="799"/>
      <c r="C1510" s="800"/>
      <c r="D1510" s="801"/>
      <c r="E1510" s="801"/>
      <c r="F1510" s="128"/>
      <c r="G1510" s="802"/>
      <c r="H1510" s="781"/>
      <c r="I1510" s="803"/>
      <c r="J1510" s="779"/>
      <c r="K1510" s="800"/>
      <c r="L1510" s="800"/>
      <c r="M1510" s="779"/>
      <c r="N1510" s="779"/>
    </row>
    <row r="1511" spans="1:23" s="89" customFormat="1" ht="40.35" customHeight="1">
      <c r="A1511" s="564" t="str">
        <f ca="1">INDIRECT("'update Helper'!C"&amp;U1511)</f>
        <v>a163p000004VjrsAAC</v>
      </c>
      <c r="B1511" s="794">
        <v>23</v>
      </c>
      <c r="C1511" s="795" t="str">
        <f ca="1">VLOOKUP(B1511,'Coverage Indicators - Section D'!$A$9:$AU$70,47,FALSE)</f>
        <v/>
      </c>
      <c r="D1511" s="796" t="str">
        <f ca="1">R1511</f>
        <v/>
      </c>
      <c r="E1511" s="796" t="str">
        <f ca="1">S1511</f>
        <v/>
      </c>
      <c r="F1511" s="127"/>
      <c r="G1511" s="797" t="str">
        <f ca="1">IF(OR(INDIRECT("'update Helper'!E"&amp;U1511)="",F1511&lt;&gt;0,F1512&lt;&gt;0),IF(IFERROR((F1511/F1512),"")="","",(F1511/F1512)),INDIRECT("'update Helper'!E"&amp;U1511)/100)</f>
        <v/>
      </c>
      <c r="H1511" s="784"/>
      <c r="I1511" s="798"/>
      <c r="J1511" s="777"/>
      <c r="K1511" s="795" t="str">
        <f ca="1">W1511</f>
        <v/>
      </c>
      <c r="L1511" s="795" t="str">
        <f ca="1">V1511</f>
        <v/>
      </c>
      <c r="M1511" s="777"/>
      <c r="N1511" s="777"/>
      <c r="P1511" s="89">
        <f ca="1">IF(AND(EXACT(C1511,C1509),C1509&lt;&gt;0),P1509+1,0)</f>
        <v>205</v>
      </c>
      <c r="Q1511" s="89" t="str">
        <f ca="1">IF(C1511&lt;&gt;"",C1511&amp;"-"&amp;P1511,"")</f>
        <v/>
      </c>
      <c r="R1511" s="89" t="str">
        <f t="array" aca="1" ref="R1511" ca="1">IFERROR(IF(INDEX('Disaggregation Records'!$E$155:$E$385,MATCH(RIGHT(Q1511,255),RIGHT('Disaggregation Records'!$D$155:$D$385,255),0))="","",INDEX('Disaggregation Records'!$E$155:$E$385,MATCH(RIGHT(Q1511,255),RIGHT('Disaggregation Records'!$D$155:$D$385,255),0))),"")</f>
        <v/>
      </c>
      <c r="S1511" s="89" t="str">
        <f t="array" aca="1" ref="S1511" ca="1">IFERROR(IF(INDEX('Disaggregation Records'!$F$155:$F$385,MATCH(RIGHT(Q1511,255),RIGHT('Disaggregation Records'!$D$155:$D$385,255),0))="","",INDEX('Disaggregation Records'!$F$155:$F$385,MATCH(RIGHT(Q1511,255),RIGHT('Disaggregation Records'!$D$155:$D$385,255),0))),"")</f>
        <v/>
      </c>
      <c r="T1511" s="89" t="str">
        <f t="array" aca="1" ref="T1511" ca="1">IFERROR(IF(INDEX('Disaggregation Records'!$H$155:$H$385,MATCH(RIGHT(Q1511,255),RIGHT('Disaggregation Records'!$D$155:$D$385,255),0))="","",INDEX('Disaggregation Records'!$H$155:$H$385,MATCH(RIGHT(Q1511,255),RIGHT('Disaggregation Records'!$D$155:$D$385,255),0))),"")</f>
        <v/>
      </c>
      <c r="U1511" s="89">
        <f>U1509+1</f>
        <v>1865</v>
      </c>
      <c r="V1511" s="89" t="str">
        <f t="array" aca="1" ref="V1511" ca="1">IFERROR(IF(INDEX('Disaggregation Records'!$I$155:$I$385,MATCH(RIGHT(Q1511,255),RIGHT('Disaggregation Records'!$D$155:$D$385,255),0))="","",INDEX('Disaggregation Records'!$I$155:$I$385,MATCH(RIGHT(Q1511,255),RIGHT('Disaggregation Records'!$D$155:$D$385,255),0))),"")</f>
        <v/>
      </c>
      <c r="W1511" s="89" t="str">
        <f ca="1">IFERROR(INDEX('Reference Records'!L$77:L$157,MATCH(LEFT(C1511,255),'Reference Records'!E$77:E$157,0)),"")</f>
        <v/>
      </c>
    </row>
    <row r="1512" spans="1:23" s="89" customFormat="1" ht="40.35" customHeight="1">
      <c r="A1512" s="564"/>
      <c r="B1512" s="799"/>
      <c r="C1512" s="800"/>
      <c r="D1512" s="801"/>
      <c r="E1512" s="801"/>
      <c r="F1512" s="128"/>
      <c r="G1512" s="802"/>
      <c r="H1512" s="781"/>
      <c r="I1512" s="803"/>
      <c r="J1512" s="779"/>
      <c r="K1512" s="800"/>
      <c r="L1512" s="800"/>
      <c r="M1512" s="779"/>
      <c r="N1512" s="779"/>
    </row>
    <row r="1513" spans="1:23" s="89" customFormat="1" ht="40.35" customHeight="1">
      <c r="A1513" s="564" t="str">
        <f ca="1">INDIRECT("'update Helper'!C"&amp;U1513)</f>
        <v>a163p000004VjrtAAC</v>
      </c>
      <c r="B1513" s="794">
        <v>23</v>
      </c>
      <c r="C1513" s="795" t="str">
        <f ca="1">VLOOKUP(B1513,'Coverage Indicators - Section D'!$A$9:$AU$70,47,FALSE)</f>
        <v/>
      </c>
      <c r="D1513" s="796" t="str">
        <f ca="1">R1513</f>
        <v/>
      </c>
      <c r="E1513" s="796" t="str">
        <f ca="1">S1513</f>
        <v/>
      </c>
      <c r="F1513" s="127"/>
      <c r="G1513" s="797" t="str">
        <f ca="1">IF(OR(INDIRECT("'update Helper'!E"&amp;U1513)="",F1513&lt;&gt;0,F1514&lt;&gt;0),IF(IFERROR((F1513/F1514),"")="","",(F1513/F1514)),INDIRECT("'update Helper'!E"&amp;U1513)/100)</f>
        <v/>
      </c>
      <c r="H1513" s="784"/>
      <c r="I1513" s="798"/>
      <c r="J1513" s="777"/>
      <c r="K1513" s="795" t="str">
        <f ca="1">W1513</f>
        <v/>
      </c>
      <c r="L1513" s="795" t="str">
        <f ca="1">V1513</f>
        <v/>
      </c>
      <c r="M1513" s="777"/>
      <c r="N1513" s="777"/>
      <c r="P1513" s="89">
        <f ca="1">IF(AND(EXACT(C1513,C1511),C1511&lt;&gt;0),P1511+1,0)</f>
        <v>206</v>
      </c>
      <c r="Q1513" s="89" t="str">
        <f ca="1">IF(C1513&lt;&gt;"",C1513&amp;"-"&amp;P1513,"")</f>
        <v/>
      </c>
      <c r="R1513" s="89" t="str">
        <f t="array" aca="1" ref="R1513" ca="1">IFERROR(IF(INDEX('Disaggregation Records'!$E$155:$E$385,MATCH(RIGHT(Q1513,255),RIGHT('Disaggregation Records'!$D$155:$D$385,255),0))="","",INDEX('Disaggregation Records'!$E$155:$E$385,MATCH(RIGHT(Q1513,255),RIGHT('Disaggregation Records'!$D$155:$D$385,255),0))),"")</f>
        <v/>
      </c>
      <c r="S1513" s="89" t="str">
        <f t="array" aca="1" ref="S1513" ca="1">IFERROR(IF(INDEX('Disaggregation Records'!$F$155:$F$385,MATCH(RIGHT(Q1513,255),RIGHT('Disaggregation Records'!$D$155:$D$385,255),0))="","",INDEX('Disaggregation Records'!$F$155:$F$385,MATCH(RIGHT(Q1513,255),RIGHT('Disaggregation Records'!$D$155:$D$385,255),0))),"")</f>
        <v/>
      </c>
      <c r="T1513" s="89" t="str">
        <f t="array" aca="1" ref="T1513" ca="1">IFERROR(IF(INDEX('Disaggregation Records'!$H$155:$H$385,MATCH(RIGHT(Q1513,255),RIGHT('Disaggregation Records'!$D$155:$D$385,255),0))="","",INDEX('Disaggregation Records'!$H$155:$H$385,MATCH(RIGHT(Q1513,255),RIGHT('Disaggregation Records'!$D$155:$D$385,255),0))),"")</f>
        <v/>
      </c>
      <c r="U1513" s="89">
        <f>U1511+1</f>
        <v>1866</v>
      </c>
      <c r="V1513" s="89" t="str">
        <f t="array" aca="1" ref="V1513" ca="1">IFERROR(IF(INDEX('Disaggregation Records'!$I$155:$I$385,MATCH(RIGHT(Q1513,255),RIGHT('Disaggregation Records'!$D$155:$D$385,255),0))="","",INDEX('Disaggregation Records'!$I$155:$I$385,MATCH(RIGHT(Q1513,255),RIGHT('Disaggregation Records'!$D$155:$D$385,255),0))),"")</f>
        <v/>
      </c>
      <c r="W1513" s="89" t="str">
        <f ca="1">IFERROR(INDEX('Reference Records'!L$77:L$157,MATCH(LEFT(C1513,255),'Reference Records'!E$77:E$157,0)),"")</f>
        <v/>
      </c>
    </row>
    <row r="1514" spans="1:23" s="89" customFormat="1" ht="40.35" customHeight="1">
      <c r="A1514" s="564"/>
      <c r="B1514" s="799"/>
      <c r="C1514" s="800"/>
      <c r="D1514" s="801"/>
      <c r="E1514" s="801"/>
      <c r="F1514" s="128"/>
      <c r="G1514" s="802"/>
      <c r="H1514" s="781"/>
      <c r="I1514" s="803"/>
      <c r="J1514" s="779"/>
      <c r="K1514" s="800"/>
      <c r="L1514" s="800"/>
      <c r="M1514" s="779"/>
      <c r="N1514" s="779"/>
    </row>
    <row r="1515" spans="1:23" s="89" customFormat="1" ht="40.35" customHeight="1">
      <c r="A1515" s="564" t="str">
        <f ca="1">INDIRECT("'update Helper'!C"&amp;U1515)</f>
        <v>a163p000004VjruAAC</v>
      </c>
      <c r="B1515" s="794">
        <v>23</v>
      </c>
      <c r="C1515" s="795" t="str">
        <f ca="1">VLOOKUP(B1515,'Coverage Indicators - Section D'!$A$9:$AU$70,47,FALSE)</f>
        <v/>
      </c>
      <c r="D1515" s="796" t="str">
        <f ca="1">R1515</f>
        <v/>
      </c>
      <c r="E1515" s="796" t="str">
        <f ca="1">S1515</f>
        <v/>
      </c>
      <c r="F1515" s="127"/>
      <c r="G1515" s="797" t="str">
        <f ca="1">IF(OR(INDIRECT("'update Helper'!E"&amp;U1515)="",F1515&lt;&gt;0,F1516&lt;&gt;0),IF(IFERROR((F1515/F1516),"")="","",(F1515/F1516)),INDIRECT("'update Helper'!E"&amp;U1515)/100)</f>
        <v/>
      </c>
      <c r="H1515" s="784"/>
      <c r="I1515" s="798"/>
      <c r="J1515" s="777"/>
      <c r="K1515" s="795" t="str">
        <f ca="1">W1515</f>
        <v/>
      </c>
      <c r="L1515" s="795" t="str">
        <f ca="1">V1515</f>
        <v/>
      </c>
      <c r="M1515" s="777"/>
      <c r="N1515" s="777"/>
      <c r="P1515" s="89">
        <f ca="1">IF(AND(EXACT(C1515,C1513),C1513&lt;&gt;0),P1513+1,0)</f>
        <v>207</v>
      </c>
      <c r="Q1515" s="89" t="str">
        <f ca="1">IF(C1515&lt;&gt;"",C1515&amp;"-"&amp;P1515,"")</f>
        <v/>
      </c>
      <c r="R1515" s="89" t="str">
        <f t="array" aca="1" ref="R1515" ca="1">IFERROR(IF(INDEX('Disaggregation Records'!$E$155:$E$385,MATCH(RIGHT(Q1515,255),RIGHT('Disaggregation Records'!$D$155:$D$385,255),0))="","",INDEX('Disaggregation Records'!$E$155:$E$385,MATCH(RIGHT(Q1515,255),RIGHT('Disaggregation Records'!$D$155:$D$385,255),0))),"")</f>
        <v/>
      </c>
      <c r="S1515" s="89" t="str">
        <f t="array" aca="1" ref="S1515" ca="1">IFERROR(IF(INDEX('Disaggregation Records'!$F$155:$F$385,MATCH(RIGHT(Q1515,255),RIGHT('Disaggregation Records'!$D$155:$D$385,255),0))="","",INDEX('Disaggregation Records'!$F$155:$F$385,MATCH(RIGHT(Q1515,255),RIGHT('Disaggregation Records'!$D$155:$D$385,255),0))),"")</f>
        <v/>
      </c>
      <c r="T1515" s="89" t="str">
        <f t="array" aca="1" ref="T1515" ca="1">IFERROR(IF(INDEX('Disaggregation Records'!$H$155:$H$385,MATCH(RIGHT(Q1515,255),RIGHT('Disaggregation Records'!$D$155:$D$385,255),0))="","",INDEX('Disaggregation Records'!$H$155:$H$385,MATCH(RIGHT(Q1515,255),RIGHT('Disaggregation Records'!$D$155:$D$385,255),0))),"")</f>
        <v/>
      </c>
      <c r="U1515" s="89">
        <f>U1513+1</f>
        <v>1867</v>
      </c>
      <c r="V1515" s="89" t="str">
        <f t="array" aca="1" ref="V1515" ca="1">IFERROR(IF(INDEX('Disaggregation Records'!$I$155:$I$385,MATCH(RIGHT(Q1515,255),RIGHT('Disaggregation Records'!$D$155:$D$385,255),0))="","",INDEX('Disaggregation Records'!$I$155:$I$385,MATCH(RIGHT(Q1515,255),RIGHT('Disaggregation Records'!$D$155:$D$385,255),0))),"")</f>
        <v/>
      </c>
      <c r="W1515" s="89" t="str">
        <f ca="1">IFERROR(INDEX('Reference Records'!L$77:L$157,MATCH(LEFT(C1515,255),'Reference Records'!E$77:E$157,0)),"")</f>
        <v/>
      </c>
    </row>
    <row r="1516" spans="1:23" s="89" customFormat="1" ht="40.35" customHeight="1">
      <c r="A1516" s="564"/>
      <c r="B1516" s="799"/>
      <c r="C1516" s="800"/>
      <c r="D1516" s="801"/>
      <c r="E1516" s="801"/>
      <c r="F1516" s="128"/>
      <c r="G1516" s="802"/>
      <c r="H1516" s="781"/>
      <c r="I1516" s="803"/>
      <c r="J1516" s="779"/>
      <c r="K1516" s="800"/>
      <c r="L1516" s="800"/>
      <c r="M1516" s="779"/>
      <c r="N1516" s="779"/>
    </row>
    <row r="1517" spans="1:23" s="89" customFormat="1" ht="40.35" customHeight="1">
      <c r="A1517" s="564" t="str">
        <f ca="1">INDIRECT("'update Helper'!C"&amp;U1517)</f>
        <v>a163p000004VjrvAAC</v>
      </c>
      <c r="B1517" s="794">
        <v>23</v>
      </c>
      <c r="C1517" s="795" t="str">
        <f ca="1">VLOOKUP(B1517,'Coverage Indicators - Section D'!$A$9:$AU$70,47,FALSE)</f>
        <v/>
      </c>
      <c r="D1517" s="796" t="str">
        <f ca="1">R1517</f>
        <v/>
      </c>
      <c r="E1517" s="796" t="str">
        <f ca="1">S1517</f>
        <v/>
      </c>
      <c r="F1517" s="127"/>
      <c r="G1517" s="797" t="str">
        <f ca="1">IF(OR(INDIRECT("'update Helper'!E"&amp;U1517)="",F1517&lt;&gt;0,F1518&lt;&gt;0),IF(IFERROR((F1517/F1518),"")="","",(F1517/F1518)),INDIRECT("'update Helper'!E"&amp;U1517)/100)</f>
        <v/>
      </c>
      <c r="H1517" s="784"/>
      <c r="I1517" s="798"/>
      <c r="J1517" s="777"/>
      <c r="K1517" s="795" t="str">
        <f ca="1">W1517</f>
        <v/>
      </c>
      <c r="L1517" s="795" t="str">
        <f ca="1">V1517</f>
        <v/>
      </c>
      <c r="M1517" s="777"/>
      <c r="N1517" s="777"/>
      <c r="P1517" s="89">
        <f ca="1">IF(AND(EXACT(C1517,C1515),C1515&lt;&gt;0),P1515+1,0)</f>
        <v>208</v>
      </c>
      <c r="Q1517" s="89" t="str">
        <f ca="1">IF(C1517&lt;&gt;"",C1517&amp;"-"&amp;P1517,"")</f>
        <v/>
      </c>
      <c r="R1517" s="89" t="str">
        <f t="array" aca="1" ref="R1517" ca="1">IFERROR(IF(INDEX('Disaggregation Records'!$E$155:$E$385,MATCH(RIGHT(Q1517,255),RIGHT('Disaggregation Records'!$D$155:$D$385,255),0))="","",INDEX('Disaggregation Records'!$E$155:$E$385,MATCH(RIGHT(Q1517,255),RIGHT('Disaggregation Records'!$D$155:$D$385,255),0))),"")</f>
        <v/>
      </c>
      <c r="S1517" s="89" t="str">
        <f t="array" aca="1" ref="S1517" ca="1">IFERROR(IF(INDEX('Disaggregation Records'!$F$155:$F$385,MATCH(RIGHT(Q1517,255),RIGHT('Disaggregation Records'!$D$155:$D$385,255),0))="","",INDEX('Disaggregation Records'!$F$155:$F$385,MATCH(RIGHT(Q1517,255),RIGHT('Disaggregation Records'!$D$155:$D$385,255),0))),"")</f>
        <v/>
      </c>
      <c r="T1517" s="89" t="str">
        <f t="array" aca="1" ref="T1517" ca="1">IFERROR(IF(INDEX('Disaggregation Records'!$H$155:$H$385,MATCH(RIGHT(Q1517,255),RIGHT('Disaggregation Records'!$D$155:$D$385,255),0))="","",INDEX('Disaggregation Records'!$H$155:$H$385,MATCH(RIGHT(Q1517,255),RIGHT('Disaggregation Records'!$D$155:$D$385,255),0))),"")</f>
        <v/>
      </c>
      <c r="U1517" s="89">
        <f>U1515+1</f>
        <v>1868</v>
      </c>
      <c r="V1517" s="89" t="str">
        <f t="array" aca="1" ref="V1517" ca="1">IFERROR(IF(INDEX('Disaggregation Records'!$I$155:$I$385,MATCH(RIGHT(Q1517,255),RIGHT('Disaggregation Records'!$D$155:$D$385,255),0))="","",INDEX('Disaggregation Records'!$I$155:$I$385,MATCH(RIGHT(Q1517,255),RIGHT('Disaggregation Records'!$D$155:$D$385,255),0))),"")</f>
        <v/>
      </c>
      <c r="W1517" s="89" t="str">
        <f ca="1">IFERROR(INDEX('Reference Records'!L$77:L$157,MATCH(LEFT(C1517,255),'Reference Records'!E$77:E$157,0)),"")</f>
        <v/>
      </c>
    </row>
    <row r="1518" spans="1:23" s="89" customFormat="1" ht="40.35" customHeight="1">
      <c r="A1518" s="564"/>
      <c r="B1518" s="799"/>
      <c r="C1518" s="800"/>
      <c r="D1518" s="801"/>
      <c r="E1518" s="801"/>
      <c r="F1518" s="128"/>
      <c r="G1518" s="802"/>
      <c r="H1518" s="781"/>
      <c r="I1518" s="803"/>
      <c r="J1518" s="779"/>
      <c r="K1518" s="800"/>
      <c r="L1518" s="800"/>
      <c r="M1518" s="779"/>
      <c r="N1518" s="779"/>
    </row>
    <row r="1519" spans="1:23" s="89" customFormat="1" ht="40.35" customHeight="1">
      <c r="A1519" s="564" t="str">
        <f ca="1">INDIRECT("'update Helper'!C"&amp;U1519)</f>
        <v>a163p000004VjrwAAC</v>
      </c>
      <c r="B1519" s="794">
        <v>23</v>
      </c>
      <c r="C1519" s="795" t="str">
        <f ca="1">VLOOKUP(B1519,'Coverage Indicators - Section D'!$A$9:$AU$70,47,FALSE)</f>
        <v/>
      </c>
      <c r="D1519" s="796" t="str">
        <f ca="1">R1519</f>
        <v/>
      </c>
      <c r="E1519" s="796" t="str">
        <f ca="1">S1519</f>
        <v/>
      </c>
      <c r="F1519" s="127"/>
      <c r="G1519" s="797" t="str">
        <f ca="1">IF(OR(INDIRECT("'update Helper'!E"&amp;U1519)="",F1519&lt;&gt;0,F1520&lt;&gt;0),IF(IFERROR((F1519/F1520),"")="","",(F1519/F1520)),INDIRECT("'update Helper'!E"&amp;U1519)/100)</f>
        <v/>
      </c>
      <c r="H1519" s="784"/>
      <c r="I1519" s="798"/>
      <c r="J1519" s="777"/>
      <c r="K1519" s="795" t="str">
        <f ca="1">W1519</f>
        <v/>
      </c>
      <c r="L1519" s="795" t="str">
        <f ca="1">V1519</f>
        <v/>
      </c>
      <c r="M1519" s="777"/>
      <c r="N1519" s="777"/>
      <c r="P1519" s="89">
        <f ca="1">IF(AND(EXACT(C1519,C1517),C1517&lt;&gt;0),P1517+1,0)</f>
        <v>209</v>
      </c>
      <c r="Q1519" s="89" t="str">
        <f ca="1">IF(C1519&lt;&gt;"",C1519&amp;"-"&amp;P1519,"")</f>
        <v/>
      </c>
      <c r="R1519" s="89" t="str">
        <f t="array" aca="1" ref="R1519" ca="1">IFERROR(IF(INDEX('Disaggregation Records'!$E$155:$E$385,MATCH(RIGHT(Q1519,255),RIGHT('Disaggregation Records'!$D$155:$D$385,255),0))="","",INDEX('Disaggregation Records'!$E$155:$E$385,MATCH(RIGHT(Q1519,255),RIGHT('Disaggregation Records'!$D$155:$D$385,255),0))),"")</f>
        <v/>
      </c>
      <c r="S1519" s="89" t="str">
        <f t="array" aca="1" ref="S1519" ca="1">IFERROR(IF(INDEX('Disaggregation Records'!$F$155:$F$385,MATCH(RIGHT(Q1519,255),RIGHT('Disaggregation Records'!$D$155:$D$385,255),0))="","",INDEX('Disaggregation Records'!$F$155:$F$385,MATCH(RIGHT(Q1519,255),RIGHT('Disaggregation Records'!$D$155:$D$385,255),0))),"")</f>
        <v/>
      </c>
      <c r="T1519" s="89" t="str">
        <f t="array" aca="1" ref="T1519" ca="1">IFERROR(IF(INDEX('Disaggregation Records'!$H$155:$H$385,MATCH(RIGHT(Q1519,255),RIGHT('Disaggregation Records'!$D$155:$D$385,255),0))="","",INDEX('Disaggregation Records'!$H$155:$H$385,MATCH(RIGHT(Q1519,255),RIGHT('Disaggregation Records'!$D$155:$D$385,255),0))),"")</f>
        <v/>
      </c>
      <c r="U1519" s="89">
        <f>U1517+1</f>
        <v>1869</v>
      </c>
      <c r="V1519" s="89" t="str">
        <f t="array" aca="1" ref="V1519" ca="1">IFERROR(IF(INDEX('Disaggregation Records'!$I$155:$I$385,MATCH(RIGHT(Q1519,255),RIGHT('Disaggregation Records'!$D$155:$D$385,255),0))="","",INDEX('Disaggregation Records'!$I$155:$I$385,MATCH(RIGHT(Q1519,255),RIGHT('Disaggregation Records'!$D$155:$D$385,255),0))),"")</f>
        <v/>
      </c>
      <c r="W1519" s="89" t="str">
        <f ca="1">IFERROR(INDEX('Reference Records'!L$77:L$157,MATCH(LEFT(C1519,255),'Reference Records'!E$77:E$157,0)),"")</f>
        <v/>
      </c>
    </row>
    <row r="1520" spans="1:23" s="89" customFormat="1" ht="40.35" customHeight="1">
      <c r="A1520" s="564"/>
      <c r="B1520" s="799"/>
      <c r="C1520" s="800"/>
      <c r="D1520" s="801"/>
      <c r="E1520" s="801"/>
      <c r="F1520" s="128"/>
      <c r="G1520" s="802"/>
      <c r="H1520" s="781"/>
      <c r="I1520" s="803"/>
      <c r="J1520" s="779"/>
      <c r="K1520" s="800"/>
      <c r="L1520" s="800"/>
      <c r="M1520" s="779"/>
      <c r="N1520" s="779"/>
    </row>
    <row r="1521" spans="1:23" s="89" customFormat="1" ht="40.35" customHeight="1">
      <c r="A1521" s="564" t="str">
        <f ca="1">INDIRECT("'update Helper'!C"&amp;U1521)</f>
        <v>a163p000004VjrxAAC</v>
      </c>
      <c r="B1521" s="794">
        <v>23</v>
      </c>
      <c r="C1521" s="795" t="str">
        <f ca="1">VLOOKUP(B1521,'Coverage Indicators - Section D'!$A$9:$AU$70,47,FALSE)</f>
        <v/>
      </c>
      <c r="D1521" s="796" t="str">
        <f ca="1">R1521</f>
        <v/>
      </c>
      <c r="E1521" s="796" t="str">
        <f ca="1">S1521</f>
        <v/>
      </c>
      <c r="F1521" s="127"/>
      <c r="G1521" s="797" t="str">
        <f ca="1">IF(OR(INDIRECT("'update Helper'!E"&amp;U1521)="",F1521&lt;&gt;0,F1522&lt;&gt;0),IF(IFERROR((F1521/F1522),"")="","",(F1521/F1522)),INDIRECT("'update Helper'!E"&amp;U1521)/100)</f>
        <v/>
      </c>
      <c r="H1521" s="784"/>
      <c r="I1521" s="798"/>
      <c r="J1521" s="777"/>
      <c r="K1521" s="795" t="str">
        <f ca="1">W1521</f>
        <v/>
      </c>
      <c r="L1521" s="795" t="str">
        <f ca="1">V1521</f>
        <v/>
      </c>
      <c r="M1521" s="777"/>
      <c r="N1521" s="777"/>
      <c r="P1521" s="89">
        <f ca="1">IF(AND(EXACT(C1521,C1519),C1519&lt;&gt;0),P1519+1,0)</f>
        <v>210</v>
      </c>
      <c r="Q1521" s="89" t="str">
        <f ca="1">IF(C1521&lt;&gt;"",C1521&amp;"-"&amp;P1521,"")</f>
        <v/>
      </c>
      <c r="R1521" s="89" t="str">
        <f t="array" aca="1" ref="R1521" ca="1">IFERROR(IF(INDEX('Disaggregation Records'!$E$155:$E$385,MATCH(RIGHT(Q1521,255),RIGHT('Disaggregation Records'!$D$155:$D$385,255),0))="","",INDEX('Disaggregation Records'!$E$155:$E$385,MATCH(RIGHT(Q1521,255),RIGHT('Disaggregation Records'!$D$155:$D$385,255),0))),"")</f>
        <v/>
      </c>
      <c r="S1521" s="89" t="str">
        <f t="array" aca="1" ref="S1521" ca="1">IFERROR(IF(INDEX('Disaggregation Records'!$F$155:$F$385,MATCH(RIGHT(Q1521,255),RIGHT('Disaggregation Records'!$D$155:$D$385,255),0))="","",INDEX('Disaggregation Records'!$F$155:$F$385,MATCH(RIGHT(Q1521,255),RIGHT('Disaggregation Records'!$D$155:$D$385,255),0))),"")</f>
        <v/>
      </c>
      <c r="T1521" s="89" t="str">
        <f t="array" aca="1" ref="T1521" ca="1">IFERROR(IF(INDEX('Disaggregation Records'!$H$155:$H$385,MATCH(RIGHT(Q1521,255),RIGHT('Disaggregation Records'!$D$155:$D$385,255),0))="","",INDEX('Disaggregation Records'!$H$155:$H$385,MATCH(RIGHT(Q1521,255),RIGHT('Disaggregation Records'!$D$155:$D$385,255),0))),"")</f>
        <v/>
      </c>
      <c r="U1521" s="89">
        <f>U1519+1</f>
        <v>1870</v>
      </c>
      <c r="V1521" s="89" t="str">
        <f t="array" aca="1" ref="V1521" ca="1">IFERROR(IF(INDEX('Disaggregation Records'!$I$155:$I$385,MATCH(RIGHT(Q1521,255),RIGHT('Disaggregation Records'!$D$155:$D$385,255),0))="","",INDEX('Disaggregation Records'!$I$155:$I$385,MATCH(RIGHT(Q1521,255),RIGHT('Disaggregation Records'!$D$155:$D$385,255),0))),"")</f>
        <v/>
      </c>
      <c r="W1521" s="89" t="str">
        <f ca="1">IFERROR(INDEX('Reference Records'!L$77:L$157,MATCH(LEFT(C1521,255),'Reference Records'!E$77:E$157,0)),"")</f>
        <v/>
      </c>
    </row>
    <row r="1522" spans="1:23" s="89" customFormat="1" ht="40.35" customHeight="1">
      <c r="A1522" s="564"/>
      <c r="B1522" s="799"/>
      <c r="C1522" s="800"/>
      <c r="D1522" s="801"/>
      <c r="E1522" s="801"/>
      <c r="F1522" s="128"/>
      <c r="G1522" s="802"/>
      <c r="H1522" s="781"/>
      <c r="I1522" s="803"/>
      <c r="J1522" s="779"/>
      <c r="K1522" s="800"/>
      <c r="L1522" s="800"/>
      <c r="M1522" s="779"/>
      <c r="N1522" s="779"/>
    </row>
    <row r="1523" spans="1:23" s="89" customFormat="1" ht="40.35" customHeight="1">
      <c r="A1523" s="564" t="str">
        <f ca="1">INDIRECT("'update Helper'!C"&amp;U1523)</f>
        <v>a163p000004VjryAAC</v>
      </c>
      <c r="B1523" s="794">
        <v>23</v>
      </c>
      <c r="C1523" s="795" t="str">
        <f ca="1">VLOOKUP(B1523,'Coverage Indicators - Section D'!$A$9:$AU$70,47,FALSE)</f>
        <v/>
      </c>
      <c r="D1523" s="796" t="str">
        <f ca="1">R1523</f>
        <v/>
      </c>
      <c r="E1523" s="796" t="str">
        <f ca="1">S1523</f>
        <v/>
      </c>
      <c r="F1523" s="127"/>
      <c r="G1523" s="797" t="str">
        <f ca="1">IF(OR(INDIRECT("'update Helper'!E"&amp;U1523)="",F1523&lt;&gt;0,F1524&lt;&gt;0),IF(IFERROR((F1523/F1524),"")="","",(F1523/F1524)),INDIRECT("'update Helper'!E"&amp;U1523)/100)</f>
        <v/>
      </c>
      <c r="H1523" s="784"/>
      <c r="I1523" s="798"/>
      <c r="J1523" s="777"/>
      <c r="K1523" s="795" t="str">
        <f ca="1">W1523</f>
        <v/>
      </c>
      <c r="L1523" s="795" t="str">
        <f ca="1">V1523</f>
        <v/>
      </c>
      <c r="M1523" s="777"/>
      <c r="N1523" s="777"/>
      <c r="P1523" s="89">
        <f ca="1">IF(AND(EXACT(C1523,C1521),C1521&lt;&gt;0),P1521+1,0)</f>
        <v>211</v>
      </c>
      <c r="Q1523" s="89" t="str">
        <f ca="1">IF(C1523&lt;&gt;"",C1523&amp;"-"&amp;P1523,"")</f>
        <v/>
      </c>
      <c r="R1523" s="89" t="str">
        <f t="array" aca="1" ref="R1523" ca="1">IFERROR(IF(INDEX('Disaggregation Records'!$E$155:$E$385,MATCH(RIGHT(Q1523,255),RIGHT('Disaggregation Records'!$D$155:$D$385,255),0))="","",INDEX('Disaggregation Records'!$E$155:$E$385,MATCH(RIGHT(Q1523,255),RIGHT('Disaggregation Records'!$D$155:$D$385,255),0))),"")</f>
        <v/>
      </c>
      <c r="S1523" s="89" t="str">
        <f t="array" aca="1" ref="S1523" ca="1">IFERROR(IF(INDEX('Disaggregation Records'!$F$155:$F$385,MATCH(RIGHT(Q1523,255),RIGHT('Disaggregation Records'!$D$155:$D$385,255),0))="","",INDEX('Disaggregation Records'!$F$155:$F$385,MATCH(RIGHT(Q1523,255),RIGHT('Disaggregation Records'!$D$155:$D$385,255),0))),"")</f>
        <v/>
      </c>
      <c r="T1523" s="89" t="str">
        <f t="array" aca="1" ref="T1523" ca="1">IFERROR(IF(INDEX('Disaggregation Records'!$H$155:$H$385,MATCH(RIGHT(Q1523,255),RIGHT('Disaggregation Records'!$D$155:$D$385,255),0))="","",INDEX('Disaggregation Records'!$H$155:$H$385,MATCH(RIGHT(Q1523,255),RIGHT('Disaggregation Records'!$D$155:$D$385,255),0))),"")</f>
        <v/>
      </c>
      <c r="U1523" s="89">
        <f>U1521+1</f>
        <v>1871</v>
      </c>
      <c r="V1523" s="89" t="str">
        <f t="array" aca="1" ref="V1523" ca="1">IFERROR(IF(INDEX('Disaggregation Records'!$I$155:$I$385,MATCH(RIGHT(Q1523,255),RIGHT('Disaggregation Records'!$D$155:$D$385,255),0))="","",INDEX('Disaggregation Records'!$I$155:$I$385,MATCH(RIGHT(Q1523,255),RIGHT('Disaggregation Records'!$D$155:$D$385,255),0))),"")</f>
        <v/>
      </c>
      <c r="W1523" s="89" t="str">
        <f ca="1">IFERROR(INDEX('Reference Records'!L$77:L$157,MATCH(LEFT(C1523,255),'Reference Records'!E$77:E$157,0)),"")</f>
        <v/>
      </c>
    </row>
    <row r="1524" spans="1:23" s="89" customFormat="1" ht="40.35" customHeight="1">
      <c r="A1524" s="564"/>
      <c r="B1524" s="799"/>
      <c r="C1524" s="800"/>
      <c r="D1524" s="801"/>
      <c r="E1524" s="801"/>
      <c r="F1524" s="128"/>
      <c r="G1524" s="802"/>
      <c r="H1524" s="781"/>
      <c r="I1524" s="803"/>
      <c r="J1524" s="779"/>
      <c r="K1524" s="800"/>
      <c r="L1524" s="800"/>
      <c r="M1524" s="779"/>
      <c r="N1524" s="779"/>
    </row>
    <row r="1525" spans="1:23" s="89" customFormat="1" ht="40.35" customHeight="1">
      <c r="A1525" s="564" t="str">
        <f ca="1">INDIRECT("'update Helper'!C"&amp;U1525)</f>
        <v>a163p000004VjrzAAC</v>
      </c>
      <c r="B1525" s="794">
        <v>23</v>
      </c>
      <c r="C1525" s="795" t="str">
        <f ca="1">VLOOKUP(B1525,'Coverage Indicators - Section D'!$A$9:$AU$70,47,FALSE)</f>
        <v/>
      </c>
      <c r="D1525" s="796" t="str">
        <f ca="1">R1525</f>
        <v/>
      </c>
      <c r="E1525" s="796" t="str">
        <f ca="1">S1525</f>
        <v/>
      </c>
      <c r="F1525" s="127"/>
      <c r="G1525" s="797" t="str">
        <f ca="1">IF(OR(INDIRECT("'update Helper'!E"&amp;U1525)="",F1525&lt;&gt;0,F1526&lt;&gt;0),IF(IFERROR((F1525/F1526),"")="","",(F1525/F1526)),INDIRECT("'update Helper'!E"&amp;U1525)/100)</f>
        <v/>
      </c>
      <c r="H1525" s="784"/>
      <c r="I1525" s="798"/>
      <c r="J1525" s="777"/>
      <c r="K1525" s="795" t="str">
        <f ca="1">W1525</f>
        <v/>
      </c>
      <c r="L1525" s="795" t="str">
        <f ca="1">V1525</f>
        <v/>
      </c>
      <c r="M1525" s="777"/>
      <c r="N1525" s="777"/>
      <c r="P1525" s="89">
        <f ca="1">IF(AND(EXACT(C1525,C1523),C1523&lt;&gt;0),P1523+1,0)</f>
        <v>212</v>
      </c>
      <c r="Q1525" s="89" t="str">
        <f ca="1">IF(C1525&lt;&gt;"",C1525&amp;"-"&amp;P1525,"")</f>
        <v/>
      </c>
      <c r="R1525" s="89" t="str">
        <f t="array" aca="1" ref="R1525" ca="1">IFERROR(IF(INDEX('Disaggregation Records'!$E$155:$E$385,MATCH(RIGHT(Q1525,255),RIGHT('Disaggregation Records'!$D$155:$D$385,255),0))="","",INDEX('Disaggregation Records'!$E$155:$E$385,MATCH(RIGHT(Q1525,255),RIGHT('Disaggregation Records'!$D$155:$D$385,255),0))),"")</f>
        <v/>
      </c>
      <c r="S1525" s="89" t="str">
        <f t="array" aca="1" ref="S1525" ca="1">IFERROR(IF(INDEX('Disaggregation Records'!$F$155:$F$385,MATCH(RIGHT(Q1525,255),RIGHT('Disaggregation Records'!$D$155:$D$385,255),0))="","",INDEX('Disaggregation Records'!$F$155:$F$385,MATCH(RIGHT(Q1525,255),RIGHT('Disaggregation Records'!$D$155:$D$385,255),0))),"")</f>
        <v/>
      </c>
      <c r="T1525" s="89" t="str">
        <f t="array" aca="1" ref="T1525" ca="1">IFERROR(IF(INDEX('Disaggregation Records'!$H$155:$H$385,MATCH(RIGHT(Q1525,255),RIGHT('Disaggregation Records'!$D$155:$D$385,255),0))="","",INDEX('Disaggregation Records'!$H$155:$H$385,MATCH(RIGHT(Q1525,255),RIGHT('Disaggregation Records'!$D$155:$D$385,255),0))),"")</f>
        <v/>
      </c>
      <c r="U1525" s="89">
        <f>U1523+1</f>
        <v>1872</v>
      </c>
      <c r="V1525" s="89" t="str">
        <f t="array" aca="1" ref="V1525" ca="1">IFERROR(IF(INDEX('Disaggregation Records'!$I$155:$I$385,MATCH(RIGHT(Q1525,255),RIGHT('Disaggregation Records'!$D$155:$D$385,255),0))="","",INDEX('Disaggregation Records'!$I$155:$I$385,MATCH(RIGHT(Q1525,255),RIGHT('Disaggregation Records'!$D$155:$D$385,255),0))),"")</f>
        <v/>
      </c>
      <c r="W1525" s="89" t="str">
        <f ca="1">IFERROR(INDEX('Reference Records'!L$77:L$157,MATCH(LEFT(C1525,255),'Reference Records'!E$77:E$157,0)),"")</f>
        <v/>
      </c>
    </row>
    <row r="1526" spans="1:23" s="89" customFormat="1" ht="40.35" customHeight="1">
      <c r="A1526" s="564"/>
      <c r="B1526" s="799"/>
      <c r="C1526" s="800"/>
      <c r="D1526" s="801"/>
      <c r="E1526" s="801"/>
      <c r="F1526" s="128"/>
      <c r="G1526" s="802"/>
      <c r="H1526" s="781"/>
      <c r="I1526" s="803"/>
      <c r="J1526" s="779"/>
      <c r="K1526" s="800"/>
      <c r="L1526" s="800"/>
      <c r="M1526" s="779"/>
      <c r="N1526" s="779"/>
    </row>
    <row r="1527" spans="1:23" s="89" customFormat="1" ht="40.35" customHeight="1">
      <c r="A1527" s="564" t="str">
        <f ca="1">INDIRECT("'update Helper'!C"&amp;U1527)</f>
        <v>a163p000004Vjs0AAC</v>
      </c>
      <c r="B1527" s="794">
        <v>23</v>
      </c>
      <c r="C1527" s="795" t="str">
        <f ca="1">VLOOKUP(B1527,'Coverage Indicators - Section D'!$A$9:$AU$70,47,FALSE)</f>
        <v/>
      </c>
      <c r="D1527" s="796" t="str">
        <f ca="1">R1527</f>
        <v/>
      </c>
      <c r="E1527" s="796" t="str">
        <f ca="1">S1527</f>
        <v/>
      </c>
      <c r="F1527" s="127"/>
      <c r="G1527" s="797" t="str">
        <f ca="1">IF(OR(INDIRECT("'update Helper'!E"&amp;U1527)="",F1527&lt;&gt;0,F1528&lt;&gt;0),IF(IFERROR((F1527/F1528),"")="","",(F1527/F1528)),INDIRECT("'update Helper'!E"&amp;U1527)/100)</f>
        <v/>
      </c>
      <c r="H1527" s="784"/>
      <c r="I1527" s="798"/>
      <c r="J1527" s="777"/>
      <c r="K1527" s="795" t="str">
        <f ca="1">W1527</f>
        <v/>
      </c>
      <c r="L1527" s="795" t="str">
        <f ca="1">V1527</f>
        <v/>
      </c>
      <c r="M1527" s="777"/>
      <c r="N1527" s="777"/>
      <c r="P1527" s="89">
        <f ca="1">IF(AND(EXACT(C1527,C1525),C1525&lt;&gt;0),P1525+1,0)</f>
        <v>213</v>
      </c>
      <c r="Q1527" s="89" t="str">
        <f ca="1">IF(C1527&lt;&gt;"",C1527&amp;"-"&amp;P1527,"")</f>
        <v/>
      </c>
      <c r="R1527" s="89" t="str">
        <f t="array" aca="1" ref="R1527" ca="1">IFERROR(IF(INDEX('Disaggregation Records'!$E$155:$E$385,MATCH(RIGHT(Q1527,255),RIGHT('Disaggregation Records'!$D$155:$D$385,255),0))="","",INDEX('Disaggregation Records'!$E$155:$E$385,MATCH(RIGHT(Q1527,255),RIGHT('Disaggregation Records'!$D$155:$D$385,255),0))),"")</f>
        <v/>
      </c>
      <c r="S1527" s="89" t="str">
        <f t="array" aca="1" ref="S1527" ca="1">IFERROR(IF(INDEX('Disaggregation Records'!$F$155:$F$385,MATCH(RIGHT(Q1527,255),RIGHT('Disaggregation Records'!$D$155:$D$385,255),0))="","",INDEX('Disaggregation Records'!$F$155:$F$385,MATCH(RIGHT(Q1527,255),RIGHT('Disaggregation Records'!$D$155:$D$385,255),0))),"")</f>
        <v/>
      </c>
      <c r="T1527" s="89" t="str">
        <f t="array" aca="1" ref="T1527" ca="1">IFERROR(IF(INDEX('Disaggregation Records'!$H$155:$H$385,MATCH(RIGHT(Q1527,255),RIGHT('Disaggregation Records'!$D$155:$D$385,255),0))="","",INDEX('Disaggregation Records'!$H$155:$H$385,MATCH(RIGHT(Q1527,255),RIGHT('Disaggregation Records'!$D$155:$D$385,255),0))),"")</f>
        <v/>
      </c>
      <c r="U1527" s="89">
        <f>U1525+1</f>
        <v>1873</v>
      </c>
      <c r="V1527" s="89" t="str">
        <f t="array" aca="1" ref="V1527" ca="1">IFERROR(IF(INDEX('Disaggregation Records'!$I$155:$I$385,MATCH(RIGHT(Q1527,255),RIGHT('Disaggregation Records'!$D$155:$D$385,255),0))="","",INDEX('Disaggregation Records'!$I$155:$I$385,MATCH(RIGHT(Q1527,255),RIGHT('Disaggregation Records'!$D$155:$D$385,255),0))),"")</f>
        <v/>
      </c>
      <c r="W1527" s="89" t="str">
        <f ca="1">IFERROR(INDEX('Reference Records'!L$77:L$157,MATCH(LEFT(C1527,255),'Reference Records'!E$77:E$157,0)),"")</f>
        <v/>
      </c>
    </row>
    <row r="1528" spans="1:23" s="89" customFormat="1" ht="40.35" customHeight="1">
      <c r="A1528" s="564"/>
      <c r="B1528" s="799"/>
      <c r="C1528" s="800"/>
      <c r="D1528" s="801"/>
      <c r="E1528" s="801"/>
      <c r="F1528" s="128"/>
      <c r="G1528" s="802"/>
      <c r="H1528" s="781"/>
      <c r="I1528" s="803"/>
      <c r="J1528" s="779"/>
      <c r="K1528" s="800"/>
      <c r="L1528" s="800"/>
      <c r="M1528" s="779"/>
      <c r="N1528" s="779"/>
    </row>
    <row r="1529" spans="1:23" s="89" customFormat="1" ht="40.35" customHeight="1">
      <c r="A1529" s="564" t="str">
        <f ca="1">INDIRECT("'update Helper'!C"&amp;U1529)</f>
        <v>a163p000004Vjs1AAC</v>
      </c>
      <c r="B1529" s="794">
        <v>23</v>
      </c>
      <c r="C1529" s="795" t="str">
        <f ca="1">VLOOKUP(B1529,'Coverage Indicators - Section D'!$A$9:$AU$70,47,FALSE)</f>
        <v/>
      </c>
      <c r="D1529" s="796" t="str">
        <f ca="1">R1529</f>
        <v/>
      </c>
      <c r="E1529" s="796" t="str">
        <f ca="1">S1529</f>
        <v/>
      </c>
      <c r="F1529" s="127"/>
      <c r="G1529" s="797" t="str">
        <f ca="1">IF(OR(INDIRECT("'update Helper'!E"&amp;U1529)="",F1529&lt;&gt;0,F1530&lt;&gt;0),IF(IFERROR((F1529/F1530),"")="","",(F1529/F1530)),INDIRECT("'update Helper'!E"&amp;U1529)/100)</f>
        <v/>
      </c>
      <c r="H1529" s="784"/>
      <c r="I1529" s="798"/>
      <c r="J1529" s="777"/>
      <c r="K1529" s="795" t="str">
        <f ca="1">W1529</f>
        <v/>
      </c>
      <c r="L1529" s="795" t="str">
        <f ca="1">V1529</f>
        <v/>
      </c>
      <c r="M1529" s="777"/>
      <c r="N1529" s="777"/>
      <c r="P1529" s="89">
        <f ca="1">IF(AND(EXACT(C1529,C1527),C1527&lt;&gt;0),P1527+1,0)</f>
        <v>214</v>
      </c>
      <c r="Q1529" s="89" t="str">
        <f ca="1">IF(C1529&lt;&gt;"",C1529&amp;"-"&amp;P1529,"")</f>
        <v/>
      </c>
      <c r="R1529" s="89" t="str">
        <f t="array" aca="1" ref="R1529" ca="1">IFERROR(IF(INDEX('Disaggregation Records'!$E$155:$E$385,MATCH(RIGHT(Q1529,255),RIGHT('Disaggregation Records'!$D$155:$D$385,255),0))="","",INDEX('Disaggregation Records'!$E$155:$E$385,MATCH(RIGHT(Q1529,255),RIGHT('Disaggregation Records'!$D$155:$D$385,255),0))),"")</f>
        <v/>
      </c>
      <c r="S1529" s="89" t="str">
        <f t="array" aca="1" ref="S1529" ca="1">IFERROR(IF(INDEX('Disaggregation Records'!$F$155:$F$385,MATCH(RIGHT(Q1529,255),RIGHT('Disaggregation Records'!$D$155:$D$385,255),0))="","",INDEX('Disaggregation Records'!$F$155:$F$385,MATCH(RIGHT(Q1529,255),RIGHT('Disaggregation Records'!$D$155:$D$385,255),0))),"")</f>
        <v/>
      </c>
      <c r="T1529" s="89" t="str">
        <f t="array" aca="1" ref="T1529" ca="1">IFERROR(IF(INDEX('Disaggregation Records'!$H$155:$H$385,MATCH(RIGHT(Q1529,255),RIGHT('Disaggregation Records'!$D$155:$D$385,255),0))="","",INDEX('Disaggregation Records'!$H$155:$H$385,MATCH(RIGHT(Q1529,255),RIGHT('Disaggregation Records'!$D$155:$D$385,255),0))),"")</f>
        <v/>
      </c>
      <c r="U1529" s="89">
        <f>U1527+1</f>
        <v>1874</v>
      </c>
      <c r="V1529" s="89" t="str">
        <f t="array" aca="1" ref="V1529" ca="1">IFERROR(IF(INDEX('Disaggregation Records'!$I$155:$I$385,MATCH(RIGHT(Q1529,255),RIGHT('Disaggregation Records'!$D$155:$D$385,255),0))="","",INDEX('Disaggregation Records'!$I$155:$I$385,MATCH(RIGHT(Q1529,255),RIGHT('Disaggregation Records'!$D$155:$D$385,255),0))),"")</f>
        <v/>
      </c>
      <c r="W1529" s="89" t="str">
        <f ca="1">IFERROR(INDEX('Reference Records'!L$77:L$157,MATCH(LEFT(C1529,255),'Reference Records'!E$77:E$157,0)),"")</f>
        <v/>
      </c>
    </row>
    <row r="1530" spans="1:23" s="89" customFormat="1" ht="40.35" customHeight="1">
      <c r="A1530" s="564"/>
      <c r="B1530" s="799"/>
      <c r="C1530" s="800"/>
      <c r="D1530" s="801"/>
      <c r="E1530" s="801"/>
      <c r="F1530" s="128"/>
      <c r="G1530" s="802"/>
      <c r="H1530" s="781"/>
      <c r="I1530" s="803"/>
      <c r="J1530" s="779"/>
      <c r="K1530" s="800"/>
      <c r="L1530" s="800"/>
      <c r="M1530" s="779"/>
      <c r="N1530" s="779"/>
    </row>
    <row r="1531" spans="1:23" s="89" customFormat="1" ht="40.35" customHeight="1">
      <c r="A1531" s="564" t="str">
        <f ca="1">INDIRECT("'update Helper'!C"&amp;U1531)</f>
        <v>a163p000004Vjs2AAC</v>
      </c>
      <c r="B1531" s="794">
        <v>23</v>
      </c>
      <c r="C1531" s="795" t="str">
        <f ca="1">VLOOKUP(B1531,'Coverage Indicators - Section D'!$A$9:$AU$70,47,FALSE)</f>
        <v/>
      </c>
      <c r="D1531" s="796" t="str">
        <f ca="1">R1531</f>
        <v/>
      </c>
      <c r="E1531" s="796" t="str">
        <f ca="1">S1531</f>
        <v/>
      </c>
      <c r="F1531" s="127"/>
      <c r="G1531" s="797" t="str">
        <f ca="1">IF(OR(INDIRECT("'update Helper'!E"&amp;U1531)="",F1531&lt;&gt;0,F1532&lt;&gt;0),IF(IFERROR((F1531/F1532),"")="","",(F1531/F1532)),INDIRECT("'update Helper'!E"&amp;U1531)/100)</f>
        <v/>
      </c>
      <c r="H1531" s="784"/>
      <c r="I1531" s="798"/>
      <c r="J1531" s="777"/>
      <c r="K1531" s="795" t="str">
        <f ca="1">W1531</f>
        <v/>
      </c>
      <c r="L1531" s="795" t="str">
        <f ca="1">V1531</f>
        <v/>
      </c>
      <c r="M1531" s="777"/>
      <c r="N1531" s="777"/>
      <c r="P1531" s="89">
        <f ca="1">IF(AND(EXACT(C1531,C1529),C1529&lt;&gt;0),P1529+1,0)</f>
        <v>215</v>
      </c>
      <c r="Q1531" s="89" t="str">
        <f ca="1">IF(C1531&lt;&gt;"",C1531&amp;"-"&amp;P1531,"")</f>
        <v/>
      </c>
      <c r="R1531" s="89" t="str">
        <f t="array" aca="1" ref="R1531" ca="1">IFERROR(IF(INDEX('Disaggregation Records'!$E$155:$E$385,MATCH(RIGHT(Q1531,255),RIGHT('Disaggregation Records'!$D$155:$D$385,255),0))="","",INDEX('Disaggregation Records'!$E$155:$E$385,MATCH(RIGHT(Q1531,255),RIGHT('Disaggregation Records'!$D$155:$D$385,255),0))),"")</f>
        <v/>
      </c>
      <c r="S1531" s="89" t="str">
        <f t="array" aca="1" ref="S1531" ca="1">IFERROR(IF(INDEX('Disaggregation Records'!$F$155:$F$385,MATCH(RIGHT(Q1531,255),RIGHT('Disaggregation Records'!$D$155:$D$385,255),0))="","",INDEX('Disaggregation Records'!$F$155:$F$385,MATCH(RIGHT(Q1531,255),RIGHT('Disaggregation Records'!$D$155:$D$385,255),0))),"")</f>
        <v/>
      </c>
      <c r="T1531" s="89" t="str">
        <f t="array" aca="1" ref="T1531" ca="1">IFERROR(IF(INDEX('Disaggregation Records'!$H$155:$H$385,MATCH(RIGHT(Q1531,255),RIGHT('Disaggregation Records'!$D$155:$D$385,255),0))="","",INDEX('Disaggregation Records'!$H$155:$H$385,MATCH(RIGHT(Q1531,255),RIGHT('Disaggregation Records'!$D$155:$D$385,255),0))),"")</f>
        <v/>
      </c>
      <c r="U1531" s="89">
        <f>U1529+1</f>
        <v>1875</v>
      </c>
      <c r="V1531" s="89" t="str">
        <f t="array" aca="1" ref="V1531" ca="1">IFERROR(IF(INDEX('Disaggregation Records'!$I$155:$I$385,MATCH(RIGHT(Q1531,255),RIGHT('Disaggregation Records'!$D$155:$D$385,255),0))="","",INDEX('Disaggregation Records'!$I$155:$I$385,MATCH(RIGHT(Q1531,255),RIGHT('Disaggregation Records'!$D$155:$D$385,255),0))),"")</f>
        <v/>
      </c>
      <c r="W1531" s="89" t="str">
        <f ca="1">IFERROR(INDEX('Reference Records'!L$77:L$157,MATCH(LEFT(C1531,255),'Reference Records'!E$77:E$157,0)),"")</f>
        <v/>
      </c>
    </row>
    <row r="1532" spans="1:23" s="89" customFormat="1" ht="40.35" customHeight="1">
      <c r="A1532" s="564"/>
      <c r="B1532" s="799"/>
      <c r="C1532" s="800"/>
      <c r="D1532" s="801"/>
      <c r="E1532" s="801"/>
      <c r="F1532" s="128"/>
      <c r="G1532" s="802"/>
      <c r="H1532" s="781"/>
      <c r="I1532" s="803"/>
      <c r="J1532" s="779"/>
      <c r="K1532" s="800"/>
      <c r="L1532" s="800"/>
      <c r="M1532" s="779"/>
      <c r="N1532" s="779"/>
    </row>
    <row r="1533" spans="1:23" s="89" customFormat="1" ht="40.35" customHeight="1">
      <c r="A1533" s="564" t="str">
        <f ca="1">INDIRECT("'update Helper'!C"&amp;U1533)</f>
        <v>a163p000004Vjs3AAC</v>
      </c>
      <c r="B1533" s="794">
        <v>23</v>
      </c>
      <c r="C1533" s="795" t="str">
        <f ca="1">VLOOKUP(B1533,'Coverage Indicators - Section D'!$A$9:$AU$70,47,FALSE)</f>
        <v/>
      </c>
      <c r="D1533" s="796" t="str">
        <f ca="1">R1533</f>
        <v/>
      </c>
      <c r="E1533" s="796" t="str">
        <f ca="1">S1533</f>
        <v/>
      </c>
      <c r="F1533" s="127"/>
      <c r="G1533" s="797" t="str">
        <f ca="1">IF(OR(INDIRECT("'update Helper'!E"&amp;U1533)="",F1533&lt;&gt;0,F1534&lt;&gt;0),IF(IFERROR((F1533/F1534),"")="","",(F1533/F1534)),INDIRECT("'update Helper'!E"&amp;U1533)/100)</f>
        <v/>
      </c>
      <c r="H1533" s="784"/>
      <c r="I1533" s="798"/>
      <c r="J1533" s="777"/>
      <c r="K1533" s="795" t="str">
        <f ca="1">W1533</f>
        <v/>
      </c>
      <c r="L1533" s="795" t="str">
        <f ca="1">V1533</f>
        <v/>
      </c>
      <c r="M1533" s="777"/>
      <c r="N1533" s="777"/>
      <c r="P1533" s="89">
        <f ca="1">IF(AND(EXACT(C1533,C1531),C1531&lt;&gt;0),P1531+1,0)</f>
        <v>216</v>
      </c>
      <c r="Q1533" s="89" t="str">
        <f ca="1">IF(C1533&lt;&gt;"",C1533&amp;"-"&amp;P1533,"")</f>
        <v/>
      </c>
      <c r="R1533" s="89" t="str">
        <f t="array" aca="1" ref="R1533" ca="1">IFERROR(IF(INDEX('Disaggregation Records'!$E$155:$E$385,MATCH(RIGHT(Q1533,255),RIGHT('Disaggregation Records'!$D$155:$D$385,255),0))="","",INDEX('Disaggregation Records'!$E$155:$E$385,MATCH(RIGHT(Q1533,255),RIGHT('Disaggregation Records'!$D$155:$D$385,255),0))),"")</f>
        <v/>
      </c>
      <c r="S1533" s="89" t="str">
        <f t="array" aca="1" ref="S1533" ca="1">IFERROR(IF(INDEX('Disaggregation Records'!$F$155:$F$385,MATCH(RIGHT(Q1533,255),RIGHT('Disaggregation Records'!$D$155:$D$385,255),0))="","",INDEX('Disaggregation Records'!$F$155:$F$385,MATCH(RIGHT(Q1533,255),RIGHT('Disaggregation Records'!$D$155:$D$385,255),0))),"")</f>
        <v/>
      </c>
      <c r="T1533" s="89" t="str">
        <f t="array" aca="1" ref="T1533" ca="1">IFERROR(IF(INDEX('Disaggregation Records'!$H$155:$H$385,MATCH(RIGHT(Q1533,255),RIGHT('Disaggregation Records'!$D$155:$D$385,255),0))="","",INDEX('Disaggregation Records'!$H$155:$H$385,MATCH(RIGHT(Q1533,255),RIGHT('Disaggregation Records'!$D$155:$D$385,255),0))),"")</f>
        <v/>
      </c>
      <c r="U1533" s="89">
        <f>U1531+1</f>
        <v>1876</v>
      </c>
      <c r="V1533" s="89" t="str">
        <f t="array" aca="1" ref="V1533" ca="1">IFERROR(IF(INDEX('Disaggregation Records'!$I$155:$I$385,MATCH(RIGHT(Q1533,255),RIGHT('Disaggregation Records'!$D$155:$D$385,255),0))="","",INDEX('Disaggregation Records'!$I$155:$I$385,MATCH(RIGHT(Q1533,255),RIGHT('Disaggregation Records'!$D$155:$D$385,255),0))),"")</f>
        <v/>
      </c>
      <c r="W1533" s="89" t="str">
        <f ca="1">IFERROR(INDEX('Reference Records'!L$77:L$157,MATCH(LEFT(C1533,255),'Reference Records'!E$77:E$157,0)),"")</f>
        <v/>
      </c>
    </row>
    <row r="1534" spans="1:23" s="89" customFormat="1" ht="40.35" customHeight="1">
      <c r="A1534" s="564"/>
      <c r="B1534" s="799"/>
      <c r="C1534" s="800"/>
      <c r="D1534" s="801"/>
      <c r="E1534" s="801"/>
      <c r="F1534" s="128"/>
      <c r="G1534" s="802"/>
      <c r="H1534" s="781"/>
      <c r="I1534" s="803"/>
      <c r="J1534" s="779"/>
      <c r="K1534" s="800"/>
      <c r="L1534" s="800"/>
      <c r="M1534" s="779"/>
      <c r="N1534" s="779"/>
    </row>
    <row r="1535" spans="1:23" s="89" customFormat="1" ht="40.35" customHeight="1">
      <c r="A1535" s="564" t="str">
        <f ca="1">INDIRECT("'update Helper'!C"&amp;U1535)</f>
        <v>a163p000004Vjs4AAC</v>
      </c>
      <c r="B1535" s="794">
        <v>23</v>
      </c>
      <c r="C1535" s="795" t="str">
        <f ca="1">VLOOKUP(B1535,'Coverage Indicators - Section D'!$A$9:$AU$70,47,FALSE)</f>
        <v/>
      </c>
      <c r="D1535" s="796" t="str">
        <f ca="1">R1535</f>
        <v/>
      </c>
      <c r="E1535" s="796" t="str">
        <f ca="1">S1535</f>
        <v/>
      </c>
      <c r="F1535" s="127"/>
      <c r="G1535" s="797" t="str">
        <f ca="1">IF(OR(INDIRECT("'update Helper'!E"&amp;U1535)="",F1535&lt;&gt;0,F1536&lt;&gt;0),IF(IFERROR((F1535/F1536),"")="","",(F1535/F1536)),INDIRECT("'update Helper'!E"&amp;U1535)/100)</f>
        <v/>
      </c>
      <c r="H1535" s="784"/>
      <c r="I1535" s="798"/>
      <c r="J1535" s="777"/>
      <c r="K1535" s="795" t="str">
        <f ca="1">W1535</f>
        <v/>
      </c>
      <c r="L1535" s="795" t="str">
        <f ca="1">V1535</f>
        <v/>
      </c>
      <c r="M1535" s="777"/>
      <c r="N1535" s="777"/>
      <c r="P1535" s="89">
        <f ca="1">IF(AND(EXACT(C1535,C1533),C1533&lt;&gt;0),P1533+1,0)</f>
        <v>217</v>
      </c>
      <c r="Q1535" s="89" t="str">
        <f ca="1">IF(C1535&lt;&gt;"",C1535&amp;"-"&amp;P1535,"")</f>
        <v/>
      </c>
      <c r="R1535" s="89" t="str">
        <f t="array" aca="1" ref="R1535" ca="1">IFERROR(IF(INDEX('Disaggregation Records'!$E$155:$E$385,MATCH(RIGHT(Q1535,255),RIGHT('Disaggregation Records'!$D$155:$D$385,255),0))="","",INDEX('Disaggregation Records'!$E$155:$E$385,MATCH(RIGHT(Q1535,255),RIGHT('Disaggregation Records'!$D$155:$D$385,255),0))),"")</f>
        <v/>
      </c>
      <c r="S1535" s="89" t="str">
        <f t="array" aca="1" ref="S1535" ca="1">IFERROR(IF(INDEX('Disaggregation Records'!$F$155:$F$385,MATCH(RIGHT(Q1535,255),RIGHT('Disaggregation Records'!$D$155:$D$385,255),0))="","",INDEX('Disaggregation Records'!$F$155:$F$385,MATCH(RIGHT(Q1535,255),RIGHT('Disaggregation Records'!$D$155:$D$385,255),0))),"")</f>
        <v/>
      </c>
      <c r="T1535" s="89" t="str">
        <f t="array" aca="1" ref="T1535" ca="1">IFERROR(IF(INDEX('Disaggregation Records'!$H$155:$H$385,MATCH(RIGHT(Q1535,255),RIGHT('Disaggregation Records'!$D$155:$D$385,255),0))="","",INDEX('Disaggregation Records'!$H$155:$H$385,MATCH(RIGHT(Q1535,255),RIGHT('Disaggregation Records'!$D$155:$D$385,255),0))),"")</f>
        <v/>
      </c>
      <c r="U1535" s="89">
        <f>U1533+1</f>
        <v>1877</v>
      </c>
      <c r="V1535" s="89" t="str">
        <f t="array" aca="1" ref="V1535" ca="1">IFERROR(IF(INDEX('Disaggregation Records'!$I$155:$I$385,MATCH(RIGHT(Q1535,255),RIGHT('Disaggregation Records'!$D$155:$D$385,255),0))="","",INDEX('Disaggregation Records'!$I$155:$I$385,MATCH(RIGHT(Q1535,255),RIGHT('Disaggregation Records'!$D$155:$D$385,255),0))),"")</f>
        <v/>
      </c>
      <c r="W1535" s="89" t="str">
        <f ca="1">IFERROR(INDEX('Reference Records'!L$77:L$157,MATCH(LEFT(C1535,255),'Reference Records'!E$77:E$157,0)),"")</f>
        <v/>
      </c>
    </row>
    <row r="1536" spans="1:23" s="89" customFormat="1" ht="40.35" customHeight="1">
      <c r="A1536" s="564"/>
      <c r="B1536" s="799"/>
      <c r="C1536" s="800"/>
      <c r="D1536" s="801"/>
      <c r="E1536" s="801"/>
      <c r="F1536" s="128"/>
      <c r="G1536" s="802"/>
      <c r="H1536" s="781"/>
      <c r="I1536" s="803"/>
      <c r="J1536" s="779"/>
      <c r="K1536" s="800"/>
      <c r="L1536" s="800"/>
      <c r="M1536" s="779"/>
      <c r="N1536" s="779"/>
    </row>
    <row r="1537" spans="1:23" s="89" customFormat="1" ht="40.35" customHeight="1">
      <c r="A1537" s="564" t="str">
        <f ca="1">INDIRECT("'update Helper'!C"&amp;U1537)</f>
        <v>a163p000004Vjs5AAC</v>
      </c>
      <c r="B1537" s="794">
        <v>23</v>
      </c>
      <c r="C1537" s="795" t="str">
        <f ca="1">VLOOKUP(B1537,'Coverage Indicators - Section D'!$A$9:$AU$70,47,FALSE)</f>
        <v/>
      </c>
      <c r="D1537" s="796" t="str">
        <f ca="1">R1537</f>
        <v/>
      </c>
      <c r="E1537" s="796" t="str">
        <f ca="1">S1537</f>
        <v/>
      </c>
      <c r="F1537" s="127"/>
      <c r="G1537" s="797" t="str">
        <f ca="1">IF(OR(INDIRECT("'update Helper'!E"&amp;U1537)="",F1537&lt;&gt;0,F1538&lt;&gt;0),IF(IFERROR((F1537/F1538),"")="","",(F1537/F1538)),INDIRECT("'update Helper'!E"&amp;U1537)/100)</f>
        <v/>
      </c>
      <c r="H1537" s="784"/>
      <c r="I1537" s="798"/>
      <c r="J1537" s="777"/>
      <c r="K1537" s="795" t="str">
        <f ca="1">W1537</f>
        <v/>
      </c>
      <c r="L1537" s="795" t="str">
        <f ca="1">V1537</f>
        <v/>
      </c>
      <c r="M1537" s="777"/>
      <c r="N1537" s="777"/>
      <c r="P1537" s="89">
        <f ca="1">IF(AND(EXACT(C1537,C1535),C1535&lt;&gt;0),P1535+1,0)</f>
        <v>218</v>
      </c>
      <c r="Q1537" s="89" t="str">
        <f ca="1">IF(C1537&lt;&gt;"",C1537&amp;"-"&amp;P1537,"")</f>
        <v/>
      </c>
      <c r="R1537" s="89" t="str">
        <f t="array" aca="1" ref="R1537" ca="1">IFERROR(IF(INDEX('Disaggregation Records'!$E$155:$E$385,MATCH(RIGHT(Q1537,255),RIGHT('Disaggregation Records'!$D$155:$D$385,255),0))="","",INDEX('Disaggregation Records'!$E$155:$E$385,MATCH(RIGHT(Q1537,255),RIGHT('Disaggregation Records'!$D$155:$D$385,255),0))),"")</f>
        <v/>
      </c>
      <c r="S1537" s="89" t="str">
        <f t="array" aca="1" ref="S1537" ca="1">IFERROR(IF(INDEX('Disaggregation Records'!$F$155:$F$385,MATCH(RIGHT(Q1537,255),RIGHT('Disaggregation Records'!$D$155:$D$385,255),0))="","",INDEX('Disaggregation Records'!$F$155:$F$385,MATCH(RIGHT(Q1537,255),RIGHT('Disaggregation Records'!$D$155:$D$385,255),0))),"")</f>
        <v/>
      </c>
      <c r="T1537" s="89" t="str">
        <f t="array" aca="1" ref="T1537" ca="1">IFERROR(IF(INDEX('Disaggregation Records'!$H$155:$H$385,MATCH(RIGHT(Q1537,255),RIGHT('Disaggregation Records'!$D$155:$D$385,255),0))="","",INDEX('Disaggregation Records'!$H$155:$H$385,MATCH(RIGHT(Q1537,255),RIGHT('Disaggregation Records'!$D$155:$D$385,255),0))),"")</f>
        <v/>
      </c>
      <c r="U1537" s="89">
        <f>U1535+1</f>
        <v>1878</v>
      </c>
      <c r="V1537" s="89" t="str">
        <f t="array" aca="1" ref="V1537" ca="1">IFERROR(IF(INDEX('Disaggregation Records'!$I$155:$I$385,MATCH(RIGHT(Q1537,255),RIGHT('Disaggregation Records'!$D$155:$D$385,255),0))="","",INDEX('Disaggregation Records'!$I$155:$I$385,MATCH(RIGHT(Q1537,255),RIGHT('Disaggregation Records'!$D$155:$D$385,255),0))),"")</f>
        <v/>
      </c>
      <c r="W1537" s="89" t="str">
        <f ca="1">IFERROR(INDEX('Reference Records'!L$77:L$157,MATCH(LEFT(C1537,255),'Reference Records'!E$77:E$157,0)),"")</f>
        <v/>
      </c>
    </row>
    <row r="1538" spans="1:23" s="89" customFormat="1" ht="40.35" customHeight="1">
      <c r="A1538" s="564"/>
      <c r="B1538" s="799"/>
      <c r="C1538" s="800"/>
      <c r="D1538" s="801"/>
      <c r="E1538" s="801"/>
      <c r="F1538" s="128"/>
      <c r="G1538" s="802"/>
      <c r="H1538" s="781"/>
      <c r="I1538" s="803"/>
      <c r="J1538" s="779"/>
      <c r="K1538" s="800"/>
      <c r="L1538" s="800"/>
      <c r="M1538" s="779"/>
      <c r="N1538" s="779"/>
    </row>
    <row r="1539" spans="1:23" s="89" customFormat="1" ht="40.35" customHeight="1">
      <c r="A1539" s="564" t="str">
        <f ca="1">INDIRECT("'update Helper'!C"&amp;U1539)</f>
        <v>a163p000004Vjs6AAC</v>
      </c>
      <c r="B1539" s="794">
        <v>23</v>
      </c>
      <c r="C1539" s="795" t="str">
        <f ca="1">VLOOKUP(B1539,'Coverage Indicators - Section D'!$A$9:$AU$70,47,FALSE)</f>
        <v/>
      </c>
      <c r="D1539" s="796" t="str">
        <f ca="1">R1539</f>
        <v/>
      </c>
      <c r="E1539" s="796" t="str">
        <f ca="1">S1539</f>
        <v/>
      </c>
      <c r="F1539" s="127"/>
      <c r="G1539" s="797" t="str">
        <f ca="1">IF(OR(INDIRECT("'update Helper'!E"&amp;U1539)="",F1539&lt;&gt;0,F1540&lt;&gt;0),IF(IFERROR((F1539/F1540),"")="","",(F1539/F1540)),INDIRECT("'update Helper'!E"&amp;U1539)/100)</f>
        <v/>
      </c>
      <c r="H1539" s="784"/>
      <c r="I1539" s="798"/>
      <c r="J1539" s="777"/>
      <c r="K1539" s="795" t="str">
        <f ca="1">W1539</f>
        <v/>
      </c>
      <c r="L1539" s="795" t="str">
        <f ca="1">V1539</f>
        <v/>
      </c>
      <c r="M1539" s="777"/>
      <c r="N1539" s="777"/>
      <c r="P1539" s="89">
        <f ca="1">IF(AND(EXACT(C1539,C1537),C1537&lt;&gt;0),P1537+1,0)</f>
        <v>219</v>
      </c>
      <c r="Q1539" s="89" t="str">
        <f ca="1">IF(C1539&lt;&gt;"",C1539&amp;"-"&amp;P1539,"")</f>
        <v/>
      </c>
      <c r="R1539" s="89" t="str">
        <f t="array" aca="1" ref="R1539" ca="1">IFERROR(IF(INDEX('Disaggregation Records'!$E$155:$E$385,MATCH(RIGHT(Q1539,255),RIGHT('Disaggregation Records'!$D$155:$D$385,255),0))="","",INDEX('Disaggregation Records'!$E$155:$E$385,MATCH(RIGHT(Q1539,255),RIGHT('Disaggregation Records'!$D$155:$D$385,255),0))),"")</f>
        <v/>
      </c>
      <c r="S1539" s="89" t="str">
        <f t="array" aca="1" ref="S1539" ca="1">IFERROR(IF(INDEX('Disaggregation Records'!$F$155:$F$385,MATCH(RIGHT(Q1539,255),RIGHT('Disaggregation Records'!$D$155:$D$385,255),0))="","",INDEX('Disaggregation Records'!$F$155:$F$385,MATCH(RIGHT(Q1539,255),RIGHT('Disaggregation Records'!$D$155:$D$385,255),0))),"")</f>
        <v/>
      </c>
      <c r="T1539" s="89" t="str">
        <f t="array" aca="1" ref="T1539" ca="1">IFERROR(IF(INDEX('Disaggregation Records'!$H$155:$H$385,MATCH(RIGHT(Q1539,255),RIGHT('Disaggregation Records'!$D$155:$D$385,255),0))="","",INDEX('Disaggregation Records'!$H$155:$H$385,MATCH(RIGHT(Q1539,255),RIGHT('Disaggregation Records'!$D$155:$D$385,255),0))),"")</f>
        <v/>
      </c>
      <c r="U1539" s="89">
        <f>U1537+1</f>
        <v>1879</v>
      </c>
      <c r="V1539" s="89" t="str">
        <f t="array" aca="1" ref="V1539" ca="1">IFERROR(IF(INDEX('Disaggregation Records'!$I$155:$I$385,MATCH(RIGHT(Q1539,255),RIGHT('Disaggregation Records'!$D$155:$D$385,255),0))="","",INDEX('Disaggregation Records'!$I$155:$I$385,MATCH(RIGHT(Q1539,255),RIGHT('Disaggregation Records'!$D$155:$D$385,255),0))),"")</f>
        <v/>
      </c>
      <c r="W1539" s="89" t="str">
        <f ca="1">IFERROR(INDEX('Reference Records'!L$77:L$157,MATCH(LEFT(C1539,255),'Reference Records'!E$77:E$157,0)),"")</f>
        <v/>
      </c>
    </row>
    <row r="1540" spans="1:23" s="89" customFormat="1" ht="40.35" customHeight="1">
      <c r="A1540" s="564"/>
      <c r="B1540" s="799"/>
      <c r="C1540" s="800"/>
      <c r="D1540" s="801"/>
      <c r="E1540" s="801"/>
      <c r="F1540" s="128"/>
      <c r="G1540" s="802"/>
      <c r="H1540" s="781"/>
      <c r="I1540" s="803"/>
      <c r="J1540" s="779"/>
      <c r="K1540" s="800"/>
      <c r="L1540" s="800"/>
      <c r="M1540" s="779"/>
      <c r="N1540" s="779"/>
    </row>
    <row r="1541" spans="1:23" s="89" customFormat="1" ht="40.35" customHeight="1">
      <c r="A1541" s="564" t="str">
        <f ca="1">INDIRECT("'update Helper'!C"&amp;U1541)</f>
        <v>a163p000004Vjs7AAC</v>
      </c>
      <c r="B1541" s="794">
        <v>24</v>
      </c>
      <c r="C1541" s="795" t="str">
        <f ca="1">VLOOKUP(B1541,'Coverage Indicators - Section D'!$A$9:$AU$70,47,FALSE)</f>
        <v/>
      </c>
      <c r="D1541" s="796" t="str">
        <f ca="1">R1541</f>
        <v/>
      </c>
      <c r="E1541" s="796" t="str">
        <f ca="1">S1541</f>
        <v/>
      </c>
      <c r="F1541" s="127"/>
      <c r="G1541" s="797" t="str">
        <f ca="1">IF(OR(INDIRECT("'update Helper'!E"&amp;U1541)="",F1541&lt;&gt;0,F1542&lt;&gt;0),IF(IFERROR((F1541/F1542),"")="","",(F1541/F1542)),INDIRECT("'update Helper'!E"&amp;U1541)/100)</f>
        <v/>
      </c>
      <c r="H1541" s="784"/>
      <c r="I1541" s="798"/>
      <c r="J1541" s="777"/>
      <c r="K1541" s="795" t="str">
        <f ca="1">W1541</f>
        <v/>
      </c>
      <c r="L1541" s="795" t="str">
        <f ca="1">V1541</f>
        <v/>
      </c>
      <c r="M1541" s="777"/>
      <c r="N1541" s="777"/>
      <c r="P1541" s="89">
        <f ca="1">IF(AND(EXACT(C1541,C1539),C1539&lt;&gt;0),P1539+1,0)</f>
        <v>220</v>
      </c>
      <c r="Q1541" s="89" t="str">
        <f ca="1">IF(C1541&lt;&gt;"",C1541&amp;"-"&amp;P1541,"")</f>
        <v/>
      </c>
      <c r="R1541" s="89" t="str">
        <f t="array" aca="1" ref="R1541" ca="1">IFERROR(IF(INDEX('Disaggregation Records'!$E$155:$E$385,MATCH(RIGHT(Q1541,255),RIGHT('Disaggregation Records'!$D$155:$D$385,255),0))="","",INDEX('Disaggregation Records'!$E$155:$E$385,MATCH(RIGHT(Q1541,255),RIGHT('Disaggregation Records'!$D$155:$D$385,255),0))),"")</f>
        <v/>
      </c>
      <c r="S1541" s="89" t="str">
        <f t="array" aca="1" ref="S1541" ca="1">IFERROR(IF(INDEX('Disaggregation Records'!$F$155:$F$385,MATCH(RIGHT(Q1541,255),RIGHT('Disaggregation Records'!$D$155:$D$385,255),0))="","",INDEX('Disaggregation Records'!$F$155:$F$385,MATCH(RIGHT(Q1541,255),RIGHT('Disaggregation Records'!$D$155:$D$385,255),0))),"")</f>
        <v/>
      </c>
      <c r="T1541" s="89" t="str">
        <f t="array" aca="1" ref="T1541" ca="1">IFERROR(IF(INDEX('Disaggregation Records'!$H$155:$H$385,MATCH(RIGHT(Q1541,255),RIGHT('Disaggregation Records'!$D$155:$D$385,255),0))="","",INDEX('Disaggregation Records'!$H$155:$H$385,MATCH(RIGHT(Q1541,255),RIGHT('Disaggregation Records'!$D$155:$D$385,255),0))),"")</f>
        <v/>
      </c>
      <c r="U1541" s="89">
        <f>U1539+1</f>
        <v>1880</v>
      </c>
      <c r="V1541" s="89" t="str">
        <f t="array" aca="1" ref="V1541" ca="1">IFERROR(IF(INDEX('Disaggregation Records'!$I$155:$I$385,MATCH(RIGHT(Q1541,255),RIGHT('Disaggregation Records'!$D$155:$D$385,255),0))="","",INDEX('Disaggregation Records'!$I$155:$I$385,MATCH(RIGHT(Q1541,255),RIGHT('Disaggregation Records'!$D$155:$D$385,255),0))),"")</f>
        <v/>
      </c>
      <c r="W1541" s="89" t="str">
        <f ca="1">IFERROR(INDEX('Reference Records'!L$77:L$157,MATCH(LEFT(C1541,255),'Reference Records'!E$77:E$157,0)),"")</f>
        <v/>
      </c>
    </row>
    <row r="1542" spans="1:23" s="89" customFormat="1" ht="40.35" customHeight="1">
      <c r="A1542" s="564"/>
      <c r="B1542" s="799"/>
      <c r="C1542" s="800"/>
      <c r="D1542" s="801"/>
      <c r="E1542" s="801"/>
      <c r="F1542" s="128"/>
      <c r="G1542" s="802"/>
      <c r="H1542" s="781"/>
      <c r="I1542" s="803"/>
      <c r="J1542" s="779"/>
      <c r="K1542" s="800"/>
      <c r="L1542" s="800"/>
      <c r="M1542" s="779"/>
      <c r="N1542" s="779"/>
    </row>
    <row r="1543" spans="1:23" s="89" customFormat="1" ht="40.35" customHeight="1">
      <c r="A1543" s="564" t="str">
        <f ca="1">INDIRECT("'update Helper'!C"&amp;U1543)</f>
        <v>a163p000004Vjs8AAC</v>
      </c>
      <c r="B1543" s="794">
        <v>24</v>
      </c>
      <c r="C1543" s="795" t="str">
        <f ca="1">VLOOKUP(B1543,'Coverage Indicators - Section D'!$A$9:$AU$70,47,FALSE)</f>
        <v/>
      </c>
      <c r="D1543" s="796" t="str">
        <f ca="1">R1543</f>
        <v/>
      </c>
      <c r="E1543" s="796" t="str">
        <f ca="1">S1543</f>
        <v/>
      </c>
      <c r="F1543" s="127"/>
      <c r="G1543" s="797" t="str">
        <f ca="1">IF(OR(INDIRECT("'update Helper'!E"&amp;U1543)="",F1543&lt;&gt;0,F1544&lt;&gt;0),IF(IFERROR((F1543/F1544),"")="","",(F1543/F1544)),INDIRECT("'update Helper'!E"&amp;U1543)/100)</f>
        <v/>
      </c>
      <c r="H1543" s="784"/>
      <c r="I1543" s="798"/>
      <c r="J1543" s="777"/>
      <c r="K1543" s="795" t="str">
        <f ca="1">W1543</f>
        <v/>
      </c>
      <c r="L1543" s="795" t="str">
        <f ca="1">V1543</f>
        <v/>
      </c>
      <c r="M1543" s="777"/>
      <c r="N1543" s="777"/>
      <c r="P1543" s="89">
        <f ca="1">IF(AND(EXACT(C1543,C1541),C1541&lt;&gt;0),P1541+1,0)</f>
        <v>221</v>
      </c>
      <c r="Q1543" s="89" t="str">
        <f ca="1">IF(C1543&lt;&gt;"",C1543&amp;"-"&amp;P1543,"")</f>
        <v/>
      </c>
      <c r="R1543" s="89" t="str">
        <f t="array" aca="1" ref="R1543" ca="1">IFERROR(IF(INDEX('Disaggregation Records'!$E$155:$E$385,MATCH(RIGHT(Q1543,255),RIGHT('Disaggregation Records'!$D$155:$D$385,255),0))="","",INDEX('Disaggregation Records'!$E$155:$E$385,MATCH(RIGHT(Q1543,255),RIGHT('Disaggregation Records'!$D$155:$D$385,255),0))),"")</f>
        <v/>
      </c>
      <c r="S1543" s="89" t="str">
        <f t="array" aca="1" ref="S1543" ca="1">IFERROR(IF(INDEX('Disaggregation Records'!$F$155:$F$385,MATCH(RIGHT(Q1543,255),RIGHT('Disaggregation Records'!$D$155:$D$385,255),0))="","",INDEX('Disaggregation Records'!$F$155:$F$385,MATCH(RIGHT(Q1543,255),RIGHT('Disaggregation Records'!$D$155:$D$385,255),0))),"")</f>
        <v/>
      </c>
      <c r="T1543" s="89" t="str">
        <f t="array" aca="1" ref="T1543" ca="1">IFERROR(IF(INDEX('Disaggregation Records'!$H$155:$H$385,MATCH(RIGHT(Q1543,255),RIGHT('Disaggregation Records'!$D$155:$D$385,255),0))="","",INDEX('Disaggregation Records'!$H$155:$H$385,MATCH(RIGHT(Q1543,255),RIGHT('Disaggregation Records'!$D$155:$D$385,255),0))),"")</f>
        <v/>
      </c>
      <c r="U1543" s="89">
        <f>U1541+1</f>
        <v>1881</v>
      </c>
      <c r="V1543" s="89" t="str">
        <f t="array" aca="1" ref="V1543" ca="1">IFERROR(IF(INDEX('Disaggregation Records'!$I$155:$I$385,MATCH(RIGHT(Q1543,255),RIGHT('Disaggregation Records'!$D$155:$D$385,255),0))="","",INDEX('Disaggregation Records'!$I$155:$I$385,MATCH(RIGHT(Q1543,255),RIGHT('Disaggregation Records'!$D$155:$D$385,255),0))),"")</f>
        <v/>
      </c>
      <c r="W1543" s="89" t="str">
        <f ca="1">IFERROR(INDEX('Reference Records'!L$77:L$157,MATCH(LEFT(C1543,255),'Reference Records'!E$77:E$157,0)),"")</f>
        <v/>
      </c>
    </row>
    <row r="1544" spans="1:23" s="89" customFormat="1" ht="40.35" customHeight="1">
      <c r="A1544" s="564"/>
      <c r="B1544" s="799"/>
      <c r="C1544" s="800"/>
      <c r="D1544" s="801"/>
      <c r="E1544" s="801"/>
      <c r="F1544" s="128"/>
      <c r="G1544" s="802"/>
      <c r="H1544" s="781"/>
      <c r="I1544" s="803"/>
      <c r="J1544" s="779"/>
      <c r="K1544" s="800"/>
      <c r="L1544" s="800"/>
      <c r="M1544" s="779"/>
      <c r="N1544" s="779"/>
    </row>
    <row r="1545" spans="1:23" s="89" customFormat="1" ht="40.35" customHeight="1">
      <c r="A1545" s="564" t="str">
        <f ca="1">INDIRECT("'update Helper'!C"&amp;U1545)</f>
        <v>a163p000004Vjs9AAC</v>
      </c>
      <c r="B1545" s="794">
        <v>24</v>
      </c>
      <c r="C1545" s="795" t="str">
        <f ca="1">VLOOKUP(B1545,'Coverage Indicators - Section D'!$A$9:$AU$70,47,FALSE)</f>
        <v/>
      </c>
      <c r="D1545" s="796" t="str">
        <f ca="1">R1545</f>
        <v/>
      </c>
      <c r="E1545" s="796" t="str">
        <f ca="1">S1545</f>
        <v/>
      </c>
      <c r="F1545" s="127"/>
      <c r="G1545" s="797" t="str">
        <f ca="1">IF(OR(INDIRECT("'update Helper'!E"&amp;U1545)="",F1545&lt;&gt;0,F1546&lt;&gt;0),IF(IFERROR((F1545/F1546),"")="","",(F1545/F1546)),INDIRECT("'update Helper'!E"&amp;U1545)/100)</f>
        <v/>
      </c>
      <c r="H1545" s="784"/>
      <c r="I1545" s="798"/>
      <c r="J1545" s="777"/>
      <c r="K1545" s="795" t="str">
        <f ca="1">W1545</f>
        <v/>
      </c>
      <c r="L1545" s="795" t="str">
        <f ca="1">V1545</f>
        <v/>
      </c>
      <c r="M1545" s="777"/>
      <c r="N1545" s="777"/>
      <c r="P1545" s="89">
        <f ca="1">IF(AND(EXACT(C1545,C1543),C1543&lt;&gt;0),P1543+1,0)</f>
        <v>222</v>
      </c>
      <c r="Q1545" s="89" t="str">
        <f ca="1">IF(C1545&lt;&gt;"",C1545&amp;"-"&amp;P1545,"")</f>
        <v/>
      </c>
      <c r="R1545" s="89" t="str">
        <f t="array" aca="1" ref="R1545" ca="1">IFERROR(IF(INDEX('Disaggregation Records'!$E$155:$E$385,MATCH(RIGHT(Q1545,255),RIGHT('Disaggregation Records'!$D$155:$D$385,255),0))="","",INDEX('Disaggregation Records'!$E$155:$E$385,MATCH(RIGHT(Q1545,255),RIGHT('Disaggregation Records'!$D$155:$D$385,255),0))),"")</f>
        <v/>
      </c>
      <c r="S1545" s="89" t="str">
        <f t="array" aca="1" ref="S1545" ca="1">IFERROR(IF(INDEX('Disaggregation Records'!$F$155:$F$385,MATCH(RIGHT(Q1545,255),RIGHT('Disaggregation Records'!$D$155:$D$385,255),0))="","",INDEX('Disaggregation Records'!$F$155:$F$385,MATCH(RIGHT(Q1545,255),RIGHT('Disaggregation Records'!$D$155:$D$385,255),0))),"")</f>
        <v/>
      </c>
      <c r="T1545" s="89" t="str">
        <f t="array" aca="1" ref="T1545" ca="1">IFERROR(IF(INDEX('Disaggregation Records'!$H$155:$H$385,MATCH(RIGHT(Q1545,255),RIGHT('Disaggregation Records'!$D$155:$D$385,255),0))="","",INDEX('Disaggregation Records'!$H$155:$H$385,MATCH(RIGHT(Q1545,255),RIGHT('Disaggregation Records'!$D$155:$D$385,255),0))),"")</f>
        <v/>
      </c>
      <c r="U1545" s="89">
        <f>U1543+1</f>
        <v>1882</v>
      </c>
      <c r="V1545" s="89" t="str">
        <f t="array" aca="1" ref="V1545" ca="1">IFERROR(IF(INDEX('Disaggregation Records'!$I$155:$I$385,MATCH(RIGHT(Q1545,255),RIGHT('Disaggregation Records'!$D$155:$D$385,255),0))="","",INDEX('Disaggregation Records'!$I$155:$I$385,MATCH(RIGHT(Q1545,255),RIGHT('Disaggregation Records'!$D$155:$D$385,255),0))),"")</f>
        <v/>
      </c>
      <c r="W1545" s="89" t="str">
        <f ca="1">IFERROR(INDEX('Reference Records'!L$77:L$157,MATCH(LEFT(C1545,255),'Reference Records'!E$77:E$157,0)),"")</f>
        <v/>
      </c>
    </row>
    <row r="1546" spans="1:23" s="89" customFormat="1" ht="40.35" customHeight="1">
      <c r="A1546" s="564"/>
      <c r="B1546" s="799"/>
      <c r="C1546" s="800"/>
      <c r="D1546" s="801"/>
      <c r="E1546" s="801"/>
      <c r="F1546" s="128"/>
      <c r="G1546" s="802"/>
      <c r="H1546" s="781"/>
      <c r="I1546" s="803"/>
      <c r="J1546" s="779"/>
      <c r="K1546" s="800"/>
      <c r="L1546" s="800"/>
      <c r="M1546" s="779"/>
      <c r="N1546" s="779"/>
    </row>
    <row r="1547" spans="1:23" s="89" customFormat="1" ht="40.35" customHeight="1">
      <c r="A1547" s="564" t="str">
        <f ca="1">INDIRECT("'update Helper'!C"&amp;U1547)</f>
        <v>a163p000004VjsAAAS</v>
      </c>
      <c r="B1547" s="794">
        <v>24</v>
      </c>
      <c r="C1547" s="795" t="str">
        <f ca="1">VLOOKUP(B1547,'Coverage Indicators - Section D'!$A$9:$AU$70,47,FALSE)</f>
        <v/>
      </c>
      <c r="D1547" s="796" t="str">
        <f ca="1">R1547</f>
        <v/>
      </c>
      <c r="E1547" s="796" t="str">
        <f ca="1">S1547</f>
        <v/>
      </c>
      <c r="F1547" s="127"/>
      <c r="G1547" s="797" t="str">
        <f ca="1">IF(OR(INDIRECT("'update Helper'!E"&amp;U1547)="",F1547&lt;&gt;0,F1548&lt;&gt;0),IF(IFERROR((F1547/F1548),"")="","",(F1547/F1548)),INDIRECT("'update Helper'!E"&amp;U1547)/100)</f>
        <v/>
      </c>
      <c r="H1547" s="784"/>
      <c r="I1547" s="798"/>
      <c r="J1547" s="777"/>
      <c r="K1547" s="795" t="str">
        <f ca="1">W1547</f>
        <v/>
      </c>
      <c r="L1547" s="795" t="str">
        <f ca="1">V1547</f>
        <v/>
      </c>
      <c r="M1547" s="777"/>
      <c r="N1547" s="777"/>
      <c r="P1547" s="89">
        <f ca="1">IF(AND(EXACT(C1547,C1545),C1545&lt;&gt;0),P1545+1,0)</f>
        <v>223</v>
      </c>
      <c r="Q1547" s="89" t="str">
        <f ca="1">IF(C1547&lt;&gt;"",C1547&amp;"-"&amp;P1547,"")</f>
        <v/>
      </c>
      <c r="R1547" s="89" t="str">
        <f t="array" aca="1" ref="R1547" ca="1">IFERROR(IF(INDEX('Disaggregation Records'!$E$155:$E$385,MATCH(RIGHT(Q1547,255),RIGHT('Disaggregation Records'!$D$155:$D$385,255),0))="","",INDEX('Disaggregation Records'!$E$155:$E$385,MATCH(RIGHT(Q1547,255),RIGHT('Disaggregation Records'!$D$155:$D$385,255),0))),"")</f>
        <v/>
      </c>
      <c r="S1547" s="89" t="str">
        <f t="array" aca="1" ref="S1547" ca="1">IFERROR(IF(INDEX('Disaggregation Records'!$F$155:$F$385,MATCH(RIGHT(Q1547,255),RIGHT('Disaggregation Records'!$D$155:$D$385,255),0))="","",INDEX('Disaggregation Records'!$F$155:$F$385,MATCH(RIGHT(Q1547,255),RIGHT('Disaggregation Records'!$D$155:$D$385,255),0))),"")</f>
        <v/>
      </c>
      <c r="T1547" s="89" t="str">
        <f t="array" aca="1" ref="T1547" ca="1">IFERROR(IF(INDEX('Disaggregation Records'!$H$155:$H$385,MATCH(RIGHT(Q1547,255),RIGHT('Disaggregation Records'!$D$155:$D$385,255),0))="","",INDEX('Disaggregation Records'!$H$155:$H$385,MATCH(RIGHT(Q1547,255),RIGHT('Disaggregation Records'!$D$155:$D$385,255),0))),"")</f>
        <v/>
      </c>
      <c r="U1547" s="89">
        <f>U1545+1</f>
        <v>1883</v>
      </c>
      <c r="V1547" s="89" t="str">
        <f t="array" aca="1" ref="V1547" ca="1">IFERROR(IF(INDEX('Disaggregation Records'!$I$155:$I$385,MATCH(RIGHT(Q1547,255),RIGHT('Disaggregation Records'!$D$155:$D$385,255),0))="","",INDEX('Disaggregation Records'!$I$155:$I$385,MATCH(RIGHT(Q1547,255),RIGHT('Disaggregation Records'!$D$155:$D$385,255),0))),"")</f>
        <v/>
      </c>
      <c r="W1547" s="89" t="str">
        <f ca="1">IFERROR(INDEX('Reference Records'!L$77:L$157,MATCH(LEFT(C1547,255),'Reference Records'!E$77:E$157,0)),"")</f>
        <v/>
      </c>
    </row>
    <row r="1548" spans="1:23" s="89" customFormat="1" ht="40.35" customHeight="1">
      <c r="A1548" s="564"/>
      <c r="B1548" s="799"/>
      <c r="C1548" s="800"/>
      <c r="D1548" s="801"/>
      <c r="E1548" s="801"/>
      <c r="F1548" s="128"/>
      <c r="G1548" s="802"/>
      <c r="H1548" s="781"/>
      <c r="I1548" s="803"/>
      <c r="J1548" s="779"/>
      <c r="K1548" s="800"/>
      <c r="L1548" s="800"/>
      <c r="M1548" s="779"/>
      <c r="N1548" s="779"/>
    </row>
    <row r="1549" spans="1:23" s="89" customFormat="1" ht="40.35" customHeight="1">
      <c r="A1549" s="564" t="str">
        <f ca="1">INDIRECT("'update Helper'!C"&amp;U1549)</f>
        <v>a163p000004VjsBAAS</v>
      </c>
      <c r="B1549" s="794">
        <v>24</v>
      </c>
      <c r="C1549" s="795" t="str">
        <f ca="1">VLOOKUP(B1549,'Coverage Indicators - Section D'!$A$9:$AU$70,47,FALSE)</f>
        <v/>
      </c>
      <c r="D1549" s="796" t="str">
        <f ca="1">R1549</f>
        <v/>
      </c>
      <c r="E1549" s="796" t="str">
        <f ca="1">S1549</f>
        <v/>
      </c>
      <c r="F1549" s="127"/>
      <c r="G1549" s="797" t="str">
        <f ca="1">IF(OR(INDIRECT("'update Helper'!E"&amp;U1549)="",F1549&lt;&gt;0,F1550&lt;&gt;0),IF(IFERROR((F1549/F1550),"")="","",(F1549/F1550)),INDIRECT("'update Helper'!E"&amp;U1549)/100)</f>
        <v/>
      </c>
      <c r="H1549" s="784"/>
      <c r="I1549" s="798"/>
      <c r="J1549" s="777"/>
      <c r="K1549" s="795" t="str">
        <f ca="1">W1549</f>
        <v/>
      </c>
      <c r="L1549" s="795" t="str">
        <f ca="1">V1549</f>
        <v/>
      </c>
      <c r="M1549" s="777"/>
      <c r="N1549" s="777"/>
      <c r="P1549" s="89">
        <f ca="1">IF(AND(EXACT(C1549,C1547),C1547&lt;&gt;0),P1547+1,0)</f>
        <v>224</v>
      </c>
      <c r="Q1549" s="89" t="str">
        <f ca="1">IF(C1549&lt;&gt;"",C1549&amp;"-"&amp;P1549,"")</f>
        <v/>
      </c>
      <c r="R1549" s="89" t="str">
        <f t="array" aca="1" ref="R1549" ca="1">IFERROR(IF(INDEX('Disaggregation Records'!$E$155:$E$385,MATCH(RIGHT(Q1549,255),RIGHT('Disaggregation Records'!$D$155:$D$385,255),0))="","",INDEX('Disaggregation Records'!$E$155:$E$385,MATCH(RIGHT(Q1549,255),RIGHT('Disaggregation Records'!$D$155:$D$385,255),0))),"")</f>
        <v/>
      </c>
      <c r="S1549" s="89" t="str">
        <f t="array" aca="1" ref="S1549" ca="1">IFERROR(IF(INDEX('Disaggregation Records'!$F$155:$F$385,MATCH(RIGHT(Q1549,255),RIGHT('Disaggregation Records'!$D$155:$D$385,255),0))="","",INDEX('Disaggregation Records'!$F$155:$F$385,MATCH(RIGHT(Q1549,255),RIGHT('Disaggregation Records'!$D$155:$D$385,255),0))),"")</f>
        <v/>
      </c>
      <c r="T1549" s="89" t="str">
        <f t="array" aca="1" ref="T1549" ca="1">IFERROR(IF(INDEX('Disaggregation Records'!$H$155:$H$385,MATCH(RIGHT(Q1549,255),RIGHT('Disaggregation Records'!$D$155:$D$385,255),0))="","",INDEX('Disaggregation Records'!$H$155:$H$385,MATCH(RIGHT(Q1549,255),RIGHT('Disaggregation Records'!$D$155:$D$385,255),0))),"")</f>
        <v/>
      </c>
      <c r="U1549" s="89">
        <f>U1547+1</f>
        <v>1884</v>
      </c>
      <c r="V1549" s="89" t="str">
        <f t="array" aca="1" ref="V1549" ca="1">IFERROR(IF(INDEX('Disaggregation Records'!$I$155:$I$385,MATCH(RIGHT(Q1549,255),RIGHT('Disaggregation Records'!$D$155:$D$385,255),0))="","",INDEX('Disaggregation Records'!$I$155:$I$385,MATCH(RIGHT(Q1549,255),RIGHT('Disaggregation Records'!$D$155:$D$385,255),0))),"")</f>
        <v/>
      </c>
      <c r="W1549" s="89" t="str">
        <f ca="1">IFERROR(INDEX('Reference Records'!L$77:L$157,MATCH(LEFT(C1549,255),'Reference Records'!E$77:E$157,0)),"")</f>
        <v/>
      </c>
    </row>
    <row r="1550" spans="1:23" s="89" customFormat="1" ht="40.35" customHeight="1">
      <c r="A1550" s="564"/>
      <c r="B1550" s="799"/>
      <c r="C1550" s="800"/>
      <c r="D1550" s="801"/>
      <c r="E1550" s="801"/>
      <c r="F1550" s="128"/>
      <c r="G1550" s="802"/>
      <c r="H1550" s="781"/>
      <c r="I1550" s="803"/>
      <c r="J1550" s="779"/>
      <c r="K1550" s="800"/>
      <c r="L1550" s="800"/>
      <c r="M1550" s="779"/>
      <c r="N1550" s="779"/>
    </row>
    <row r="1551" spans="1:23" s="89" customFormat="1" ht="40.35" customHeight="1">
      <c r="A1551" s="564" t="str">
        <f ca="1">INDIRECT("'update Helper'!C"&amp;U1551)</f>
        <v>a163p000004VjsCAAS</v>
      </c>
      <c r="B1551" s="794">
        <v>24</v>
      </c>
      <c r="C1551" s="795" t="str">
        <f ca="1">VLOOKUP(B1551,'Coverage Indicators - Section D'!$A$9:$AU$70,47,FALSE)</f>
        <v/>
      </c>
      <c r="D1551" s="796" t="str">
        <f ca="1">R1551</f>
        <v/>
      </c>
      <c r="E1551" s="796" t="str">
        <f ca="1">S1551</f>
        <v/>
      </c>
      <c r="F1551" s="127"/>
      <c r="G1551" s="797" t="str">
        <f ca="1">IF(OR(INDIRECT("'update Helper'!E"&amp;U1551)="",F1551&lt;&gt;0,F1552&lt;&gt;0),IF(IFERROR((F1551/F1552),"")="","",(F1551/F1552)),INDIRECT("'update Helper'!E"&amp;U1551)/100)</f>
        <v/>
      </c>
      <c r="H1551" s="784"/>
      <c r="I1551" s="798"/>
      <c r="J1551" s="777"/>
      <c r="K1551" s="795" t="str">
        <f ca="1">W1551</f>
        <v/>
      </c>
      <c r="L1551" s="795" t="str">
        <f ca="1">V1551</f>
        <v/>
      </c>
      <c r="M1551" s="777"/>
      <c r="N1551" s="777"/>
      <c r="P1551" s="89">
        <f ca="1">IF(AND(EXACT(C1551,C1549),C1549&lt;&gt;0),P1549+1,0)</f>
        <v>225</v>
      </c>
      <c r="Q1551" s="89" t="str">
        <f ca="1">IF(C1551&lt;&gt;"",C1551&amp;"-"&amp;P1551,"")</f>
        <v/>
      </c>
      <c r="R1551" s="89" t="str">
        <f t="array" aca="1" ref="R1551" ca="1">IFERROR(IF(INDEX('Disaggregation Records'!$E$155:$E$385,MATCH(RIGHT(Q1551,255),RIGHT('Disaggregation Records'!$D$155:$D$385,255),0))="","",INDEX('Disaggregation Records'!$E$155:$E$385,MATCH(RIGHT(Q1551,255),RIGHT('Disaggregation Records'!$D$155:$D$385,255),0))),"")</f>
        <v/>
      </c>
      <c r="S1551" s="89" t="str">
        <f t="array" aca="1" ref="S1551" ca="1">IFERROR(IF(INDEX('Disaggregation Records'!$F$155:$F$385,MATCH(RIGHT(Q1551,255),RIGHT('Disaggregation Records'!$D$155:$D$385,255),0))="","",INDEX('Disaggregation Records'!$F$155:$F$385,MATCH(RIGHT(Q1551,255),RIGHT('Disaggregation Records'!$D$155:$D$385,255),0))),"")</f>
        <v/>
      </c>
      <c r="T1551" s="89" t="str">
        <f t="array" aca="1" ref="T1551" ca="1">IFERROR(IF(INDEX('Disaggregation Records'!$H$155:$H$385,MATCH(RIGHT(Q1551,255),RIGHT('Disaggregation Records'!$D$155:$D$385,255),0))="","",INDEX('Disaggregation Records'!$H$155:$H$385,MATCH(RIGHT(Q1551,255),RIGHT('Disaggregation Records'!$D$155:$D$385,255),0))),"")</f>
        <v/>
      </c>
      <c r="U1551" s="89">
        <f>U1549+1</f>
        <v>1885</v>
      </c>
      <c r="V1551" s="89" t="str">
        <f t="array" aca="1" ref="V1551" ca="1">IFERROR(IF(INDEX('Disaggregation Records'!$I$155:$I$385,MATCH(RIGHT(Q1551,255),RIGHT('Disaggregation Records'!$D$155:$D$385,255),0))="","",INDEX('Disaggregation Records'!$I$155:$I$385,MATCH(RIGHT(Q1551,255),RIGHT('Disaggregation Records'!$D$155:$D$385,255),0))),"")</f>
        <v/>
      </c>
      <c r="W1551" s="89" t="str">
        <f ca="1">IFERROR(INDEX('Reference Records'!L$77:L$157,MATCH(LEFT(C1551,255),'Reference Records'!E$77:E$157,0)),"")</f>
        <v/>
      </c>
    </row>
    <row r="1552" spans="1:23" s="89" customFormat="1" ht="40.35" customHeight="1">
      <c r="A1552" s="564"/>
      <c r="B1552" s="799"/>
      <c r="C1552" s="800"/>
      <c r="D1552" s="801"/>
      <c r="E1552" s="801"/>
      <c r="F1552" s="128"/>
      <c r="G1552" s="802"/>
      <c r="H1552" s="781"/>
      <c r="I1552" s="803"/>
      <c r="J1552" s="779"/>
      <c r="K1552" s="800"/>
      <c r="L1552" s="800"/>
      <c r="M1552" s="779"/>
      <c r="N1552" s="779"/>
    </row>
    <row r="1553" spans="1:23" s="89" customFormat="1" ht="40.35" customHeight="1">
      <c r="A1553" s="564" t="str">
        <f ca="1">INDIRECT("'update Helper'!C"&amp;U1553)</f>
        <v>a163p000004VjsDAAS</v>
      </c>
      <c r="B1553" s="794">
        <v>24</v>
      </c>
      <c r="C1553" s="795" t="str">
        <f ca="1">VLOOKUP(B1553,'Coverage Indicators - Section D'!$A$9:$AU$70,47,FALSE)</f>
        <v/>
      </c>
      <c r="D1553" s="796" t="str">
        <f ca="1">R1553</f>
        <v/>
      </c>
      <c r="E1553" s="796" t="str">
        <f ca="1">S1553</f>
        <v/>
      </c>
      <c r="F1553" s="127"/>
      <c r="G1553" s="797" t="str">
        <f ca="1">IF(OR(INDIRECT("'update Helper'!E"&amp;U1553)="",F1553&lt;&gt;0,F1554&lt;&gt;0),IF(IFERROR((F1553/F1554),"")="","",(F1553/F1554)),INDIRECT("'update Helper'!E"&amp;U1553)/100)</f>
        <v/>
      </c>
      <c r="H1553" s="784"/>
      <c r="I1553" s="798"/>
      <c r="J1553" s="777"/>
      <c r="K1553" s="795" t="str">
        <f ca="1">W1553</f>
        <v/>
      </c>
      <c r="L1553" s="795" t="str">
        <f ca="1">V1553</f>
        <v/>
      </c>
      <c r="M1553" s="777"/>
      <c r="N1553" s="777"/>
      <c r="P1553" s="89">
        <f ca="1">IF(AND(EXACT(C1553,C1551),C1551&lt;&gt;0),P1551+1,0)</f>
        <v>226</v>
      </c>
      <c r="Q1553" s="89" t="str">
        <f ca="1">IF(C1553&lt;&gt;"",C1553&amp;"-"&amp;P1553,"")</f>
        <v/>
      </c>
      <c r="R1553" s="89" t="str">
        <f t="array" aca="1" ref="R1553" ca="1">IFERROR(IF(INDEX('Disaggregation Records'!$E$155:$E$385,MATCH(RIGHT(Q1553,255),RIGHT('Disaggregation Records'!$D$155:$D$385,255),0))="","",INDEX('Disaggregation Records'!$E$155:$E$385,MATCH(RIGHT(Q1553,255),RIGHT('Disaggregation Records'!$D$155:$D$385,255),0))),"")</f>
        <v/>
      </c>
      <c r="S1553" s="89" t="str">
        <f t="array" aca="1" ref="S1553" ca="1">IFERROR(IF(INDEX('Disaggregation Records'!$F$155:$F$385,MATCH(RIGHT(Q1553,255),RIGHT('Disaggregation Records'!$D$155:$D$385,255),0))="","",INDEX('Disaggregation Records'!$F$155:$F$385,MATCH(RIGHT(Q1553,255),RIGHT('Disaggregation Records'!$D$155:$D$385,255),0))),"")</f>
        <v/>
      </c>
      <c r="T1553" s="89" t="str">
        <f t="array" aca="1" ref="T1553" ca="1">IFERROR(IF(INDEX('Disaggregation Records'!$H$155:$H$385,MATCH(RIGHT(Q1553,255),RIGHT('Disaggregation Records'!$D$155:$D$385,255),0))="","",INDEX('Disaggregation Records'!$H$155:$H$385,MATCH(RIGHT(Q1553,255),RIGHT('Disaggregation Records'!$D$155:$D$385,255),0))),"")</f>
        <v/>
      </c>
      <c r="U1553" s="89">
        <f>U1551+1</f>
        <v>1886</v>
      </c>
      <c r="V1553" s="89" t="str">
        <f t="array" aca="1" ref="V1553" ca="1">IFERROR(IF(INDEX('Disaggregation Records'!$I$155:$I$385,MATCH(RIGHT(Q1553,255),RIGHT('Disaggregation Records'!$D$155:$D$385,255),0))="","",INDEX('Disaggregation Records'!$I$155:$I$385,MATCH(RIGHT(Q1553,255),RIGHT('Disaggregation Records'!$D$155:$D$385,255),0))),"")</f>
        <v/>
      </c>
      <c r="W1553" s="89" t="str">
        <f ca="1">IFERROR(INDEX('Reference Records'!L$77:L$157,MATCH(LEFT(C1553,255),'Reference Records'!E$77:E$157,0)),"")</f>
        <v/>
      </c>
    </row>
    <row r="1554" spans="1:23" s="89" customFormat="1" ht="40.35" customHeight="1">
      <c r="A1554" s="564"/>
      <c r="B1554" s="799"/>
      <c r="C1554" s="800"/>
      <c r="D1554" s="801"/>
      <c r="E1554" s="801"/>
      <c r="F1554" s="128"/>
      <c r="G1554" s="802"/>
      <c r="H1554" s="781"/>
      <c r="I1554" s="803"/>
      <c r="J1554" s="779"/>
      <c r="K1554" s="800"/>
      <c r="L1554" s="800"/>
      <c r="M1554" s="779"/>
      <c r="N1554" s="779"/>
    </row>
    <row r="1555" spans="1:23" s="89" customFormat="1" ht="40.35" customHeight="1">
      <c r="A1555" s="564" t="str">
        <f ca="1">INDIRECT("'update Helper'!C"&amp;U1555)</f>
        <v>a163p000004VjsEAAS</v>
      </c>
      <c r="B1555" s="794">
        <v>24</v>
      </c>
      <c r="C1555" s="795" t="str">
        <f ca="1">VLOOKUP(B1555,'Coverage Indicators - Section D'!$A$9:$AU$70,47,FALSE)</f>
        <v/>
      </c>
      <c r="D1555" s="796" t="str">
        <f ca="1">R1555</f>
        <v/>
      </c>
      <c r="E1555" s="796" t="str">
        <f ca="1">S1555</f>
        <v/>
      </c>
      <c r="F1555" s="127"/>
      <c r="G1555" s="797" t="str">
        <f ca="1">IF(OR(INDIRECT("'update Helper'!E"&amp;U1555)="",F1555&lt;&gt;0,F1556&lt;&gt;0),IF(IFERROR((F1555/F1556),"")="","",(F1555/F1556)),INDIRECT("'update Helper'!E"&amp;U1555)/100)</f>
        <v/>
      </c>
      <c r="H1555" s="784"/>
      <c r="I1555" s="798"/>
      <c r="J1555" s="777"/>
      <c r="K1555" s="795" t="str">
        <f ca="1">W1555</f>
        <v/>
      </c>
      <c r="L1555" s="795" t="str">
        <f ca="1">V1555</f>
        <v/>
      </c>
      <c r="M1555" s="777"/>
      <c r="N1555" s="777"/>
      <c r="P1555" s="89">
        <f ca="1">IF(AND(EXACT(C1555,C1553),C1553&lt;&gt;0),P1553+1,0)</f>
        <v>227</v>
      </c>
      <c r="Q1555" s="89" t="str">
        <f ca="1">IF(C1555&lt;&gt;"",C1555&amp;"-"&amp;P1555,"")</f>
        <v/>
      </c>
      <c r="R1555" s="89" t="str">
        <f t="array" aca="1" ref="R1555" ca="1">IFERROR(IF(INDEX('Disaggregation Records'!$E$155:$E$385,MATCH(RIGHT(Q1555,255),RIGHT('Disaggregation Records'!$D$155:$D$385,255),0))="","",INDEX('Disaggregation Records'!$E$155:$E$385,MATCH(RIGHT(Q1555,255),RIGHT('Disaggregation Records'!$D$155:$D$385,255),0))),"")</f>
        <v/>
      </c>
      <c r="S1555" s="89" t="str">
        <f t="array" aca="1" ref="S1555" ca="1">IFERROR(IF(INDEX('Disaggregation Records'!$F$155:$F$385,MATCH(RIGHT(Q1555,255),RIGHT('Disaggregation Records'!$D$155:$D$385,255),0))="","",INDEX('Disaggregation Records'!$F$155:$F$385,MATCH(RIGHT(Q1555,255),RIGHT('Disaggregation Records'!$D$155:$D$385,255),0))),"")</f>
        <v/>
      </c>
      <c r="T1555" s="89" t="str">
        <f t="array" aca="1" ref="T1555" ca="1">IFERROR(IF(INDEX('Disaggregation Records'!$H$155:$H$385,MATCH(RIGHT(Q1555,255),RIGHT('Disaggregation Records'!$D$155:$D$385,255),0))="","",INDEX('Disaggregation Records'!$H$155:$H$385,MATCH(RIGHT(Q1555,255),RIGHT('Disaggregation Records'!$D$155:$D$385,255),0))),"")</f>
        <v/>
      </c>
      <c r="U1555" s="89">
        <f>U1553+1</f>
        <v>1887</v>
      </c>
      <c r="V1555" s="89" t="str">
        <f t="array" aca="1" ref="V1555" ca="1">IFERROR(IF(INDEX('Disaggregation Records'!$I$155:$I$385,MATCH(RIGHT(Q1555,255),RIGHT('Disaggregation Records'!$D$155:$D$385,255),0))="","",INDEX('Disaggregation Records'!$I$155:$I$385,MATCH(RIGHT(Q1555,255),RIGHT('Disaggregation Records'!$D$155:$D$385,255),0))),"")</f>
        <v/>
      </c>
      <c r="W1555" s="89" t="str">
        <f ca="1">IFERROR(INDEX('Reference Records'!L$77:L$157,MATCH(LEFT(C1555,255),'Reference Records'!E$77:E$157,0)),"")</f>
        <v/>
      </c>
    </row>
    <row r="1556" spans="1:23" s="89" customFormat="1" ht="40.35" customHeight="1">
      <c r="A1556" s="564"/>
      <c r="B1556" s="799"/>
      <c r="C1556" s="800"/>
      <c r="D1556" s="801"/>
      <c r="E1556" s="801"/>
      <c r="F1556" s="128"/>
      <c r="G1556" s="802"/>
      <c r="H1556" s="781"/>
      <c r="I1556" s="803"/>
      <c r="J1556" s="779"/>
      <c r="K1556" s="800"/>
      <c r="L1556" s="800"/>
      <c r="M1556" s="779"/>
      <c r="N1556" s="779"/>
    </row>
    <row r="1557" spans="1:23" s="89" customFormat="1" ht="40.35" customHeight="1">
      <c r="A1557" s="564" t="str">
        <f ca="1">INDIRECT("'update Helper'!C"&amp;U1557)</f>
        <v>a163p000004VjsFAAS</v>
      </c>
      <c r="B1557" s="794">
        <v>24</v>
      </c>
      <c r="C1557" s="795" t="str">
        <f ca="1">VLOOKUP(B1557,'Coverage Indicators - Section D'!$A$9:$AU$70,47,FALSE)</f>
        <v/>
      </c>
      <c r="D1557" s="796" t="str">
        <f ca="1">R1557</f>
        <v/>
      </c>
      <c r="E1557" s="796" t="str">
        <f ca="1">S1557</f>
        <v/>
      </c>
      <c r="F1557" s="127"/>
      <c r="G1557" s="797" t="str">
        <f ca="1">IF(OR(INDIRECT("'update Helper'!E"&amp;U1557)="",F1557&lt;&gt;0,F1558&lt;&gt;0),IF(IFERROR((F1557/F1558),"")="","",(F1557/F1558)),INDIRECT("'update Helper'!E"&amp;U1557)/100)</f>
        <v/>
      </c>
      <c r="H1557" s="784"/>
      <c r="I1557" s="798"/>
      <c r="J1557" s="777"/>
      <c r="K1557" s="795" t="str">
        <f ca="1">W1557</f>
        <v/>
      </c>
      <c r="L1557" s="795" t="str">
        <f ca="1">V1557</f>
        <v/>
      </c>
      <c r="M1557" s="777"/>
      <c r="N1557" s="777"/>
      <c r="P1557" s="89">
        <f ca="1">IF(AND(EXACT(C1557,C1555),C1555&lt;&gt;0),P1555+1,0)</f>
        <v>228</v>
      </c>
      <c r="Q1557" s="89" t="str">
        <f ca="1">IF(C1557&lt;&gt;"",C1557&amp;"-"&amp;P1557,"")</f>
        <v/>
      </c>
      <c r="R1557" s="89" t="str">
        <f t="array" aca="1" ref="R1557" ca="1">IFERROR(IF(INDEX('Disaggregation Records'!$E$155:$E$385,MATCH(RIGHT(Q1557,255),RIGHT('Disaggregation Records'!$D$155:$D$385,255),0))="","",INDEX('Disaggregation Records'!$E$155:$E$385,MATCH(RIGHT(Q1557,255),RIGHT('Disaggregation Records'!$D$155:$D$385,255),0))),"")</f>
        <v/>
      </c>
      <c r="S1557" s="89" t="str">
        <f t="array" aca="1" ref="S1557" ca="1">IFERROR(IF(INDEX('Disaggregation Records'!$F$155:$F$385,MATCH(RIGHT(Q1557,255),RIGHT('Disaggregation Records'!$D$155:$D$385,255),0))="","",INDEX('Disaggregation Records'!$F$155:$F$385,MATCH(RIGHT(Q1557,255),RIGHT('Disaggregation Records'!$D$155:$D$385,255),0))),"")</f>
        <v/>
      </c>
      <c r="T1557" s="89" t="str">
        <f t="array" aca="1" ref="T1557" ca="1">IFERROR(IF(INDEX('Disaggregation Records'!$H$155:$H$385,MATCH(RIGHT(Q1557,255),RIGHT('Disaggregation Records'!$D$155:$D$385,255),0))="","",INDEX('Disaggregation Records'!$H$155:$H$385,MATCH(RIGHT(Q1557,255),RIGHT('Disaggregation Records'!$D$155:$D$385,255),0))),"")</f>
        <v/>
      </c>
      <c r="U1557" s="89">
        <f>U1555+1</f>
        <v>1888</v>
      </c>
      <c r="V1557" s="89" t="str">
        <f t="array" aca="1" ref="V1557" ca="1">IFERROR(IF(INDEX('Disaggregation Records'!$I$155:$I$385,MATCH(RIGHT(Q1557,255),RIGHT('Disaggregation Records'!$D$155:$D$385,255),0))="","",INDEX('Disaggregation Records'!$I$155:$I$385,MATCH(RIGHT(Q1557,255),RIGHT('Disaggregation Records'!$D$155:$D$385,255),0))),"")</f>
        <v/>
      </c>
      <c r="W1557" s="89" t="str">
        <f ca="1">IFERROR(INDEX('Reference Records'!L$77:L$157,MATCH(LEFT(C1557,255),'Reference Records'!E$77:E$157,0)),"")</f>
        <v/>
      </c>
    </row>
    <row r="1558" spans="1:23" s="89" customFormat="1" ht="40.35" customHeight="1">
      <c r="A1558" s="564"/>
      <c r="B1558" s="799"/>
      <c r="C1558" s="800"/>
      <c r="D1558" s="801"/>
      <c r="E1558" s="801"/>
      <c r="F1558" s="128"/>
      <c r="G1558" s="802"/>
      <c r="H1558" s="781"/>
      <c r="I1558" s="803"/>
      <c r="J1558" s="779"/>
      <c r="K1558" s="800"/>
      <c r="L1558" s="800"/>
      <c r="M1558" s="779"/>
      <c r="N1558" s="779"/>
    </row>
    <row r="1559" spans="1:23" s="89" customFormat="1" ht="40.35" customHeight="1">
      <c r="A1559" s="564" t="str">
        <f ca="1">INDIRECT("'update Helper'!C"&amp;U1559)</f>
        <v>a163p000004VjsGAAS</v>
      </c>
      <c r="B1559" s="794">
        <v>24</v>
      </c>
      <c r="C1559" s="795" t="str">
        <f ca="1">VLOOKUP(B1559,'Coverage Indicators - Section D'!$A$9:$AU$70,47,FALSE)</f>
        <v/>
      </c>
      <c r="D1559" s="796" t="str">
        <f ca="1">R1559</f>
        <v/>
      </c>
      <c r="E1559" s="796" t="str">
        <f ca="1">S1559</f>
        <v/>
      </c>
      <c r="F1559" s="127"/>
      <c r="G1559" s="797" t="str">
        <f ca="1">IF(OR(INDIRECT("'update Helper'!E"&amp;U1559)="",F1559&lt;&gt;0,F1560&lt;&gt;0),IF(IFERROR((F1559/F1560),"")="","",(F1559/F1560)),INDIRECT("'update Helper'!E"&amp;U1559)/100)</f>
        <v/>
      </c>
      <c r="H1559" s="784"/>
      <c r="I1559" s="798"/>
      <c r="J1559" s="777"/>
      <c r="K1559" s="795" t="str">
        <f ca="1">W1559</f>
        <v/>
      </c>
      <c r="L1559" s="795" t="str">
        <f ca="1">V1559</f>
        <v/>
      </c>
      <c r="M1559" s="777"/>
      <c r="N1559" s="777"/>
      <c r="P1559" s="89">
        <f ca="1">IF(AND(EXACT(C1559,C1557),C1557&lt;&gt;0),P1557+1,0)</f>
        <v>229</v>
      </c>
      <c r="Q1559" s="89" t="str">
        <f ca="1">IF(C1559&lt;&gt;"",C1559&amp;"-"&amp;P1559,"")</f>
        <v/>
      </c>
      <c r="R1559" s="89" t="str">
        <f t="array" aca="1" ref="R1559" ca="1">IFERROR(IF(INDEX('Disaggregation Records'!$E$155:$E$385,MATCH(RIGHT(Q1559,255),RIGHT('Disaggregation Records'!$D$155:$D$385,255),0))="","",INDEX('Disaggregation Records'!$E$155:$E$385,MATCH(RIGHT(Q1559,255),RIGHT('Disaggregation Records'!$D$155:$D$385,255),0))),"")</f>
        <v/>
      </c>
      <c r="S1559" s="89" t="str">
        <f t="array" aca="1" ref="S1559" ca="1">IFERROR(IF(INDEX('Disaggregation Records'!$F$155:$F$385,MATCH(RIGHT(Q1559,255),RIGHT('Disaggregation Records'!$D$155:$D$385,255),0))="","",INDEX('Disaggregation Records'!$F$155:$F$385,MATCH(RIGHT(Q1559,255),RIGHT('Disaggregation Records'!$D$155:$D$385,255),0))),"")</f>
        <v/>
      </c>
      <c r="T1559" s="89" t="str">
        <f t="array" aca="1" ref="T1559" ca="1">IFERROR(IF(INDEX('Disaggregation Records'!$H$155:$H$385,MATCH(RIGHT(Q1559,255),RIGHT('Disaggregation Records'!$D$155:$D$385,255),0))="","",INDEX('Disaggregation Records'!$H$155:$H$385,MATCH(RIGHT(Q1559,255),RIGHT('Disaggregation Records'!$D$155:$D$385,255),0))),"")</f>
        <v/>
      </c>
      <c r="U1559" s="89">
        <f>U1557+1</f>
        <v>1889</v>
      </c>
      <c r="V1559" s="89" t="str">
        <f t="array" aca="1" ref="V1559" ca="1">IFERROR(IF(INDEX('Disaggregation Records'!$I$155:$I$385,MATCH(RIGHT(Q1559,255),RIGHT('Disaggregation Records'!$D$155:$D$385,255),0))="","",INDEX('Disaggregation Records'!$I$155:$I$385,MATCH(RIGHT(Q1559,255),RIGHT('Disaggregation Records'!$D$155:$D$385,255),0))),"")</f>
        <v/>
      </c>
      <c r="W1559" s="89" t="str">
        <f ca="1">IFERROR(INDEX('Reference Records'!L$77:L$157,MATCH(LEFT(C1559,255),'Reference Records'!E$77:E$157,0)),"")</f>
        <v/>
      </c>
    </row>
    <row r="1560" spans="1:23" s="89" customFormat="1" ht="40.35" customHeight="1">
      <c r="A1560" s="564"/>
      <c r="B1560" s="799"/>
      <c r="C1560" s="800"/>
      <c r="D1560" s="801"/>
      <c r="E1560" s="801"/>
      <c r="F1560" s="128"/>
      <c r="G1560" s="802"/>
      <c r="H1560" s="781"/>
      <c r="I1560" s="803"/>
      <c r="J1560" s="779"/>
      <c r="K1560" s="800"/>
      <c r="L1560" s="800"/>
      <c r="M1560" s="779"/>
      <c r="N1560" s="779"/>
    </row>
    <row r="1561" spans="1:23" s="89" customFormat="1" ht="40.35" customHeight="1">
      <c r="A1561" s="564" t="str">
        <f ca="1">INDIRECT("'update Helper'!C"&amp;U1561)</f>
        <v>a163p000004VjsHAAS</v>
      </c>
      <c r="B1561" s="794">
        <v>24</v>
      </c>
      <c r="C1561" s="795" t="str">
        <f ca="1">VLOOKUP(B1561,'Coverage Indicators - Section D'!$A$9:$AU$70,47,FALSE)</f>
        <v/>
      </c>
      <c r="D1561" s="796" t="str">
        <f ca="1">R1561</f>
        <v/>
      </c>
      <c r="E1561" s="796" t="str">
        <f ca="1">S1561</f>
        <v/>
      </c>
      <c r="F1561" s="127"/>
      <c r="G1561" s="797" t="str">
        <f ca="1">IF(OR(INDIRECT("'update Helper'!E"&amp;U1561)="",F1561&lt;&gt;0,F1562&lt;&gt;0),IF(IFERROR((F1561/F1562),"")="","",(F1561/F1562)),INDIRECT("'update Helper'!E"&amp;U1561)/100)</f>
        <v/>
      </c>
      <c r="H1561" s="784"/>
      <c r="I1561" s="798"/>
      <c r="J1561" s="777"/>
      <c r="K1561" s="795" t="str">
        <f ca="1">W1561</f>
        <v/>
      </c>
      <c r="L1561" s="795" t="str">
        <f ca="1">V1561</f>
        <v/>
      </c>
      <c r="M1561" s="777"/>
      <c r="N1561" s="777"/>
      <c r="P1561" s="89">
        <f ca="1">IF(AND(EXACT(C1561,C1559),C1559&lt;&gt;0),P1559+1,0)</f>
        <v>230</v>
      </c>
      <c r="Q1561" s="89" t="str">
        <f ca="1">IF(C1561&lt;&gt;"",C1561&amp;"-"&amp;P1561,"")</f>
        <v/>
      </c>
      <c r="R1561" s="89" t="str">
        <f t="array" aca="1" ref="R1561" ca="1">IFERROR(IF(INDEX('Disaggregation Records'!$E$155:$E$385,MATCH(RIGHT(Q1561,255),RIGHT('Disaggregation Records'!$D$155:$D$385,255),0))="","",INDEX('Disaggregation Records'!$E$155:$E$385,MATCH(RIGHT(Q1561,255),RIGHT('Disaggregation Records'!$D$155:$D$385,255),0))),"")</f>
        <v/>
      </c>
      <c r="S1561" s="89" t="str">
        <f t="array" aca="1" ref="S1561" ca="1">IFERROR(IF(INDEX('Disaggregation Records'!$F$155:$F$385,MATCH(RIGHT(Q1561,255),RIGHT('Disaggregation Records'!$D$155:$D$385,255),0))="","",INDEX('Disaggregation Records'!$F$155:$F$385,MATCH(RIGHT(Q1561,255),RIGHT('Disaggregation Records'!$D$155:$D$385,255),0))),"")</f>
        <v/>
      </c>
      <c r="T1561" s="89" t="str">
        <f t="array" aca="1" ref="T1561" ca="1">IFERROR(IF(INDEX('Disaggregation Records'!$H$155:$H$385,MATCH(RIGHT(Q1561,255),RIGHT('Disaggregation Records'!$D$155:$D$385,255),0))="","",INDEX('Disaggregation Records'!$H$155:$H$385,MATCH(RIGHT(Q1561,255),RIGHT('Disaggregation Records'!$D$155:$D$385,255),0))),"")</f>
        <v/>
      </c>
      <c r="U1561" s="89">
        <f>U1559+1</f>
        <v>1890</v>
      </c>
      <c r="V1561" s="89" t="str">
        <f t="array" aca="1" ref="V1561" ca="1">IFERROR(IF(INDEX('Disaggregation Records'!$I$155:$I$385,MATCH(RIGHT(Q1561,255),RIGHT('Disaggregation Records'!$D$155:$D$385,255),0))="","",INDEX('Disaggregation Records'!$I$155:$I$385,MATCH(RIGHT(Q1561,255),RIGHT('Disaggregation Records'!$D$155:$D$385,255),0))),"")</f>
        <v/>
      </c>
      <c r="W1561" s="89" t="str">
        <f ca="1">IFERROR(INDEX('Reference Records'!L$77:L$157,MATCH(LEFT(C1561,255),'Reference Records'!E$77:E$157,0)),"")</f>
        <v/>
      </c>
    </row>
    <row r="1562" spans="1:23" s="89" customFormat="1" ht="40.35" customHeight="1">
      <c r="A1562" s="564"/>
      <c r="B1562" s="799"/>
      <c r="C1562" s="800"/>
      <c r="D1562" s="801"/>
      <c r="E1562" s="801"/>
      <c r="F1562" s="128"/>
      <c r="G1562" s="802"/>
      <c r="H1562" s="781"/>
      <c r="I1562" s="803"/>
      <c r="J1562" s="779"/>
      <c r="K1562" s="800"/>
      <c r="L1562" s="800"/>
      <c r="M1562" s="779"/>
      <c r="N1562" s="779"/>
    </row>
    <row r="1563" spans="1:23" s="89" customFormat="1" ht="40.35" customHeight="1">
      <c r="A1563" s="564" t="str">
        <f ca="1">INDIRECT("'update Helper'!C"&amp;U1563)</f>
        <v>a163p000004VjsIAAS</v>
      </c>
      <c r="B1563" s="794">
        <v>24</v>
      </c>
      <c r="C1563" s="795" t="str">
        <f ca="1">VLOOKUP(B1563,'Coverage Indicators - Section D'!$A$9:$AU$70,47,FALSE)</f>
        <v/>
      </c>
      <c r="D1563" s="796" t="str">
        <f ca="1">R1563</f>
        <v/>
      </c>
      <c r="E1563" s="796" t="str">
        <f ca="1">S1563</f>
        <v/>
      </c>
      <c r="F1563" s="127"/>
      <c r="G1563" s="797" t="str">
        <f ca="1">IF(OR(INDIRECT("'update Helper'!E"&amp;U1563)="",F1563&lt;&gt;0,F1564&lt;&gt;0),IF(IFERROR((F1563/F1564),"")="","",(F1563/F1564)),INDIRECT("'update Helper'!E"&amp;U1563)/100)</f>
        <v/>
      </c>
      <c r="H1563" s="784"/>
      <c r="I1563" s="798"/>
      <c r="J1563" s="777"/>
      <c r="K1563" s="795" t="str">
        <f ca="1">W1563</f>
        <v/>
      </c>
      <c r="L1563" s="795" t="str">
        <f ca="1">V1563</f>
        <v/>
      </c>
      <c r="M1563" s="777"/>
      <c r="N1563" s="777"/>
      <c r="P1563" s="89">
        <f ca="1">IF(AND(EXACT(C1563,C1561),C1561&lt;&gt;0),P1561+1,0)</f>
        <v>231</v>
      </c>
      <c r="Q1563" s="89" t="str">
        <f ca="1">IF(C1563&lt;&gt;"",C1563&amp;"-"&amp;P1563,"")</f>
        <v/>
      </c>
      <c r="R1563" s="89" t="str">
        <f t="array" aca="1" ref="R1563" ca="1">IFERROR(IF(INDEX('Disaggregation Records'!$E$155:$E$385,MATCH(RIGHT(Q1563,255),RIGHT('Disaggregation Records'!$D$155:$D$385,255),0))="","",INDEX('Disaggregation Records'!$E$155:$E$385,MATCH(RIGHT(Q1563,255),RIGHT('Disaggregation Records'!$D$155:$D$385,255),0))),"")</f>
        <v/>
      </c>
      <c r="S1563" s="89" t="str">
        <f t="array" aca="1" ref="S1563" ca="1">IFERROR(IF(INDEX('Disaggregation Records'!$F$155:$F$385,MATCH(RIGHT(Q1563,255),RIGHT('Disaggregation Records'!$D$155:$D$385,255),0))="","",INDEX('Disaggregation Records'!$F$155:$F$385,MATCH(RIGHT(Q1563,255),RIGHT('Disaggregation Records'!$D$155:$D$385,255),0))),"")</f>
        <v/>
      </c>
      <c r="T1563" s="89" t="str">
        <f t="array" aca="1" ref="T1563" ca="1">IFERROR(IF(INDEX('Disaggregation Records'!$H$155:$H$385,MATCH(RIGHT(Q1563,255),RIGHT('Disaggregation Records'!$D$155:$D$385,255),0))="","",INDEX('Disaggregation Records'!$H$155:$H$385,MATCH(RIGHT(Q1563,255),RIGHT('Disaggregation Records'!$D$155:$D$385,255),0))),"")</f>
        <v/>
      </c>
      <c r="U1563" s="89">
        <f>U1561+1</f>
        <v>1891</v>
      </c>
      <c r="V1563" s="89" t="str">
        <f t="array" aca="1" ref="V1563" ca="1">IFERROR(IF(INDEX('Disaggregation Records'!$I$155:$I$385,MATCH(RIGHT(Q1563,255),RIGHT('Disaggregation Records'!$D$155:$D$385,255),0))="","",INDEX('Disaggregation Records'!$I$155:$I$385,MATCH(RIGHT(Q1563,255),RIGHT('Disaggregation Records'!$D$155:$D$385,255),0))),"")</f>
        <v/>
      </c>
      <c r="W1563" s="89" t="str">
        <f ca="1">IFERROR(INDEX('Reference Records'!L$77:L$157,MATCH(LEFT(C1563,255),'Reference Records'!E$77:E$157,0)),"")</f>
        <v/>
      </c>
    </row>
    <row r="1564" spans="1:23" s="89" customFormat="1" ht="40.35" customHeight="1">
      <c r="A1564" s="564"/>
      <c r="B1564" s="799"/>
      <c r="C1564" s="800"/>
      <c r="D1564" s="801"/>
      <c r="E1564" s="801"/>
      <c r="F1564" s="128"/>
      <c r="G1564" s="802"/>
      <c r="H1564" s="781"/>
      <c r="I1564" s="803"/>
      <c r="J1564" s="779"/>
      <c r="K1564" s="800"/>
      <c r="L1564" s="800"/>
      <c r="M1564" s="779"/>
      <c r="N1564" s="779"/>
    </row>
    <row r="1565" spans="1:23" s="89" customFormat="1" ht="40.35" customHeight="1">
      <c r="A1565" s="564" t="str">
        <f ca="1">INDIRECT("'update Helper'!C"&amp;U1565)</f>
        <v>a163p000004VjsJAAS</v>
      </c>
      <c r="B1565" s="794">
        <v>24</v>
      </c>
      <c r="C1565" s="795" t="str">
        <f ca="1">VLOOKUP(B1565,'Coverage Indicators - Section D'!$A$9:$AU$70,47,FALSE)</f>
        <v/>
      </c>
      <c r="D1565" s="796" t="str">
        <f ca="1">R1565</f>
        <v/>
      </c>
      <c r="E1565" s="796" t="str">
        <f ca="1">S1565</f>
        <v/>
      </c>
      <c r="F1565" s="127"/>
      <c r="G1565" s="797" t="str">
        <f ca="1">IF(OR(INDIRECT("'update Helper'!E"&amp;U1565)="",F1565&lt;&gt;0,F1566&lt;&gt;0),IF(IFERROR((F1565/F1566),"")="","",(F1565/F1566)),INDIRECT("'update Helper'!E"&amp;U1565)/100)</f>
        <v/>
      </c>
      <c r="H1565" s="784"/>
      <c r="I1565" s="798"/>
      <c r="J1565" s="777"/>
      <c r="K1565" s="795" t="str">
        <f ca="1">W1565</f>
        <v/>
      </c>
      <c r="L1565" s="795" t="str">
        <f ca="1">V1565</f>
        <v/>
      </c>
      <c r="M1565" s="777"/>
      <c r="N1565" s="777"/>
      <c r="P1565" s="89">
        <f ca="1">IF(AND(EXACT(C1565,C1563),C1563&lt;&gt;0),P1563+1,0)</f>
        <v>232</v>
      </c>
      <c r="Q1565" s="89" t="str">
        <f ca="1">IF(C1565&lt;&gt;"",C1565&amp;"-"&amp;P1565,"")</f>
        <v/>
      </c>
      <c r="R1565" s="89" t="str">
        <f t="array" aca="1" ref="R1565" ca="1">IFERROR(IF(INDEX('Disaggregation Records'!$E$155:$E$385,MATCH(RIGHT(Q1565,255),RIGHT('Disaggregation Records'!$D$155:$D$385,255),0))="","",INDEX('Disaggregation Records'!$E$155:$E$385,MATCH(RIGHT(Q1565,255),RIGHT('Disaggregation Records'!$D$155:$D$385,255),0))),"")</f>
        <v/>
      </c>
      <c r="S1565" s="89" t="str">
        <f t="array" aca="1" ref="S1565" ca="1">IFERROR(IF(INDEX('Disaggregation Records'!$F$155:$F$385,MATCH(RIGHT(Q1565,255),RIGHT('Disaggregation Records'!$D$155:$D$385,255),0))="","",INDEX('Disaggregation Records'!$F$155:$F$385,MATCH(RIGHT(Q1565,255),RIGHT('Disaggregation Records'!$D$155:$D$385,255),0))),"")</f>
        <v/>
      </c>
      <c r="T1565" s="89" t="str">
        <f t="array" aca="1" ref="T1565" ca="1">IFERROR(IF(INDEX('Disaggregation Records'!$H$155:$H$385,MATCH(RIGHT(Q1565,255),RIGHT('Disaggregation Records'!$D$155:$D$385,255),0))="","",INDEX('Disaggregation Records'!$H$155:$H$385,MATCH(RIGHT(Q1565,255),RIGHT('Disaggregation Records'!$D$155:$D$385,255),0))),"")</f>
        <v/>
      </c>
      <c r="U1565" s="89">
        <f>U1563+1</f>
        <v>1892</v>
      </c>
      <c r="V1565" s="89" t="str">
        <f t="array" aca="1" ref="V1565" ca="1">IFERROR(IF(INDEX('Disaggregation Records'!$I$155:$I$385,MATCH(RIGHT(Q1565,255),RIGHT('Disaggregation Records'!$D$155:$D$385,255),0))="","",INDEX('Disaggregation Records'!$I$155:$I$385,MATCH(RIGHT(Q1565,255),RIGHT('Disaggregation Records'!$D$155:$D$385,255),0))),"")</f>
        <v/>
      </c>
      <c r="W1565" s="89" t="str">
        <f ca="1">IFERROR(INDEX('Reference Records'!L$77:L$157,MATCH(LEFT(C1565,255),'Reference Records'!E$77:E$157,0)),"")</f>
        <v/>
      </c>
    </row>
    <row r="1566" spans="1:23" s="89" customFormat="1" ht="40.35" customHeight="1">
      <c r="A1566" s="564"/>
      <c r="B1566" s="799"/>
      <c r="C1566" s="800"/>
      <c r="D1566" s="801"/>
      <c r="E1566" s="801"/>
      <c r="F1566" s="128"/>
      <c r="G1566" s="802"/>
      <c r="H1566" s="781"/>
      <c r="I1566" s="803"/>
      <c r="J1566" s="779"/>
      <c r="K1566" s="800"/>
      <c r="L1566" s="800"/>
      <c r="M1566" s="779"/>
      <c r="N1566" s="779"/>
    </row>
    <row r="1567" spans="1:23" s="89" customFormat="1" ht="40.35" customHeight="1">
      <c r="A1567" s="564" t="str">
        <f ca="1">INDIRECT("'update Helper'!C"&amp;U1567)</f>
        <v>a163p000004VjsKAAS</v>
      </c>
      <c r="B1567" s="794">
        <v>24</v>
      </c>
      <c r="C1567" s="795" t="str">
        <f ca="1">VLOOKUP(B1567,'Coverage Indicators - Section D'!$A$9:$AU$70,47,FALSE)</f>
        <v/>
      </c>
      <c r="D1567" s="796" t="str">
        <f ca="1">R1567</f>
        <v/>
      </c>
      <c r="E1567" s="796" t="str">
        <f ca="1">S1567</f>
        <v/>
      </c>
      <c r="F1567" s="127"/>
      <c r="G1567" s="797" t="str">
        <f ca="1">IF(OR(INDIRECT("'update Helper'!E"&amp;U1567)="",F1567&lt;&gt;0,F1568&lt;&gt;0),IF(IFERROR((F1567/F1568),"")="","",(F1567/F1568)),INDIRECT("'update Helper'!E"&amp;U1567)/100)</f>
        <v/>
      </c>
      <c r="H1567" s="784"/>
      <c r="I1567" s="798"/>
      <c r="J1567" s="777"/>
      <c r="K1567" s="795" t="str">
        <f ca="1">W1567</f>
        <v/>
      </c>
      <c r="L1567" s="795" t="str">
        <f ca="1">V1567</f>
        <v/>
      </c>
      <c r="M1567" s="777"/>
      <c r="N1567" s="777"/>
      <c r="P1567" s="89">
        <f ca="1">IF(AND(EXACT(C1567,C1565),C1565&lt;&gt;0),P1565+1,0)</f>
        <v>233</v>
      </c>
      <c r="Q1567" s="89" t="str">
        <f ca="1">IF(C1567&lt;&gt;"",C1567&amp;"-"&amp;P1567,"")</f>
        <v/>
      </c>
      <c r="R1567" s="89" t="str">
        <f t="array" aca="1" ref="R1567" ca="1">IFERROR(IF(INDEX('Disaggregation Records'!$E$155:$E$385,MATCH(RIGHT(Q1567,255),RIGHT('Disaggregation Records'!$D$155:$D$385,255),0))="","",INDEX('Disaggregation Records'!$E$155:$E$385,MATCH(RIGHT(Q1567,255),RIGHT('Disaggregation Records'!$D$155:$D$385,255),0))),"")</f>
        <v/>
      </c>
      <c r="S1567" s="89" t="str">
        <f t="array" aca="1" ref="S1567" ca="1">IFERROR(IF(INDEX('Disaggregation Records'!$F$155:$F$385,MATCH(RIGHT(Q1567,255),RIGHT('Disaggregation Records'!$D$155:$D$385,255),0))="","",INDEX('Disaggregation Records'!$F$155:$F$385,MATCH(RIGHT(Q1567,255),RIGHT('Disaggregation Records'!$D$155:$D$385,255),0))),"")</f>
        <v/>
      </c>
      <c r="T1567" s="89" t="str">
        <f t="array" aca="1" ref="T1567" ca="1">IFERROR(IF(INDEX('Disaggregation Records'!$H$155:$H$385,MATCH(RIGHT(Q1567,255),RIGHT('Disaggregation Records'!$D$155:$D$385,255),0))="","",INDEX('Disaggregation Records'!$H$155:$H$385,MATCH(RIGHT(Q1567,255),RIGHT('Disaggregation Records'!$D$155:$D$385,255),0))),"")</f>
        <v/>
      </c>
      <c r="U1567" s="89">
        <f>U1565+1</f>
        <v>1893</v>
      </c>
      <c r="V1567" s="89" t="str">
        <f t="array" aca="1" ref="V1567" ca="1">IFERROR(IF(INDEX('Disaggregation Records'!$I$155:$I$385,MATCH(RIGHT(Q1567,255),RIGHT('Disaggregation Records'!$D$155:$D$385,255),0))="","",INDEX('Disaggregation Records'!$I$155:$I$385,MATCH(RIGHT(Q1567,255),RIGHT('Disaggregation Records'!$D$155:$D$385,255),0))),"")</f>
        <v/>
      </c>
      <c r="W1567" s="89" t="str">
        <f ca="1">IFERROR(INDEX('Reference Records'!L$77:L$157,MATCH(LEFT(C1567,255),'Reference Records'!E$77:E$157,0)),"")</f>
        <v/>
      </c>
    </row>
    <row r="1568" spans="1:23" s="89" customFormat="1" ht="40.35" customHeight="1">
      <c r="A1568" s="564"/>
      <c r="B1568" s="799"/>
      <c r="C1568" s="800"/>
      <c r="D1568" s="801"/>
      <c r="E1568" s="801"/>
      <c r="F1568" s="128"/>
      <c r="G1568" s="802"/>
      <c r="H1568" s="781"/>
      <c r="I1568" s="803"/>
      <c r="J1568" s="779"/>
      <c r="K1568" s="800"/>
      <c r="L1568" s="800"/>
      <c r="M1568" s="779"/>
      <c r="N1568" s="779"/>
    </row>
    <row r="1569" spans="1:23" s="89" customFormat="1" ht="40.35" customHeight="1">
      <c r="A1569" s="564" t="str">
        <f ca="1">INDIRECT("'update Helper'!C"&amp;U1569)</f>
        <v>a163p000004VjsLAAS</v>
      </c>
      <c r="B1569" s="794">
        <v>24</v>
      </c>
      <c r="C1569" s="795" t="str">
        <f ca="1">VLOOKUP(B1569,'Coverage Indicators - Section D'!$A$9:$AU$70,47,FALSE)</f>
        <v/>
      </c>
      <c r="D1569" s="796" t="str">
        <f ca="1">R1569</f>
        <v/>
      </c>
      <c r="E1569" s="796" t="str">
        <f ca="1">S1569</f>
        <v/>
      </c>
      <c r="F1569" s="127"/>
      <c r="G1569" s="797" t="str">
        <f ca="1">IF(OR(INDIRECT("'update Helper'!E"&amp;U1569)="",F1569&lt;&gt;0,F1570&lt;&gt;0),IF(IFERROR((F1569/F1570),"")="","",(F1569/F1570)),INDIRECT("'update Helper'!E"&amp;U1569)/100)</f>
        <v/>
      </c>
      <c r="H1569" s="784"/>
      <c r="I1569" s="798"/>
      <c r="J1569" s="777"/>
      <c r="K1569" s="795" t="str">
        <f ca="1">W1569</f>
        <v/>
      </c>
      <c r="L1569" s="795" t="str">
        <f ca="1">V1569</f>
        <v/>
      </c>
      <c r="M1569" s="777"/>
      <c r="N1569" s="777"/>
      <c r="P1569" s="89">
        <f ca="1">IF(AND(EXACT(C1569,C1567),C1567&lt;&gt;0),P1567+1,0)</f>
        <v>234</v>
      </c>
      <c r="Q1569" s="89" t="str">
        <f ca="1">IF(C1569&lt;&gt;"",C1569&amp;"-"&amp;P1569,"")</f>
        <v/>
      </c>
      <c r="R1569" s="89" t="str">
        <f t="array" aca="1" ref="R1569" ca="1">IFERROR(IF(INDEX('Disaggregation Records'!$E$155:$E$385,MATCH(RIGHT(Q1569,255),RIGHT('Disaggregation Records'!$D$155:$D$385,255),0))="","",INDEX('Disaggregation Records'!$E$155:$E$385,MATCH(RIGHT(Q1569,255),RIGHT('Disaggregation Records'!$D$155:$D$385,255),0))),"")</f>
        <v/>
      </c>
      <c r="S1569" s="89" t="str">
        <f t="array" aca="1" ref="S1569" ca="1">IFERROR(IF(INDEX('Disaggregation Records'!$F$155:$F$385,MATCH(RIGHT(Q1569,255),RIGHT('Disaggregation Records'!$D$155:$D$385,255),0))="","",INDEX('Disaggregation Records'!$F$155:$F$385,MATCH(RIGHT(Q1569,255),RIGHT('Disaggregation Records'!$D$155:$D$385,255),0))),"")</f>
        <v/>
      </c>
      <c r="T1569" s="89" t="str">
        <f t="array" aca="1" ref="T1569" ca="1">IFERROR(IF(INDEX('Disaggregation Records'!$H$155:$H$385,MATCH(RIGHT(Q1569,255),RIGHT('Disaggregation Records'!$D$155:$D$385,255),0))="","",INDEX('Disaggregation Records'!$H$155:$H$385,MATCH(RIGHT(Q1569,255),RIGHT('Disaggregation Records'!$D$155:$D$385,255),0))),"")</f>
        <v/>
      </c>
      <c r="U1569" s="89">
        <f>U1567+1</f>
        <v>1894</v>
      </c>
      <c r="V1569" s="89" t="str">
        <f t="array" aca="1" ref="V1569" ca="1">IFERROR(IF(INDEX('Disaggregation Records'!$I$155:$I$385,MATCH(RIGHT(Q1569,255),RIGHT('Disaggregation Records'!$D$155:$D$385,255),0))="","",INDEX('Disaggregation Records'!$I$155:$I$385,MATCH(RIGHT(Q1569,255),RIGHT('Disaggregation Records'!$D$155:$D$385,255),0))),"")</f>
        <v/>
      </c>
      <c r="W1569" s="89" t="str">
        <f ca="1">IFERROR(INDEX('Reference Records'!L$77:L$157,MATCH(LEFT(C1569,255),'Reference Records'!E$77:E$157,0)),"")</f>
        <v/>
      </c>
    </row>
    <row r="1570" spans="1:23" s="89" customFormat="1" ht="40.35" customHeight="1">
      <c r="A1570" s="564"/>
      <c r="B1570" s="799"/>
      <c r="C1570" s="800"/>
      <c r="D1570" s="801"/>
      <c r="E1570" s="801"/>
      <c r="F1570" s="128"/>
      <c r="G1570" s="802"/>
      <c r="H1570" s="781"/>
      <c r="I1570" s="803"/>
      <c r="J1570" s="779"/>
      <c r="K1570" s="800"/>
      <c r="L1570" s="800"/>
      <c r="M1570" s="779"/>
      <c r="N1570" s="779"/>
    </row>
    <row r="1571" spans="1:23" s="89" customFormat="1" ht="40.35" customHeight="1">
      <c r="A1571" s="564" t="str">
        <f ca="1">INDIRECT("'update Helper'!C"&amp;U1571)</f>
        <v>a163p000004VjsMAAS</v>
      </c>
      <c r="B1571" s="794">
        <v>24</v>
      </c>
      <c r="C1571" s="795" t="str">
        <f ca="1">VLOOKUP(B1571,'Coverage Indicators - Section D'!$A$9:$AU$70,47,FALSE)</f>
        <v/>
      </c>
      <c r="D1571" s="796" t="str">
        <f ca="1">R1571</f>
        <v/>
      </c>
      <c r="E1571" s="796" t="str">
        <f ca="1">S1571</f>
        <v/>
      </c>
      <c r="F1571" s="127"/>
      <c r="G1571" s="797" t="str">
        <f ca="1">IF(OR(INDIRECT("'update Helper'!E"&amp;U1571)="",F1571&lt;&gt;0,F1572&lt;&gt;0),IF(IFERROR((F1571/F1572),"")="","",(F1571/F1572)),INDIRECT("'update Helper'!E"&amp;U1571)/100)</f>
        <v/>
      </c>
      <c r="H1571" s="784"/>
      <c r="I1571" s="798"/>
      <c r="J1571" s="777"/>
      <c r="K1571" s="795" t="str">
        <f ca="1">W1571</f>
        <v/>
      </c>
      <c r="L1571" s="795" t="str">
        <f ca="1">V1571</f>
        <v/>
      </c>
      <c r="M1571" s="777"/>
      <c r="N1571" s="777"/>
      <c r="P1571" s="89">
        <f ca="1">IF(AND(EXACT(C1571,C1569),C1569&lt;&gt;0),P1569+1,0)</f>
        <v>235</v>
      </c>
      <c r="Q1571" s="89" t="str">
        <f ca="1">IF(C1571&lt;&gt;"",C1571&amp;"-"&amp;P1571,"")</f>
        <v/>
      </c>
      <c r="R1571" s="89" t="str">
        <f t="array" aca="1" ref="R1571" ca="1">IFERROR(IF(INDEX('Disaggregation Records'!$E$155:$E$385,MATCH(RIGHT(Q1571,255),RIGHT('Disaggregation Records'!$D$155:$D$385,255),0))="","",INDEX('Disaggregation Records'!$E$155:$E$385,MATCH(RIGHT(Q1571,255),RIGHT('Disaggregation Records'!$D$155:$D$385,255),0))),"")</f>
        <v/>
      </c>
      <c r="S1571" s="89" t="str">
        <f t="array" aca="1" ref="S1571" ca="1">IFERROR(IF(INDEX('Disaggregation Records'!$F$155:$F$385,MATCH(RIGHT(Q1571,255),RIGHT('Disaggregation Records'!$D$155:$D$385,255),0))="","",INDEX('Disaggregation Records'!$F$155:$F$385,MATCH(RIGHT(Q1571,255),RIGHT('Disaggregation Records'!$D$155:$D$385,255),0))),"")</f>
        <v/>
      </c>
      <c r="T1571" s="89" t="str">
        <f t="array" aca="1" ref="T1571" ca="1">IFERROR(IF(INDEX('Disaggregation Records'!$H$155:$H$385,MATCH(RIGHT(Q1571,255),RIGHT('Disaggregation Records'!$D$155:$D$385,255),0))="","",INDEX('Disaggregation Records'!$H$155:$H$385,MATCH(RIGHT(Q1571,255),RIGHT('Disaggregation Records'!$D$155:$D$385,255),0))),"")</f>
        <v/>
      </c>
      <c r="U1571" s="89">
        <f>U1569+1</f>
        <v>1895</v>
      </c>
      <c r="V1571" s="89" t="str">
        <f t="array" aca="1" ref="V1571" ca="1">IFERROR(IF(INDEX('Disaggregation Records'!$I$155:$I$385,MATCH(RIGHT(Q1571,255),RIGHT('Disaggregation Records'!$D$155:$D$385,255),0))="","",INDEX('Disaggregation Records'!$I$155:$I$385,MATCH(RIGHT(Q1571,255),RIGHT('Disaggregation Records'!$D$155:$D$385,255),0))),"")</f>
        <v/>
      </c>
      <c r="W1571" s="89" t="str">
        <f ca="1">IFERROR(INDEX('Reference Records'!L$77:L$157,MATCH(LEFT(C1571,255),'Reference Records'!E$77:E$157,0)),"")</f>
        <v/>
      </c>
    </row>
    <row r="1572" spans="1:23" s="89" customFormat="1" ht="40.35" customHeight="1">
      <c r="A1572" s="564"/>
      <c r="B1572" s="799"/>
      <c r="C1572" s="800"/>
      <c r="D1572" s="801"/>
      <c r="E1572" s="801"/>
      <c r="F1572" s="128"/>
      <c r="G1572" s="802"/>
      <c r="H1572" s="781"/>
      <c r="I1572" s="803"/>
      <c r="J1572" s="779"/>
      <c r="K1572" s="800"/>
      <c r="L1572" s="800"/>
      <c r="M1572" s="779"/>
      <c r="N1572" s="779"/>
    </row>
    <row r="1573" spans="1:23" s="89" customFormat="1" ht="40.35" customHeight="1">
      <c r="A1573" s="564" t="str">
        <f ca="1">INDIRECT("'update Helper'!C"&amp;U1573)</f>
        <v>a163p000004VjsNAAS</v>
      </c>
      <c r="B1573" s="794">
        <v>24</v>
      </c>
      <c r="C1573" s="795" t="str">
        <f ca="1">VLOOKUP(B1573,'Coverage Indicators - Section D'!$A$9:$AU$70,47,FALSE)</f>
        <v/>
      </c>
      <c r="D1573" s="796" t="str">
        <f ca="1">R1573</f>
        <v/>
      </c>
      <c r="E1573" s="796" t="str">
        <f ca="1">S1573</f>
        <v/>
      </c>
      <c r="F1573" s="127"/>
      <c r="G1573" s="797" t="str">
        <f ca="1">IF(OR(INDIRECT("'update Helper'!E"&amp;U1573)="",F1573&lt;&gt;0,F1574&lt;&gt;0),IF(IFERROR((F1573/F1574),"")="","",(F1573/F1574)),INDIRECT("'update Helper'!E"&amp;U1573)/100)</f>
        <v/>
      </c>
      <c r="H1573" s="784"/>
      <c r="I1573" s="798"/>
      <c r="J1573" s="777"/>
      <c r="K1573" s="795" t="str">
        <f ca="1">W1573</f>
        <v/>
      </c>
      <c r="L1573" s="795" t="str">
        <f ca="1">V1573</f>
        <v/>
      </c>
      <c r="M1573" s="777"/>
      <c r="N1573" s="777"/>
      <c r="P1573" s="89">
        <f ca="1">IF(AND(EXACT(C1573,C1571),C1571&lt;&gt;0),P1571+1,0)</f>
        <v>236</v>
      </c>
      <c r="Q1573" s="89" t="str">
        <f ca="1">IF(C1573&lt;&gt;"",C1573&amp;"-"&amp;P1573,"")</f>
        <v/>
      </c>
      <c r="R1573" s="89" t="str">
        <f t="array" aca="1" ref="R1573" ca="1">IFERROR(IF(INDEX('Disaggregation Records'!$E$155:$E$385,MATCH(RIGHT(Q1573,255),RIGHT('Disaggregation Records'!$D$155:$D$385,255),0))="","",INDEX('Disaggregation Records'!$E$155:$E$385,MATCH(RIGHT(Q1573,255),RIGHT('Disaggregation Records'!$D$155:$D$385,255),0))),"")</f>
        <v/>
      </c>
      <c r="S1573" s="89" t="str">
        <f t="array" aca="1" ref="S1573" ca="1">IFERROR(IF(INDEX('Disaggregation Records'!$F$155:$F$385,MATCH(RIGHT(Q1573,255),RIGHT('Disaggregation Records'!$D$155:$D$385,255),0))="","",INDEX('Disaggregation Records'!$F$155:$F$385,MATCH(RIGHT(Q1573,255),RIGHT('Disaggregation Records'!$D$155:$D$385,255),0))),"")</f>
        <v/>
      </c>
      <c r="T1573" s="89" t="str">
        <f t="array" aca="1" ref="T1573" ca="1">IFERROR(IF(INDEX('Disaggregation Records'!$H$155:$H$385,MATCH(RIGHT(Q1573,255),RIGHT('Disaggregation Records'!$D$155:$D$385,255),0))="","",INDEX('Disaggregation Records'!$H$155:$H$385,MATCH(RIGHT(Q1573,255),RIGHT('Disaggregation Records'!$D$155:$D$385,255),0))),"")</f>
        <v/>
      </c>
      <c r="U1573" s="89">
        <f>U1571+1</f>
        <v>1896</v>
      </c>
      <c r="V1573" s="89" t="str">
        <f t="array" aca="1" ref="V1573" ca="1">IFERROR(IF(INDEX('Disaggregation Records'!$I$155:$I$385,MATCH(RIGHT(Q1573,255),RIGHT('Disaggregation Records'!$D$155:$D$385,255),0))="","",INDEX('Disaggregation Records'!$I$155:$I$385,MATCH(RIGHT(Q1573,255),RIGHT('Disaggregation Records'!$D$155:$D$385,255),0))),"")</f>
        <v/>
      </c>
      <c r="W1573" s="89" t="str">
        <f ca="1">IFERROR(INDEX('Reference Records'!L$77:L$157,MATCH(LEFT(C1573,255),'Reference Records'!E$77:E$157,0)),"")</f>
        <v/>
      </c>
    </row>
    <row r="1574" spans="1:23" s="89" customFormat="1" ht="40.35" customHeight="1">
      <c r="A1574" s="564"/>
      <c r="B1574" s="799"/>
      <c r="C1574" s="800"/>
      <c r="D1574" s="801"/>
      <c r="E1574" s="801"/>
      <c r="F1574" s="128"/>
      <c r="G1574" s="802"/>
      <c r="H1574" s="781"/>
      <c r="I1574" s="803"/>
      <c r="J1574" s="779"/>
      <c r="K1574" s="800"/>
      <c r="L1574" s="800"/>
      <c r="M1574" s="779"/>
      <c r="N1574" s="779"/>
    </row>
    <row r="1575" spans="1:23" s="89" customFormat="1" ht="40.35" customHeight="1">
      <c r="A1575" s="564" t="str">
        <f ca="1">INDIRECT("'update Helper'!C"&amp;U1575)</f>
        <v>a163p000004VjsOAAS</v>
      </c>
      <c r="B1575" s="794">
        <v>24</v>
      </c>
      <c r="C1575" s="795" t="str">
        <f ca="1">VLOOKUP(B1575,'Coverage Indicators - Section D'!$A$9:$AU$70,47,FALSE)</f>
        <v/>
      </c>
      <c r="D1575" s="796" t="str">
        <f ca="1">R1575</f>
        <v/>
      </c>
      <c r="E1575" s="796" t="str">
        <f ca="1">S1575</f>
        <v/>
      </c>
      <c r="F1575" s="127"/>
      <c r="G1575" s="797" t="str">
        <f ca="1">IF(OR(INDIRECT("'update Helper'!E"&amp;U1575)="",F1575&lt;&gt;0,F1576&lt;&gt;0),IF(IFERROR((F1575/F1576),"")="","",(F1575/F1576)),INDIRECT("'update Helper'!E"&amp;U1575)/100)</f>
        <v/>
      </c>
      <c r="H1575" s="784"/>
      <c r="I1575" s="798"/>
      <c r="J1575" s="777"/>
      <c r="K1575" s="795" t="str">
        <f ca="1">W1575</f>
        <v/>
      </c>
      <c r="L1575" s="795" t="str">
        <f ca="1">V1575</f>
        <v/>
      </c>
      <c r="M1575" s="777"/>
      <c r="N1575" s="777"/>
      <c r="P1575" s="89">
        <f ca="1">IF(AND(EXACT(C1575,C1573),C1573&lt;&gt;0),P1573+1,0)</f>
        <v>237</v>
      </c>
      <c r="Q1575" s="89" t="str">
        <f ca="1">IF(C1575&lt;&gt;"",C1575&amp;"-"&amp;P1575,"")</f>
        <v/>
      </c>
      <c r="R1575" s="89" t="str">
        <f t="array" aca="1" ref="R1575" ca="1">IFERROR(IF(INDEX('Disaggregation Records'!$E$155:$E$385,MATCH(RIGHT(Q1575,255),RIGHT('Disaggregation Records'!$D$155:$D$385,255),0))="","",INDEX('Disaggregation Records'!$E$155:$E$385,MATCH(RIGHT(Q1575,255),RIGHT('Disaggregation Records'!$D$155:$D$385,255),0))),"")</f>
        <v/>
      </c>
      <c r="S1575" s="89" t="str">
        <f t="array" aca="1" ref="S1575" ca="1">IFERROR(IF(INDEX('Disaggregation Records'!$F$155:$F$385,MATCH(RIGHT(Q1575,255),RIGHT('Disaggregation Records'!$D$155:$D$385,255),0))="","",INDEX('Disaggregation Records'!$F$155:$F$385,MATCH(RIGHT(Q1575,255),RIGHT('Disaggregation Records'!$D$155:$D$385,255),0))),"")</f>
        <v/>
      </c>
      <c r="T1575" s="89" t="str">
        <f t="array" aca="1" ref="T1575" ca="1">IFERROR(IF(INDEX('Disaggregation Records'!$H$155:$H$385,MATCH(RIGHT(Q1575,255),RIGHT('Disaggregation Records'!$D$155:$D$385,255),0))="","",INDEX('Disaggregation Records'!$H$155:$H$385,MATCH(RIGHT(Q1575,255),RIGHT('Disaggregation Records'!$D$155:$D$385,255),0))),"")</f>
        <v/>
      </c>
      <c r="U1575" s="89">
        <f>U1573+1</f>
        <v>1897</v>
      </c>
      <c r="V1575" s="89" t="str">
        <f t="array" aca="1" ref="V1575" ca="1">IFERROR(IF(INDEX('Disaggregation Records'!$I$155:$I$385,MATCH(RIGHT(Q1575,255),RIGHT('Disaggregation Records'!$D$155:$D$385,255),0))="","",INDEX('Disaggregation Records'!$I$155:$I$385,MATCH(RIGHT(Q1575,255),RIGHT('Disaggregation Records'!$D$155:$D$385,255),0))),"")</f>
        <v/>
      </c>
      <c r="W1575" s="89" t="str">
        <f ca="1">IFERROR(INDEX('Reference Records'!L$77:L$157,MATCH(LEFT(C1575,255),'Reference Records'!E$77:E$157,0)),"")</f>
        <v/>
      </c>
    </row>
    <row r="1576" spans="1:23" s="89" customFormat="1" ht="40.35" customHeight="1">
      <c r="A1576" s="564"/>
      <c r="B1576" s="799"/>
      <c r="C1576" s="800"/>
      <c r="D1576" s="801"/>
      <c r="E1576" s="801"/>
      <c r="F1576" s="128"/>
      <c r="G1576" s="802"/>
      <c r="H1576" s="781"/>
      <c r="I1576" s="803"/>
      <c r="J1576" s="779"/>
      <c r="K1576" s="800"/>
      <c r="L1576" s="800"/>
      <c r="M1576" s="779"/>
      <c r="N1576" s="779"/>
    </row>
    <row r="1577" spans="1:23" s="89" customFormat="1" ht="40.35" customHeight="1">
      <c r="A1577" s="564" t="str">
        <f ca="1">INDIRECT("'update Helper'!C"&amp;U1577)</f>
        <v>a163p000004VjsPAAS</v>
      </c>
      <c r="B1577" s="794">
        <v>24</v>
      </c>
      <c r="C1577" s="795" t="str">
        <f ca="1">VLOOKUP(B1577,'Coverage Indicators - Section D'!$A$9:$AU$70,47,FALSE)</f>
        <v/>
      </c>
      <c r="D1577" s="796" t="str">
        <f ca="1">R1577</f>
        <v/>
      </c>
      <c r="E1577" s="796" t="str">
        <f ca="1">S1577</f>
        <v/>
      </c>
      <c r="F1577" s="127"/>
      <c r="G1577" s="797" t="str">
        <f ca="1">IF(OR(INDIRECT("'update Helper'!E"&amp;U1577)="",F1577&lt;&gt;0,F1578&lt;&gt;0),IF(IFERROR((F1577/F1578),"")="","",(F1577/F1578)),INDIRECT("'update Helper'!E"&amp;U1577)/100)</f>
        <v/>
      </c>
      <c r="H1577" s="784"/>
      <c r="I1577" s="798"/>
      <c r="J1577" s="777"/>
      <c r="K1577" s="795" t="str">
        <f ca="1">W1577</f>
        <v/>
      </c>
      <c r="L1577" s="795" t="str">
        <f ca="1">V1577</f>
        <v/>
      </c>
      <c r="M1577" s="777"/>
      <c r="N1577" s="777"/>
      <c r="P1577" s="89">
        <f ca="1">IF(AND(EXACT(C1577,C1575),C1575&lt;&gt;0),P1575+1,0)</f>
        <v>238</v>
      </c>
      <c r="Q1577" s="89" t="str">
        <f ca="1">IF(C1577&lt;&gt;"",C1577&amp;"-"&amp;P1577,"")</f>
        <v/>
      </c>
      <c r="R1577" s="89" t="str">
        <f t="array" aca="1" ref="R1577" ca="1">IFERROR(IF(INDEX('Disaggregation Records'!$E$155:$E$385,MATCH(RIGHT(Q1577,255),RIGHT('Disaggregation Records'!$D$155:$D$385,255),0))="","",INDEX('Disaggregation Records'!$E$155:$E$385,MATCH(RIGHT(Q1577,255),RIGHT('Disaggregation Records'!$D$155:$D$385,255),0))),"")</f>
        <v/>
      </c>
      <c r="S1577" s="89" t="str">
        <f t="array" aca="1" ref="S1577" ca="1">IFERROR(IF(INDEX('Disaggregation Records'!$F$155:$F$385,MATCH(RIGHT(Q1577,255),RIGHT('Disaggregation Records'!$D$155:$D$385,255),0))="","",INDEX('Disaggregation Records'!$F$155:$F$385,MATCH(RIGHT(Q1577,255),RIGHT('Disaggregation Records'!$D$155:$D$385,255),0))),"")</f>
        <v/>
      </c>
      <c r="T1577" s="89" t="str">
        <f t="array" aca="1" ref="T1577" ca="1">IFERROR(IF(INDEX('Disaggregation Records'!$H$155:$H$385,MATCH(RIGHT(Q1577,255),RIGHT('Disaggregation Records'!$D$155:$D$385,255),0))="","",INDEX('Disaggregation Records'!$H$155:$H$385,MATCH(RIGHT(Q1577,255),RIGHT('Disaggregation Records'!$D$155:$D$385,255),0))),"")</f>
        <v/>
      </c>
      <c r="U1577" s="89">
        <f>U1575+1</f>
        <v>1898</v>
      </c>
      <c r="V1577" s="89" t="str">
        <f t="array" aca="1" ref="V1577" ca="1">IFERROR(IF(INDEX('Disaggregation Records'!$I$155:$I$385,MATCH(RIGHT(Q1577,255),RIGHT('Disaggregation Records'!$D$155:$D$385,255),0))="","",INDEX('Disaggregation Records'!$I$155:$I$385,MATCH(RIGHT(Q1577,255),RIGHT('Disaggregation Records'!$D$155:$D$385,255),0))),"")</f>
        <v/>
      </c>
      <c r="W1577" s="89" t="str">
        <f ca="1">IFERROR(INDEX('Reference Records'!L$77:L$157,MATCH(LEFT(C1577,255),'Reference Records'!E$77:E$157,0)),"")</f>
        <v/>
      </c>
    </row>
    <row r="1578" spans="1:23" s="89" customFormat="1" ht="40.35" customHeight="1">
      <c r="A1578" s="564"/>
      <c r="B1578" s="799"/>
      <c r="C1578" s="800"/>
      <c r="D1578" s="801"/>
      <c r="E1578" s="801"/>
      <c r="F1578" s="128"/>
      <c r="G1578" s="802"/>
      <c r="H1578" s="781"/>
      <c r="I1578" s="803"/>
      <c r="J1578" s="779"/>
      <c r="K1578" s="800"/>
      <c r="L1578" s="800"/>
      <c r="M1578" s="779"/>
      <c r="N1578" s="779"/>
    </row>
    <row r="1579" spans="1:23" s="89" customFormat="1" ht="40.35" customHeight="1">
      <c r="A1579" s="564" t="str">
        <f ca="1">INDIRECT("'update Helper'!C"&amp;U1579)</f>
        <v>a163p000004VjsQAAS</v>
      </c>
      <c r="B1579" s="794">
        <v>24</v>
      </c>
      <c r="C1579" s="795" t="str">
        <f ca="1">VLOOKUP(B1579,'Coverage Indicators - Section D'!$A$9:$AU$70,47,FALSE)</f>
        <v/>
      </c>
      <c r="D1579" s="796" t="str">
        <f ca="1">R1579</f>
        <v/>
      </c>
      <c r="E1579" s="796" t="str">
        <f ca="1">S1579</f>
        <v/>
      </c>
      <c r="F1579" s="127"/>
      <c r="G1579" s="797" t="str">
        <f ca="1">IF(OR(INDIRECT("'update Helper'!E"&amp;U1579)="",F1579&lt;&gt;0,F1580&lt;&gt;0),IF(IFERROR((F1579/F1580),"")="","",(F1579/F1580)),INDIRECT("'update Helper'!E"&amp;U1579)/100)</f>
        <v/>
      </c>
      <c r="H1579" s="784"/>
      <c r="I1579" s="798"/>
      <c r="J1579" s="777"/>
      <c r="K1579" s="795" t="str">
        <f ca="1">W1579</f>
        <v/>
      </c>
      <c r="L1579" s="795" t="str">
        <f ca="1">V1579</f>
        <v/>
      </c>
      <c r="M1579" s="777"/>
      <c r="N1579" s="777"/>
      <c r="P1579" s="89">
        <f ca="1">IF(AND(EXACT(C1579,C1577),C1577&lt;&gt;0),P1577+1,0)</f>
        <v>239</v>
      </c>
      <c r="Q1579" s="89" t="str">
        <f ca="1">IF(C1579&lt;&gt;"",C1579&amp;"-"&amp;P1579,"")</f>
        <v/>
      </c>
      <c r="R1579" s="89" t="str">
        <f t="array" aca="1" ref="R1579" ca="1">IFERROR(IF(INDEX('Disaggregation Records'!$E$155:$E$385,MATCH(RIGHT(Q1579,255),RIGHT('Disaggregation Records'!$D$155:$D$385,255),0))="","",INDEX('Disaggregation Records'!$E$155:$E$385,MATCH(RIGHT(Q1579,255),RIGHT('Disaggregation Records'!$D$155:$D$385,255),0))),"")</f>
        <v/>
      </c>
      <c r="S1579" s="89" t="str">
        <f t="array" aca="1" ref="S1579" ca="1">IFERROR(IF(INDEX('Disaggregation Records'!$F$155:$F$385,MATCH(RIGHT(Q1579,255),RIGHT('Disaggregation Records'!$D$155:$D$385,255),0))="","",INDEX('Disaggregation Records'!$F$155:$F$385,MATCH(RIGHT(Q1579,255),RIGHT('Disaggregation Records'!$D$155:$D$385,255),0))),"")</f>
        <v/>
      </c>
      <c r="T1579" s="89" t="str">
        <f t="array" aca="1" ref="T1579" ca="1">IFERROR(IF(INDEX('Disaggregation Records'!$H$155:$H$385,MATCH(RIGHT(Q1579,255),RIGHT('Disaggregation Records'!$D$155:$D$385,255),0))="","",INDEX('Disaggregation Records'!$H$155:$H$385,MATCH(RIGHT(Q1579,255),RIGHT('Disaggregation Records'!$D$155:$D$385,255),0))),"")</f>
        <v/>
      </c>
      <c r="U1579" s="89">
        <f>U1577+1</f>
        <v>1899</v>
      </c>
      <c r="V1579" s="89" t="str">
        <f t="array" aca="1" ref="V1579" ca="1">IFERROR(IF(INDEX('Disaggregation Records'!$I$155:$I$385,MATCH(RIGHT(Q1579,255),RIGHT('Disaggregation Records'!$D$155:$D$385,255),0))="","",INDEX('Disaggregation Records'!$I$155:$I$385,MATCH(RIGHT(Q1579,255),RIGHT('Disaggregation Records'!$D$155:$D$385,255),0))),"")</f>
        <v/>
      </c>
      <c r="W1579" s="89" t="str">
        <f ca="1">IFERROR(INDEX('Reference Records'!L$77:L$157,MATCH(LEFT(C1579,255),'Reference Records'!E$77:E$157,0)),"")</f>
        <v/>
      </c>
    </row>
    <row r="1580" spans="1:23" s="89" customFormat="1" ht="40.35" customHeight="1">
      <c r="A1580" s="564"/>
      <c r="B1580" s="799"/>
      <c r="C1580" s="800"/>
      <c r="D1580" s="801"/>
      <c r="E1580" s="801"/>
      <c r="F1580" s="128"/>
      <c r="G1580" s="802"/>
      <c r="H1580" s="781"/>
      <c r="I1580" s="803"/>
      <c r="J1580" s="779"/>
      <c r="K1580" s="800"/>
      <c r="L1580" s="800"/>
      <c r="M1580" s="779"/>
      <c r="N1580" s="779"/>
    </row>
    <row r="1581" spans="1:23" s="89" customFormat="1" ht="40.35" customHeight="1">
      <c r="A1581" s="564" t="str">
        <f ca="1">INDIRECT("'update Helper'!C"&amp;U1581)</f>
        <v>a163p000004VjsRAAS</v>
      </c>
      <c r="B1581" s="794">
        <v>25</v>
      </c>
      <c r="C1581" s="795" t="str">
        <f ca="1">VLOOKUP(B1581,'Coverage Indicators - Section D'!$A$9:$AU$70,47,FALSE)</f>
        <v/>
      </c>
      <c r="D1581" s="796" t="str">
        <f ca="1">R1581</f>
        <v/>
      </c>
      <c r="E1581" s="796" t="str">
        <f ca="1">S1581</f>
        <v/>
      </c>
      <c r="F1581" s="127"/>
      <c r="G1581" s="797" t="str">
        <f ca="1">IF(OR(INDIRECT("'update Helper'!E"&amp;U1581)="",F1581&lt;&gt;0,F1582&lt;&gt;0),IF(IFERROR((F1581/F1582),"")="","",(F1581/F1582)),INDIRECT("'update Helper'!E"&amp;U1581)/100)</f>
        <v/>
      </c>
      <c r="H1581" s="784"/>
      <c r="I1581" s="798"/>
      <c r="J1581" s="777"/>
      <c r="K1581" s="795" t="str">
        <f ca="1">W1581</f>
        <v/>
      </c>
      <c r="L1581" s="795" t="str">
        <f ca="1">V1581</f>
        <v/>
      </c>
      <c r="M1581" s="777"/>
      <c r="N1581" s="777"/>
      <c r="P1581" s="89">
        <f ca="1">IF(AND(EXACT(C1581,C1579),C1579&lt;&gt;0),P1579+1,0)</f>
        <v>240</v>
      </c>
      <c r="Q1581" s="89" t="str">
        <f ca="1">IF(C1581&lt;&gt;"",C1581&amp;"-"&amp;P1581,"")</f>
        <v/>
      </c>
      <c r="R1581" s="89" t="str">
        <f t="array" aca="1" ref="R1581" ca="1">IFERROR(IF(INDEX('Disaggregation Records'!$E$155:$E$385,MATCH(RIGHT(Q1581,255),RIGHT('Disaggregation Records'!$D$155:$D$385,255),0))="","",INDEX('Disaggregation Records'!$E$155:$E$385,MATCH(RIGHT(Q1581,255),RIGHT('Disaggregation Records'!$D$155:$D$385,255),0))),"")</f>
        <v/>
      </c>
      <c r="S1581" s="89" t="str">
        <f t="array" aca="1" ref="S1581" ca="1">IFERROR(IF(INDEX('Disaggregation Records'!$F$155:$F$385,MATCH(RIGHT(Q1581,255),RIGHT('Disaggregation Records'!$D$155:$D$385,255),0))="","",INDEX('Disaggregation Records'!$F$155:$F$385,MATCH(RIGHT(Q1581,255),RIGHT('Disaggregation Records'!$D$155:$D$385,255),0))),"")</f>
        <v/>
      </c>
      <c r="T1581" s="89" t="str">
        <f t="array" aca="1" ref="T1581" ca="1">IFERROR(IF(INDEX('Disaggregation Records'!$H$155:$H$385,MATCH(RIGHT(Q1581,255),RIGHT('Disaggregation Records'!$D$155:$D$385,255),0))="","",INDEX('Disaggregation Records'!$H$155:$H$385,MATCH(RIGHT(Q1581,255),RIGHT('Disaggregation Records'!$D$155:$D$385,255),0))),"")</f>
        <v/>
      </c>
      <c r="U1581" s="89">
        <f>U1579+1</f>
        <v>1900</v>
      </c>
      <c r="V1581" s="89" t="str">
        <f t="array" aca="1" ref="V1581" ca="1">IFERROR(IF(INDEX('Disaggregation Records'!$I$155:$I$385,MATCH(RIGHT(Q1581,255),RIGHT('Disaggregation Records'!$D$155:$D$385,255),0))="","",INDEX('Disaggregation Records'!$I$155:$I$385,MATCH(RIGHT(Q1581,255),RIGHT('Disaggregation Records'!$D$155:$D$385,255),0))),"")</f>
        <v/>
      </c>
      <c r="W1581" s="89" t="str">
        <f ca="1">IFERROR(INDEX('Reference Records'!L$77:L$157,MATCH(LEFT(C1581,255),'Reference Records'!E$77:E$157,0)),"")</f>
        <v/>
      </c>
    </row>
    <row r="1582" spans="1:23" s="89" customFormat="1" ht="40.35" customHeight="1">
      <c r="A1582" s="564"/>
      <c r="B1582" s="799"/>
      <c r="C1582" s="800"/>
      <c r="D1582" s="801"/>
      <c r="E1582" s="801"/>
      <c r="F1582" s="128"/>
      <c r="G1582" s="802"/>
      <c r="H1582" s="781"/>
      <c r="I1582" s="803"/>
      <c r="J1582" s="779"/>
      <c r="K1582" s="800"/>
      <c r="L1582" s="800"/>
      <c r="M1582" s="779"/>
      <c r="N1582" s="779"/>
    </row>
    <row r="1583" spans="1:23" s="89" customFormat="1" ht="40.35" customHeight="1">
      <c r="A1583" s="564" t="str">
        <f ca="1">INDIRECT("'update Helper'!C"&amp;U1583)</f>
        <v>a163p000004VjsSAAS</v>
      </c>
      <c r="B1583" s="794">
        <v>25</v>
      </c>
      <c r="C1583" s="795" t="str">
        <f ca="1">VLOOKUP(B1583,'Coverage Indicators - Section D'!$A$9:$AU$70,47,FALSE)</f>
        <v/>
      </c>
      <c r="D1583" s="796" t="str">
        <f ca="1">R1583</f>
        <v/>
      </c>
      <c r="E1583" s="796" t="str">
        <f ca="1">S1583</f>
        <v/>
      </c>
      <c r="F1583" s="127"/>
      <c r="G1583" s="797" t="str">
        <f ca="1">IF(OR(INDIRECT("'update Helper'!E"&amp;U1583)="",F1583&lt;&gt;0,F1584&lt;&gt;0),IF(IFERROR((F1583/F1584),"")="","",(F1583/F1584)),INDIRECT("'update Helper'!E"&amp;U1583)/100)</f>
        <v/>
      </c>
      <c r="H1583" s="784"/>
      <c r="I1583" s="798"/>
      <c r="J1583" s="777"/>
      <c r="K1583" s="795" t="str">
        <f ca="1">W1583</f>
        <v/>
      </c>
      <c r="L1583" s="795" t="str">
        <f ca="1">V1583</f>
        <v/>
      </c>
      <c r="M1583" s="777"/>
      <c r="N1583" s="777"/>
      <c r="P1583" s="89">
        <f ca="1">IF(AND(EXACT(C1583,C1581),C1581&lt;&gt;0),P1581+1,0)</f>
        <v>241</v>
      </c>
      <c r="Q1583" s="89" t="str">
        <f ca="1">IF(C1583&lt;&gt;"",C1583&amp;"-"&amp;P1583,"")</f>
        <v/>
      </c>
      <c r="R1583" s="89" t="str">
        <f t="array" aca="1" ref="R1583" ca="1">IFERROR(IF(INDEX('Disaggregation Records'!$E$155:$E$385,MATCH(RIGHT(Q1583,255),RIGHT('Disaggregation Records'!$D$155:$D$385,255),0))="","",INDEX('Disaggregation Records'!$E$155:$E$385,MATCH(RIGHT(Q1583,255),RIGHT('Disaggregation Records'!$D$155:$D$385,255),0))),"")</f>
        <v/>
      </c>
      <c r="S1583" s="89" t="str">
        <f t="array" aca="1" ref="S1583" ca="1">IFERROR(IF(INDEX('Disaggregation Records'!$F$155:$F$385,MATCH(RIGHT(Q1583,255),RIGHT('Disaggregation Records'!$D$155:$D$385,255),0))="","",INDEX('Disaggregation Records'!$F$155:$F$385,MATCH(RIGHT(Q1583,255),RIGHT('Disaggregation Records'!$D$155:$D$385,255),0))),"")</f>
        <v/>
      </c>
      <c r="T1583" s="89" t="str">
        <f t="array" aca="1" ref="T1583" ca="1">IFERROR(IF(INDEX('Disaggregation Records'!$H$155:$H$385,MATCH(RIGHT(Q1583,255),RIGHT('Disaggregation Records'!$D$155:$D$385,255),0))="","",INDEX('Disaggregation Records'!$H$155:$H$385,MATCH(RIGHT(Q1583,255),RIGHT('Disaggregation Records'!$D$155:$D$385,255),0))),"")</f>
        <v/>
      </c>
      <c r="U1583" s="89">
        <f>U1581+1</f>
        <v>1901</v>
      </c>
      <c r="V1583" s="89" t="str">
        <f t="array" aca="1" ref="V1583" ca="1">IFERROR(IF(INDEX('Disaggregation Records'!$I$155:$I$385,MATCH(RIGHT(Q1583,255),RIGHT('Disaggregation Records'!$D$155:$D$385,255),0))="","",INDEX('Disaggregation Records'!$I$155:$I$385,MATCH(RIGHT(Q1583,255),RIGHT('Disaggregation Records'!$D$155:$D$385,255),0))),"")</f>
        <v/>
      </c>
      <c r="W1583" s="89" t="str">
        <f ca="1">IFERROR(INDEX('Reference Records'!L$77:L$157,MATCH(LEFT(C1583,255),'Reference Records'!E$77:E$157,0)),"")</f>
        <v/>
      </c>
    </row>
    <row r="1584" spans="1:23" s="89" customFormat="1" ht="40.35" customHeight="1">
      <c r="A1584" s="564"/>
      <c r="B1584" s="799"/>
      <c r="C1584" s="800"/>
      <c r="D1584" s="801"/>
      <c r="E1584" s="801"/>
      <c r="F1584" s="128"/>
      <c r="G1584" s="802"/>
      <c r="H1584" s="781"/>
      <c r="I1584" s="803"/>
      <c r="J1584" s="779"/>
      <c r="K1584" s="800"/>
      <c r="L1584" s="800"/>
      <c r="M1584" s="779"/>
      <c r="N1584" s="779"/>
    </row>
    <row r="1585" spans="1:23" s="89" customFormat="1" ht="40.35" customHeight="1">
      <c r="A1585" s="564" t="str">
        <f ca="1">INDIRECT("'update Helper'!C"&amp;U1585)</f>
        <v>a163p000004VjsTAAS</v>
      </c>
      <c r="B1585" s="794">
        <v>25</v>
      </c>
      <c r="C1585" s="795" t="str">
        <f ca="1">VLOOKUP(B1585,'Coverage Indicators - Section D'!$A$9:$AU$70,47,FALSE)</f>
        <v/>
      </c>
      <c r="D1585" s="796" t="str">
        <f ca="1">R1585</f>
        <v/>
      </c>
      <c r="E1585" s="796" t="str">
        <f ca="1">S1585</f>
        <v/>
      </c>
      <c r="F1585" s="127"/>
      <c r="G1585" s="797" t="str">
        <f ca="1">IF(OR(INDIRECT("'update Helper'!E"&amp;U1585)="",F1585&lt;&gt;0,F1586&lt;&gt;0),IF(IFERROR((F1585/F1586),"")="","",(F1585/F1586)),INDIRECT("'update Helper'!E"&amp;U1585)/100)</f>
        <v/>
      </c>
      <c r="H1585" s="784"/>
      <c r="I1585" s="798"/>
      <c r="J1585" s="777"/>
      <c r="K1585" s="795" t="str">
        <f ca="1">W1585</f>
        <v/>
      </c>
      <c r="L1585" s="795" t="str">
        <f ca="1">V1585</f>
        <v/>
      </c>
      <c r="M1585" s="777"/>
      <c r="N1585" s="777"/>
      <c r="P1585" s="89">
        <f ca="1">IF(AND(EXACT(C1585,C1583),C1583&lt;&gt;0),P1583+1,0)</f>
        <v>242</v>
      </c>
      <c r="Q1585" s="89" t="str">
        <f ca="1">IF(C1585&lt;&gt;"",C1585&amp;"-"&amp;P1585,"")</f>
        <v/>
      </c>
      <c r="R1585" s="89" t="str">
        <f t="array" aca="1" ref="R1585" ca="1">IFERROR(IF(INDEX('Disaggregation Records'!$E$155:$E$385,MATCH(RIGHT(Q1585,255),RIGHT('Disaggregation Records'!$D$155:$D$385,255),0))="","",INDEX('Disaggregation Records'!$E$155:$E$385,MATCH(RIGHT(Q1585,255),RIGHT('Disaggregation Records'!$D$155:$D$385,255),0))),"")</f>
        <v/>
      </c>
      <c r="S1585" s="89" t="str">
        <f t="array" aca="1" ref="S1585" ca="1">IFERROR(IF(INDEX('Disaggregation Records'!$F$155:$F$385,MATCH(RIGHT(Q1585,255),RIGHT('Disaggregation Records'!$D$155:$D$385,255),0))="","",INDEX('Disaggregation Records'!$F$155:$F$385,MATCH(RIGHT(Q1585,255),RIGHT('Disaggregation Records'!$D$155:$D$385,255),0))),"")</f>
        <v/>
      </c>
      <c r="T1585" s="89" t="str">
        <f t="array" aca="1" ref="T1585" ca="1">IFERROR(IF(INDEX('Disaggregation Records'!$H$155:$H$385,MATCH(RIGHT(Q1585,255),RIGHT('Disaggregation Records'!$D$155:$D$385,255),0))="","",INDEX('Disaggregation Records'!$H$155:$H$385,MATCH(RIGHT(Q1585,255),RIGHT('Disaggregation Records'!$D$155:$D$385,255),0))),"")</f>
        <v/>
      </c>
      <c r="U1585" s="89">
        <f>U1583+1</f>
        <v>1902</v>
      </c>
      <c r="V1585" s="89" t="str">
        <f t="array" aca="1" ref="V1585" ca="1">IFERROR(IF(INDEX('Disaggregation Records'!$I$155:$I$385,MATCH(RIGHT(Q1585,255),RIGHT('Disaggregation Records'!$D$155:$D$385,255),0))="","",INDEX('Disaggregation Records'!$I$155:$I$385,MATCH(RIGHT(Q1585,255),RIGHT('Disaggregation Records'!$D$155:$D$385,255),0))),"")</f>
        <v/>
      </c>
      <c r="W1585" s="89" t="str">
        <f ca="1">IFERROR(INDEX('Reference Records'!L$77:L$157,MATCH(LEFT(C1585,255),'Reference Records'!E$77:E$157,0)),"")</f>
        <v/>
      </c>
    </row>
    <row r="1586" spans="1:23" s="89" customFormat="1" ht="40.35" customHeight="1">
      <c r="A1586" s="564"/>
      <c r="B1586" s="799"/>
      <c r="C1586" s="800"/>
      <c r="D1586" s="801"/>
      <c r="E1586" s="801"/>
      <c r="F1586" s="128"/>
      <c r="G1586" s="802"/>
      <c r="H1586" s="781"/>
      <c r="I1586" s="803"/>
      <c r="J1586" s="779"/>
      <c r="K1586" s="800"/>
      <c r="L1586" s="800"/>
      <c r="M1586" s="779"/>
      <c r="N1586" s="779"/>
    </row>
    <row r="1587" spans="1:23" s="89" customFormat="1" ht="40.35" customHeight="1">
      <c r="A1587" s="564" t="str">
        <f ca="1">INDIRECT("'update Helper'!C"&amp;U1587)</f>
        <v>a163p000004VjsUAAS</v>
      </c>
      <c r="B1587" s="794">
        <v>25</v>
      </c>
      <c r="C1587" s="795" t="str">
        <f ca="1">VLOOKUP(B1587,'Coverage Indicators - Section D'!$A$9:$AU$70,47,FALSE)</f>
        <v/>
      </c>
      <c r="D1587" s="796" t="str">
        <f ca="1">R1587</f>
        <v/>
      </c>
      <c r="E1587" s="796" t="str">
        <f ca="1">S1587</f>
        <v/>
      </c>
      <c r="F1587" s="127"/>
      <c r="G1587" s="797" t="str">
        <f ca="1">IF(OR(INDIRECT("'update Helper'!E"&amp;U1587)="",F1587&lt;&gt;0,F1588&lt;&gt;0),IF(IFERROR((F1587/F1588),"")="","",(F1587/F1588)),INDIRECT("'update Helper'!E"&amp;U1587)/100)</f>
        <v/>
      </c>
      <c r="H1587" s="784"/>
      <c r="I1587" s="798"/>
      <c r="J1587" s="777"/>
      <c r="K1587" s="795" t="str">
        <f ca="1">W1587</f>
        <v/>
      </c>
      <c r="L1587" s="795" t="str">
        <f ca="1">V1587</f>
        <v/>
      </c>
      <c r="M1587" s="777"/>
      <c r="N1587" s="777"/>
      <c r="P1587" s="89">
        <f ca="1">IF(AND(EXACT(C1587,C1585),C1585&lt;&gt;0),P1585+1,0)</f>
        <v>243</v>
      </c>
      <c r="Q1587" s="89" t="str">
        <f ca="1">IF(C1587&lt;&gt;"",C1587&amp;"-"&amp;P1587,"")</f>
        <v/>
      </c>
      <c r="R1587" s="89" t="str">
        <f t="array" aca="1" ref="R1587" ca="1">IFERROR(IF(INDEX('Disaggregation Records'!$E$155:$E$385,MATCH(RIGHT(Q1587,255),RIGHT('Disaggregation Records'!$D$155:$D$385,255),0))="","",INDEX('Disaggregation Records'!$E$155:$E$385,MATCH(RIGHT(Q1587,255),RIGHT('Disaggregation Records'!$D$155:$D$385,255),0))),"")</f>
        <v/>
      </c>
      <c r="S1587" s="89" t="str">
        <f t="array" aca="1" ref="S1587" ca="1">IFERROR(IF(INDEX('Disaggregation Records'!$F$155:$F$385,MATCH(RIGHT(Q1587,255),RIGHT('Disaggregation Records'!$D$155:$D$385,255),0))="","",INDEX('Disaggregation Records'!$F$155:$F$385,MATCH(RIGHT(Q1587,255),RIGHT('Disaggregation Records'!$D$155:$D$385,255),0))),"")</f>
        <v/>
      </c>
      <c r="T1587" s="89" t="str">
        <f t="array" aca="1" ref="T1587" ca="1">IFERROR(IF(INDEX('Disaggregation Records'!$H$155:$H$385,MATCH(RIGHT(Q1587,255),RIGHT('Disaggregation Records'!$D$155:$D$385,255),0))="","",INDEX('Disaggregation Records'!$H$155:$H$385,MATCH(RIGHT(Q1587,255),RIGHT('Disaggregation Records'!$D$155:$D$385,255),0))),"")</f>
        <v/>
      </c>
      <c r="U1587" s="89">
        <f>U1585+1</f>
        <v>1903</v>
      </c>
      <c r="V1587" s="89" t="str">
        <f t="array" aca="1" ref="V1587" ca="1">IFERROR(IF(INDEX('Disaggregation Records'!$I$155:$I$385,MATCH(RIGHT(Q1587,255),RIGHT('Disaggregation Records'!$D$155:$D$385,255),0))="","",INDEX('Disaggregation Records'!$I$155:$I$385,MATCH(RIGHT(Q1587,255),RIGHT('Disaggregation Records'!$D$155:$D$385,255),0))),"")</f>
        <v/>
      </c>
      <c r="W1587" s="89" t="str">
        <f ca="1">IFERROR(INDEX('Reference Records'!L$77:L$157,MATCH(LEFT(C1587,255),'Reference Records'!E$77:E$157,0)),"")</f>
        <v/>
      </c>
    </row>
    <row r="1588" spans="1:23" s="89" customFormat="1" ht="40.35" customHeight="1">
      <c r="A1588" s="564"/>
      <c r="B1588" s="799"/>
      <c r="C1588" s="800"/>
      <c r="D1588" s="801"/>
      <c r="E1588" s="801"/>
      <c r="F1588" s="128"/>
      <c r="G1588" s="802"/>
      <c r="H1588" s="781"/>
      <c r="I1588" s="803"/>
      <c r="J1588" s="779"/>
      <c r="K1588" s="800"/>
      <c r="L1588" s="800"/>
      <c r="M1588" s="779"/>
      <c r="N1588" s="779"/>
    </row>
    <row r="1589" spans="1:23" s="89" customFormat="1" ht="40.35" customHeight="1">
      <c r="A1589" s="564" t="str">
        <f ca="1">INDIRECT("'update Helper'!C"&amp;U1589)</f>
        <v>a163p000004VjsVAAS</v>
      </c>
      <c r="B1589" s="794">
        <v>25</v>
      </c>
      <c r="C1589" s="795" t="str">
        <f ca="1">VLOOKUP(B1589,'Coverage Indicators - Section D'!$A$9:$AU$70,47,FALSE)</f>
        <v/>
      </c>
      <c r="D1589" s="796" t="str">
        <f ca="1">R1589</f>
        <v/>
      </c>
      <c r="E1589" s="796" t="str">
        <f ca="1">S1589</f>
        <v/>
      </c>
      <c r="F1589" s="127"/>
      <c r="G1589" s="797" t="str">
        <f ca="1">IF(OR(INDIRECT("'update Helper'!E"&amp;U1589)="",F1589&lt;&gt;0,F1590&lt;&gt;0),IF(IFERROR((F1589/F1590),"")="","",(F1589/F1590)),INDIRECT("'update Helper'!E"&amp;U1589)/100)</f>
        <v/>
      </c>
      <c r="H1589" s="784"/>
      <c r="I1589" s="798"/>
      <c r="J1589" s="777"/>
      <c r="K1589" s="795" t="str">
        <f ca="1">W1589</f>
        <v/>
      </c>
      <c r="L1589" s="795" t="str">
        <f ca="1">V1589</f>
        <v/>
      </c>
      <c r="M1589" s="777"/>
      <c r="N1589" s="777"/>
      <c r="P1589" s="89">
        <f ca="1">IF(AND(EXACT(C1589,C1587),C1587&lt;&gt;0),P1587+1,0)</f>
        <v>244</v>
      </c>
      <c r="Q1589" s="89" t="str">
        <f ca="1">IF(C1589&lt;&gt;"",C1589&amp;"-"&amp;P1589,"")</f>
        <v/>
      </c>
      <c r="R1589" s="89" t="str">
        <f t="array" aca="1" ref="R1589" ca="1">IFERROR(IF(INDEX('Disaggregation Records'!$E$155:$E$385,MATCH(RIGHT(Q1589,255),RIGHT('Disaggregation Records'!$D$155:$D$385,255),0))="","",INDEX('Disaggregation Records'!$E$155:$E$385,MATCH(RIGHT(Q1589,255),RIGHT('Disaggregation Records'!$D$155:$D$385,255),0))),"")</f>
        <v/>
      </c>
      <c r="S1589" s="89" t="str">
        <f t="array" aca="1" ref="S1589" ca="1">IFERROR(IF(INDEX('Disaggregation Records'!$F$155:$F$385,MATCH(RIGHT(Q1589,255),RIGHT('Disaggregation Records'!$D$155:$D$385,255),0))="","",INDEX('Disaggregation Records'!$F$155:$F$385,MATCH(RIGHT(Q1589,255),RIGHT('Disaggregation Records'!$D$155:$D$385,255),0))),"")</f>
        <v/>
      </c>
      <c r="T1589" s="89" t="str">
        <f t="array" aca="1" ref="T1589" ca="1">IFERROR(IF(INDEX('Disaggregation Records'!$H$155:$H$385,MATCH(RIGHT(Q1589,255),RIGHT('Disaggregation Records'!$D$155:$D$385,255),0))="","",INDEX('Disaggregation Records'!$H$155:$H$385,MATCH(RIGHT(Q1589,255),RIGHT('Disaggregation Records'!$D$155:$D$385,255),0))),"")</f>
        <v/>
      </c>
      <c r="U1589" s="89">
        <f>U1587+1</f>
        <v>1904</v>
      </c>
      <c r="V1589" s="89" t="str">
        <f t="array" aca="1" ref="V1589" ca="1">IFERROR(IF(INDEX('Disaggregation Records'!$I$155:$I$385,MATCH(RIGHT(Q1589,255),RIGHT('Disaggregation Records'!$D$155:$D$385,255),0))="","",INDEX('Disaggregation Records'!$I$155:$I$385,MATCH(RIGHT(Q1589,255),RIGHT('Disaggregation Records'!$D$155:$D$385,255),0))),"")</f>
        <v/>
      </c>
      <c r="W1589" s="89" t="str">
        <f ca="1">IFERROR(INDEX('Reference Records'!L$77:L$157,MATCH(LEFT(C1589,255),'Reference Records'!E$77:E$157,0)),"")</f>
        <v/>
      </c>
    </row>
    <row r="1590" spans="1:23" s="89" customFormat="1" ht="40.35" customHeight="1">
      <c r="A1590" s="564"/>
      <c r="B1590" s="799"/>
      <c r="C1590" s="800"/>
      <c r="D1590" s="801"/>
      <c r="E1590" s="801"/>
      <c r="F1590" s="128"/>
      <c r="G1590" s="802"/>
      <c r="H1590" s="781"/>
      <c r="I1590" s="803"/>
      <c r="J1590" s="779"/>
      <c r="K1590" s="800"/>
      <c r="L1590" s="800"/>
      <c r="M1590" s="779"/>
      <c r="N1590" s="779"/>
    </row>
    <row r="1591" spans="1:23" s="89" customFormat="1" ht="40.35" customHeight="1">
      <c r="A1591" s="564" t="str">
        <f ca="1">INDIRECT("'update Helper'!C"&amp;U1591)</f>
        <v>a163p000004VjsWAAS</v>
      </c>
      <c r="B1591" s="794">
        <v>25</v>
      </c>
      <c r="C1591" s="795" t="str">
        <f ca="1">VLOOKUP(B1591,'Coverage Indicators - Section D'!$A$9:$AU$70,47,FALSE)</f>
        <v/>
      </c>
      <c r="D1591" s="796" t="str">
        <f ca="1">R1591</f>
        <v/>
      </c>
      <c r="E1591" s="796" t="str">
        <f ca="1">S1591</f>
        <v/>
      </c>
      <c r="F1591" s="127"/>
      <c r="G1591" s="797" t="str">
        <f ca="1">IF(OR(INDIRECT("'update Helper'!E"&amp;U1591)="",F1591&lt;&gt;0,F1592&lt;&gt;0),IF(IFERROR((F1591/F1592),"")="","",(F1591/F1592)),INDIRECT("'update Helper'!E"&amp;U1591)/100)</f>
        <v/>
      </c>
      <c r="H1591" s="784"/>
      <c r="I1591" s="798"/>
      <c r="J1591" s="777"/>
      <c r="K1591" s="795" t="str">
        <f ca="1">W1591</f>
        <v/>
      </c>
      <c r="L1591" s="795" t="str">
        <f ca="1">V1591</f>
        <v/>
      </c>
      <c r="M1591" s="777"/>
      <c r="N1591" s="777"/>
      <c r="P1591" s="89">
        <f ca="1">IF(AND(EXACT(C1591,C1589),C1589&lt;&gt;0),P1589+1,0)</f>
        <v>245</v>
      </c>
      <c r="Q1591" s="89" t="str">
        <f ca="1">IF(C1591&lt;&gt;"",C1591&amp;"-"&amp;P1591,"")</f>
        <v/>
      </c>
      <c r="R1591" s="89" t="str">
        <f t="array" aca="1" ref="R1591" ca="1">IFERROR(IF(INDEX('Disaggregation Records'!$E$155:$E$385,MATCH(RIGHT(Q1591,255),RIGHT('Disaggregation Records'!$D$155:$D$385,255),0))="","",INDEX('Disaggregation Records'!$E$155:$E$385,MATCH(RIGHT(Q1591,255),RIGHT('Disaggregation Records'!$D$155:$D$385,255),0))),"")</f>
        <v/>
      </c>
      <c r="S1591" s="89" t="str">
        <f t="array" aca="1" ref="S1591" ca="1">IFERROR(IF(INDEX('Disaggregation Records'!$F$155:$F$385,MATCH(RIGHT(Q1591,255),RIGHT('Disaggregation Records'!$D$155:$D$385,255),0))="","",INDEX('Disaggregation Records'!$F$155:$F$385,MATCH(RIGHT(Q1591,255),RIGHT('Disaggregation Records'!$D$155:$D$385,255),0))),"")</f>
        <v/>
      </c>
      <c r="T1591" s="89" t="str">
        <f t="array" aca="1" ref="T1591" ca="1">IFERROR(IF(INDEX('Disaggregation Records'!$H$155:$H$385,MATCH(RIGHT(Q1591,255),RIGHT('Disaggregation Records'!$D$155:$D$385,255),0))="","",INDEX('Disaggregation Records'!$H$155:$H$385,MATCH(RIGHT(Q1591,255),RIGHT('Disaggregation Records'!$D$155:$D$385,255),0))),"")</f>
        <v/>
      </c>
      <c r="U1591" s="89">
        <f>U1589+1</f>
        <v>1905</v>
      </c>
      <c r="V1591" s="89" t="str">
        <f t="array" aca="1" ref="V1591" ca="1">IFERROR(IF(INDEX('Disaggregation Records'!$I$155:$I$385,MATCH(RIGHT(Q1591,255),RIGHT('Disaggregation Records'!$D$155:$D$385,255),0))="","",INDEX('Disaggregation Records'!$I$155:$I$385,MATCH(RIGHT(Q1591,255),RIGHT('Disaggregation Records'!$D$155:$D$385,255),0))),"")</f>
        <v/>
      </c>
      <c r="W1591" s="89" t="str">
        <f ca="1">IFERROR(INDEX('Reference Records'!L$77:L$157,MATCH(LEFT(C1591,255),'Reference Records'!E$77:E$157,0)),"")</f>
        <v/>
      </c>
    </row>
    <row r="1592" spans="1:23" s="89" customFormat="1" ht="40.35" customHeight="1">
      <c r="A1592" s="564"/>
      <c r="B1592" s="799"/>
      <c r="C1592" s="800"/>
      <c r="D1592" s="801"/>
      <c r="E1592" s="801"/>
      <c r="F1592" s="128"/>
      <c r="G1592" s="802"/>
      <c r="H1592" s="781"/>
      <c r="I1592" s="803"/>
      <c r="J1592" s="779"/>
      <c r="K1592" s="800"/>
      <c r="L1592" s="800"/>
      <c r="M1592" s="779"/>
      <c r="N1592" s="779"/>
    </row>
    <row r="1593" spans="1:23" s="89" customFormat="1" ht="40.35" customHeight="1">
      <c r="A1593" s="564" t="str">
        <f ca="1">INDIRECT("'update Helper'!C"&amp;U1593)</f>
        <v>a163p000004VjsXAAS</v>
      </c>
      <c r="B1593" s="794">
        <v>25</v>
      </c>
      <c r="C1593" s="795" t="str">
        <f ca="1">VLOOKUP(B1593,'Coverage Indicators - Section D'!$A$9:$AU$70,47,FALSE)</f>
        <v/>
      </c>
      <c r="D1593" s="796" t="str">
        <f ca="1">R1593</f>
        <v/>
      </c>
      <c r="E1593" s="796" t="str">
        <f ca="1">S1593</f>
        <v/>
      </c>
      <c r="F1593" s="127"/>
      <c r="G1593" s="797" t="str">
        <f ca="1">IF(OR(INDIRECT("'update Helper'!E"&amp;U1593)="",F1593&lt;&gt;0,F1594&lt;&gt;0),IF(IFERROR((F1593/F1594),"")="","",(F1593/F1594)),INDIRECT("'update Helper'!E"&amp;U1593)/100)</f>
        <v/>
      </c>
      <c r="H1593" s="784"/>
      <c r="I1593" s="798"/>
      <c r="J1593" s="777"/>
      <c r="K1593" s="795" t="str">
        <f ca="1">W1593</f>
        <v/>
      </c>
      <c r="L1593" s="795" t="str">
        <f ca="1">V1593</f>
        <v/>
      </c>
      <c r="M1593" s="777"/>
      <c r="N1593" s="777"/>
      <c r="P1593" s="89">
        <f ca="1">IF(AND(EXACT(C1593,C1591),C1591&lt;&gt;0),P1591+1,0)</f>
        <v>246</v>
      </c>
      <c r="Q1593" s="89" t="str">
        <f ca="1">IF(C1593&lt;&gt;"",C1593&amp;"-"&amp;P1593,"")</f>
        <v/>
      </c>
      <c r="R1593" s="89" t="str">
        <f t="array" aca="1" ref="R1593" ca="1">IFERROR(IF(INDEX('Disaggregation Records'!$E$155:$E$385,MATCH(RIGHT(Q1593,255),RIGHT('Disaggregation Records'!$D$155:$D$385,255),0))="","",INDEX('Disaggregation Records'!$E$155:$E$385,MATCH(RIGHT(Q1593,255),RIGHT('Disaggregation Records'!$D$155:$D$385,255),0))),"")</f>
        <v/>
      </c>
      <c r="S1593" s="89" t="str">
        <f t="array" aca="1" ref="S1593" ca="1">IFERROR(IF(INDEX('Disaggregation Records'!$F$155:$F$385,MATCH(RIGHT(Q1593,255),RIGHT('Disaggregation Records'!$D$155:$D$385,255),0))="","",INDEX('Disaggregation Records'!$F$155:$F$385,MATCH(RIGHT(Q1593,255),RIGHT('Disaggregation Records'!$D$155:$D$385,255),0))),"")</f>
        <v/>
      </c>
      <c r="T1593" s="89" t="str">
        <f t="array" aca="1" ref="T1593" ca="1">IFERROR(IF(INDEX('Disaggregation Records'!$H$155:$H$385,MATCH(RIGHT(Q1593,255),RIGHT('Disaggregation Records'!$D$155:$D$385,255),0))="","",INDEX('Disaggregation Records'!$H$155:$H$385,MATCH(RIGHT(Q1593,255),RIGHT('Disaggregation Records'!$D$155:$D$385,255),0))),"")</f>
        <v/>
      </c>
      <c r="U1593" s="89">
        <f>U1591+1</f>
        <v>1906</v>
      </c>
      <c r="V1593" s="89" t="str">
        <f t="array" aca="1" ref="V1593" ca="1">IFERROR(IF(INDEX('Disaggregation Records'!$I$155:$I$385,MATCH(RIGHT(Q1593,255),RIGHT('Disaggregation Records'!$D$155:$D$385,255),0))="","",INDEX('Disaggregation Records'!$I$155:$I$385,MATCH(RIGHT(Q1593,255),RIGHT('Disaggregation Records'!$D$155:$D$385,255),0))),"")</f>
        <v/>
      </c>
      <c r="W1593" s="89" t="str">
        <f ca="1">IFERROR(INDEX('Reference Records'!L$77:L$157,MATCH(LEFT(C1593,255),'Reference Records'!E$77:E$157,0)),"")</f>
        <v/>
      </c>
    </row>
    <row r="1594" spans="1:23" s="89" customFormat="1" ht="40.35" customHeight="1">
      <c r="A1594" s="564"/>
      <c r="B1594" s="799"/>
      <c r="C1594" s="800"/>
      <c r="D1594" s="801"/>
      <c r="E1594" s="801"/>
      <c r="F1594" s="128"/>
      <c r="G1594" s="802"/>
      <c r="H1594" s="781"/>
      <c r="I1594" s="803"/>
      <c r="J1594" s="779"/>
      <c r="K1594" s="800"/>
      <c r="L1594" s="800"/>
      <c r="M1594" s="779"/>
      <c r="N1594" s="779"/>
    </row>
    <row r="1595" spans="1:23" s="89" customFormat="1" ht="40.35" customHeight="1">
      <c r="A1595" s="564" t="str">
        <f ca="1">INDIRECT("'update Helper'!C"&amp;U1595)</f>
        <v>a163p000004VjsYAAS</v>
      </c>
      <c r="B1595" s="794">
        <v>25</v>
      </c>
      <c r="C1595" s="795" t="str">
        <f ca="1">VLOOKUP(B1595,'Coverage Indicators - Section D'!$A$9:$AU$70,47,FALSE)</f>
        <v/>
      </c>
      <c r="D1595" s="796" t="str">
        <f ca="1">R1595</f>
        <v/>
      </c>
      <c r="E1595" s="796" t="str">
        <f ca="1">S1595</f>
        <v/>
      </c>
      <c r="F1595" s="127"/>
      <c r="G1595" s="797" t="str">
        <f ca="1">IF(OR(INDIRECT("'update Helper'!E"&amp;U1595)="",F1595&lt;&gt;0,F1596&lt;&gt;0),IF(IFERROR((F1595/F1596),"")="","",(F1595/F1596)),INDIRECT("'update Helper'!E"&amp;U1595)/100)</f>
        <v/>
      </c>
      <c r="H1595" s="784"/>
      <c r="I1595" s="798"/>
      <c r="J1595" s="777"/>
      <c r="K1595" s="795" t="str">
        <f ca="1">W1595</f>
        <v/>
      </c>
      <c r="L1595" s="795" t="str">
        <f ca="1">V1595</f>
        <v/>
      </c>
      <c r="M1595" s="777"/>
      <c r="N1595" s="777"/>
      <c r="P1595" s="89">
        <f ca="1">IF(AND(EXACT(C1595,C1593),C1593&lt;&gt;0),P1593+1,0)</f>
        <v>247</v>
      </c>
      <c r="Q1595" s="89" t="str">
        <f ca="1">IF(C1595&lt;&gt;"",C1595&amp;"-"&amp;P1595,"")</f>
        <v/>
      </c>
      <c r="R1595" s="89" t="str">
        <f t="array" aca="1" ref="R1595" ca="1">IFERROR(IF(INDEX('Disaggregation Records'!$E$155:$E$385,MATCH(RIGHT(Q1595,255),RIGHT('Disaggregation Records'!$D$155:$D$385,255),0))="","",INDEX('Disaggregation Records'!$E$155:$E$385,MATCH(RIGHT(Q1595,255),RIGHT('Disaggregation Records'!$D$155:$D$385,255),0))),"")</f>
        <v/>
      </c>
      <c r="S1595" s="89" t="str">
        <f t="array" aca="1" ref="S1595" ca="1">IFERROR(IF(INDEX('Disaggregation Records'!$F$155:$F$385,MATCH(RIGHT(Q1595,255),RIGHT('Disaggregation Records'!$D$155:$D$385,255),0))="","",INDEX('Disaggregation Records'!$F$155:$F$385,MATCH(RIGHT(Q1595,255),RIGHT('Disaggregation Records'!$D$155:$D$385,255),0))),"")</f>
        <v/>
      </c>
      <c r="T1595" s="89" t="str">
        <f t="array" aca="1" ref="T1595" ca="1">IFERROR(IF(INDEX('Disaggregation Records'!$H$155:$H$385,MATCH(RIGHT(Q1595,255),RIGHT('Disaggregation Records'!$D$155:$D$385,255),0))="","",INDEX('Disaggregation Records'!$H$155:$H$385,MATCH(RIGHT(Q1595,255),RIGHT('Disaggregation Records'!$D$155:$D$385,255),0))),"")</f>
        <v/>
      </c>
      <c r="U1595" s="89">
        <f>U1593+1</f>
        <v>1907</v>
      </c>
      <c r="V1595" s="89" t="str">
        <f t="array" aca="1" ref="V1595" ca="1">IFERROR(IF(INDEX('Disaggregation Records'!$I$155:$I$385,MATCH(RIGHT(Q1595,255),RIGHT('Disaggregation Records'!$D$155:$D$385,255),0))="","",INDEX('Disaggregation Records'!$I$155:$I$385,MATCH(RIGHT(Q1595,255),RIGHT('Disaggregation Records'!$D$155:$D$385,255),0))),"")</f>
        <v/>
      </c>
      <c r="W1595" s="89" t="str">
        <f ca="1">IFERROR(INDEX('Reference Records'!L$77:L$157,MATCH(LEFT(C1595,255),'Reference Records'!E$77:E$157,0)),"")</f>
        <v/>
      </c>
    </row>
    <row r="1596" spans="1:23" s="89" customFormat="1" ht="40.35" customHeight="1">
      <c r="A1596" s="564"/>
      <c r="B1596" s="799"/>
      <c r="C1596" s="800"/>
      <c r="D1596" s="801"/>
      <c r="E1596" s="801"/>
      <c r="F1596" s="128"/>
      <c r="G1596" s="802"/>
      <c r="H1596" s="781"/>
      <c r="I1596" s="803"/>
      <c r="J1596" s="779"/>
      <c r="K1596" s="800"/>
      <c r="L1596" s="800"/>
      <c r="M1596" s="779"/>
      <c r="N1596" s="779"/>
    </row>
    <row r="1597" spans="1:23" s="89" customFormat="1" ht="40.35" customHeight="1">
      <c r="A1597" s="564" t="str">
        <f ca="1">INDIRECT("'update Helper'!C"&amp;U1597)</f>
        <v>a163p000004VjsZAAS</v>
      </c>
      <c r="B1597" s="794">
        <v>25</v>
      </c>
      <c r="C1597" s="795" t="str">
        <f ca="1">VLOOKUP(B1597,'Coverage Indicators - Section D'!$A$9:$AU$70,47,FALSE)</f>
        <v/>
      </c>
      <c r="D1597" s="796" t="str">
        <f ca="1">R1597</f>
        <v/>
      </c>
      <c r="E1597" s="796" t="str">
        <f ca="1">S1597</f>
        <v/>
      </c>
      <c r="F1597" s="127"/>
      <c r="G1597" s="797" t="str">
        <f ca="1">IF(OR(INDIRECT("'update Helper'!E"&amp;U1597)="",F1597&lt;&gt;0,F1598&lt;&gt;0),IF(IFERROR((F1597/F1598),"")="","",(F1597/F1598)),INDIRECT("'update Helper'!E"&amp;U1597)/100)</f>
        <v/>
      </c>
      <c r="H1597" s="784"/>
      <c r="I1597" s="798"/>
      <c r="J1597" s="777"/>
      <c r="K1597" s="795" t="str">
        <f ca="1">W1597</f>
        <v/>
      </c>
      <c r="L1597" s="795" t="str">
        <f ca="1">V1597</f>
        <v/>
      </c>
      <c r="M1597" s="777"/>
      <c r="N1597" s="777"/>
      <c r="P1597" s="89">
        <f ca="1">IF(AND(EXACT(C1597,C1595),C1595&lt;&gt;0),P1595+1,0)</f>
        <v>248</v>
      </c>
      <c r="Q1597" s="89" t="str">
        <f ca="1">IF(C1597&lt;&gt;"",C1597&amp;"-"&amp;P1597,"")</f>
        <v/>
      </c>
      <c r="R1597" s="89" t="str">
        <f t="array" aca="1" ref="R1597" ca="1">IFERROR(IF(INDEX('Disaggregation Records'!$E$155:$E$385,MATCH(RIGHT(Q1597,255),RIGHT('Disaggregation Records'!$D$155:$D$385,255),0))="","",INDEX('Disaggregation Records'!$E$155:$E$385,MATCH(RIGHT(Q1597,255),RIGHT('Disaggregation Records'!$D$155:$D$385,255),0))),"")</f>
        <v/>
      </c>
      <c r="S1597" s="89" t="str">
        <f t="array" aca="1" ref="S1597" ca="1">IFERROR(IF(INDEX('Disaggregation Records'!$F$155:$F$385,MATCH(RIGHT(Q1597,255),RIGHT('Disaggregation Records'!$D$155:$D$385,255),0))="","",INDEX('Disaggregation Records'!$F$155:$F$385,MATCH(RIGHT(Q1597,255),RIGHT('Disaggregation Records'!$D$155:$D$385,255),0))),"")</f>
        <v/>
      </c>
      <c r="T1597" s="89" t="str">
        <f t="array" aca="1" ref="T1597" ca="1">IFERROR(IF(INDEX('Disaggregation Records'!$H$155:$H$385,MATCH(RIGHT(Q1597,255),RIGHT('Disaggregation Records'!$D$155:$D$385,255),0))="","",INDEX('Disaggregation Records'!$H$155:$H$385,MATCH(RIGHT(Q1597,255),RIGHT('Disaggregation Records'!$D$155:$D$385,255),0))),"")</f>
        <v/>
      </c>
      <c r="U1597" s="89">
        <f>U1595+1</f>
        <v>1908</v>
      </c>
      <c r="V1597" s="89" t="str">
        <f t="array" aca="1" ref="V1597" ca="1">IFERROR(IF(INDEX('Disaggregation Records'!$I$155:$I$385,MATCH(RIGHT(Q1597,255),RIGHT('Disaggregation Records'!$D$155:$D$385,255),0))="","",INDEX('Disaggregation Records'!$I$155:$I$385,MATCH(RIGHT(Q1597,255),RIGHT('Disaggregation Records'!$D$155:$D$385,255),0))),"")</f>
        <v/>
      </c>
      <c r="W1597" s="89" t="str">
        <f ca="1">IFERROR(INDEX('Reference Records'!L$77:L$157,MATCH(LEFT(C1597,255),'Reference Records'!E$77:E$157,0)),"")</f>
        <v/>
      </c>
    </row>
    <row r="1598" spans="1:23" s="89" customFormat="1" ht="40.35" customHeight="1">
      <c r="A1598" s="564"/>
      <c r="B1598" s="799"/>
      <c r="C1598" s="800"/>
      <c r="D1598" s="801"/>
      <c r="E1598" s="801"/>
      <c r="F1598" s="128"/>
      <c r="G1598" s="802"/>
      <c r="H1598" s="781"/>
      <c r="I1598" s="803"/>
      <c r="J1598" s="779"/>
      <c r="K1598" s="800"/>
      <c r="L1598" s="800"/>
      <c r="M1598" s="779"/>
      <c r="N1598" s="779"/>
    </row>
    <row r="1599" spans="1:23" s="89" customFormat="1" ht="40.35" customHeight="1">
      <c r="A1599" s="564" t="str">
        <f ca="1">INDIRECT("'update Helper'!C"&amp;U1599)</f>
        <v>a163p000004VjsaAAC</v>
      </c>
      <c r="B1599" s="794">
        <v>25</v>
      </c>
      <c r="C1599" s="795" t="str">
        <f ca="1">VLOOKUP(B1599,'Coverage Indicators - Section D'!$A$9:$AU$70,47,FALSE)</f>
        <v/>
      </c>
      <c r="D1599" s="796" t="str">
        <f ca="1">R1599</f>
        <v/>
      </c>
      <c r="E1599" s="796" t="str">
        <f ca="1">S1599</f>
        <v/>
      </c>
      <c r="F1599" s="127"/>
      <c r="G1599" s="797" t="str">
        <f ca="1">IF(OR(INDIRECT("'update Helper'!E"&amp;U1599)="",F1599&lt;&gt;0,F1600&lt;&gt;0),IF(IFERROR((F1599/F1600),"")="","",(F1599/F1600)),INDIRECT("'update Helper'!E"&amp;U1599)/100)</f>
        <v/>
      </c>
      <c r="H1599" s="784"/>
      <c r="I1599" s="798"/>
      <c r="J1599" s="777"/>
      <c r="K1599" s="795" t="str">
        <f ca="1">W1599</f>
        <v/>
      </c>
      <c r="L1599" s="795" t="str">
        <f ca="1">V1599</f>
        <v/>
      </c>
      <c r="M1599" s="777"/>
      <c r="N1599" s="777"/>
      <c r="P1599" s="89">
        <f ca="1">IF(AND(EXACT(C1599,C1597),C1597&lt;&gt;0),P1597+1,0)</f>
        <v>249</v>
      </c>
      <c r="Q1599" s="89" t="str">
        <f ca="1">IF(C1599&lt;&gt;"",C1599&amp;"-"&amp;P1599,"")</f>
        <v/>
      </c>
      <c r="R1599" s="89" t="str">
        <f t="array" aca="1" ref="R1599" ca="1">IFERROR(IF(INDEX('Disaggregation Records'!$E$155:$E$385,MATCH(RIGHT(Q1599,255),RIGHT('Disaggregation Records'!$D$155:$D$385,255),0))="","",INDEX('Disaggregation Records'!$E$155:$E$385,MATCH(RIGHT(Q1599,255),RIGHT('Disaggregation Records'!$D$155:$D$385,255),0))),"")</f>
        <v/>
      </c>
      <c r="S1599" s="89" t="str">
        <f t="array" aca="1" ref="S1599" ca="1">IFERROR(IF(INDEX('Disaggregation Records'!$F$155:$F$385,MATCH(RIGHT(Q1599,255),RIGHT('Disaggregation Records'!$D$155:$D$385,255),0))="","",INDEX('Disaggregation Records'!$F$155:$F$385,MATCH(RIGHT(Q1599,255),RIGHT('Disaggregation Records'!$D$155:$D$385,255),0))),"")</f>
        <v/>
      </c>
      <c r="T1599" s="89" t="str">
        <f t="array" aca="1" ref="T1599" ca="1">IFERROR(IF(INDEX('Disaggregation Records'!$H$155:$H$385,MATCH(RIGHT(Q1599,255),RIGHT('Disaggregation Records'!$D$155:$D$385,255),0))="","",INDEX('Disaggregation Records'!$H$155:$H$385,MATCH(RIGHT(Q1599,255),RIGHT('Disaggregation Records'!$D$155:$D$385,255),0))),"")</f>
        <v/>
      </c>
      <c r="U1599" s="89">
        <f>U1597+1</f>
        <v>1909</v>
      </c>
      <c r="V1599" s="89" t="str">
        <f t="array" aca="1" ref="V1599" ca="1">IFERROR(IF(INDEX('Disaggregation Records'!$I$155:$I$385,MATCH(RIGHT(Q1599,255),RIGHT('Disaggregation Records'!$D$155:$D$385,255),0))="","",INDEX('Disaggregation Records'!$I$155:$I$385,MATCH(RIGHT(Q1599,255),RIGHT('Disaggregation Records'!$D$155:$D$385,255),0))),"")</f>
        <v/>
      </c>
      <c r="W1599" s="89" t="str">
        <f ca="1">IFERROR(INDEX('Reference Records'!L$77:L$157,MATCH(LEFT(C1599,255),'Reference Records'!E$77:E$157,0)),"")</f>
        <v/>
      </c>
    </row>
    <row r="1600" spans="1:23" s="89" customFormat="1" ht="40.35" customHeight="1">
      <c r="A1600" s="564"/>
      <c r="B1600" s="799"/>
      <c r="C1600" s="800"/>
      <c r="D1600" s="801"/>
      <c r="E1600" s="801"/>
      <c r="F1600" s="128"/>
      <c r="G1600" s="802"/>
      <c r="H1600" s="781"/>
      <c r="I1600" s="803"/>
      <c r="J1600" s="779"/>
      <c r="K1600" s="800"/>
      <c r="L1600" s="800"/>
      <c r="M1600" s="779"/>
      <c r="N1600" s="779"/>
    </row>
    <row r="1601" spans="1:23" s="89" customFormat="1" ht="40.35" customHeight="1">
      <c r="A1601" s="564" t="str">
        <f ca="1">INDIRECT("'update Helper'!C"&amp;U1601)</f>
        <v>a163p000004VjsbAAC</v>
      </c>
      <c r="B1601" s="794">
        <v>25</v>
      </c>
      <c r="C1601" s="795" t="str">
        <f ca="1">VLOOKUP(B1601,'Coverage Indicators - Section D'!$A$9:$AU$70,47,FALSE)</f>
        <v/>
      </c>
      <c r="D1601" s="796" t="str">
        <f ca="1">R1601</f>
        <v/>
      </c>
      <c r="E1601" s="796" t="str">
        <f ca="1">S1601</f>
        <v/>
      </c>
      <c r="F1601" s="127"/>
      <c r="G1601" s="797" t="str">
        <f ca="1">IF(OR(INDIRECT("'update Helper'!E"&amp;U1601)="",F1601&lt;&gt;0,F1602&lt;&gt;0),IF(IFERROR((F1601/F1602),"")="","",(F1601/F1602)),INDIRECT("'update Helper'!E"&amp;U1601)/100)</f>
        <v/>
      </c>
      <c r="H1601" s="784"/>
      <c r="I1601" s="798"/>
      <c r="J1601" s="777"/>
      <c r="K1601" s="795" t="str">
        <f ca="1">W1601</f>
        <v/>
      </c>
      <c r="L1601" s="795" t="str">
        <f ca="1">V1601</f>
        <v/>
      </c>
      <c r="M1601" s="777"/>
      <c r="N1601" s="777"/>
      <c r="P1601" s="89">
        <f ca="1">IF(AND(EXACT(C1601,C1599),C1599&lt;&gt;0),P1599+1,0)</f>
        <v>250</v>
      </c>
      <c r="Q1601" s="89" t="str">
        <f ca="1">IF(C1601&lt;&gt;"",C1601&amp;"-"&amp;P1601,"")</f>
        <v/>
      </c>
      <c r="R1601" s="89" t="str">
        <f t="array" aca="1" ref="R1601" ca="1">IFERROR(IF(INDEX('Disaggregation Records'!$E$155:$E$385,MATCH(RIGHT(Q1601,255),RIGHT('Disaggregation Records'!$D$155:$D$385,255),0))="","",INDEX('Disaggregation Records'!$E$155:$E$385,MATCH(RIGHT(Q1601,255),RIGHT('Disaggregation Records'!$D$155:$D$385,255),0))),"")</f>
        <v/>
      </c>
      <c r="S1601" s="89" t="str">
        <f t="array" aca="1" ref="S1601" ca="1">IFERROR(IF(INDEX('Disaggregation Records'!$F$155:$F$385,MATCH(RIGHT(Q1601,255),RIGHT('Disaggregation Records'!$D$155:$D$385,255),0))="","",INDEX('Disaggregation Records'!$F$155:$F$385,MATCH(RIGHT(Q1601,255),RIGHT('Disaggregation Records'!$D$155:$D$385,255),0))),"")</f>
        <v/>
      </c>
      <c r="T1601" s="89" t="str">
        <f t="array" aca="1" ref="T1601" ca="1">IFERROR(IF(INDEX('Disaggregation Records'!$H$155:$H$385,MATCH(RIGHT(Q1601,255),RIGHT('Disaggregation Records'!$D$155:$D$385,255),0))="","",INDEX('Disaggregation Records'!$H$155:$H$385,MATCH(RIGHT(Q1601,255),RIGHT('Disaggregation Records'!$D$155:$D$385,255),0))),"")</f>
        <v/>
      </c>
      <c r="U1601" s="89">
        <f>U1599+1</f>
        <v>1910</v>
      </c>
      <c r="V1601" s="89" t="str">
        <f t="array" aca="1" ref="V1601" ca="1">IFERROR(IF(INDEX('Disaggregation Records'!$I$155:$I$385,MATCH(RIGHT(Q1601,255),RIGHT('Disaggregation Records'!$D$155:$D$385,255),0))="","",INDEX('Disaggregation Records'!$I$155:$I$385,MATCH(RIGHT(Q1601,255),RIGHT('Disaggregation Records'!$D$155:$D$385,255),0))),"")</f>
        <v/>
      </c>
      <c r="W1601" s="89" t="str">
        <f ca="1">IFERROR(INDEX('Reference Records'!L$77:L$157,MATCH(LEFT(C1601,255),'Reference Records'!E$77:E$157,0)),"")</f>
        <v/>
      </c>
    </row>
    <row r="1602" spans="1:23" s="89" customFormat="1" ht="40.35" customHeight="1">
      <c r="A1602" s="564"/>
      <c r="B1602" s="799"/>
      <c r="C1602" s="800"/>
      <c r="D1602" s="801"/>
      <c r="E1602" s="801"/>
      <c r="F1602" s="128"/>
      <c r="G1602" s="802"/>
      <c r="H1602" s="781"/>
      <c r="I1602" s="803"/>
      <c r="J1602" s="779"/>
      <c r="K1602" s="800"/>
      <c r="L1602" s="800"/>
      <c r="M1602" s="779"/>
      <c r="N1602" s="779"/>
    </row>
    <row r="1603" spans="1:23" s="89" customFormat="1" ht="40.35" customHeight="1">
      <c r="A1603" s="564" t="str">
        <f ca="1">INDIRECT("'update Helper'!C"&amp;U1603)</f>
        <v>a163p000004VjscAAC</v>
      </c>
      <c r="B1603" s="794">
        <v>25</v>
      </c>
      <c r="C1603" s="795" t="str">
        <f ca="1">VLOOKUP(B1603,'Coverage Indicators - Section D'!$A$9:$AU$70,47,FALSE)</f>
        <v/>
      </c>
      <c r="D1603" s="796" t="str">
        <f ca="1">R1603</f>
        <v/>
      </c>
      <c r="E1603" s="796" t="str">
        <f ca="1">S1603</f>
        <v/>
      </c>
      <c r="F1603" s="127"/>
      <c r="G1603" s="797" t="str">
        <f ca="1">IF(OR(INDIRECT("'update Helper'!E"&amp;U1603)="",F1603&lt;&gt;0,F1604&lt;&gt;0),IF(IFERROR((F1603/F1604),"")="","",(F1603/F1604)),INDIRECT("'update Helper'!E"&amp;U1603)/100)</f>
        <v/>
      </c>
      <c r="H1603" s="784"/>
      <c r="I1603" s="798"/>
      <c r="J1603" s="777"/>
      <c r="K1603" s="795" t="str">
        <f ca="1">W1603</f>
        <v/>
      </c>
      <c r="L1603" s="795" t="str">
        <f ca="1">V1603</f>
        <v/>
      </c>
      <c r="M1603" s="777"/>
      <c r="N1603" s="777"/>
      <c r="P1603" s="89">
        <f ca="1">IF(AND(EXACT(C1603,C1601),C1601&lt;&gt;0),P1601+1,0)</f>
        <v>251</v>
      </c>
      <c r="Q1603" s="89" t="str">
        <f ca="1">IF(C1603&lt;&gt;"",C1603&amp;"-"&amp;P1603,"")</f>
        <v/>
      </c>
      <c r="R1603" s="89" t="str">
        <f t="array" aca="1" ref="R1603" ca="1">IFERROR(IF(INDEX('Disaggregation Records'!$E$155:$E$385,MATCH(RIGHT(Q1603,255),RIGHT('Disaggregation Records'!$D$155:$D$385,255),0))="","",INDEX('Disaggregation Records'!$E$155:$E$385,MATCH(RIGHT(Q1603,255),RIGHT('Disaggregation Records'!$D$155:$D$385,255),0))),"")</f>
        <v/>
      </c>
      <c r="S1603" s="89" t="str">
        <f t="array" aca="1" ref="S1603" ca="1">IFERROR(IF(INDEX('Disaggregation Records'!$F$155:$F$385,MATCH(RIGHT(Q1603,255),RIGHT('Disaggregation Records'!$D$155:$D$385,255),0))="","",INDEX('Disaggregation Records'!$F$155:$F$385,MATCH(RIGHT(Q1603,255),RIGHT('Disaggregation Records'!$D$155:$D$385,255),0))),"")</f>
        <v/>
      </c>
      <c r="T1603" s="89" t="str">
        <f t="array" aca="1" ref="T1603" ca="1">IFERROR(IF(INDEX('Disaggregation Records'!$H$155:$H$385,MATCH(RIGHT(Q1603,255),RIGHT('Disaggregation Records'!$D$155:$D$385,255),0))="","",INDEX('Disaggregation Records'!$H$155:$H$385,MATCH(RIGHT(Q1603,255),RIGHT('Disaggregation Records'!$D$155:$D$385,255),0))),"")</f>
        <v/>
      </c>
      <c r="U1603" s="89">
        <f>U1601+1</f>
        <v>1911</v>
      </c>
      <c r="V1603" s="89" t="str">
        <f t="array" aca="1" ref="V1603" ca="1">IFERROR(IF(INDEX('Disaggregation Records'!$I$155:$I$385,MATCH(RIGHT(Q1603,255),RIGHT('Disaggregation Records'!$D$155:$D$385,255),0))="","",INDEX('Disaggregation Records'!$I$155:$I$385,MATCH(RIGHT(Q1603,255),RIGHT('Disaggregation Records'!$D$155:$D$385,255),0))),"")</f>
        <v/>
      </c>
      <c r="W1603" s="89" t="str">
        <f ca="1">IFERROR(INDEX('Reference Records'!L$77:L$157,MATCH(LEFT(C1603,255),'Reference Records'!E$77:E$157,0)),"")</f>
        <v/>
      </c>
    </row>
    <row r="1604" spans="1:23" s="89" customFormat="1" ht="40.35" customHeight="1">
      <c r="A1604" s="564"/>
      <c r="B1604" s="799"/>
      <c r="C1604" s="800"/>
      <c r="D1604" s="801"/>
      <c r="E1604" s="801"/>
      <c r="F1604" s="128"/>
      <c r="G1604" s="802"/>
      <c r="H1604" s="781"/>
      <c r="I1604" s="803"/>
      <c r="J1604" s="779"/>
      <c r="K1604" s="800"/>
      <c r="L1604" s="800"/>
      <c r="M1604" s="779"/>
      <c r="N1604" s="779"/>
    </row>
    <row r="1605" spans="1:23" s="89" customFormat="1" ht="40.35" customHeight="1">
      <c r="A1605" s="564" t="str">
        <f ca="1">INDIRECT("'update Helper'!C"&amp;U1605)</f>
        <v>a163p000004VjsdAAC</v>
      </c>
      <c r="B1605" s="794">
        <v>25</v>
      </c>
      <c r="C1605" s="795" t="str">
        <f ca="1">VLOOKUP(B1605,'Coverage Indicators - Section D'!$A$9:$AU$70,47,FALSE)</f>
        <v/>
      </c>
      <c r="D1605" s="796" t="str">
        <f ca="1">R1605</f>
        <v/>
      </c>
      <c r="E1605" s="796" t="str">
        <f ca="1">S1605</f>
        <v/>
      </c>
      <c r="F1605" s="127"/>
      <c r="G1605" s="797" t="str">
        <f ca="1">IF(OR(INDIRECT("'update Helper'!E"&amp;U1605)="",F1605&lt;&gt;0,F1606&lt;&gt;0),IF(IFERROR((F1605/F1606),"")="","",(F1605/F1606)),INDIRECT("'update Helper'!E"&amp;U1605)/100)</f>
        <v/>
      </c>
      <c r="H1605" s="784"/>
      <c r="I1605" s="798"/>
      <c r="J1605" s="777"/>
      <c r="K1605" s="795" t="str">
        <f ca="1">W1605</f>
        <v/>
      </c>
      <c r="L1605" s="795" t="str">
        <f ca="1">V1605</f>
        <v/>
      </c>
      <c r="M1605" s="777"/>
      <c r="N1605" s="777"/>
      <c r="P1605" s="89">
        <f ca="1">IF(AND(EXACT(C1605,C1603),C1603&lt;&gt;0),P1603+1,0)</f>
        <v>252</v>
      </c>
      <c r="Q1605" s="89" t="str">
        <f ca="1">IF(C1605&lt;&gt;"",C1605&amp;"-"&amp;P1605,"")</f>
        <v/>
      </c>
      <c r="R1605" s="89" t="str">
        <f t="array" aca="1" ref="R1605" ca="1">IFERROR(IF(INDEX('Disaggregation Records'!$E$155:$E$385,MATCH(RIGHT(Q1605,255),RIGHT('Disaggregation Records'!$D$155:$D$385,255),0))="","",INDEX('Disaggregation Records'!$E$155:$E$385,MATCH(RIGHT(Q1605,255),RIGHT('Disaggregation Records'!$D$155:$D$385,255),0))),"")</f>
        <v/>
      </c>
      <c r="S1605" s="89" t="str">
        <f t="array" aca="1" ref="S1605" ca="1">IFERROR(IF(INDEX('Disaggregation Records'!$F$155:$F$385,MATCH(RIGHT(Q1605,255),RIGHT('Disaggregation Records'!$D$155:$D$385,255),0))="","",INDEX('Disaggregation Records'!$F$155:$F$385,MATCH(RIGHT(Q1605,255),RIGHT('Disaggregation Records'!$D$155:$D$385,255),0))),"")</f>
        <v/>
      </c>
      <c r="T1605" s="89" t="str">
        <f t="array" aca="1" ref="T1605" ca="1">IFERROR(IF(INDEX('Disaggregation Records'!$H$155:$H$385,MATCH(RIGHT(Q1605,255),RIGHT('Disaggregation Records'!$D$155:$D$385,255),0))="","",INDEX('Disaggregation Records'!$H$155:$H$385,MATCH(RIGHT(Q1605,255),RIGHT('Disaggregation Records'!$D$155:$D$385,255),0))),"")</f>
        <v/>
      </c>
      <c r="U1605" s="89">
        <f>U1603+1</f>
        <v>1912</v>
      </c>
      <c r="V1605" s="89" t="str">
        <f t="array" aca="1" ref="V1605" ca="1">IFERROR(IF(INDEX('Disaggregation Records'!$I$155:$I$385,MATCH(RIGHT(Q1605,255),RIGHT('Disaggregation Records'!$D$155:$D$385,255),0))="","",INDEX('Disaggregation Records'!$I$155:$I$385,MATCH(RIGHT(Q1605,255),RIGHT('Disaggregation Records'!$D$155:$D$385,255),0))),"")</f>
        <v/>
      </c>
      <c r="W1605" s="89" t="str">
        <f ca="1">IFERROR(INDEX('Reference Records'!L$77:L$157,MATCH(LEFT(C1605,255),'Reference Records'!E$77:E$157,0)),"")</f>
        <v/>
      </c>
    </row>
    <row r="1606" spans="1:23" s="89" customFormat="1" ht="40.35" customHeight="1">
      <c r="A1606" s="564"/>
      <c r="B1606" s="799"/>
      <c r="C1606" s="800"/>
      <c r="D1606" s="801"/>
      <c r="E1606" s="801"/>
      <c r="F1606" s="128"/>
      <c r="G1606" s="802"/>
      <c r="H1606" s="781"/>
      <c r="I1606" s="803"/>
      <c r="J1606" s="779"/>
      <c r="K1606" s="800"/>
      <c r="L1606" s="800"/>
      <c r="M1606" s="779"/>
      <c r="N1606" s="779"/>
    </row>
    <row r="1607" spans="1:23" s="89" customFormat="1" ht="40.35" customHeight="1">
      <c r="A1607" s="564" t="str">
        <f ca="1">INDIRECT("'update Helper'!C"&amp;U1607)</f>
        <v>a163p000004VjseAAC</v>
      </c>
      <c r="B1607" s="794">
        <v>25</v>
      </c>
      <c r="C1607" s="795" t="str">
        <f ca="1">VLOOKUP(B1607,'Coverage Indicators - Section D'!$A$9:$AU$70,47,FALSE)</f>
        <v/>
      </c>
      <c r="D1607" s="796" t="str">
        <f ca="1">R1607</f>
        <v/>
      </c>
      <c r="E1607" s="796" t="str">
        <f ca="1">S1607</f>
        <v/>
      </c>
      <c r="F1607" s="127"/>
      <c r="G1607" s="797" t="str">
        <f ca="1">IF(OR(INDIRECT("'update Helper'!E"&amp;U1607)="",F1607&lt;&gt;0,F1608&lt;&gt;0),IF(IFERROR((F1607/F1608),"")="","",(F1607/F1608)),INDIRECT("'update Helper'!E"&amp;U1607)/100)</f>
        <v/>
      </c>
      <c r="H1607" s="784"/>
      <c r="I1607" s="798"/>
      <c r="J1607" s="777"/>
      <c r="K1607" s="795" t="str">
        <f ca="1">W1607</f>
        <v/>
      </c>
      <c r="L1607" s="795" t="str">
        <f ca="1">V1607</f>
        <v/>
      </c>
      <c r="M1607" s="777"/>
      <c r="N1607" s="777"/>
      <c r="P1607" s="89">
        <f ca="1">IF(AND(EXACT(C1607,C1605),C1605&lt;&gt;0),P1605+1,0)</f>
        <v>253</v>
      </c>
      <c r="Q1607" s="89" t="str">
        <f ca="1">IF(C1607&lt;&gt;"",C1607&amp;"-"&amp;P1607,"")</f>
        <v/>
      </c>
      <c r="R1607" s="89" t="str">
        <f t="array" aca="1" ref="R1607" ca="1">IFERROR(IF(INDEX('Disaggregation Records'!$E$155:$E$385,MATCH(RIGHT(Q1607,255),RIGHT('Disaggregation Records'!$D$155:$D$385,255),0))="","",INDEX('Disaggregation Records'!$E$155:$E$385,MATCH(RIGHT(Q1607,255),RIGHT('Disaggregation Records'!$D$155:$D$385,255),0))),"")</f>
        <v/>
      </c>
      <c r="S1607" s="89" t="str">
        <f t="array" aca="1" ref="S1607" ca="1">IFERROR(IF(INDEX('Disaggregation Records'!$F$155:$F$385,MATCH(RIGHT(Q1607,255),RIGHT('Disaggregation Records'!$D$155:$D$385,255),0))="","",INDEX('Disaggregation Records'!$F$155:$F$385,MATCH(RIGHT(Q1607,255),RIGHT('Disaggregation Records'!$D$155:$D$385,255),0))),"")</f>
        <v/>
      </c>
      <c r="T1607" s="89" t="str">
        <f t="array" aca="1" ref="T1607" ca="1">IFERROR(IF(INDEX('Disaggregation Records'!$H$155:$H$385,MATCH(RIGHT(Q1607,255),RIGHT('Disaggregation Records'!$D$155:$D$385,255),0))="","",INDEX('Disaggregation Records'!$H$155:$H$385,MATCH(RIGHT(Q1607,255),RIGHT('Disaggregation Records'!$D$155:$D$385,255),0))),"")</f>
        <v/>
      </c>
      <c r="U1607" s="89">
        <f>U1605+1</f>
        <v>1913</v>
      </c>
      <c r="V1607" s="89" t="str">
        <f t="array" aca="1" ref="V1607" ca="1">IFERROR(IF(INDEX('Disaggregation Records'!$I$155:$I$385,MATCH(RIGHT(Q1607,255),RIGHT('Disaggregation Records'!$D$155:$D$385,255),0))="","",INDEX('Disaggregation Records'!$I$155:$I$385,MATCH(RIGHT(Q1607,255),RIGHT('Disaggregation Records'!$D$155:$D$385,255),0))),"")</f>
        <v/>
      </c>
      <c r="W1607" s="89" t="str">
        <f ca="1">IFERROR(INDEX('Reference Records'!L$77:L$157,MATCH(LEFT(C1607,255),'Reference Records'!E$77:E$157,0)),"")</f>
        <v/>
      </c>
    </row>
    <row r="1608" spans="1:23" s="89" customFormat="1" ht="40.35" customHeight="1">
      <c r="A1608" s="564"/>
      <c r="B1608" s="799"/>
      <c r="C1608" s="800"/>
      <c r="D1608" s="801"/>
      <c r="E1608" s="801"/>
      <c r="F1608" s="128"/>
      <c r="G1608" s="802"/>
      <c r="H1608" s="781"/>
      <c r="I1608" s="803"/>
      <c r="J1608" s="779"/>
      <c r="K1608" s="800"/>
      <c r="L1608" s="800"/>
      <c r="M1608" s="779"/>
      <c r="N1608" s="779"/>
    </row>
    <row r="1609" spans="1:23" s="89" customFormat="1" ht="40.35" customHeight="1">
      <c r="A1609" s="564" t="str">
        <f ca="1">INDIRECT("'update Helper'!C"&amp;U1609)</f>
        <v>a163p000004VjsfAAC</v>
      </c>
      <c r="B1609" s="794">
        <v>25</v>
      </c>
      <c r="C1609" s="795" t="str">
        <f ca="1">VLOOKUP(B1609,'Coverage Indicators - Section D'!$A$9:$AU$70,47,FALSE)</f>
        <v/>
      </c>
      <c r="D1609" s="796" t="str">
        <f ca="1">R1609</f>
        <v/>
      </c>
      <c r="E1609" s="796" t="str">
        <f ca="1">S1609</f>
        <v/>
      </c>
      <c r="F1609" s="127"/>
      <c r="G1609" s="797" t="str">
        <f ca="1">IF(OR(INDIRECT("'update Helper'!E"&amp;U1609)="",F1609&lt;&gt;0,F1610&lt;&gt;0),IF(IFERROR((F1609/F1610),"")="","",(F1609/F1610)),INDIRECT("'update Helper'!E"&amp;U1609)/100)</f>
        <v/>
      </c>
      <c r="H1609" s="784"/>
      <c r="I1609" s="798"/>
      <c r="J1609" s="777"/>
      <c r="K1609" s="795" t="str">
        <f ca="1">W1609</f>
        <v/>
      </c>
      <c r="L1609" s="795" t="str">
        <f ca="1">V1609</f>
        <v/>
      </c>
      <c r="M1609" s="777"/>
      <c r="N1609" s="777"/>
      <c r="P1609" s="89">
        <f ca="1">IF(AND(EXACT(C1609,C1607),C1607&lt;&gt;0),P1607+1,0)</f>
        <v>254</v>
      </c>
      <c r="Q1609" s="89" t="str">
        <f ca="1">IF(C1609&lt;&gt;"",C1609&amp;"-"&amp;P1609,"")</f>
        <v/>
      </c>
      <c r="R1609" s="89" t="str">
        <f t="array" aca="1" ref="R1609" ca="1">IFERROR(IF(INDEX('Disaggregation Records'!$E$155:$E$385,MATCH(RIGHT(Q1609,255),RIGHT('Disaggregation Records'!$D$155:$D$385,255),0))="","",INDEX('Disaggregation Records'!$E$155:$E$385,MATCH(RIGHT(Q1609,255),RIGHT('Disaggregation Records'!$D$155:$D$385,255),0))),"")</f>
        <v/>
      </c>
      <c r="S1609" s="89" t="str">
        <f t="array" aca="1" ref="S1609" ca="1">IFERROR(IF(INDEX('Disaggregation Records'!$F$155:$F$385,MATCH(RIGHT(Q1609,255),RIGHT('Disaggregation Records'!$D$155:$D$385,255),0))="","",INDEX('Disaggregation Records'!$F$155:$F$385,MATCH(RIGHT(Q1609,255),RIGHT('Disaggregation Records'!$D$155:$D$385,255),0))),"")</f>
        <v/>
      </c>
      <c r="T1609" s="89" t="str">
        <f t="array" aca="1" ref="T1609" ca="1">IFERROR(IF(INDEX('Disaggregation Records'!$H$155:$H$385,MATCH(RIGHT(Q1609,255),RIGHT('Disaggregation Records'!$D$155:$D$385,255),0))="","",INDEX('Disaggregation Records'!$H$155:$H$385,MATCH(RIGHT(Q1609,255),RIGHT('Disaggregation Records'!$D$155:$D$385,255),0))),"")</f>
        <v/>
      </c>
      <c r="U1609" s="89">
        <f>U1607+1</f>
        <v>1914</v>
      </c>
      <c r="V1609" s="89" t="str">
        <f t="array" aca="1" ref="V1609" ca="1">IFERROR(IF(INDEX('Disaggregation Records'!$I$155:$I$385,MATCH(RIGHT(Q1609,255),RIGHT('Disaggregation Records'!$D$155:$D$385,255),0))="","",INDEX('Disaggregation Records'!$I$155:$I$385,MATCH(RIGHT(Q1609,255),RIGHT('Disaggregation Records'!$D$155:$D$385,255),0))),"")</f>
        <v/>
      </c>
      <c r="W1609" s="89" t="str">
        <f ca="1">IFERROR(INDEX('Reference Records'!L$77:L$157,MATCH(LEFT(C1609,255),'Reference Records'!E$77:E$157,0)),"")</f>
        <v/>
      </c>
    </row>
    <row r="1610" spans="1:23" s="89" customFormat="1" ht="40.35" customHeight="1">
      <c r="A1610" s="564"/>
      <c r="B1610" s="799"/>
      <c r="C1610" s="800"/>
      <c r="D1610" s="801"/>
      <c r="E1610" s="801"/>
      <c r="F1610" s="128"/>
      <c r="G1610" s="802"/>
      <c r="H1610" s="781"/>
      <c r="I1610" s="803"/>
      <c r="J1610" s="779"/>
      <c r="K1610" s="800"/>
      <c r="L1610" s="800"/>
      <c r="M1610" s="779"/>
      <c r="N1610" s="779"/>
    </row>
    <row r="1611" spans="1:23" s="89" customFormat="1" ht="40.35" customHeight="1">
      <c r="A1611" s="564" t="str">
        <f ca="1">INDIRECT("'update Helper'!C"&amp;U1611)</f>
        <v>a163p000004VjsgAAC</v>
      </c>
      <c r="B1611" s="794">
        <v>25</v>
      </c>
      <c r="C1611" s="795" t="str">
        <f ca="1">VLOOKUP(B1611,'Coverage Indicators - Section D'!$A$9:$AU$70,47,FALSE)</f>
        <v/>
      </c>
      <c r="D1611" s="796" t="str">
        <f ca="1">R1611</f>
        <v/>
      </c>
      <c r="E1611" s="796" t="str">
        <f ca="1">S1611</f>
        <v/>
      </c>
      <c r="F1611" s="127"/>
      <c r="G1611" s="797" t="str">
        <f ca="1">IF(OR(INDIRECT("'update Helper'!E"&amp;U1611)="",F1611&lt;&gt;0,F1612&lt;&gt;0),IF(IFERROR((F1611/F1612),"")="","",(F1611/F1612)),INDIRECT("'update Helper'!E"&amp;U1611)/100)</f>
        <v/>
      </c>
      <c r="H1611" s="784"/>
      <c r="I1611" s="798"/>
      <c r="J1611" s="777"/>
      <c r="K1611" s="795" t="str">
        <f ca="1">W1611</f>
        <v/>
      </c>
      <c r="L1611" s="795" t="str">
        <f ca="1">V1611</f>
        <v/>
      </c>
      <c r="M1611" s="777"/>
      <c r="N1611" s="777"/>
      <c r="P1611" s="89">
        <f ca="1">IF(AND(EXACT(C1611,C1609),C1609&lt;&gt;0),P1609+1,0)</f>
        <v>255</v>
      </c>
      <c r="Q1611" s="89" t="str">
        <f ca="1">IF(C1611&lt;&gt;"",C1611&amp;"-"&amp;P1611,"")</f>
        <v/>
      </c>
      <c r="R1611" s="89" t="str">
        <f t="array" aca="1" ref="R1611" ca="1">IFERROR(IF(INDEX('Disaggregation Records'!$E$155:$E$385,MATCH(RIGHT(Q1611,255),RIGHT('Disaggregation Records'!$D$155:$D$385,255),0))="","",INDEX('Disaggregation Records'!$E$155:$E$385,MATCH(RIGHT(Q1611,255),RIGHT('Disaggregation Records'!$D$155:$D$385,255),0))),"")</f>
        <v/>
      </c>
      <c r="S1611" s="89" t="str">
        <f t="array" aca="1" ref="S1611" ca="1">IFERROR(IF(INDEX('Disaggregation Records'!$F$155:$F$385,MATCH(RIGHT(Q1611,255),RIGHT('Disaggregation Records'!$D$155:$D$385,255),0))="","",INDEX('Disaggregation Records'!$F$155:$F$385,MATCH(RIGHT(Q1611,255),RIGHT('Disaggregation Records'!$D$155:$D$385,255),0))),"")</f>
        <v/>
      </c>
      <c r="T1611" s="89" t="str">
        <f t="array" aca="1" ref="T1611" ca="1">IFERROR(IF(INDEX('Disaggregation Records'!$H$155:$H$385,MATCH(RIGHT(Q1611,255),RIGHT('Disaggregation Records'!$D$155:$D$385,255),0))="","",INDEX('Disaggregation Records'!$H$155:$H$385,MATCH(RIGHT(Q1611,255),RIGHT('Disaggregation Records'!$D$155:$D$385,255),0))),"")</f>
        <v/>
      </c>
      <c r="U1611" s="89">
        <f>U1609+1</f>
        <v>1915</v>
      </c>
      <c r="V1611" s="89" t="str">
        <f t="array" aca="1" ref="V1611" ca="1">IFERROR(IF(INDEX('Disaggregation Records'!$I$155:$I$385,MATCH(RIGHT(Q1611,255),RIGHT('Disaggregation Records'!$D$155:$D$385,255),0))="","",INDEX('Disaggregation Records'!$I$155:$I$385,MATCH(RIGHT(Q1611,255),RIGHT('Disaggregation Records'!$D$155:$D$385,255),0))),"")</f>
        <v/>
      </c>
      <c r="W1611" s="89" t="str">
        <f ca="1">IFERROR(INDEX('Reference Records'!L$77:L$157,MATCH(LEFT(C1611,255),'Reference Records'!E$77:E$157,0)),"")</f>
        <v/>
      </c>
    </row>
    <row r="1612" spans="1:23" s="89" customFormat="1" ht="40.35" customHeight="1">
      <c r="A1612" s="564"/>
      <c r="B1612" s="799"/>
      <c r="C1612" s="800"/>
      <c r="D1612" s="801"/>
      <c r="E1612" s="801"/>
      <c r="F1612" s="128"/>
      <c r="G1612" s="802"/>
      <c r="H1612" s="781"/>
      <c r="I1612" s="803"/>
      <c r="J1612" s="779"/>
      <c r="K1612" s="800"/>
      <c r="L1612" s="800"/>
      <c r="M1612" s="779"/>
      <c r="N1612" s="779"/>
    </row>
    <row r="1613" spans="1:23" s="89" customFormat="1" ht="40.35" customHeight="1">
      <c r="A1613" s="564" t="str">
        <f ca="1">INDIRECT("'update Helper'!C"&amp;U1613)</f>
        <v>a163p000004VjshAAC</v>
      </c>
      <c r="B1613" s="794">
        <v>25</v>
      </c>
      <c r="C1613" s="795" t="str">
        <f ca="1">VLOOKUP(B1613,'Coverage Indicators - Section D'!$A$9:$AU$70,47,FALSE)</f>
        <v/>
      </c>
      <c r="D1613" s="796" t="str">
        <f ca="1">R1613</f>
        <v/>
      </c>
      <c r="E1613" s="796" t="str">
        <f ca="1">S1613</f>
        <v/>
      </c>
      <c r="F1613" s="127"/>
      <c r="G1613" s="797" t="str">
        <f ca="1">IF(OR(INDIRECT("'update Helper'!E"&amp;U1613)="",F1613&lt;&gt;0,F1614&lt;&gt;0),IF(IFERROR((F1613/F1614),"")="","",(F1613/F1614)),INDIRECT("'update Helper'!E"&amp;U1613)/100)</f>
        <v/>
      </c>
      <c r="H1613" s="784"/>
      <c r="I1613" s="798"/>
      <c r="J1613" s="777"/>
      <c r="K1613" s="795" t="str">
        <f ca="1">W1613</f>
        <v/>
      </c>
      <c r="L1613" s="795" t="str">
        <f ca="1">V1613</f>
        <v/>
      </c>
      <c r="M1613" s="777"/>
      <c r="N1613" s="777"/>
      <c r="P1613" s="89">
        <f ca="1">IF(AND(EXACT(C1613,C1611),C1611&lt;&gt;0),P1611+1,0)</f>
        <v>256</v>
      </c>
      <c r="Q1613" s="89" t="str">
        <f ca="1">IF(C1613&lt;&gt;"",C1613&amp;"-"&amp;P1613,"")</f>
        <v/>
      </c>
      <c r="R1613" s="89" t="str">
        <f t="array" aca="1" ref="R1613" ca="1">IFERROR(IF(INDEX('Disaggregation Records'!$E$155:$E$385,MATCH(RIGHT(Q1613,255),RIGHT('Disaggregation Records'!$D$155:$D$385,255),0))="","",INDEX('Disaggregation Records'!$E$155:$E$385,MATCH(RIGHT(Q1613,255),RIGHT('Disaggregation Records'!$D$155:$D$385,255),0))),"")</f>
        <v/>
      </c>
      <c r="S1613" s="89" t="str">
        <f t="array" aca="1" ref="S1613" ca="1">IFERROR(IF(INDEX('Disaggregation Records'!$F$155:$F$385,MATCH(RIGHT(Q1613,255),RIGHT('Disaggregation Records'!$D$155:$D$385,255),0))="","",INDEX('Disaggregation Records'!$F$155:$F$385,MATCH(RIGHT(Q1613,255),RIGHT('Disaggregation Records'!$D$155:$D$385,255),0))),"")</f>
        <v/>
      </c>
      <c r="T1613" s="89" t="str">
        <f t="array" aca="1" ref="T1613" ca="1">IFERROR(IF(INDEX('Disaggregation Records'!$H$155:$H$385,MATCH(RIGHT(Q1613,255),RIGHT('Disaggregation Records'!$D$155:$D$385,255),0))="","",INDEX('Disaggregation Records'!$H$155:$H$385,MATCH(RIGHT(Q1613,255),RIGHT('Disaggregation Records'!$D$155:$D$385,255),0))),"")</f>
        <v/>
      </c>
      <c r="U1613" s="89">
        <f>U1611+1</f>
        <v>1916</v>
      </c>
      <c r="V1613" s="89" t="str">
        <f t="array" aca="1" ref="V1613" ca="1">IFERROR(IF(INDEX('Disaggregation Records'!$I$155:$I$385,MATCH(RIGHT(Q1613,255),RIGHT('Disaggregation Records'!$D$155:$D$385,255),0))="","",INDEX('Disaggregation Records'!$I$155:$I$385,MATCH(RIGHT(Q1613,255),RIGHT('Disaggregation Records'!$D$155:$D$385,255),0))),"")</f>
        <v/>
      </c>
      <c r="W1613" s="89" t="str">
        <f ca="1">IFERROR(INDEX('Reference Records'!L$77:L$157,MATCH(LEFT(C1613,255),'Reference Records'!E$77:E$157,0)),"")</f>
        <v/>
      </c>
    </row>
    <row r="1614" spans="1:23" s="89" customFormat="1" ht="40.35" customHeight="1">
      <c r="A1614" s="564"/>
      <c r="B1614" s="799"/>
      <c r="C1614" s="800"/>
      <c r="D1614" s="801"/>
      <c r="E1614" s="801"/>
      <c r="F1614" s="128"/>
      <c r="G1614" s="802"/>
      <c r="H1614" s="781"/>
      <c r="I1614" s="803"/>
      <c r="J1614" s="779"/>
      <c r="K1614" s="800"/>
      <c r="L1614" s="800"/>
      <c r="M1614" s="779"/>
      <c r="N1614" s="779"/>
    </row>
    <row r="1615" spans="1:23" s="89" customFormat="1" ht="40.35" customHeight="1">
      <c r="A1615" s="564" t="str">
        <f ca="1">INDIRECT("'update Helper'!C"&amp;U1615)</f>
        <v>a163p000004VjsiAAC</v>
      </c>
      <c r="B1615" s="794">
        <v>25</v>
      </c>
      <c r="C1615" s="795" t="str">
        <f ca="1">VLOOKUP(B1615,'Coverage Indicators - Section D'!$A$9:$AU$70,47,FALSE)</f>
        <v/>
      </c>
      <c r="D1615" s="796" t="str">
        <f ca="1">R1615</f>
        <v/>
      </c>
      <c r="E1615" s="796" t="str">
        <f ca="1">S1615</f>
        <v/>
      </c>
      <c r="F1615" s="127"/>
      <c r="G1615" s="797" t="str">
        <f ca="1">IF(OR(INDIRECT("'update Helper'!E"&amp;U1615)="",F1615&lt;&gt;0,F1616&lt;&gt;0),IF(IFERROR((F1615/F1616),"")="","",(F1615/F1616)),INDIRECT("'update Helper'!E"&amp;U1615)/100)</f>
        <v/>
      </c>
      <c r="H1615" s="784"/>
      <c r="I1615" s="798"/>
      <c r="J1615" s="777"/>
      <c r="K1615" s="795" t="str">
        <f ca="1">W1615</f>
        <v/>
      </c>
      <c r="L1615" s="795" t="str">
        <f ca="1">V1615</f>
        <v/>
      </c>
      <c r="M1615" s="777"/>
      <c r="N1615" s="777"/>
      <c r="P1615" s="89">
        <f ca="1">IF(AND(EXACT(C1615,C1613),C1613&lt;&gt;0),P1613+1,0)</f>
        <v>257</v>
      </c>
      <c r="Q1615" s="89" t="str">
        <f ca="1">IF(C1615&lt;&gt;"",C1615&amp;"-"&amp;P1615,"")</f>
        <v/>
      </c>
      <c r="R1615" s="89" t="str">
        <f t="array" aca="1" ref="R1615" ca="1">IFERROR(IF(INDEX('Disaggregation Records'!$E$155:$E$385,MATCH(RIGHT(Q1615,255),RIGHT('Disaggregation Records'!$D$155:$D$385,255),0))="","",INDEX('Disaggregation Records'!$E$155:$E$385,MATCH(RIGHT(Q1615,255),RIGHT('Disaggregation Records'!$D$155:$D$385,255),0))),"")</f>
        <v/>
      </c>
      <c r="S1615" s="89" t="str">
        <f t="array" aca="1" ref="S1615" ca="1">IFERROR(IF(INDEX('Disaggregation Records'!$F$155:$F$385,MATCH(RIGHT(Q1615,255),RIGHT('Disaggregation Records'!$D$155:$D$385,255),0))="","",INDEX('Disaggregation Records'!$F$155:$F$385,MATCH(RIGHT(Q1615,255),RIGHT('Disaggregation Records'!$D$155:$D$385,255),0))),"")</f>
        <v/>
      </c>
      <c r="T1615" s="89" t="str">
        <f t="array" aca="1" ref="T1615" ca="1">IFERROR(IF(INDEX('Disaggregation Records'!$H$155:$H$385,MATCH(RIGHT(Q1615,255),RIGHT('Disaggregation Records'!$D$155:$D$385,255),0))="","",INDEX('Disaggregation Records'!$H$155:$H$385,MATCH(RIGHT(Q1615,255),RIGHT('Disaggregation Records'!$D$155:$D$385,255),0))),"")</f>
        <v/>
      </c>
      <c r="U1615" s="89">
        <f>U1613+1</f>
        <v>1917</v>
      </c>
      <c r="V1615" s="89" t="str">
        <f t="array" aca="1" ref="V1615" ca="1">IFERROR(IF(INDEX('Disaggregation Records'!$I$155:$I$385,MATCH(RIGHT(Q1615,255),RIGHT('Disaggregation Records'!$D$155:$D$385,255),0))="","",INDEX('Disaggregation Records'!$I$155:$I$385,MATCH(RIGHT(Q1615,255),RIGHT('Disaggregation Records'!$D$155:$D$385,255),0))),"")</f>
        <v/>
      </c>
      <c r="W1615" s="89" t="str">
        <f ca="1">IFERROR(INDEX('Reference Records'!L$77:L$157,MATCH(LEFT(C1615,255),'Reference Records'!E$77:E$157,0)),"")</f>
        <v/>
      </c>
    </row>
    <row r="1616" spans="1:23" s="89" customFormat="1" ht="40.35" customHeight="1">
      <c r="A1616" s="564"/>
      <c r="B1616" s="799"/>
      <c r="C1616" s="800"/>
      <c r="D1616" s="801"/>
      <c r="E1616" s="801"/>
      <c r="F1616" s="128"/>
      <c r="G1616" s="802"/>
      <c r="H1616" s="781"/>
      <c r="I1616" s="803"/>
      <c r="J1616" s="779"/>
      <c r="K1616" s="800"/>
      <c r="L1616" s="800"/>
      <c r="M1616" s="779"/>
      <c r="N1616" s="779"/>
    </row>
    <row r="1617" spans="1:23" s="89" customFormat="1" ht="40.35" customHeight="1">
      <c r="A1617" s="564" t="str">
        <f ca="1">INDIRECT("'update Helper'!C"&amp;U1617)</f>
        <v>a163p000004VjsjAAC</v>
      </c>
      <c r="B1617" s="794">
        <v>25</v>
      </c>
      <c r="C1617" s="795" t="str">
        <f ca="1">VLOOKUP(B1617,'Coverage Indicators - Section D'!$A$9:$AU$70,47,FALSE)</f>
        <v/>
      </c>
      <c r="D1617" s="796" t="str">
        <f ca="1">R1617</f>
        <v/>
      </c>
      <c r="E1617" s="796" t="str">
        <f ca="1">S1617</f>
        <v/>
      </c>
      <c r="F1617" s="127"/>
      <c r="G1617" s="797" t="str">
        <f ca="1">IF(OR(INDIRECT("'update Helper'!E"&amp;U1617)="",F1617&lt;&gt;0,F1618&lt;&gt;0),IF(IFERROR((F1617/F1618),"")="","",(F1617/F1618)),INDIRECT("'update Helper'!E"&amp;U1617)/100)</f>
        <v/>
      </c>
      <c r="H1617" s="784"/>
      <c r="I1617" s="798"/>
      <c r="J1617" s="777"/>
      <c r="K1617" s="795" t="str">
        <f ca="1">W1617</f>
        <v/>
      </c>
      <c r="L1617" s="795" t="str">
        <f ca="1">V1617</f>
        <v/>
      </c>
      <c r="M1617" s="777"/>
      <c r="N1617" s="777"/>
      <c r="P1617" s="89">
        <f ca="1">IF(AND(EXACT(C1617,C1615),C1615&lt;&gt;0),P1615+1,0)</f>
        <v>258</v>
      </c>
      <c r="Q1617" s="89" t="str">
        <f ca="1">IF(C1617&lt;&gt;"",C1617&amp;"-"&amp;P1617,"")</f>
        <v/>
      </c>
      <c r="R1617" s="89" t="str">
        <f t="array" aca="1" ref="R1617" ca="1">IFERROR(IF(INDEX('Disaggregation Records'!$E$155:$E$385,MATCH(RIGHT(Q1617,255),RIGHT('Disaggregation Records'!$D$155:$D$385,255),0))="","",INDEX('Disaggregation Records'!$E$155:$E$385,MATCH(RIGHT(Q1617,255),RIGHT('Disaggregation Records'!$D$155:$D$385,255),0))),"")</f>
        <v/>
      </c>
      <c r="S1617" s="89" t="str">
        <f t="array" aca="1" ref="S1617" ca="1">IFERROR(IF(INDEX('Disaggregation Records'!$F$155:$F$385,MATCH(RIGHT(Q1617,255),RIGHT('Disaggregation Records'!$D$155:$D$385,255),0))="","",INDEX('Disaggregation Records'!$F$155:$F$385,MATCH(RIGHT(Q1617,255),RIGHT('Disaggregation Records'!$D$155:$D$385,255),0))),"")</f>
        <v/>
      </c>
      <c r="T1617" s="89" t="str">
        <f t="array" aca="1" ref="T1617" ca="1">IFERROR(IF(INDEX('Disaggregation Records'!$H$155:$H$385,MATCH(RIGHT(Q1617,255),RIGHT('Disaggregation Records'!$D$155:$D$385,255),0))="","",INDEX('Disaggregation Records'!$H$155:$H$385,MATCH(RIGHT(Q1617,255),RIGHT('Disaggregation Records'!$D$155:$D$385,255),0))),"")</f>
        <v/>
      </c>
      <c r="U1617" s="89">
        <f>U1615+1</f>
        <v>1918</v>
      </c>
      <c r="V1617" s="89" t="str">
        <f t="array" aca="1" ref="V1617" ca="1">IFERROR(IF(INDEX('Disaggregation Records'!$I$155:$I$385,MATCH(RIGHT(Q1617,255),RIGHT('Disaggregation Records'!$D$155:$D$385,255),0))="","",INDEX('Disaggregation Records'!$I$155:$I$385,MATCH(RIGHT(Q1617,255),RIGHT('Disaggregation Records'!$D$155:$D$385,255),0))),"")</f>
        <v/>
      </c>
      <c r="W1617" s="89" t="str">
        <f ca="1">IFERROR(INDEX('Reference Records'!L$77:L$157,MATCH(LEFT(C1617,255),'Reference Records'!E$77:E$157,0)),"")</f>
        <v/>
      </c>
    </row>
    <row r="1618" spans="1:23" s="89" customFormat="1" ht="40.35" customHeight="1">
      <c r="A1618" s="564"/>
      <c r="B1618" s="799"/>
      <c r="C1618" s="800"/>
      <c r="D1618" s="801"/>
      <c r="E1618" s="801"/>
      <c r="F1618" s="128"/>
      <c r="G1618" s="802"/>
      <c r="H1618" s="781"/>
      <c r="I1618" s="803"/>
      <c r="J1618" s="779"/>
      <c r="K1618" s="800"/>
      <c r="L1618" s="800"/>
      <c r="M1618" s="779"/>
      <c r="N1618" s="779"/>
    </row>
    <row r="1619" spans="1:23" s="89" customFormat="1" ht="40.35" customHeight="1">
      <c r="A1619" s="564" t="str">
        <f ca="1">INDIRECT("'update Helper'!C"&amp;U1619)</f>
        <v>a163p000004VjskAAC</v>
      </c>
      <c r="B1619" s="794">
        <v>25</v>
      </c>
      <c r="C1619" s="795" t="str">
        <f ca="1">VLOOKUP(B1619,'Coverage Indicators - Section D'!$A$9:$AU$70,47,FALSE)</f>
        <v/>
      </c>
      <c r="D1619" s="796" t="str">
        <f ca="1">R1619</f>
        <v/>
      </c>
      <c r="E1619" s="796" t="str">
        <f ca="1">S1619</f>
        <v/>
      </c>
      <c r="F1619" s="127"/>
      <c r="G1619" s="797" t="str">
        <f ca="1">IF(OR(INDIRECT("'update Helper'!E"&amp;U1619)="",F1619&lt;&gt;0,F1620&lt;&gt;0),IF(IFERROR((F1619/F1620),"")="","",(F1619/F1620)),INDIRECT("'update Helper'!E"&amp;U1619)/100)</f>
        <v/>
      </c>
      <c r="H1619" s="784"/>
      <c r="I1619" s="798"/>
      <c r="J1619" s="777"/>
      <c r="K1619" s="795" t="str">
        <f ca="1">W1619</f>
        <v/>
      </c>
      <c r="L1619" s="795" t="str">
        <f ca="1">V1619</f>
        <v/>
      </c>
      <c r="M1619" s="777"/>
      <c r="N1619" s="777"/>
      <c r="P1619" s="89">
        <f ca="1">IF(AND(EXACT(C1619,C1617),C1617&lt;&gt;0),P1617+1,0)</f>
        <v>259</v>
      </c>
      <c r="Q1619" s="89" t="str">
        <f ca="1">IF(C1619&lt;&gt;"",C1619&amp;"-"&amp;P1619,"")</f>
        <v/>
      </c>
      <c r="R1619" s="89" t="str">
        <f t="array" aca="1" ref="R1619" ca="1">IFERROR(IF(INDEX('Disaggregation Records'!$E$155:$E$385,MATCH(RIGHT(Q1619,255),RIGHT('Disaggregation Records'!$D$155:$D$385,255),0))="","",INDEX('Disaggregation Records'!$E$155:$E$385,MATCH(RIGHT(Q1619,255),RIGHT('Disaggregation Records'!$D$155:$D$385,255),0))),"")</f>
        <v/>
      </c>
      <c r="S1619" s="89" t="str">
        <f t="array" aca="1" ref="S1619" ca="1">IFERROR(IF(INDEX('Disaggregation Records'!$F$155:$F$385,MATCH(RIGHT(Q1619,255),RIGHT('Disaggregation Records'!$D$155:$D$385,255),0))="","",INDEX('Disaggregation Records'!$F$155:$F$385,MATCH(RIGHT(Q1619,255),RIGHT('Disaggregation Records'!$D$155:$D$385,255),0))),"")</f>
        <v/>
      </c>
      <c r="T1619" s="89" t="str">
        <f t="array" aca="1" ref="T1619" ca="1">IFERROR(IF(INDEX('Disaggregation Records'!$H$155:$H$385,MATCH(RIGHT(Q1619,255),RIGHT('Disaggregation Records'!$D$155:$D$385,255),0))="","",INDEX('Disaggregation Records'!$H$155:$H$385,MATCH(RIGHT(Q1619,255),RIGHT('Disaggregation Records'!$D$155:$D$385,255),0))),"")</f>
        <v/>
      </c>
      <c r="U1619" s="89">
        <f>U1617+1</f>
        <v>1919</v>
      </c>
      <c r="V1619" s="89" t="str">
        <f t="array" aca="1" ref="V1619" ca="1">IFERROR(IF(INDEX('Disaggregation Records'!$I$155:$I$385,MATCH(RIGHT(Q1619,255),RIGHT('Disaggregation Records'!$D$155:$D$385,255),0))="","",INDEX('Disaggregation Records'!$I$155:$I$385,MATCH(RIGHT(Q1619,255),RIGHT('Disaggregation Records'!$D$155:$D$385,255),0))),"")</f>
        <v/>
      </c>
      <c r="W1619" s="89" t="str">
        <f ca="1">IFERROR(INDEX('Reference Records'!L$77:L$157,MATCH(LEFT(C1619,255),'Reference Records'!E$77:E$157,0)),"")</f>
        <v/>
      </c>
    </row>
    <row r="1620" spans="1:23" s="89" customFormat="1" ht="40.35" customHeight="1">
      <c r="A1620" s="564"/>
      <c r="B1620" s="799"/>
      <c r="C1620" s="800"/>
      <c r="D1620" s="801"/>
      <c r="E1620" s="801"/>
      <c r="F1620" s="128"/>
      <c r="G1620" s="802"/>
      <c r="H1620" s="781"/>
      <c r="I1620" s="803"/>
      <c r="J1620" s="779"/>
      <c r="K1620" s="800"/>
      <c r="L1620" s="800"/>
      <c r="M1620" s="779"/>
      <c r="N1620" s="779"/>
    </row>
    <row r="1621" spans="1:23" s="89" customFormat="1" ht="40.35" customHeight="1">
      <c r="A1621" s="564" t="str">
        <f ca="1">INDIRECT("'update Helper'!C"&amp;U1621)</f>
        <v>a163p000004VjslAAC</v>
      </c>
      <c r="B1621" s="794">
        <v>26</v>
      </c>
      <c r="C1621" s="795" t="str">
        <f ca="1">VLOOKUP(B1621,'Coverage Indicators - Section D'!$A$9:$AU$70,47,FALSE)</f>
        <v/>
      </c>
      <c r="D1621" s="796" t="str">
        <f ca="1">R1621</f>
        <v/>
      </c>
      <c r="E1621" s="796" t="str">
        <f ca="1">S1621</f>
        <v/>
      </c>
      <c r="F1621" s="127"/>
      <c r="G1621" s="797" t="str">
        <f ca="1">IF(OR(INDIRECT("'update Helper'!E"&amp;U1621)="",F1621&lt;&gt;0,F1622&lt;&gt;0),IF(IFERROR((F1621/F1622),"")="","",(F1621/F1622)),INDIRECT("'update Helper'!E"&amp;U1621)/100)</f>
        <v/>
      </c>
      <c r="H1621" s="784"/>
      <c r="I1621" s="798"/>
      <c r="J1621" s="777"/>
      <c r="K1621" s="795" t="str">
        <f ca="1">W1621</f>
        <v/>
      </c>
      <c r="L1621" s="795" t="str">
        <f ca="1">V1621</f>
        <v/>
      </c>
      <c r="M1621" s="777"/>
      <c r="N1621" s="777"/>
      <c r="P1621" s="89">
        <f ca="1">IF(AND(EXACT(C1621,C1619),C1619&lt;&gt;0),P1619+1,0)</f>
        <v>260</v>
      </c>
      <c r="Q1621" s="89" t="str">
        <f ca="1">IF(C1621&lt;&gt;"",C1621&amp;"-"&amp;P1621,"")</f>
        <v/>
      </c>
      <c r="R1621" s="89" t="str">
        <f t="array" aca="1" ref="R1621" ca="1">IFERROR(IF(INDEX('Disaggregation Records'!$E$155:$E$385,MATCH(RIGHT(Q1621,255),RIGHT('Disaggregation Records'!$D$155:$D$385,255),0))="","",INDEX('Disaggregation Records'!$E$155:$E$385,MATCH(RIGHT(Q1621,255),RIGHT('Disaggregation Records'!$D$155:$D$385,255),0))),"")</f>
        <v/>
      </c>
      <c r="S1621" s="89" t="str">
        <f t="array" aca="1" ref="S1621" ca="1">IFERROR(IF(INDEX('Disaggregation Records'!$F$155:$F$385,MATCH(RIGHT(Q1621,255),RIGHT('Disaggregation Records'!$D$155:$D$385,255),0))="","",INDEX('Disaggregation Records'!$F$155:$F$385,MATCH(RIGHT(Q1621,255),RIGHT('Disaggregation Records'!$D$155:$D$385,255),0))),"")</f>
        <v/>
      </c>
      <c r="T1621" s="89" t="str">
        <f t="array" aca="1" ref="T1621" ca="1">IFERROR(IF(INDEX('Disaggregation Records'!$H$155:$H$385,MATCH(RIGHT(Q1621,255),RIGHT('Disaggregation Records'!$D$155:$D$385,255),0))="","",INDEX('Disaggregation Records'!$H$155:$H$385,MATCH(RIGHT(Q1621,255),RIGHT('Disaggregation Records'!$D$155:$D$385,255),0))),"")</f>
        <v/>
      </c>
      <c r="U1621" s="89">
        <f>U1619+1</f>
        <v>1920</v>
      </c>
      <c r="V1621" s="89" t="str">
        <f t="array" aca="1" ref="V1621" ca="1">IFERROR(IF(INDEX('Disaggregation Records'!$I$155:$I$385,MATCH(RIGHT(Q1621,255),RIGHT('Disaggregation Records'!$D$155:$D$385,255),0))="","",INDEX('Disaggregation Records'!$I$155:$I$385,MATCH(RIGHT(Q1621,255),RIGHT('Disaggregation Records'!$D$155:$D$385,255),0))),"")</f>
        <v/>
      </c>
      <c r="W1621" s="89" t="str">
        <f ca="1">IFERROR(INDEX('Reference Records'!L$77:L$157,MATCH(LEFT(C1621,255),'Reference Records'!E$77:E$157,0)),"")</f>
        <v/>
      </c>
    </row>
    <row r="1622" spans="1:23" s="89" customFormat="1" ht="40.35" customHeight="1">
      <c r="A1622" s="564"/>
      <c r="B1622" s="799"/>
      <c r="C1622" s="800"/>
      <c r="D1622" s="801"/>
      <c r="E1622" s="801"/>
      <c r="F1622" s="128"/>
      <c r="G1622" s="802"/>
      <c r="H1622" s="781"/>
      <c r="I1622" s="803"/>
      <c r="J1622" s="779"/>
      <c r="K1622" s="800"/>
      <c r="L1622" s="800"/>
      <c r="M1622" s="779"/>
      <c r="N1622" s="779"/>
    </row>
    <row r="1623" spans="1:23" s="89" customFormat="1" ht="40.35" customHeight="1">
      <c r="A1623" s="564" t="str">
        <f ca="1">INDIRECT("'update Helper'!C"&amp;U1623)</f>
        <v>a163p000004VjsmAAC</v>
      </c>
      <c r="B1623" s="794">
        <v>26</v>
      </c>
      <c r="C1623" s="795" t="str">
        <f ca="1">VLOOKUP(B1623,'Coverage Indicators - Section D'!$A$9:$AU$70,47,FALSE)</f>
        <v/>
      </c>
      <c r="D1623" s="796" t="str">
        <f ca="1">R1623</f>
        <v/>
      </c>
      <c r="E1623" s="796" t="str">
        <f ca="1">S1623</f>
        <v/>
      </c>
      <c r="F1623" s="127"/>
      <c r="G1623" s="797" t="str">
        <f ca="1">IF(OR(INDIRECT("'update Helper'!E"&amp;U1623)="",F1623&lt;&gt;0,F1624&lt;&gt;0),IF(IFERROR((F1623/F1624),"")="","",(F1623/F1624)),INDIRECT("'update Helper'!E"&amp;U1623)/100)</f>
        <v/>
      </c>
      <c r="H1623" s="784"/>
      <c r="I1623" s="798"/>
      <c r="J1623" s="777"/>
      <c r="K1623" s="795" t="str">
        <f ca="1">W1623</f>
        <v/>
      </c>
      <c r="L1623" s="795" t="str">
        <f ca="1">V1623</f>
        <v/>
      </c>
      <c r="M1623" s="777"/>
      <c r="N1623" s="777"/>
      <c r="P1623" s="89">
        <f ca="1">IF(AND(EXACT(C1623,C1621),C1621&lt;&gt;0),P1621+1,0)</f>
        <v>261</v>
      </c>
      <c r="Q1623" s="89" t="str">
        <f ca="1">IF(C1623&lt;&gt;"",C1623&amp;"-"&amp;P1623,"")</f>
        <v/>
      </c>
      <c r="R1623" s="89" t="str">
        <f t="array" aca="1" ref="R1623" ca="1">IFERROR(IF(INDEX('Disaggregation Records'!$E$155:$E$385,MATCH(RIGHT(Q1623,255),RIGHT('Disaggregation Records'!$D$155:$D$385,255),0))="","",INDEX('Disaggregation Records'!$E$155:$E$385,MATCH(RIGHT(Q1623,255),RIGHT('Disaggregation Records'!$D$155:$D$385,255),0))),"")</f>
        <v/>
      </c>
      <c r="S1623" s="89" t="str">
        <f t="array" aca="1" ref="S1623" ca="1">IFERROR(IF(INDEX('Disaggregation Records'!$F$155:$F$385,MATCH(RIGHT(Q1623,255),RIGHT('Disaggregation Records'!$D$155:$D$385,255),0))="","",INDEX('Disaggregation Records'!$F$155:$F$385,MATCH(RIGHT(Q1623,255),RIGHT('Disaggregation Records'!$D$155:$D$385,255),0))),"")</f>
        <v/>
      </c>
      <c r="T1623" s="89" t="str">
        <f t="array" aca="1" ref="T1623" ca="1">IFERROR(IF(INDEX('Disaggregation Records'!$H$155:$H$385,MATCH(RIGHT(Q1623,255),RIGHT('Disaggregation Records'!$D$155:$D$385,255),0))="","",INDEX('Disaggregation Records'!$H$155:$H$385,MATCH(RIGHT(Q1623,255),RIGHT('Disaggregation Records'!$D$155:$D$385,255),0))),"")</f>
        <v/>
      </c>
      <c r="U1623" s="89">
        <f>U1621+1</f>
        <v>1921</v>
      </c>
      <c r="V1623" s="89" t="str">
        <f t="array" aca="1" ref="V1623" ca="1">IFERROR(IF(INDEX('Disaggregation Records'!$I$155:$I$385,MATCH(RIGHT(Q1623,255),RIGHT('Disaggregation Records'!$D$155:$D$385,255),0))="","",INDEX('Disaggregation Records'!$I$155:$I$385,MATCH(RIGHT(Q1623,255),RIGHT('Disaggregation Records'!$D$155:$D$385,255),0))),"")</f>
        <v/>
      </c>
      <c r="W1623" s="89" t="str">
        <f ca="1">IFERROR(INDEX('Reference Records'!L$77:L$157,MATCH(LEFT(C1623,255),'Reference Records'!E$77:E$157,0)),"")</f>
        <v/>
      </c>
    </row>
    <row r="1624" spans="1:23" s="89" customFormat="1" ht="40.35" customHeight="1">
      <c r="A1624" s="564"/>
      <c r="B1624" s="799"/>
      <c r="C1624" s="800"/>
      <c r="D1624" s="801"/>
      <c r="E1624" s="801"/>
      <c r="F1624" s="128"/>
      <c r="G1624" s="802"/>
      <c r="H1624" s="781"/>
      <c r="I1624" s="803"/>
      <c r="J1624" s="779"/>
      <c r="K1624" s="800"/>
      <c r="L1624" s="800"/>
      <c r="M1624" s="779"/>
      <c r="N1624" s="779"/>
    </row>
    <row r="1625" spans="1:23" s="89" customFormat="1" ht="40.35" customHeight="1">
      <c r="A1625" s="564" t="str">
        <f ca="1">INDIRECT("'update Helper'!C"&amp;U1625)</f>
        <v>a163p000004VjsnAAC</v>
      </c>
      <c r="B1625" s="794">
        <v>26</v>
      </c>
      <c r="C1625" s="795" t="str">
        <f ca="1">VLOOKUP(B1625,'Coverage Indicators - Section D'!$A$9:$AU$70,47,FALSE)</f>
        <v/>
      </c>
      <c r="D1625" s="796" t="str">
        <f ca="1">R1625</f>
        <v/>
      </c>
      <c r="E1625" s="796" t="str">
        <f ca="1">S1625</f>
        <v/>
      </c>
      <c r="F1625" s="127"/>
      <c r="G1625" s="797" t="str">
        <f ca="1">IF(OR(INDIRECT("'update Helper'!E"&amp;U1625)="",F1625&lt;&gt;0,F1626&lt;&gt;0),IF(IFERROR((F1625/F1626),"")="","",(F1625/F1626)),INDIRECT("'update Helper'!E"&amp;U1625)/100)</f>
        <v/>
      </c>
      <c r="H1625" s="784"/>
      <c r="I1625" s="798"/>
      <c r="J1625" s="777"/>
      <c r="K1625" s="795" t="str">
        <f ca="1">W1625</f>
        <v/>
      </c>
      <c r="L1625" s="795" t="str">
        <f ca="1">V1625</f>
        <v/>
      </c>
      <c r="M1625" s="777"/>
      <c r="N1625" s="777"/>
      <c r="P1625" s="89">
        <f ca="1">IF(AND(EXACT(C1625,C1623),C1623&lt;&gt;0),P1623+1,0)</f>
        <v>262</v>
      </c>
      <c r="Q1625" s="89" t="str">
        <f ca="1">IF(C1625&lt;&gt;"",C1625&amp;"-"&amp;P1625,"")</f>
        <v/>
      </c>
      <c r="R1625" s="89" t="str">
        <f t="array" aca="1" ref="R1625" ca="1">IFERROR(IF(INDEX('Disaggregation Records'!$E$155:$E$385,MATCH(RIGHT(Q1625,255),RIGHT('Disaggregation Records'!$D$155:$D$385,255),0))="","",INDEX('Disaggregation Records'!$E$155:$E$385,MATCH(RIGHT(Q1625,255),RIGHT('Disaggregation Records'!$D$155:$D$385,255),0))),"")</f>
        <v/>
      </c>
      <c r="S1625" s="89" t="str">
        <f t="array" aca="1" ref="S1625" ca="1">IFERROR(IF(INDEX('Disaggregation Records'!$F$155:$F$385,MATCH(RIGHT(Q1625,255),RIGHT('Disaggregation Records'!$D$155:$D$385,255),0))="","",INDEX('Disaggregation Records'!$F$155:$F$385,MATCH(RIGHT(Q1625,255),RIGHT('Disaggregation Records'!$D$155:$D$385,255),0))),"")</f>
        <v/>
      </c>
      <c r="T1625" s="89" t="str">
        <f t="array" aca="1" ref="T1625" ca="1">IFERROR(IF(INDEX('Disaggregation Records'!$H$155:$H$385,MATCH(RIGHT(Q1625,255),RIGHT('Disaggregation Records'!$D$155:$D$385,255),0))="","",INDEX('Disaggregation Records'!$H$155:$H$385,MATCH(RIGHT(Q1625,255),RIGHT('Disaggregation Records'!$D$155:$D$385,255),0))),"")</f>
        <v/>
      </c>
      <c r="U1625" s="89">
        <f>U1623+1</f>
        <v>1922</v>
      </c>
      <c r="V1625" s="89" t="str">
        <f t="array" aca="1" ref="V1625" ca="1">IFERROR(IF(INDEX('Disaggregation Records'!$I$155:$I$385,MATCH(RIGHT(Q1625,255),RIGHT('Disaggregation Records'!$D$155:$D$385,255),0))="","",INDEX('Disaggregation Records'!$I$155:$I$385,MATCH(RIGHT(Q1625,255),RIGHT('Disaggregation Records'!$D$155:$D$385,255),0))),"")</f>
        <v/>
      </c>
      <c r="W1625" s="89" t="str">
        <f ca="1">IFERROR(INDEX('Reference Records'!L$77:L$157,MATCH(LEFT(C1625,255),'Reference Records'!E$77:E$157,0)),"")</f>
        <v/>
      </c>
    </row>
    <row r="1626" spans="1:23" s="89" customFormat="1" ht="40.35" customHeight="1">
      <c r="A1626" s="564"/>
      <c r="B1626" s="799"/>
      <c r="C1626" s="800"/>
      <c r="D1626" s="801"/>
      <c r="E1626" s="801"/>
      <c r="F1626" s="128"/>
      <c r="G1626" s="802"/>
      <c r="H1626" s="781"/>
      <c r="I1626" s="803"/>
      <c r="J1626" s="779"/>
      <c r="K1626" s="800"/>
      <c r="L1626" s="800"/>
      <c r="M1626" s="779"/>
      <c r="N1626" s="779"/>
    </row>
    <row r="1627" spans="1:23" s="89" customFormat="1" ht="40.35" customHeight="1">
      <c r="A1627" s="564" t="str">
        <f ca="1">INDIRECT("'update Helper'!C"&amp;U1627)</f>
        <v>a163p000004VjsoAAC</v>
      </c>
      <c r="B1627" s="794">
        <v>26</v>
      </c>
      <c r="C1627" s="795" t="str">
        <f ca="1">VLOOKUP(B1627,'Coverage Indicators - Section D'!$A$9:$AU$70,47,FALSE)</f>
        <v/>
      </c>
      <c r="D1627" s="796" t="str">
        <f ca="1">R1627</f>
        <v/>
      </c>
      <c r="E1627" s="796" t="str">
        <f ca="1">S1627</f>
        <v/>
      </c>
      <c r="F1627" s="127"/>
      <c r="G1627" s="797" t="str">
        <f ca="1">IF(OR(INDIRECT("'update Helper'!E"&amp;U1627)="",F1627&lt;&gt;0,F1628&lt;&gt;0),IF(IFERROR((F1627/F1628),"")="","",(F1627/F1628)),INDIRECT("'update Helper'!E"&amp;U1627)/100)</f>
        <v/>
      </c>
      <c r="H1627" s="784"/>
      <c r="I1627" s="798"/>
      <c r="J1627" s="777"/>
      <c r="K1627" s="795" t="str">
        <f ca="1">W1627</f>
        <v/>
      </c>
      <c r="L1627" s="795" t="str">
        <f ca="1">V1627</f>
        <v/>
      </c>
      <c r="M1627" s="777"/>
      <c r="N1627" s="777"/>
      <c r="P1627" s="89">
        <f ca="1">IF(AND(EXACT(C1627,C1625),C1625&lt;&gt;0),P1625+1,0)</f>
        <v>263</v>
      </c>
      <c r="Q1627" s="89" t="str">
        <f ca="1">IF(C1627&lt;&gt;"",C1627&amp;"-"&amp;P1627,"")</f>
        <v/>
      </c>
      <c r="R1627" s="89" t="str">
        <f t="array" aca="1" ref="R1627" ca="1">IFERROR(IF(INDEX('Disaggregation Records'!$E$155:$E$385,MATCH(RIGHT(Q1627,255),RIGHT('Disaggregation Records'!$D$155:$D$385,255),0))="","",INDEX('Disaggregation Records'!$E$155:$E$385,MATCH(RIGHT(Q1627,255),RIGHT('Disaggregation Records'!$D$155:$D$385,255),0))),"")</f>
        <v/>
      </c>
      <c r="S1627" s="89" t="str">
        <f t="array" aca="1" ref="S1627" ca="1">IFERROR(IF(INDEX('Disaggregation Records'!$F$155:$F$385,MATCH(RIGHT(Q1627,255),RIGHT('Disaggregation Records'!$D$155:$D$385,255),0))="","",INDEX('Disaggregation Records'!$F$155:$F$385,MATCH(RIGHT(Q1627,255),RIGHT('Disaggregation Records'!$D$155:$D$385,255),0))),"")</f>
        <v/>
      </c>
      <c r="T1627" s="89" t="str">
        <f t="array" aca="1" ref="T1627" ca="1">IFERROR(IF(INDEX('Disaggregation Records'!$H$155:$H$385,MATCH(RIGHT(Q1627,255),RIGHT('Disaggregation Records'!$D$155:$D$385,255),0))="","",INDEX('Disaggregation Records'!$H$155:$H$385,MATCH(RIGHT(Q1627,255),RIGHT('Disaggregation Records'!$D$155:$D$385,255),0))),"")</f>
        <v/>
      </c>
      <c r="U1627" s="89">
        <f>U1625+1</f>
        <v>1923</v>
      </c>
      <c r="V1627" s="89" t="str">
        <f t="array" aca="1" ref="V1627" ca="1">IFERROR(IF(INDEX('Disaggregation Records'!$I$155:$I$385,MATCH(RIGHT(Q1627,255),RIGHT('Disaggregation Records'!$D$155:$D$385,255),0))="","",INDEX('Disaggregation Records'!$I$155:$I$385,MATCH(RIGHT(Q1627,255),RIGHT('Disaggregation Records'!$D$155:$D$385,255),0))),"")</f>
        <v/>
      </c>
      <c r="W1627" s="89" t="str">
        <f ca="1">IFERROR(INDEX('Reference Records'!L$77:L$157,MATCH(LEFT(C1627,255),'Reference Records'!E$77:E$157,0)),"")</f>
        <v/>
      </c>
    </row>
    <row r="1628" spans="1:23" s="89" customFormat="1" ht="40.35" customHeight="1">
      <c r="A1628" s="564"/>
      <c r="B1628" s="799"/>
      <c r="C1628" s="800"/>
      <c r="D1628" s="801"/>
      <c r="E1628" s="801"/>
      <c r="F1628" s="128"/>
      <c r="G1628" s="802"/>
      <c r="H1628" s="781"/>
      <c r="I1628" s="803"/>
      <c r="J1628" s="779"/>
      <c r="K1628" s="800"/>
      <c r="L1628" s="800"/>
      <c r="M1628" s="779"/>
      <c r="N1628" s="779"/>
    </row>
    <row r="1629" spans="1:23" s="89" customFormat="1" ht="40.35" customHeight="1">
      <c r="A1629" s="564" t="str">
        <f ca="1">INDIRECT("'update Helper'!C"&amp;U1629)</f>
        <v>a163p000004VjspAAC</v>
      </c>
      <c r="B1629" s="794">
        <v>26</v>
      </c>
      <c r="C1629" s="795" t="str">
        <f ca="1">VLOOKUP(B1629,'Coverage Indicators - Section D'!$A$9:$AU$70,47,FALSE)</f>
        <v/>
      </c>
      <c r="D1629" s="796" t="str">
        <f ca="1">R1629</f>
        <v/>
      </c>
      <c r="E1629" s="796" t="str">
        <f ca="1">S1629</f>
        <v/>
      </c>
      <c r="F1629" s="127"/>
      <c r="G1629" s="797" t="str">
        <f ca="1">IF(OR(INDIRECT("'update Helper'!E"&amp;U1629)="",F1629&lt;&gt;0,F1630&lt;&gt;0),IF(IFERROR((F1629/F1630),"")="","",(F1629/F1630)),INDIRECT("'update Helper'!E"&amp;U1629)/100)</f>
        <v/>
      </c>
      <c r="H1629" s="784"/>
      <c r="I1629" s="798"/>
      <c r="J1629" s="777"/>
      <c r="K1629" s="795" t="str">
        <f ca="1">W1629</f>
        <v/>
      </c>
      <c r="L1629" s="795" t="str">
        <f ca="1">V1629</f>
        <v/>
      </c>
      <c r="M1629" s="777"/>
      <c r="N1629" s="777"/>
      <c r="P1629" s="89">
        <f ca="1">IF(AND(EXACT(C1629,C1627),C1627&lt;&gt;0),P1627+1,0)</f>
        <v>264</v>
      </c>
      <c r="Q1629" s="89" t="str">
        <f ca="1">IF(C1629&lt;&gt;"",C1629&amp;"-"&amp;P1629,"")</f>
        <v/>
      </c>
      <c r="R1629" s="89" t="str">
        <f t="array" aca="1" ref="R1629" ca="1">IFERROR(IF(INDEX('Disaggregation Records'!$E$155:$E$385,MATCH(RIGHT(Q1629,255),RIGHT('Disaggregation Records'!$D$155:$D$385,255),0))="","",INDEX('Disaggregation Records'!$E$155:$E$385,MATCH(RIGHT(Q1629,255),RIGHT('Disaggregation Records'!$D$155:$D$385,255),0))),"")</f>
        <v/>
      </c>
      <c r="S1629" s="89" t="str">
        <f t="array" aca="1" ref="S1629" ca="1">IFERROR(IF(INDEX('Disaggregation Records'!$F$155:$F$385,MATCH(RIGHT(Q1629,255),RIGHT('Disaggregation Records'!$D$155:$D$385,255),0))="","",INDEX('Disaggregation Records'!$F$155:$F$385,MATCH(RIGHT(Q1629,255),RIGHT('Disaggregation Records'!$D$155:$D$385,255),0))),"")</f>
        <v/>
      </c>
      <c r="T1629" s="89" t="str">
        <f t="array" aca="1" ref="T1629" ca="1">IFERROR(IF(INDEX('Disaggregation Records'!$H$155:$H$385,MATCH(RIGHT(Q1629,255),RIGHT('Disaggregation Records'!$D$155:$D$385,255),0))="","",INDEX('Disaggregation Records'!$H$155:$H$385,MATCH(RIGHT(Q1629,255),RIGHT('Disaggregation Records'!$D$155:$D$385,255),0))),"")</f>
        <v/>
      </c>
      <c r="U1629" s="89">
        <f>U1627+1</f>
        <v>1924</v>
      </c>
      <c r="V1629" s="89" t="str">
        <f t="array" aca="1" ref="V1629" ca="1">IFERROR(IF(INDEX('Disaggregation Records'!$I$155:$I$385,MATCH(RIGHT(Q1629,255),RIGHT('Disaggregation Records'!$D$155:$D$385,255),0))="","",INDEX('Disaggregation Records'!$I$155:$I$385,MATCH(RIGHT(Q1629,255),RIGHT('Disaggregation Records'!$D$155:$D$385,255),0))),"")</f>
        <v/>
      </c>
      <c r="W1629" s="89" t="str">
        <f ca="1">IFERROR(INDEX('Reference Records'!L$77:L$157,MATCH(LEFT(C1629,255),'Reference Records'!E$77:E$157,0)),"")</f>
        <v/>
      </c>
    </row>
    <row r="1630" spans="1:23" s="89" customFormat="1" ht="40.35" customHeight="1">
      <c r="A1630" s="564"/>
      <c r="B1630" s="799"/>
      <c r="C1630" s="800"/>
      <c r="D1630" s="801"/>
      <c r="E1630" s="801"/>
      <c r="F1630" s="128"/>
      <c r="G1630" s="802"/>
      <c r="H1630" s="781"/>
      <c r="I1630" s="803"/>
      <c r="J1630" s="779"/>
      <c r="K1630" s="800"/>
      <c r="L1630" s="800"/>
      <c r="M1630" s="779"/>
      <c r="N1630" s="779"/>
    </row>
    <row r="1631" spans="1:23" s="89" customFormat="1" ht="40.35" customHeight="1">
      <c r="A1631" s="564" t="str">
        <f ca="1">INDIRECT("'update Helper'!C"&amp;U1631)</f>
        <v>a163p000004VjsqAAC</v>
      </c>
      <c r="B1631" s="794">
        <v>26</v>
      </c>
      <c r="C1631" s="795" t="str">
        <f ca="1">VLOOKUP(B1631,'Coverage Indicators - Section D'!$A$9:$AU$70,47,FALSE)</f>
        <v/>
      </c>
      <c r="D1631" s="796" t="str">
        <f ca="1">R1631</f>
        <v/>
      </c>
      <c r="E1631" s="796" t="str">
        <f ca="1">S1631</f>
        <v/>
      </c>
      <c r="F1631" s="127"/>
      <c r="G1631" s="797" t="str">
        <f ca="1">IF(OR(INDIRECT("'update Helper'!E"&amp;U1631)="",F1631&lt;&gt;0,F1632&lt;&gt;0),IF(IFERROR((F1631/F1632),"")="","",(F1631/F1632)),INDIRECT("'update Helper'!E"&amp;U1631)/100)</f>
        <v/>
      </c>
      <c r="H1631" s="784"/>
      <c r="I1631" s="798"/>
      <c r="J1631" s="777"/>
      <c r="K1631" s="795" t="str">
        <f ca="1">W1631</f>
        <v/>
      </c>
      <c r="L1631" s="795" t="str">
        <f ca="1">V1631</f>
        <v/>
      </c>
      <c r="M1631" s="777"/>
      <c r="N1631" s="777"/>
      <c r="P1631" s="89">
        <f ca="1">IF(AND(EXACT(C1631,C1629),C1629&lt;&gt;0),P1629+1,0)</f>
        <v>265</v>
      </c>
      <c r="Q1631" s="89" t="str">
        <f ca="1">IF(C1631&lt;&gt;"",C1631&amp;"-"&amp;P1631,"")</f>
        <v/>
      </c>
      <c r="R1631" s="89" t="str">
        <f t="array" aca="1" ref="R1631" ca="1">IFERROR(IF(INDEX('Disaggregation Records'!$E$155:$E$385,MATCH(RIGHT(Q1631,255),RIGHT('Disaggregation Records'!$D$155:$D$385,255),0))="","",INDEX('Disaggregation Records'!$E$155:$E$385,MATCH(RIGHT(Q1631,255),RIGHT('Disaggregation Records'!$D$155:$D$385,255),0))),"")</f>
        <v/>
      </c>
      <c r="S1631" s="89" t="str">
        <f t="array" aca="1" ref="S1631" ca="1">IFERROR(IF(INDEX('Disaggregation Records'!$F$155:$F$385,MATCH(RIGHT(Q1631,255),RIGHT('Disaggregation Records'!$D$155:$D$385,255),0))="","",INDEX('Disaggregation Records'!$F$155:$F$385,MATCH(RIGHT(Q1631,255),RIGHT('Disaggregation Records'!$D$155:$D$385,255),0))),"")</f>
        <v/>
      </c>
      <c r="T1631" s="89" t="str">
        <f t="array" aca="1" ref="T1631" ca="1">IFERROR(IF(INDEX('Disaggregation Records'!$H$155:$H$385,MATCH(RIGHT(Q1631,255),RIGHT('Disaggregation Records'!$D$155:$D$385,255),0))="","",INDEX('Disaggregation Records'!$H$155:$H$385,MATCH(RIGHT(Q1631,255),RIGHT('Disaggregation Records'!$D$155:$D$385,255),0))),"")</f>
        <v/>
      </c>
      <c r="U1631" s="89">
        <f>U1629+1</f>
        <v>1925</v>
      </c>
      <c r="V1631" s="89" t="str">
        <f t="array" aca="1" ref="V1631" ca="1">IFERROR(IF(INDEX('Disaggregation Records'!$I$155:$I$385,MATCH(RIGHT(Q1631,255),RIGHT('Disaggregation Records'!$D$155:$D$385,255),0))="","",INDEX('Disaggregation Records'!$I$155:$I$385,MATCH(RIGHT(Q1631,255),RIGHT('Disaggregation Records'!$D$155:$D$385,255),0))),"")</f>
        <v/>
      </c>
      <c r="W1631" s="89" t="str">
        <f ca="1">IFERROR(INDEX('Reference Records'!L$77:L$157,MATCH(LEFT(C1631,255),'Reference Records'!E$77:E$157,0)),"")</f>
        <v/>
      </c>
    </row>
    <row r="1632" spans="1:23" s="89" customFormat="1" ht="40.35" customHeight="1">
      <c r="A1632" s="564"/>
      <c r="B1632" s="799"/>
      <c r="C1632" s="800"/>
      <c r="D1632" s="801"/>
      <c r="E1632" s="801"/>
      <c r="F1632" s="128"/>
      <c r="G1632" s="802"/>
      <c r="H1632" s="781"/>
      <c r="I1632" s="803"/>
      <c r="J1632" s="779"/>
      <c r="K1632" s="800"/>
      <c r="L1632" s="800"/>
      <c r="M1632" s="779"/>
      <c r="N1632" s="779"/>
    </row>
    <row r="1633" spans="1:23" s="89" customFormat="1" ht="40.35" customHeight="1">
      <c r="A1633" s="564" t="str">
        <f ca="1">INDIRECT("'update Helper'!C"&amp;U1633)</f>
        <v>a163p000004VjsrAAC</v>
      </c>
      <c r="B1633" s="794">
        <v>26</v>
      </c>
      <c r="C1633" s="795" t="str">
        <f ca="1">VLOOKUP(B1633,'Coverage Indicators - Section D'!$A$9:$AU$70,47,FALSE)</f>
        <v/>
      </c>
      <c r="D1633" s="796" t="str">
        <f ca="1">R1633</f>
        <v/>
      </c>
      <c r="E1633" s="796" t="str">
        <f ca="1">S1633</f>
        <v/>
      </c>
      <c r="F1633" s="127"/>
      <c r="G1633" s="797" t="str">
        <f ca="1">IF(OR(INDIRECT("'update Helper'!E"&amp;U1633)="",F1633&lt;&gt;0,F1634&lt;&gt;0),IF(IFERROR((F1633/F1634),"")="","",(F1633/F1634)),INDIRECT("'update Helper'!E"&amp;U1633)/100)</f>
        <v/>
      </c>
      <c r="H1633" s="784"/>
      <c r="I1633" s="798"/>
      <c r="J1633" s="777"/>
      <c r="K1633" s="795" t="str">
        <f ca="1">W1633</f>
        <v/>
      </c>
      <c r="L1633" s="795" t="str">
        <f ca="1">V1633</f>
        <v/>
      </c>
      <c r="M1633" s="777"/>
      <c r="N1633" s="777"/>
      <c r="P1633" s="89">
        <f ca="1">IF(AND(EXACT(C1633,C1631),C1631&lt;&gt;0),P1631+1,0)</f>
        <v>266</v>
      </c>
      <c r="Q1633" s="89" t="str">
        <f ca="1">IF(C1633&lt;&gt;"",C1633&amp;"-"&amp;P1633,"")</f>
        <v/>
      </c>
      <c r="R1633" s="89" t="str">
        <f t="array" aca="1" ref="R1633" ca="1">IFERROR(IF(INDEX('Disaggregation Records'!$E$155:$E$385,MATCH(RIGHT(Q1633,255),RIGHT('Disaggregation Records'!$D$155:$D$385,255),0))="","",INDEX('Disaggregation Records'!$E$155:$E$385,MATCH(RIGHT(Q1633,255),RIGHT('Disaggregation Records'!$D$155:$D$385,255),0))),"")</f>
        <v/>
      </c>
      <c r="S1633" s="89" t="str">
        <f t="array" aca="1" ref="S1633" ca="1">IFERROR(IF(INDEX('Disaggregation Records'!$F$155:$F$385,MATCH(RIGHT(Q1633,255),RIGHT('Disaggregation Records'!$D$155:$D$385,255),0))="","",INDEX('Disaggregation Records'!$F$155:$F$385,MATCH(RIGHT(Q1633,255),RIGHT('Disaggregation Records'!$D$155:$D$385,255),0))),"")</f>
        <v/>
      </c>
      <c r="T1633" s="89" t="str">
        <f t="array" aca="1" ref="T1633" ca="1">IFERROR(IF(INDEX('Disaggregation Records'!$H$155:$H$385,MATCH(RIGHT(Q1633,255),RIGHT('Disaggregation Records'!$D$155:$D$385,255),0))="","",INDEX('Disaggregation Records'!$H$155:$H$385,MATCH(RIGHT(Q1633,255),RIGHT('Disaggregation Records'!$D$155:$D$385,255),0))),"")</f>
        <v/>
      </c>
      <c r="U1633" s="89">
        <f>U1631+1</f>
        <v>1926</v>
      </c>
      <c r="V1633" s="89" t="str">
        <f t="array" aca="1" ref="V1633" ca="1">IFERROR(IF(INDEX('Disaggregation Records'!$I$155:$I$385,MATCH(RIGHT(Q1633,255),RIGHT('Disaggregation Records'!$D$155:$D$385,255),0))="","",INDEX('Disaggregation Records'!$I$155:$I$385,MATCH(RIGHT(Q1633,255),RIGHT('Disaggregation Records'!$D$155:$D$385,255),0))),"")</f>
        <v/>
      </c>
      <c r="W1633" s="89" t="str">
        <f ca="1">IFERROR(INDEX('Reference Records'!L$77:L$157,MATCH(LEFT(C1633,255),'Reference Records'!E$77:E$157,0)),"")</f>
        <v/>
      </c>
    </row>
    <row r="1634" spans="1:23" s="89" customFormat="1" ht="40.35" customHeight="1">
      <c r="A1634" s="564"/>
      <c r="B1634" s="799"/>
      <c r="C1634" s="800"/>
      <c r="D1634" s="801"/>
      <c r="E1634" s="801"/>
      <c r="F1634" s="128"/>
      <c r="G1634" s="802"/>
      <c r="H1634" s="781"/>
      <c r="I1634" s="803"/>
      <c r="J1634" s="779"/>
      <c r="K1634" s="800"/>
      <c r="L1634" s="800"/>
      <c r="M1634" s="779"/>
      <c r="N1634" s="779"/>
    </row>
    <row r="1635" spans="1:23" s="89" customFormat="1" ht="40.35" customHeight="1">
      <c r="A1635" s="564" t="str">
        <f ca="1">INDIRECT("'update Helper'!C"&amp;U1635)</f>
        <v>a163p000004VjssAAC</v>
      </c>
      <c r="B1635" s="794">
        <v>26</v>
      </c>
      <c r="C1635" s="795" t="str">
        <f ca="1">VLOOKUP(B1635,'Coverage Indicators - Section D'!$A$9:$AU$70,47,FALSE)</f>
        <v/>
      </c>
      <c r="D1635" s="796" t="str">
        <f ca="1">R1635</f>
        <v/>
      </c>
      <c r="E1635" s="796" t="str">
        <f ca="1">S1635</f>
        <v/>
      </c>
      <c r="F1635" s="127"/>
      <c r="G1635" s="797" t="str">
        <f ca="1">IF(OR(INDIRECT("'update Helper'!E"&amp;U1635)="",F1635&lt;&gt;0,F1636&lt;&gt;0),IF(IFERROR((F1635/F1636),"")="","",(F1635/F1636)),INDIRECT("'update Helper'!E"&amp;U1635)/100)</f>
        <v/>
      </c>
      <c r="H1635" s="784"/>
      <c r="I1635" s="798"/>
      <c r="J1635" s="777"/>
      <c r="K1635" s="795" t="str">
        <f ca="1">W1635</f>
        <v/>
      </c>
      <c r="L1635" s="795" t="str">
        <f ca="1">V1635</f>
        <v/>
      </c>
      <c r="M1635" s="777"/>
      <c r="N1635" s="777"/>
      <c r="P1635" s="89">
        <f ca="1">IF(AND(EXACT(C1635,C1633),C1633&lt;&gt;0),P1633+1,0)</f>
        <v>267</v>
      </c>
      <c r="Q1635" s="89" t="str">
        <f ca="1">IF(C1635&lt;&gt;"",C1635&amp;"-"&amp;P1635,"")</f>
        <v/>
      </c>
      <c r="R1635" s="89" t="str">
        <f t="array" aca="1" ref="R1635" ca="1">IFERROR(IF(INDEX('Disaggregation Records'!$E$155:$E$385,MATCH(RIGHT(Q1635,255),RIGHT('Disaggregation Records'!$D$155:$D$385,255),0))="","",INDEX('Disaggregation Records'!$E$155:$E$385,MATCH(RIGHT(Q1635,255),RIGHT('Disaggregation Records'!$D$155:$D$385,255),0))),"")</f>
        <v/>
      </c>
      <c r="S1635" s="89" t="str">
        <f t="array" aca="1" ref="S1635" ca="1">IFERROR(IF(INDEX('Disaggregation Records'!$F$155:$F$385,MATCH(RIGHT(Q1635,255),RIGHT('Disaggregation Records'!$D$155:$D$385,255),0))="","",INDEX('Disaggregation Records'!$F$155:$F$385,MATCH(RIGHT(Q1635,255),RIGHT('Disaggregation Records'!$D$155:$D$385,255),0))),"")</f>
        <v/>
      </c>
      <c r="T1635" s="89" t="str">
        <f t="array" aca="1" ref="T1635" ca="1">IFERROR(IF(INDEX('Disaggregation Records'!$H$155:$H$385,MATCH(RIGHT(Q1635,255),RIGHT('Disaggregation Records'!$D$155:$D$385,255),0))="","",INDEX('Disaggregation Records'!$H$155:$H$385,MATCH(RIGHT(Q1635,255),RIGHT('Disaggregation Records'!$D$155:$D$385,255),0))),"")</f>
        <v/>
      </c>
      <c r="U1635" s="89">
        <f>U1633+1</f>
        <v>1927</v>
      </c>
      <c r="V1635" s="89" t="str">
        <f t="array" aca="1" ref="V1635" ca="1">IFERROR(IF(INDEX('Disaggregation Records'!$I$155:$I$385,MATCH(RIGHT(Q1635,255),RIGHT('Disaggregation Records'!$D$155:$D$385,255),0))="","",INDEX('Disaggregation Records'!$I$155:$I$385,MATCH(RIGHT(Q1635,255),RIGHT('Disaggregation Records'!$D$155:$D$385,255),0))),"")</f>
        <v/>
      </c>
      <c r="W1635" s="89" t="str">
        <f ca="1">IFERROR(INDEX('Reference Records'!L$77:L$157,MATCH(LEFT(C1635,255),'Reference Records'!E$77:E$157,0)),"")</f>
        <v/>
      </c>
    </row>
    <row r="1636" spans="1:23" s="89" customFormat="1" ht="40.35" customHeight="1">
      <c r="A1636" s="564"/>
      <c r="B1636" s="799"/>
      <c r="C1636" s="800"/>
      <c r="D1636" s="801"/>
      <c r="E1636" s="801"/>
      <c r="F1636" s="128"/>
      <c r="G1636" s="802"/>
      <c r="H1636" s="781"/>
      <c r="I1636" s="803"/>
      <c r="J1636" s="779"/>
      <c r="K1636" s="800"/>
      <c r="L1636" s="800"/>
      <c r="M1636" s="779"/>
      <c r="N1636" s="779"/>
    </row>
    <row r="1637" spans="1:23" s="89" customFormat="1" ht="40.35" customHeight="1">
      <c r="A1637" s="564" t="str">
        <f ca="1">INDIRECT("'update Helper'!C"&amp;U1637)</f>
        <v>a163p000004VjstAAC</v>
      </c>
      <c r="B1637" s="794">
        <v>26</v>
      </c>
      <c r="C1637" s="795" t="str">
        <f ca="1">VLOOKUP(B1637,'Coverage Indicators - Section D'!$A$9:$AU$70,47,FALSE)</f>
        <v/>
      </c>
      <c r="D1637" s="796" t="str">
        <f ca="1">R1637</f>
        <v/>
      </c>
      <c r="E1637" s="796" t="str">
        <f ca="1">S1637</f>
        <v/>
      </c>
      <c r="F1637" s="127"/>
      <c r="G1637" s="797" t="str">
        <f ca="1">IF(OR(INDIRECT("'update Helper'!E"&amp;U1637)="",F1637&lt;&gt;0,F1638&lt;&gt;0),IF(IFERROR((F1637/F1638),"")="","",(F1637/F1638)),INDIRECT("'update Helper'!E"&amp;U1637)/100)</f>
        <v/>
      </c>
      <c r="H1637" s="784"/>
      <c r="I1637" s="798"/>
      <c r="J1637" s="777"/>
      <c r="K1637" s="795" t="str">
        <f ca="1">W1637</f>
        <v/>
      </c>
      <c r="L1637" s="795" t="str">
        <f ca="1">V1637</f>
        <v/>
      </c>
      <c r="M1637" s="777"/>
      <c r="N1637" s="777"/>
      <c r="P1637" s="89">
        <f ca="1">IF(AND(EXACT(C1637,C1635),C1635&lt;&gt;0),P1635+1,0)</f>
        <v>268</v>
      </c>
      <c r="Q1637" s="89" t="str">
        <f ca="1">IF(C1637&lt;&gt;"",C1637&amp;"-"&amp;P1637,"")</f>
        <v/>
      </c>
      <c r="R1637" s="89" t="str">
        <f t="array" aca="1" ref="R1637" ca="1">IFERROR(IF(INDEX('Disaggregation Records'!$E$155:$E$385,MATCH(RIGHT(Q1637,255),RIGHT('Disaggregation Records'!$D$155:$D$385,255),0))="","",INDEX('Disaggregation Records'!$E$155:$E$385,MATCH(RIGHT(Q1637,255),RIGHT('Disaggregation Records'!$D$155:$D$385,255),0))),"")</f>
        <v/>
      </c>
      <c r="S1637" s="89" t="str">
        <f t="array" aca="1" ref="S1637" ca="1">IFERROR(IF(INDEX('Disaggregation Records'!$F$155:$F$385,MATCH(RIGHT(Q1637,255),RIGHT('Disaggregation Records'!$D$155:$D$385,255),0))="","",INDEX('Disaggregation Records'!$F$155:$F$385,MATCH(RIGHT(Q1637,255),RIGHT('Disaggregation Records'!$D$155:$D$385,255),0))),"")</f>
        <v/>
      </c>
      <c r="T1637" s="89" t="str">
        <f t="array" aca="1" ref="T1637" ca="1">IFERROR(IF(INDEX('Disaggregation Records'!$H$155:$H$385,MATCH(RIGHT(Q1637,255),RIGHT('Disaggregation Records'!$D$155:$D$385,255),0))="","",INDEX('Disaggregation Records'!$H$155:$H$385,MATCH(RIGHT(Q1637,255),RIGHT('Disaggregation Records'!$D$155:$D$385,255),0))),"")</f>
        <v/>
      </c>
      <c r="U1637" s="89">
        <f>U1635+1</f>
        <v>1928</v>
      </c>
      <c r="V1637" s="89" t="str">
        <f t="array" aca="1" ref="V1637" ca="1">IFERROR(IF(INDEX('Disaggregation Records'!$I$155:$I$385,MATCH(RIGHT(Q1637,255),RIGHT('Disaggregation Records'!$D$155:$D$385,255),0))="","",INDEX('Disaggregation Records'!$I$155:$I$385,MATCH(RIGHT(Q1637,255),RIGHT('Disaggregation Records'!$D$155:$D$385,255),0))),"")</f>
        <v/>
      </c>
      <c r="W1637" s="89" t="str">
        <f ca="1">IFERROR(INDEX('Reference Records'!L$77:L$157,MATCH(LEFT(C1637,255),'Reference Records'!E$77:E$157,0)),"")</f>
        <v/>
      </c>
    </row>
    <row r="1638" spans="1:23" s="89" customFormat="1" ht="40.35" customHeight="1">
      <c r="A1638" s="564"/>
      <c r="B1638" s="799"/>
      <c r="C1638" s="800"/>
      <c r="D1638" s="801"/>
      <c r="E1638" s="801"/>
      <c r="F1638" s="128"/>
      <c r="G1638" s="802"/>
      <c r="H1638" s="781"/>
      <c r="I1638" s="803"/>
      <c r="J1638" s="779"/>
      <c r="K1638" s="800"/>
      <c r="L1638" s="800"/>
      <c r="M1638" s="779"/>
      <c r="N1638" s="779"/>
    </row>
    <row r="1639" spans="1:23" s="89" customFormat="1" ht="40.35" customHeight="1">
      <c r="A1639" s="564" t="str">
        <f ca="1">INDIRECT("'update Helper'!C"&amp;U1639)</f>
        <v>a163p000004VjsuAAC</v>
      </c>
      <c r="B1639" s="794">
        <v>26</v>
      </c>
      <c r="C1639" s="795" t="str">
        <f ca="1">VLOOKUP(B1639,'Coverage Indicators - Section D'!$A$9:$AU$70,47,FALSE)</f>
        <v/>
      </c>
      <c r="D1639" s="796" t="str">
        <f ca="1">R1639</f>
        <v/>
      </c>
      <c r="E1639" s="796" t="str">
        <f ca="1">S1639</f>
        <v/>
      </c>
      <c r="F1639" s="127"/>
      <c r="G1639" s="797" t="str">
        <f ca="1">IF(OR(INDIRECT("'update Helper'!E"&amp;U1639)="",F1639&lt;&gt;0,F1640&lt;&gt;0),IF(IFERROR((F1639/F1640),"")="","",(F1639/F1640)),INDIRECT("'update Helper'!E"&amp;U1639)/100)</f>
        <v/>
      </c>
      <c r="H1639" s="784"/>
      <c r="I1639" s="798"/>
      <c r="J1639" s="777"/>
      <c r="K1639" s="795" t="str">
        <f ca="1">W1639</f>
        <v/>
      </c>
      <c r="L1639" s="795" t="str">
        <f ca="1">V1639</f>
        <v/>
      </c>
      <c r="M1639" s="777"/>
      <c r="N1639" s="777"/>
      <c r="P1639" s="89">
        <f ca="1">IF(AND(EXACT(C1639,C1637),C1637&lt;&gt;0),P1637+1,0)</f>
        <v>269</v>
      </c>
      <c r="Q1639" s="89" t="str">
        <f ca="1">IF(C1639&lt;&gt;"",C1639&amp;"-"&amp;P1639,"")</f>
        <v/>
      </c>
      <c r="R1639" s="89" t="str">
        <f t="array" aca="1" ref="R1639" ca="1">IFERROR(IF(INDEX('Disaggregation Records'!$E$155:$E$385,MATCH(RIGHT(Q1639,255),RIGHT('Disaggregation Records'!$D$155:$D$385,255),0))="","",INDEX('Disaggregation Records'!$E$155:$E$385,MATCH(RIGHT(Q1639,255),RIGHT('Disaggregation Records'!$D$155:$D$385,255),0))),"")</f>
        <v/>
      </c>
      <c r="S1639" s="89" t="str">
        <f t="array" aca="1" ref="S1639" ca="1">IFERROR(IF(INDEX('Disaggregation Records'!$F$155:$F$385,MATCH(RIGHT(Q1639,255),RIGHT('Disaggregation Records'!$D$155:$D$385,255),0))="","",INDEX('Disaggregation Records'!$F$155:$F$385,MATCH(RIGHT(Q1639,255),RIGHT('Disaggregation Records'!$D$155:$D$385,255),0))),"")</f>
        <v/>
      </c>
      <c r="T1639" s="89" t="str">
        <f t="array" aca="1" ref="T1639" ca="1">IFERROR(IF(INDEX('Disaggregation Records'!$H$155:$H$385,MATCH(RIGHT(Q1639,255),RIGHT('Disaggregation Records'!$D$155:$D$385,255),0))="","",INDEX('Disaggregation Records'!$H$155:$H$385,MATCH(RIGHT(Q1639,255),RIGHT('Disaggregation Records'!$D$155:$D$385,255),0))),"")</f>
        <v/>
      </c>
      <c r="U1639" s="89">
        <f>U1637+1</f>
        <v>1929</v>
      </c>
      <c r="V1639" s="89" t="str">
        <f t="array" aca="1" ref="V1639" ca="1">IFERROR(IF(INDEX('Disaggregation Records'!$I$155:$I$385,MATCH(RIGHT(Q1639,255),RIGHT('Disaggregation Records'!$D$155:$D$385,255),0))="","",INDEX('Disaggregation Records'!$I$155:$I$385,MATCH(RIGHT(Q1639,255),RIGHT('Disaggregation Records'!$D$155:$D$385,255),0))),"")</f>
        <v/>
      </c>
      <c r="W1639" s="89" t="str">
        <f ca="1">IFERROR(INDEX('Reference Records'!L$77:L$157,MATCH(LEFT(C1639,255),'Reference Records'!E$77:E$157,0)),"")</f>
        <v/>
      </c>
    </row>
    <row r="1640" spans="1:23" s="89" customFormat="1" ht="40.35" customHeight="1">
      <c r="A1640" s="564"/>
      <c r="B1640" s="799"/>
      <c r="C1640" s="800"/>
      <c r="D1640" s="801"/>
      <c r="E1640" s="801"/>
      <c r="F1640" s="128"/>
      <c r="G1640" s="802"/>
      <c r="H1640" s="781"/>
      <c r="I1640" s="803"/>
      <c r="J1640" s="779"/>
      <c r="K1640" s="800"/>
      <c r="L1640" s="800"/>
      <c r="M1640" s="779"/>
      <c r="N1640" s="779"/>
    </row>
    <row r="1641" spans="1:23" s="89" customFormat="1" ht="40.35" customHeight="1">
      <c r="A1641" s="564" t="str">
        <f ca="1">INDIRECT("'update Helper'!C"&amp;U1641)</f>
        <v>a163p000004VjsvAAC</v>
      </c>
      <c r="B1641" s="794">
        <v>26</v>
      </c>
      <c r="C1641" s="795" t="str">
        <f ca="1">VLOOKUP(B1641,'Coverage Indicators - Section D'!$A$9:$AU$70,47,FALSE)</f>
        <v/>
      </c>
      <c r="D1641" s="796" t="str">
        <f ca="1">R1641</f>
        <v/>
      </c>
      <c r="E1641" s="796" t="str">
        <f ca="1">S1641</f>
        <v/>
      </c>
      <c r="F1641" s="127"/>
      <c r="G1641" s="797" t="str">
        <f ca="1">IF(OR(INDIRECT("'update Helper'!E"&amp;U1641)="",F1641&lt;&gt;0,F1642&lt;&gt;0),IF(IFERROR((F1641/F1642),"")="","",(F1641/F1642)),INDIRECT("'update Helper'!E"&amp;U1641)/100)</f>
        <v/>
      </c>
      <c r="H1641" s="784"/>
      <c r="I1641" s="798"/>
      <c r="J1641" s="777"/>
      <c r="K1641" s="795" t="str">
        <f ca="1">W1641</f>
        <v/>
      </c>
      <c r="L1641" s="795" t="str">
        <f ca="1">V1641</f>
        <v/>
      </c>
      <c r="M1641" s="777"/>
      <c r="N1641" s="777"/>
      <c r="P1641" s="89">
        <f ca="1">IF(AND(EXACT(C1641,C1639),C1639&lt;&gt;0),P1639+1,0)</f>
        <v>270</v>
      </c>
      <c r="Q1641" s="89" t="str">
        <f ca="1">IF(C1641&lt;&gt;"",C1641&amp;"-"&amp;P1641,"")</f>
        <v/>
      </c>
      <c r="R1641" s="89" t="str">
        <f t="array" aca="1" ref="R1641" ca="1">IFERROR(IF(INDEX('Disaggregation Records'!$E$155:$E$385,MATCH(RIGHT(Q1641,255),RIGHT('Disaggregation Records'!$D$155:$D$385,255),0))="","",INDEX('Disaggregation Records'!$E$155:$E$385,MATCH(RIGHT(Q1641,255),RIGHT('Disaggregation Records'!$D$155:$D$385,255),0))),"")</f>
        <v/>
      </c>
      <c r="S1641" s="89" t="str">
        <f t="array" aca="1" ref="S1641" ca="1">IFERROR(IF(INDEX('Disaggregation Records'!$F$155:$F$385,MATCH(RIGHT(Q1641,255),RIGHT('Disaggregation Records'!$D$155:$D$385,255),0))="","",INDEX('Disaggregation Records'!$F$155:$F$385,MATCH(RIGHT(Q1641,255),RIGHT('Disaggregation Records'!$D$155:$D$385,255),0))),"")</f>
        <v/>
      </c>
      <c r="T1641" s="89" t="str">
        <f t="array" aca="1" ref="T1641" ca="1">IFERROR(IF(INDEX('Disaggregation Records'!$H$155:$H$385,MATCH(RIGHT(Q1641,255),RIGHT('Disaggregation Records'!$D$155:$D$385,255),0))="","",INDEX('Disaggregation Records'!$H$155:$H$385,MATCH(RIGHT(Q1641,255),RIGHT('Disaggregation Records'!$D$155:$D$385,255),0))),"")</f>
        <v/>
      </c>
      <c r="U1641" s="89">
        <f>U1639+1</f>
        <v>1930</v>
      </c>
      <c r="V1641" s="89" t="str">
        <f t="array" aca="1" ref="V1641" ca="1">IFERROR(IF(INDEX('Disaggregation Records'!$I$155:$I$385,MATCH(RIGHT(Q1641,255),RIGHT('Disaggregation Records'!$D$155:$D$385,255),0))="","",INDEX('Disaggregation Records'!$I$155:$I$385,MATCH(RIGHT(Q1641,255),RIGHT('Disaggregation Records'!$D$155:$D$385,255),0))),"")</f>
        <v/>
      </c>
      <c r="W1641" s="89" t="str">
        <f ca="1">IFERROR(INDEX('Reference Records'!L$77:L$157,MATCH(LEFT(C1641,255),'Reference Records'!E$77:E$157,0)),"")</f>
        <v/>
      </c>
    </row>
    <row r="1642" spans="1:23" s="89" customFormat="1" ht="40.35" customHeight="1">
      <c r="A1642" s="564"/>
      <c r="B1642" s="799"/>
      <c r="C1642" s="800"/>
      <c r="D1642" s="801"/>
      <c r="E1642" s="801"/>
      <c r="F1642" s="128"/>
      <c r="G1642" s="802"/>
      <c r="H1642" s="781"/>
      <c r="I1642" s="803"/>
      <c r="J1642" s="779"/>
      <c r="K1642" s="800"/>
      <c r="L1642" s="800"/>
      <c r="M1642" s="779"/>
      <c r="N1642" s="779"/>
    </row>
    <row r="1643" spans="1:23" s="89" customFormat="1" ht="40.35" customHeight="1">
      <c r="A1643" s="564" t="str">
        <f ca="1">INDIRECT("'update Helper'!C"&amp;U1643)</f>
        <v>a163p000004VjswAAC</v>
      </c>
      <c r="B1643" s="794">
        <v>26</v>
      </c>
      <c r="C1643" s="795" t="str">
        <f ca="1">VLOOKUP(B1643,'Coverage Indicators - Section D'!$A$9:$AU$70,47,FALSE)</f>
        <v/>
      </c>
      <c r="D1643" s="796" t="str">
        <f ca="1">R1643</f>
        <v/>
      </c>
      <c r="E1643" s="796" t="str">
        <f ca="1">S1643</f>
        <v/>
      </c>
      <c r="F1643" s="127"/>
      <c r="G1643" s="797" t="str">
        <f ca="1">IF(OR(INDIRECT("'update Helper'!E"&amp;U1643)="",F1643&lt;&gt;0,F1644&lt;&gt;0),IF(IFERROR((F1643/F1644),"")="","",(F1643/F1644)),INDIRECT("'update Helper'!E"&amp;U1643)/100)</f>
        <v/>
      </c>
      <c r="H1643" s="784"/>
      <c r="I1643" s="798"/>
      <c r="J1643" s="777"/>
      <c r="K1643" s="795" t="str">
        <f ca="1">W1643</f>
        <v/>
      </c>
      <c r="L1643" s="795" t="str">
        <f ca="1">V1643</f>
        <v/>
      </c>
      <c r="M1643" s="777"/>
      <c r="N1643" s="777"/>
      <c r="P1643" s="89">
        <f ca="1">IF(AND(EXACT(C1643,C1641),C1641&lt;&gt;0),P1641+1,0)</f>
        <v>271</v>
      </c>
      <c r="Q1643" s="89" t="str">
        <f ca="1">IF(C1643&lt;&gt;"",C1643&amp;"-"&amp;P1643,"")</f>
        <v/>
      </c>
      <c r="R1643" s="89" t="str">
        <f t="array" aca="1" ref="R1643" ca="1">IFERROR(IF(INDEX('Disaggregation Records'!$E$155:$E$385,MATCH(RIGHT(Q1643,255),RIGHT('Disaggregation Records'!$D$155:$D$385,255),0))="","",INDEX('Disaggregation Records'!$E$155:$E$385,MATCH(RIGHT(Q1643,255),RIGHT('Disaggregation Records'!$D$155:$D$385,255),0))),"")</f>
        <v/>
      </c>
      <c r="S1643" s="89" t="str">
        <f t="array" aca="1" ref="S1643" ca="1">IFERROR(IF(INDEX('Disaggregation Records'!$F$155:$F$385,MATCH(RIGHT(Q1643,255),RIGHT('Disaggregation Records'!$D$155:$D$385,255),0))="","",INDEX('Disaggregation Records'!$F$155:$F$385,MATCH(RIGHT(Q1643,255),RIGHT('Disaggregation Records'!$D$155:$D$385,255),0))),"")</f>
        <v/>
      </c>
      <c r="T1643" s="89" t="str">
        <f t="array" aca="1" ref="T1643" ca="1">IFERROR(IF(INDEX('Disaggregation Records'!$H$155:$H$385,MATCH(RIGHT(Q1643,255),RIGHT('Disaggregation Records'!$D$155:$D$385,255),0))="","",INDEX('Disaggregation Records'!$H$155:$H$385,MATCH(RIGHT(Q1643,255),RIGHT('Disaggregation Records'!$D$155:$D$385,255),0))),"")</f>
        <v/>
      </c>
      <c r="U1643" s="89">
        <f>U1641+1</f>
        <v>1931</v>
      </c>
      <c r="V1643" s="89" t="str">
        <f t="array" aca="1" ref="V1643" ca="1">IFERROR(IF(INDEX('Disaggregation Records'!$I$155:$I$385,MATCH(RIGHT(Q1643,255),RIGHT('Disaggregation Records'!$D$155:$D$385,255),0))="","",INDEX('Disaggregation Records'!$I$155:$I$385,MATCH(RIGHT(Q1643,255),RIGHT('Disaggregation Records'!$D$155:$D$385,255),0))),"")</f>
        <v/>
      </c>
      <c r="W1643" s="89" t="str">
        <f ca="1">IFERROR(INDEX('Reference Records'!L$77:L$157,MATCH(LEFT(C1643,255),'Reference Records'!E$77:E$157,0)),"")</f>
        <v/>
      </c>
    </row>
    <row r="1644" spans="1:23" s="89" customFormat="1" ht="40.35" customHeight="1">
      <c r="A1644" s="564"/>
      <c r="B1644" s="799"/>
      <c r="C1644" s="800"/>
      <c r="D1644" s="801"/>
      <c r="E1644" s="801"/>
      <c r="F1644" s="128"/>
      <c r="G1644" s="802"/>
      <c r="H1644" s="781"/>
      <c r="I1644" s="803"/>
      <c r="J1644" s="779"/>
      <c r="K1644" s="800"/>
      <c r="L1644" s="800"/>
      <c r="M1644" s="779"/>
      <c r="N1644" s="779"/>
    </row>
    <row r="1645" spans="1:23" s="89" customFormat="1" ht="40.35" customHeight="1">
      <c r="A1645" s="564" t="str">
        <f ca="1">INDIRECT("'update Helper'!C"&amp;U1645)</f>
        <v>a163p000004VjsxAAC</v>
      </c>
      <c r="B1645" s="794">
        <v>26</v>
      </c>
      <c r="C1645" s="795" t="str">
        <f ca="1">VLOOKUP(B1645,'Coverage Indicators - Section D'!$A$9:$AU$70,47,FALSE)</f>
        <v/>
      </c>
      <c r="D1645" s="796" t="str">
        <f ca="1">R1645</f>
        <v/>
      </c>
      <c r="E1645" s="796" t="str">
        <f ca="1">S1645</f>
        <v/>
      </c>
      <c r="F1645" s="127"/>
      <c r="G1645" s="797" t="str">
        <f ca="1">IF(OR(INDIRECT("'update Helper'!E"&amp;U1645)="",F1645&lt;&gt;0,F1646&lt;&gt;0),IF(IFERROR((F1645/F1646),"")="","",(F1645/F1646)),INDIRECT("'update Helper'!E"&amp;U1645)/100)</f>
        <v/>
      </c>
      <c r="H1645" s="784"/>
      <c r="I1645" s="798"/>
      <c r="J1645" s="777"/>
      <c r="K1645" s="795" t="str">
        <f ca="1">W1645</f>
        <v/>
      </c>
      <c r="L1645" s="795" t="str">
        <f ca="1">V1645</f>
        <v/>
      </c>
      <c r="M1645" s="777"/>
      <c r="N1645" s="777"/>
      <c r="P1645" s="89">
        <f ca="1">IF(AND(EXACT(C1645,C1643),C1643&lt;&gt;0),P1643+1,0)</f>
        <v>272</v>
      </c>
      <c r="Q1645" s="89" t="str">
        <f ca="1">IF(C1645&lt;&gt;"",C1645&amp;"-"&amp;P1645,"")</f>
        <v/>
      </c>
      <c r="R1645" s="89" t="str">
        <f t="array" aca="1" ref="R1645" ca="1">IFERROR(IF(INDEX('Disaggregation Records'!$E$155:$E$385,MATCH(RIGHT(Q1645,255),RIGHT('Disaggregation Records'!$D$155:$D$385,255),0))="","",INDEX('Disaggregation Records'!$E$155:$E$385,MATCH(RIGHT(Q1645,255),RIGHT('Disaggregation Records'!$D$155:$D$385,255),0))),"")</f>
        <v/>
      </c>
      <c r="S1645" s="89" t="str">
        <f t="array" aca="1" ref="S1645" ca="1">IFERROR(IF(INDEX('Disaggregation Records'!$F$155:$F$385,MATCH(RIGHT(Q1645,255),RIGHT('Disaggregation Records'!$D$155:$D$385,255),0))="","",INDEX('Disaggregation Records'!$F$155:$F$385,MATCH(RIGHT(Q1645,255),RIGHT('Disaggregation Records'!$D$155:$D$385,255),0))),"")</f>
        <v/>
      </c>
      <c r="T1645" s="89" t="str">
        <f t="array" aca="1" ref="T1645" ca="1">IFERROR(IF(INDEX('Disaggregation Records'!$H$155:$H$385,MATCH(RIGHT(Q1645,255),RIGHT('Disaggregation Records'!$D$155:$D$385,255),0))="","",INDEX('Disaggregation Records'!$H$155:$H$385,MATCH(RIGHT(Q1645,255),RIGHT('Disaggregation Records'!$D$155:$D$385,255),0))),"")</f>
        <v/>
      </c>
      <c r="U1645" s="89">
        <f>U1643+1</f>
        <v>1932</v>
      </c>
      <c r="V1645" s="89" t="str">
        <f t="array" aca="1" ref="V1645" ca="1">IFERROR(IF(INDEX('Disaggregation Records'!$I$155:$I$385,MATCH(RIGHT(Q1645,255),RIGHT('Disaggregation Records'!$D$155:$D$385,255),0))="","",INDEX('Disaggregation Records'!$I$155:$I$385,MATCH(RIGHT(Q1645,255),RIGHT('Disaggregation Records'!$D$155:$D$385,255),0))),"")</f>
        <v/>
      </c>
      <c r="W1645" s="89" t="str">
        <f ca="1">IFERROR(INDEX('Reference Records'!L$77:L$157,MATCH(LEFT(C1645,255),'Reference Records'!E$77:E$157,0)),"")</f>
        <v/>
      </c>
    </row>
    <row r="1646" spans="1:23" s="89" customFormat="1" ht="40.35" customHeight="1">
      <c r="A1646" s="564"/>
      <c r="B1646" s="799"/>
      <c r="C1646" s="800"/>
      <c r="D1646" s="801"/>
      <c r="E1646" s="801"/>
      <c r="F1646" s="128"/>
      <c r="G1646" s="802"/>
      <c r="H1646" s="781"/>
      <c r="I1646" s="803"/>
      <c r="J1646" s="779"/>
      <c r="K1646" s="800"/>
      <c r="L1646" s="800"/>
      <c r="M1646" s="779"/>
      <c r="N1646" s="779"/>
    </row>
    <row r="1647" spans="1:23" s="89" customFormat="1" ht="40.35" customHeight="1">
      <c r="A1647" s="564" t="str">
        <f ca="1">INDIRECT("'update Helper'!C"&amp;U1647)</f>
        <v>a163p000004VjsyAAC</v>
      </c>
      <c r="B1647" s="794">
        <v>26</v>
      </c>
      <c r="C1647" s="795" t="str">
        <f ca="1">VLOOKUP(B1647,'Coverage Indicators - Section D'!$A$9:$AU$70,47,FALSE)</f>
        <v/>
      </c>
      <c r="D1647" s="796" t="str">
        <f ca="1">R1647</f>
        <v/>
      </c>
      <c r="E1647" s="796" t="str">
        <f ca="1">S1647</f>
        <v/>
      </c>
      <c r="F1647" s="127"/>
      <c r="G1647" s="797" t="str">
        <f ca="1">IF(OR(INDIRECT("'update Helper'!E"&amp;U1647)="",F1647&lt;&gt;0,F1648&lt;&gt;0),IF(IFERROR((F1647/F1648),"")="","",(F1647/F1648)),INDIRECT("'update Helper'!E"&amp;U1647)/100)</f>
        <v/>
      </c>
      <c r="H1647" s="784"/>
      <c r="I1647" s="798"/>
      <c r="J1647" s="777"/>
      <c r="K1647" s="795" t="str">
        <f ca="1">W1647</f>
        <v/>
      </c>
      <c r="L1647" s="795" t="str">
        <f ca="1">V1647</f>
        <v/>
      </c>
      <c r="M1647" s="777"/>
      <c r="N1647" s="777"/>
      <c r="P1647" s="89">
        <f ca="1">IF(AND(EXACT(C1647,C1645),C1645&lt;&gt;0),P1645+1,0)</f>
        <v>273</v>
      </c>
      <c r="Q1647" s="89" t="str">
        <f ca="1">IF(C1647&lt;&gt;"",C1647&amp;"-"&amp;P1647,"")</f>
        <v/>
      </c>
      <c r="R1647" s="89" t="str">
        <f t="array" aca="1" ref="R1647" ca="1">IFERROR(IF(INDEX('Disaggregation Records'!$E$155:$E$385,MATCH(RIGHT(Q1647,255),RIGHT('Disaggregation Records'!$D$155:$D$385,255),0))="","",INDEX('Disaggregation Records'!$E$155:$E$385,MATCH(RIGHT(Q1647,255),RIGHT('Disaggregation Records'!$D$155:$D$385,255),0))),"")</f>
        <v/>
      </c>
      <c r="S1647" s="89" t="str">
        <f t="array" aca="1" ref="S1647" ca="1">IFERROR(IF(INDEX('Disaggregation Records'!$F$155:$F$385,MATCH(RIGHT(Q1647,255),RIGHT('Disaggregation Records'!$D$155:$D$385,255),0))="","",INDEX('Disaggregation Records'!$F$155:$F$385,MATCH(RIGHT(Q1647,255),RIGHT('Disaggregation Records'!$D$155:$D$385,255),0))),"")</f>
        <v/>
      </c>
      <c r="T1647" s="89" t="str">
        <f t="array" aca="1" ref="T1647" ca="1">IFERROR(IF(INDEX('Disaggregation Records'!$H$155:$H$385,MATCH(RIGHT(Q1647,255),RIGHT('Disaggregation Records'!$D$155:$D$385,255),0))="","",INDEX('Disaggregation Records'!$H$155:$H$385,MATCH(RIGHT(Q1647,255),RIGHT('Disaggregation Records'!$D$155:$D$385,255),0))),"")</f>
        <v/>
      </c>
      <c r="U1647" s="89">
        <f>U1645+1</f>
        <v>1933</v>
      </c>
      <c r="V1647" s="89" t="str">
        <f t="array" aca="1" ref="V1647" ca="1">IFERROR(IF(INDEX('Disaggregation Records'!$I$155:$I$385,MATCH(RIGHT(Q1647,255),RIGHT('Disaggregation Records'!$D$155:$D$385,255),0))="","",INDEX('Disaggregation Records'!$I$155:$I$385,MATCH(RIGHT(Q1647,255),RIGHT('Disaggregation Records'!$D$155:$D$385,255),0))),"")</f>
        <v/>
      </c>
      <c r="W1647" s="89" t="str">
        <f ca="1">IFERROR(INDEX('Reference Records'!L$77:L$157,MATCH(LEFT(C1647,255),'Reference Records'!E$77:E$157,0)),"")</f>
        <v/>
      </c>
    </row>
    <row r="1648" spans="1:23" s="89" customFormat="1" ht="40.35" customHeight="1">
      <c r="A1648" s="564"/>
      <c r="B1648" s="799"/>
      <c r="C1648" s="800"/>
      <c r="D1648" s="801"/>
      <c r="E1648" s="801"/>
      <c r="F1648" s="128"/>
      <c r="G1648" s="802"/>
      <c r="H1648" s="781"/>
      <c r="I1648" s="803"/>
      <c r="J1648" s="779"/>
      <c r="K1648" s="800"/>
      <c r="L1648" s="800"/>
      <c r="M1648" s="779"/>
      <c r="N1648" s="779"/>
    </row>
    <row r="1649" spans="1:23" s="89" customFormat="1" ht="40.35" customHeight="1">
      <c r="A1649" s="564" t="str">
        <f ca="1">INDIRECT("'update Helper'!C"&amp;U1649)</f>
        <v>a163p000004VjszAAC</v>
      </c>
      <c r="B1649" s="794">
        <v>26</v>
      </c>
      <c r="C1649" s="795" t="str">
        <f ca="1">VLOOKUP(B1649,'Coverage Indicators - Section D'!$A$9:$AU$70,47,FALSE)</f>
        <v/>
      </c>
      <c r="D1649" s="796" t="str">
        <f ca="1">R1649</f>
        <v/>
      </c>
      <c r="E1649" s="796" t="str">
        <f ca="1">S1649</f>
        <v/>
      </c>
      <c r="F1649" s="127"/>
      <c r="G1649" s="797" t="str">
        <f ca="1">IF(OR(INDIRECT("'update Helper'!E"&amp;U1649)="",F1649&lt;&gt;0,F1650&lt;&gt;0),IF(IFERROR((F1649/F1650),"")="","",(F1649/F1650)),INDIRECT("'update Helper'!E"&amp;U1649)/100)</f>
        <v/>
      </c>
      <c r="H1649" s="784"/>
      <c r="I1649" s="798"/>
      <c r="J1649" s="777"/>
      <c r="K1649" s="795" t="str">
        <f ca="1">W1649</f>
        <v/>
      </c>
      <c r="L1649" s="795" t="str">
        <f ca="1">V1649</f>
        <v/>
      </c>
      <c r="M1649" s="777"/>
      <c r="N1649" s="777"/>
      <c r="P1649" s="89">
        <f ca="1">IF(AND(EXACT(C1649,C1647),C1647&lt;&gt;0),P1647+1,0)</f>
        <v>274</v>
      </c>
      <c r="Q1649" s="89" t="str">
        <f ca="1">IF(C1649&lt;&gt;"",C1649&amp;"-"&amp;P1649,"")</f>
        <v/>
      </c>
      <c r="R1649" s="89" t="str">
        <f t="array" aca="1" ref="R1649" ca="1">IFERROR(IF(INDEX('Disaggregation Records'!$E$155:$E$385,MATCH(RIGHT(Q1649,255),RIGHT('Disaggregation Records'!$D$155:$D$385,255),0))="","",INDEX('Disaggregation Records'!$E$155:$E$385,MATCH(RIGHT(Q1649,255),RIGHT('Disaggregation Records'!$D$155:$D$385,255),0))),"")</f>
        <v/>
      </c>
      <c r="S1649" s="89" t="str">
        <f t="array" aca="1" ref="S1649" ca="1">IFERROR(IF(INDEX('Disaggregation Records'!$F$155:$F$385,MATCH(RIGHT(Q1649,255),RIGHT('Disaggregation Records'!$D$155:$D$385,255),0))="","",INDEX('Disaggregation Records'!$F$155:$F$385,MATCH(RIGHT(Q1649,255),RIGHT('Disaggregation Records'!$D$155:$D$385,255),0))),"")</f>
        <v/>
      </c>
      <c r="T1649" s="89" t="str">
        <f t="array" aca="1" ref="T1649" ca="1">IFERROR(IF(INDEX('Disaggregation Records'!$H$155:$H$385,MATCH(RIGHT(Q1649,255),RIGHT('Disaggregation Records'!$D$155:$D$385,255),0))="","",INDEX('Disaggregation Records'!$H$155:$H$385,MATCH(RIGHT(Q1649,255),RIGHT('Disaggregation Records'!$D$155:$D$385,255),0))),"")</f>
        <v/>
      </c>
      <c r="U1649" s="89">
        <f>U1647+1</f>
        <v>1934</v>
      </c>
      <c r="V1649" s="89" t="str">
        <f t="array" aca="1" ref="V1649" ca="1">IFERROR(IF(INDEX('Disaggregation Records'!$I$155:$I$385,MATCH(RIGHT(Q1649,255),RIGHT('Disaggregation Records'!$D$155:$D$385,255),0))="","",INDEX('Disaggregation Records'!$I$155:$I$385,MATCH(RIGHT(Q1649,255),RIGHT('Disaggregation Records'!$D$155:$D$385,255),0))),"")</f>
        <v/>
      </c>
      <c r="W1649" s="89" t="str">
        <f ca="1">IFERROR(INDEX('Reference Records'!L$77:L$157,MATCH(LEFT(C1649,255),'Reference Records'!E$77:E$157,0)),"")</f>
        <v/>
      </c>
    </row>
    <row r="1650" spans="1:23" s="89" customFormat="1" ht="40.35" customHeight="1">
      <c r="A1650" s="564"/>
      <c r="B1650" s="799"/>
      <c r="C1650" s="800"/>
      <c r="D1650" s="801"/>
      <c r="E1650" s="801"/>
      <c r="F1650" s="128"/>
      <c r="G1650" s="802"/>
      <c r="H1650" s="781"/>
      <c r="I1650" s="803"/>
      <c r="J1650" s="779"/>
      <c r="K1650" s="800"/>
      <c r="L1650" s="800"/>
      <c r="M1650" s="779"/>
      <c r="N1650" s="779"/>
    </row>
    <row r="1651" spans="1:23" s="89" customFormat="1" ht="40.35" customHeight="1">
      <c r="A1651" s="564" t="str">
        <f ca="1">INDIRECT("'update Helper'!C"&amp;U1651)</f>
        <v>a163p000004Vjt0AAC</v>
      </c>
      <c r="B1651" s="794">
        <v>26</v>
      </c>
      <c r="C1651" s="795" t="str">
        <f ca="1">VLOOKUP(B1651,'Coverage Indicators - Section D'!$A$9:$AU$70,47,FALSE)</f>
        <v/>
      </c>
      <c r="D1651" s="796" t="str">
        <f ca="1">R1651</f>
        <v/>
      </c>
      <c r="E1651" s="796" t="str">
        <f ca="1">S1651</f>
        <v/>
      </c>
      <c r="F1651" s="127"/>
      <c r="G1651" s="797" t="str">
        <f ca="1">IF(OR(INDIRECT("'update Helper'!E"&amp;U1651)="",F1651&lt;&gt;0,F1652&lt;&gt;0),IF(IFERROR((F1651/F1652),"")="","",(F1651/F1652)),INDIRECT("'update Helper'!E"&amp;U1651)/100)</f>
        <v/>
      </c>
      <c r="H1651" s="784"/>
      <c r="I1651" s="798"/>
      <c r="J1651" s="777"/>
      <c r="K1651" s="795" t="str">
        <f ca="1">W1651</f>
        <v/>
      </c>
      <c r="L1651" s="795" t="str">
        <f ca="1">V1651</f>
        <v/>
      </c>
      <c r="M1651" s="777"/>
      <c r="N1651" s="777"/>
      <c r="P1651" s="89">
        <f ca="1">IF(AND(EXACT(C1651,C1649),C1649&lt;&gt;0),P1649+1,0)</f>
        <v>275</v>
      </c>
      <c r="Q1651" s="89" t="str">
        <f ca="1">IF(C1651&lt;&gt;"",C1651&amp;"-"&amp;P1651,"")</f>
        <v/>
      </c>
      <c r="R1651" s="89" t="str">
        <f t="array" aca="1" ref="R1651" ca="1">IFERROR(IF(INDEX('Disaggregation Records'!$E$155:$E$385,MATCH(RIGHT(Q1651,255),RIGHT('Disaggregation Records'!$D$155:$D$385,255),0))="","",INDEX('Disaggregation Records'!$E$155:$E$385,MATCH(RIGHT(Q1651,255),RIGHT('Disaggregation Records'!$D$155:$D$385,255),0))),"")</f>
        <v/>
      </c>
      <c r="S1651" s="89" t="str">
        <f t="array" aca="1" ref="S1651" ca="1">IFERROR(IF(INDEX('Disaggregation Records'!$F$155:$F$385,MATCH(RIGHT(Q1651,255),RIGHT('Disaggregation Records'!$D$155:$D$385,255),0))="","",INDEX('Disaggregation Records'!$F$155:$F$385,MATCH(RIGHT(Q1651,255),RIGHT('Disaggregation Records'!$D$155:$D$385,255),0))),"")</f>
        <v/>
      </c>
      <c r="T1651" s="89" t="str">
        <f t="array" aca="1" ref="T1651" ca="1">IFERROR(IF(INDEX('Disaggregation Records'!$H$155:$H$385,MATCH(RIGHT(Q1651,255),RIGHT('Disaggregation Records'!$D$155:$D$385,255),0))="","",INDEX('Disaggregation Records'!$H$155:$H$385,MATCH(RIGHT(Q1651,255),RIGHT('Disaggregation Records'!$D$155:$D$385,255),0))),"")</f>
        <v/>
      </c>
      <c r="U1651" s="89">
        <f>U1649+1</f>
        <v>1935</v>
      </c>
      <c r="V1651" s="89" t="str">
        <f t="array" aca="1" ref="V1651" ca="1">IFERROR(IF(INDEX('Disaggregation Records'!$I$155:$I$385,MATCH(RIGHT(Q1651,255),RIGHT('Disaggregation Records'!$D$155:$D$385,255),0))="","",INDEX('Disaggregation Records'!$I$155:$I$385,MATCH(RIGHT(Q1651,255),RIGHT('Disaggregation Records'!$D$155:$D$385,255),0))),"")</f>
        <v/>
      </c>
      <c r="W1651" s="89" t="str">
        <f ca="1">IFERROR(INDEX('Reference Records'!L$77:L$157,MATCH(LEFT(C1651,255),'Reference Records'!E$77:E$157,0)),"")</f>
        <v/>
      </c>
    </row>
    <row r="1652" spans="1:23" s="89" customFormat="1" ht="40.35" customHeight="1">
      <c r="A1652" s="564"/>
      <c r="B1652" s="799"/>
      <c r="C1652" s="800"/>
      <c r="D1652" s="801"/>
      <c r="E1652" s="801"/>
      <c r="F1652" s="128"/>
      <c r="G1652" s="802"/>
      <c r="H1652" s="781"/>
      <c r="I1652" s="803"/>
      <c r="J1652" s="779"/>
      <c r="K1652" s="800"/>
      <c r="L1652" s="800"/>
      <c r="M1652" s="779"/>
      <c r="N1652" s="779"/>
    </row>
    <row r="1653" spans="1:23" s="89" customFormat="1" ht="40.35" customHeight="1">
      <c r="A1653" s="564" t="str">
        <f ca="1">INDIRECT("'update Helper'!C"&amp;U1653)</f>
        <v>a163p000004Vjt1AAC</v>
      </c>
      <c r="B1653" s="794">
        <v>26</v>
      </c>
      <c r="C1653" s="795" t="str">
        <f ca="1">VLOOKUP(B1653,'Coverage Indicators - Section D'!$A$9:$AU$70,47,FALSE)</f>
        <v/>
      </c>
      <c r="D1653" s="796" t="str">
        <f ca="1">R1653</f>
        <v/>
      </c>
      <c r="E1653" s="796" t="str">
        <f ca="1">S1653</f>
        <v/>
      </c>
      <c r="F1653" s="127"/>
      <c r="G1653" s="797" t="str">
        <f ca="1">IF(OR(INDIRECT("'update Helper'!E"&amp;U1653)="",F1653&lt;&gt;0,F1654&lt;&gt;0),IF(IFERROR((F1653/F1654),"")="","",(F1653/F1654)),INDIRECT("'update Helper'!E"&amp;U1653)/100)</f>
        <v/>
      </c>
      <c r="H1653" s="784"/>
      <c r="I1653" s="798"/>
      <c r="J1653" s="777"/>
      <c r="K1653" s="795" t="str">
        <f ca="1">W1653</f>
        <v/>
      </c>
      <c r="L1653" s="795" t="str">
        <f ca="1">V1653</f>
        <v/>
      </c>
      <c r="M1653" s="777"/>
      <c r="N1653" s="777"/>
      <c r="P1653" s="89">
        <f ca="1">IF(AND(EXACT(C1653,C1651),C1651&lt;&gt;0),P1651+1,0)</f>
        <v>276</v>
      </c>
      <c r="Q1653" s="89" t="str">
        <f ca="1">IF(C1653&lt;&gt;"",C1653&amp;"-"&amp;P1653,"")</f>
        <v/>
      </c>
      <c r="R1653" s="89" t="str">
        <f t="array" aca="1" ref="R1653" ca="1">IFERROR(IF(INDEX('Disaggregation Records'!$E$155:$E$385,MATCH(RIGHT(Q1653,255),RIGHT('Disaggregation Records'!$D$155:$D$385,255),0))="","",INDEX('Disaggregation Records'!$E$155:$E$385,MATCH(RIGHT(Q1653,255),RIGHT('Disaggregation Records'!$D$155:$D$385,255),0))),"")</f>
        <v/>
      </c>
      <c r="S1653" s="89" t="str">
        <f t="array" aca="1" ref="S1653" ca="1">IFERROR(IF(INDEX('Disaggregation Records'!$F$155:$F$385,MATCH(RIGHT(Q1653,255),RIGHT('Disaggregation Records'!$D$155:$D$385,255),0))="","",INDEX('Disaggregation Records'!$F$155:$F$385,MATCH(RIGHT(Q1653,255),RIGHT('Disaggregation Records'!$D$155:$D$385,255),0))),"")</f>
        <v/>
      </c>
      <c r="T1653" s="89" t="str">
        <f t="array" aca="1" ref="T1653" ca="1">IFERROR(IF(INDEX('Disaggregation Records'!$H$155:$H$385,MATCH(RIGHT(Q1653,255),RIGHT('Disaggregation Records'!$D$155:$D$385,255),0))="","",INDEX('Disaggregation Records'!$H$155:$H$385,MATCH(RIGHT(Q1653,255),RIGHT('Disaggregation Records'!$D$155:$D$385,255),0))),"")</f>
        <v/>
      </c>
      <c r="U1653" s="89">
        <f>U1651+1</f>
        <v>1936</v>
      </c>
      <c r="V1653" s="89" t="str">
        <f t="array" aca="1" ref="V1653" ca="1">IFERROR(IF(INDEX('Disaggregation Records'!$I$155:$I$385,MATCH(RIGHT(Q1653,255),RIGHT('Disaggregation Records'!$D$155:$D$385,255),0))="","",INDEX('Disaggregation Records'!$I$155:$I$385,MATCH(RIGHT(Q1653,255),RIGHT('Disaggregation Records'!$D$155:$D$385,255),0))),"")</f>
        <v/>
      </c>
      <c r="W1653" s="89" t="str">
        <f ca="1">IFERROR(INDEX('Reference Records'!L$77:L$157,MATCH(LEFT(C1653,255),'Reference Records'!E$77:E$157,0)),"")</f>
        <v/>
      </c>
    </row>
    <row r="1654" spans="1:23" s="89" customFormat="1" ht="40.35" customHeight="1">
      <c r="A1654" s="564"/>
      <c r="B1654" s="799"/>
      <c r="C1654" s="800"/>
      <c r="D1654" s="801"/>
      <c r="E1654" s="801"/>
      <c r="F1654" s="128"/>
      <c r="G1654" s="802"/>
      <c r="H1654" s="781"/>
      <c r="I1654" s="803"/>
      <c r="J1654" s="779"/>
      <c r="K1654" s="800"/>
      <c r="L1654" s="800"/>
      <c r="M1654" s="779"/>
      <c r="N1654" s="779"/>
    </row>
    <row r="1655" spans="1:23" s="89" customFormat="1" ht="40.35" customHeight="1">
      <c r="A1655" s="564" t="str">
        <f ca="1">INDIRECT("'update Helper'!C"&amp;U1655)</f>
        <v>a163p000004Vjt2AAC</v>
      </c>
      <c r="B1655" s="794">
        <v>26</v>
      </c>
      <c r="C1655" s="795" t="str">
        <f ca="1">VLOOKUP(B1655,'Coverage Indicators - Section D'!$A$9:$AU$70,47,FALSE)</f>
        <v/>
      </c>
      <c r="D1655" s="796" t="str">
        <f ca="1">R1655</f>
        <v/>
      </c>
      <c r="E1655" s="796" t="str">
        <f ca="1">S1655</f>
        <v/>
      </c>
      <c r="F1655" s="127"/>
      <c r="G1655" s="797" t="str">
        <f ca="1">IF(OR(INDIRECT("'update Helper'!E"&amp;U1655)="",F1655&lt;&gt;0,F1656&lt;&gt;0),IF(IFERROR((F1655/F1656),"")="","",(F1655/F1656)),INDIRECT("'update Helper'!E"&amp;U1655)/100)</f>
        <v/>
      </c>
      <c r="H1655" s="784"/>
      <c r="I1655" s="798"/>
      <c r="J1655" s="777"/>
      <c r="K1655" s="795" t="str">
        <f ca="1">W1655</f>
        <v/>
      </c>
      <c r="L1655" s="795" t="str">
        <f ca="1">V1655</f>
        <v/>
      </c>
      <c r="M1655" s="777"/>
      <c r="N1655" s="777"/>
      <c r="P1655" s="89">
        <f ca="1">IF(AND(EXACT(C1655,C1653),C1653&lt;&gt;0),P1653+1,0)</f>
        <v>277</v>
      </c>
      <c r="Q1655" s="89" t="str">
        <f ca="1">IF(C1655&lt;&gt;"",C1655&amp;"-"&amp;P1655,"")</f>
        <v/>
      </c>
      <c r="R1655" s="89" t="str">
        <f t="array" aca="1" ref="R1655" ca="1">IFERROR(IF(INDEX('Disaggregation Records'!$E$155:$E$385,MATCH(RIGHT(Q1655,255),RIGHT('Disaggregation Records'!$D$155:$D$385,255),0))="","",INDEX('Disaggregation Records'!$E$155:$E$385,MATCH(RIGHT(Q1655,255),RIGHT('Disaggregation Records'!$D$155:$D$385,255),0))),"")</f>
        <v/>
      </c>
      <c r="S1655" s="89" t="str">
        <f t="array" aca="1" ref="S1655" ca="1">IFERROR(IF(INDEX('Disaggregation Records'!$F$155:$F$385,MATCH(RIGHT(Q1655,255),RIGHT('Disaggregation Records'!$D$155:$D$385,255),0))="","",INDEX('Disaggregation Records'!$F$155:$F$385,MATCH(RIGHT(Q1655,255),RIGHT('Disaggregation Records'!$D$155:$D$385,255),0))),"")</f>
        <v/>
      </c>
      <c r="T1655" s="89" t="str">
        <f t="array" aca="1" ref="T1655" ca="1">IFERROR(IF(INDEX('Disaggregation Records'!$H$155:$H$385,MATCH(RIGHT(Q1655,255),RIGHT('Disaggregation Records'!$D$155:$D$385,255),0))="","",INDEX('Disaggregation Records'!$H$155:$H$385,MATCH(RIGHT(Q1655,255),RIGHT('Disaggregation Records'!$D$155:$D$385,255),0))),"")</f>
        <v/>
      </c>
      <c r="U1655" s="89">
        <f>U1653+1</f>
        <v>1937</v>
      </c>
      <c r="V1655" s="89" t="str">
        <f t="array" aca="1" ref="V1655" ca="1">IFERROR(IF(INDEX('Disaggregation Records'!$I$155:$I$385,MATCH(RIGHT(Q1655,255),RIGHT('Disaggregation Records'!$D$155:$D$385,255),0))="","",INDEX('Disaggregation Records'!$I$155:$I$385,MATCH(RIGHT(Q1655,255),RIGHT('Disaggregation Records'!$D$155:$D$385,255),0))),"")</f>
        <v/>
      </c>
      <c r="W1655" s="89" t="str">
        <f ca="1">IFERROR(INDEX('Reference Records'!L$77:L$157,MATCH(LEFT(C1655,255),'Reference Records'!E$77:E$157,0)),"")</f>
        <v/>
      </c>
    </row>
    <row r="1656" spans="1:23" s="89" customFormat="1" ht="40.35" customHeight="1">
      <c r="A1656" s="564"/>
      <c r="B1656" s="799"/>
      <c r="C1656" s="800"/>
      <c r="D1656" s="801"/>
      <c r="E1656" s="801"/>
      <c r="F1656" s="128"/>
      <c r="G1656" s="802"/>
      <c r="H1656" s="781"/>
      <c r="I1656" s="803"/>
      <c r="J1656" s="779"/>
      <c r="K1656" s="800"/>
      <c r="L1656" s="800"/>
      <c r="M1656" s="779"/>
      <c r="N1656" s="779"/>
    </row>
    <row r="1657" spans="1:23" s="89" customFormat="1" ht="40.35" customHeight="1">
      <c r="A1657" s="564" t="str">
        <f ca="1">INDIRECT("'update Helper'!C"&amp;U1657)</f>
        <v>a163p000004Vjt3AAC</v>
      </c>
      <c r="B1657" s="794">
        <v>26</v>
      </c>
      <c r="C1657" s="795" t="str">
        <f ca="1">VLOOKUP(B1657,'Coverage Indicators - Section D'!$A$9:$AU$70,47,FALSE)</f>
        <v/>
      </c>
      <c r="D1657" s="796" t="str">
        <f ca="1">R1657</f>
        <v/>
      </c>
      <c r="E1657" s="796" t="str">
        <f ca="1">S1657</f>
        <v/>
      </c>
      <c r="F1657" s="127"/>
      <c r="G1657" s="797" t="str">
        <f ca="1">IF(OR(INDIRECT("'update Helper'!E"&amp;U1657)="",F1657&lt;&gt;0,F1658&lt;&gt;0),IF(IFERROR((F1657/F1658),"")="","",(F1657/F1658)),INDIRECT("'update Helper'!E"&amp;U1657)/100)</f>
        <v/>
      </c>
      <c r="H1657" s="784"/>
      <c r="I1657" s="798"/>
      <c r="J1657" s="777"/>
      <c r="K1657" s="795" t="str">
        <f ca="1">W1657</f>
        <v/>
      </c>
      <c r="L1657" s="795" t="str">
        <f ca="1">V1657</f>
        <v/>
      </c>
      <c r="M1657" s="777"/>
      <c r="N1657" s="777"/>
      <c r="P1657" s="89">
        <f ca="1">IF(AND(EXACT(C1657,C1655),C1655&lt;&gt;0),P1655+1,0)</f>
        <v>278</v>
      </c>
      <c r="Q1657" s="89" t="str">
        <f ca="1">IF(C1657&lt;&gt;"",C1657&amp;"-"&amp;P1657,"")</f>
        <v/>
      </c>
      <c r="R1657" s="89" t="str">
        <f t="array" aca="1" ref="R1657" ca="1">IFERROR(IF(INDEX('Disaggregation Records'!$E$155:$E$385,MATCH(RIGHT(Q1657,255),RIGHT('Disaggregation Records'!$D$155:$D$385,255),0))="","",INDEX('Disaggregation Records'!$E$155:$E$385,MATCH(RIGHT(Q1657,255),RIGHT('Disaggregation Records'!$D$155:$D$385,255),0))),"")</f>
        <v/>
      </c>
      <c r="S1657" s="89" t="str">
        <f t="array" aca="1" ref="S1657" ca="1">IFERROR(IF(INDEX('Disaggregation Records'!$F$155:$F$385,MATCH(RIGHT(Q1657,255),RIGHT('Disaggregation Records'!$D$155:$D$385,255),0))="","",INDEX('Disaggregation Records'!$F$155:$F$385,MATCH(RIGHT(Q1657,255),RIGHT('Disaggregation Records'!$D$155:$D$385,255),0))),"")</f>
        <v/>
      </c>
      <c r="T1657" s="89" t="str">
        <f t="array" aca="1" ref="T1657" ca="1">IFERROR(IF(INDEX('Disaggregation Records'!$H$155:$H$385,MATCH(RIGHT(Q1657,255),RIGHT('Disaggregation Records'!$D$155:$D$385,255),0))="","",INDEX('Disaggregation Records'!$H$155:$H$385,MATCH(RIGHT(Q1657,255),RIGHT('Disaggregation Records'!$D$155:$D$385,255),0))),"")</f>
        <v/>
      </c>
      <c r="U1657" s="89">
        <f>U1655+1</f>
        <v>1938</v>
      </c>
      <c r="V1657" s="89" t="str">
        <f t="array" aca="1" ref="V1657" ca="1">IFERROR(IF(INDEX('Disaggregation Records'!$I$155:$I$385,MATCH(RIGHT(Q1657,255),RIGHT('Disaggregation Records'!$D$155:$D$385,255),0))="","",INDEX('Disaggregation Records'!$I$155:$I$385,MATCH(RIGHT(Q1657,255),RIGHT('Disaggregation Records'!$D$155:$D$385,255),0))),"")</f>
        <v/>
      </c>
      <c r="W1657" s="89" t="str">
        <f ca="1">IFERROR(INDEX('Reference Records'!L$77:L$157,MATCH(LEFT(C1657,255),'Reference Records'!E$77:E$157,0)),"")</f>
        <v/>
      </c>
    </row>
    <row r="1658" spans="1:23" s="89" customFormat="1" ht="40.35" customHeight="1">
      <c r="A1658" s="564"/>
      <c r="B1658" s="799"/>
      <c r="C1658" s="800"/>
      <c r="D1658" s="801"/>
      <c r="E1658" s="801"/>
      <c r="F1658" s="128"/>
      <c r="G1658" s="802"/>
      <c r="H1658" s="781"/>
      <c r="I1658" s="803"/>
      <c r="J1658" s="779"/>
      <c r="K1658" s="800"/>
      <c r="L1658" s="800"/>
      <c r="M1658" s="779"/>
      <c r="N1658" s="779"/>
    </row>
    <row r="1659" spans="1:23" s="89" customFormat="1" ht="40.35" customHeight="1">
      <c r="A1659" s="564" t="str">
        <f ca="1">INDIRECT("'update Helper'!C"&amp;U1659)</f>
        <v>a163p000004Vjt4AAC</v>
      </c>
      <c r="B1659" s="794">
        <v>26</v>
      </c>
      <c r="C1659" s="795" t="str">
        <f ca="1">VLOOKUP(B1659,'Coverage Indicators - Section D'!$A$9:$AU$70,47,FALSE)</f>
        <v/>
      </c>
      <c r="D1659" s="796" t="str">
        <f ca="1">R1659</f>
        <v/>
      </c>
      <c r="E1659" s="796" t="str">
        <f ca="1">S1659</f>
        <v/>
      </c>
      <c r="F1659" s="127"/>
      <c r="G1659" s="797" t="str">
        <f ca="1">IF(OR(INDIRECT("'update Helper'!E"&amp;U1659)="",F1659&lt;&gt;0,F1660&lt;&gt;0),IF(IFERROR((F1659/F1660),"")="","",(F1659/F1660)),INDIRECT("'update Helper'!E"&amp;U1659)/100)</f>
        <v/>
      </c>
      <c r="H1659" s="784"/>
      <c r="I1659" s="798"/>
      <c r="J1659" s="777"/>
      <c r="K1659" s="795" t="str">
        <f ca="1">W1659</f>
        <v/>
      </c>
      <c r="L1659" s="795" t="str">
        <f ca="1">V1659</f>
        <v/>
      </c>
      <c r="M1659" s="777"/>
      <c r="N1659" s="777"/>
      <c r="P1659" s="89">
        <f ca="1">IF(AND(EXACT(C1659,C1657),C1657&lt;&gt;0),P1657+1,0)</f>
        <v>279</v>
      </c>
      <c r="Q1659" s="89" t="str">
        <f ca="1">IF(C1659&lt;&gt;"",C1659&amp;"-"&amp;P1659,"")</f>
        <v/>
      </c>
      <c r="R1659" s="89" t="str">
        <f t="array" aca="1" ref="R1659" ca="1">IFERROR(IF(INDEX('Disaggregation Records'!$E$155:$E$385,MATCH(RIGHT(Q1659,255),RIGHT('Disaggregation Records'!$D$155:$D$385,255),0))="","",INDEX('Disaggregation Records'!$E$155:$E$385,MATCH(RIGHT(Q1659,255),RIGHT('Disaggregation Records'!$D$155:$D$385,255),0))),"")</f>
        <v/>
      </c>
      <c r="S1659" s="89" t="str">
        <f t="array" aca="1" ref="S1659" ca="1">IFERROR(IF(INDEX('Disaggregation Records'!$F$155:$F$385,MATCH(RIGHT(Q1659,255),RIGHT('Disaggregation Records'!$D$155:$D$385,255),0))="","",INDEX('Disaggregation Records'!$F$155:$F$385,MATCH(RIGHT(Q1659,255),RIGHT('Disaggregation Records'!$D$155:$D$385,255),0))),"")</f>
        <v/>
      </c>
      <c r="T1659" s="89" t="str">
        <f t="array" aca="1" ref="T1659" ca="1">IFERROR(IF(INDEX('Disaggregation Records'!$H$155:$H$385,MATCH(RIGHT(Q1659,255),RIGHT('Disaggregation Records'!$D$155:$D$385,255),0))="","",INDEX('Disaggregation Records'!$H$155:$H$385,MATCH(RIGHT(Q1659,255),RIGHT('Disaggregation Records'!$D$155:$D$385,255),0))),"")</f>
        <v/>
      </c>
      <c r="U1659" s="89">
        <f>U1657+1</f>
        <v>1939</v>
      </c>
      <c r="V1659" s="89" t="str">
        <f t="array" aca="1" ref="V1659" ca="1">IFERROR(IF(INDEX('Disaggregation Records'!$I$155:$I$385,MATCH(RIGHT(Q1659,255),RIGHT('Disaggregation Records'!$D$155:$D$385,255),0))="","",INDEX('Disaggregation Records'!$I$155:$I$385,MATCH(RIGHT(Q1659,255),RIGHT('Disaggregation Records'!$D$155:$D$385,255),0))),"")</f>
        <v/>
      </c>
      <c r="W1659" s="89" t="str">
        <f ca="1">IFERROR(INDEX('Reference Records'!L$77:L$157,MATCH(LEFT(C1659,255),'Reference Records'!E$77:E$157,0)),"")</f>
        <v/>
      </c>
    </row>
    <row r="1660" spans="1:23" s="89" customFormat="1" ht="40.35" customHeight="1">
      <c r="A1660" s="564"/>
      <c r="B1660" s="799"/>
      <c r="C1660" s="800"/>
      <c r="D1660" s="801"/>
      <c r="E1660" s="801"/>
      <c r="F1660" s="128"/>
      <c r="G1660" s="802"/>
      <c r="H1660" s="781"/>
      <c r="I1660" s="803"/>
      <c r="J1660" s="779"/>
      <c r="K1660" s="800"/>
      <c r="L1660" s="800"/>
      <c r="M1660" s="779"/>
      <c r="N1660" s="779"/>
    </row>
    <row r="1661" spans="1:23" s="89" customFormat="1" ht="40.35" customHeight="1">
      <c r="A1661" s="564" t="str">
        <f ca="1">INDIRECT("'update Helper'!C"&amp;U1661)</f>
        <v>a163p000004Vjt5AAC</v>
      </c>
      <c r="B1661" s="794">
        <v>27</v>
      </c>
      <c r="C1661" s="795" t="str">
        <f ca="1">VLOOKUP(B1661,'Coverage Indicators - Section D'!$A$9:$AU$70,47,FALSE)</f>
        <v/>
      </c>
      <c r="D1661" s="796" t="str">
        <f ca="1">R1661</f>
        <v/>
      </c>
      <c r="E1661" s="796" t="str">
        <f ca="1">S1661</f>
        <v/>
      </c>
      <c r="F1661" s="127"/>
      <c r="G1661" s="797" t="str">
        <f ca="1">IF(OR(INDIRECT("'update Helper'!E"&amp;U1661)="",F1661&lt;&gt;0,F1662&lt;&gt;0),IF(IFERROR((F1661/F1662),"")="","",(F1661/F1662)),INDIRECT("'update Helper'!E"&amp;U1661)/100)</f>
        <v/>
      </c>
      <c r="H1661" s="784"/>
      <c r="I1661" s="798"/>
      <c r="J1661" s="777"/>
      <c r="K1661" s="795" t="str">
        <f ca="1">W1661</f>
        <v/>
      </c>
      <c r="L1661" s="795" t="str">
        <f ca="1">V1661</f>
        <v/>
      </c>
      <c r="M1661" s="777"/>
      <c r="N1661" s="777"/>
      <c r="P1661" s="89">
        <f ca="1">IF(AND(EXACT(C1661,C1659),C1659&lt;&gt;0),P1659+1,0)</f>
        <v>280</v>
      </c>
      <c r="Q1661" s="89" t="str">
        <f ca="1">IF(C1661&lt;&gt;"",C1661&amp;"-"&amp;P1661,"")</f>
        <v/>
      </c>
      <c r="R1661" s="89" t="str">
        <f t="array" aca="1" ref="R1661" ca="1">IFERROR(IF(INDEX('Disaggregation Records'!$E$155:$E$385,MATCH(RIGHT(Q1661,255),RIGHT('Disaggregation Records'!$D$155:$D$385,255),0))="","",INDEX('Disaggregation Records'!$E$155:$E$385,MATCH(RIGHT(Q1661,255),RIGHT('Disaggregation Records'!$D$155:$D$385,255),0))),"")</f>
        <v/>
      </c>
      <c r="S1661" s="89" t="str">
        <f t="array" aca="1" ref="S1661" ca="1">IFERROR(IF(INDEX('Disaggregation Records'!$F$155:$F$385,MATCH(RIGHT(Q1661,255),RIGHT('Disaggregation Records'!$D$155:$D$385,255),0))="","",INDEX('Disaggregation Records'!$F$155:$F$385,MATCH(RIGHT(Q1661,255),RIGHT('Disaggregation Records'!$D$155:$D$385,255),0))),"")</f>
        <v/>
      </c>
      <c r="T1661" s="89" t="str">
        <f t="array" aca="1" ref="T1661" ca="1">IFERROR(IF(INDEX('Disaggregation Records'!$H$155:$H$385,MATCH(RIGHT(Q1661,255),RIGHT('Disaggregation Records'!$D$155:$D$385,255),0))="","",INDEX('Disaggregation Records'!$H$155:$H$385,MATCH(RIGHT(Q1661,255),RIGHT('Disaggregation Records'!$D$155:$D$385,255),0))),"")</f>
        <v/>
      </c>
      <c r="U1661" s="89">
        <f>U1659+1</f>
        <v>1940</v>
      </c>
      <c r="V1661" s="89" t="str">
        <f t="array" aca="1" ref="V1661" ca="1">IFERROR(IF(INDEX('Disaggregation Records'!$I$155:$I$385,MATCH(RIGHT(Q1661,255),RIGHT('Disaggregation Records'!$D$155:$D$385,255),0))="","",INDEX('Disaggregation Records'!$I$155:$I$385,MATCH(RIGHT(Q1661,255),RIGHT('Disaggregation Records'!$D$155:$D$385,255),0))),"")</f>
        <v/>
      </c>
      <c r="W1661" s="89" t="str">
        <f ca="1">IFERROR(INDEX('Reference Records'!L$77:L$157,MATCH(LEFT(C1661,255),'Reference Records'!E$77:E$157,0)),"")</f>
        <v/>
      </c>
    </row>
    <row r="1662" spans="1:23" s="89" customFormat="1" ht="40.35" customHeight="1">
      <c r="A1662" s="564"/>
      <c r="B1662" s="799"/>
      <c r="C1662" s="800"/>
      <c r="D1662" s="801"/>
      <c r="E1662" s="801"/>
      <c r="F1662" s="128"/>
      <c r="G1662" s="802"/>
      <c r="H1662" s="781"/>
      <c r="I1662" s="803"/>
      <c r="J1662" s="779"/>
      <c r="K1662" s="800"/>
      <c r="L1662" s="800"/>
      <c r="M1662" s="779"/>
      <c r="N1662" s="779"/>
    </row>
    <row r="1663" spans="1:23" s="89" customFormat="1" ht="40.35" customHeight="1">
      <c r="A1663" s="564" t="str">
        <f ca="1">INDIRECT("'update Helper'!C"&amp;U1663)</f>
        <v>a163p000004Vjt6AAC</v>
      </c>
      <c r="B1663" s="794">
        <v>27</v>
      </c>
      <c r="C1663" s="795" t="str">
        <f ca="1">VLOOKUP(B1663,'Coverage Indicators - Section D'!$A$9:$AU$70,47,FALSE)</f>
        <v/>
      </c>
      <c r="D1663" s="796" t="str">
        <f ca="1">R1663</f>
        <v/>
      </c>
      <c r="E1663" s="796" t="str">
        <f ca="1">S1663</f>
        <v/>
      </c>
      <c r="F1663" s="127"/>
      <c r="G1663" s="797" t="str">
        <f ca="1">IF(OR(INDIRECT("'update Helper'!E"&amp;U1663)="",F1663&lt;&gt;0,F1664&lt;&gt;0),IF(IFERROR((F1663/F1664),"")="","",(F1663/F1664)),INDIRECT("'update Helper'!E"&amp;U1663)/100)</f>
        <v/>
      </c>
      <c r="H1663" s="784"/>
      <c r="I1663" s="798"/>
      <c r="J1663" s="777"/>
      <c r="K1663" s="795" t="str">
        <f ca="1">W1663</f>
        <v/>
      </c>
      <c r="L1663" s="795" t="str">
        <f ca="1">V1663</f>
        <v/>
      </c>
      <c r="M1663" s="777"/>
      <c r="N1663" s="777"/>
      <c r="P1663" s="89">
        <f ca="1">IF(AND(EXACT(C1663,C1661),C1661&lt;&gt;0),P1661+1,0)</f>
        <v>281</v>
      </c>
      <c r="Q1663" s="89" t="str">
        <f ca="1">IF(C1663&lt;&gt;"",C1663&amp;"-"&amp;P1663,"")</f>
        <v/>
      </c>
      <c r="R1663" s="89" t="str">
        <f t="array" aca="1" ref="R1663" ca="1">IFERROR(IF(INDEX('Disaggregation Records'!$E$155:$E$385,MATCH(RIGHT(Q1663,255),RIGHT('Disaggregation Records'!$D$155:$D$385,255),0))="","",INDEX('Disaggregation Records'!$E$155:$E$385,MATCH(RIGHT(Q1663,255),RIGHT('Disaggregation Records'!$D$155:$D$385,255),0))),"")</f>
        <v/>
      </c>
      <c r="S1663" s="89" t="str">
        <f t="array" aca="1" ref="S1663" ca="1">IFERROR(IF(INDEX('Disaggregation Records'!$F$155:$F$385,MATCH(RIGHT(Q1663,255),RIGHT('Disaggregation Records'!$D$155:$D$385,255),0))="","",INDEX('Disaggregation Records'!$F$155:$F$385,MATCH(RIGHT(Q1663,255),RIGHT('Disaggregation Records'!$D$155:$D$385,255),0))),"")</f>
        <v/>
      </c>
      <c r="T1663" s="89" t="str">
        <f t="array" aca="1" ref="T1663" ca="1">IFERROR(IF(INDEX('Disaggregation Records'!$H$155:$H$385,MATCH(RIGHT(Q1663,255),RIGHT('Disaggregation Records'!$D$155:$D$385,255),0))="","",INDEX('Disaggregation Records'!$H$155:$H$385,MATCH(RIGHT(Q1663,255),RIGHT('Disaggregation Records'!$D$155:$D$385,255),0))),"")</f>
        <v/>
      </c>
      <c r="U1663" s="89">
        <f>U1661+1</f>
        <v>1941</v>
      </c>
      <c r="V1663" s="89" t="str">
        <f t="array" aca="1" ref="V1663" ca="1">IFERROR(IF(INDEX('Disaggregation Records'!$I$155:$I$385,MATCH(RIGHT(Q1663,255),RIGHT('Disaggregation Records'!$D$155:$D$385,255),0))="","",INDEX('Disaggregation Records'!$I$155:$I$385,MATCH(RIGHT(Q1663,255),RIGHT('Disaggregation Records'!$D$155:$D$385,255),0))),"")</f>
        <v/>
      </c>
      <c r="W1663" s="89" t="str">
        <f ca="1">IFERROR(INDEX('Reference Records'!L$77:L$157,MATCH(LEFT(C1663,255),'Reference Records'!E$77:E$157,0)),"")</f>
        <v/>
      </c>
    </row>
    <row r="1664" spans="1:23" s="89" customFormat="1" ht="40.35" customHeight="1">
      <c r="A1664" s="564"/>
      <c r="B1664" s="799"/>
      <c r="C1664" s="800"/>
      <c r="D1664" s="801"/>
      <c r="E1664" s="801"/>
      <c r="F1664" s="128"/>
      <c r="G1664" s="802"/>
      <c r="H1664" s="781"/>
      <c r="I1664" s="803"/>
      <c r="J1664" s="779"/>
      <c r="K1664" s="800"/>
      <c r="L1664" s="800"/>
      <c r="M1664" s="779"/>
      <c r="N1664" s="779"/>
    </row>
    <row r="1665" spans="1:23" s="89" customFormat="1" ht="40.35" customHeight="1">
      <c r="A1665" s="564" t="str">
        <f ca="1">INDIRECT("'update Helper'!C"&amp;U1665)</f>
        <v>a163p000004Vjt7AAC</v>
      </c>
      <c r="B1665" s="794">
        <v>27</v>
      </c>
      <c r="C1665" s="795" t="str">
        <f ca="1">VLOOKUP(B1665,'Coverage Indicators - Section D'!$A$9:$AU$70,47,FALSE)</f>
        <v/>
      </c>
      <c r="D1665" s="796" t="str">
        <f ca="1">R1665</f>
        <v/>
      </c>
      <c r="E1665" s="796" t="str">
        <f ca="1">S1665</f>
        <v/>
      </c>
      <c r="F1665" s="127"/>
      <c r="G1665" s="797" t="str">
        <f ca="1">IF(OR(INDIRECT("'update Helper'!E"&amp;U1665)="",F1665&lt;&gt;0,F1666&lt;&gt;0),IF(IFERROR((F1665/F1666),"")="","",(F1665/F1666)),INDIRECT("'update Helper'!E"&amp;U1665)/100)</f>
        <v/>
      </c>
      <c r="H1665" s="784"/>
      <c r="I1665" s="798"/>
      <c r="J1665" s="777"/>
      <c r="K1665" s="795" t="str">
        <f ca="1">W1665</f>
        <v/>
      </c>
      <c r="L1665" s="795" t="str">
        <f ca="1">V1665</f>
        <v/>
      </c>
      <c r="M1665" s="777"/>
      <c r="N1665" s="777"/>
      <c r="P1665" s="89">
        <f ca="1">IF(AND(EXACT(C1665,C1663),C1663&lt;&gt;0),P1663+1,0)</f>
        <v>282</v>
      </c>
      <c r="Q1665" s="89" t="str">
        <f ca="1">IF(C1665&lt;&gt;"",C1665&amp;"-"&amp;P1665,"")</f>
        <v/>
      </c>
      <c r="R1665" s="89" t="str">
        <f t="array" aca="1" ref="R1665" ca="1">IFERROR(IF(INDEX('Disaggregation Records'!$E$155:$E$385,MATCH(RIGHT(Q1665,255),RIGHT('Disaggregation Records'!$D$155:$D$385,255),0))="","",INDEX('Disaggregation Records'!$E$155:$E$385,MATCH(RIGHT(Q1665,255),RIGHT('Disaggregation Records'!$D$155:$D$385,255),0))),"")</f>
        <v/>
      </c>
      <c r="S1665" s="89" t="str">
        <f t="array" aca="1" ref="S1665" ca="1">IFERROR(IF(INDEX('Disaggregation Records'!$F$155:$F$385,MATCH(RIGHT(Q1665,255),RIGHT('Disaggregation Records'!$D$155:$D$385,255),0))="","",INDEX('Disaggregation Records'!$F$155:$F$385,MATCH(RIGHT(Q1665,255),RIGHT('Disaggregation Records'!$D$155:$D$385,255),0))),"")</f>
        <v/>
      </c>
      <c r="T1665" s="89" t="str">
        <f t="array" aca="1" ref="T1665" ca="1">IFERROR(IF(INDEX('Disaggregation Records'!$H$155:$H$385,MATCH(RIGHT(Q1665,255),RIGHT('Disaggregation Records'!$D$155:$D$385,255),0))="","",INDEX('Disaggregation Records'!$H$155:$H$385,MATCH(RIGHT(Q1665,255),RIGHT('Disaggregation Records'!$D$155:$D$385,255),0))),"")</f>
        <v/>
      </c>
      <c r="U1665" s="89">
        <f>U1663+1</f>
        <v>1942</v>
      </c>
      <c r="V1665" s="89" t="str">
        <f t="array" aca="1" ref="V1665" ca="1">IFERROR(IF(INDEX('Disaggregation Records'!$I$155:$I$385,MATCH(RIGHT(Q1665,255),RIGHT('Disaggregation Records'!$D$155:$D$385,255),0))="","",INDEX('Disaggregation Records'!$I$155:$I$385,MATCH(RIGHT(Q1665,255),RIGHT('Disaggregation Records'!$D$155:$D$385,255),0))),"")</f>
        <v/>
      </c>
      <c r="W1665" s="89" t="str">
        <f ca="1">IFERROR(INDEX('Reference Records'!L$77:L$157,MATCH(LEFT(C1665,255),'Reference Records'!E$77:E$157,0)),"")</f>
        <v/>
      </c>
    </row>
    <row r="1666" spans="1:23" s="89" customFormat="1" ht="40.35" customHeight="1">
      <c r="A1666" s="564"/>
      <c r="B1666" s="799"/>
      <c r="C1666" s="800"/>
      <c r="D1666" s="801"/>
      <c r="E1666" s="801"/>
      <c r="F1666" s="128"/>
      <c r="G1666" s="802"/>
      <c r="H1666" s="781"/>
      <c r="I1666" s="803"/>
      <c r="J1666" s="779"/>
      <c r="K1666" s="800"/>
      <c r="L1666" s="800"/>
      <c r="M1666" s="779"/>
      <c r="N1666" s="779"/>
    </row>
    <row r="1667" spans="1:23" s="89" customFormat="1" ht="40.35" customHeight="1">
      <c r="A1667" s="564" t="str">
        <f ca="1">INDIRECT("'update Helper'!C"&amp;U1667)</f>
        <v>a163p000004Vjt8AAC</v>
      </c>
      <c r="B1667" s="794">
        <v>27</v>
      </c>
      <c r="C1667" s="795" t="str">
        <f ca="1">VLOOKUP(B1667,'Coverage Indicators - Section D'!$A$9:$AU$70,47,FALSE)</f>
        <v/>
      </c>
      <c r="D1667" s="796" t="str">
        <f ca="1">R1667</f>
        <v/>
      </c>
      <c r="E1667" s="796" t="str">
        <f ca="1">S1667</f>
        <v/>
      </c>
      <c r="F1667" s="127"/>
      <c r="G1667" s="797" t="str">
        <f ca="1">IF(OR(INDIRECT("'update Helper'!E"&amp;U1667)="",F1667&lt;&gt;0,F1668&lt;&gt;0),IF(IFERROR((F1667/F1668),"")="","",(F1667/F1668)),INDIRECT("'update Helper'!E"&amp;U1667)/100)</f>
        <v/>
      </c>
      <c r="H1667" s="784"/>
      <c r="I1667" s="798"/>
      <c r="J1667" s="777"/>
      <c r="K1667" s="795" t="str">
        <f ca="1">W1667</f>
        <v/>
      </c>
      <c r="L1667" s="795" t="str">
        <f ca="1">V1667</f>
        <v/>
      </c>
      <c r="M1667" s="777"/>
      <c r="N1667" s="777"/>
      <c r="P1667" s="89">
        <f ca="1">IF(AND(EXACT(C1667,C1665),C1665&lt;&gt;0),P1665+1,0)</f>
        <v>283</v>
      </c>
      <c r="Q1667" s="89" t="str">
        <f ca="1">IF(C1667&lt;&gt;"",C1667&amp;"-"&amp;P1667,"")</f>
        <v/>
      </c>
      <c r="R1667" s="89" t="str">
        <f t="array" aca="1" ref="R1667" ca="1">IFERROR(IF(INDEX('Disaggregation Records'!$E$155:$E$385,MATCH(RIGHT(Q1667,255),RIGHT('Disaggregation Records'!$D$155:$D$385,255),0))="","",INDEX('Disaggregation Records'!$E$155:$E$385,MATCH(RIGHT(Q1667,255),RIGHT('Disaggregation Records'!$D$155:$D$385,255),0))),"")</f>
        <v/>
      </c>
      <c r="S1667" s="89" t="str">
        <f t="array" aca="1" ref="S1667" ca="1">IFERROR(IF(INDEX('Disaggregation Records'!$F$155:$F$385,MATCH(RIGHT(Q1667,255),RIGHT('Disaggregation Records'!$D$155:$D$385,255),0))="","",INDEX('Disaggregation Records'!$F$155:$F$385,MATCH(RIGHT(Q1667,255),RIGHT('Disaggregation Records'!$D$155:$D$385,255),0))),"")</f>
        <v/>
      </c>
      <c r="T1667" s="89" t="str">
        <f t="array" aca="1" ref="T1667" ca="1">IFERROR(IF(INDEX('Disaggregation Records'!$H$155:$H$385,MATCH(RIGHT(Q1667,255),RIGHT('Disaggregation Records'!$D$155:$D$385,255),0))="","",INDEX('Disaggregation Records'!$H$155:$H$385,MATCH(RIGHT(Q1667,255),RIGHT('Disaggregation Records'!$D$155:$D$385,255),0))),"")</f>
        <v/>
      </c>
      <c r="U1667" s="89">
        <f>U1665+1</f>
        <v>1943</v>
      </c>
      <c r="V1667" s="89" t="str">
        <f t="array" aca="1" ref="V1667" ca="1">IFERROR(IF(INDEX('Disaggregation Records'!$I$155:$I$385,MATCH(RIGHT(Q1667,255),RIGHT('Disaggregation Records'!$D$155:$D$385,255),0))="","",INDEX('Disaggregation Records'!$I$155:$I$385,MATCH(RIGHT(Q1667,255),RIGHT('Disaggregation Records'!$D$155:$D$385,255),0))),"")</f>
        <v/>
      </c>
      <c r="W1667" s="89" t="str">
        <f ca="1">IFERROR(INDEX('Reference Records'!L$77:L$157,MATCH(LEFT(C1667,255),'Reference Records'!E$77:E$157,0)),"")</f>
        <v/>
      </c>
    </row>
    <row r="1668" spans="1:23" s="89" customFormat="1" ht="40.35" customHeight="1">
      <c r="A1668" s="564"/>
      <c r="B1668" s="799"/>
      <c r="C1668" s="800"/>
      <c r="D1668" s="801"/>
      <c r="E1668" s="801"/>
      <c r="F1668" s="128"/>
      <c r="G1668" s="802"/>
      <c r="H1668" s="781"/>
      <c r="I1668" s="803"/>
      <c r="J1668" s="779"/>
      <c r="K1668" s="800"/>
      <c r="L1668" s="800"/>
      <c r="M1668" s="779"/>
      <c r="N1668" s="779"/>
    </row>
    <row r="1669" spans="1:23" s="89" customFormat="1" ht="40.35" customHeight="1">
      <c r="A1669" s="564" t="str">
        <f ca="1">INDIRECT("'update Helper'!C"&amp;U1669)</f>
        <v>a163p000004Vjt9AAC</v>
      </c>
      <c r="B1669" s="794">
        <v>27</v>
      </c>
      <c r="C1669" s="795" t="str">
        <f ca="1">VLOOKUP(B1669,'Coverage Indicators - Section D'!$A$9:$AU$70,47,FALSE)</f>
        <v/>
      </c>
      <c r="D1669" s="796" t="str">
        <f ca="1">R1669</f>
        <v/>
      </c>
      <c r="E1669" s="796" t="str">
        <f ca="1">S1669</f>
        <v/>
      </c>
      <c r="F1669" s="127"/>
      <c r="G1669" s="797" t="str">
        <f ca="1">IF(OR(INDIRECT("'update Helper'!E"&amp;U1669)="",F1669&lt;&gt;0,F1670&lt;&gt;0),IF(IFERROR((F1669/F1670),"")="","",(F1669/F1670)),INDIRECT("'update Helper'!E"&amp;U1669)/100)</f>
        <v/>
      </c>
      <c r="H1669" s="784"/>
      <c r="I1669" s="798"/>
      <c r="J1669" s="777"/>
      <c r="K1669" s="795" t="str">
        <f ca="1">W1669</f>
        <v/>
      </c>
      <c r="L1669" s="795" t="str">
        <f ca="1">V1669</f>
        <v/>
      </c>
      <c r="M1669" s="777"/>
      <c r="N1669" s="777"/>
      <c r="P1669" s="89">
        <f ca="1">IF(AND(EXACT(C1669,C1667),C1667&lt;&gt;0),P1667+1,0)</f>
        <v>284</v>
      </c>
      <c r="Q1669" s="89" t="str">
        <f ca="1">IF(C1669&lt;&gt;"",C1669&amp;"-"&amp;P1669,"")</f>
        <v/>
      </c>
      <c r="R1669" s="89" t="str">
        <f t="array" aca="1" ref="R1669" ca="1">IFERROR(IF(INDEX('Disaggregation Records'!$E$155:$E$385,MATCH(RIGHT(Q1669,255),RIGHT('Disaggregation Records'!$D$155:$D$385,255),0))="","",INDEX('Disaggregation Records'!$E$155:$E$385,MATCH(RIGHT(Q1669,255),RIGHT('Disaggregation Records'!$D$155:$D$385,255),0))),"")</f>
        <v/>
      </c>
      <c r="S1669" s="89" t="str">
        <f t="array" aca="1" ref="S1669" ca="1">IFERROR(IF(INDEX('Disaggregation Records'!$F$155:$F$385,MATCH(RIGHT(Q1669,255),RIGHT('Disaggregation Records'!$D$155:$D$385,255),0))="","",INDEX('Disaggregation Records'!$F$155:$F$385,MATCH(RIGHT(Q1669,255),RIGHT('Disaggregation Records'!$D$155:$D$385,255),0))),"")</f>
        <v/>
      </c>
      <c r="T1669" s="89" t="str">
        <f t="array" aca="1" ref="T1669" ca="1">IFERROR(IF(INDEX('Disaggregation Records'!$H$155:$H$385,MATCH(RIGHT(Q1669,255),RIGHT('Disaggregation Records'!$D$155:$D$385,255),0))="","",INDEX('Disaggregation Records'!$H$155:$H$385,MATCH(RIGHT(Q1669,255),RIGHT('Disaggregation Records'!$D$155:$D$385,255),0))),"")</f>
        <v/>
      </c>
      <c r="U1669" s="89">
        <f>U1667+1</f>
        <v>1944</v>
      </c>
      <c r="V1669" s="89" t="str">
        <f t="array" aca="1" ref="V1669" ca="1">IFERROR(IF(INDEX('Disaggregation Records'!$I$155:$I$385,MATCH(RIGHT(Q1669,255),RIGHT('Disaggregation Records'!$D$155:$D$385,255),0))="","",INDEX('Disaggregation Records'!$I$155:$I$385,MATCH(RIGHT(Q1669,255),RIGHT('Disaggregation Records'!$D$155:$D$385,255),0))),"")</f>
        <v/>
      </c>
      <c r="W1669" s="89" t="str">
        <f ca="1">IFERROR(INDEX('Reference Records'!L$77:L$157,MATCH(LEFT(C1669,255),'Reference Records'!E$77:E$157,0)),"")</f>
        <v/>
      </c>
    </row>
    <row r="1670" spans="1:23" s="89" customFormat="1" ht="40.35" customHeight="1">
      <c r="A1670" s="564"/>
      <c r="B1670" s="799"/>
      <c r="C1670" s="800"/>
      <c r="D1670" s="801"/>
      <c r="E1670" s="801"/>
      <c r="F1670" s="128"/>
      <c r="G1670" s="802"/>
      <c r="H1670" s="781"/>
      <c r="I1670" s="803"/>
      <c r="J1670" s="779"/>
      <c r="K1670" s="800"/>
      <c r="L1670" s="800"/>
      <c r="M1670" s="779"/>
      <c r="N1670" s="779"/>
    </row>
    <row r="1671" spans="1:23" s="89" customFormat="1" ht="40.35" customHeight="1">
      <c r="A1671" s="564" t="str">
        <f ca="1">INDIRECT("'update Helper'!C"&amp;U1671)</f>
        <v>a163p000004VjtAAAS</v>
      </c>
      <c r="B1671" s="794">
        <v>27</v>
      </c>
      <c r="C1671" s="795" t="str">
        <f ca="1">VLOOKUP(B1671,'Coverage Indicators - Section D'!$A$9:$AU$70,47,FALSE)</f>
        <v/>
      </c>
      <c r="D1671" s="796" t="str">
        <f ca="1">R1671</f>
        <v/>
      </c>
      <c r="E1671" s="796" t="str">
        <f ca="1">S1671</f>
        <v/>
      </c>
      <c r="F1671" s="127"/>
      <c r="G1671" s="797" t="str">
        <f ca="1">IF(OR(INDIRECT("'update Helper'!E"&amp;U1671)="",F1671&lt;&gt;0,F1672&lt;&gt;0),IF(IFERROR((F1671/F1672),"")="","",(F1671/F1672)),INDIRECT("'update Helper'!E"&amp;U1671)/100)</f>
        <v/>
      </c>
      <c r="H1671" s="784"/>
      <c r="I1671" s="798"/>
      <c r="J1671" s="777"/>
      <c r="K1671" s="795" t="str">
        <f ca="1">W1671</f>
        <v/>
      </c>
      <c r="L1671" s="795" t="str">
        <f ca="1">V1671</f>
        <v/>
      </c>
      <c r="M1671" s="777"/>
      <c r="N1671" s="777"/>
      <c r="P1671" s="89">
        <f ca="1">IF(AND(EXACT(C1671,C1669),C1669&lt;&gt;0),P1669+1,0)</f>
        <v>285</v>
      </c>
      <c r="Q1671" s="89" t="str">
        <f ca="1">IF(C1671&lt;&gt;"",C1671&amp;"-"&amp;P1671,"")</f>
        <v/>
      </c>
      <c r="R1671" s="89" t="str">
        <f t="array" aca="1" ref="R1671" ca="1">IFERROR(IF(INDEX('Disaggregation Records'!$E$155:$E$385,MATCH(RIGHT(Q1671,255),RIGHT('Disaggregation Records'!$D$155:$D$385,255),0))="","",INDEX('Disaggregation Records'!$E$155:$E$385,MATCH(RIGHT(Q1671,255),RIGHT('Disaggregation Records'!$D$155:$D$385,255),0))),"")</f>
        <v/>
      </c>
      <c r="S1671" s="89" t="str">
        <f t="array" aca="1" ref="S1671" ca="1">IFERROR(IF(INDEX('Disaggregation Records'!$F$155:$F$385,MATCH(RIGHT(Q1671,255),RIGHT('Disaggregation Records'!$D$155:$D$385,255),0))="","",INDEX('Disaggregation Records'!$F$155:$F$385,MATCH(RIGHT(Q1671,255),RIGHT('Disaggregation Records'!$D$155:$D$385,255),0))),"")</f>
        <v/>
      </c>
      <c r="T1671" s="89" t="str">
        <f t="array" aca="1" ref="T1671" ca="1">IFERROR(IF(INDEX('Disaggregation Records'!$H$155:$H$385,MATCH(RIGHT(Q1671,255),RIGHT('Disaggregation Records'!$D$155:$D$385,255),0))="","",INDEX('Disaggregation Records'!$H$155:$H$385,MATCH(RIGHT(Q1671,255),RIGHT('Disaggregation Records'!$D$155:$D$385,255),0))),"")</f>
        <v/>
      </c>
      <c r="U1671" s="89">
        <f>U1669+1</f>
        <v>1945</v>
      </c>
      <c r="V1671" s="89" t="str">
        <f t="array" aca="1" ref="V1671" ca="1">IFERROR(IF(INDEX('Disaggregation Records'!$I$155:$I$385,MATCH(RIGHT(Q1671,255),RIGHT('Disaggregation Records'!$D$155:$D$385,255),0))="","",INDEX('Disaggregation Records'!$I$155:$I$385,MATCH(RIGHT(Q1671,255),RIGHT('Disaggregation Records'!$D$155:$D$385,255),0))),"")</f>
        <v/>
      </c>
      <c r="W1671" s="89" t="str">
        <f ca="1">IFERROR(INDEX('Reference Records'!L$77:L$157,MATCH(LEFT(C1671,255),'Reference Records'!E$77:E$157,0)),"")</f>
        <v/>
      </c>
    </row>
    <row r="1672" spans="1:23" s="89" customFormat="1" ht="40.35" customHeight="1">
      <c r="A1672" s="564"/>
      <c r="B1672" s="799"/>
      <c r="C1672" s="800"/>
      <c r="D1672" s="801"/>
      <c r="E1672" s="801"/>
      <c r="F1672" s="128"/>
      <c r="G1672" s="802"/>
      <c r="H1672" s="781"/>
      <c r="I1672" s="803"/>
      <c r="J1672" s="779"/>
      <c r="K1672" s="800"/>
      <c r="L1672" s="800"/>
      <c r="M1672" s="779"/>
      <c r="N1672" s="779"/>
    </row>
    <row r="1673" spans="1:23" s="89" customFormat="1" ht="40.35" customHeight="1">
      <c r="A1673" s="564" t="str">
        <f ca="1">INDIRECT("'update Helper'!C"&amp;U1673)</f>
        <v>a163p000004VjtBAAS</v>
      </c>
      <c r="B1673" s="794">
        <v>27</v>
      </c>
      <c r="C1673" s="795" t="str">
        <f ca="1">VLOOKUP(B1673,'Coverage Indicators - Section D'!$A$9:$AU$70,47,FALSE)</f>
        <v/>
      </c>
      <c r="D1673" s="796" t="str">
        <f ca="1">R1673</f>
        <v/>
      </c>
      <c r="E1673" s="796" t="str">
        <f ca="1">S1673</f>
        <v/>
      </c>
      <c r="F1673" s="127"/>
      <c r="G1673" s="797" t="str">
        <f ca="1">IF(OR(INDIRECT("'update Helper'!E"&amp;U1673)="",F1673&lt;&gt;0,F1674&lt;&gt;0),IF(IFERROR((F1673/F1674),"")="","",(F1673/F1674)),INDIRECT("'update Helper'!E"&amp;U1673)/100)</f>
        <v/>
      </c>
      <c r="H1673" s="784"/>
      <c r="I1673" s="798"/>
      <c r="J1673" s="777"/>
      <c r="K1673" s="795" t="str">
        <f ca="1">W1673</f>
        <v/>
      </c>
      <c r="L1673" s="795" t="str">
        <f ca="1">V1673</f>
        <v/>
      </c>
      <c r="M1673" s="777"/>
      <c r="N1673" s="777"/>
      <c r="P1673" s="89">
        <f ca="1">IF(AND(EXACT(C1673,C1671),C1671&lt;&gt;0),P1671+1,0)</f>
        <v>286</v>
      </c>
      <c r="Q1673" s="89" t="str">
        <f ca="1">IF(C1673&lt;&gt;"",C1673&amp;"-"&amp;P1673,"")</f>
        <v/>
      </c>
      <c r="R1673" s="89" t="str">
        <f t="array" aca="1" ref="R1673" ca="1">IFERROR(IF(INDEX('Disaggregation Records'!$E$155:$E$385,MATCH(RIGHT(Q1673,255),RIGHT('Disaggregation Records'!$D$155:$D$385,255),0))="","",INDEX('Disaggregation Records'!$E$155:$E$385,MATCH(RIGHT(Q1673,255),RIGHT('Disaggregation Records'!$D$155:$D$385,255),0))),"")</f>
        <v/>
      </c>
      <c r="S1673" s="89" t="str">
        <f t="array" aca="1" ref="S1673" ca="1">IFERROR(IF(INDEX('Disaggregation Records'!$F$155:$F$385,MATCH(RIGHT(Q1673,255),RIGHT('Disaggregation Records'!$D$155:$D$385,255),0))="","",INDEX('Disaggregation Records'!$F$155:$F$385,MATCH(RIGHT(Q1673,255),RIGHT('Disaggregation Records'!$D$155:$D$385,255),0))),"")</f>
        <v/>
      </c>
      <c r="T1673" s="89" t="str">
        <f t="array" aca="1" ref="T1673" ca="1">IFERROR(IF(INDEX('Disaggregation Records'!$H$155:$H$385,MATCH(RIGHT(Q1673,255),RIGHT('Disaggregation Records'!$D$155:$D$385,255),0))="","",INDEX('Disaggregation Records'!$H$155:$H$385,MATCH(RIGHT(Q1673,255),RIGHT('Disaggregation Records'!$D$155:$D$385,255),0))),"")</f>
        <v/>
      </c>
      <c r="U1673" s="89">
        <f>U1671+1</f>
        <v>1946</v>
      </c>
      <c r="V1673" s="89" t="str">
        <f t="array" aca="1" ref="V1673" ca="1">IFERROR(IF(INDEX('Disaggregation Records'!$I$155:$I$385,MATCH(RIGHT(Q1673,255),RIGHT('Disaggregation Records'!$D$155:$D$385,255),0))="","",INDEX('Disaggregation Records'!$I$155:$I$385,MATCH(RIGHT(Q1673,255),RIGHT('Disaggregation Records'!$D$155:$D$385,255),0))),"")</f>
        <v/>
      </c>
      <c r="W1673" s="89" t="str">
        <f ca="1">IFERROR(INDEX('Reference Records'!L$77:L$157,MATCH(LEFT(C1673,255),'Reference Records'!E$77:E$157,0)),"")</f>
        <v/>
      </c>
    </row>
    <row r="1674" spans="1:23" s="89" customFormat="1" ht="40.35" customHeight="1">
      <c r="A1674" s="564"/>
      <c r="B1674" s="799"/>
      <c r="C1674" s="800"/>
      <c r="D1674" s="801"/>
      <c r="E1674" s="801"/>
      <c r="F1674" s="128"/>
      <c r="G1674" s="802"/>
      <c r="H1674" s="781"/>
      <c r="I1674" s="803"/>
      <c r="J1674" s="779"/>
      <c r="K1674" s="800"/>
      <c r="L1674" s="800"/>
      <c r="M1674" s="779"/>
      <c r="N1674" s="779"/>
    </row>
    <row r="1675" spans="1:23" s="89" customFormat="1" ht="40.35" customHeight="1">
      <c r="A1675" s="564" t="str">
        <f ca="1">INDIRECT("'update Helper'!C"&amp;U1675)</f>
        <v>a163p000004VjtCAAS</v>
      </c>
      <c r="B1675" s="794">
        <v>27</v>
      </c>
      <c r="C1675" s="795" t="str">
        <f ca="1">VLOOKUP(B1675,'Coverage Indicators - Section D'!$A$9:$AU$70,47,FALSE)</f>
        <v/>
      </c>
      <c r="D1675" s="796" t="str">
        <f ca="1">R1675</f>
        <v/>
      </c>
      <c r="E1675" s="796" t="str">
        <f ca="1">S1675</f>
        <v/>
      </c>
      <c r="F1675" s="127"/>
      <c r="G1675" s="797" t="str">
        <f ca="1">IF(OR(INDIRECT("'update Helper'!E"&amp;U1675)="",F1675&lt;&gt;0,F1676&lt;&gt;0),IF(IFERROR((F1675/F1676),"")="","",(F1675/F1676)),INDIRECT("'update Helper'!E"&amp;U1675)/100)</f>
        <v/>
      </c>
      <c r="H1675" s="784"/>
      <c r="I1675" s="798"/>
      <c r="J1675" s="777"/>
      <c r="K1675" s="795" t="str">
        <f ca="1">W1675</f>
        <v/>
      </c>
      <c r="L1675" s="795" t="str">
        <f ca="1">V1675</f>
        <v/>
      </c>
      <c r="M1675" s="777"/>
      <c r="N1675" s="777"/>
      <c r="P1675" s="89">
        <f ca="1">IF(AND(EXACT(C1675,C1673),C1673&lt;&gt;0),P1673+1,0)</f>
        <v>287</v>
      </c>
      <c r="Q1675" s="89" t="str">
        <f ca="1">IF(C1675&lt;&gt;"",C1675&amp;"-"&amp;P1675,"")</f>
        <v/>
      </c>
      <c r="R1675" s="89" t="str">
        <f t="array" aca="1" ref="R1675" ca="1">IFERROR(IF(INDEX('Disaggregation Records'!$E$155:$E$385,MATCH(RIGHT(Q1675,255),RIGHT('Disaggregation Records'!$D$155:$D$385,255),0))="","",INDEX('Disaggregation Records'!$E$155:$E$385,MATCH(RIGHT(Q1675,255),RIGHT('Disaggregation Records'!$D$155:$D$385,255),0))),"")</f>
        <v/>
      </c>
      <c r="S1675" s="89" t="str">
        <f t="array" aca="1" ref="S1675" ca="1">IFERROR(IF(INDEX('Disaggregation Records'!$F$155:$F$385,MATCH(RIGHT(Q1675,255),RIGHT('Disaggregation Records'!$D$155:$D$385,255),0))="","",INDEX('Disaggregation Records'!$F$155:$F$385,MATCH(RIGHT(Q1675,255),RIGHT('Disaggregation Records'!$D$155:$D$385,255),0))),"")</f>
        <v/>
      </c>
      <c r="T1675" s="89" t="str">
        <f t="array" aca="1" ref="T1675" ca="1">IFERROR(IF(INDEX('Disaggregation Records'!$H$155:$H$385,MATCH(RIGHT(Q1675,255),RIGHT('Disaggregation Records'!$D$155:$D$385,255),0))="","",INDEX('Disaggregation Records'!$H$155:$H$385,MATCH(RIGHT(Q1675,255),RIGHT('Disaggregation Records'!$D$155:$D$385,255),0))),"")</f>
        <v/>
      </c>
      <c r="U1675" s="89">
        <f>U1673+1</f>
        <v>1947</v>
      </c>
      <c r="V1675" s="89" t="str">
        <f t="array" aca="1" ref="V1675" ca="1">IFERROR(IF(INDEX('Disaggregation Records'!$I$155:$I$385,MATCH(RIGHT(Q1675,255),RIGHT('Disaggregation Records'!$D$155:$D$385,255),0))="","",INDEX('Disaggregation Records'!$I$155:$I$385,MATCH(RIGHT(Q1675,255),RIGHT('Disaggregation Records'!$D$155:$D$385,255),0))),"")</f>
        <v/>
      </c>
      <c r="W1675" s="89" t="str">
        <f ca="1">IFERROR(INDEX('Reference Records'!L$77:L$157,MATCH(LEFT(C1675,255),'Reference Records'!E$77:E$157,0)),"")</f>
        <v/>
      </c>
    </row>
    <row r="1676" spans="1:23" s="89" customFormat="1" ht="40.35" customHeight="1">
      <c r="A1676" s="564"/>
      <c r="B1676" s="799"/>
      <c r="C1676" s="800"/>
      <c r="D1676" s="801"/>
      <c r="E1676" s="801"/>
      <c r="F1676" s="128"/>
      <c r="G1676" s="802"/>
      <c r="H1676" s="781"/>
      <c r="I1676" s="803"/>
      <c r="J1676" s="779"/>
      <c r="K1676" s="800"/>
      <c r="L1676" s="800"/>
      <c r="M1676" s="779"/>
      <c r="N1676" s="779"/>
    </row>
    <row r="1677" spans="1:23" s="89" customFormat="1" ht="40.35" customHeight="1">
      <c r="A1677" s="564" t="str">
        <f ca="1">INDIRECT("'update Helper'!C"&amp;U1677)</f>
        <v>a163p000004VjtDAAS</v>
      </c>
      <c r="B1677" s="794">
        <v>27</v>
      </c>
      <c r="C1677" s="795" t="str">
        <f ca="1">VLOOKUP(B1677,'Coverage Indicators - Section D'!$A$9:$AU$70,47,FALSE)</f>
        <v/>
      </c>
      <c r="D1677" s="796" t="str">
        <f ca="1">R1677</f>
        <v/>
      </c>
      <c r="E1677" s="796" t="str">
        <f ca="1">S1677</f>
        <v/>
      </c>
      <c r="F1677" s="127"/>
      <c r="G1677" s="797" t="str">
        <f ca="1">IF(OR(INDIRECT("'update Helper'!E"&amp;U1677)="",F1677&lt;&gt;0,F1678&lt;&gt;0),IF(IFERROR((F1677/F1678),"")="","",(F1677/F1678)),INDIRECT("'update Helper'!E"&amp;U1677)/100)</f>
        <v/>
      </c>
      <c r="H1677" s="784"/>
      <c r="I1677" s="798"/>
      <c r="J1677" s="777"/>
      <c r="K1677" s="795" t="str">
        <f ca="1">W1677</f>
        <v/>
      </c>
      <c r="L1677" s="795" t="str">
        <f ca="1">V1677</f>
        <v/>
      </c>
      <c r="M1677" s="777"/>
      <c r="N1677" s="777"/>
      <c r="P1677" s="89">
        <f ca="1">IF(AND(EXACT(C1677,C1675),C1675&lt;&gt;0),P1675+1,0)</f>
        <v>288</v>
      </c>
      <c r="Q1677" s="89" t="str">
        <f ca="1">IF(C1677&lt;&gt;"",C1677&amp;"-"&amp;P1677,"")</f>
        <v/>
      </c>
      <c r="R1677" s="89" t="str">
        <f t="array" aca="1" ref="R1677" ca="1">IFERROR(IF(INDEX('Disaggregation Records'!$E$155:$E$385,MATCH(RIGHT(Q1677,255),RIGHT('Disaggregation Records'!$D$155:$D$385,255),0))="","",INDEX('Disaggregation Records'!$E$155:$E$385,MATCH(RIGHT(Q1677,255),RIGHT('Disaggregation Records'!$D$155:$D$385,255),0))),"")</f>
        <v/>
      </c>
      <c r="S1677" s="89" t="str">
        <f t="array" aca="1" ref="S1677" ca="1">IFERROR(IF(INDEX('Disaggregation Records'!$F$155:$F$385,MATCH(RIGHT(Q1677,255),RIGHT('Disaggregation Records'!$D$155:$D$385,255),0))="","",INDEX('Disaggregation Records'!$F$155:$F$385,MATCH(RIGHT(Q1677,255),RIGHT('Disaggregation Records'!$D$155:$D$385,255),0))),"")</f>
        <v/>
      </c>
      <c r="T1677" s="89" t="str">
        <f t="array" aca="1" ref="T1677" ca="1">IFERROR(IF(INDEX('Disaggregation Records'!$H$155:$H$385,MATCH(RIGHT(Q1677,255),RIGHT('Disaggregation Records'!$D$155:$D$385,255),0))="","",INDEX('Disaggregation Records'!$H$155:$H$385,MATCH(RIGHT(Q1677,255),RIGHT('Disaggregation Records'!$D$155:$D$385,255),0))),"")</f>
        <v/>
      </c>
      <c r="U1677" s="89">
        <f>U1675+1</f>
        <v>1948</v>
      </c>
      <c r="V1677" s="89" t="str">
        <f t="array" aca="1" ref="V1677" ca="1">IFERROR(IF(INDEX('Disaggregation Records'!$I$155:$I$385,MATCH(RIGHT(Q1677,255),RIGHT('Disaggregation Records'!$D$155:$D$385,255),0))="","",INDEX('Disaggregation Records'!$I$155:$I$385,MATCH(RIGHT(Q1677,255),RIGHT('Disaggregation Records'!$D$155:$D$385,255),0))),"")</f>
        <v/>
      </c>
      <c r="W1677" s="89" t="str">
        <f ca="1">IFERROR(INDEX('Reference Records'!L$77:L$157,MATCH(LEFT(C1677,255),'Reference Records'!E$77:E$157,0)),"")</f>
        <v/>
      </c>
    </row>
    <row r="1678" spans="1:23" s="89" customFormat="1" ht="40.35" customHeight="1">
      <c r="A1678" s="564"/>
      <c r="B1678" s="799"/>
      <c r="C1678" s="800"/>
      <c r="D1678" s="801"/>
      <c r="E1678" s="801"/>
      <c r="F1678" s="128"/>
      <c r="G1678" s="802"/>
      <c r="H1678" s="781"/>
      <c r="I1678" s="803"/>
      <c r="J1678" s="779"/>
      <c r="K1678" s="800"/>
      <c r="L1678" s="800"/>
      <c r="M1678" s="779"/>
      <c r="N1678" s="779"/>
    </row>
    <row r="1679" spans="1:23" s="89" customFormat="1" ht="40.35" customHeight="1">
      <c r="A1679" s="564" t="str">
        <f ca="1">INDIRECT("'update Helper'!C"&amp;U1679)</f>
        <v>a163p000004VjtEAAS</v>
      </c>
      <c r="B1679" s="794">
        <v>27</v>
      </c>
      <c r="C1679" s="795" t="str">
        <f ca="1">VLOOKUP(B1679,'Coverage Indicators - Section D'!$A$9:$AU$70,47,FALSE)</f>
        <v/>
      </c>
      <c r="D1679" s="796" t="str">
        <f ca="1">R1679</f>
        <v/>
      </c>
      <c r="E1679" s="796" t="str">
        <f ca="1">S1679</f>
        <v/>
      </c>
      <c r="F1679" s="127"/>
      <c r="G1679" s="797" t="str">
        <f ca="1">IF(OR(INDIRECT("'update Helper'!E"&amp;U1679)="",F1679&lt;&gt;0,F1680&lt;&gt;0),IF(IFERROR((F1679/F1680),"")="","",(F1679/F1680)),INDIRECT("'update Helper'!E"&amp;U1679)/100)</f>
        <v/>
      </c>
      <c r="H1679" s="784"/>
      <c r="I1679" s="798"/>
      <c r="J1679" s="777"/>
      <c r="K1679" s="795" t="str">
        <f ca="1">W1679</f>
        <v/>
      </c>
      <c r="L1679" s="795" t="str">
        <f ca="1">V1679</f>
        <v/>
      </c>
      <c r="M1679" s="777"/>
      <c r="N1679" s="777"/>
      <c r="P1679" s="89">
        <f ca="1">IF(AND(EXACT(C1679,C1677),C1677&lt;&gt;0),P1677+1,0)</f>
        <v>289</v>
      </c>
      <c r="Q1679" s="89" t="str">
        <f ca="1">IF(C1679&lt;&gt;"",C1679&amp;"-"&amp;P1679,"")</f>
        <v/>
      </c>
      <c r="R1679" s="89" t="str">
        <f t="array" aca="1" ref="R1679" ca="1">IFERROR(IF(INDEX('Disaggregation Records'!$E$155:$E$385,MATCH(RIGHT(Q1679,255),RIGHT('Disaggregation Records'!$D$155:$D$385,255),0))="","",INDEX('Disaggregation Records'!$E$155:$E$385,MATCH(RIGHT(Q1679,255),RIGHT('Disaggregation Records'!$D$155:$D$385,255),0))),"")</f>
        <v/>
      </c>
      <c r="S1679" s="89" t="str">
        <f t="array" aca="1" ref="S1679" ca="1">IFERROR(IF(INDEX('Disaggregation Records'!$F$155:$F$385,MATCH(RIGHT(Q1679,255),RIGHT('Disaggregation Records'!$D$155:$D$385,255),0))="","",INDEX('Disaggregation Records'!$F$155:$F$385,MATCH(RIGHT(Q1679,255),RIGHT('Disaggregation Records'!$D$155:$D$385,255),0))),"")</f>
        <v/>
      </c>
      <c r="T1679" s="89" t="str">
        <f t="array" aca="1" ref="T1679" ca="1">IFERROR(IF(INDEX('Disaggregation Records'!$H$155:$H$385,MATCH(RIGHT(Q1679,255),RIGHT('Disaggregation Records'!$D$155:$D$385,255),0))="","",INDEX('Disaggregation Records'!$H$155:$H$385,MATCH(RIGHT(Q1679,255),RIGHT('Disaggregation Records'!$D$155:$D$385,255),0))),"")</f>
        <v/>
      </c>
      <c r="U1679" s="89">
        <f>U1677+1</f>
        <v>1949</v>
      </c>
      <c r="V1679" s="89" t="str">
        <f t="array" aca="1" ref="V1679" ca="1">IFERROR(IF(INDEX('Disaggregation Records'!$I$155:$I$385,MATCH(RIGHT(Q1679,255),RIGHT('Disaggregation Records'!$D$155:$D$385,255),0))="","",INDEX('Disaggregation Records'!$I$155:$I$385,MATCH(RIGHT(Q1679,255),RIGHT('Disaggregation Records'!$D$155:$D$385,255),0))),"")</f>
        <v/>
      </c>
      <c r="W1679" s="89" t="str">
        <f ca="1">IFERROR(INDEX('Reference Records'!L$77:L$157,MATCH(LEFT(C1679,255),'Reference Records'!E$77:E$157,0)),"")</f>
        <v/>
      </c>
    </row>
    <row r="1680" spans="1:23" s="89" customFormat="1" ht="40.35" customHeight="1">
      <c r="A1680" s="564"/>
      <c r="B1680" s="799"/>
      <c r="C1680" s="800"/>
      <c r="D1680" s="801"/>
      <c r="E1680" s="801"/>
      <c r="F1680" s="128"/>
      <c r="G1680" s="802"/>
      <c r="H1680" s="781"/>
      <c r="I1680" s="803"/>
      <c r="J1680" s="779"/>
      <c r="K1680" s="800"/>
      <c r="L1680" s="800"/>
      <c r="M1680" s="779"/>
      <c r="N1680" s="779"/>
    </row>
    <row r="1681" spans="1:23" s="89" customFormat="1" ht="40.35" customHeight="1">
      <c r="A1681" s="564" t="str">
        <f ca="1">INDIRECT("'update Helper'!C"&amp;U1681)</f>
        <v>a163p000004VjtFAAS</v>
      </c>
      <c r="B1681" s="794">
        <v>27</v>
      </c>
      <c r="C1681" s="795" t="str">
        <f ca="1">VLOOKUP(B1681,'Coverage Indicators - Section D'!$A$9:$AU$70,47,FALSE)</f>
        <v/>
      </c>
      <c r="D1681" s="796" t="str">
        <f ca="1">R1681</f>
        <v/>
      </c>
      <c r="E1681" s="796" t="str">
        <f ca="1">S1681</f>
        <v/>
      </c>
      <c r="F1681" s="127"/>
      <c r="G1681" s="797" t="str">
        <f ca="1">IF(OR(INDIRECT("'update Helper'!E"&amp;U1681)="",F1681&lt;&gt;0,F1682&lt;&gt;0),IF(IFERROR((F1681/F1682),"")="","",(F1681/F1682)),INDIRECT("'update Helper'!E"&amp;U1681)/100)</f>
        <v/>
      </c>
      <c r="H1681" s="784"/>
      <c r="I1681" s="798"/>
      <c r="J1681" s="777"/>
      <c r="K1681" s="795" t="str">
        <f ca="1">W1681</f>
        <v/>
      </c>
      <c r="L1681" s="795" t="str">
        <f ca="1">V1681</f>
        <v/>
      </c>
      <c r="M1681" s="777"/>
      <c r="N1681" s="777"/>
      <c r="P1681" s="89">
        <f ca="1">IF(AND(EXACT(C1681,C1679),C1679&lt;&gt;0),P1679+1,0)</f>
        <v>290</v>
      </c>
      <c r="Q1681" s="89" t="str">
        <f ca="1">IF(C1681&lt;&gt;"",C1681&amp;"-"&amp;P1681,"")</f>
        <v/>
      </c>
      <c r="R1681" s="89" t="str">
        <f t="array" aca="1" ref="R1681" ca="1">IFERROR(IF(INDEX('Disaggregation Records'!$E$155:$E$385,MATCH(RIGHT(Q1681,255),RIGHT('Disaggregation Records'!$D$155:$D$385,255),0))="","",INDEX('Disaggregation Records'!$E$155:$E$385,MATCH(RIGHT(Q1681,255),RIGHT('Disaggregation Records'!$D$155:$D$385,255),0))),"")</f>
        <v/>
      </c>
      <c r="S1681" s="89" t="str">
        <f t="array" aca="1" ref="S1681" ca="1">IFERROR(IF(INDEX('Disaggregation Records'!$F$155:$F$385,MATCH(RIGHT(Q1681,255),RIGHT('Disaggregation Records'!$D$155:$D$385,255),0))="","",INDEX('Disaggregation Records'!$F$155:$F$385,MATCH(RIGHT(Q1681,255),RIGHT('Disaggregation Records'!$D$155:$D$385,255),0))),"")</f>
        <v/>
      </c>
      <c r="T1681" s="89" t="str">
        <f t="array" aca="1" ref="T1681" ca="1">IFERROR(IF(INDEX('Disaggregation Records'!$H$155:$H$385,MATCH(RIGHT(Q1681,255),RIGHT('Disaggregation Records'!$D$155:$D$385,255),0))="","",INDEX('Disaggregation Records'!$H$155:$H$385,MATCH(RIGHT(Q1681,255),RIGHT('Disaggregation Records'!$D$155:$D$385,255),0))),"")</f>
        <v/>
      </c>
      <c r="U1681" s="89">
        <f>U1679+1</f>
        <v>1950</v>
      </c>
      <c r="V1681" s="89" t="str">
        <f t="array" aca="1" ref="V1681" ca="1">IFERROR(IF(INDEX('Disaggregation Records'!$I$155:$I$385,MATCH(RIGHT(Q1681,255),RIGHT('Disaggregation Records'!$D$155:$D$385,255),0))="","",INDEX('Disaggregation Records'!$I$155:$I$385,MATCH(RIGHT(Q1681,255),RIGHT('Disaggregation Records'!$D$155:$D$385,255),0))),"")</f>
        <v/>
      </c>
      <c r="W1681" s="89" t="str">
        <f ca="1">IFERROR(INDEX('Reference Records'!L$77:L$157,MATCH(LEFT(C1681,255),'Reference Records'!E$77:E$157,0)),"")</f>
        <v/>
      </c>
    </row>
    <row r="1682" spans="1:23" s="89" customFormat="1" ht="40.35" customHeight="1">
      <c r="A1682" s="564"/>
      <c r="B1682" s="799"/>
      <c r="C1682" s="800"/>
      <c r="D1682" s="801"/>
      <c r="E1682" s="801"/>
      <c r="F1682" s="128"/>
      <c r="G1682" s="802"/>
      <c r="H1682" s="781"/>
      <c r="I1682" s="803"/>
      <c r="J1682" s="779"/>
      <c r="K1682" s="800"/>
      <c r="L1682" s="800"/>
      <c r="M1682" s="779"/>
      <c r="N1682" s="779"/>
    </row>
    <row r="1683" spans="1:23" s="89" customFormat="1" ht="40.35" customHeight="1">
      <c r="A1683" s="564" t="str">
        <f ca="1">INDIRECT("'update Helper'!C"&amp;U1683)</f>
        <v>a163p000004VjtGAAS</v>
      </c>
      <c r="B1683" s="794">
        <v>27</v>
      </c>
      <c r="C1683" s="795" t="str">
        <f ca="1">VLOOKUP(B1683,'Coverage Indicators - Section D'!$A$9:$AU$70,47,FALSE)</f>
        <v/>
      </c>
      <c r="D1683" s="796" t="str">
        <f ca="1">R1683</f>
        <v/>
      </c>
      <c r="E1683" s="796" t="str">
        <f ca="1">S1683</f>
        <v/>
      </c>
      <c r="F1683" s="127"/>
      <c r="G1683" s="797" t="str">
        <f ca="1">IF(OR(INDIRECT("'update Helper'!E"&amp;U1683)="",F1683&lt;&gt;0,F1684&lt;&gt;0),IF(IFERROR((F1683/F1684),"")="","",(F1683/F1684)),INDIRECT("'update Helper'!E"&amp;U1683)/100)</f>
        <v/>
      </c>
      <c r="H1683" s="784"/>
      <c r="I1683" s="798"/>
      <c r="J1683" s="777"/>
      <c r="K1683" s="795" t="str">
        <f ca="1">W1683</f>
        <v/>
      </c>
      <c r="L1683" s="795" t="str">
        <f ca="1">V1683</f>
        <v/>
      </c>
      <c r="M1683" s="777"/>
      <c r="N1683" s="777"/>
      <c r="P1683" s="89">
        <f ca="1">IF(AND(EXACT(C1683,C1681),C1681&lt;&gt;0),P1681+1,0)</f>
        <v>291</v>
      </c>
      <c r="Q1683" s="89" t="str">
        <f ca="1">IF(C1683&lt;&gt;"",C1683&amp;"-"&amp;P1683,"")</f>
        <v/>
      </c>
      <c r="R1683" s="89" t="str">
        <f t="array" aca="1" ref="R1683" ca="1">IFERROR(IF(INDEX('Disaggregation Records'!$E$155:$E$385,MATCH(RIGHT(Q1683,255),RIGHT('Disaggregation Records'!$D$155:$D$385,255),0))="","",INDEX('Disaggregation Records'!$E$155:$E$385,MATCH(RIGHT(Q1683,255),RIGHT('Disaggregation Records'!$D$155:$D$385,255),0))),"")</f>
        <v/>
      </c>
      <c r="S1683" s="89" t="str">
        <f t="array" aca="1" ref="S1683" ca="1">IFERROR(IF(INDEX('Disaggregation Records'!$F$155:$F$385,MATCH(RIGHT(Q1683,255),RIGHT('Disaggregation Records'!$D$155:$D$385,255),0))="","",INDEX('Disaggregation Records'!$F$155:$F$385,MATCH(RIGHT(Q1683,255),RIGHT('Disaggregation Records'!$D$155:$D$385,255),0))),"")</f>
        <v/>
      </c>
      <c r="T1683" s="89" t="str">
        <f t="array" aca="1" ref="T1683" ca="1">IFERROR(IF(INDEX('Disaggregation Records'!$H$155:$H$385,MATCH(RIGHT(Q1683,255),RIGHT('Disaggregation Records'!$D$155:$D$385,255),0))="","",INDEX('Disaggregation Records'!$H$155:$H$385,MATCH(RIGHT(Q1683,255),RIGHT('Disaggregation Records'!$D$155:$D$385,255),0))),"")</f>
        <v/>
      </c>
      <c r="U1683" s="89">
        <f>U1681+1</f>
        <v>1951</v>
      </c>
      <c r="V1683" s="89" t="str">
        <f t="array" aca="1" ref="V1683" ca="1">IFERROR(IF(INDEX('Disaggregation Records'!$I$155:$I$385,MATCH(RIGHT(Q1683,255),RIGHT('Disaggregation Records'!$D$155:$D$385,255),0))="","",INDEX('Disaggregation Records'!$I$155:$I$385,MATCH(RIGHT(Q1683,255),RIGHT('Disaggregation Records'!$D$155:$D$385,255),0))),"")</f>
        <v/>
      </c>
      <c r="W1683" s="89" t="str">
        <f ca="1">IFERROR(INDEX('Reference Records'!L$77:L$157,MATCH(LEFT(C1683,255),'Reference Records'!E$77:E$157,0)),"")</f>
        <v/>
      </c>
    </row>
    <row r="1684" spans="1:23" s="89" customFormat="1" ht="40.35" customHeight="1">
      <c r="A1684" s="564"/>
      <c r="B1684" s="799"/>
      <c r="C1684" s="800"/>
      <c r="D1684" s="801"/>
      <c r="E1684" s="801"/>
      <c r="F1684" s="128"/>
      <c r="G1684" s="802"/>
      <c r="H1684" s="781"/>
      <c r="I1684" s="803"/>
      <c r="J1684" s="779"/>
      <c r="K1684" s="800"/>
      <c r="L1684" s="800"/>
      <c r="M1684" s="779"/>
      <c r="N1684" s="779"/>
    </row>
    <row r="1685" spans="1:23" s="89" customFormat="1" ht="40.35" customHeight="1">
      <c r="A1685" s="564" t="str">
        <f ca="1">INDIRECT("'update Helper'!C"&amp;U1685)</f>
        <v>a163p000004VjtHAAS</v>
      </c>
      <c r="B1685" s="794">
        <v>27</v>
      </c>
      <c r="C1685" s="795" t="str">
        <f ca="1">VLOOKUP(B1685,'Coverage Indicators - Section D'!$A$9:$AU$70,47,FALSE)</f>
        <v/>
      </c>
      <c r="D1685" s="796" t="str">
        <f ca="1">R1685</f>
        <v/>
      </c>
      <c r="E1685" s="796" t="str">
        <f ca="1">S1685</f>
        <v/>
      </c>
      <c r="F1685" s="127"/>
      <c r="G1685" s="797" t="str">
        <f ca="1">IF(OR(INDIRECT("'update Helper'!E"&amp;U1685)="",F1685&lt;&gt;0,F1686&lt;&gt;0),IF(IFERROR((F1685/F1686),"")="","",(F1685/F1686)),INDIRECT("'update Helper'!E"&amp;U1685)/100)</f>
        <v/>
      </c>
      <c r="H1685" s="784"/>
      <c r="I1685" s="798"/>
      <c r="J1685" s="777"/>
      <c r="K1685" s="795" t="str">
        <f ca="1">W1685</f>
        <v/>
      </c>
      <c r="L1685" s="795" t="str">
        <f ca="1">V1685</f>
        <v/>
      </c>
      <c r="M1685" s="777"/>
      <c r="N1685" s="777"/>
      <c r="P1685" s="89">
        <f ca="1">IF(AND(EXACT(C1685,C1683),C1683&lt;&gt;0),P1683+1,0)</f>
        <v>292</v>
      </c>
      <c r="Q1685" s="89" t="str">
        <f ca="1">IF(C1685&lt;&gt;"",C1685&amp;"-"&amp;P1685,"")</f>
        <v/>
      </c>
      <c r="R1685" s="89" t="str">
        <f t="array" aca="1" ref="R1685" ca="1">IFERROR(IF(INDEX('Disaggregation Records'!$E$155:$E$385,MATCH(RIGHT(Q1685,255),RIGHT('Disaggregation Records'!$D$155:$D$385,255),0))="","",INDEX('Disaggregation Records'!$E$155:$E$385,MATCH(RIGHT(Q1685,255),RIGHT('Disaggregation Records'!$D$155:$D$385,255),0))),"")</f>
        <v/>
      </c>
      <c r="S1685" s="89" t="str">
        <f t="array" aca="1" ref="S1685" ca="1">IFERROR(IF(INDEX('Disaggregation Records'!$F$155:$F$385,MATCH(RIGHT(Q1685,255),RIGHT('Disaggregation Records'!$D$155:$D$385,255),0))="","",INDEX('Disaggregation Records'!$F$155:$F$385,MATCH(RIGHT(Q1685,255),RIGHT('Disaggregation Records'!$D$155:$D$385,255),0))),"")</f>
        <v/>
      </c>
      <c r="T1685" s="89" t="str">
        <f t="array" aca="1" ref="T1685" ca="1">IFERROR(IF(INDEX('Disaggregation Records'!$H$155:$H$385,MATCH(RIGHT(Q1685,255),RIGHT('Disaggregation Records'!$D$155:$D$385,255),0))="","",INDEX('Disaggregation Records'!$H$155:$H$385,MATCH(RIGHT(Q1685,255),RIGHT('Disaggregation Records'!$D$155:$D$385,255),0))),"")</f>
        <v/>
      </c>
      <c r="U1685" s="89">
        <f>U1683+1</f>
        <v>1952</v>
      </c>
      <c r="V1685" s="89" t="str">
        <f t="array" aca="1" ref="V1685" ca="1">IFERROR(IF(INDEX('Disaggregation Records'!$I$155:$I$385,MATCH(RIGHT(Q1685,255),RIGHT('Disaggregation Records'!$D$155:$D$385,255),0))="","",INDEX('Disaggregation Records'!$I$155:$I$385,MATCH(RIGHT(Q1685,255),RIGHT('Disaggregation Records'!$D$155:$D$385,255),0))),"")</f>
        <v/>
      </c>
      <c r="W1685" s="89" t="str">
        <f ca="1">IFERROR(INDEX('Reference Records'!L$77:L$157,MATCH(LEFT(C1685,255),'Reference Records'!E$77:E$157,0)),"")</f>
        <v/>
      </c>
    </row>
    <row r="1686" spans="1:23" s="89" customFormat="1" ht="40.35" customHeight="1">
      <c r="A1686" s="564"/>
      <c r="B1686" s="799"/>
      <c r="C1686" s="800"/>
      <c r="D1686" s="801"/>
      <c r="E1686" s="801"/>
      <c r="F1686" s="128"/>
      <c r="G1686" s="802"/>
      <c r="H1686" s="781"/>
      <c r="I1686" s="803"/>
      <c r="J1686" s="779"/>
      <c r="K1686" s="800"/>
      <c r="L1686" s="800"/>
      <c r="M1686" s="779"/>
      <c r="N1686" s="779"/>
    </row>
    <row r="1687" spans="1:23" s="89" customFormat="1" ht="40.35" customHeight="1">
      <c r="A1687" s="564" t="str">
        <f ca="1">INDIRECT("'update Helper'!C"&amp;U1687)</f>
        <v>a163p000004VjtIAAS</v>
      </c>
      <c r="B1687" s="794">
        <v>27</v>
      </c>
      <c r="C1687" s="795" t="str">
        <f ca="1">VLOOKUP(B1687,'Coverage Indicators - Section D'!$A$9:$AU$70,47,FALSE)</f>
        <v/>
      </c>
      <c r="D1687" s="796" t="str">
        <f ca="1">R1687</f>
        <v/>
      </c>
      <c r="E1687" s="796" t="str">
        <f ca="1">S1687</f>
        <v/>
      </c>
      <c r="F1687" s="127"/>
      <c r="G1687" s="797" t="str">
        <f ca="1">IF(OR(INDIRECT("'update Helper'!E"&amp;U1687)="",F1687&lt;&gt;0,F1688&lt;&gt;0),IF(IFERROR((F1687/F1688),"")="","",(F1687/F1688)),INDIRECT("'update Helper'!E"&amp;U1687)/100)</f>
        <v/>
      </c>
      <c r="H1687" s="784"/>
      <c r="I1687" s="798"/>
      <c r="J1687" s="777"/>
      <c r="K1687" s="795" t="str">
        <f ca="1">W1687</f>
        <v/>
      </c>
      <c r="L1687" s="795" t="str">
        <f ca="1">V1687</f>
        <v/>
      </c>
      <c r="M1687" s="777"/>
      <c r="N1687" s="777"/>
      <c r="P1687" s="89">
        <f ca="1">IF(AND(EXACT(C1687,C1685),C1685&lt;&gt;0),P1685+1,0)</f>
        <v>293</v>
      </c>
      <c r="Q1687" s="89" t="str">
        <f ca="1">IF(C1687&lt;&gt;"",C1687&amp;"-"&amp;P1687,"")</f>
        <v/>
      </c>
      <c r="R1687" s="89" t="str">
        <f t="array" aca="1" ref="R1687" ca="1">IFERROR(IF(INDEX('Disaggregation Records'!$E$155:$E$385,MATCH(RIGHT(Q1687,255),RIGHT('Disaggregation Records'!$D$155:$D$385,255),0))="","",INDEX('Disaggregation Records'!$E$155:$E$385,MATCH(RIGHT(Q1687,255),RIGHT('Disaggregation Records'!$D$155:$D$385,255),0))),"")</f>
        <v/>
      </c>
      <c r="S1687" s="89" t="str">
        <f t="array" aca="1" ref="S1687" ca="1">IFERROR(IF(INDEX('Disaggregation Records'!$F$155:$F$385,MATCH(RIGHT(Q1687,255),RIGHT('Disaggregation Records'!$D$155:$D$385,255),0))="","",INDEX('Disaggregation Records'!$F$155:$F$385,MATCH(RIGHT(Q1687,255),RIGHT('Disaggregation Records'!$D$155:$D$385,255),0))),"")</f>
        <v/>
      </c>
      <c r="T1687" s="89" t="str">
        <f t="array" aca="1" ref="T1687" ca="1">IFERROR(IF(INDEX('Disaggregation Records'!$H$155:$H$385,MATCH(RIGHT(Q1687,255),RIGHT('Disaggregation Records'!$D$155:$D$385,255),0))="","",INDEX('Disaggregation Records'!$H$155:$H$385,MATCH(RIGHT(Q1687,255),RIGHT('Disaggregation Records'!$D$155:$D$385,255),0))),"")</f>
        <v/>
      </c>
      <c r="U1687" s="89">
        <f>U1685+1</f>
        <v>1953</v>
      </c>
      <c r="V1687" s="89" t="str">
        <f t="array" aca="1" ref="V1687" ca="1">IFERROR(IF(INDEX('Disaggregation Records'!$I$155:$I$385,MATCH(RIGHT(Q1687,255),RIGHT('Disaggregation Records'!$D$155:$D$385,255),0))="","",INDEX('Disaggregation Records'!$I$155:$I$385,MATCH(RIGHT(Q1687,255),RIGHT('Disaggregation Records'!$D$155:$D$385,255),0))),"")</f>
        <v/>
      </c>
      <c r="W1687" s="89" t="str">
        <f ca="1">IFERROR(INDEX('Reference Records'!L$77:L$157,MATCH(LEFT(C1687,255),'Reference Records'!E$77:E$157,0)),"")</f>
        <v/>
      </c>
    </row>
    <row r="1688" spans="1:23" s="89" customFormat="1" ht="40.35" customHeight="1">
      <c r="A1688" s="564"/>
      <c r="B1688" s="799"/>
      <c r="C1688" s="800"/>
      <c r="D1688" s="801"/>
      <c r="E1688" s="801"/>
      <c r="F1688" s="128"/>
      <c r="G1688" s="802"/>
      <c r="H1688" s="781"/>
      <c r="I1688" s="803"/>
      <c r="J1688" s="779"/>
      <c r="K1688" s="800"/>
      <c r="L1688" s="800"/>
      <c r="M1688" s="779"/>
      <c r="N1688" s="779"/>
    </row>
    <row r="1689" spans="1:23" s="89" customFormat="1" ht="40.35" customHeight="1">
      <c r="A1689" s="564" t="str">
        <f ca="1">INDIRECT("'update Helper'!C"&amp;U1689)</f>
        <v>a163p000004VjtJAAS</v>
      </c>
      <c r="B1689" s="794">
        <v>27</v>
      </c>
      <c r="C1689" s="795" t="str">
        <f ca="1">VLOOKUP(B1689,'Coverage Indicators - Section D'!$A$9:$AU$70,47,FALSE)</f>
        <v/>
      </c>
      <c r="D1689" s="796" t="str">
        <f ca="1">R1689</f>
        <v/>
      </c>
      <c r="E1689" s="796" t="str">
        <f ca="1">S1689</f>
        <v/>
      </c>
      <c r="F1689" s="127"/>
      <c r="G1689" s="797" t="str">
        <f ca="1">IF(OR(INDIRECT("'update Helper'!E"&amp;U1689)="",F1689&lt;&gt;0,F1690&lt;&gt;0),IF(IFERROR((F1689/F1690),"")="","",(F1689/F1690)),INDIRECT("'update Helper'!E"&amp;U1689)/100)</f>
        <v/>
      </c>
      <c r="H1689" s="784"/>
      <c r="I1689" s="798"/>
      <c r="J1689" s="777"/>
      <c r="K1689" s="795" t="str">
        <f ca="1">W1689</f>
        <v/>
      </c>
      <c r="L1689" s="795" t="str">
        <f ca="1">V1689</f>
        <v/>
      </c>
      <c r="M1689" s="777"/>
      <c r="N1689" s="777"/>
      <c r="P1689" s="89">
        <f ca="1">IF(AND(EXACT(C1689,C1687),C1687&lt;&gt;0),P1687+1,0)</f>
        <v>294</v>
      </c>
      <c r="Q1689" s="89" t="str">
        <f ca="1">IF(C1689&lt;&gt;"",C1689&amp;"-"&amp;P1689,"")</f>
        <v/>
      </c>
      <c r="R1689" s="89" t="str">
        <f t="array" aca="1" ref="R1689" ca="1">IFERROR(IF(INDEX('Disaggregation Records'!$E$155:$E$385,MATCH(RIGHT(Q1689,255),RIGHT('Disaggregation Records'!$D$155:$D$385,255),0))="","",INDEX('Disaggregation Records'!$E$155:$E$385,MATCH(RIGHT(Q1689,255),RIGHT('Disaggregation Records'!$D$155:$D$385,255),0))),"")</f>
        <v/>
      </c>
      <c r="S1689" s="89" t="str">
        <f t="array" aca="1" ref="S1689" ca="1">IFERROR(IF(INDEX('Disaggregation Records'!$F$155:$F$385,MATCH(RIGHT(Q1689,255),RIGHT('Disaggregation Records'!$D$155:$D$385,255),0))="","",INDEX('Disaggregation Records'!$F$155:$F$385,MATCH(RIGHT(Q1689,255),RIGHT('Disaggregation Records'!$D$155:$D$385,255),0))),"")</f>
        <v/>
      </c>
      <c r="T1689" s="89" t="str">
        <f t="array" aca="1" ref="T1689" ca="1">IFERROR(IF(INDEX('Disaggregation Records'!$H$155:$H$385,MATCH(RIGHT(Q1689,255),RIGHT('Disaggregation Records'!$D$155:$D$385,255),0))="","",INDEX('Disaggregation Records'!$H$155:$H$385,MATCH(RIGHT(Q1689,255),RIGHT('Disaggregation Records'!$D$155:$D$385,255),0))),"")</f>
        <v/>
      </c>
      <c r="U1689" s="89">
        <f>U1687+1</f>
        <v>1954</v>
      </c>
      <c r="V1689" s="89" t="str">
        <f t="array" aca="1" ref="V1689" ca="1">IFERROR(IF(INDEX('Disaggregation Records'!$I$155:$I$385,MATCH(RIGHT(Q1689,255),RIGHT('Disaggregation Records'!$D$155:$D$385,255),0))="","",INDEX('Disaggregation Records'!$I$155:$I$385,MATCH(RIGHT(Q1689,255),RIGHT('Disaggregation Records'!$D$155:$D$385,255),0))),"")</f>
        <v/>
      </c>
      <c r="W1689" s="89" t="str">
        <f ca="1">IFERROR(INDEX('Reference Records'!L$77:L$157,MATCH(LEFT(C1689,255),'Reference Records'!E$77:E$157,0)),"")</f>
        <v/>
      </c>
    </row>
    <row r="1690" spans="1:23" s="89" customFormat="1" ht="40.35" customHeight="1">
      <c r="A1690" s="564"/>
      <c r="B1690" s="799"/>
      <c r="C1690" s="800"/>
      <c r="D1690" s="801"/>
      <c r="E1690" s="801"/>
      <c r="F1690" s="128"/>
      <c r="G1690" s="802"/>
      <c r="H1690" s="781"/>
      <c r="I1690" s="803"/>
      <c r="J1690" s="779"/>
      <c r="K1690" s="800"/>
      <c r="L1690" s="800"/>
      <c r="M1690" s="779"/>
      <c r="N1690" s="779"/>
    </row>
    <row r="1691" spans="1:23" s="89" customFormat="1" ht="40.35" customHeight="1">
      <c r="A1691" s="564" t="str">
        <f ca="1">INDIRECT("'update Helper'!C"&amp;U1691)</f>
        <v>a163p000004VjtKAAS</v>
      </c>
      <c r="B1691" s="794">
        <v>27</v>
      </c>
      <c r="C1691" s="795" t="str">
        <f ca="1">VLOOKUP(B1691,'Coverage Indicators - Section D'!$A$9:$AU$70,47,FALSE)</f>
        <v/>
      </c>
      <c r="D1691" s="796" t="str">
        <f ca="1">R1691</f>
        <v/>
      </c>
      <c r="E1691" s="796" t="str">
        <f ca="1">S1691</f>
        <v/>
      </c>
      <c r="F1691" s="127"/>
      <c r="G1691" s="797" t="str">
        <f ca="1">IF(OR(INDIRECT("'update Helper'!E"&amp;U1691)="",F1691&lt;&gt;0,F1692&lt;&gt;0),IF(IFERROR((F1691/F1692),"")="","",(F1691/F1692)),INDIRECT("'update Helper'!E"&amp;U1691)/100)</f>
        <v/>
      </c>
      <c r="H1691" s="784"/>
      <c r="I1691" s="798"/>
      <c r="J1691" s="777"/>
      <c r="K1691" s="795" t="str">
        <f ca="1">W1691</f>
        <v/>
      </c>
      <c r="L1691" s="795" t="str">
        <f ca="1">V1691</f>
        <v/>
      </c>
      <c r="M1691" s="777"/>
      <c r="N1691" s="777"/>
      <c r="P1691" s="89">
        <f ca="1">IF(AND(EXACT(C1691,C1689),C1689&lt;&gt;0),P1689+1,0)</f>
        <v>295</v>
      </c>
      <c r="Q1691" s="89" t="str">
        <f ca="1">IF(C1691&lt;&gt;"",C1691&amp;"-"&amp;P1691,"")</f>
        <v/>
      </c>
      <c r="R1691" s="89" t="str">
        <f t="array" aca="1" ref="R1691" ca="1">IFERROR(IF(INDEX('Disaggregation Records'!$E$155:$E$385,MATCH(RIGHT(Q1691,255),RIGHT('Disaggregation Records'!$D$155:$D$385,255),0))="","",INDEX('Disaggregation Records'!$E$155:$E$385,MATCH(RIGHT(Q1691,255),RIGHT('Disaggregation Records'!$D$155:$D$385,255),0))),"")</f>
        <v/>
      </c>
      <c r="S1691" s="89" t="str">
        <f t="array" aca="1" ref="S1691" ca="1">IFERROR(IF(INDEX('Disaggregation Records'!$F$155:$F$385,MATCH(RIGHT(Q1691,255),RIGHT('Disaggregation Records'!$D$155:$D$385,255),0))="","",INDEX('Disaggregation Records'!$F$155:$F$385,MATCH(RIGHT(Q1691,255),RIGHT('Disaggregation Records'!$D$155:$D$385,255),0))),"")</f>
        <v/>
      </c>
      <c r="T1691" s="89" t="str">
        <f t="array" aca="1" ref="T1691" ca="1">IFERROR(IF(INDEX('Disaggregation Records'!$H$155:$H$385,MATCH(RIGHT(Q1691,255),RIGHT('Disaggregation Records'!$D$155:$D$385,255),0))="","",INDEX('Disaggregation Records'!$H$155:$H$385,MATCH(RIGHT(Q1691,255),RIGHT('Disaggregation Records'!$D$155:$D$385,255),0))),"")</f>
        <v/>
      </c>
      <c r="U1691" s="89">
        <f>U1689+1</f>
        <v>1955</v>
      </c>
      <c r="V1691" s="89" t="str">
        <f t="array" aca="1" ref="V1691" ca="1">IFERROR(IF(INDEX('Disaggregation Records'!$I$155:$I$385,MATCH(RIGHT(Q1691,255),RIGHT('Disaggregation Records'!$D$155:$D$385,255),0))="","",INDEX('Disaggregation Records'!$I$155:$I$385,MATCH(RIGHT(Q1691,255),RIGHT('Disaggregation Records'!$D$155:$D$385,255),0))),"")</f>
        <v/>
      </c>
      <c r="W1691" s="89" t="str">
        <f ca="1">IFERROR(INDEX('Reference Records'!L$77:L$157,MATCH(LEFT(C1691,255),'Reference Records'!E$77:E$157,0)),"")</f>
        <v/>
      </c>
    </row>
    <row r="1692" spans="1:23" s="89" customFormat="1" ht="40.35" customHeight="1">
      <c r="A1692" s="564"/>
      <c r="B1692" s="799"/>
      <c r="C1692" s="800"/>
      <c r="D1692" s="801"/>
      <c r="E1692" s="801"/>
      <c r="F1692" s="128"/>
      <c r="G1692" s="802"/>
      <c r="H1692" s="781"/>
      <c r="I1692" s="803"/>
      <c r="J1692" s="779"/>
      <c r="K1692" s="800"/>
      <c r="L1692" s="800"/>
      <c r="M1692" s="779"/>
      <c r="N1692" s="779"/>
    </row>
    <row r="1693" spans="1:23" s="89" customFormat="1" ht="40.35" customHeight="1">
      <c r="A1693" s="564" t="str">
        <f ca="1">INDIRECT("'update Helper'!C"&amp;U1693)</f>
        <v>a163p000004VjtLAAS</v>
      </c>
      <c r="B1693" s="794">
        <v>27</v>
      </c>
      <c r="C1693" s="795" t="str">
        <f ca="1">VLOOKUP(B1693,'Coverage Indicators - Section D'!$A$9:$AU$70,47,FALSE)</f>
        <v/>
      </c>
      <c r="D1693" s="796" t="str">
        <f ca="1">R1693</f>
        <v/>
      </c>
      <c r="E1693" s="796" t="str">
        <f ca="1">S1693</f>
        <v/>
      </c>
      <c r="F1693" s="127"/>
      <c r="G1693" s="797" t="str">
        <f ca="1">IF(OR(INDIRECT("'update Helper'!E"&amp;U1693)="",F1693&lt;&gt;0,F1694&lt;&gt;0),IF(IFERROR((F1693/F1694),"")="","",(F1693/F1694)),INDIRECT("'update Helper'!E"&amp;U1693)/100)</f>
        <v/>
      </c>
      <c r="H1693" s="784"/>
      <c r="I1693" s="798"/>
      <c r="J1693" s="777"/>
      <c r="K1693" s="795" t="str">
        <f ca="1">W1693</f>
        <v/>
      </c>
      <c r="L1693" s="795" t="str">
        <f ca="1">V1693</f>
        <v/>
      </c>
      <c r="M1693" s="777"/>
      <c r="N1693" s="777"/>
      <c r="P1693" s="89">
        <f ca="1">IF(AND(EXACT(C1693,C1691),C1691&lt;&gt;0),P1691+1,0)</f>
        <v>296</v>
      </c>
      <c r="Q1693" s="89" t="str">
        <f ca="1">IF(C1693&lt;&gt;"",C1693&amp;"-"&amp;P1693,"")</f>
        <v/>
      </c>
      <c r="R1693" s="89" t="str">
        <f t="array" aca="1" ref="R1693" ca="1">IFERROR(IF(INDEX('Disaggregation Records'!$E$155:$E$385,MATCH(RIGHT(Q1693,255),RIGHT('Disaggregation Records'!$D$155:$D$385,255),0))="","",INDEX('Disaggregation Records'!$E$155:$E$385,MATCH(RIGHT(Q1693,255),RIGHT('Disaggregation Records'!$D$155:$D$385,255),0))),"")</f>
        <v/>
      </c>
      <c r="S1693" s="89" t="str">
        <f t="array" aca="1" ref="S1693" ca="1">IFERROR(IF(INDEX('Disaggregation Records'!$F$155:$F$385,MATCH(RIGHT(Q1693,255),RIGHT('Disaggregation Records'!$D$155:$D$385,255),0))="","",INDEX('Disaggregation Records'!$F$155:$F$385,MATCH(RIGHT(Q1693,255),RIGHT('Disaggregation Records'!$D$155:$D$385,255),0))),"")</f>
        <v/>
      </c>
      <c r="T1693" s="89" t="str">
        <f t="array" aca="1" ref="T1693" ca="1">IFERROR(IF(INDEX('Disaggregation Records'!$H$155:$H$385,MATCH(RIGHT(Q1693,255),RIGHT('Disaggregation Records'!$D$155:$D$385,255),0))="","",INDEX('Disaggregation Records'!$H$155:$H$385,MATCH(RIGHT(Q1693,255),RIGHT('Disaggregation Records'!$D$155:$D$385,255),0))),"")</f>
        <v/>
      </c>
      <c r="U1693" s="89">
        <f>U1691+1</f>
        <v>1956</v>
      </c>
      <c r="V1693" s="89" t="str">
        <f t="array" aca="1" ref="V1693" ca="1">IFERROR(IF(INDEX('Disaggregation Records'!$I$155:$I$385,MATCH(RIGHT(Q1693,255),RIGHT('Disaggregation Records'!$D$155:$D$385,255),0))="","",INDEX('Disaggregation Records'!$I$155:$I$385,MATCH(RIGHT(Q1693,255),RIGHT('Disaggregation Records'!$D$155:$D$385,255),0))),"")</f>
        <v/>
      </c>
      <c r="W1693" s="89" t="str">
        <f ca="1">IFERROR(INDEX('Reference Records'!L$77:L$157,MATCH(LEFT(C1693,255),'Reference Records'!E$77:E$157,0)),"")</f>
        <v/>
      </c>
    </row>
    <row r="1694" spans="1:23" s="89" customFormat="1" ht="40.35" customHeight="1">
      <c r="A1694" s="564"/>
      <c r="B1694" s="799"/>
      <c r="C1694" s="800"/>
      <c r="D1694" s="801"/>
      <c r="E1694" s="801"/>
      <c r="F1694" s="128"/>
      <c r="G1694" s="802"/>
      <c r="H1694" s="781"/>
      <c r="I1694" s="803"/>
      <c r="J1694" s="779"/>
      <c r="K1694" s="800"/>
      <c r="L1694" s="800"/>
      <c r="M1694" s="779"/>
      <c r="N1694" s="779"/>
    </row>
    <row r="1695" spans="1:23" s="89" customFormat="1" ht="40.35" customHeight="1">
      <c r="A1695" s="564" t="str">
        <f ca="1">INDIRECT("'update Helper'!C"&amp;U1695)</f>
        <v>a163p000004VjtMAAS</v>
      </c>
      <c r="B1695" s="794">
        <v>27</v>
      </c>
      <c r="C1695" s="795" t="str">
        <f ca="1">VLOOKUP(B1695,'Coverage Indicators - Section D'!$A$9:$AU$70,47,FALSE)</f>
        <v/>
      </c>
      <c r="D1695" s="796" t="str">
        <f ca="1">R1695</f>
        <v/>
      </c>
      <c r="E1695" s="796" t="str">
        <f ca="1">S1695</f>
        <v/>
      </c>
      <c r="F1695" s="127"/>
      <c r="G1695" s="797" t="str">
        <f ca="1">IF(OR(INDIRECT("'update Helper'!E"&amp;U1695)="",F1695&lt;&gt;0,F1696&lt;&gt;0),IF(IFERROR((F1695/F1696),"")="","",(F1695/F1696)),INDIRECT("'update Helper'!E"&amp;U1695)/100)</f>
        <v/>
      </c>
      <c r="H1695" s="784"/>
      <c r="I1695" s="798"/>
      <c r="J1695" s="777"/>
      <c r="K1695" s="795" t="str">
        <f ca="1">W1695</f>
        <v/>
      </c>
      <c r="L1695" s="795" t="str">
        <f ca="1">V1695</f>
        <v/>
      </c>
      <c r="M1695" s="777"/>
      <c r="N1695" s="777"/>
      <c r="P1695" s="89">
        <f ca="1">IF(AND(EXACT(C1695,C1693),C1693&lt;&gt;0),P1693+1,0)</f>
        <v>297</v>
      </c>
      <c r="Q1695" s="89" t="str">
        <f ca="1">IF(C1695&lt;&gt;"",C1695&amp;"-"&amp;P1695,"")</f>
        <v/>
      </c>
      <c r="R1695" s="89" t="str">
        <f t="array" aca="1" ref="R1695" ca="1">IFERROR(IF(INDEX('Disaggregation Records'!$E$155:$E$385,MATCH(RIGHT(Q1695,255),RIGHT('Disaggregation Records'!$D$155:$D$385,255),0))="","",INDEX('Disaggregation Records'!$E$155:$E$385,MATCH(RIGHT(Q1695,255),RIGHT('Disaggregation Records'!$D$155:$D$385,255),0))),"")</f>
        <v/>
      </c>
      <c r="S1695" s="89" t="str">
        <f t="array" aca="1" ref="S1695" ca="1">IFERROR(IF(INDEX('Disaggregation Records'!$F$155:$F$385,MATCH(RIGHT(Q1695,255),RIGHT('Disaggregation Records'!$D$155:$D$385,255),0))="","",INDEX('Disaggregation Records'!$F$155:$F$385,MATCH(RIGHT(Q1695,255),RIGHT('Disaggregation Records'!$D$155:$D$385,255),0))),"")</f>
        <v/>
      </c>
      <c r="T1695" s="89" t="str">
        <f t="array" aca="1" ref="T1695" ca="1">IFERROR(IF(INDEX('Disaggregation Records'!$H$155:$H$385,MATCH(RIGHT(Q1695,255),RIGHT('Disaggregation Records'!$D$155:$D$385,255),0))="","",INDEX('Disaggregation Records'!$H$155:$H$385,MATCH(RIGHT(Q1695,255),RIGHT('Disaggregation Records'!$D$155:$D$385,255),0))),"")</f>
        <v/>
      </c>
      <c r="U1695" s="89">
        <f>U1693+1</f>
        <v>1957</v>
      </c>
      <c r="V1695" s="89" t="str">
        <f t="array" aca="1" ref="V1695" ca="1">IFERROR(IF(INDEX('Disaggregation Records'!$I$155:$I$385,MATCH(RIGHT(Q1695,255),RIGHT('Disaggregation Records'!$D$155:$D$385,255),0))="","",INDEX('Disaggregation Records'!$I$155:$I$385,MATCH(RIGHT(Q1695,255),RIGHT('Disaggregation Records'!$D$155:$D$385,255),0))),"")</f>
        <v/>
      </c>
      <c r="W1695" s="89" t="str">
        <f ca="1">IFERROR(INDEX('Reference Records'!L$77:L$157,MATCH(LEFT(C1695,255),'Reference Records'!E$77:E$157,0)),"")</f>
        <v/>
      </c>
    </row>
    <row r="1696" spans="1:23" s="89" customFormat="1" ht="40.35" customHeight="1">
      <c r="A1696" s="564"/>
      <c r="B1696" s="799"/>
      <c r="C1696" s="800"/>
      <c r="D1696" s="801"/>
      <c r="E1696" s="801"/>
      <c r="F1696" s="128"/>
      <c r="G1696" s="802"/>
      <c r="H1696" s="781"/>
      <c r="I1696" s="803"/>
      <c r="J1696" s="779"/>
      <c r="K1696" s="800"/>
      <c r="L1696" s="800"/>
      <c r="M1696" s="779"/>
      <c r="N1696" s="779"/>
    </row>
    <row r="1697" spans="1:23" s="89" customFormat="1" ht="40.35" customHeight="1">
      <c r="A1697" s="564" t="str">
        <f ca="1">INDIRECT("'update Helper'!C"&amp;U1697)</f>
        <v>a163p000004VjtNAAS</v>
      </c>
      <c r="B1697" s="794">
        <v>27</v>
      </c>
      <c r="C1697" s="795" t="str">
        <f ca="1">VLOOKUP(B1697,'Coverage Indicators - Section D'!$A$9:$AU$70,47,FALSE)</f>
        <v/>
      </c>
      <c r="D1697" s="796" t="str">
        <f ca="1">R1697</f>
        <v/>
      </c>
      <c r="E1697" s="796" t="str">
        <f ca="1">S1697</f>
        <v/>
      </c>
      <c r="F1697" s="127"/>
      <c r="G1697" s="797" t="str">
        <f ca="1">IF(OR(INDIRECT("'update Helper'!E"&amp;U1697)="",F1697&lt;&gt;0,F1698&lt;&gt;0),IF(IFERROR((F1697/F1698),"")="","",(F1697/F1698)),INDIRECT("'update Helper'!E"&amp;U1697)/100)</f>
        <v/>
      </c>
      <c r="H1697" s="784"/>
      <c r="I1697" s="798"/>
      <c r="J1697" s="777"/>
      <c r="K1697" s="795" t="str">
        <f ca="1">W1697</f>
        <v/>
      </c>
      <c r="L1697" s="795" t="str">
        <f ca="1">V1697</f>
        <v/>
      </c>
      <c r="M1697" s="777"/>
      <c r="N1697" s="777"/>
      <c r="P1697" s="89">
        <f ca="1">IF(AND(EXACT(C1697,C1695),C1695&lt;&gt;0),P1695+1,0)</f>
        <v>298</v>
      </c>
      <c r="Q1697" s="89" t="str">
        <f ca="1">IF(C1697&lt;&gt;"",C1697&amp;"-"&amp;P1697,"")</f>
        <v/>
      </c>
      <c r="R1697" s="89" t="str">
        <f t="array" aca="1" ref="R1697" ca="1">IFERROR(IF(INDEX('Disaggregation Records'!$E$155:$E$385,MATCH(RIGHT(Q1697,255),RIGHT('Disaggregation Records'!$D$155:$D$385,255),0))="","",INDEX('Disaggregation Records'!$E$155:$E$385,MATCH(RIGHT(Q1697,255),RIGHT('Disaggregation Records'!$D$155:$D$385,255),0))),"")</f>
        <v/>
      </c>
      <c r="S1697" s="89" t="str">
        <f t="array" aca="1" ref="S1697" ca="1">IFERROR(IF(INDEX('Disaggregation Records'!$F$155:$F$385,MATCH(RIGHT(Q1697,255),RIGHT('Disaggregation Records'!$D$155:$D$385,255),0))="","",INDEX('Disaggregation Records'!$F$155:$F$385,MATCH(RIGHT(Q1697,255),RIGHT('Disaggregation Records'!$D$155:$D$385,255),0))),"")</f>
        <v/>
      </c>
      <c r="T1697" s="89" t="str">
        <f t="array" aca="1" ref="T1697" ca="1">IFERROR(IF(INDEX('Disaggregation Records'!$H$155:$H$385,MATCH(RIGHT(Q1697,255),RIGHT('Disaggregation Records'!$D$155:$D$385,255),0))="","",INDEX('Disaggregation Records'!$H$155:$H$385,MATCH(RIGHT(Q1697,255),RIGHT('Disaggregation Records'!$D$155:$D$385,255),0))),"")</f>
        <v/>
      </c>
      <c r="U1697" s="89">
        <f>U1695+1</f>
        <v>1958</v>
      </c>
      <c r="V1697" s="89" t="str">
        <f t="array" aca="1" ref="V1697" ca="1">IFERROR(IF(INDEX('Disaggregation Records'!$I$155:$I$385,MATCH(RIGHT(Q1697,255),RIGHT('Disaggregation Records'!$D$155:$D$385,255),0))="","",INDEX('Disaggregation Records'!$I$155:$I$385,MATCH(RIGHT(Q1697,255),RIGHT('Disaggregation Records'!$D$155:$D$385,255),0))),"")</f>
        <v/>
      </c>
      <c r="W1697" s="89" t="str">
        <f ca="1">IFERROR(INDEX('Reference Records'!L$77:L$157,MATCH(LEFT(C1697,255),'Reference Records'!E$77:E$157,0)),"")</f>
        <v/>
      </c>
    </row>
    <row r="1698" spans="1:23" s="89" customFormat="1" ht="40.35" customHeight="1">
      <c r="A1698" s="564"/>
      <c r="B1698" s="799"/>
      <c r="C1698" s="800"/>
      <c r="D1698" s="801"/>
      <c r="E1698" s="801"/>
      <c r="F1698" s="128"/>
      <c r="G1698" s="802"/>
      <c r="H1698" s="781"/>
      <c r="I1698" s="803"/>
      <c r="J1698" s="779"/>
      <c r="K1698" s="800"/>
      <c r="L1698" s="800"/>
      <c r="M1698" s="779"/>
      <c r="N1698" s="779"/>
    </row>
    <row r="1699" spans="1:23" s="89" customFormat="1" ht="40.35" customHeight="1">
      <c r="A1699" s="564" t="str">
        <f ca="1">INDIRECT("'update Helper'!C"&amp;U1699)</f>
        <v>a163p000004VjtOAAS</v>
      </c>
      <c r="B1699" s="794">
        <v>27</v>
      </c>
      <c r="C1699" s="795" t="str">
        <f ca="1">VLOOKUP(B1699,'Coverage Indicators - Section D'!$A$9:$AU$70,47,FALSE)</f>
        <v/>
      </c>
      <c r="D1699" s="796" t="str">
        <f ca="1">R1699</f>
        <v/>
      </c>
      <c r="E1699" s="796" t="str">
        <f ca="1">S1699</f>
        <v/>
      </c>
      <c r="F1699" s="127"/>
      <c r="G1699" s="797" t="str">
        <f ca="1">IF(OR(INDIRECT("'update Helper'!E"&amp;U1699)="",F1699&lt;&gt;0,F1700&lt;&gt;0),IF(IFERROR((F1699/F1700),"")="","",(F1699/F1700)),INDIRECT("'update Helper'!E"&amp;U1699)/100)</f>
        <v/>
      </c>
      <c r="H1699" s="784"/>
      <c r="I1699" s="798"/>
      <c r="J1699" s="777"/>
      <c r="K1699" s="795" t="str">
        <f ca="1">W1699</f>
        <v/>
      </c>
      <c r="L1699" s="795" t="str">
        <f ca="1">V1699</f>
        <v/>
      </c>
      <c r="M1699" s="777"/>
      <c r="N1699" s="777"/>
      <c r="P1699" s="89">
        <f ca="1">IF(AND(EXACT(C1699,C1697),C1697&lt;&gt;0),P1697+1,0)</f>
        <v>299</v>
      </c>
      <c r="Q1699" s="89" t="str">
        <f ca="1">IF(C1699&lt;&gt;"",C1699&amp;"-"&amp;P1699,"")</f>
        <v/>
      </c>
      <c r="R1699" s="89" t="str">
        <f t="array" aca="1" ref="R1699" ca="1">IFERROR(IF(INDEX('Disaggregation Records'!$E$155:$E$385,MATCH(RIGHT(Q1699,255),RIGHT('Disaggregation Records'!$D$155:$D$385,255),0))="","",INDEX('Disaggregation Records'!$E$155:$E$385,MATCH(RIGHT(Q1699,255),RIGHT('Disaggregation Records'!$D$155:$D$385,255),0))),"")</f>
        <v/>
      </c>
      <c r="S1699" s="89" t="str">
        <f t="array" aca="1" ref="S1699" ca="1">IFERROR(IF(INDEX('Disaggregation Records'!$F$155:$F$385,MATCH(RIGHT(Q1699,255),RIGHT('Disaggregation Records'!$D$155:$D$385,255),0))="","",INDEX('Disaggregation Records'!$F$155:$F$385,MATCH(RIGHT(Q1699,255),RIGHT('Disaggregation Records'!$D$155:$D$385,255),0))),"")</f>
        <v/>
      </c>
      <c r="T1699" s="89" t="str">
        <f t="array" aca="1" ref="T1699" ca="1">IFERROR(IF(INDEX('Disaggregation Records'!$H$155:$H$385,MATCH(RIGHT(Q1699,255),RIGHT('Disaggregation Records'!$D$155:$D$385,255),0))="","",INDEX('Disaggregation Records'!$H$155:$H$385,MATCH(RIGHT(Q1699,255),RIGHT('Disaggregation Records'!$D$155:$D$385,255),0))),"")</f>
        <v/>
      </c>
      <c r="U1699" s="89">
        <f>U1697+1</f>
        <v>1959</v>
      </c>
      <c r="V1699" s="89" t="str">
        <f t="array" aca="1" ref="V1699" ca="1">IFERROR(IF(INDEX('Disaggregation Records'!$I$155:$I$385,MATCH(RIGHT(Q1699,255),RIGHT('Disaggregation Records'!$D$155:$D$385,255),0))="","",INDEX('Disaggregation Records'!$I$155:$I$385,MATCH(RIGHT(Q1699,255),RIGHT('Disaggregation Records'!$D$155:$D$385,255),0))),"")</f>
        <v/>
      </c>
      <c r="W1699" s="89" t="str">
        <f ca="1">IFERROR(INDEX('Reference Records'!L$77:L$157,MATCH(LEFT(C1699,255),'Reference Records'!E$77:E$157,0)),"")</f>
        <v/>
      </c>
    </row>
    <row r="1700" spans="1:23" s="89" customFormat="1" ht="40.35" customHeight="1">
      <c r="A1700" s="564"/>
      <c r="B1700" s="799"/>
      <c r="C1700" s="800"/>
      <c r="D1700" s="801"/>
      <c r="E1700" s="801"/>
      <c r="F1700" s="128"/>
      <c r="G1700" s="802"/>
      <c r="H1700" s="781"/>
      <c r="I1700" s="803"/>
      <c r="J1700" s="779"/>
      <c r="K1700" s="800"/>
      <c r="L1700" s="800"/>
      <c r="M1700" s="779"/>
      <c r="N1700" s="779"/>
    </row>
    <row r="1701" spans="1:23" s="89" customFormat="1" ht="40.35" customHeight="1">
      <c r="A1701" s="564" t="str">
        <f ca="1">INDIRECT("'update Helper'!C"&amp;U1701)</f>
        <v>a163p000004VjtPAAS</v>
      </c>
      <c r="B1701" s="794">
        <v>28</v>
      </c>
      <c r="C1701" s="795" t="str">
        <f ca="1">VLOOKUP(B1701,'Coverage Indicators - Section D'!$A$9:$AU$70,47,FALSE)</f>
        <v/>
      </c>
      <c r="D1701" s="796" t="str">
        <f ca="1">R1701</f>
        <v/>
      </c>
      <c r="E1701" s="796" t="str">
        <f ca="1">S1701</f>
        <v/>
      </c>
      <c r="F1701" s="127"/>
      <c r="G1701" s="797" t="str">
        <f ca="1">IF(OR(INDIRECT("'update Helper'!E"&amp;U1701)="",F1701&lt;&gt;0,F1702&lt;&gt;0),IF(IFERROR((F1701/F1702),"")="","",(F1701/F1702)),INDIRECT("'update Helper'!E"&amp;U1701)/100)</f>
        <v/>
      </c>
      <c r="H1701" s="784"/>
      <c r="I1701" s="798"/>
      <c r="J1701" s="777"/>
      <c r="K1701" s="795" t="str">
        <f ca="1">W1701</f>
        <v/>
      </c>
      <c r="L1701" s="795" t="str">
        <f ca="1">V1701</f>
        <v/>
      </c>
      <c r="M1701" s="777"/>
      <c r="N1701" s="777"/>
      <c r="P1701" s="89">
        <f ca="1">IF(AND(EXACT(C1701,C1699),C1699&lt;&gt;0),P1699+1,0)</f>
        <v>300</v>
      </c>
      <c r="Q1701" s="89" t="str">
        <f ca="1">IF(C1701&lt;&gt;"",C1701&amp;"-"&amp;P1701,"")</f>
        <v/>
      </c>
      <c r="R1701" s="89" t="str">
        <f t="array" aca="1" ref="R1701" ca="1">IFERROR(IF(INDEX('Disaggregation Records'!$E$155:$E$385,MATCH(RIGHT(Q1701,255),RIGHT('Disaggregation Records'!$D$155:$D$385,255),0))="","",INDEX('Disaggregation Records'!$E$155:$E$385,MATCH(RIGHT(Q1701,255),RIGHT('Disaggregation Records'!$D$155:$D$385,255),0))),"")</f>
        <v/>
      </c>
      <c r="S1701" s="89" t="str">
        <f t="array" aca="1" ref="S1701" ca="1">IFERROR(IF(INDEX('Disaggregation Records'!$F$155:$F$385,MATCH(RIGHT(Q1701,255),RIGHT('Disaggregation Records'!$D$155:$D$385,255),0))="","",INDEX('Disaggregation Records'!$F$155:$F$385,MATCH(RIGHT(Q1701,255),RIGHT('Disaggregation Records'!$D$155:$D$385,255),0))),"")</f>
        <v/>
      </c>
      <c r="T1701" s="89" t="str">
        <f t="array" aca="1" ref="T1701" ca="1">IFERROR(IF(INDEX('Disaggregation Records'!$H$155:$H$385,MATCH(RIGHT(Q1701,255),RIGHT('Disaggregation Records'!$D$155:$D$385,255),0))="","",INDEX('Disaggregation Records'!$H$155:$H$385,MATCH(RIGHT(Q1701,255),RIGHT('Disaggregation Records'!$D$155:$D$385,255),0))),"")</f>
        <v/>
      </c>
      <c r="U1701" s="89">
        <f>U1699+1</f>
        <v>1960</v>
      </c>
      <c r="V1701" s="89" t="str">
        <f t="array" aca="1" ref="V1701" ca="1">IFERROR(IF(INDEX('Disaggregation Records'!$I$155:$I$385,MATCH(RIGHT(Q1701,255),RIGHT('Disaggregation Records'!$D$155:$D$385,255),0))="","",INDEX('Disaggregation Records'!$I$155:$I$385,MATCH(RIGHT(Q1701,255),RIGHT('Disaggregation Records'!$D$155:$D$385,255),0))),"")</f>
        <v/>
      </c>
      <c r="W1701" s="89" t="str">
        <f ca="1">IFERROR(INDEX('Reference Records'!L$77:L$157,MATCH(LEFT(C1701,255),'Reference Records'!E$77:E$157,0)),"")</f>
        <v/>
      </c>
    </row>
    <row r="1702" spans="1:23" s="89" customFormat="1" ht="40.35" customHeight="1">
      <c r="A1702" s="564"/>
      <c r="B1702" s="799"/>
      <c r="C1702" s="800"/>
      <c r="D1702" s="801"/>
      <c r="E1702" s="801"/>
      <c r="F1702" s="128"/>
      <c r="G1702" s="802"/>
      <c r="H1702" s="781"/>
      <c r="I1702" s="803"/>
      <c r="J1702" s="779"/>
      <c r="K1702" s="800"/>
      <c r="L1702" s="800"/>
      <c r="M1702" s="779"/>
      <c r="N1702" s="779"/>
    </row>
    <row r="1703" spans="1:23" s="89" customFormat="1" ht="40.35" customHeight="1">
      <c r="A1703" s="564" t="str">
        <f ca="1">INDIRECT("'update Helper'!C"&amp;U1703)</f>
        <v>a163p000004VjtQAAS</v>
      </c>
      <c r="B1703" s="794">
        <v>28</v>
      </c>
      <c r="C1703" s="795" t="str">
        <f ca="1">VLOOKUP(B1703,'Coverage Indicators - Section D'!$A$9:$AU$70,47,FALSE)</f>
        <v/>
      </c>
      <c r="D1703" s="796" t="str">
        <f ca="1">R1703</f>
        <v/>
      </c>
      <c r="E1703" s="796" t="str">
        <f ca="1">S1703</f>
        <v/>
      </c>
      <c r="F1703" s="127"/>
      <c r="G1703" s="797" t="str">
        <f ca="1">IF(OR(INDIRECT("'update Helper'!E"&amp;U1703)="",F1703&lt;&gt;0,F1704&lt;&gt;0),IF(IFERROR((F1703/F1704),"")="","",(F1703/F1704)),INDIRECT("'update Helper'!E"&amp;U1703)/100)</f>
        <v/>
      </c>
      <c r="H1703" s="784"/>
      <c r="I1703" s="798"/>
      <c r="J1703" s="777"/>
      <c r="K1703" s="795" t="str">
        <f ca="1">W1703</f>
        <v/>
      </c>
      <c r="L1703" s="795" t="str">
        <f ca="1">V1703</f>
        <v/>
      </c>
      <c r="M1703" s="777"/>
      <c r="N1703" s="777"/>
      <c r="P1703" s="89">
        <f ca="1">IF(AND(EXACT(C1703,C1701),C1701&lt;&gt;0),P1701+1,0)</f>
        <v>301</v>
      </c>
      <c r="Q1703" s="89" t="str">
        <f ca="1">IF(C1703&lt;&gt;"",C1703&amp;"-"&amp;P1703,"")</f>
        <v/>
      </c>
      <c r="R1703" s="89" t="str">
        <f t="array" aca="1" ref="R1703" ca="1">IFERROR(IF(INDEX('Disaggregation Records'!$E$155:$E$385,MATCH(RIGHT(Q1703,255),RIGHT('Disaggregation Records'!$D$155:$D$385,255),0))="","",INDEX('Disaggregation Records'!$E$155:$E$385,MATCH(RIGHT(Q1703,255),RIGHT('Disaggregation Records'!$D$155:$D$385,255),0))),"")</f>
        <v/>
      </c>
      <c r="S1703" s="89" t="str">
        <f t="array" aca="1" ref="S1703" ca="1">IFERROR(IF(INDEX('Disaggregation Records'!$F$155:$F$385,MATCH(RIGHT(Q1703,255),RIGHT('Disaggregation Records'!$D$155:$D$385,255),0))="","",INDEX('Disaggregation Records'!$F$155:$F$385,MATCH(RIGHT(Q1703,255),RIGHT('Disaggregation Records'!$D$155:$D$385,255),0))),"")</f>
        <v/>
      </c>
      <c r="T1703" s="89" t="str">
        <f t="array" aca="1" ref="T1703" ca="1">IFERROR(IF(INDEX('Disaggregation Records'!$H$155:$H$385,MATCH(RIGHT(Q1703,255),RIGHT('Disaggregation Records'!$D$155:$D$385,255),0))="","",INDEX('Disaggregation Records'!$H$155:$H$385,MATCH(RIGHT(Q1703,255),RIGHT('Disaggregation Records'!$D$155:$D$385,255),0))),"")</f>
        <v/>
      </c>
      <c r="U1703" s="89">
        <f>U1701+1</f>
        <v>1961</v>
      </c>
      <c r="V1703" s="89" t="str">
        <f t="array" aca="1" ref="V1703" ca="1">IFERROR(IF(INDEX('Disaggregation Records'!$I$155:$I$385,MATCH(RIGHT(Q1703,255),RIGHT('Disaggregation Records'!$D$155:$D$385,255),0))="","",INDEX('Disaggregation Records'!$I$155:$I$385,MATCH(RIGHT(Q1703,255),RIGHT('Disaggregation Records'!$D$155:$D$385,255),0))),"")</f>
        <v/>
      </c>
      <c r="W1703" s="89" t="str">
        <f ca="1">IFERROR(INDEX('Reference Records'!L$77:L$157,MATCH(LEFT(C1703,255),'Reference Records'!E$77:E$157,0)),"")</f>
        <v/>
      </c>
    </row>
    <row r="1704" spans="1:23" s="89" customFormat="1" ht="40.35" customHeight="1">
      <c r="A1704" s="564"/>
      <c r="B1704" s="799"/>
      <c r="C1704" s="800"/>
      <c r="D1704" s="801"/>
      <c r="E1704" s="801"/>
      <c r="F1704" s="128"/>
      <c r="G1704" s="802"/>
      <c r="H1704" s="781"/>
      <c r="I1704" s="803"/>
      <c r="J1704" s="779"/>
      <c r="K1704" s="800"/>
      <c r="L1704" s="800"/>
      <c r="M1704" s="779"/>
      <c r="N1704" s="779"/>
    </row>
    <row r="1705" spans="1:23" s="89" customFormat="1" ht="40.35" customHeight="1">
      <c r="A1705" s="564" t="str">
        <f ca="1">INDIRECT("'update Helper'!C"&amp;U1705)</f>
        <v>a163p000004VjtRAAS</v>
      </c>
      <c r="B1705" s="794">
        <v>28</v>
      </c>
      <c r="C1705" s="795" t="str">
        <f ca="1">VLOOKUP(B1705,'Coverage Indicators - Section D'!$A$9:$AU$70,47,FALSE)</f>
        <v/>
      </c>
      <c r="D1705" s="796" t="str">
        <f ca="1">R1705</f>
        <v/>
      </c>
      <c r="E1705" s="796" t="str">
        <f ca="1">S1705</f>
        <v/>
      </c>
      <c r="F1705" s="127"/>
      <c r="G1705" s="797" t="str">
        <f ca="1">IF(OR(INDIRECT("'update Helper'!E"&amp;U1705)="",F1705&lt;&gt;0,F1706&lt;&gt;0),IF(IFERROR((F1705/F1706),"")="","",(F1705/F1706)),INDIRECT("'update Helper'!E"&amp;U1705)/100)</f>
        <v/>
      </c>
      <c r="H1705" s="784"/>
      <c r="I1705" s="798"/>
      <c r="J1705" s="777"/>
      <c r="K1705" s="795" t="str">
        <f ca="1">W1705</f>
        <v/>
      </c>
      <c r="L1705" s="795" t="str">
        <f ca="1">V1705</f>
        <v/>
      </c>
      <c r="M1705" s="777"/>
      <c r="N1705" s="777"/>
      <c r="P1705" s="89">
        <f ca="1">IF(AND(EXACT(C1705,C1703),C1703&lt;&gt;0),P1703+1,0)</f>
        <v>302</v>
      </c>
      <c r="Q1705" s="89" t="str">
        <f ca="1">IF(C1705&lt;&gt;"",C1705&amp;"-"&amp;P1705,"")</f>
        <v/>
      </c>
      <c r="R1705" s="89" t="str">
        <f t="array" aca="1" ref="R1705" ca="1">IFERROR(IF(INDEX('Disaggregation Records'!$E$155:$E$385,MATCH(RIGHT(Q1705,255),RIGHT('Disaggregation Records'!$D$155:$D$385,255),0))="","",INDEX('Disaggregation Records'!$E$155:$E$385,MATCH(RIGHT(Q1705,255),RIGHT('Disaggregation Records'!$D$155:$D$385,255),0))),"")</f>
        <v/>
      </c>
      <c r="S1705" s="89" t="str">
        <f t="array" aca="1" ref="S1705" ca="1">IFERROR(IF(INDEX('Disaggregation Records'!$F$155:$F$385,MATCH(RIGHT(Q1705,255),RIGHT('Disaggregation Records'!$D$155:$D$385,255),0))="","",INDEX('Disaggregation Records'!$F$155:$F$385,MATCH(RIGHT(Q1705,255),RIGHT('Disaggregation Records'!$D$155:$D$385,255),0))),"")</f>
        <v/>
      </c>
      <c r="T1705" s="89" t="str">
        <f t="array" aca="1" ref="T1705" ca="1">IFERROR(IF(INDEX('Disaggregation Records'!$H$155:$H$385,MATCH(RIGHT(Q1705,255),RIGHT('Disaggregation Records'!$D$155:$D$385,255),0))="","",INDEX('Disaggregation Records'!$H$155:$H$385,MATCH(RIGHT(Q1705,255),RIGHT('Disaggregation Records'!$D$155:$D$385,255),0))),"")</f>
        <v/>
      </c>
      <c r="U1705" s="89">
        <f>U1703+1</f>
        <v>1962</v>
      </c>
      <c r="V1705" s="89" t="str">
        <f t="array" aca="1" ref="V1705" ca="1">IFERROR(IF(INDEX('Disaggregation Records'!$I$155:$I$385,MATCH(RIGHT(Q1705,255),RIGHT('Disaggregation Records'!$D$155:$D$385,255),0))="","",INDEX('Disaggregation Records'!$I$155:$I$385,MATCH(RIGHT(Q1705,255),RIGHT('Disaggregation Records'!$D$155:$D$385,255),0))),"")</f>
        <v/>
      </c>
      <c r="W1705" s="89" t="str">
        <f ca="1">IFERROR(INDEX('Reference Records'!L$77:L$157,MATCH(LEFT(C1705,255),'Reference Records'!E$77:E$157,0)),"")</f>
        <v/>
      </c>
    </row>
    <row r="1706" spans="1:23" s="89" customFormat="1" ht="40.35" customHeight="1">
      <c r="A1706" s="564"/>
      <c r="B1706" s="799"/>
      <c r="C1706" s="800"/>
      <c r="D1706" s="801"/>
      <c r="E1706" s="801"/>
      <c r="F1706" s="128"/>
      <c r="G1706" s="802"/>
      <c r="H1706" s="781"/>
      <c r="I1706" s="803"/>
      <c r="J1706" s="779"/>
      <c r="K1706" s="800"/>
      <c r="L1706" s="800"/>
      <c r="M1706" s="779"/>
      <c r="N1706" s="779"/>
    </row>
    <row r="1707" spans="1:23" s="89" customFormat="1" ht="40.35" customHeight="1">
      <c r="A1707" s="564" t="str">
        <f ca="1">INDIRECT("'update Helper'!C"&amp;U1707)</f>
        <v>a163p000004VjtSAAS</v>
      </c>
      <c r="B1707" s="794">
        <v>28</v>
      </c>
      <c r="C1707" s="795" t="str">
        <f ca="1">VLOOKUP(B1707,'Coverage Indicators - Section D'!$A$9:$AU$70,47,FALSE)</f>
        <v/>
      </c>
      <c r="D1707" s="796" t="str">
        <f ca="1">R1707</f>
        <v/>
      </c>
      <c r="E1707" s="796" t="str">
        <f ca="1">S1707</f>
        <v/>
      </c>
      <c r="F1707" s="127"/>
      <c r="G1707" s="797" t="str">
        <f ca="1">IF(OR(INDIRECT("'update Helper'!E"&amp;U1707)="",F1707&lt;&gt;0,F1708&lt;&gt;0),IF(IFERROR((F1707/F1708),"")="","",(F1707/F1708)),INDIRECT("'update Helper'!E"&amp;U1707)/100)</f>
        <v/>
      </c>
      <c r="H1707" s="784"/>
      <c r="I1707" s="798"/>
      <c r="J1707" s="777"/>
      <c r="K1707" s="795" t="str">
        <f ca="1">W1707</f>
        <v/>
      </c>
      <c r="L1707" s="795" t="str">
        <f ca="1">V1707</f>
        <v/>
      </c>
      <c r="M1707" s="777"/>
      <c r="N1707" s="777"/>
      <c r="P1707" s="89">
        <f ca="1">IF(AND(EXACT(C1707,C1705),C1705&lt;&gt;0),P1705+1,0)</f>
        <v>303</v>
      </c>
      <c r="Q1707" s="89" t="str">
        <f ca="1">IF(C1707&lt;&gt;"",C1707&amp;"-"&amp;P1707,"")</f>
        <v/>
      </c>
      <c r="R1707" s="89" t="str">
        <f t="array" aca="1" ref="R1707" ca="1">IFERROR(IF(INDEX('Disaggregation Records'!$E$155:$E$385,MATCH(RIGHT(Q1707,255),RIGHT('Disaggregation Records'!$D$155:$D$385,255),0))="","",INDEX('Disaggregation Records'!$E$155:$E$385,MATCH(RIGHT(Q1707,255),RIGHT('Disaggregation Records'!$D$155:$D$385,255),0))),"")</f>
        <v/>
      </c>
      <c r="S1707" s="89" t="str">
        <f t="array" aca="1" ref="S1707" ca="1">IFERROR(IF(INDEX('Disaggregation Records'!$F$155:$F$385,MATCH(RIGHT(Q1707,255),RIGHT('Disaggregation Records'!$D$155:$D$385,255),0))="","",INDEX('Disaggregation Records'!$F$155:$F$385,MATCH(RIGHT(Q1707,255),RIGHT('Disaggregation Records'!$D$155:$D$385,255),0))),"")</f>
        <v/>
      </c>
      <c r="T1707" s="89" t="str">
        <f t="array" aca="1" ref="T1707" ca="1">IFERROR(IF(INDEX('Disaggregation Records'!$H$155:$H$385,MATCH(RIGHT(Q1707,255),RIGHT('Disaggregation Records'!$D$155:$D$385,255),0))="","",INDEX('Disaggregation Records'!$H$155:$H$385,MATCH(RIGHT(Q1707,255),RIGHT('Disaggregation Records'!$D$155:$D$385,255),0))),"")</f>
        <v/>
      </c>
      <c r="U1707" s="89">
        <f>U1705+1</f>
        <v>1963</v>
      </c>
      <c r="V1707" s="89" t="str">
        <f t="array" aca="1" ref="V1707" ca="1">IFERROR(IF(INDEX('Disaggregation Records'!$I$155:$I$385,MATCH(RIGHT(Q1707,255),RIGHT('Disaggregation Records'!$D$155:$D$385,255),0))="","",INDEX('Disaggregation Records'!$I$155:$I$385,MATCH(RIGHT(Q1707,255),RIGHT('Disaggregation Records'!$D$155:$D$385,255),0))),"")</f>
        <v/>
      </c>
      <c r="W1707" s="89" t="str">
        <f ca="1">IFERROR(INDEX('Reference Records'!L$77:L$157,MATCH(LEFT(C1707,255),'Reference Records'!E$77:E$157,0)),"")</f>
        <v/>
      </c>
    </row>
    <row r="1708" spans="1:23" s="89" customFormat="1" ht="40.35" customHeight="1">
      <c r="A1708" s="564"/>
      <c r="B1708" s="799"/>
      <c r="C1708" s="800"/>
      <c r="D1708" s="801"/>
      <c r="E1708" s="801"/>
      <c r="F1708" s="128"/>
      <c r="G1708" s="802"/>
      <c r="H1708" s="781"/>
      <c r="I1708" s="803"/>
      <c r="J1708" s="779"/>
      <c r="K1708" s="800"/>
      <c r="L1708" s="800"/>
      <c r="M1708" s="779"/>
      <c r="N1708" s="779"/>
    </row>
    <row r="1709" spans="1:23" s="89" customFormat="1" ht="40.35" customHeight="1">
      <c r="A1709" s="564" t="str">
        <f ca="1">INDIRECT("'update Helper'!C"&amp;U1709)</f>
        <v>a163p000004VjtTAAS</v>
      </c>
      <c r="B1709" s="794">
        <v>28</v>
      </c>
      <c r="C1709" s="795" t="str">
        <f ca="1">VLOOKUP(B1709,'Coverage Indicators - Section D'!$A$9:$AU$70,47,FALSE)</f>
        <v/>
      </c>
      <c r="D1709" s="796" t="str">
        <f ca="1">R1709</f>
        <v/>
      </c>
      <c r="E1709" s="796" t="str">
        <f ca="1">S1709</f>
        <v/>
      </c>
      <c r="F1709" s="127"/>
      <c r="G1709" s="797" t="str">
        <f ca="1">IF(OR(INDIRECT("'update Helper'!E"&amp;U1709)="",F1709&lt;&gt;0,F1710&lt;&gt;0),IF(IFERROR((F1709/F1710),"")="","",(F1709/F1710)),INDIRECT("'update Helper'!E"&amp;U1709)/100)</f>
        <v/>
      </c>
      <c r="H1709" s="784"/>
      <c r="I1709" s="798"/>
      <c r="J1709" s="777"/>
      <c r="K1709" s="795" t="str">
        <f ca="1">W1709</f>
        <v/>
      </c>
      <c r="L1709" s="795" t="str">
        <f ca="1">V1709</f>
        <v/>
      </c>
      <c r="M1709" s="777"/>
      <c r="N1709" s="777"/>
      <c r="P1709" s="89">
        <f ca="1">IF(AND(EXACT(C1709,C1707),C1707&lt;&gt;0),P1707+1,0)</f>
        <v>304</v>
      </c>
      <c r="Q1709" s="89" t="str">
        <f ca="1">IF(C1709&lt;&gt;"",C1709&amp;"-"&amp;P1709,"")</f>
        <v/>
      </c>
      <c r="R1709" s="89" t="str">
        <f t="array" aca="1" ref="R1709" ca="1">IFERROR(IF(INDEX('Disaggregation Records'!$E$155:$E$385,MATCH(RIGHT(Q1709,255),RIGHT('Disaggregation Records'!$D$155:$D$385,255),0))="","",INDEX('Disaggregation Records'!$E$155:$E$385,MATCH(RIGHT(Q1709,255),RIGHT('Disaggregation Records'!$D$155:$D$385,255),0))),"")</f>
        <v/>
      </c>
      <c r="S1709" s="89" t="str">
        <f t="array" aca="1" ref="S1709" ca="1">IFERROR(IF(INDEX('Disaggregation Records'!$F$155:$F$385,MATCH(RIGHT(Q1709,255),RIGHT('Disaggregation Records'!$D$155:$D$385,255),0))="","",INDEX('Disaggregation Records'!$F$155:$F$385,MATCH(RIGHT(Q1709,255),RIGHT('Disaggregation Records'!$D$155:$D$385,255),0))),"")</f>
        <v/>
      </c>
      <c r="T1709" s="89" t="str">
        <f t="array" aca="1" ref="T1709" ca="1">IFERROR(IF(INDEX('Disaggregation Records'!$H$155:$H$385,MATCH(RIGHT(Q1709,255),RIGHT('Disaggregation Records'!$D$155:$D$385,255),0))="","",INDEX('Disaggregation Records'!$H$155:$H$385,MATCH(RIGHT(Q1709,255),RIGHT('Disaggregation Records'!$D$155:$D$385,255),0))),"")</f>
        <v/>
      </c>
      <c r="U1709" s="89">
        <f>U1707+1</f>
        <v>1964</v>
      </c>
      <c r="V1709" s="89" t="str">
        <f t="array" aca="1" ref="V1709" ca="1">IFERROR(IF(INDEX('Disaggregation Records'!$I$155:$I$385,MATCH(RIGHT(Q1709,255),RIGHT('Disaggregation Records'!$D$155:$D$385,255),0))="","",INDEX('Disaggregation Records'!$I$155:$I$385,MATCH(RIGHT(Q1709,255),RIGHT('Disaggregation Records'!$D$155:$D$385,255),0))),"")</f>
        <v/>
      </c>
      <c r="W1709" s="89" t="str">
        <f ca="1">IFERROR(INDEX('Reference Records'!L$77:L$157,MATCH(LEFT(C1709,255),'Reference Records'!E$77:E$157,0)),"")</f>
        <v/>
      </c>
    </row>
    <row r="1710" spans="1:23" s="89" customFormat="1" ht="40.35" customHeight="1">
      <c r="A1710" s="564"/>
      <c r="B1710" s="799"/>
      <c r="C1710" s="800"/>
      <c r="D1710" s="801"/>
      <c r="E1710" s="801"/>
      <c r="F1710" s="128"/>
      <c r="G1710" s="802"/>
      <c r="H1710" s="781"/>
      <c r="I1710" s="803"/>
      <c r="J1710" s="779"/>
      <c r="K1710" s="800"/>
      <c r="L1710" s="800"/>
      <c r="M1710" s="779"/>
      <c r="N1710" s="779"/>
    </row>
    <row r="1711" spans="1:23" s="89" customFormat="1" ht="40.35" customHeight="1">
      <c r="A1711" s="564" t="str">
        <f ca="1">INDIRECT("'update Helper'!C"&amp;U1711)</f>
        <v>a163p000004VjtUAAS</v>
      </c>
      <c r="B1711" s="794">
        <v>28</v>
      </c>
      <c r="C1711" s="795" t="str">
        <f ca="1">VLOOKUP(B1711,'Coverage Indicators - Section D'!$A$9:$AU$70,47,FALSE)</f>
        <v/>
      </c>
      <c r="D1711" s="796" t="str">
        <f ca="1">R1711</f>
        <v/>
      </c>
      <c r="E1711" s="796" t="str">
        <f ca="1">S1711</f>
        <v/>
      </c>
      <c r="F1711" s="127"/>
      <c r="G1711" s="797" t="str">
        <f ca="1">IF(OR(INDIRECT("'update Helper'!E"&amp;U1711)="",F1711&lt;&gt;0,F1712&lt;&gt;0),IF(IFERROR((F1711/F1712),"")="","",(F1711/F1712)),INDIRECT("'update Helper'!E"&amp;U1711)/100)</f>
        <v/>
      </c>
      <c r="H1711" s="784"/>
      <c r="I1711" s="798"/>
      <c r="J1711" s="777"/>
      <c r="K1711" s="795" t="str">
        <f ca="1">W1711</f>
        <v/>
      </c>
      <c r="L1711" s="795" t="str">
        <f ca="1">V1711</f>
        <v/>
      </c>
      <c r="M1711" s="777"/>
      <c r="N1711" s="777"/>
      <c r="P1711" s="89">
        <f ca="1">IF(AND(EXACT(C1711,C1709),C1709&lt;&gt;0),P1709+1,0)</f>
        <v>305</v>
      </c>
      <c r="Q1711" s="89" t="str">
        <f ca="1">IF(C1711&lt;&gt;"",C1711&amp;"-"&amp;P1711,"")</f>
        <v/>
      </c>
      <c r="R1711" s="89" t="str">
        <f t="array" aca="1" ref="R1711" ca="1">IFERROR(IF(INDEX('Disaggregation Records'!$E$155:$E$385,MATCH(RIGHT(Q1711,255),RIGHT('Disaggregation Records'!$D$155:$D$385,255),0))="","",INDEX('Disaggregation Records'!$E$155:$E$385,MATCH(RIGHT(Q1711,255),RIGHT('Disaggregation Records'!$D$155:$D$385,255),0))),"")</f>
        <v/>
      </c>
      <c r="S1711" s="89" t="str">
        <f t="array" aca="1" ref="S1711" ca="1">IFERROR(IF(INDEX('Disaggregation Records'!$F$155:$F$385,MATCH(RIGHT(Q1711,255),RIGHT('Disaggregation Records'!$D$155:$D$385,255),0))="","",INDEX('Disaggregation Records'!$F$155:$F$385,MATCH(RIGHT(Q1711,255),RIGHT('Disaggregation Records'!$D$155:$D$385,255),0))),"")</f>
        <v/>
      </c>
      <c r="T1711" s="89" t="str">
        <f t="array" aca="1" ref="T1711" ca="1">IFERROR(IF(INDEX('Disaggregation Records'!$H$155:$H$385,MATCH(RIGHT(Q1711,255),RIGHT('Disaggregation Records'!$D$155:$D$385,255),0))="","",INDEX('Disaggregation Records'!$H$155:$H$385,MATCH(RIGHT(Q1711,255),RIGHT('Disaggregation Records'!$D$155:$D$385,255),0))),"")</f>
        <v/>
      </c>
      <c r="U1711" s="89">
        <f>U1709+1</f>
        <v>1965</v>
      </c>
      <c r="V1711" s="89" t="str">
        <f t="array" aca="1" ref="V1711" ca="1">IFERROR(IF(INDEX('Disaggregation Records'!$I$155:$I$385,MATCH(RIGHT(Q1711,255),RIGHT('Disaggregation Records'!$D$155:$D$385,255),0))="","",INDEX('Disaggregation Records'!$I$155:$I$385,MATCH(RIGHT(Q1711,255),RIGHT('Disaggregation Records'!$D$155:$D$385,255),0))),"")</f>
        <v/>
      </c>
      <c r="W1711" s="89" t="str">
        <f ca="1">IFERROR(INDEX('Reference Records'!L$77:L$157,MATCH(LEFT(C1711,255),'Reference Records'!E$77:E$157,0)),"")</f>
        <v/>
      </c>
    </row>
    <row r="1712" spans="1:23" s="89" customFormat="1" ht="40.35" customHeight="1">
      <c r="A1712" s="564"/>
      <c r="B1712" s="799"/>
      <c r="C1712" s="800"/>
      <c r="D1712" s="801"/>
      <c r="E1712" s="801"/>
      <c r="F1712" s="128"/>
      <c r="G1712" s="802"/>
      <c r="H1712" s="781"/>
      <c r="I1712" s="803"/>
      <c r="J1712" s="779"/>
      <c r="K1712" s="800"/>
      <c r="L1712" s="800"/>
      <c r="M1712" s="779"/>
      <c r="N1712" s="779"/>
    </row>
    <row r="1713" spans="1:23" s="89" customFormat="1" ht="40.35" customHeight="1">
      <c r="A1713" s="564" t="str">
        <f ca="1">INDIRECT("'update Helper'!C"&amp;U1713)</f>
        <v>a163p000004VjtVAAS</v>
      </c>
      <c r="B1713" s="794">
        <v>28</v>
      </c>
      <c r="C1713" s="795" t="str">
        <f ca="1">VLOOKUP(B1713,'Coverage Indicators - Section D'!$A$9:$AU$70,47,FALSE)</f>
        <v/>
      </c>
      <c r="D1713" s="796" t="str">
        <f ca="1">R1713</f>
        <v/>
      </c>
      <c r="E1713" s="796" t="str">
        <f ca="1">S1713</f>
        <v/>
      </c>
      <c r="F1713" s="127"/>
      <c r="G1713" s="797" t="str">
        <f ca="1">IF(OR(INDIRECT("'update Helper'!E"&amp;U1713)="",F1713&lt;&gt;0,F1714&lt;&gt;0),IF(IFERROR((F1713/F1714),"")="","",(F1713/F1714)),INDIRECT("'update Helper'!E"&amp;U1713)/100)</f>
        <v/>
      </c>
      <c r="H1713" s="784"/>
      <c r="I1713" s="798"/>
      <c r="J1713" s="777"/>
      <c r="K1713" s="795" t="str">
        <f ca="1">W1713</f>
        <v/>
      </c>
      <c r="L1713" s="795" t="str">
        <f ca="1">V1713</f>
        <v/>
      </c>
      <c r="M1713" s="777"/>
      <c r="N1713" s="777"/>
      <c r="P1713" s="89">
        <f ca="1">IF(AND(EXACT(C1713,C1711),C1711&lt;&gt;0),P1711+1,0)</f>
        <v>306</v>
      </c>
      <c r="Q1713" s="89" t="str">
        <f ca="1">IF(C1713&lt;&gt;"",C1713&amp;"-"&amp;P1713,"")</f>
        <v/>
      </c>
      <c r="R1713" s="89" t="str">
        <f t="array" aca="1" ref="R1713" ca="1">IFERROR(IF(INDEX('Disaggregation Records'!$E$155:$E$385,MATCH(RIGHT(Q1713,255),RIGHT('Disaggregation Records'!$D$155:$D$385,255),0))="","",INDEX('Disaggregation Records'!$E$155:$E$385,MATCH(RIGHT(Q1713,255),RIGHT('Disaggregation Records'!$D$155:$D$385,255),0))),"")</f>
        <v/>
      </c>
      <c r="S1713" s="89" t="str">
        <f t="array" aca="1" ref="S1713" ca="1">IFERROR(IF(INDEX('Disaggregation Records'!$F$155:$F$385,MATCH(RIGHT(Q1713,255),RIGHT('Disaggregation Records'!$D$155:$D$385,255),0))="","",INDEX('Disaggregation Records'!$F$155:$F$385,MATCH(RIGHT(Q1713,255),RIGHT('Disaggregation Records'!$D$155:$D$385,255),0))),"")</f>
        <v/>
      </c>
      <c r="T1713" s="89" t="str">
        <f t="array" aca="1" ref="T1713" ca="1">IFERROR(IF(INDEX('Disaggregation Records'!$H$155:$H$385,MATCH(RIGHT(Q1713,255),RIGHT('Disaggregation Records'!$D$155:$D$385,255),0))="","",INDEX('Disaggregation Records'!$H$155:$H$385,MATCH(RIGHT(Q1713,255),RIGHT('Disaggregation Records'!$D$155:$D$385,255),0))),"")</f>
        <v/>
      </c>
      <c r="U1713" s="89">
        <f>U1711+1</f>
        <v>1966</v>
      </c>
      <c r="V1713" s="89" t="str">
        <f t="array" aca="1" ref="V1713" ca="1">IFERROR(IF(INDEX('Disaggregation Records'!$I$155:$I$385,MATCH(RIGHT(Q1713,255),RIGHT('Disaggregation Records'!$D$155:$D$385,255),0))="","",INDEX('Disaggregation Records'!$I$155:$I$385,MATCH(RIGHT(Q1713,255),RIGHT('Disaggregation Records'!$D$155:$D$385,255),0))),"")</f>
        <v/>
      </c>
      <c r="W1713" s="89" t="str">
        <f ca="1">IFERROR(INDEX('Reference Records'!L$77:L$157,MATCH(LEFT(C1713,255),'Reference Records'!E$77:E$157,0)),"")</f>
        <v/>
      </c>
    </row>
    <row r="1714" spans="1:23" s="89" customFormat="1" ht="40.35" customHeight="1">
      <c r="A1714" s="564"/>
      <c r="B1714" s="799"/>
      <c r="C1714" s="800"/>
      <c r="D1714" s="801"/>
      <c r="E1714" s="801"/>
      <c r="F1714" s="128"/>
      <c r="G1714" s="802"/>
      <c r="H1714" s="781"/>
      <c r="I1714" s="803"/>
      <c r="J1714" s="779"/>
      <c r="K1714" s="800"/>
      <c r="L1714" s="800"/>
      <c r="M1714" s="779"/>
      <c r="N1714" s="779"/>
    </row>
    <row r="1715" spans="1:23" s="89" customFormat="1" ht="40.35" customHeight="1">
      <c r="A1715" s="564" t="str">
        <f ca="1">INDIRECT("'update Helper'!C"&amp;U1715)</f>
        <v>a163p000004VjtWAAS</v>
      </c>
      <c r="B1715" s="794">
        <v>28</v>
      </c>
      <c r="C1715" s="795" t="str">
        <f ca="1">VLOOKUP(B1715,'Coverage Indicators - Section D'!$A$9:$AU$70,47,FALSE)</f>
        <v/>
      </c>
      <c r="D1715" s="796" t="str">
        <f ca="1">R1715</f>
        <v/>
      </c>
      <c r="E1715" s="796" t="str">
        <f ca="1">S1715</f>
        <v/>
      </c>
      <c r="F1715" s="127"/>
      <c r="G1715" s="797" t="str">
        <f ca="1">IF(OR(INDIRECT("'update Helper'!E"&amp;U1715)="",F1715&lt;&gt;0,F1716&lt;&gt;0),IF(IFERROR((F1715/F1716),"")="","",(F1715/F1716)),INDIRECT("'update Helper'!E"&amp;U1715)/100)</f>
        <v/>
      </c>
      <c r="H1715" s="784"/>
      <c r="I1715" s="798"/>
      <c r="J1715" s="777"/>
      <c r="K1715" s="795" t="str">
        <f ca="1">W1715</f>
        <v/>
      </c>
      <c r="L1715" s="795" t="str">
        <f ca="1">V1715</f>
        <v/>
      </c>
      <c r="M1715" s="777"/>
      <c r="N1715" s="777"/>
      <c r="P1715" s="89">
        <f ca="1">IF(AND(EXACT(C1715,C1713),C1713&lt;&gt;0),P1713+1,0)</f>
        <v>307</v>
      </c>
      <c r="Q1715" s="89" t="str">
        <f ca="1">IF(C1715&lt;&gt;"",C1715&amp;"-"&amp;P1715,"")</f>
        <v/>
      </c>
      <c r="R1715" s="89" t="str">
        <f t="array" aca="1" ref="R1715" ca="1">IFERROR(IF(INDEX('Disaggregation Records'!$E$155:$E$385,MATCH(RIGHT(Q1715,255),RIGHT('Disaggregation Records'!$D$155:$D$385,255),0))="","",INDEX('Disaggregation Records'!$E$155:$E$385,MATCH(RIGHT(Q1715,255),RIGHT('Disaggregation Records'!$D$155:$D$385,255),0))),"")</f>
        <v/>
      </c>
      <c r="S1715" s="89" t="str">
        <f t="array" aca="1" ref="S1715" ca="1">IFERROR(IF(INDEX('Disaggregation Records'!$F$155:$F$385,MATCH(RIGHT(Q1715,255),RIGHT('Disaggregation Records'!$D$155:$D$385,255),0))="","",INDEX('Disaggregation Records'!$F$155:$F$385,MATCH(RIGHT(Q1715,255),RIGHT('Disaggregation Records'!$D$155:$D$385,255),0))),"")</f>
        <v/>
      </c>
      <c r="T1715" s="89" t="str">
        <f t="array" aca="1" ref="T1715" ca="1">IFERROR(IF(INDEX('Disaggregation Records'!$H$155:$H$385,MATCH(RIGHT(Q1715,255),RIGHT('Disaggregation Records'!$D$155:$D$385,255),0))="","",INDEX('Disaggregation Records'!$H$155:$H$385,MATCH(RIGHT(Q1715,255),RIGHT('Disaggregation Records'!$D$155:$D$385,255),0))),"")</f>
        <v/>
      </c>
      <c r="U1715" s="89">
        <f>U1713+1</f>
        <v>1967</v>
      </c>
      <c r="V1715" s="89" t="str">
        <f t="array" aca="1" ref="V1715" ca="1">IFERROR(IF(INDEX('Disaggregation Records'!$I$155:$I$385,MATCH(RIGHT(Q1715,255),RIGHT('Disaggregation Records'!$D$155:$D$385,255),0))="","",INDEX('Disaggregation Records'!$I$155:$I$385,MATCH(RIGHT(Q1715,255),RIGHT('Disaggregation Records'!$D$155:$D$385,255),0))),"")</f>
        <v/>
      </c>
      <c r="W1715" s="89" t="str">
        <f ca="1">IFERROR(INDEX('Reference Records'!L$77:L$157,MATCH(LEFT(C1715,255),'Reference Records'!E$77:E$157,0)),"")</f>
        <v/>
      </c>
    </row>
    <row r="1716" spans="1:23" s="89" customFormat="1" ht="40.35" customHeight="1">
      <c r="A1716" s="564"/>
      <c r="B1716" s="799"/>
      <c r="C1716" s="800"/>
      <c r="D1716" s="801"/>
      <c r="E1716" s="801"/>
      <c r="F1716" s="128"/>
      <c r="G1716" s="802"/>
      <c r="H1716" s="781"/>
      <c r="I1716" s="803"/>
      <c r="J1716" s="779"/>
      <c r="K1716" s="800"/>
      <c r="L1716" s="800"/>
      <c r="M1716" s="779"/>
      <c r="N1716" s="779"/>
    </row>
    <row r="1717" spans="1:23" s="89" customFormat="1" ht="40.35" customHeight="1">
      <c r="A1717" s="564" t="str">
        <f ca="1">INDIRECT("'update Helper'!C"&amp;U1717)</f>
        <v>a163p000004VjtXAAS</v>
      </c>
      <c r="B1717" s="794">
        <v>28</v>
      </c>
      <c r="C1717" s="795" t="str">
        <f ca="1">VLOOKUP(B1717,'Coverage Indicators - Section D'!$A$9:$AU$70,47,FALSE)</f>
        <v/>
      </c>
      <c r="D1717" s="796" t="str">
        <f ca="1">R1717</f>
        <v/>
      </c>
      <c r="E1717" s="796" t="str">
        <f ca="1">S1717</f>
        <v/>
      </c>
      <c r="F1717" s="127"/>
      <c r="G1717" s="797" t="str">
        <f ca="1">IF(OR(INDIRECT("'update Helper'!E"&amp;U1717)="",F1717&lt;&gt;0,F1718&lt;&gt;0),IF(IFERROR((F1717/F1718),"")="","",(F1717/F1718)),INDIRECT("'update Helper'!E"&amp;U1717)/100)</f>
        <v/>
      </c>
      <c r="H1717" s="784"/>
      <c r="I1717" s="798"/>
      <c r="J1717" s="777"/>
      <c r="K1717" s="795" t="str">
        <f ca="1">W1717</f>
        <v/>
      </c>
      <c r="L1717" s="795" t="str">
        <f ca="1">V1717</f>
        <v/>
      </c>
      <c r="M1717" s="777"/>
      <c r="N1717" s="777"/>
      <c r="P1717" s="89">
        <f ca="1">IF(AND(EXACT(C1717,C1715),C1715&lt;&gt;0),P1715+1,0)</f>
        <v>308</v>
      </c>
      <c r="Q1717" s="89" t="str">
        <f ca="1">IF(C1717&lt;&gt;"",C1717&amp;"-"&amp;P1717,"")</f>
        <v/>
      </c>
      <c r="R1717" s="89" t="str">
        <f t="array" aca="1" ref="R1717" ca="1">IFERROR(IF(INDEX('Disaggregation Records'!$E$155:$E$385,MATCH(RIGHT(Q1717,255),RIGHT('Disaggregation Records'!$D$155:$D$385,255),0))="","",INDEX('Disaggregation Records'!$E$155:$E$385,MATCH(RIGHT(Q1717,255),RIGHT('Disaggregation Records'!$D$155:$D$385,255),0))),"")</f>
        <v/>
      </c>
      <c r="S1717" s="89" t="str">
        <f t="array" aca="1" ref="S1717" ca="1">IFERROR(IF(INDEX('Disaggregation Records'!$F$155:$F$385,MATCH(RIGHT(Q1717,255),RIGHT('Disaggregation Records'!$D$155:$D$385,255),0))="","",INDEX('Disaggregation Records'!$F$155:$F$385,MATCH(RIGHT(Q1717,255),RIGHT('Disaggregation Records'!$D$155:$D$385,255),0))),"")</f>
        <v/>
      </c>
      <c r="T1717" s="89" t="str">
        <f t="array" aca="1" ref="T1717" ca="1">IFERROR(IF(INDEX('Disaggregation Records'!$H$155:$H$385,MATCH(RIGHT(Q1717,255),RIGHT('Disaggregation Records'!$D$155:$D$385,255),0))="","",INDEX('Disaggregation Records'!$H$155:$H$385,MATCH(RIGHT(Q1717,255),RIGHT('Disaggregation Records'!$D$155:$D$385,255),0))),"")</f>
        <v/>
      </c>
      <c r="U1717" s="89">
        <f>U1715+1</f>
        <v>1968</v>
      </c>
      <c r="V1717" s="89" t="str">
        <f t="array" aca="1" ref="V1717" ca="1">IFERROR(IF(INDEX('Disaggregation Records'!$I$155:$I$385,MATCH(RIGHT(Q1717,255),RIGHT('Disaggregation Records'!$D$155:$D$385,255),0))="","",INDEX('Disaggregation Records'!$I$155:$I$385,MATCH(RIGHT(Q1717,255),RIGHT('Disaggregation Records'!$D$155:$D$385,255),0))),"")</f>
        <v/>
      </c>
      <c r="W1717" s="89" t="str">
        <f ca="1">IFERROR(INDEX('Reference Records'!L$77:L$157,MATCH(LEFT(C1717,255),'Reference Records'!E$77:E$157,0)),"")</f>
        <v/>
      </c>
    </row>
    <row r="1718" spans="1:23" s="89" customFormat="1" ht="40.35" customHeight="1">
      <c r="A1718" s="564"/>
      <c r="B1718" s="799"/>
      <c r="C1718" s="800"/>
      <c r="D1718" s="801"/>
      <c r="E1718" s="801"/>
      <c r="F1718" s="128"/>
      <c r="G1718" s="802"/>
      <c r="H1718" s="781"/>
      <c r="I1718" s="803"/>
      <c r="J1718" s="779"/>
      <c r="K1718" s="800"/>
      <c r="L1718" s="800"/>
      <c r="M1718" s="779"/>
      <c r="N1718" s="779"/>
    </row>
    <row r="1719" spans="1:23" s="89" customFormat="1" ht="40.35" customHeight="1">
      <c r="A1719" s="564" t="str">
        <f ca="1">INDIRECT("'update Helper'!C"&amp;U1719)</f>
        <v>a163p000004VjtYAAS</v>
      </c>
      <c r="B1719" s="794">
        <v>28</v>
      </c>
      <c r="C1719" s="795" t="str">
        <f ca="1">VLOOKUP(B1719,'Coverage Indicators - Section D'!$A$9:$AU$70,47,FALSE)</f>
        <v/>
      </c>
      <c r="D1719" s="796" t="str">
        <f ca="1">R1719</f>
        <v/>
      </c>
      <c r="E1719" s="796" t="str">
        <f ca="1">S1719</f>
        <v/>
      </c>
      <c r="F1719" s="127"/>
      <c r="G1719" s="797" t="str">
        <f ca="1">IF(OR(INDIRECT("'update Helper'!E"&amp;U1719)="",F1719&lt;&gt;0,F1720&lt;&gt;0),IF(IFERROR((F1719/F1720),"")="","",(F1719/F1720)),INDIRECT("'update Helper'!E"&amp;U1719)/100)</f>
        <v/>
      </c>
      <c r="H1719" s="784"/>
      <c r="I1719" s="798"/>
      <c r="J1719" s="777"/>
      <c r="K1719" s="795" t="str">
        <f ca="1">W1719</f>
        <v/>
      </c>
      <c r="L1719" s="795" t="str">
        <f ca="1">V1719</f>
        <v/>
      </c>
      <c r="M1719" s="777"/>
      <c r="N1719" s="777"/>
      <c r="P1719" s="89">
        <f ca="1">IF(AND(EXACT(C1719,C1717),C1717&lt;&gt;0),P1717+1,0)</f>
        <v>309</v>
      </c>
      <c r="Q1719" s="89" t="str">
        <f ca="1">IF(C1719&lt;&gt;"",C1719&amp;"-"&amp;P1719,"")</f>
        <v/>
      </c>
      <c r="R1719" s="89" t="str">
        <f t="array" aca="1" ref="R1719" ca="1">IFERROR(IF(INDEX('Disaggregation Records'!$E$155:$E$385,MATCH(RIGHT(Q1719,255),RIGHT('Disaggregation Records'!$D$155:$D$385,255),0))="","",INDEX('Disaggregation Records'!$E$155:$E$385,MATCH(RIGHT(Q1719,255),RIGHT('Disaggregation Records'!$D$155:$D$385,255),0))),"")</f>
        <v/>
      </c>
      <c r="S1719" s="89" t="str">
        <f t="array" aca="1" ref="S1719" ca="1">IFERROR(IF(INDEX('Disaggregation Records'!$F$155:$F$385,MATCH(RIGHT(Q1719,255),RIGHT('Disaggregation Records'!$D$155:$D$385,255),0))="","",INDEX('Disaggregation Records'!$F$155:$F$385,MATCH(RIGHT(Q1719,255),RIGHT('Disaggregation Records'!$D$155:$D$385,255),0))),"")</f>
        <v/>
      </c>
      <c r="T1719" s="89" t="str">
        <f t="array" aca="1" ref="T1719" ca="1">IFERROR(IF(INDEX('Disaggregation Records'!$H$155:$H$385,MATCH(RIGHT(Q1719,255),RIGHT('Disaggregation Records'!$D$155:$D$385,255),0))="","",INDEX('Disaggregation Records'!$H$155:$H$385,MATCH(RIGHT(Q1719,255),RIGHT('Disaggregation Records'!$D$155:$D$385,255),0))),"")</f>
        <v/>
      </c>
      <c r="U1719" s="89">
        <f>U1717+1</f>
        <v>1969</v>
      </c>
      <c r="V1719" s="89" t="str">
        <f t="array" aca="1" ref="V1719" ca="1">IFERROR(IF(INDEX('Disaggregation Records'!$I$155:$I$385,MATCH(RIGHT(Q1719,255),RIGHT('Disaggregation Records'!$D$155:$D$385,255),0))="","",INDEX('Disaggregation Records'!$I$155:$I$385,MATCH(RIGHT(Q1719,255),RIGHT('Disaggregation Records'!$D$155:$D$385,255),0))),"")</f>
        <v/>
      </c>
      <c r="W1719" s="89" t="str">
        <f ca="1">IFERROR(INDEX('Reference Records'!L$77:L$157,MATCH(LEFT(C1719,255),'Reference Records'!E$77:E$157,0)),"")</f>
        <v/>
      </c>
    </row>
    <row r="1720" spans="1:23" s="89" customFormat="1" ht="40.35" customHeight="1">
      <c r="A1720" s="564"/>
      <c r="B1720" s="799"/>
      <c r="C1720" s="800"/>
      <c r="D1720" s="801"/>
      <c r="E1720" s="801"/>
      <c r="F1720" s="128"/>
      <c r="G1720" s="802"/>
      <c r="H1720" s="781"/>
      <c r="I1720" s="803"/>
      <c r="J1720" s="779"/>
      <c r="K1720" s="800"/>
      <c r="L1720" s="800"/>
      <c r="M1720" s="779"/>
      <c r="N1720" s="779"/>
    </row>
    <row r="1721" spans="1:23" s="89" customFormat="1" ht="40.35" customHeight="1">
      <c r="A1721" s="564" t="str">
        <f ca="1">INDIRECT("'update Helper'!C"&amp;U1721)</f>
        <v>a163p000004VjtZAAS</v>
      </c>
      <c r="B1721" s="794">
        <v>28</v>
      </c>
      <c r="C1721" s="795" t="str">
        <f ca="1">VLOOKUP(B1721,'Coverage Indicators - Section D'!$A$9:$AU$70,47,FALSE)</f>
        <v/>
      </c>
      <c r="D1721" s="796" t="str">
        <f ca="1">R1721</f>
        <v/>
      </c>
      <c r="E1721" s="796" t="str">
        <f ca="1">S1721</f>
        <v/>
      </c>
      <c r="F1721" s="127"/>
      <c r="G1721" s="797" t="str">
        <f ca="1">IF(OR(INDIRECT("'update Helper'!E"&amp;U1721)="",F1721&lt;&gt;0,F1722&lt;&gt;0),IF(IFERROR((F1721/F1722),"")="","",(F1721/F1722)),INDIRECT("'update Helper'!E"&amp;U1721)/100)</f>
        <v/>
      </c>
      <c r="H1721" s="784"/>
      <c r="I1721" s="798"/>
      <c r="J1721" s="777"/>
      <c r="K1721" s="795" t="str">
        <f ca="1">W1721</f>
        <v/>
      </c>
      <c r="L1721" s="795" t="str">
        <f ca="1">V1721</f>
        <v/>
      </c>
      <c r="M1721" s="777"/>
      <c r="N1721" s="777"/>
      <c r="P1721" s="89">
        <f ca="1">IF(AND(EXACT(C1721,C1719),C1719&lt;&gt;0),P1719+1,0)</f>
        <v>310</v>
      </c>
      <c r="Q1721" s="89" t="str">
        <f ca="1">IF(C1721&lt;&gt;"",C1721&amp;"-"&amp;P1721,"")</f>
        <v/>
      </c>
      <c r="R1721" s="89" t="str">
        <f t="array" aca="1" ref="R1721" ca="1">IFERROR(IF(INDEX('Disaggregation Records'!$E$155:$E$385,MATCH(RIGHT(Q1721,255),RIGHT('Disaggregation Records'!$D$155:$D$385,255),0))="","",INDEX('Disaggregation Records'!$E$155:$E$385,MATCH(RIGHT(Q1721,255),RIGHT('Disaggregation Records'!$D$155:$D$385,255),0))),"")</f>
        <v/>
      </c>
      <c r="S1721" s="89" t="str">
        <f t="array" aca="1" ref="S1721" ca="1">IFERROR(IF(INDEX('Disaggregation Records'!$F$155:$F$385,MATCH(RIGHT(Q1721,255),RIGHT('Disaggregation Records'!$D$155:$D$385,255),0))="","",INDEX('Disaggregation Records'!$F$155:$F$385,MATCH(RIGHT(Q1721,255),RIGHT('Disaggregation Records'!$D$155:$D$385,255),0))),"")</f>
        <v/>
      </c>
      <c r="T1721" s="89" t="str">
        <f t="array" aca="1" ref="T1721" ca="1">IFERROR(IF(INDEX('Disaggregation Records'!$H$155:$H$385,MATCH(RIGHT(Q1721,255),RIGHT('Disaggregation Records'!$D$155:$D$385,255),0))="","",INDEX('Disaggregation Records'!$H$155:$H$385,MATCH(RIGHT(Q1721,255),RIGHT('Disaggregation Records'!$D$155:$D$385,255),0))),"")</f>
        <v/>
      </c>
      <c r="U1721" s="89">
        <f>U1719+1</f>
        <v>1970</v>
      </c>
      <c r="V1721" s="89" t="str">
        <f t="array" aca="1" ref="V1721" ca="1">IFERROR(IF(INDEX('Disaggregation Records'!$I$155:$I$385,MATCH(RIGHT(Q1721,255),RIGHT('Disaggregation Records'!$D$155:$D$385,255),0))="","",INDEX('Disaggregation Records'!$I$155:$I$385,MATCH(RIGHT(Q1721,255),RIGHT('Disaggregation Records'!$D$155:$D$385,255),0))),"")</f>
        <v/>
      </c>
      <c r="W1721" s="89" t="str">
        <f ca="1">IFERROR(INDEX('Reference Records'!L$77:L$157,MATCH(LEFT(C1721,255),'Reference Records'!E$77:E$157,0)),"")</f>
        <v/>
      </c>
    </row>
    <row r="1722" spans="1:23" s="89" customFormat="1" ht="40.35" customHeight="1">
      <c r="A1722" s="564"/>
      <c r="B1722" s="799"/>
      <c r="C1722" s="800"/>
      <c r="D1722" s="801"/>
      <c r="E1722" s="801"/>
      <c r="F1722" s="128"/>
      <c r="G1722" s="802"/>
      <c r="H1722" s="781"/>
      <c r="I1722" s="803"/>
      <c r="J1722" s="779"/>
      <c r="K1722" s="800"/>
      <c r="L1722" s="800"/>
      <c r="M1722" s="779"/>
      <c r="N1722" s="779"/>
    </row>
    <row r="1723" spans="1:23" s="89" customFormat="1" ht="40.35" customHeight="1">
      <c r="A1723" s="564" t="str">
        <f ca="1">INDIRECT("'update Helper'!C"&amp;U1723)</f>
        <v>a163p000004VjtaAAC</v>
      </c>
      <c r="B1723" s="794">
        <v>28</v>
      </c>
      <c r="C1723" s="795" t="str">
        <f ca="1">VLOOKUP(B1723,'Coverage Indicators - Section D'!$A$9:$AU$70,47,FALSE)</f>
        <v/>
      </c>
      <c r="D1723" s="796" t="str">
        <f ca="1">R1723</f>
        <v/>
      </c>
      <c r="E1723" s="796" t="str">
        <f ca="1">S1723</f>
        <v/>
      </c>
      <c r="F1723" s="127"/>
      <c r="G1723" s="797" t="str">
        <f ca="1">IF(OR(INDIRECT("'update Helper'!E"&amp;U1723)="",F1723&lt;&gt;0,F1724&lt;&gt;0),IF(IFERROR((F1723/F1724),"")="","",(F1723/F1724)),INDIRECT("'update Helper'!E"&amp;U1723)/100)</f>
        <v/>
      </c>
      <c r="H1723" s="784"/>
      <c r="I1723" s="798"/>
      <c r="J1723" s="777"/>
      <c r="K1723" s="795" t="str">
        <f ca="1">W1723</f>
        <v/>
      </c>
      <c r="L1723" s="795" t="str">
        <f ca="1">V1723</f>
        <v/>
      </c>
      <c r="M1723" s="777"/>
      <c r="N1723" s="777"/>
      <c r="P1723" s="89">
        <f ca="1">IF(AND(EXACT(C1723,C1721),C1721&lt;&gt;0),P1721+1,0)</f>
        <v>311</v>
      </c>
      <c r="Q1723" s="89" t="str">
        <f ca="1">IF(C1723&lt;&gt;"",C1723&amp;"-"&amp;P1723,"")</f>
        <v/>
      </c>
      <c r="R1723" s="89" t="str">
        <f t="array" aca="1" ref="R1723" ca="1">IFERROR(IF(INDEX('Disaggregation Records'!$E$155:$E$385,MATCH(RIGHT(Q1723,255),RIGHT('Disaggregation Records'!$D$155:$D$385,255),0))="","",INDEX('Disaggregation Records'!$E$155:$E$385,MATCH(RIGHT(Q1723,255),RIGHT('Disaggregation Records'!$D$155:$D$385,255),0))),"")</f>
        <v/>
      </c>
      <c r="S1723" s="89" t="str">
        <f t="array" aca="1" ref="S1723" ca="1">IFERROR(IF(INDEX('Disaggregation Records'!$F$155:$F$385,MATCH(RIGHT(Q1723,255),RIGHT('Disaggregation Records'!$D$155:$D$385,255),0))="","",INDEX('Disaggregation Records'!$F$155:$F$385,MATCH(RIGHT(Q1723,255),RIGHT('Disaggregation Records'!$D$155:$D$385,255),0))),"")</f>
        <v/>
      </c>
      <c r="T1723" s="89" t="str">
        <f t="array" aca="1" ref="T1723" ca="1">IFERROR(IF(INDEX('Disaggregation Records'!$H$155:$H$385,MATCH(RIGHT(Q1723,255),RIGHT('Disaggregation Records'!$D$155:$D$385,255),0))="","",INDEX('Disaggregation Records'!$H$155:$H$385,MATCH(RIGHT(Q1723,255),RIGHT('Disaggregation Records'!$D$155:$D$385,255),0))),"")</f>
        <v/>
      </c>
      <c r="U1723" s="89">
        <f>U1721+1</f>
        <v>1971</v>
      </c>
      <c r="V1723" s="89" t="str">
        <f t="array" aca="1" ref="V1723" ca="1">IFERROR(IF(INDEX('Disaggregation Records'!$I$155:$I$385,MATCH(RIGHT(Q1723,255),RIGHT('Disaggregation Records'!$D$155:$D$385,255),0))="","",INDEX('Disaggregation Records'!$I$155:$I$385,MATCH(RIGHT(Q1723,255),RIGHT('Disaggregation Records'!$D$155:$D$385,255),0))),"")</f>
        <v/>
      </c>
      <c r="W1723" s="89" t="str">
        <f ca="1">IFERROR(INDEX('Reference Records'!L$77:L$157,MATCH(LEFT(C1723,255),'Reference Records'!E$77:E$157,0)),"")</f>
        <v/>
      </c>
    </row>
    <row r="1724" spans="1:23" s="89" customFormat="1" ht="40.35" customHeight="1">
      <c r="A1724" s="564"/>
      <c r="B1724" s="799"/>
      <c r="C1724" s="800"/>
      <c r="D1724" s="801"/>
      <c r="E1724" s="801"/>
      <c r="F1724" s="128"/>
      <c r="G1724" s="802"/>
      <c r="H1724" s="781"/>
      <c r="I1724" s="803"/>
      <c r="J1724" s="779"/>
      <c r="K1724" s="800"/>
      <c r="L1724" s="800"/>
      <c r="M1724" s="779"/>
      <c r="N1724" s="779"/>
    </row>
    <row r="1725" spans="1:23" s="89" customFormat="1" ht="40.35" customHeight="1">
      <c r="A1725" s="564" t="str">
        <f ca="1">INDIRECT("'update Helper'!C"&amp;U1725)</f>
        <v>a163p000004VjtbAAC</v>
      </c>
      <c r="B1725" s="794">
        <v>28</v>
      </c>
      <c r="C1725" s="795" t="str">
        <f ca="1">VLOOKUP(B1725,'Coverage Indicators - Section D'!$A$9:$AU$70,47,FALSE)</f>
        <v/>
      </c>
      <c r="D1725" s="796" t="str">
        <f ca="1">R1725</f>
        <v/>
      </c>
      <c r="E1725" s="796" t="str">
        <f ca="1">S1725</f>
        <v/>
      </c>
      <c r="F1725" s="127"/>
      <c r="G1725" s="797" t="str">
        <f ca="1">IF(OR(INDIRECT("'update Helper'!E"&amp;U1725)="",F1725&lt;&gt;0,F1726&lt;&gt;0),IF(IFERROR((F1725/F1726),"")="","",(F1725/F1726)),INDIRECT("'update Helper'!E"&amp;U1725)/100)</f>
        <v/>
      </c>
      <c r="H1725" s="784"/>
      <c r="I1725" s="798"/>
      <c r="J1725" s="777"/>
      <c r="K1725" s="795" t="str">
        <f ca="1">W1725</f>
        <v/>
      </c>
      <c r="L1725" s="795" t="str">
        <f ca="1">V1725</f>
        <v/>
      </c>
      <c r="M1725" s="777"/>
      <c r="N1725" s="777"/>
      <c r="P1725" s="89">
        <f ca="1">IF(AND(EXACT(C1725,C1723),C1723&lt;&gt;0),P1723+1,0)</f>
        <v>312</v>
      </c>
      <c r="Q1725" s="89" t="str">
        <f ca="1">IF(C1725&lt;&gt;"",C1725&amp;"-"&amp;P1725,"")</f>
        <v/>
      </c>
      <c r="R1725" s="89" t="str">
        <f t="array" aca="1" ref="R1725" ca="1">IFERROR(IF(INDEX('Disaggregation Records'!$E$155:$E$385,MATCH(RIGHT(Q1725,255),RIGHT('Disaggregation Records'!$D$155:$D$385,255),0))="","",INDEX('Disaggregation Records'!$E$155:$E$385,MATCH(RIGHT(Q1725,255),RIGHT('Disaggregation Records'!$D$155:$D$385,255),0))),"")</f>
        <v/>
      </c>
      <c r="S1725" s="89" t="str">
        <f t="array" aca="1" ref="S1725" ca="1">IFERROR(IF(INDEX('Disaggregation Records'!$F$155:$F$385,MATCH(RIGHT(Q1725,255),RIGHT('Disaggregation Records'!$D$155:$D$385,255),0))="","",INDEX('Disaggregation Records'!$F$155:$F$385,MATCH(RIGHT(Q1725,255),RIGHT('Disaggregation Records'!$D$155:$D$385,255),0))),"")</f>
        <v/>
      </c>
      <c r="T1725" s="89" t="str">
        <f t="array" aca="1" ref="T1725" ca="1">IFERROR(IF(INDEX('Disaggregation Records'!$H$155:$H$385,MATCH(RIGHT(Q1725,255),RIGHT('Disaggregation Records'!$D$155:$D$385,255),0))="","",INDEX('Disaggregation Records'!$H$155:$H$385,MATCH(RIGHT(Q1725,255),RIGHT('Disaggregation Records'!$D$155:$D$385,255),0))),"")</f>
        <v/>
      </c>
      <c r="U1725" s="89">
        <f>U1723+1</f>
        <v>1972</v>
      </c>
      <c r="V1725" s="89" t="str">
        <f t="array" aca="1" ref="V1725" ca="1">IFERROR(IF(INDEX('Disaggregation Records'!$I$155:$I$385,MATCH(RIGHT(Q1725,255),RIGHT('Disaggregation Records'!$D$155:$D$385,255),0))="","",INDEX('Disaggregation Records'!$I$155:$I$385,MATCH(RIGHT(Q1725,255),RIGHT('Disaggregation Records'!$D$155:$D$385,255),0))),"")</f>
        <v/>
      </c>
      <c r="W1725" s="89" t="str">
        <f ca="1">IFERROR(INDEX('Reference Records'!L$77:L$157,MATCH(LEFT(C1725,255),'Reference Records'!E$77:E$157,0)),"")</f>
        <v/>
      </c>
    </row>
    <row r="1726" spans="1:23" s="89" customFormat="1" ht="40.35" customHeight="1">
      <c r="A1726" s="564"/>
      <c r="B1726" s="799"/>
      <c r="C1726" s="800"/>
      <c r="D1726" s="801"/>
      <c r="E1726" s="801"/>
      <c r="F1726" s="128"/>
      <c r="G1726" s="802"/>
      <c r="H1726" s="781"/>
      <c r="I1726" s="803"/>
      <c r="J1726" s="779"/>
      <c r="K1726" s="800"/>
      <c r="L1726" s="800"/>
      <c r="M1726" s="779"/>
      <c r="N1726" s="779"/>
    </row>
    <row r="1727" spans="1:23" s="89" customFormat="1" ht="40.35" customHeight="1">
      <c r="A1727" s="564" t="str">
        <f ca="1">INDIRECT("'update Helper'!C"&amp;U1727)</f>
        <v>a163p000004VjtcAAC</v>
      </c>
      <c r="B1727" s="794">
        <v>28</v>
      </c>
      <c r="C1727" s="795" t="str">
        <f ca="1">VLOOKUP(B1727,'Coverage Indicators - Section D'!$A$9:$AU$70,47,FALSE)</f>
        <v/>
      </c>
      <c r="D1727" s="796" t="str">
        <f ca="1">R1727</f>
        <v/>
      </c>
      <c r="E1727" s="796" t="str">
        <f ca="1">S1727</f>
        <v/>
      </c>
      <c r="F1727" s="127"/>
      <c r="G1727" s="797" t="str">
        <f ca="1">IF(OR(INDIRECT("'update Helper'!E"&amp;U1727)="",F1727&lt;&gt;0,F1728&lt;&gt;0),IF(IFERROR((F1727/F1728),"")="","",(F1727/F1728)),INDIRECT("'update Helper'!E"&amp;U1727)/100)</f>
        <v/>
      </c>
      <c r="H1727" s="784"/>
      <c r="I1727" s="798"/>
      <c r="J1727" s="777"/>
      <c r="K1727" s="795" t="str">
        <f ca="1">W1727</f>
        <v/>
      </c>
      <c r="L1727" s="795" t="str">
        <f ca="1">V1727</f>
        <v/>
      </c>
      <c r="M1727" s="777"/>
      <c r="N1727" s="777"/>
      <c r="P1727" s="89">
        <f ca="1">IF(AND(EXACT(C1727,C1725),C1725&lt;&gt;0),P1725+1,0)</f>
        <v>313</v>
      </c>
      <c r="Q1727" s="89" t="str">
        <f ca="1">IF(C1727&lt;&gt;"",C1727&amp;"-"&amp;P1727,"")</f>
        <v/>
      </c>
      <c r="R1727" s="89" t="str">
        <f t="array" aca="1" ref="R1727" ca="1">IFERROR(IF(INDEX('Disaggregation Records'!$E$155:$E$385,MATCH(RIGHT(Q1727,255),RIGHT('Disaggregation Records'!$D$155:$D$385,255),0))="","",INDEX('Disaggregation Records'!$E$155:$E$385,MATCH(RIGHT(Q1727,255),RIGHT('Disaggregation Records'!$D$155:$D$385,255),0))),"")</f>
        <v/>
      </c>
      <c r="S1727" s="89" t="str">
        <f t="array" aca="1" ref="S1727" ca="1">IFERROR(IF(INDEX('Disaggregation Records'!$F$155:$F$385,MATCH(RIGHT(Q1727,255),RIGHT('Disaggregation Records'!$D$155:$D$385,255),0))="","",INDEX('Disaggregation Records'!$F$155:$F$385,MATCH(RIGHT(Q1727,255),RIGHT('Disaggregation Records'!$D$155:$D$385,255),0))),"")</f>
        <v/>
      </c>
      <c r="T1727" s="89" t="str">
        <f t="array" aca="1" ref="T1727" ca="1">IFERROR(IF(INDEX('Disaggregation Records'!$H$155:$H$385,MATCH(RIGHT(Q1727,255),RIGHT('Disaggregation Records'!$D$155:$D$385,255),0))="","",INDEX('Disaggregation Records'!$H$155:$H$385,MATCH(RIGHT(Q1727,255),RIGHT('Disaggregation Records'!$D$155:$D$385,255),0))),"")</f>
        <v/>
      </c>
      <c r="U1727" s="89">
        <f>U1725+1</f>
        <v>1973</v>
      </c>
      <c r="V1727" s="89" t="str">
        <f t="array" aca="1" ref="V1727" ca="1">IFERROR(IF(INDEX('Disaggregation Records'!$I$155:$I$385,MATCH(RIGHT(Q1727,255),RIGHT('Disaggregation Records'!$D$155:$D$385,255),0))="","",INDEX('Disaggregation Records'!$I$155:$I$385,MATCH(RIGHT(Q1727,255),RIGHT('Disaggregation Records'!$D$155:$D$385,255),0))),"")</f>
        <v/>
      </c>
      <c r="W1727" s="89" t="str">
        <f ca="1">IFERROR(INDEX('Reference Records'!L$77:L$157,MATCH(LEFT(C1727,255),'Reference Records'!E$77:E$157,0)),"")</f>
        <v/>
      </c>
    </row>
    <row r="1728" spans="1:23" s="89" customFormat="1" ht="40.35" customHeight="1">
      <c r="A1728" s="564"/>
      <c r="B1728" s="799"/>
      <c r="C1728" s="800"/>
      <c r="D1728" s="801"/>
      <c r="E1728" s="801"/>
      <c r="F1728" s="128"/>
      <c r="G1728" s="802"/>
      <c r="H1728" s="781"/>
      <c r="I1728" s="803"/>
      <c r="J1728" s="779"/>
      <c r="K1728" s="800"/>
      <c r="L1728" s="800"/>
      <c r="M1728" s="779"/>
      <c r="N1728" s="779"/>
    </row>
    <row r="1729" spans="1:23" s="89" customFormat="1" ht="40.35" customHeight="1">
      <c r="A1729" s="564" t="str">
        <f ca="1">INDIRECT("'update Helper'!C"&amp;U1729)</f>
        <v>a163p000004VjtdAAC</v>
      </c>
      <c r="B1729" s="794">
        <v>28</v>
      </c>
      <c r="C1729" s="795" t="str">
        <f ca="1">VLOOKUP(B1729,'Coverage Indicators - Section D'!$A$9:$AU$70,47,FALSE)</f>
        <v/>
      </c>
      <c r="D1729" s="796" t="str">
        <f ca="1">R1729</f>
        <v/>
      </c>
      <c r="E1729" s="796" t="str">
        <f ca="1">S1729</f>
        <v/>
      </c>
      <c r="F1729" s="127"/>
      <c r="G1729" s="797" t="str">
        <f ca="1">IF(OR(INDIRECT("'update Helper'!E"&amp;U1729)="",F1729&lt;&gt;0,F1730&lt;&gt;0),IF(IFERROR((F1729/F1730),"")="","",(F1729/F1730)),INDIRECT("'update Helper'!E"&amp;U1729)/100)</f>
        <v/>
      </c>
      <c r="H1729" s="784"/>
      <c r="I1729" s="798"/>
      <c r="J1729" s="777"/>
      <c r="K1729" s="795" t="str">
        <f ca="1">W1729</f>
        <v/>
      </c>
      <c r="L1729" s="795" t="str">
        <f ca="1">V1729</f>
        <v/>
      </c>
      <c r="M1729" s="777"/>
      <c r="N1729" s="777"/>
      <c r="P1729" s="89">
        <f ca="1">IF(AND(EXACT(C1729,C1727),C1727&lt;&gt;0),P1727+1,0)</f>
        <v>314</v>
      </c>
      <c r="Q1729" s="89" t="str">
        <f ca="1">IF(C1729&lt;&gt;"",C1729&amp;"-"&amp;P1729,"")</f>
        <v/>
      </c>
      <c r="R1729" s="89" t="str">
        <f t="array" aca="1" ref="R1729" ca="1">IFERROR(IF(INDEX('Disaggregation Records'!$E$155:$E$385,MATCH(RIGHT(Q1729,255),RIGHT('Disaggregation Records'!$D$155:$D$385,255),0))="","",INDEX('Disaggregation Records'!$E$155:$E$385,MATCH(RIGHT(Q1729,255),RIGHT('Disaggregation Records'!$D$155:$D$385,255),0))),"")</f>
        <v/>
      </c>
      <c r="S1729" s="89" t="str">
        <f t="array" aca="1" ref="S1729" ca="1">IFERROR(IF(INDEX('Disaggregation Records'!$F$155:$F$385,MATCH(RIGHT(Q1729,255),RIGHT('Disaggregation Records'!$D$155:$D$385,255),0))="","",INDEX('Disaggregation Records'!$F$155:$F$385,MATCH(RIGHT(Q1729,255),RIGHT('Disaggregation Records'!$D$155:$D$385,255),0))),"")</f>
        <v/>
      </c>
      <c r="T1729" s="89" t="str">
        <f t="array" aca="1" ref="T1729" ca="1">IFERROR(IF(INDEX('Disaggregation Records'!$H$155:$H$385,MATCH(RIGHT(Q1729,255),RIGHT('Disaggregation Records'!$D$155:$D$385,255),0))="","",INDEX('Disaggregation Records'!$H$155:$H$385,MATCH(RIGHT(Q1729,255),RIGHT('Disaggregation Records'!$D$155:$D$385,255),0))),"")</f>
        <v/>
      </c>
      <c r="U1729" s="89">
        <f>U1727+1</f>
        <v>1974</v>
      </c>
      <c r="V1729" s="89" t="str">
        <f t="array" aca="1" ref="V1729" ca="1">IFERROR(IF(INDEX('Disaggregation Records'!$I$155:$I$385,MATCH(RIGHT(Q1729,255),RIGHT('Disaggregation Records'!$D$155:$D$385,255),0))="","",INDEX('Disaggregation Records'!$I$155:$I$385,MATCH(RIGHT(Q1729,255),RIGHT('Disaggregation Records'!$D$155:$D$385,255),0))),"")</f>
        <v/>
      </c>
      <c r="W1729" s="89" t="str">
        <f ca="1">IFERROR(INDEX('Reference Records'!L$77:L$157,MATCH(LEFT(C1729,255),'Reference Records'!E$77:E$157,0)),"")</f>
        <v/>
      </c>
    </row>
    <row r="1730" spans="1:23" s="89" customFormat="1" ht="40.35" customHeight="1">
      <c r="A1730" s="564"/>
      <c r="B1730" s="799"/>
      <c r="C1730" s="800"/>
      <c r="D1730" s="801"/>
      <c r="E1730" s="801"/>
      <c r="F1730" s="128"/>
      <c r="G1730" s="802"/>
      <c r="H1730" s="781"/>
      <c r="I1730" s="803"/>
      <c r="J1730" s="779"/>
      <c r="K1730" s="800"/>
      <c r="L1730" s="800"/>
      <c r="M1730" s="779"/>
      <c r="N1730" s="779"/>
    </row>
    <row r="1731" spans="1:23" s="89" customFormat="1" ht="40.35" customHeight="1">
      <c r="A1731" s="564" t="str">
        <f ca="1">INDIRECT("'update Helper'!C"&amp;U1731)</f>
        <v>a163p000004VjteAAC</v>
      </c>
      <c r="B1731" s="794">
        <v>28</v>
      </c>
      <c r="C1731" s="795" t="str">
        <f ca="1">VLOOKUP(B1731,'Coverage Indicators - Section D'!$A$9:$AU$70,47,FALSE)</f>
        <v/>
      </c>
      <c r="D1731" s="796" t="str">
        <f ca="1">R1731</f>
        <v/>
      </c>
      <c r="E1731" s="796" t="str">
        <f ca="1">S1731</f>
        <v/>
      </c>
      <c r="F1731" s="127"/>
      <c r="G1731" s="797" t="str">
        <f ca="1">IF(OR(INDIRECT("'update Helper'!E"&amp;U1731)="",F1731&lt;&gt;0,F1732&lt;&gt;0),IF(IFERROR((F1731/F1732),"")="","",(F1731/F1732)),INDIRECT("'update Helper'!E"&amp;U1731)/100)</f>
        <v/>
      </c>
      <c r="H1731" s="784"/>
      <c r="I1731" s="798"/>
      <c r="J1731" s="777"/>
      <c r="K1731" s="795" t="str">
        <f ca="1">W1731</f>
        <v/>
      </c>
      <c r="L1731" s="795" t="str">
        <f ca="1">V1731</f>
        <v/>
      </c>
      <c r="M1731" s="777"/>
      <c r="N1731" s="777"/>
      <c r="P1731" s="89">
        <f ca="1">IF(AND(EXACT(C1731,C1729),C1729&lt;&gt;0),P1729+1,0)</f>
        <v>315</v>
      </c>
      <c r="Q1731" s="89" t="str">
        <f ca="1">IF(C1731&lt;&gt;"",C1731&amp;"-"&amp;P1731,"")</f>
        <v/>
      </c>
      <c r="R1731" s="89" t="str">
        <f t="array" aca="1" ref="R1731" ca="1">IFERROR(IF(INDEX('Disaggregation Records'!$E$155:$E$385,MATCH(RIGHT(Q1731,255),RIGHT('Disaggregation Records'!$D$155:$D$385,255),0))="","",INDEX('Disaggregation Records'!$E$155:$E$385,MATCH(RIGHT(Q1731,255),RIGHT('Disaggregation Records'!$D$155:$D$385,255),0))),"")</f>
        <v/>
      </c>
      <c r="S1731" s="89" t="str">
        <f t="array" aca="1" ref="S1731" ca="1">IFERROR(IF(INDEX('Disaggregation Records'!$F$155:$F$385,MATCH(RIGHT(Q1731,255),RIGHT('Disaggregation Records'!$D$155:$D$385,255),0))="","",INDEX('Disaggregation Records'!$F$155:$F$385,MATCH(RIGHT(Q1731,255),RIGHT('Disaggregation Records'!$D$155:$D$385,255),0))),"")</f>
        <v/>
      </c>
      <c r="T1731" s="89" t="str">
        <f t="array" aca="1" ref="T1731" ca="1">IFERROR(IF(INDEX('Disaggregation Records'!$H$155:$H$385,MATCH(RIGHT(Q1731,255),RIGHT('Disaggregation Records'!$D$155:$D$385,255),0))="","",INDEX('Disaggregation Records'!$H$155:$H$385,MATCH(RIGHT(Q1731,255),RIGHT('Disaggregation Records'!$D$155:$D$385,255),0))),"")</f>
        <v/>
      </c>
      <c r="U1731" s="89">
        <f>U1729+1</f>
        <v>1975</v>
      </c>
      <c r="V1731" s="89" t="str">
        <f t="array" aca="1" ref="V1731" ca="1">IFERROR(IF(INDEX('Disaggregation Records'!$I$155:$I$385,MATCH(RIGHT(Q1731,255),RIGHT('Disaggregation Records'!$D$155:$D$385,255),0))="","",INDEX('Disaggregation Records'!$I$155:$I$385,MATCH(RIGHT(Q1731,255),RIGHT('Disaggregation Records'!$D$155:$D$385,255),0))),"")</f>
        <v/>
      </c>
      <c r="W1731" s="89" t="str">
        <f ca="1">IFERROR(INDEX('Reference Records'!L$77:L$157,MATCH(LEFT(C1731,255),'Reference Records'!E$77:E$157,0)),"")</f>
        <v/>
      </c>
    </row>
    <row r="1732" spans="1:23" s="89" customFormat="1" ht="40.35" customHeight="1">
      <c r="A1732" s="564"/>
      <c r="B1732" s="799"/>
      <c r="C1732" s="800"/>
      <c r="D1732" s="801"/>
      <c r="E1732" s="801"/>
      <c r="F1732" s="128"/>
      <c r="G1732" s="802"/>
      <c r="H1732" s="781"/>
      <c r="I1732" s="803"/>
      <c r="J1732" s="779"/>
      <c r="K1732" s="800"/>
      <c r="L1732" s="800"/>
      <c r="M1732" s="779"/>
      <c r="N1732" s="779"/>
    </row>
    <row r="1733" spans="1:23" s="89" customFormat="1" ht="40.35" customHeight="1">
      <c r="A1733" s="564" t="str">
        <f ca="1">INDIRECT("'update Helper'!C"&amp;U1733)</f>
        <v>a163p000004VjtfAAC</v>
      </c>
      <c r="B1733" s="794">
        <v>28</v>
      </c>
      <c r="C1733" s="795" t="str">
        <f ca="1">VLOOKUP(B1733,'Coverage Indicators - Section D'!$A$9:$AU$70,47,FALSE)</f>
        <v/>
      </c>
      <c r="D1733" s="796" t="str">
        <f ca="1">R1733</f>
        <v/>
      </c>
      <c r="E1733" s="796" t="str">
        <f ca="1">S1733</f>
        <v/>
      </c>
      <c r="F1733" s="127"/>
      <c r="G1733" s="797" t="str">
        <f ca="1">IF(OR(INDIRECT("'update Helper'!E"&amp;U1733)="",F1733&lt;&gt;0,F1734&lt;&gt;0),IF(IFERROR((F1733/F1734),"")="","",(F1733/F1734)),INDIRECT("'update Helper'!E"&amp;U1733)/100)</f>
        <v/>
      </c>
      <c r="H1733" s="784"/>
      <c r="I1733" s="798"/>
      <c r="J1733" s="777"/>
      <c r="K1733" s="795" t="str">
        <f ca="1">W1733</f>
        <v/>
      </c>
      <c r="L1733" s="795" t="str">
        <f ca="1">V1733</f>
        <v/>
      </c>
      <c r="M1733" s="777"/>
      <c r="N1733" s="777"/>
      <c r="P1733" s="89">
        <f ca="1">IF(AND(EXACT(C1733,C1731),C1731&lt;&gt;0),P1731+1,0)</f>
        <v>316</v>
      </c>
      <c r="Q1733" s="89" t="str">
        <f ca="1">IF(C1733&lt;&gt;"",C1733&amp;"-"&amp;P1733,"")</f>
        <v/>
      </c>
      <c r="R1733" s="89" t="str">
        <f t="array" aca="1" ref="R1733" ca="1">IFERROR(IF(INDEX('Disaggregation Records'!$E$155:$E$385,MATCH(RIGHT(Q1733,255),RIGHT('Disaggregation Records'!$D$155:$D$385,255),0))="","",INDEX('Disaggregation Records'!$E$155:$E$385,MATCH(RIGHT(Q1733,255),RIGHT('Disaggregation Records'!$D$155:$D$385,255),0))),"")</f>
        <v/>
      </c>
      <c r="S1733" s="89" t="str">
        <f t="array" aca="1" ref="S1733" ca="1">IFERROR(IF(INDEX('Disaggregation Records'!$F$155:$F$385,MATCH(RIGHT(Q1733,255),RIGHT('Disaggregation Records'!$D$155:$D$385,255),0))="","",INDEX('Disaggregation Records'!$F$155:$F$385,MATCH(RIGHT(Q1733,255),RIGHT('Disaggregation Records'!$D$155:$D$385,255),0))),"")</f>
        <v/>
      </c>
      <c r="T1733" s="89" t="str">
        <f t="array" aca="1" ref="T1733" ca="1">IFERROR(IF(INDEX('Disaggregation Records'!$H$155:$H$385,MATCH(RIGHT(Q1733,255),RIGHT('Disaggregation Records'!$D$155:$D$385,255),0))="","",INDEX('Disaggregation Records'!$H$155:$H$385,MATCH(RIGHT(Q1733,255),RIGHT('Disaggregation Records'!$D$155:$D$385,255),0))),"")</f>
        <v/>
      </c>
      <c r="U1733" s="89">
        <f>U1731+1</f>
        <v>1976</v>
      </c>
      <c r="V1733" s="89" t="str">
        <f t="array" aca="1" ref="V1733" ca="1">IFERROR(IF(INDEX('Disaggregation Records'!$I$155:$I$385,MATCH(RIGHT(Q1733,255),RIGHT('Disaggregation Records'!$D$155:$D$385,255),0))="","",INDEX('Disaggregation Records'!$I$155:$I$385,MATCH(RIGHT(Q1733,255),RIGHT('Disaggregation Records'!$D$155:$D$385,255),0))),"")</f>
        <v/>
      </c>
      <c r="W1733" s="89" t="str">
        <f ca="1">IFERROR(INDEX('Reference Records'!L$77:L$157,MATCH(LEFT(C1733,255),'Reference Records'!E$77:E$157,0)),"")</f>
        <v/>
      </c>
    </row>
    <row r="1734" spans="1:23" s="89" customFormat="1" ht="40.35" customHeight="1">
      <c r="A1734" s="564"/>
      <c r="B1734" s="799"/>
      <c r="C1734" s="800"/>
      <c r="D1734" s="801"/>
      <c r="E1734" s="801"/>
      <c r="F1734" s="128"/>
      <c r="G1734" s="802"/>
      <c r="H1734" s="781"/>
      <c r="I1734" s="803"/>
      <c r="J1734" s="779"/>
      <c r="K1734" s="800"/>
      <c r="L1734" s="800"/>
      <c r="M1734" s="779"/>
      <c r="N1734" s="779"/>
    </row>
    <row r="1735" spans="1:23" s="89" customFormat="1" ht="40.35" customHeight="1">
      <c r="A1735" s="564" t="str">
        <f ca="1">INDIRECT("'update Helper'!C"&amp;U1735)</f>
        <v>a163p000004VjtgAAC</v>
      </c>
      <c r="B1735" s="794">
        <v>28</v>
      </c>
      <c r="C1735" s="795" t="str">
        <f ca="1">VLOOKUP(B1735,'Coverage Indicators - Section D'!$A$9:$AU$70,47,FALSE)</f>
        <v/>
      </c>
      <c r="D1735" s="796" t="str">
        <f ca="1">R1735</f>
        <v/>
      </c>
      <c r="E1735" s="796" t="str">
        <f ca="1">S1735</f>
        <v/>
      </c>
      <c r="F1735" s="127"/>
      <c r="G1735" s="797" t="str">
        <f ca="1">IF(OR(INDIRECT("'update Helper'!E"&amp;U1735)="",F1735&lt;&gt;0,F1736&lt;&gt;0),IF(IFERROR((F1735/F1736),"")="","",(F1735/F1736)),INDIRECT("'update Helper'!E"&amp;U1735)/100)</f>
        <v/>
      </c>
      <c r="H1735" s="784"/>
      <c r="I1735" s="798"/>
      <c r="J1735" s="777"/>
      <c r="K1735" s="795" t="str">
        <f ca="1">W1735</f>
        <v/>
      </c>
      <c r="L1735" s="795" t="str">
        <f ca="1">V1735</f>
        <v/>
      </c>
      <c r="M1735" s="777"/>
      <c r="N1735" s="777"/>
      <c r="P1735" s="89">
        <f ca="1">IF(AND(EXACT(C1735,C1733),C1733&lt;&gt;0),P1733+1,0)</f>
        <v>317</v>
      </c>
      <c r="Q1735" s="89" t="str">
        <f ca="1">IF(C1735&lt;&gt;"",C1735&amp;"-"&amp;P1735,"")</f>
        <v/>
      </c>
      <c r="R1735" s="89" t="str">
        <f t="array" aca="1" ref="R1735" ca="1">IFERROR(IF(INDEX('Disaggregation Records'!$E$155:$E$385,MATCH(RIGHT(Q1735,255),RIGHT('Disaggregation Records'!$D$155:$D$385,255),0))="","",INDEX('Disaggregation Records'!$E$155:$E$385,MATCH(RIGHT(Q1735,255),RIGHT('Disaggregation Records'!$D$155:$D$385,255),0))),"")</f>
        <v/>
      </c>
      <c r="S1735" s="89" t="str">
        <f t="array" aca="1" ref="S1735" ca="1">IFERROR(IF(INDEX('Disaggregation Records'!$F$155:$F$385,MATCH(RIGHT(Q1735,255),RIGHT('Disaggregation Records'!$D$155:$D$385,255),0))="","",INDEX('Disaggregation Records'!$F$155:$F$385,MATCH(RIGHT(Q1735,255),RIGHT('Disaggregation Records'!$D$155:$D$385,255),0))),"")</f>
        <v/>
      </c>
      <c r="T1735" s="89" t="str">
        <f t="array" aca="1" ref="T1735" ca="1">IFERROR(IF(INDEX('Disaggregation Records'!$H$155:$H$385,MATCH(RIGHT(Q1735,255),RIGHT('Disaggregation Records'!$D$155:$D$385,255),0))="","",INDEX('Disaggregation Records'!$H$155:$H$385,MATCH(RIGHT(Q1735,255),RIGHT('Disaggregation Records'!$D$155:$D$385,255),0))),"")</f>
        <v/>
      </c>
      <c r="U1735" s="89">
        <f>U1733+1</f>
        <v>1977</v>
      </c>
      <c r="V1735" s="89" t="str">
        <f t="array" aca="1" ref="V1735" ca="1">IFERROR(IF(INDEX('Disaggregation Records'!$I$155:$I$385,MATCH(RIGHT(Q1735,255),RIGHT('Disaggregation Records'!$D$155:$D$385,255),0))="","",INDEX('Disaggregation Records'!$I$155:$I$385,MATCH(RIGHT(Q1735,255),RIGHT('Disaggregation Records'!$D$155:$D$385,255),0))),"")</f>
        <v/>
      </c>
      <c r="W1735" s="89" t="str">
        <f ca="1">IFERROR(INDEX('Reference Records'!L$77:L$157,MATCH(LEFT(C1735,255),'Reference Records'!E$77:E$157,0)),"")</f>
        <v/>
      </c>
    </row>
    <row r="1736" spans="1:23" s="89" customFormat="1" ht="40.35" customHeight="1">
      <c r="A1736" s="564"/>
      <c r="B1736" s="799"/>
      <c r="C1736" s="800"/>
      <c r="D1736" s="801"/>
      <c r="E1736" s="801"/>
      <c r="F1736" s="128"/>
      <c r="G1736" s="802"/>
      <c r="H1736" s="781"/>
      <c r="I1736" s="803"/>
      <c r="J1736" s="779"/>
      <c r="K1736" s="800"/>
      <c r="L1736" s="800"/>
      <c r="M1736" s="779"/>
      <c r="N1736" s="779"/>
    </row>
    <row r="1737" spans="1:23" s="89" customFormat="1" ht="40.35" customHeight="1">
      <c r="A1737" s="564" t="str">
        <f ca="1">INDIRECT("'update Helper'!C"&amp;U1737)</f>
        <v>a163p000004VjthAAC</v>
      </c>
      <c r="B1737" s="794">
        <v>28</v>
      </c>
      <c r="C1737" s="795" t="str">
        <f ca="1">VLOOKUP(B1737,'Coverage Indicators - Section D'!$A$9:$AU$70,47,FALSE)</f>
        <v/>
      </c>
      <c r="D1737" s="796" t="str">
        <f ca="1">R1737</f>
        <v/>
      </c>
      <c r="E1737" s="796" t="str">
        <f ca="1">S1737</f>
        <v/>
      </c>
      <c r="F1737" s="127"/>
      <c r="G1737" s="797" t="str">
        <f ca="1">IF(OR(INDIRECT("'update Helper'!E"&amp;U1737)="",F1737&lt;&gt;0,F1738&lt;&gt;0),IF(IFERROR((F1737/F1738),"")="","",(F1737/F1738)),INDIRECT("'update Helper'!E"&amp;U1737)/100)</f>
        <v/>
      </c>
      <c r="H1737" s="784"/>
      <c r="I1737" s="798"/>
      <c r="J1737" s="777"/>
      <c r="K1737" s="795" t="str">
        <f ca="1">W1737</f>
        <v/>
      </c>
      <c r="L1737" s="795" t="str">
        <f ca="1">V1737</f>
        <v/>
      </c>
      <c r="M1737" s="777"/>
      <c r="N1737" s="777"/>
      <c r="P1737" s="89">
        <f ca="1">IF(AND(EXACT(C1737,C1735),C1735&lt;&gt;0),P1735+1,0)</f>
        <v>318</v>
      </c>
      <c r="Q1737" s="89" t="str">
        <f ca="1">IF(C1737&lt;&gt;"",C1737&amp;"-"&amp;P1737,"")</f>
        <v/>
      </c>
      <c r="R1737" s="89" t="str">
        <f t="array" aca="1" ref="R1737" ca="1">IFERROR(IF(INDEX('Disaggregation Records'!$E$155:$E$385,MATCH(RIGHT(Q1737,255),RIGHT('Disaggregation Records'!$D$155:$D$385,255),0))="","",INDEX('Disaggregation Records'!$E$155:$E$385,MATCH(RIGHT(Q1737,255),RIGHT('Disaggregation Records'!$D$155:$D$385,255),0))),"")</f>
        <v/>
      </c>
      <c r="S1737" s="89" t="str">
        <f t="array" aca="1" ref="S1737" ca="1">IFERROR(IF(INDEX('Disaggregation Records'!$F$155:$F$385,MATCH(RIGHT(Q1737,255),RIGHT('Disaggregation Records'!$D$155:$D$385,255),0))="","",INDEX('Disaggregation Records'!$F$155:$F$385,MATCH(RIGHT(Q1737,255),RIGHT('Disaggregation Records'!$D$155:$D$385,255),0))),"")</f>
        <v/>
      </c>
      <c r="T1737" s="89" t="str">
        <f t="array" aca="1" ref="T1737" ca="1">IFERROR(IF(INDEX('Disaggregation Records'!$H$155:$H$385,MATCH(RIGHT(Q1737,255),RIGHT('Disaggregation Records'!$D$155:$D$385,255),0))="","",INDEX('Disaggregation Records'!$H$155:$H$385,MATCH(RIGHT(Q1737,255),RIGHT('Disaggregation Records'!$D$155:$D$385,255),0))),"")</f>
        <v/>
      </c>
      <c r="U1737" s="89">
        <f>U1735+1</f>
        <v>1978</v>
      </c>
      <c r="V1737" s="89" t="str">
        <f t="array" aca="1" ref="V1737" ca="1">IFERROR(IF(INDEX('Disaggregation Records'!$I$155:$I$385,MATCH(RIGHT(Q1737,255),RIGHT('Disaggregation Records'!$D$155:$D$385,255),0))="","",INDEX('Disaggregation Records'!$I$155:$I$385,MATCH(RIGHT(Q1737,255),RIGHT('Disaggregation Records'!$D$155:$D$385,255),0))),"")</f>
        <v/>
      </c>
      <c r="W1737" s="89" t="str">
        <f ca="1">IFERROR(INDEX('Reference Records'!L$77:L$157,MATCH(LEFT(C1737,255),'Reference Records'!E$77:E$157,0)),"")</f>
        <v/>
      </c>
    </row>
    <row r="1738" spans="1:23" s="89" customFormat="1" ht="40.35" customHeight="1">
      <c r="A1738" s="564"/>
      <c r="B1738" s="799"/>
      <c r="C1738" s="800"/>
      <c r="D1738" s="801"/>
      <c r="E1738" s="801"/>
      <c r="F1738" s="128"/>
      <c r="G1738" s="802"/>
      <c r="H1738" s="781"/>
      <c r="I1738" s="803"/>
      <c r="J1738" s="779"/>
      <c r="K1738" s="800"/>
      <c r="L1738" s="800"/>
      <c r="M1738" s="779"/>
      <c r="N1738" s="779"/>
    </row>
    <row r="1739" spans="1:23" s="89" customFormat="1" ht="40.35" customHeight="1">
      <c r="A1739" s="564" t="str">
        <f ca="1">INDIRECT("'update Helper'!C"&amp;U1739)</f>
        <v>a163p000004VjtiAAC</v>
      </c>
      <c r="B1739" s="794">
        <v>28</v>
      </c>
      <c r="C1739" s="795" t="str">
        <f ca="1">VLOOKUP(B1739,'Coverage Indicators - Section D'!$A$9:$AU$70,47,FALSE)</f>
        <v/>
      </c>
      <c r="D1739" s="796" t="str">
        <f ca="1">R1739</f>
        <v/>
      </c>
      <c r="E1739" s="796" t="str">
        <f ca="1">S1739</f>
        <v/>
      </c>
      <c r="F1739" s="127"/>
      <c r="G1739" s="797" t="str">
        <f ca="1">IF(OR(INDIRECT("'update Helper'!E"&amp;U1739)="",F1739&lt;&gt;0,F1740&lt;&gt;0),IF(IFERROR((F1739/F1740),"")="","",(F1739/F1740)),INDIRECT("'update Helper'!E"&amp;U1739)/100)</f>
        <v/>
      </c>
      <c r="H1739" s="784"/>
      <c r="I1739" s="798"/>
      <c r="J1739" s="777"/>
      <c r="K1739" s="795" t="str">
        <f ca="1">W1739</f>
        <v/>
      </c>
      <c r="L1739" s="795" t="str">
        <f ca="1">V1739</f>
        <v/>
      </c>
      <c r="M1739" s="777"/>
      <c r="N1739" s="777"/>
      <c r="P1739" s="89">
        <f ca="1">IF(AND(EXACT(C1739,C1737),C1737&lt;&gt;0),P1737+1,0)</f>
        <v>319</v>
      </c>
      <c r="Q1739" s="89" t="str">
        <f ca="1">IF(C1739&lt;&gt;"",C1739&amp;"-"&amp;P1739,"")</f>
        <v/>
      </c>
      <c r="R1739" s="89" t="str">
        <f t="array" aca="1" ref="R1739" ca="1">IFERROR(IF(INDEX('Disaggregation Records'!$E$155:$E$385,MATCH(RIGHT(Q1739,255),RIGHT('Disaggregation Records'!$D$155:$D$385,255),0))="","",INDEX('Disaggregation Records'!$E$155:$E$385,MATCH(RIGHT(Q1739,255),RIGHT('Disaggregation Records'!$D$155:$D$385,255),0))),"")</f>
        <v/>
      </c>
      <c r="S1739" s="89" t="str">
        <f t="array" aca="1" ref="S1739" ca="1">IFERROR(IF(INDEX('Disaggregation Records'!$F$155:$F$385,MATCH(RIGHT(Q1739,255),RIGHT('Disaggregation Records'!$D$155:$D$385,255),0))="","",INDEX('Disaggregation Records'!$F$155:$F$385,MATCH(RIGHT(Q1739,255),RIGHT('Disaggregation Records'!$D$155:$D$385,255),0))),"")</f>
        <v/>
      </c>
      <c r="T1739" s="89" t="str">
        <f t="array" aca="1" ref="T1739" ca="1">IFERROR(IF(INDEX('Disaggregation Records'!$H$155:$H$385,MATCH(RIGHT(Q1739,255),RIGHT('Disaggregation Records'!$D$155:$D$385,255),0))="","",INDEX('Disaggregation Records'!$H$155:$H$385,MATCH(RIGHT(Q1739,255),RIGHT('Disaggregation Records'!$D$155:$D$385,255),0))),"")</f>
        <v/>
      </c>
      <c r="U1739" s="89">
        <f>U1737+1</f>
        <v>1979</v>
      </c>
      <c r="V1739" s="89" t="str">
        <f t="array" aca="1" ref="V1739" ca="1">IFERROR(IF(INDEX('Disaggregation Records'!$I$155:$I$385,MATCH(RIGHT(Q1739,255),RIGHT('Disaggregation Records'!$D$155:$D$385,255),0))="","",INDEX('Disaggregation Records'!$I$155:$I$385,MATCH(RIGHT(Q1739,255),RIGHT('Disaggregation Records'!$D$155:$D$385,255),0))),"")</f>
        <v/>
      </c>
      <c r="W1739" s="89" t="str">
        <f ca="1">IFERROR(INDEX('Reference Records'!L$77:L$157,MATCH(LEFT(C1739,255),'Reference Records'!E$77:E$157,0)),"")</f>
        <v/>
      </c>
    </row>
    <row r="1740" spans="1:23" s="89" customFormat="1" ht="40.35" customHeight="1">
      <c r="A1740" s="564"/>
      <c r="B1740" s="799"/>
      <c r="C1740" s="800"/>
      <c r="D1740" s="801"/>
      <c r="E1740" s="801"/>
      <c r="F1740" s="128"/>
      <c r="G1740" s="802"/>
      <c r="H1740" s="781"/>
      <c r="I1740" s="803"/>
      <c r="J1740" s="779"/>
      <c r="K1740" s="800"/>
      <c r="L1740" s="800"/>
      <c r="M1740" s="779"/>
      <c r="N1740" s="779"/>
    </row>
    <row r="1741" spans="1:23" s="89" customFormat="1" ht="40.35" customHeight="1">
      <c r="A1741" s="564" t="str">
        <f ca="1">INDIRECT("'update Helper'!C"&amp;U1741)</f>
        <v>a163p000004VjtjAAC</v>
      </c>
      <c r="B1741" s="794">
        <v>29</v>
      </c>
      <c r="C1741" s="795" t="str">
        <f ca="1">VLOOKUP(B1741,'Coverage Indicators - Section D'!$A$9:$AU$70,47,FALSE)</f>
        <v/>
      </c>
      <c r="D1741" s="796" t="str">
        <f ca="1">R1741</f>
        <v/>
      </c>
      <c r="E1741" s="796" t="str">
        <f ca="1">S1741</f>
        <v/>
      </c>
      <c r="F1741" s="127"/>
      <c r="G1741" s="797" t="str">
        <f ca="1">IF(OR(INDIRECT("'update Helper'!E"&amp;U1741)="",F1741&lt;&gt;0,F1742&lt;&gt;0),IF(IFERROR((F1741/F1742),"")="","",(F1741/F1742)),INDIRECT("'update Helper'!E"&amp;U1741)/100)</f>
        <v/>
      </c>
      <c r="H1741" s="784"/>
      <c r="I1741" s="798"/>
      <c r="J1741" s="777"/>
      <c r="K1741" s="795" t="str">
        <f ca="1">W1741</f>
        <v/>
      </c>
      <c r="L1741" s="795" t="str">
        <f ca="1">V1741</f>
        <v/>
      </c>
      <c r="M1741" s="777"/>
      <c r="N1741" s="777"/>
      <c r="P1741" s="89">
        <f ca="1">IF(AND(EXACT(C1741,C1739),C1739&lt;&gt;0),P1739+1,0)</f>
        <v>320</v>
      </c>
      <c r="Q1741" s="89" t="str">
        <f ca="1">IF(C1741&lt;&gt;"",C1741&amp;"-"&amp;P1741,"")</f>
        <v/>
      </c>
      <c r="R1741" s="89" t="str">
        <f t="array" aca="1" ref="R1741" ca="1">IFERROR(IF(INDEX('Disaggregation Records'!$E$155:$E$385,MATCH(RIGHT(Q1741,255),RIGHT('Disaggregation Records'!$D$155:$D$385,255),0))="","",INDEX('Disaggregation Records'!$E$155:$E$385,MATCH(RIGHT(Q1741,255),RIGHT('Disaggregation Records'!$D$155:$D$385,255),0))),"")</f>
        <v/>
      </c>
      <c r="S1741" s="89" t="str">
        <f t="array" aca="1" ref="S1741" ca="1">IFERROR(IF(INDEX('Disaggregation Records'!$F$155:$F$385,MATCH(RIGHT(Q1741,255),RIGHT('Disaggregation Records'!$D$155:$D$385,255),0))="","",INDEX('Disaggregation Records'!$F$155:$F$385,MATCH(RIGHT(Q1741,255),RIGHT('Disaggregation Records'!$D$155:$D$385,255),0))),"")</f>
        <v/>
      </c>
      <c r="T1741" s="89" t="str">
        <f t="array" aca="1" ref="T1741" ca="1">IFERROR(IF(INDEX('Disaggregation Records'!$H$155:$H$385,MATCH(RIGHT(Q1741,255),RIGHT('Disaggregation Records'!$D$155:$D$385,255),0))="","",INDEX('Disaggregation Records'!$H$155:$H$385,MATCH(RIGHT(Q1741,255),RIGHT('Disaggregation Records'!$D$155:$D$385,255),0))),"")</f>
        <v/>
      </c>
      <c r="U1741" s="89">
        <f>U1739+1</f>
        <v>1980</v>
      </c>
      <c r="V1741" s="89" t="str">
        <f t="array" aca="1" ref="V1741" ca="1">IFERROR(IF(INDEX('Disaggregation Records'!$I$155:$I$385,MATCH(RIGHT(Q1741,255),RIGHT('Disaggregation Records'!$D$155:$D$385,255),0))="","",INDEX('Disaggregation Records'!$I$155:$I$385,MATCH(RIGHT(Q1741,255),RIGHT('Disaggregation Records'!$D$155:$D$385,255),0))),"")</f>
        <v/>
      </c>
      <c r="W1741" s="89" t="str">
        <f ca="1">IFERROR(INDEX('Reference Records'!L$77:L$157,MATCH(LEFT(C1741,255),'Reference Records'!E$77:E$157,0)),"")</f>
        <v/>
      </c>
    </row>
    <row r="1742" spans="1:23" s="89" customFormat="1" ht="40.35" customHeight="1">
      <c r="A1742" s="564"/>
      <c r="B1742" s="799"/>
      <c r="C1742" s="800"/>
      <c r="D1742" s="801"/>
      <c r="E1742" s="801"/>
      <c r="F1742" s="128"/>
      <c r="G1742" s="802"/>
      <c r="H1742" s="781"/>
      <c r="I1742" s="803"/>
      <c r="J1742" s="779"/>
      <c r="K1742" s="800"/>
      <c r="L1742" s="800"/>
      <c r="M1742" s="779"/>
      <c r="N1742" s="779"/>
    </row>
    <row r="1743" spans="1:23" s="89" customFormat="1" ht="40.35" customHeight="1">
      <c r="A1743" s="564" t="str">
        <f ca="1">INDIRECT("'update Helper'!C"&amp;U1743)</f>
        <v>a163p000004VjtkAAC</v>
      </c>
      <c r="B1743" s="794">
        <v>29</v>
      </c>
      <c r="C1743" s="795" t="str">
        <f ca="1">VLOOKUP(B1743,'Coverage Indicators - Section D'!$A$9:$AU$70,47,FALSE)</f>
        <v/>
      </c>
      <c r="D1743" s="796" t="str">
        <f ca="1">R1743</f>
        <v/>
      </c>
      <c r="E1743" s="796" t="str">
        <f ca="1">S1743</f>
        <v/>
      </c>
      <c r="F1743" s="127"/>
      <c r="G1743" s="797" t="str">
        <f ca="1">IF(OR(INDIRECT("'update Helper'!E"&amp;U1743)="",F1743&lt;&gt;0,F1744&lt;&gt;0),IF(IFERROR((F1743/F1744),"")="","",(F1743/F1744)),INDIRECT("'update Helper'!E"&amp;U1743)/100)</f>
        <v/>
      </c>
      <c r="H1743" s="784"/>
      <c r="I1743" s="798"/>
      <c r="J1743" s="777"/>
      <c r="K1743" s="795" t="str">
        <f ca="1">W1743</f>
        <v/>
      </c>
      <c r="L1743" s="795" t="str">
        <f ca="1">V1743</f>
        <v/>
      </c>
      <c r="M1743" s="777"/>
      <c r="N1743" s="777"/>
      <c r="P1743" s="89">
        <f ca="1">IF(AND(EXACT(C1743,C1741),C1741&lt;&gt;0),P1741+1,0)</f>
        <v>321</v>
      </c>
      <c r="Q1743" s="89" t="str">
        <f ca="1">IF(C1743&lt;&gt;"",C1743&amp;"-"&amp;P1743,"")</f>
        <v/>
      </c>
      <c r="R1743" s="89" t="str">
        <f t="array" aca="1" ref="R1743" ca="1">IFERROR(IF(INDEX('Disaggregation Records'!$E$155:$E$385,MATCH(RIGHT(Q1743,255),RIGHT('Disaggregation Records'!$D$155:$D$385,255),0))="","",INDEX('Disaggregation Records'!$E$155:$E$385,MATCH(RIGHT(Q1743,255),RIGHT('Disaggregation Records'!$D$155:$D$385,255),0))),"")</f>
        <v/>
      </c>
      <c r="S1743" s="89" t="str">
        <f t="array" aca="1" ref="S1743" ca="1">IFERROR(IF(INDEX('Disaggregation Records'!$F$155:$F$385,MATCH(RIGHT(Q1743,255),RIGHT('Disaggregation Records'!$D$155:$D$385,255),0))="","",INDEX('Disaggregation Records'!$F$155:$F$385,MATCH(RIGHT(Q1743,255),RIGHT('Disaggregation Records'!$D$155:$D$385,255),0))),"")</f>
        <v/>
      </c>
      <c r="T1743" s="89" t="str">
        <f t="array" aca="1" ref="T1743" ca="1">IFERROR(IF(INDEX('Disaggregation Records'!$H$155:$H$385,MATCH(RIGHT(Q1743,255),RIGHT('Disaggregation Records'!$D$155:$D$385,255),0))="","",INDEX('Disaggregation Records'!$H$155:$H$385,MATCH(RIGHT(Q1743,255),RIGHT('Disaggregation Records'!$D$155:$D$385,255),0))),"")</f>
        <v/>
      </c>
      <c r="U1743" s="89">
        <f>U1741+1</f>
        <v>1981</v>
      </c>
      <c r="V1743" s="89" t="str">
        <f t="array" aca="1" ref="V1743" ca="1">IFERROR(IF(INDEX('Disaggregation Records'!$I$155:$I$385,MATCH(RIGHT(Q1743,255),RIGHT('Disaggregation Records'!$D$155:$D$385,255),0))="","",INDEX('Disaggregation Records'!$I$155:$I$385,MATCH(RIGHT(Q1743,255),RIGHT('Disaggregation Records'!$D$155:$D$385,255),0))),"")</f>
        <v/>
      </c>
      <c r="W1743" s="89" t="str">
        <f ca="1">IFERROR(INDEX('Reference Records'!L$77:L$157,MATCH(LEFT(C1743,255),'Reference Records'!E$77:E$157,0)),"")</f>
        <v/>
      </c>
    </row>
    <row r="1744" spans="1:23" s="89" customFormat="1" ht="40.35" customHeight="1">
      <c r="A1744" s="564"/>
      <c r="B1744" s="799"/>
      <c r="C1744" s="800"/>
      <c r="D1744" s="801"/>
      <c r="E1744" s="801"/>
      <c r="F1744" s="128"/>
      <c r="G1744" s="802"/>
      <c r="H1744" s="781"/>
      <c r="I1744" s="803"/>
      <c r="J1744" s="779"/>
      <c r="K1744" s="800"/>
      <c r="L1744" s="800"/>
      <c r="M1744" s="779"/>
      <c r="N1744" s="779"/>
    </row>
    <row r="1745" spans="1:23" s="89" customFormat="1" ht="40.35" customHeight="1">
      <c r="A1745" s="564" t="str">
        <f ca="1">INDIRECT("'update Helper'!C"&amp;U1745)</f>
        <v>a163p000004VjtlAAC</v>
      </c>
      <c r="B1745" s="794">
        <v>29</v>
      </c>
      <c r="C1745" s="795" t="str">
        <f ca="1">VLOOKUP(B1745,'Coverage Indicators - Section D'!$A$9:$AU$70,47,FALSE)</f>
        <v/>
      </c>
      <c r="D1745" s="796" t="str">
        <f ca="1">R1745</f>
        <v/>
      </c>
      <c r="E1745" s="796" t="str">
        <f ca="1">S1745</f>
        <v/>
      </c>
      <c r="F1745" s="127"/>
      <c r="G1745" s="797" t="str">
        <f ca="1">IF(OR(INDIRECT("'update Helper'!E"&amp;U1745)="",F1745&lt;&gt;0,F1746&lt;&gt;0),IF(IFERROR((F1745/F1746),"")="","",(F1745/F1746)),INDIRECT("'update Helper'!E"&amp;U1745)/100)</f>
        <v/>
      </c>
      <c r="H1745" s="784"/>
      <c r="I1745" s="798"/>
      <c r="J1745" s="777"/>
      <c r="K1745" s="795" t="str">
        <f ca="1">W1745</f>
        <v/>
      </c>
      <c r="L1745" s="795" t="str">
        <f ca="1">V1745</f>
        <v/>
      </c>
      <c r="M1745" s="777"/>
      <c r="N1745" s="777"/>
      <c r="P1745" s="89">
        <f ca="1">IF(AND(EXACT(C1745,C1743),C1743&lt;&gt;0),P1743+1,0)</f>
        <v>322</v>
      </c>
      <c r="Q1745" s="89" t="str">
        <f ca="1">IF(C1745&lt;&gt;"",C1745&amp;"-"&amp;P1745,"")</f>
        <v/>
      </c>
      <c r="R1745" s="89" t="str">
        <f t="array" aca="1" ref="R1745" ca="1">IFERROR(IF(INDEX('Disaggregation Records'!$E$155:$E$385,MATCH(RIGHT(Q1745,255),RIGHT('Disaggregation Records'!$D$155:$D$385,255),0))="","",INDEX('Disaggregation Records'!$E$155:$E$385,MATCH(RIGHT(Q1745,255),RIGHT('Disaggregation Records'!$D$155:$D$385,255),0))),"")</f>
        <v/>
      </c>
      <c r="S1745" s="89" t="str">
        <f t="array" aca="1" ref="S1745" ca="1">IFERROR(IF(INDEX('Disaggregation Records'!$F$155:$F$385,MATCH(RIGHT(Q1745,255),RIGHT('Disaggregation Records'!$D$155:$D$385,255),0))="","",INDEX('Disaggregation Records'!$F$155:$F$385,MATCH(RIGHT(Q1745,255),RIGHT('Disaggregation Records'!$D$155:$D$385,255),0))),"")</f>
        <v/>
      </c>
      <c r="T1745" s="89" t="str">
        <f t="array" aca="1" ref="T1745" ca="1">IFERROR(IF(INDEX('Disaggregation Records'!$H$155:$H$385,MATCH(RIGHT(Q1745,255),RIGHT('Disaggregation Records'!$D$155:$D$385,255),0))="","",INDEX('Disaggregation Records'!$H$155:$H$385,MATCH(RIGHT(Q1745,255),RIGHT('Disaggregation Records'!$D$155:$D$385,255),0))),"")</f>
        <v/>
      </c>
      <c r="U1745" s="89">
        <f>U1743+1</f>
        <v>1982</v>
      </c>
      <c r="V1745" s="89" t="str">
        <f t="array" aca="1" ref="V1745" ca="1">IFERROR(IF(INDEX('Disaggregation Records'!$I$155:$I$385,MATCH(RIGHT(Q1745,255),RIGHT('Disaggregation Records'!$D$155:$D$385,255),0))="","",INDEX('Disaggregation Records'!$I$155:$I$385,MATCH(RIGHT(Q1745,255),RIGHT('Disaggregation Records'!$D$155:$D$385,255),0))),"")</f>
        <v/>
      </c>
      <c r="W1745" s="89" t="str">
        <f ca="1">IFERROR(INDEX('Reference Records'!L$77:L$157,MATCH(LEFT(C1745,255),'Reference Records'!E$77:E$157,0)),"")</f>
        <v/>
      </c>
    </row>
    <row r="1746" spans="1:23" s="89" customFormat="1" ht="40.35" customHeight="1">
      <c r="A1746" s="564"/>
      <c r="B1746" s="799"/>
      <c r="C1746" s="800"/>
      <c r="D1746" s="801"/>
      <c r="E1746" s="801"/>
      <c r="F1746" s="128"/>
      <c r="G1746" s="802"/>
      <c r="H1746" s="781"/>
      <c r="I1746" s="803"/>
      <c r="J1746" s="779"/>
      <c r="K1746" s="800"/>
      <c r="L1746" s="800"/>
      <c r="M1746" s="779"/>
      <c r="N1746" s="779"/>
    </row>
    <row r="1747" spans="1:23" s="89" customFormat="1" ht="40.35" customHeight="1">
      <c r="A1747" s="564" t="str">
        <f ca="1">INDIRECT("'update Helper'!C"&amp;U1747)</f>
        <v>a163p000004VjtmAAC</v>
      </c>
      <c r="B1747" s="794">
        <v>29</v>
      </c>
      <c r="C1747" s="795" t="str">
        <f ca="1">VLOOKUP(B1747,'Coverage Indicators - Section D'!$A$9:$AU$70,47,FALSE)</f>
        <v/>
      </c>
      <c r="D1747" s="796" t="str">
        <f ca="1">R1747</f>
        <v/>
      </c>
      <c r="E1747" s="796" t="str">
        <f ca="1">S1747</f>
        <v/>
      </c>
      <c r="F1747" s="127"/>
      <c r="G1747" s="797" t="str">
        <f ca="1">IF(OR(INDIRECT("'update Helper'!E"&amp;U1747)="",F1747&lt;&gt;0,F1748&lt;&gt;0),IF(IFERROR((F1747/F1748),"")="","",(F1747/F1748)),INDIRECT("'update Helper'!E"&amp;U1747)/100)</f>
        <v/>
      </c>
      <c r="H1747" s="784"/>
      <c r="I1747" s="798"/>
      <c r="J1747" s="777"/>
      <c r="K1747" s="795" t="str">
        <f ca="1">W1747</f>
        <v/>
      </c>
      <c r="L1747" s="795" t="str">
        <f ca="1">V1747</f>
        <v/>
      </c>
      <c r="M1747" s="777"/>
      <c r="N1747" s="777"/>
      <c r="P1747" s="89">
        <f ca="1">IF(AND(EXACT(C1747,C1745),C1745&lt;&gt;0),P1745+1,0)</f>
        <v>323</v>
      </c>
      <c r="Q1747" s="89" t="str">
        <f ca="1">IF(C1747&lt;&gt;"",C1747&amp;"-"&amp;P1747,"")</f>
        <v/>
      </c>
      <c r="R1747" s="89" t="str">
        <f t="array" aca="1" ref="R1747" ca="1">IFERROR(IF(INDEX('Disaggregation Records'!$E$155:$E$385,MATCH(RIGHT(Q1747,255),RIGHT('Disaggregation Records'!$D$155:$D$385,255),0))="","",INDEX('Disaggregation Records'!$E$155:$E$385,MATCH(RIGHT(Q1747,255),RIGHT('Disaggregation Records'!$D$155:$D$385,255),0))),"")</f>
        <v/>
      </c>
      <c r="S1747" s="89" t="str">
        <f t="array" aca="1" ref="S1747" ca="1">IFERROR(IF(INDEX('Disaggregation Records'!$F$155:$F$385,MATCH(RIGHT(Q1747,255),RIGHT('Disaggregation Records'!$D$155:$D$385,255),0))="","",INDEX('Disaggregation Records'!$F$155:$F$385,MATCH(RIGHT(Q1747,255),RIGHT('Disaggregation Records'!$D$155:$D$385,255),0))),"")</f>
        <v/>
      </c>
      <c r="T1747" s="89" t="str">
        <f t="array" aca="1" ref="T1747" ca="1">IFERROR(IF(INDEX('Disaggregation Records'!$H$155:$H$385,MATCH(RIGHT(Q1747,255),RIGHT('Disaggregation Records'!$D$155:$D$385,255),0))="","",INDEX('Disaggregation Records'!$H$155:$H$385,MATCH(RIGHT(Q1747,255),RIGHT('Disaggregation Records'!$D$155:$D$385,255),0))),"")</f>
        <v/>
      </c>
      <c r="U1747" s="89">
        <f>U1745+1</f>
        <v>1983</v>
      </c>
      <c r="V1747" s="89" t="str">
        <f t="array" aca="1" ref="V1747" ca="1">IFERROR(IF(INDEX('Disaggregation Records'!$I$155:$I$385,MATCH(RIGHT(Q1747,255),RIGHT('Disaggregation Records'!$D$155:$D$385,255),0))="","",INDEX('Disaggregation Records'!$I$155:$I$385,MATCH(RIGHT(Q1747,255),RIGHT('Disaggregation Records'!$D$155:$D$385,255),0))),"")</f>
        <v/>
      </c>
      <c r="W1747" s="89" t="str">
        <f ca="1">IFERROR(INDEX('Reference Records'!L$77:L$157,MATCH(LEFT(C1747,255),'Reference Records'!E$77:E$157,0)),"")</f>
        <v/>
      </c>
    </row>
    <row r="1748" spans="1:23" s="89" customFormat="1" ht="40.35" customHeight="1">
      <c r="A1748" s="564"/>
      <c r="B1748" s="799"/>
      <c r="C1748" s="800"/>
      <c r="D1748" s="801"/>
      <c r="E1748" s="801"/>
      <c r="F1748" s="128"/>
      <c r="G1748" s="802"/>
      <c r="H1748" s="781"/>
      <c r="I1748" s="803"/>
      <c r="J1748" s="779"/>
      <c r="K1748" s="800"/>
      <c r="L1748" s="800"/>
      <c r="M1748" s="779"/>
      <c r="N1748" s="779"/>
    </row>
    <row r="1749" spans="1:23" s="89" customFormat="1" ht="40.35" customHeight="1">
      <c r="A1749" s="564" t="str">
        <f ca="1">INDIRECT("'update Helper'!C"&amp;U1749)</f>
        <v>a163p000004VjtnAAC</v>
      </c>
      <c r="B1749" s="794">
        <v>29</v>
      </c>
      <c r="C1749" s="795" t="str">
        <f ca="1">VLOOKUP(B1749,'Coverage Indicators - Section D'!$A$9:$AU$70,47,FALSE)</f>
        <v/>
      </c>
      <c r="D1749" s="796" t="str">
        <f ca="1">R1749</f>
        <v/>
      </c>
      <c r="E1749" s="796" t="str">
        <f ca="1">S1749</f>
        <v/>
      </c>
      <c r="F1749" s="127"/>
      <c r="G1749" s="797" t="str">
        <f ca="1">IF(OR(INDIRECT("'update Helper'!E"&amp;U1749)="",F1749&lt;&gt;0,F1750&lt;&gt;0),IF(IFERROR((F1749/F1750),"")="","",(F1749/F1750)),INDIRECT("'update Helper'!E"&amp;U1749)/100)</f>
        <v/>
      </c>
      <c r="H1749" s="784"/>
      <c r="I1749" s="798"/>
      <c r="J1749" s="777"/>
      <c r="K1749" s="795" t="str">
        <f ca="1">W1749</f>
        <v/>
      </c>
      <c r="L1749" s="795" t="str">
        <f ca="1">V1749</f>
        <v/>
      </c>
      <c r="M1749" s="777"/>
      <c r="N1749" s="777"/>
      <c r="P1749" s="89">
        <f ca="1">IF(AND(EXACT(C1749,C1747),C1747&lt;&gt;0),P1747+1,0)</f>
        <v>324</v>
      </c>
      <c r="Q1749" s="89" t="str">
        <f ca="1">IF(C1749&lt;&gt;"",C1749&amp;"-"&amp;P1749,"")</f>
        <v/>
      </c>
      <c r="R1749" s="89" t="str">
        <f t="array" aca="1" ref="R1749" ca="1">IFERROR(IF(INDEX('Disaggregation Records'!$E$155:$E$385,MATCH(RIGHT(Q1749,255),RIGHT('Disaggregation Records'!$D$155:$D$385,255),0))="","",INDEX('Disaggregation Records'!$E$155:$E$385,MATCH(RIGHT(Q1749,255),RIGHT('Disaggregation Records'!$D$155:$D$385,255),0))),"")</f>
        <v/>
      </c>
      <c r="S1749" s="89" t="str">
        <f t="array" aca="1" ref="S1749" ca="1">IFERROR(IF(INDEX('Disaggregation Records'!$F$155:$F$385,MATCH(RIGHT(Q1749,255),RIGHT('Disaggregation Records'!$D$155:$D$385,255),0))="","",INDEX('Disaggregation Records'!$F$155:$F$385,MATCH(RIGHT(Q1749,255),RIGHT('Disaggregation Records'!$D$155:$D$385,255),0))),"")</f>
        <v/>
      </c>
      <c r="T1749" s="89" t="str">
        <f t="array" aca="1" ref="T1749" ca="1">IFERROR(IF(INDEX('Disaggregation Records'!$H$155:$H$385,MATCH(RIGHT(Q1749,255),RIGHT('Disaggregation Records'!$D$155:$D$385,255),0))="","",INDEX('Disaggregation Records'!$H$155:$H$385,MATCH(RIGHT(Q1749,255),RIGHT('Disaggregation Records'!$D$155:$D$385,255),0))),"")</f>
        <v/>
      </c>
      <c r="U1749" s="89">
        <f>U1747+1</f>
        <v>1984</v>
      </c>
      <c r="V1749" s="89" t="str">
        <f t="array" aca="1" ref="V1749" ca="1">IFERROR(IF(INDEX('Disaggregation Records'!$I$155:$I$385,MATCH(RIGHT(Q1749,255),RIGHT('Disaggregation Records'!$D$155:$D$385,255),0))="","",INDEX('Disaggregation Records'!$I$155:$I$385,MATCH(RIGHT(Q1749,255),RIGHT('Disaggregation Records'!$D$155:$D$385,255),0))),"")</f>
        <v/>
      </c>
      <c r="W1749" s="89" t="str">
        <f ca="1">IFERROR(INDEX('Reference Records'!L$77:L$157,MATCH(LEFT(C1749,255),'Reference Records'!E$77:E$157,0)),"")</f>
        <v/>
      </c>
    </row>
    <row r="1750" spans="1:23" s="89" customFormat="1" ht="40.35" customHeight="1">
      <c r="A1750" s="564"/>
      <c r="B1750" s="799"/>
      <c r="C1750" s="800"/>
      <c r="D1750" s="801"/>
      <c r="E1750" s="801"/>
      <c r="F1750" s="128"/>
      <c r="G1750" s="802"/>
      <c r="H1750" s="781"/>
      <c r="I1750" s="803"/>
      <c r="J1750" s="779"/>
      <c r="K1750" s="800"/>
      <c r="L1750" s="800"/>
      <c r="M1750" s="779"/>
      <c r="N1750" s="779"/>
    </row>
    <row r="1751" spans="1:23" s="89" customFormat="1" ht="40.35" customHeight="1">
      <c r="A1751" s="564" t="str">
        <f ca="1">INDIRECT("'update Helper'!C"&amp;U1751)</f>
        <v>a163p000004VjtoAAC</v>
      </c>
      <c r="B1751" s="794">
        <v>29</v>
      </c>
      <c r="C1751" s="795" t="str">
        <f ca="1">VLOOKUP(B1751,'Coverage Indicators - Section D'!$A$9:$AU$70,47,FALSE)</f>
        <v/>
      </c>
      <c r="D1751" s="796" t="str">
        <f ca="1">R1751</f>
        <v/>
      </c>
      <c r="E1751" s="796" t="str">
        <f ca="1">S1751</f>
        <v/>
      </c>
      <c r="F1751" s="127"/>
      <c r="G1751" s="797" t="str">
        <f ca="1">IF(OR(INDIRECT("'update Helper'!E"&amp;U1751)="",F1751&lt;&gt;0,F1752&lt;&gt;0),IF(IFERROR((F1751/F1752),"")="","",(F1751/F1752)),INDIRECT("'update Helper'!E"&amp;U1751)/100)</f>
        <v/>
      </c>
      <c r="H1751" s="784"/>
      <c r="I1751" s="798"/>
      <c r="J1751" s="777"/>
      <c r="K1751" s="795" t="str">
        <f ca="1">W1751</f>
        <v/>
      </c>
      <c r="L1751" s="795" t="str">
        <f ca="1">V1751</f>
        <v/>
      </c>
      <c r="M1751" s="777"/>
      <c r="N1751" s="777"/>
      <c r="P1751" s="89">
        <f ca="1">IF(AND(EXACT(C1751,C1749),C1749&lt;&gt;0),P1749+1,0)</f>
        <v>325</v>
      </c>
      <c r="Q1751" s="89" t="str">
        <f ca="1">IF(C1751&lt;&gt;"",C1751&amp;"-"&amp;P1751,"")</f>
        <v/>
      </c>
      <c r="R1751" s="89" t="str">
        <f t="array" aca="1" ref="R1751" ca="1">IFERROR(IF(INDEX('Disaggregation Records'!$E$155:$E$385,MATCH(RIGHT(Q1751,255),RIGHT('Disaggregation Records'!$D$155:$D$385,255),0))="","",INDEX('Disaggregation Records'!$E$155:$E$385,MATCH(RIGHT(Q1751,255),RIGHT('Disaggregation Records'!$D$155:$D$385,255),0))),"")</f>
        <v/>
      </c>
      <c r="S1751" s="89" t="str">
        <f t="array" aca="1" ref="S1751" ca="1">IFERROR(IF(INDEX('Disaggregation Records'!$F$155:$F$385,MATCH(RIGHT(Q1751,255),RIGHT('Disaggregation Records'!$D$155:$D$385,255),0))="","",INDEX('Disaggregation Records'!$F$155:$F$385,MATCH(RIGHT(Q1751,255),RIGHT('Disaggregation Records'!$D$155:$D$385,255),0))),"")</f>
        <v/>
      </c>
      <c r="T1751" s="89" t="str">
        <f t="array" aca="1" ref="T1751" ca="1">IFERROR(IF(INDEX('Disaggregation Records'!$H$155:$H$385,MATCH(RIGHT(Q1751,255),RIGHT('Disaggregation Records'!$D$155:$D$385,255),0))="","",INDEX('Disaggregation Records'!$H$155:$H$385,MATCH(RIGHT(Q1751,255),RIGHT('Disaggregation Records'!$D$155:$D$385,255),0))),"")</f>
        <v/>
      </c>
      <c r="U1751" s="89">
        <f>U1749+1</f>
        <v>1985</v>
      </c>
      <c r="V1751" s="89" t="str">
        <f t="array" aca="1" ref="V1751" ca="1">IFERROR(IF(INDEX('Disaggregation Records'!$I$155:$I$385,MATCH(RIGHT(Q1751,255),RIGHT('Disaggregation Records'!$D$155:$D$385,255),0))="","",INDEX('Disaggregation Records'!$I$155:$I$385,MATCH(RIGHT(Q1751,255),RIGHT('Disaggregation Records'!$D$155:$D$385,255),0))),"")</f>
        <v/>
      </c>
      <c r="W1751" s="89" t="str">
        <f ca="1">IFERROR(INDEX('Reference Records'!L$77:L$157,MATCH(LEFT(C1751,255),'Reference Records'!E$77:E$157,0)),"")</f>
        <v/>
      </c>
    </row>
    <row r="1752" spans="1:23" s="89" customFormat="1" ht="40.35" customHeight="1">
      <c r="A1752" s="564"/>
      <c r="B1752" s="799"/>
      <c r="C1752" s="800"/>
      <c r="D1752" s="801"/>
      <c r="E1752" s="801"/>
      <c r="F1752" s="128"/>
      <c r="G1752" s="802"/>
      <c r="H1752" s="781"/>
      <c r="I1752" s="803"/>
      <c r="J1752" s="779"/>
      <c r="K1752" s="800"/>
      <c r="L1752" s="800"/>
      <c r="M1752" s="779"/>
      <c r="N1752" s="779"/>
    </row>
    <row r="1753" spans="1:23" s="89" customFormat="1" ht="40.35" customHeight="1">
      <c r="A1753" s="564" t="str">
        <f ca="1">INDIRECT("'update Helper'!C"&amp;U1753)</f>
        <v>a163p000004VjtpAAC</v>
      </c>
      <c r="B1753" s="794">
        <v>29</v>
      </c>
      <c r="C1753" s="795" t="str">
        <f ca="1">VLOOKUP(B1753,'Coverage Indicators - Section D'!$A$9:$AU$70,47,FALSE)</f>
        <v/>
      </c>
      <c r="D1753" s="796" t="str">
        <f ca="1">R1753</f>
        <v/>
      </c>
      <c r="E1753" s="796" t="str">
        <f ca="1">S1753</f>
        <v/>
      </c>
      <c r="F1753" s="127"/>
      <c r="G1753" s="797" t="str">
        <f ca="1">IF(OR(INDIRECT("'update Helper'!E"&amp;U1753)="",F1753&lt;&gt;0,F1754&lt;&gt;0),IF(IFERROR((F1753/F1754),"")="","",(F1753/F1754)),INDIRECT("'update Helper'!E"&amp;U1753)/100)</f>
        <v/>
      </c>
      <c r="H1753" s="784"/>
      <c r="I1753" s="798"/>
      <c r="J1753" s="777"/>
      <c r="K1753" s="795" t="str">
        <f ca="1">W1753</f>
        <v/>
      </c>
      <c r="L1753" s="795" t="str">
        <f ca="1">V1753</f>
        <v/>
      </c>
      <c r="M1753" s="777"/>
      <c r="N1753" s="777"/>
      <c r="P1753" s="89">
        <f ca="1">IF(AND(EXACT(C1753,C1751),C1751&lt;&gt;0),P1751+1,0)</f>
        <v>326</v>
      </c>
      <c r="Q1753" s="89" t="str">
        <f ca="1">IF(C1753&lt;&gt;"",C1753&amp;"-"&amp;P1753,"")</f>
        <v/>
      </c>
      <c r="R1753" s="89" t="str">
        <f t="array" aca="1" ref="R1753" ca="1">IFERROR(IF(INDEX('Disaggregation Records'!$E$155:$E$385,MATCH(RIGHT(Q1753,255),RIGHT('Disaggregation Records'!$D$155:$D$385,255),0))="","",INDEX('Disaggregation Records'!$E$155:$E$385,MATCH(RIGHT(Q1753,255),RIGHT('Disaggregation Records'!$D$155:$D$385,255),0))),"")</f>
        <v/>
      </c>
      <c r="S1753" s="89" t="str">
        <f t="array" aca="1" ref="S1753" ca="1">IFERROR(IF(INDEX('Disaggregation Records'!$F$155:$F$385,MATCH(RIGHT(Q1753,255),RIGHT('Disaggregation Records'!$D$155:$D$385,255),0))="","",INDEX('Disaggregation Records'!$F$155:$F$385,MATCH(RIGHT(Q1753,255),RIGHT('Disaggregation Records'!$D$155:$D$385,255),0))),"")</f>
        <v/>
      </c>
      <c r="T1753" s="89" t="str">
        <f t="array" aca="1" ref="T1753" ca="1">IFERROR(IF(INDEX('Disaggregation Records'!$H$155:$H$385,MATCH(RIGHT(Q1753,255),RIGHT('Disaggregation Records'!$D$155:$D$385,255),0))="","",INDEX('Disaggregation Records'!$H$155:$H$385,MATCH(RIGHT(Q1753,255),RIGHT('Disaggregation Records'!$D$155:$D$385,255),0))),"")</f>
        <v/>
      </c>
      <c r="U1753" s="89">
        <f>U1751+1</f>
        <v>1986</v>
      </c>
      <c r="V1753" s="89" t="str">
        <f t="array" aca="1" ref="V1753" ca="1">IFERROR(IF(INDEX('Disaggregation Records'!$I$155:$I$385,MATCH(RIGHT(Q1753,255),RIGHT('Disaggregation Records'!$D$155:$D$385,255),0))="","",INDEX('Disaggregation Records'!$I$155:$I$385,MATCH(RIGHT(Q1753,255),RIGHT('Disaggregation Records'!$D$155:$D$385,255),0))),"")</f>
        <v/>
      </c>
      <c r="W1753" s="89" t="str">
        <f ca="1">IFERROR(INDEX('Reference Records'!L$77:L$157,MATCH(LEFT(C1753,255),'Reference Records'!E$77:E$157,0)),"")</f>
        <v/>
      </c>
    </row>
    <row r="1754" spans="1:23" s="89" customFormat="1" ht="40.35" customHeight="1">
      <c r="A1754" s="564"/>
      <c r="B1754" s="799"/>
      <c r="C1754" s="800"/>
      <c r="D1754" s="801"/>
      <c r="E1754" s="801"/>
      <c r="F1754" s="128"/>
      <c r="G1754" s="802"/>
      <c r="H1754" s="781"/>
      <c r="I1754" s="803"/>
      <c r="J1754" s="779"/>
      <c r="K1754" s="800"/>
      <c r="L1754" s="800"/>
      <c r="M1754" s="779"/>
      <c r="N1754" s="779"/>
    </row>
    <row r="1755" spans="1:23" s="89" customFormat="1" ht="40.35" customHeight="1">
      <c r="A1755" s="564" t="str">
        <f ca="1">INDIRECT("'update Helper'!C"&amp;U1755)</f>
        <v>a163p000004VjtqAAC</v>
      </c>
      <c r="B1755" s="794">
        <v>29</v>
      </c>
      <c r="C1755" s="795" t="str">
        <f ca="1">VLOOKUP(B1755,'Coverage Indicators - Section D'!$A$9:$AU$70,47,FALSE)</f>
        <v/>
      </c>
      <c r="D1755" s="796" t="str">
        <f ca="1">R1755</f>
        <v/>
      </c>
      <c r="E1755" s="796" t="str">
        <f ca="1">S1755</f>
        <v/>
      </c>
      <c r="F1755" s="127"/>
      <c r="G1755" s="797" t="str">
        <f ca="1">IF(OR(INDIRECT("'update Helper'!E"&amp;U1755)="",F1755&lt;&gt;0,F1756&lt;&gt;0),IF(IFERROR((F1755/F1756),"")="","",(F1755/F1756)),INDIRECT("'update Helper'!E"&amp;U1755)/100)</f>
        <v/>
      </c>
      <c r="H1755" s="784"/>
      <c r="I1755" s="798"/>
      <c r="J1755" s="777"/>
      <c r="K1755" s="795" t="str">
        <f ca="1">W1755</f>
        <v/>
      </c>
      <c r="L1755" s="795" t="str">
        <f ca="1">V1755</f>
        <v/>
      </c>
      <c r="M1755" s="777"/>
      <c r="N1755" s="777"/>
      <c r="P1755" s="89">
        <f ca="1">IF(AND(EXACT(C1755,C1753),C1753&lt;&gt;0),P1753+1,0)</f>
        <v>327</v>
      </c>
      <c r="Q1755" s="89" t="str">
        <f ca="1">IF(C1755&lt;&gt;"",C1755&amp;"-"&amp;P1755,"")</f>
        <v/>
      </c>
      <c r="R1755" s="89" t="str">
        <f t="array" aca="1" ref="R1755" ca="1">IFERROR(IF(INDEX('Disaggregation Records'!$E$155:$E$385,MATCH(RIGHT(Q1755,255),RIGHT('Disaggregation Records'!$D$155:$D$385,255),0))="","",INDEX('Disaggregation Records'!$E$155:$E$385,MATCH(RIGHT(Q1755,255),RIGHT('Disaggregation Records'!$D$155:$D$385,255),0))),"")</f>
        <v/>
      </c>
      <c r="S1755" s="89" t="str">
        <f t="array" aca="1" ref="S1755" ca="1">IFERROR(IF(INDEX('Disaggregation Records'!$F$155:$F$385,MATCH(RIGHT(Q1755,255),RIGHT('Disaggregation Records'!$D$155:$D$385,255),0))="","",INDEX('Disaggregation Records'!$F$155:$F$385,MATCH(RIGHT(Q1755,255),RIGHT('Disaggregation Records'!$D$155:$D$385,255),0))),"")</f>
        <v/>
      </c>
      <c r="T1755" s="89" t="str">
        <f t="array" aca="1" ref="T1755" ca="1">IFERROR(IF(INDEX('Disaggregation Records'!$H$155:$H$385,MATCH(RIGHT(Q1755,255),RIGHT('Disaggregation Records'!$D$155:$D$385,255),0))="","",INDEX('Disaggregation Records'!$H$155:$H$385,MATCH(RIGHT(Q1755,255),RIGHT('Disaggregation Records'!$D$155:$D$385,255),0))),"")</f>
        <v/>
      </c>
      <c r="U1755" s="89">
        <f>U1753+1</f>
        <v>1987</v>
      </c>
      <c r="V1755" s="89" t="str">
        <f t="array" aca="1" ref="V1755" ca="1">IFERROR(IF(INDEX('Disaggregation Records'!$I$155:$I$385,MATCH(RIGHT(Q1755,255),RIGHT('Disaggregation Records'!$D$155:$D$385,255),0))="","",INDEX('Disaggregation Records'!$I$155:$I$385,MATCH(RIGHT(Q1755,255),RIGHT('Disaggregation Records'!$D$155:$D$385,255),0))),"")</f>
        <v/>
      </c>
      <c r="W1755" s="89" t="str">
        <f ca="1">IFERROR(INDEX('Reference Records'!L$77:L$157,MATCH(LEFT(C1755,255),'Reference Records'!E$77:E$157,0)),"")</f>
        <v/>
      </c>
    </row>
    <row r="1756" spans="1:23" s="89" customFormat="1" ht="40.35" customHeight="1">
      <c r="A1756" s="564"/>
      <c r="B1756" s="799"/>
      <c r="C1756" s="800"/>
      <c r="D1756" s="801"/>
      <c r="E1756" s="801"/>
      <c r="F1756" s="128"/>
      <c r="G1756" s="802"/>
      <c r="H1756" s="781"/>
      <c r="I1756" s="803"/>
      <c r="J1756" s="779"/>
      <c r="K1756" s="800"/>
      <c r="L1756" s="800"/>
      <c r="M1756" s="779"/>
      <c r="N1756" s="779"/>
    </row>
    <row r="1757" spans="1:23" s="89" customFormat="1" ht="40.35" customHeight="1">
      <c r="A1757" s="564" t="str">
        <f ca="1">INDIRECT("'update Helper'!C"&amp;U1757)</f>
        <v>a163p000004VjtrAAC</v>
      </c>
      <c r="B1757" s="794">
        <v>29</v>
      </c>
      <c r="C1757" s="795" t="str">
        <f ca="1">VLOOKUP(B1757,'Coverage Indicators - Section D'!$A$9:$AU$70,47,FALSE)</f>
        <v/>
      </c>
      <c r="D1757" s="796" t="str">
        <f ca="1">R1757</f>
        <v/>
      </c>
      <c r="E1757" s="796" t="str">
        <f ca="1">S1757</f>
        <v/>
      </c>
      <c r="F1757" s="127"/>
      <c r="G1757" s="797" t="str">
        <f ca="1">IF(OR(INDIRECT("'update Helper'!E"&amp;U1757)="",F1757&lt;&gt;0,F1758&lt;&gt;0),IF(IFERROR((F1757/F1758),"")="","",(F1757/F1758)),INDIRECT("'update Helper'!E"&amp;U1757)/100)</f>
        <v/>
      </c>
      <c r="H1757" s="784"/>
      <c r="I1757" s="798"/>
      <c r="J1757" s="777"/>
      <c r="K1757" s="795" t="str">
        <f ca="1">W1757</f>
        <v/>
      </c>
      <c r="L1757" s="795" t="str">
        <f ca="1">V1757</f>
        <v/>
      </c>
      <c r="M1757" s="777"/>
      <c r="N1757" s="777"/>
      <c r="P1757" s="89">
        <f ca="1">IF(AND(EXACT(C1757,C1755),C1755&lt;&gt;0),P1755+1,0)</f>
        <v>328</v>
      </c>
      <c r="Q1757" s="89" t="str">
        <f ca="1">IF(C1757&lt;&gt;"",C1757&amp;"-"&amp;P1757,"")</f>
        <v/>
      </c>
      <c r="R1757" s="89" t="str">
        <f t="array" aca="1" ref="R1757" ca="1">IFERROR(IF(INDEX('Disaggregation Records'!$E$155:$E$385,MATCH(RIGHT(Q1757,255),RIGHT('Disaggregation Records'!$D$155:$D$385,255),0))="","",INDEX('Disaggregation Records'!$E$155:$E$385,MATCH(RIGHT(Q1757,255),RIGHT('Disaggregation Records'!$D$155:$D$385,255),0))),"")</f>
        <v/>
      </c>
      <c r="S1757" s="89" t="str">
        <f t="array" aca="1" ref="S1757" ca="1">IFERROR(IF(INDEX('Disaggregation Records'!$F$155:$F$385,MATCH(RIGHT(Q1757,255),RIGHT('Disaggregation Records'!$D$155:$D$385,255),0))="","",INDEX('Disaggregation Records'!$F$155:$F$385,MATCH(RIGHT(Q1757,255),RIGHT('Disaggregation Records'!$D$155:$D$385,255),0))),"")</f>
        <v/>
      </c>
      <c r="T1757" s="89" t="str">
        <f t="array" aca="1" ref="T1757" ca="1">IFERROR(IF(INDEX('Disaggregation Records'!$H$155:$H$385,MATCH(RIGHT(Q1757,255),RIGHT('Disaggregation Records'!$D$155:$D$385,255),0))="","",INDEX('Disaggregation Records'!$H$155:$H$385,MATCH(RIGHT(Q1757,255),RIGHT('Disaggregation Records'!$D$155:$D$385,255),0))),"")</f>
        <v/>
      </c>
      <c r="U1757" s="89">
        <f>U1755+1</f>
        <v>1988</v>
      </c>
      <c r="V1757" s="89" t="str">
        <f t="array" aca="1" ref="V1757" ca="1">IFERROR(IF(INDEX('Disaggregation Records'!$I$155:$I$385,MATCH(RIGHT(Q1757,255),RIGHT('Disaggregation Records'!$D$155:$D$385,255),0))="","",INDEX('Disaggregation Records'!$I$155:$I$385,MATCH(RIGHT(Q1757,255),RIGHT('Disaggregation Records'!$D$155:$D$385,255),0))),"")</f>
        <v/>
      </c>
      <c r="W1757" s="89" t="str">
        <f ca="1">IFERROR(INDEX('Reference Records'!L$77:L$157,MATCH(LEFT(C1757,255),'Reference Records'!E$77:E$157,0)),"")</f>
        <v/>
      </c>
    </row>
    <row r="1758" spans="1:23" s="89" customFormat="1" ht="40.35" customHeight="1">
      <c r="A1758" s="564"/>
      <c r="B1758" s="799"/>
      <c r="C1758" s="800"/>
      <c r="D1758" s="801"/>
      <c r="E1758" s="801"/>
      <c r="F1758" s="128"/>
      <c r="G1758" s="802"/>
      <c r="H1758" s="781"/>
      <c r="I1758" s="803"/>
      <c r="J1758" s="779"/>
      <c r="K1758" s="800"/>
      <c r="L1758" s="800"/>
      <c r="M1758" s="779"/>
      <c r="N1758" s="779"/>
    </row>
    <row r="1759" spans="1:23" s="89" customFormat="1" ht="40.35" customHeight="1">
      <c r="A1759" s="564" t="str">
        <f ca="1">INDIRECT("'update Helper'!C"&amp;U1759)</f>
        <v>a163p000004VjtsAAC</v>
      </c>
      <c r="B1759" s="794">
        <v>29</v>
      </c>
      <c r="C1759" s="795" t="str">
        <f ca="1">VLOOKUP(B1759,'Coverage Indicators - Section D'!$A$9:$AU$70,47,FALSE)</f>
        <v/>
      </c>
      <c r="D1759" s="796" t="str">
        <f ca="1">R1759</f>
        <v/>
      </c>
      <c r="E1759" s="796" t="str">
        <f ca="1">S1759</f>
        <v/>
      </c>
      <c r="F1759" s="127"/>
      <c r="G1759" s="797" t="str">
        <f ca="1">IF(OR(INDIRECT("'update Helper'!E"&amp;U1759)="",F1759&lt;&gt;0,F1760&lt;&gt;0),IF(IFERROR((F1759/F1760),"")="","",(F1759/F1760)),INDIRECT("'update Helper'!E"&amp;U1759)/100)</f>
        <v/>
      </c>
      <c r="H1759" s="784"/>
      <c r="I1759" s="798"/>
      <c r="J1759" s="777"/>
      <c r="K1759" s="795" t="str">
        <f ca="1">W1759</f>
        <v/>
      </c>
      <c r="L1759" s="795" t="str">
        <f ca="1">V1759</f>
        <v/>
      </c>
      <c r="M1759" s="777"/>
      <c r="N1759" s="777"/>
      <c r="P1759" s="89">
        <f ca="1">IF(AND(EXACT(C1759,C1757),C1757&lt;&gt;0),P1757+1,0)</f>
        <v>329</v>
      </c>
      <c r="Q1759" s="89" t="str">
        <f ca="1">IF(C1759&lt;&gt;"",C1759&amp;"-"&amp;P1759,"")</f>
        <v/>
      </c>
      <c r="R1759" s="89" t="str">
        <f t="array" aca="1" ref="R1759" ca="1">IFERROR(IF(INDEX('Disaggregation Records'!$E$155:$E$385,MATCH(RIGHT(Q1759,255),RIGHT('Disaggregation Records'!$D$155:$D$385,255),0))="","",INDEX('Disaggregation Records'!$E$155:$E$385,MATCH(RIGHT(Q1759,255),RIGHT('Disaggregation Records'!$D$155:$D$385,255),0))),"")</f>
        <v/>
      </c>
      <c r="S1759" s="89" t="str">
        <f t="array" aca="1" ref="S1759" ca="1">IFERROR(IF(INDEX('Disaggregation Records'!$F$155:$F$385,MATCH(RIGHT(Q1759,255),RIGHT('Disaggregation Records'!$D$155:$D$385,255),0))="","",INDEX('Disaggregation Records'!$F$155:$F$385,MATCH(RIGHT(Q1759,255),RIGHT('Disaggregation Records'!$D$155:$D$385,255),0))),"")</f>
        <v/>
      </c>
      <c r="T1759" s="89" t="str">
        <f t="array" aca="1" ref="T1759" ca="1">IFERROR(IF(INDEX('Disaggregation Records'!$H$155:$H$385,MATCH(RIGHT(Q1759,255),RIGHT('Disaggregation Records'!$D$155:$D$385,255),0))="","",INDEX('Disaggregation Records'!$H$155:$H$385,MATCH(RIGHT(Q1759,255),RIGHT('Disaggregation Records'!$D$155:$D$385,255),0))),"")</f>
        <v/>
      </c>
      <c r="U1759" s="89">
        <f>U1757+1</f>
        <v>1989</v>
      </c>
      <c r="V1759" s="89" t="str">
        <f t="array" aca="1" ref="V1759" ca="1">IFERROR(IF(INDEX('Disaggregation Records'!$I$155:$I$385,MATCH(RIGHT(Q1759,255),RIGHT('Disaggregation Records'!$D$155:$D$385,255),0))="","",INDEX('Disaggregation Records'!$I$155:$I$385,MATCH(RIGHT(Q1759,255),RIGHT('Disaggregation Records'!$D$155:$D$385,255),0))),"")</f>
        <v/>
      </c>
      <c r="W1759" s="89" t="str">
        <f ca="1">IFERROR(INDEX('Reference Records'!L$77:L$157,MATCH(LEFT(C1759,255),'Reference Records'!E$77:E$157,0)),"")</f>
        <v/>
      </c>
    </row>
    <row r="1760" spans="1:23" s="89" customFormat="1" ht="40.35" customHeight="1">
      <c r="A1760" s="564"/>
      <c r="B1760" s="799"/>
      <c r="C1760" s="800"/>
      <c r="D1760" s="801"/>
      <c r="E1760" s="801"/>
      <c r="F1760" s="128"/>
      <c r="G1760" s="802"/>
      <c r="H1760" s="781"/>
      <c r="I1760" s="803"/>
      <c r="J1760" s="779"/>
      <c r="K1760" s="800"/>
      <c r="L1760" s="800"/>
      <c r="M1760" s="779"/>
      <c r="N1760" s="779"/>
    </row>
    <row r="1761" spans="1:23" s="89" customFormat="1" ht="40.35" customHeight="1">
      <c r="A1761" s="564" t="str">
        <f ca="1">INDIRECT("'update Helper'!C"&amp;U1761)</f>
        <v>a163p000004VjttAAC</v>
      </c>
      <c r="B1761" s="794">
        <v>29</v>
      </c>
      <c r="C1761" s="795" t="str">
        <f ca="1">VLOOKUP(B1761,'Coverage Indicators - Section D'!$A$9:$AU$70,47,FALSE)</f>
        <v/>
      </c>
      <c r="D1761" s="796" t="str">
        <f ca="1">R1761</f>
        <v/>
      </c>
      <c r="E1761" s="796" t="str">
        <f ca="1">S1761</f>
        <v/>
      </c>
      <c r="F1761" s="127"/>
      <c r="G1761" s="797" t="str">
        <f ca="1">IF(OR(INDIRECT("'update Helper'!E"&amp;U1761)="",F1761&lt;&gt;0,F1762&lt;&gt;0),IF(IFERROR((F1761/F1762),"")="","",(F1761/F1762)),INDIRECT("'update Helper'!E"&amp;U1761)/100)</f>
        <v/>
      </c>
      <c r="H1761" s="784"/>
      <c r="I1761" s="798"/>
      <c r="J1761" s="777"/>
      <c r="K1761" s="795" t="str">
        <f ca="1">W1761</f>
        <v/>
      </c>
      <c r="L1761" s="795" t="str">
        <f ca="1">V1761</f>
        <v/>
      </c>
      <c r="M1761" s="777"/>
      <c r="N1761" s="777"/>
      <c r="P1761" s="89">
        <f ca="1">IF(AND(EXACT(C1761,C1759),C1759&lt;&gt;0),P1759+1,0)</f>
        <v>330</v>
      </c>
      <c r="Q1761" s="89" t="str">
        <f ca="1">IF(C1761&lt;&gt;"",C1761&amp;"-"&amp;P1761,"")</f>
        <v/>
      </c>
      <c r="R1761" s="89" t="str">
        <f t="array" aca="1" ref="R1761" ca="1">IFERROR(IF(INDEX('Disaggregation Records'!$E$155:$E$385,MATCH(RIGHT(Q1761,255),RIGHT('Disaggregation Records'!$D$155:$D$385,255),0))="","",INDEX('Disaggregation Records'!$E$155:$E$385,MATCH(RIGHT(Q1761,255),RIGHT('Disaggregation Records'!$D$155:$D$385,255),0))),"")</f>
        <v/>
      </c>
      <c r="S1761" s="89" t="str">
        <f t="array" aca="1" ref="S1761" ca="1">IFERROR(IF(INDEX('Disaggregation Records'!$F$155:$F$385,MATCH(RIGHT(Q1761,255),RIGHT('Disaggregation Records'!$D$155:$D$385,255),0))="","",INDEX('Disaggregation Records'!$F$155:$F$385,MATCH(RIGHT(Q1761,255),RIGHT('Disaggregation Records'!$D$155:$D$385,255),0))),"")</f>
        <v/>
      </c>
      <c r="T1761" s="89" t="str">
        <f t="array" aca="1" ref="T1761" ca="1">IFERROR(IF(INDEX('Disaggregation Records'!$H$155:$H$385,MATCH(RIGHT(Q1761,255),RIGHT('Disaggregation Records'!$D$155:$D$385,255),0))="","",INDEX('Disaggregation Records'!$H$155:$H$385,MATCH(RIGHT(Q1761,255),RIGHT('Disaggregation Records'!$D$155:$D$385,255),0))),"")</f>
        <v/>
      </c>
      <c r="U1761" s="89">
        <f>U1759+1</f>
        <v>1990</v>
      </c>
      <c r="V1761" s="89" t="str">
        <f t="array" aca="1" ref="V1761" ca="1">IFERROR(IF(INDEX('Disaggregation Records'!$I$155:$I$385,MATCH(RIGHT(Q1761,255),RIGHT('Disaggregation Records'!$D$155:$D$385,255),0))="","",INDEX('Disaggregation Records'!$I$155:$I$385,MATCH(RIGHT(Q1761,255),RIGHT('Disaggregation Records'!$D$155:$D$385,255),0))),"")</f>
        <v/>
      </c>
      <c r="W1761" s="89" t="str">
        <f ca="1">IFERROR(INDEX('Reference Records'!L$77:L$157,MATCH(LEFT(C1761,255),'Reference Records'!E$77:E$157,0)),"")</f>
        <v/>
      </c>
    </row>
    <row r="1762" spans="1:23" s="89" customFormat="1" ht="40.35" customHeight="1">
      <c r="A1762" s="564"/>
      <c r="B1762" s="799"/>
      <c r="C1762" s="800"/>
      <c r="D1762" s="801"/>
      <c r="E1762" s="801"/>
      <c r="F1762" s="128"/>
      <c r="G1762" s="802"/>
      <c r="H1762" s="781"/>
      <c r="I1762" s="803"/>
      <c r="J1762" s="779"/>
      <c r="K1762" s="800"/>
      <c r="L1762" s="800"/>
      <c r="M1762" s="779"/>
      <c r="N1762" s="779"/>
    </row>
    <row r="1763" spans="1:23" s="89" customFormat="1" ht="40.35" customHeight="1">
      <c r="A1763" s="564" t="str">
        <f ca="1">INDIRECT("'update Helper'!C"&amp;U1763)</f>
        <v>a163p000004VjtuAAC</v>
      </c>
      <c r="B1763" s="794">
        <v>29</v>
      </c>
      <c r="C1763" s="795" t="str">
        <f ca="1">VLOOKUP(B1763,'Coverage Indicators - Section D'!$A$9:$AU$70,47,FALSE)</f>
        <v/>
      </c>
      <c r="D1763" s="796" t="str">
        <f ca="1">R1763</f>
        <v/>
      </c>
      <c r="E1763" s="796" t="str">
        <f ca="1">S1763</f>
        <v/>
      </c>
      <c r="F1763" s="127"/>
      <c r="G1763" s="797" t="str">
        <f ca="1">IF(OR(INDIRECT("'update Helper'!E"&amp;U1763)="",F1763&lt;&gt;0,F1764&lt;&gt;0),IF(IFERROR((F1763/F1764),"")="","",(F1763/F1764)),INDIRECT("'update Helper'!E"&amp;U1763)/100)</f>
        <v/>
      </c>
      <c r="H1763" s="784"/>
      <c r="I1763" s="798"/>
      <c r="J1763" s="777"/>
      <c r="K1763" s="795" t="str">
        <f ca="1">W1763</f>
        <v/>
      </c>
      <c r="L1763" s="795" t="str">
        <f ca="1">V1763</f>
        <v/>
      </c>
      <c r="M1763" s="777"/>
      <c r="N1763" s="777"/>
      <c r="P1763" s="89">
        <f ca="1">IF(AND(EXACT(C1763,C1761),C1761&lt;&gt;0),P1761+1,0)</f>
        <v>331</v>
      </c>
      <c r="Q1763" s="89" t="str">
        <f ca="1">IF(C1763&lt;&gt;"",C1763&amp;"-"&amp;P1763,"")</f>
        <v/>
      </c>
      <c r="R1763" s="89" t="str">
        <f t="array" aca="1" ref="R1763" ca="1">IFERROR(IF(INDEX('Disaggregation Records'!$E$155:$E$385,MATCH(RIGHT(Q1763,255),RIGHT('Disaggregation Records'!$D$155:$D$385,255),0))="","",INDEX('Disaggregation Records'!$E$155:$E$385,MATCH(RIGHT(Q1763,255),RIGHT('Disaggregation Records'!$D$155:$D$385,255),0))),"")</f>
        <v/>
      </c>
      <c r="S1763" s="89" t="str">
        <f t="array" aca="1" ref="S1763" ca="1">IFERROR(IF(INDEX('Disaggregation Records'!$F$155:$F$385,MATCH(RIGHT(Q1763,255),RIGHT('Disaggregation Records'!$D$155:$D$385,255),0))="","",INDEX('Disaggregation Records'!$F$155:$F$385,MATCH(RIGHT(Q1763,255),RIGHT('Disaggregation Records'!$D$155:$D$385,255),0))),"")</f>
        <v/>
      </c>
      <c r="T1763" s="89" t="str">
        <f t="array" aca="1" ref="T1763" ca="1">IFERROR(IF(INDEX('Disaggregation Records'!$H$155:$H$385,MATCH(RIGHT(Q1763,255),RIGHT('Disaggregation Records'!$D$155:$D$385,255),0))="","",INDEX('Disaggregation Records'!$H$155:$H$385,MATCH(RIGHT(Q1763,255),RIGHT('Disaggregation Records'!$D$155:$D$385,255),0))),"")</f>
        <v/>
      </c>
      <c r="U1763" s="89">
        <f>U1761+1</f>
        <v>1991</v>
      </c>
      <c r="V1763" s="89" t="str">
        <f t="array" aca="1" ref="V1763" ca="1">IFERROR(IF(INDEX('Disaggregation Records'!$I$155:$I$385,MATCH(RIGHT(Q1763,255),RIGHT('Disaggregation Records'!$D$155:$D$385,255),0))="","",INDEX('Disaggregation Records'!$I$155:$I$385,MATCH(RIGHT(Q1763,255),RIGHT('Disaggregation Records'!$D$155:$D$385,255),0))),"")</f>
        <v/>
      </c>
      <c r="W1763" s="89" t="str">
        <f ca="1">IFERROR(INDEX('Reference Records'!L$77:L$157,MATCH(LEFT(C1763,255),'Reference Records'!E$77:E$157,0)),"")</f>
        <v/>
      </c>
    </row>
    <row r="1764" spans="1:23" s="89" customFormat="1" ht="40.35" customHeight="1">
      <c r="A1764" s="564"/>
      <c r="B1764" s="799"/>
      <c r="C1764" s="800"/>
      <c r="D1764" s="801"/>
      <c r="E1764" s="801"/>
      <c r="F1764" s="128"/>
      <c r="G1764" s="802"/>
      <c r="H1764" s="781"/>
      <c r="I1764" s="803"/>
      <c r="J1764" s="779"/>
      <c r="K1764" s="800"/>
      <c r="L1764" s="800"/>
      <c r="M1764" s="779"/>
      <c r="N1764" s="779"/>
    </row>
    <row r="1765" spans="1:23" s="89" customFormat="1" ht="40.35" customHeight="1">
      <c r="A1765" s="564" t="str">
        <f ca="1">INDIRECT("'update Helper'!C"&amp;U1765)</f>
        <v>a163p000004VjtvAAC</v>
      </c>
      <c r="B1765" s="794">
        <v>29</v>
      </c>
      <c r="C1765" s="795" t="str">
        <f ca="1">VLOOKUP(B1765,'Coverage Indicators - Section D'!$A$9:$AU$70,47,FALSE)</f>
        <v/>
      </c>
      <c r="D1765" s="796" t="str">
        <f ca="1">R1765</f>
        <v/>
      </c>
      <c r="E1765" s="796" t="str">
        <f ca="1">S1765</f>
        <v/>
      </c>
      <c r="F1765" s="127"/>
      <c r="G1765" s="797" t="str">
        <f ca="1">IF(OR(INDIRECT("'update Helper'!E"&amp;U1765)="",F1765&lt;&gt;0,F1766&lt;&gt;0),IF(IFERROR((F1765/F1766),"")="","",(F1765/F1766)),INDIRECT("'update Helper'!E"&amp;U1765)/100)</f>
        <v/>
      </c>
      <c r="H1765" s="784"/>
      <c r="I1765" s="798"/>
      <c r="J1765" s="777"/>
      <c r="K1765" s="795" t="str">
        <f ca="1">W1765</f>
        <v/>
      </c>
      <c r="L1765" s="795" t="str">
        <f ca="1">V1765</f>
        <v/>
      </c>
      <c r="M1765" s="777"/>
      <c r="N1765" s="777"/>
      <c r="P1765" s="89">
        <f ca="1">IF(AND(EXACT(C1765,C1763),C1763&lt;&gt;0),P1763+1,0)</f>
        <v>332</v>
      </c>
      <c r="Q1765" s="89" t="str">
        <f ca="1">IF(C1765&lt;&gt;"",C1765&amp;"-"&amp;P1765,"")</f>
        <v/>
      </c>
      <c r="R1765" s="89" t="str">
        <f t="array" aca="1" ref="R1765" ca="1">IFERROR(IF(INDEX('Disaggregation Records'!$E$155:$E$385,MATCH(RIGHT(Q1765,255),RIGHT('Disaggregation Records'!$D$155:$D$385,255),0))="","",INDEX('Disaggregation Records'!$E$155:$E$385,MATCH(RIGHT(Q1765,255),RIGHT('Disaggregation Records'!$D$155:$D$385,255),0))),"")</f>
        <v/>
      </c>
      <c r="S1765" s="89" t="str">
        <f t="array" aca="1" ref="S1765" ca="1">IFERROR(IF(INDEX('Disaggregation Records'!$F$155:$F$385,MATCH(RIGHT(Q1765,255),RIGHT('Disaggregation Records'!$D$155:$D$385,255),0))="","",INDEX('Disaggregation Records'!$F$155:$F$385,MATCH(RIGHT(Q1765,255),RIGHT('Disaggregation Records'!$D$155:$D$385,255),0))),"")</f>
        <v/>
      </c>
      <c r="T1765" s="89" t="str">
        <f t="array" aca="1" ref="T1765" ca="1">IFERROR(IF(INDEX('Disaggregation Records'!$H$155:$H$385,MATCH(RIGHT(Q1765,255),RIGHT('Disaggregation Records'!$D$155:$D$385,255),0))="","",INDEX('Disaggregation Records'!$H$155:$H$385,MATCH(RIGHT(Q1765,255),RIGHT('Disaggregation Records'!$D$155:$D$385,255),0))),"")</f>
        <v/>
      </c>
      <c r="U1765" s="89">
        <f>U1763+1</f>
        <v>1992</v>
      </c>
      <c r="V1765" s="89" t="str">
        <f t="array" aca="1" ref="V1765" ca="1">IFERROR(IF(INDEX('Disaggregation Records'!$I$155:$I$385,MATCH(RIGHT(Q1765,255),RIGHT('Disaggregation Records'!$D$155:$D$385,255),0))="","",INDEX('Disaggregation Records'!$I$155:$I$385,MATCH(RIGHT(Q1765,255),RIGHT('Disaggregation Records'!$D$155:$D$385,255),0))),"")</f>
        <v/>
      </c>
      <c r="W1765" s="89" t="str">
        <f ca="1">IFERROR(INDEX('Reference Records'!L$77:L$157,MATCH(LEFT(C1765,255),'Reference Records'!E$77:E$157,0)),"")</f>
        <v/>
      </c>
    </row>
    <row r="1766" spans="1:23" s="89" customFormat="1" ht="40.35" customHeight="1">
      <c r="A1766" s="564"/>
      <c r="B1766" s="799"/>
      <c r="C1766" s="800"/>
      <c r="D1766" s="801"/>
      <c r="E1766" s="801"/>
      <c r="F1766" s="128"/>
      <c r="G1766" s="802"/>
      <c r="H1766" s="781"/>
      <c r="I1766" s="803"/>
      <c r="J1766" s="779"/>
      <c r="K1766" s="800"/>
      <c r="L1766" s="800"/>
      <c r="M1766" s="779"/>
      <c r="N1766" s="779"/>
    </row>
    <row r="1767" spans="1:23" s="89" customFormat="1" ht="40.35" customHeight="1">
      <c r="A1767" s="564" t="str">
        <f ca="1">INDIRECT("'update Helper'!C"&amp;U1767)</f>
        <v>a163p000004VjtwAAC</v>
      </c>
      <c r="B1767" s="794">
        <v>29</v>
      </c>
      <c r="C1767" s="795" t="str">
        <f ca="1">VLOOKUP(B1767,'Coverage Indicators - Section D'!$A$9:$AU$70,47,FALSE)</f>
        <v/>
      </c>
      <c r="D1767" s="796" t="str">
        <f ca="1">R1767</f>
        <v/>
      </c>
      <c r="E1767" s="796" t="str">
        <f ca="1">S1767</f>
        <v/>
      </c>
      <c r="F1767" s="127"/>
      <c r="G1767" s="797" t="str">
        <f ca="1">IF(OR(INDIRECT("'update Helper'!E"&amp;U1767)="",F1767&lt;&gt;0,F1768&lt;&gt;0),IF(IFERROR((F1767/F1768),"")="","",(F1767/F1768)),INDIRECT("'update Helper'!E"&amp;U1767)/100)</f>
        <v/>
      </c>
      <c r="H1767" s="784"/>
      <c r="I1767" s="798"/>
      <c r="J1767" s="777"/>
      <c r="K1767" s="795" t="str">
        <f ca="1">W1767</f>
        <v/>
      </c>
      <c r="L1767" s="795" t="str">
        <f ca="1">V1767</f>
        <v/>
      </c>
      <c r="M1767" s="777"/>
      <c r="N1767" s="777"/>
      <c r="P1767" s="89">
        <f ca="1">IF(AND(EXACT(C1767,C1765),C1765&lt;&gt;0),P1765+1,0)</f>
        <v>333</v>
      </c>
      <c r="Q1767" s="89" t="str">
        <f ca="1">IF(C1767&lt;&gt;"",C1767&amp;"-"&amp;P1767,"")</f>
        <v/>
      </c>
      <c r="R1767" s="89" t="str">
        <f t="array" aca="1" ref="R1767" ca="1">IFERROR(IF(INDEX('Disaggregation Records'!$E$155:$E$385,MATCH(RIGHT(Q1767,255),RIGHT('Disaggregation Records'!$D$155:$D$385,255),0))="","",INDEX('Disaggregation Records'!$E$155:$E$385,MATCH(RIGHT(Q1767,255),RIGHT('Disaggregation Records'!$D$155:$D$385,255),0))),"")</f>
        <v/>
      </c>
      <c r="S1767" s="89" t="str">
        <f t="array" aca="1" ref="S1767" ca="1">IFERROR(IF(INDEX('Disaggregation Records'!$F$155:$F$385,MATCH(RIGHT(Q1767,255),RIGHT('Disaggregation Records'!$D$155:$D$385,255),0))="","",INDEX('Disaggregation Records'!$F$155:$F$385,MATCH(RIGHT(Q1767,255),RIGHT('Disaggregation Records'!$D$155:$D$385,255),0))),"")</f>
        <v/>
      </c>
      <c r="T1767" s="89" t="str">
        <f t="array" aca="1" ref="T1767" ca="1">IFERROR(IF(INDEX('Disaggregation Records'!$H$155:$H$385,MATCH(RIGHT(Q1767,255),RIGHT('Disaggregation Records'!$D$155:$D$385,255),0))="","",INDEX('Disaggregation Records'!$H$155:$H$385,MATCH(RIGHT(Q1767,255),RIGHT('Disaggregation Records'!$D$155:$D$385,255),0))),"")</f>
        <v/>
      </c>
      <c r="U1767" s="89">
        <f>U1765+1</f>
        <v>1993</v>
      </c>
      <c r="V1767" s="89" t="str">
        <f t="array" aca="1" ref="V1767" ca="1">IFERROR(IF(INDEX('Disaggregation Records'!$I$155:$I$385,MATCH(RIGHT(Q1767,255),RIGHT('Disaggregation Records'!$D$155:$D$385,255),0))="","",INDEX('Disaggregation Records'!$I$155:$I$385,MATCH(RIGHT(Q1767,255),RIGHT('Disaggregation Records'!$D$155:$D$385,255),0))),"")</f>
        <v/>
      </c>
      <c r="W1767" s="89" t="str">
        <f ca="1">IFERROR(INDEX('Reference Records'!L$77:L$157,MATCH(LEFT(C1767,255),'Reference Records'!E$77:E$157,0)),"")</f>
        <v/>
      </c>
    </row>
    <row r="1768" spans="1:23" s="89" customFormat="1" ht="40.35" customHeight="1">
      <c r="A1768" s="564"/>
      <c r="B1768" s="799"/>
      <c r="C1768" s="800"/>
      <c r="D1768" s="801"/>
      <c r="E1768" s="801"/>
      <c r="F1768" s="128"/>
      <c r="G1768" s="802"/>
      <c r="H1768" s="781"/>
      <c r="I1768" s="803"/>
      <c r="J1768" s="779"/>
      <c r="K1768" s="800"/>
      <c r="L1768" s="800"/>
      <c r="M1768" s="779"/>
      <c r="N1768" s="779"/>
    </row>
    <row r="1769" spans="1:23" s="89" customFormat="1" ht="40.35" customHeight="1">
      <c r="A1769" s="564" t="str">
        <f ca="1">INDIRECT("'update Helper'!C"&amp;U1769)</f>
        <v>a163p000004VjtxAAC</v>
      </c>
      <c r="B1769" s="794">
        <v>29</v>
      </c>
      <c r="C1769" s="795" t="str">
        <f ca="1">VLOOKUP(B1769,'Coverage Indicators - Section D'!$A$9:$AU$70,47,FALSE)</f>
        <v/>
      </c>
      <c r="D1769" s="796" t="str">
        <f ca="1">R1769</f>
        <v/>
      </c>
      <c r="E1769" s="796" t="str">
        <f ca="1">S1769</f>
        <v/>
      </c>
      <c r="F1769" s="127"/>
      <c r="G1769" s="797" t="str">
        <f ca="1">IF(OR(INDIRECT("'update Helper'!E"&amp;U1769)="",F1769&lt;&gt;0,F1770&lt;&gt;0),IF(IFERROR((F1769/F1770),"")="","",(F1769/F1770)),INDIRECT("'update Helper'!E"&amp;U1769)/100)</f>
        <v/>
      </c>
      <c r="H1769" s="784"/>
      <c r="I1769" s="798"/>
      <c r="J1769" s="777"/>
      <c r="K1769" s="795" t="str">
        <f ca="1">W1769</f>
        <v/>
      </c>
      <c r="L1769" s="795" t="str">
        <f ca="1">V1769</f>
        <v/>
      </c>
      <c r="M1769" s="777"/>
      <c r="N1769" s="777"/>
      <c r="P1769" s="89">
        <f ca="1">IF(AND(EXACT(C1769,C1767),C1767&lt;&gt;0),P1767+1,0)</f>
        <v>334</v>
      </c>
      <c r="Q1769" s="89" t="str">
        <f ca="1">IF(C1769&lt;&gt;"",C1769&amp;"-"&amp;P1769,"")</f>
        <v/>
      </c>
      <c r="R1769" s="89" t="str">
        <f t="array" aca="1" ref="R1769" ca="1">IFERROR(IF(INDEX('Disaggregation Records'!$E$155:$E$385,MATCH(RIGHT(Q1769,255),RIGHT('Disaggregation Records'!$D$155:$D$385,255),0))="","",INDEX('Disaggregation Records'!$E$155:$E$385,MATCH(RIGHT(Q1769,255),RIGHT('Disaggregation Records'!$D$155:$D$385,255),0))),"")</f>
        <v/>
      </c>
      <c r="S1769" s="89" t="str">
        <f t="array" aca="1" ref="S1769" ca="1">IFERROR(IF(INDEX('Disaggregation Records'!$F$155:$F$385,MATCH(RIGHT(Q1769,255),RIGHT('Disaggregation Records'!$D$155:$D$385,255),0))="","",INDEX('Disaggregation Records'!$F$155:$F$385,MATCH(RIGHT(Q1769,255),RIGHT('Disaggregation Records'!$D$155:$D$385,255),0))),"")</f>
        <v/>
      </c>
      <c r="T1769" s="89" t="str">
        <f t="array" aca="1" ref="T1769" ca="1">IFERROR(IF(INDEX('Disaggregation Records'!$H$155:$H$385,MATCH(RIGHT(Q1769,255),RIGHT('Disaggregation Records'!$D$155:$D$385,255),0))="","",INDEX('Disaggregation Records'!$H$155:$H$385,MATCH(RIGHT(Q1769,255),RIGHT('Disaggregation Records'!$D$155:$D$385,255),0))),"")</f>
        <v/>
      </c>
      <c r="U1769" s="89">
        <f>U1767+1</f>
        <v>1994</v>
      </c>
      <c r="V1769" s="89" t="str">
        <f t="array" aca="1" ref="V1769" ca="1">IFERROR(IF(INDEX('Disaggregation Records'!$I$155:$I$385,MATCH(RIGHT(Q1769,255),RIGHT('Disaggregation Records'!$D$155:$D$385,255),0))="","",INDEX('Disaggregation Records'!$I$155:$I$385,MATCH(RIGHT(Q1769,255),RIGHT('Disaggregation Records'!$D$155:$D$385,255),0))),"")</f>
        <v/>
      </c>
      <c r="W1769" s="89" t="str">
        <f ca="1">IFERROR(INDEX('Reference Records'!L$77:L$157,MATCH(LEFT(C1769,255),'Reference Records'!E$77:E$157,0)),"")</f>
        <v/>
      </c>
    </row>
    <row r="1770" spans="1:23" s="89" customFormat="1" ht="40.35" customHeight="1">
      <c r="A1770" s="564"/>
      <c r="B1770" s="799"/>
      <c r="C1770" s="800"/>
      <c r="D1770" s="801"/>
      <c r="E1770" s="801"/>
      <c r="F1770" s="128"/>
      <c r="G1770" s="802"/>
      <c r="H1770" s="781"/>
      <c r="I1770" s="803"/>
      <c r="J1770" s="779"/>
      <c r="K1770" s="800"/>
      <c r="L1770" s="800"/>
      <c r="M1770" s="779"/>
      <c r="N1770" s="779"/>
    </row>
    <row r="1771" spans="1:23" s="89" customFormat="1" ht="40.35" customHeight="1">
      <c r="A1771" s="564" t="str">
        <f ca="1">INDIRECT("'update Helper'!C"&amp;U1771)</f>
        <v>a163p000004VjtyAAC</v>
      </c>
      <c r="B1771" s="794">
        <v>29</v>
      </c>
      <c r="C1771" s="795" t="str">
        <f ca="1">VLOOKUP(B1771,'Coverage Indicators - Section D'!$A$9:$AU$70,47,FALSE)</f>
        <v/>
      </c>
      <c r="D1771" s="796" t="str">
        <f ca="1">R1771</f>
        <v/>
      </c>
      <c r="E1771" s="796" t="str">
        <f ca="1">S1771</f>
        <v/>
      </c>
      <c r="F1771" s="127"/>
      <c r="G1771" s="797" t="str">
        <f ca="1">IF(OR(INDIRECT("'update Helper'!E"&amp;U1771)="",F1771&lt;&gt;0,F1772&lt;&gt;0),IF(IFERROR((F1771/F1772),"")="","",(F1771/F1772)),INDIRECT("'update Helper'!E"&amp;U1771)/100)</f>
        <v/>
      </c>
      <c r="H1771" s="784"/>
      <c r="I1771" s="798"/>
      <c r="J1771" s="777"/>
      <c r="K1771" s="795" t="str">
        <f ca="1">W1771</f>
        <v/>
      </c>
      <c r="L1771" s="795" t="str">
        <f ca="1">V1771</f>
        <v/>
      </c>
      <c r="M1771" s="777"/>
      <c r="N1771" s="777"/>
      <c r="P1771" s="89">
        <f ca="1">IF(AND(EXACT(C1771,C1769),C1769&lt;&gt;0),P1769+1,0)</f>
        <v>335</v>
      </c>
      <c r="Q1771" s="89" t="str">
        <f ca="1">IF(C1771&lt;&gt;"",C1771&amp;"-"&amp;P1771,"")</f>
        <v/>
      </c>
      <c r="R1771" s="89" t="str">
        <f t="array" aca="1" ref="R1771" ca="1">IFERROR(IF(INDEX('Disaggregation Records'!$E$155:$E$385,MATCH(RIGHT(Q1771,255),RIGHT('Disaggregation Records'!$D$155:$D$385,255),0))="","",INDEX('Disaggregation Records'!$E$155:$E$385,MATCH(RIGHT(Q1771,255),RIGHT('Disaggregation Records'!$D$155:$D$385,255),0))),"")</f>
        <v/>
      </c>
      <c r="S1771" s="89" t="str">
        <f t="array" aca="1" ref="S1771" ca="1">IFERROR(IF(INDEX('Disaggregation Records'!$F$155:$F$385,MATCH(RIGHT(Q1771,255),RIGHT('Disaggregation Records'!$D$155:$D$385,255),0))="","",INDEX('Disaggregation Records'!$F$155:$F$385,MATCH(RIGHT(Q1771,255),RIGHT('Disaggregation Records'!$D$155:$D$385,255),0))),"")</f>
        <v/>
      </c>
      <c r="T1771" s="89" t="str">
        <f t="array" aca="1" ref="T1771" ca="1">IFERROR(IF(INDEX('Disaggregation Records'!$H$155:$H$385,MATCH(RIGHT(Q1771,255),RIGHT('Disaggregation Records'!$D$155:$D$385,255),0))="","",INDEX('Disaggregation Records'!$H$155:$H$385,MATCH(RIGHT(Q1771,255),RIGHT('Disaggregation Records'!$D$155:$D$385,255),0))),"")</f>
        <v/>
      </c>
      <c r="U1771" s="89">
        <f>U1769+1</f>
        <v>1995</v>
      </c>
      <c r="V1771" s="89" t="str">
        <f t="array" aca="1" ref="V1771" ca="1">IFERROR(IF(INDEX('Disaggregation Records'!$I$155:$I$385,MATCH(RIGHT(Q1771,255),RIGHT('Disaggregation Records'!$D$155:$D$385,255),0))="","",INDEX('Disaggregation Records'!$I$155:$I$385,MATCH(RIGHT(Q1771,255),RIGHT('Disaggregation Records'!$D$155:$D$385,255),0))),"")</f>
        <v/>
      </c>
      <c r="W1771" s="89" t="str">
        <f ca="1">IFERROR(INDEX('Reference Records'!L$77:L$157,MATCH(LEFT(C1771,255),'Reference Records'!E$77:E$157,0)),"")</f>
        <v/>
      </c>
    </row>
    <row r="1772" spans="1:23" s="89" customFormat="1" ht="40.35" customHeight="1">
      <c r="A1772" s="564"/>
      <c r="B1772" s="799"/>
      <c r="C1772" s="800"/>
      <c r="D1772" s="801"/>
      <c r="E1772" s="801"/>
      <c r="F1772" s="128"/>
      <c r="G1772" s="802"/>
      <c r="H1772" s="781"/>
      <c r="I1772" s="803"/>
      <c r="J1772" s="779"/>
      <c r="K1772" s="800"/>
      <c r="L1772" s="800"/>
      <c r="M1772" s="779"/>
      <c r="N1772" s="779"/>
    </row>
    <row r="1773" spans="1:23" s="89" customFormat="1" ht="40.35" customHeight="1">
      <c r="A1773" s="564" t="str">
        <f ca="1">INDIRECT("'update Helper'!C"&amp;U1773)</f>
        <v>a163p000004VjtzAAC</v>
      </c>
      <c r="B1773" s="794">
        <v>29</v>
      </c>
      <c r="C1773" s="795" t="str">
        <f ca="1">VLOOKUP(B1773,'Coverage Indicators - Section D'!$A$9:$AU$70,47,FALSE)</f>
        <v/>
      </c>
      <c r="D1773" s="796" t="str">
        <f ca="1">R1773</f>
        <v/>
      </c>
      <c r="E1773" s="796" t="str">
        <f ca="1">S1773</f>
        <v/>
      </c>
      <c r="F1773" s="127"/>
      <c r="G1773" s="797" t="str">
        <f ca="1">IF(OR(INDIRECT("'update Helper'!E"&amp;U1773)="",F1773&lt;&gt;0,F1774&lt;&gt;0),IF(IFERROR((F1773/F1774),"")="","",(F1773/F1774)),INDIRECT("'update Helper'!E"&amp;U1773)/100)</f>
        <v/>
      </c>
      <c r="H1773" s="784"/>
      <c r="I1773" s="798"/>
      <c r="J1773" s="777"/>
      <c r="K1773" s="795" t="str">
        <f ca="1">W1773</f>
        <v/>
      </c>
      <c r="L1773" s="795" t="str">
        <f ca="1">V1773</f>
        <v/>
      </c>
      <c r="M1773" s="777"/>
      <c r="N1773" s="777"/>
      <c r="P1773" s="89">
        <f ca="1">IF(AND(EXACT(C1773,C1771),C1771&lt;&gt;0),P1771+1,0)</f>
        <v>336</v>
      </c>
      <c r="Q1773" s="89" t="str">
        <f ca="1">IF(C1773&lt;&gt;"",C1773&amp;"-"&amp;P1773,"")</f>
        <v/>
      </c>
      <c r="R1773" s="89" t="str">
        <f t="array" aca="1" ref="R1773" ca="1">IFERROR(IF(INDEX('Disaggregation Records'!$E$155:$E$385,MATCH(RIGHT(Q1773,255),RIGHT('Disaggregation Records'!$D$155:$D$385,255),0))="","",INDEX('Disaggregation Records'!$E$155:$E$385,MATCH(RIGHT(Q1773,255),RIGHT('Disaggregation Records'!$D$155:$D$385,255),0))),"")</f>
        <v/>
      </c>
      <c r="S1773" s="89" t="str">
        <f t="array" aca="1" ref="S1773" ca="1">IFERROR(IF(INDEX('Disaggregation Records'!$F$155:$F$385,MATCH(RIGHT(Q1773,255),RIGHT('Disaggregation Records'!$D$155:$D$385,255),0))="","",INDEX('Disaggregation Records'!$F$155:$F$385,MATCH(RIGHT(Q1773,255),RIGHT('Disaggregation Records'!$D$155:$D$385,255),0))),"")</f>
        <v/>
      </c>
      <c r="T1773" s="89" t="str">
        <f t="array" aca="1" ref="T1773" ca="1">IFERROR(IF(INDEX('Disaggregation Records'!$H$155:$H$385,MATCH(RIGHT(Q1773,255),RIGHT('Disaggregation Records'!$D$155:$D$385,255),0))="","",INDEX('Disaggregation Records'!$H$155:$H$385,MATCH(RIGHT(Q1773,255),RIGHT('Disaggregation Records'!$D$155:$D$385,255),0))),"")</f>
        <v/>
      </c>
      <c r="U1773" s="89">
        <f>U1771+1</f>
        <v>1996</v>
      </c>
      <c r="V1773" s="89" t="str">
        <f t="array" aca="1" ref="V1773" ca="1">IFERROR(IF(INDEX('Disaggregation Records'!$I$155:$I$385,MATCH(RIGHT(Q1773,255),RIGHT('Disaggregation Records'!$D$155:$D$385,255),0))="","",INDEX('Disaggregation Records'!$I$155:$I$385,MATCH(RIGHT(Q1773,255),RIGHT('Disaggregation Records'!$D$155:$D$385,255),0))),"")</f>
        <v/>
      </c>
      <c r="W1773" s="89" t="str">
        <f ca="1">IFERROR(INDEX('Reference Records'!L$77:L$157,MATCH(LEFT(C1773,255),'Reference Records'!E$77:E$157,0)),"")</f>
        <v/>
      </c>
    </row>
    <row r="1774" spans="1:23" s="89" customFormat="1" ht="40.35" customHeight="1">
      <c r="A1774" s="564"/>
      <c r="B1774" s="799"/>
      <c r="C1774" s="800"/>
      <c r="D1774" s="801"/>
      <c r="E1774" s="801"/>
      <c r="F1774" s="128"/>
      <c r="G1774" s="802"/>
      <c r="H1774" s="781"/>
      <c r="I1774" s="803"/>
      <c r="J1774" s="779"/>
      <c r="K1774" s="800"/>
      <c r="L1774" s="800"/>
      <c r="M1774" s="779"/>
      <c r="N1774" s="779"/>
    </row>
    <row r="1775" spans="1:23" s="89" customFormat="1" ht="40.35" customHeight="1">
      <c r="A1775" s="564" t="str">
        <f ca="1">INDIRECT("'update Helper'!C"&amp;U1775)</f>
        <v>a163p000004Vju0AAC</v>
      </c>
      <c r="B1775" s="794">
        <v>29</v>
      </c>
      <c r="C1775" s="795" t="str">
        <f ca="1">VLOOKUP(B1775,'Coverage Indicators - Section D'!$A$9:$AU$70,47,FALSE)</f>
        <v/>
      </c>
      <c r="D1775" s="796" t="str">
        <f ca="1">R1775</f>
        <v/>
      </c>
      <c r="E1775" s="796" t="str">
        <f ca="1">S1775</f>
        <v/>
      </c>
      <c r="F1775" s="127"/>
      <c r="G1775" s="797" t="str">
        <f ca="1">IF(OR(INDIRECT("'update Helper'!E"&amp;U1775)="",F1775&lt;&gt;0,F1776&lt;&gt;0),IF(IFERROR((F1775/F1776),"")="","",(F1775/F1776)),INDIRECT("'update Helper'!E"&amp;U1775)/100)</f>
        <v/>
      </c>
      <c r="H1775" s="784"/>
      <c r="I1775" s="798"/>
      <c r="J1775" s="777"/>
      <c r="K1775" s="795" t="str">
        <f ca="1">W1775</f>
        <v/>
      </c>
      <c r="L1775" s="795" t="str">
        <f ca="1">V1775</f>
        <v/>
      </c>
      <c r="M1775" s="777"/>
      <c r="N1775" s="777"/>
      <c r="P1775" s="89">
        <f ca="1">IF(AND(EXACT(C1775,C1773),C1773&lt;&gt;0),P1773+1,0)</f>
        <v>337</v>
      </c>
      <c r="Q1775" s="89" t="str">
        <f ca="1">IF(C1775&lt;&gt;"",C1775&amp;"-"&amp;P1775,"")</f>
        <v/>
      </c>
      <c r="R1775" s="89" t="str">
        <f t="array" aca="1" ref="R1775" ca="1">IFERROR(IF(INDEX('Disaggregation Records'!$E$155:$E$385,MATCH(RIGHT(Q1775,255),RIGHT('Disaggregation Records'!$D$155:$D$385,255),0))="","",INDEX('Disaggregation Records'!$E$155:$E$385,MATCH(RIGHT(Q1775,255),RIGHT('Disaggregation Records'!$D$155:$D$385,255),0))),"")</f>
        <v/>
      </c>
      <c r="S1775" s="89" t="str">
        <f t="array" aca="1" ref="S1775" ca="1">IFERROR(IF(INDEX('Disaggregation Records'!$F$155:$F$385,MATCH(RIGHT(Q1775,255),RIGHT('Disaggregation Records'!$D$155:$D$385,255),0))="","",INDEX('Disaggregation Records'!$F$155:$F$385,MATCH(RIGHT(Q1775,255),RIGHT('Disaggregation Records'!$D$155:$D$385,255),0))),"")</f>
        <v/>
      </c>
      <c r="T1775" s="89" t="str">
        <f t="array" aca="1" ref="T1775" ca="1">IFERROR(IF(INDEX('Disaggregation Records'!$H$155:$H$385,MATCH(RIGHT(Q1775,255),RIGHT('Disaggregation Records'!$D$155:$D$385,255),0))="","",INDEX('Disaggregation Records'!$H$155:$H$385,MATCH(RIGHT(Q1775,255),RIGHT('Disaggregation Records'!$D$155:$D$385,255),0))),"")</f>
        <v/>
      </c>
      <c r="U1775" s="89">
        <f>U1773+1</f>
        <v>1997</v>
      </c>
      <c r="V1775" s="89" t="str">
        <f t="array" aca="1" ref="V1775" ca="1">IFERROR(IF(INDEX('Disaggregation Records'!$I$155:$I$385,MATCH(RIGHT(Q1775,255),RIGHT('Disaggregation Records'!$D$155:$D$385,255),0))="","",INDEX('Disaggregation Records'!$I$155:$I$385,MATCH(RIGHT(Q1775,255),RIGHT('Disaggregation Records'!$D$155:$D$385,255),0))),"")</f>
        <v/>
      </c>
      <c r="W1775" s="89" t="str">
        <f ca="1">IFERROR(INDEX('Reference Records'!L$77:L$157,MATCH(LEFT(C1775,255),'Reference Records'!E$77:E$157,0)),"")</f>
        <v/>
      </c>
    </row>
    <row r="1776" spans="1:23" s="89" customFormat="1" ht="40.35" customHeight="1">
      <c r="A1776" s="564"/>
      <c r="B1776" s="799"/>
      <c r="C1776" s="800"/>
      <c r="D1776" s="801"/>
      <c r="E1776" s="801"/>
      <c r="F1776" s="128"/>
      <c r="G1776" s="802"/>
      <c r="H1776" s="781"/>
      <c r="I1776" s="803"/>
      <c r="J1776" s="779"/>
      <c r="K1776" s="800"/>
      <c r="L1776" s="800"/>
      <c r="M1776" s="779"/>
      <c r="N1776" s="779"/>
    </row>
    <row r="1777" spans="1:23" s="89" customFormat="1" ht="40.35" customHeight="1">
      <c r="A1777" s="564" t="str">
        <f ca="1">INDIRECT("'update Helper'!C"&amp;U1777)</f>
        <v>a163p000004Vju1AAC</v>
      </c>
      <c r="B1777" s="794">
        <v>29</v>
      </c>
      <c r="C1777" s="795" t="str">
        <f ca="1">VLOOKUP(B1777,'Coverage Indicators - Section D'!$A$9:$AU$70,47,FALSE)</f>
        <v/>
      </c>
      <c r="D1777" s="796" t="str">
        <f ca="1">R1777</f>
        <v/>
      </c>
      <c r="E1777" s="796" t="str">
        <f ca="1">S1777</f>
        <v/>
      </c>
      <c r="F1777" s="127"/>
      <c r="G1777" s="797" t="str">
        <f ca="1">IF(OR(INDIRECT("'update Helper'!E"&amp;U1777)="",F1777&lt;&gt;0,F1778&lt;&gt;0),IF(IFERROR((F1777/F1778),"")="","",(F1777/F1778)),INDIRECT("'update Helper'!E"&amp;U1777)/100)</f>
        <v/>
      </c>
      <c r="H1777" s="784"/>
      <c r="I1777" s="798"/>
      <c r="J1777" s="777"/>
      <c r="K1777" s="795" t="str">
        <f ca="1">W1777</f>
        <v/>
      </c>
      <c r="L1777" s="795" t="str">
        <f ca="1">V1777</f>
        <v/>
      </c>
      <c r="M1777" s="777"/>
      <c r="N1777" s="777"/>
      <c r="P1777" s="89">
        <f ca="1">IF(AND(EXACT(C1777,C1775),C1775&lt;&gt;0),P1775+1,0)</f>
        <v>338</v>
      </c>
      <c r="Q1777" s="89" t="str">
        <f ca="1">IF(C1777&lt;&gt;"",C1777&amp;"-"&amp;P1777,"")</f>
        <v/>
      </c>
      <c r="R1777" s="89" t="str">
        <f t="array" aca="1" ref="R1777" ca="1">IFERROR(IF(INDEX('Disaggregation Records'!$E$155:$E$385,MATCH(RIGHT(Q1777,255),RIGHT('Disaggregation Records'!$D$155:$D$385,255),0))="","",INDEX('Disaggregation Records'!$E$155:$E$385,MATCH(RIGHT(Q1777,255),RIGHT('Disaggregation Records'!$D$155:$D$385,255),0))),"")</f>
        <v/>
      </c>
      <c r="S1777" s="89" t="str">
        <f t="array" aca="1" ref="S1777" ca="1">IFERROR(IF(INDEX('Disaggregation Records'!$F$155:$F$385,MATCH(RIGHT(Q1777,255),RIGHT('Disaggregation Records'!$D$155:$D$385,255),0))="","",INDEX('Disaggregation Records'!$F$155:$F$385,MATCH(RIGHT(Q1777,255),RIGHT('Disaggregation Records'!$D$155:$D$385,255),0))),"")</f>
        <v/>
      </c>
      <c r="T1777" s="89" t="str">
        <f t="array" aca="1" ref="T1777" ca="1">IFERROR(IF(INDEX('Disaggregation Records'!$H$155:$H$385,MATCH(RIGHT(Q1777,255),RIGHT('Disaggregation Records'!$D$155:$D$385,255),0))="","",INDEX('Disaggregation Records'!$H$155:$H$385,MATCH(RIGHT(Q1777,255),RIGHT('Disaggregation Records'!$D$155:$D$385,255),0))),"")</f>
        <v/>
      </c>
      <c r="U1777" s="89">
        <f>U1775+1</f>
        <v>1998</v>
      </c>
      <c r="V1777" s="89" t="str">
        <f t="array" aca="1" ref="V1777" ca="1">IFERROR(IF(INDEX('Disaggregation Records'!$I$155:$I$385,MATCH(RIGHT(Q1777,255),RIGHT('Disaggregation Records'!$D$155:$D$385,255),0))="","",INDEX('Disaggregation Records'!$I$155:$I$385,MATCH(RIGHT(Q1777,255),RIGHT('Disaggregation Records'!$D$155:$D$385,255),0))),"")</f>
        <v/>
      </c>
      <c r="W1777" s="89" t="str">
        <f ca="1">IFERROR(INDEX('Reference Records'!L$77:L$157,MATCH(LEFT(C1777,255),'Reference Records'!E$77:E$157,0)),"")</f>
        <v/>
      </c>
    </row>
    <row r="1778" spans="1:23" s="89" customFormat="1" ht="40.35" customHeight="1">
      <c r="A1778" s="564"/>
      <c r="B1778" s="799"/>
      <c r="C1778" s="800"/>
      <c r="D1778" s="801"/>
      <c r="E1778" s="801"/>
      <c r="F1778" s="128"/>
      <c r="G1778" s="802"/>
      <c r="H1778" s="781"/>
      <c r="I1778" s="803"/>
      <c r="J1778" s="779"/>
      <c r="K1778" s="800"/>
      <c r="L1778" s="800"/>
      <c r="M1778" s="779"/>
      <c r="N1778" s="779"/>
    </row>
    <row r="1779" spans="1:23" s="89" customFormat="1" ht="40.35" customHeight="1">
      <c r="A1779" s="564" t="str">
        <f ca="1">INDIRECT("'update Helper'!C"&amp;U1779)</f>
        <v>a163p000004Vju2AAC</v>
      </c>
      <c r="B1779" s="794">
        <v>29</v>
      </c>
      <c r="C1779" s="795" t="str">
        <f ca="1">VLOOKUP(B1779,'Coverage Indicators - Section D'!$A$9:$AU$70,47,FALSE)</f>
        <v/>
      </c>
      <c r="D1779" s="796" t="str">
        <f ca="1">R1779</f>
        <v/>
      </c>
      <c r="E1779" s="796" t="str">
        <f ca="1">S1779</f>
        <v/>
      </c>
      <c r="F1779" s="127"/>
      <c r="G1779" s="797" t="str">
        <f ca="1">IF(OR(INDIRECT("'update Helper'!E"&amp;U1779)="",F1779&lt;&gt;0,F1780&lt;&gt;0),IF(IFERROR((F1779/F1780),"")="","",(F1779/F1780)),INDIRECT("'update Helper'!E"&amp;U1779)/100)</f>
        <v/>
      </c>
      <c r="H1779" s="784"/>
      <c r="I1779" s="798"/>
      <c r="J1779" s="777"/>
      <c r="K1779" s="795" t="str">
        <f ca="1">W1779</f>
        <v/>
      </c>
      <c r="L1779" s="795" t="str">
        <f ca="1">V1779</f>
        <v/>
      </c>
      <c r="M1779" s="777"/>
      <c r="N1779" s="777"/>
      <c r="P1779" s="89">
        <f ca="1">IF(AND(EXACT(C1779,C1777),C1777&lt;&gt;0),P1777+1,0)</f>
        <v>339</v>
      </c>
      <c r="Q1779" s="89" t="str">
        <f ca="1">IF(C1779&lt;&gt;"",C1779&amp;"-"&amp;P1779,"")</f>
        <v/>
      </c>
      <c r="R1779" s="89" t="str">
        <f t="array" aca="1" ref="R1779" ca="1">IFERROR(IF(INDEX('Disaggregation Records'!$E$155:$E$385,MATCH(RIGHT(Q1779,255),RIGHT('Disaggregation Records'!$D$155:$D$385,255),0))="","",INDEX('Disaggregation Records'!$E$155:$E$385,MATCH(RIGHT(Q1779,255),RIGHT('Disaggregation Records'!$D$155:$D$385,255),0))),"")</f>
        <v/>
      </c>
      <c r="S1779" s="89" t="str">
        <f t="array" aca="1" ref="S1779" ca="1">IFERROR(IF(INDEX('Disaggregation Records'!$F$155:$F$385,MATCH(RIGHT(Q1779,255),RIGHT('Disaggregation Records'!$D$155:$D$385,255),0))="","",INDEX('Disaggregation Records'!$F$155:$F$385,MATCH(RIGHT(Q1779,255),RIGHT('Disaggregation Records'!$D$155:$D$385,255),0))),"")</f>
        <v/>
      </c>
      <c r="T1779" s="89" t="str">
        <f t="array" aca="1" ref="T1779" ca="1">IFERROR(IF(INDEX('Disaggregation Records'!$H$155:$H$385,MATCH(RIGHT(Q1779,255),RIGHT('Disaggregation Records'!$D$155:$D$385,255),0))="","",INDEX('Disaggregation Records'!$H$155:$H$385,MATCH(RIGHT(Q1779,255),RIGHT('Disaggregation Records'!$D$155:$D$385,255),0))),"")</f>
        <v/>
      </c>
      <c r="U1779" s="89">
        <f>U1777+1</f>
        <v>1999</v>
      </c>
      <c r="V1779" s="89" t="str">
        <f t="array" aca="1" ref="V1779" ca="1">IFERROR(IF(INDEX('Disaggregation Records'!$I$155:$I$385,MATCH(RIGHT(Q1779,255),RIGHT('Disaggregation Records'!$D$155:$D$385,255),0))="","",INDEX('Disaggregation Records'!$I$155:$I$385,MATCH(RIGHT(Q1779,255),RIGHT('Disaggregation Records'!$D$155:$D$385,255),0))),"")</f>
        <v/>
      </c>
      <c r="W1779" s="89" t="str">
        <f ca="1">IFERROR(INDEX('Reference Records'!L$77:L$157,MATCH(LEFT(C1779,255),'Reference Records'!E$77:E$157,0)),"")</f>
        <v/>
      </c>
    </row>
    <row r="1780" spans="1:23" s="89" customFormat="1" ht="40.35" customHeight="1">
      <c r="A1780" s="564"/>
      <c r="B1780" s="799"/>
      <c r="C1780" s="800"/>
      <c r="D1780" s="801"/>
      <c r="E1780" s="801"/>
      <c r="F1780" s="128"/>
      <c r="G1780" s="802"/>
      <c r="H1780" s="781"/>
      <c r="I1780" s="803"/>
      <c r="J1780" s="779"/>
      <c r="K1780" s="800"/>
      <c r="L1780" s="800"/>
      <c r="M1780" s="779"/>
      <c r="N1780" s="779"/>
    </row>
    <row r="1781" spans="1:23" s="89" customFormat="1" ht="40.35" customHeight="1">
      <c r="A1781" s="564" t="str">
        <f ca="1">INDIRECT("'update Helper'!C"&amp;U1781)</f>
        <v>a163p000004Vju3AAC</v>
      </c>
      <c r="B1781" s="794">
        <v>30</v>
      </c>
      <c r="C1781" s="795" t="str">
        <f ca="1">VLOOKUP(B1781,'Coverage Indicators - Section D'!$A$9:$AU$70,47,FALSE)</f>
        <v/>
      </c>
      <c r="D1781" s="796" t="str">
        <f ca="1">R1781</f>
        <v/>
      </c>
      <c r="E1781" s="796" t="str">
        <f ca="1">S1781</f>
        <v/>
      </c>
      <c r="F1781" s="127"/>
      <c r="G1781" s="797" t="str">
        <f ca="1">IF(OR(INDIRECT("'update Helper'!E"&amp;U1781)="",F1781&lt;&gt;0,F1782&lt;&gt;0),IF(IFERROR((F1781/F1782),"")="","",(F1781/F1782)),INDIRECT("'update Helper'!E"&amp;U1781)/100)</f>
        <v/>
      </c>
      <c r="H1781" s="784"/>
      <c r="I1781" s="798"/>
      <c r="J1781" s="777"/>
      <c r="K1781" s="795" t="str">
        <f ca="1">W1781</f>
        <v/>
      </c>
      <c r="L1781" s="795" t="str">
        <f ca="1">V1781</f>
        <v/>
      </c>
      <c r="M1781" s="777"/>
      <c r="N1781" s="777"/>
      <c r="P1781" s="89">
        <f ca="1">IF(AND(EXACT(C1781,C1779),C1779&lt;&gt;0),P1779+1,0)</f>
        <v>340</v>
      </c>
      <c r="Q1781" s="89" t="str">
        <f ca="1">IF(C1781&lt;&gt;"",C1781&amp;"-"&amp;P1781,"")</f>
        <v/>
      </c>
      <c r="R1781" s="89" t="str">
        <f t="array" aca="1" ref="R1781" ca="1">IFERROR(IF(INDEX('Disaggregation Records'!$E$155:$E$385,MATCH(RIGHT(Q1781,255),RIGHT('Disaggregation Records'!$D$155:$D$385,255),0))="","",INDEX('Disaggregation Records'!$E$155:$E$385,MATCH(RIGHT(Q1781,255),RIGHT('Disaggregation Records'!$D$155:$D$385,255),0))),"")</f>
        <v/>
      </c>
      <c r="S1781" s="89" t="str">
        <f t="array" aca="1" ref="S1781" ca="1">IFERROR(IF(INDEX('Disaggregation Records'!$F$155:$F$385,MATCH(RIGHT(Q1781,255),RIGHT('Disaggregation Records'!$D$155:$D$385,255),0))="","",INDEX('Disaggregation Records'!$F$155:$F$385,MATCH(RIGHT(Q1781,255),RIGHT('Disaggregation Records'!$D$155:$D$385,255),0))),"")</f>
        <v/>
      </c>
      <c r="T1781" s="89" t="str">
        <f t="array" aca="1" ref="T1781" ca="1">IFERROR(IF(INDEX('Disaggregation Records'!$H$155:$H$385,MATCH(RIGHT(Q1781,255),RIGHT('Disaggregation Records'!$D$155:$D$385,255),0))="","",INDEX('Disaggregation Records'!$H$155:$H$385,MATCH(RIGHT(Q1781,255),RIGHT('Disaggregation Records'!$D$155:$D$385,255),0))),"")</f>
        <v/>
      </c>
      <c r="U1781" s="89">
        <f>U1779+1</f>
        <v>2000</v>
      </c>
      <c r="V1781" s="89" t="str">
        <f t="array" aca="1" ref="V1781" ca="1">IFERROR(IF(INDEX('Disaggregation Records'!$I$155:$I$385,MATCH(RIGHT(Q1781,255),RIGHT('Disaggregation Records'!$D$155:$D$385,255),0))="","",INDEX('Disaggregation Records'!$I$155:$I$385,MATCH(RIGHT(Q1781,255),RIGHT('Disaggregation Records'!$D$155:$D$385,255),0))),"")</f>
        <v/>
      </c>
      <c r="W1781" s="89" t="str">
        <f ca="1">IFERROR(INDEX('Reference Records'!L$77:L$157,MATCH(LEFT(C1781,255),'Reference Records'!E$77:E$157,0)),"")</f>
        <v/>
      </c>
    </row>
    <row r="1782" spans="1:23" s="89" customFormat="1" ht="40.35" customHeight="1">
      <c r="A1782" s="564"/>
      <c r="B1782" s="799"/>
      <c r="C1782" s="800"/>
      <c r="D1782" s="801"/>
      <c r="E1782" s="801"/>
      <c r="F1782" s="128"/>
      <c r="G1782" s="802"/>
      <c r="H1782" s="781"/>
      <c r="I1782" s="803"/>
      <c r="J1782" s="779"/>
      <c r="K1782" s="800"/>
      <c r="L1782" s="800"/>
      <c r="M1782" s="779"/>
      <c r="N1782" s="779"/>
    </row>
    <row r="1783" spans="1:23" s="89" customFormat="1" ht="40.35" customHeight="1">
      <c r="A1783" s="564" t="str">
        <f ca="1">INDIRECT("'update Helper'!C"&amp;U1783)</f>
        <v>a163p000004Vju4AAC</v>
      </c>
      <c r="B1783" s="794">
        <v>30</v>
      </c>
      <c r="C1783" s="795" t="str">
        <f ca="1">VLOOKUP(B1783,'Coverage Indicators - Section D'!$A$9:$AU$70,47,FALSE)</f>
        <v/>
      </c>
      <c r="D1783" s="796" t="str">
        <f ca="1">R1783</f>
        <v/>
      </c>
      <c r="E1783" s="796" t="str">
        <f ca="1">S1783</f>
        <v/>
      </c>
      <c r="F1783" s="127"/>
      <c r="G1783" s="797" t="str">
        <f ca="1">IF(OR(INDIRECT("'update Helper'!E"&amp;U1783)="",F1783&lt;&gt;0,F1784&lt;&gt;0),IF(IFERROR((F1783/F1784),"")="","",(F1783/F1784)),INDIRECT("'update Helper'!E"&amp;U1783)/100)</f>
        <v/>
      </c>
      <c r="H1783" s="784"/>
      <c r="I1783" s="798"/>
      <c r="J1783" s="777"/>
      <c r="K1783" s="795" t="str">
        <f ca="1">W1783</f>
        <v/>
      </c>
      <c r="L1783" s="795" t="str">
        <f ca="1">V1783</f>
        <v/>
      </c>
      <c r="M1783" s="777"/>
      <c r="N1783" s="777"/>
      <c r="P1783" s="89">
        <f ca="1">IF(AND(EXACT(C1783,C1781),C1781&lt;&gt;0),P1781+1,0)</f>
        <v>341</v>
      </c>
      <c r="Q1783" s="89" t="str">
        <f ca="1">IF(C1783&lt;&gt;"",C1783&amp;"-"&amp;P1783,"")</f>
        <v/>
      </c>
      <c r="R1783" s="89" t="str">
        <f t="array" aca="1" ref="R1783" ca="1">IFERROR(IF(INDEX('Disaggregation Records'!$E$155:$E$385,MATCH(RIGHT(Q1783,255),RIGHT('Disaggregation Records'!$D$155:$D$385,255),0))="","",INDEX('Disaggregation Records'!$E$155:$E$385,MATCH(RIGHT(Q1783,255),RIGHT('Disaggregation Records'!$D$155:$D$385,255),0))),"")</f>
        <v/>
      </c>
      <c r="S1783" s="89" t="str">
        <f t="array" aca="1" ref="S1783" ca="1">IFERROR(IF(INDEX('Disaggregation Records'!$F$155:$F$385,MATCH(RIGHT(Q1783,255),RIGHT('Disaggregation Records'!$D$155:$D$385,255),0))="","",INDEX('Disaggregation Records'!$F$155:$F$385,MATCH(RIGHT(Q1783,255),RIGHT('Disaggregation Records'!$D$155:$D$385,255),0))),"")</f>
        <v/>
      </c>
      <c r="T1783" s="89" t="str">
        <f t="array" aca="1" ref="T1783" ca="1">IFERROR(IF(INDEX('Disaggregation Records'!$H$155:$H$385,MATCH(RIGHT(Q1783,255),RIGHT('Disaggregation Records'!$D$155:$D$385,255),0))="","",INDEX('Disaggregation Records'!$H$155:$H$385,MATCH(RIGHT(Q1783,255),RIGHT('Disaggregation Records'!$D$155:$D$385,255),0))),"")</f>
        <v/>
      </c>
      <c r="U1783" s="89">
        <f>U1781+1</f>
        <v>2001</v>
      </c>
      <c r="V1783" s="89" t="str">
        <f t="array" aca="1" ref="V1783" ca="1">IFERROR(IF(INDEX('Disaggregation Records'!$I$155:$I$385,MATCH(RIGHT(Q1783,255),RIGHT('Disaggregation Records'!$D$155:$D$385,255),0))="","",INDEX('Disaggregation Records'!$I$155:$I$385,MATCH(RIGHT(Q1783,255),RIGHT('Disaggregation Records'!$D$155:$D$385,255),0))),"")</f>
        <v/>
      </c>
      <c r="W1783" s="89" t="str">
        <f ca="1">IFERROR(INDEX('Reference Records'!L$77:L$157,MATCH(LEFT(C1783,255),'Reference Records'!E$77:E$157,0)),"")</f>
        <v/>
      </c>
    </row>
    <row r="1784" spans="1:23" s="89" customFormat="1" ht="40.35" customHeight="1">
      <c r="A1784" s="564"/>
      <c r="B1784" s="799"/>
      <c r="C1784" s="800"/>
      <c r="D1784" s="801"/>
      <c r="E1784" s="801"/>
      <c r="F1784" s="128"/>
      <c r="G1784" s="802"/>
      <c r="H1784" s="781"/>
      <c r="I1784" s="803"/>
      <c r="J1784" s="779"/>
      <c r="K1784" s="800"/>
      <c r="L1784" s="800"/>
      <c r="M1784" s="779"/>
      <c r="N1784" s="779"/>
    </row>
    <row r="1785" spans="1:23" s="89" customFormat="1" ht="40.35" customHeight="1">
      <c r="A1785" s="564" t="str">
        <f ca="1">INDIRECT("'update Helper'!C"&amp;U1785)</f>
        <v>a163p000004Vju5AAC</v>
      </c>
      <c r="B1785" s="794">
        <v>30</v>
      </c>
      <c r="C1785" s="795" t="str">
        <f ca="1">VLOOKUP(B1785,'Coverage Indicators - Section D'!$A$9:$AU$70,47,FALSE)</f>
        <v/>
      </c>
      <c r="D1785" s="796" t="str">
        <f ca="1">R1785</f>
        <v/>
      </c>
      <c r="E1785" s="796" t="str">
        <f ca="1">S1785</f>
        <v/>
      </c>
      <c r="F1785" s="127"/>
      <c r="G1785" s="797" t="str">
        <f ca="1">IF(OR(INDIRECT("'update Helper'!E"&amp;U1785)="",F1785&lt;&gt;0,F1786&lt;&gt;0),IF(IFERROR((F1785/F1786),"")="","",(F1785/F1786)),INDIRECT("'update Helper'!E"&amp;U1785)/100)</f>
        <v/>
      </c>
      <c r="H1785" s="784"/>
      <c r="I1785" s="798"/>
      <c r="J1785" s="777"/>
      <c r="K1785" s="795" t="str">
        <f ca="1">W1785</f>
        <v/>
      </c>
      <c r="L1785" s="795" t="str">
        <f ca="1">V1785</f>
        <v/>
      </c>
      <c r="M1785" s="777"/>
      <c r="N1785" s="777"/>
      <c r="P1785" s="89">
        <f ca="1">IF(AND(EXACT(C1785,C1783),C1783&lt;&gt;0),P1783+1,0)</f>
        <v>342</v>
      </c>
      <c r="Q1785" s="89" t="str">
        <f ca="1">IF(C1785&lt;&gt;"",C1785&amp;"-"&amp;P1785,"")</f>
        <v/>
      </c>
      <c r="R1785" s="89" t="str">
        <f t="array" aca="1" ref="R1785" ca="1">IFERROR(IF(INDEX('Disaggregation Records'!$E$155:$E$385,MATCH(RIGHT(Q1785,255),RIGHT('Disaggregation Records'!$D$155:$D$385,255),0))="","",INDEX('Disaggregation Records'!$E$155:$E$385,MATCH(RIGHT(Q1785,255),RIGHT('Disaggregation Records'!$D$155:$D$385,255),0))),"")</f>
        <v/>
      </c>
      <c r="S1785" s="89" t="str">
        <f t="array" aca="1" ref="S1785" ca="1">IFERROR(IF(INDEX('Disaggregation Records'!$F$155:$F$385,MATCH(RIGHT(Q1785,255),RIGHT('Disaggregation Records'!$D$155:$D$385,255),0))="","",INDEX('Disaggregation Records'!$F$155:$F$385,MATCH(RIGHT(Q1785,255),RIGHT('Disaggregation Records'!$D$155:$D$385,255),0))),"")</f>
        <v/>
      </c>
      <c r="T1785" s="89" t="str">
        <f t="array" aca="1" ref="T1785" ca="1">IFERROR(IF(INDEX('Disaggregation Records'!$H$155:$H$385,MATCH(RIGHT(Q1785,255),RIGHT('Disaggregation Records'!$D$155:$D$385,255),0))="","",INDEX('Disaggregation Records'!$H$155:$H$385,MATCH(RIGHT(Q1785,255),RIGHT('Disaggregation Records'!$D$155:$D$385,255),0))),"")</f>
        <v/>
      </c>
      <c r="U1785" s="89">
        <f>U1783+1</f>
        <v>2002</v>
      </c>
      <c r="V1785" s="89" t="str">
        <f t="array" aca="1" ref="V1785" ca="1">IFERROR(IF(INDEX('Disaggregation Records'!$I$155:$I$385,MATCH(RIGHT(Q1785,255),RIGHT('Disaggregation Records'!$D$155:$D$385,255),0))="","",INDEX('Disaggregation Records'!$I$155:$I$385,MATCH(RIGHT(Q1785,255),RIGHT('Disaggregation Records'!$D$155:$D$385,255),0))),"")</f>
        <v/>
      </c>
      <c r="W1785" s="89" t="str">
        <f ca="1">IFERROR(INDEX('Reference Records'!L$77:L$157,MATCH(LEFT(C1785,255),'Reference Records'!E$77:E$157,0)),"")</f>
        <v/>
      </c>
    </row>
    <row r="1786" spans="1:23" s="89" customFormat="1" ht="40.35" customHeight="1">
      <c r="A1786" s="564"/>
      <c r="B1786" s="799"/>
      <c r="C1786" s="800"/>
      <c r="D1786" s="801"/>
      <c r="E1786" s="801"/>
      <c r="F1786" s="128"/>
      <c r="G1786" s="802"/>
      <c r="H1786" s="781"/>
      <c r="I1786" s="803"/>
      <c r="J1786" s="779"/>
      <c r="K1786" s="800"/>
      <c r="L1786" s="800"/>
      <c r="M1786" s="779"/>
      <c r="N1786" s="779"/>
    </row>
    <row r="1787" spans="1:23" s="89" customFormat="1" ht="40.35" customHeight="1">
      <c r="A1787" s="564" t="str">
        <f ca="1">INDIRECT("'update Helper'!C"&amp;U1787)</f>
        <v>a163p000004Vju6AAC</v>
      </c>
      <c r="B1787" s="794">
        <v>30</v>
      </c>
      <c r="C1787" s="795" t="str">
        <f ca="1">VLOOKUP(B1787,'Coverage Indicators - Section D'!$A$9:$AU$70,47,FALSE)</f>
        <v/>
      </c>
      <c r="D1787" s="796" t="str">
        <f ca="1">R1787</f>
        <v/>
      </c>
      <c r="E1787" s="796" t="str">
        <f ca="1">S1787</f>
        <v/>
      </c>
      <c r="F1787" s="127"/>
      <c r="G1787" s="797" t="str">
        <f ca="1">IF(OR(INDIRECT("'update Helper'!E"&amp;U1787)="",F1787&lt;&gt;0,F1788&lt;&gt;0),IF(IFERROR((F1787/F1788),"")="","",(F1787/F1788)),INDIRECT("'update Helper'!E"&amp;U1787)/100)</f>
        <v/>
      </c>
      <c r="H1787" s="784"/>
      <c r="I1787" s="798"/>
      <c r="J1787" s="777"/>
      <c r="K1787" s="795" t="str">
        <f ca="1">W1787</f>
        <v/>
      </c>
      <c r="L1787" s="795" t="str">
        <f ca="1">V1787</f>
        <v/>
      </c>
      <c r="M1787" s="777"/>
      <c r="N1787" s="777"/>
      <c r="P1787" s="89">
        <f ca="1">IF(AND(EXACT(C1787,C1785),C1785&lt;&gt;0),P1785+1,0)</f>
        <v>343</v>
      </c>
      <c r="Q1787" s="89" t="str">
        <f ca="1">IF(C1787&lt;&gt;"",C1787&amp;"-"&amp;P1787,"")</f>
        <v/>
      </c>
      <c r="R1787" s="89" t="str">
        <f t="array" aca="1" ref="R1787" ca="1">IFERROR(IF(INDEX('Disaggregation Records'!$E$155:$E$385,MATCH(RIGHT(Q1787,255),RIGHT('Disaggregation Records'!$D$155:$D$385,255),0))="","",INDEX('Disaggregation Records'!$E$155:$E$385,MATCH(RIGHT(Q1787,255),RIGHT('Disaggregation Records'!$D$155:$D$385,255),0))),"")</f>
        <v/>
      </c>
      <c r="S1787" s="89" t="str">
        <f t="array" aca="1" ref="S1787" ca="1">IFERROR(IF(INDEX('Disaggregation Records'!$F$155:$F$385,MATCH(RIGHT(Q1787,255),RIGHT('Disaggregation Records'!$D$155:$D$385,255),0))="","",INDEX('Disaggregation Records'!$F$155:$F$385,MATCH(RIGHT(Q1787,255),RIGHT('Disaggregation Records'!$D$155:$D$385,255),0))),"")</f>
        <v/>
      </c>
      <c r="T1787" s="89" t="str">
        <f t="array" aca="1" ref="T1787" ca="1">IFERROR(IF(INDEX('Disaggregation Records'!$H$155:$H$385,MATCH(RIGHT(Q1787,255),RIGHT('Disaggregation Records'!$D$155:$D$385,255),0))="","",INDEX('Disaggregation Records'!$H$155:$H$385,MATCH(RIGHT(Q1787,255),RIGHT('Disaggregation Records'!$D$155:$D$385,255),0))),"")</f>
        <v/>
      </c>
      <c r="U1787" s="89">
        <f>U1785+1</f>
        <v>2003</v>
      </c>
      <c r="V1787" s="89" t="str">
        <f t="array" aca="1" ref="V1787" ca="1">IFERROR(IF(INDEX('Disaggregation Records'!$I$155:$I$385,MATCH(RIGHT(Q1787,255),RIGHT('Disaggregation Records'!$D$155:$D$385,255),0))="","",INDEX('Disaggregation Records'!$I$155:$I$385,MATCH(RIGHT(Q1787,255),RIGHT('Disaggregation Records'!$D$155:$D$385,255),0))),"")</f>
        <v/>
      </c>
      <c r="W1787" s="89" t="str">
        <f ca="1">IFERROR(INDEX('Reference Records'!L$77:L$157,MATCH(LEFT(C1787,255),'Reference Records'!E$77:E$157,0)),"")</f>
        <v/>
      </c>
    </row>
    <row r="1788" spans="1:23" s="89" customFormat="1" ht="40.35" customHeight="1">
      <c r="A1788" s="564"/>
      <c r="B1788" s="799"/>
      <c r="C1788" s="800"/>
      <c r="D1788" s="801"/>
      <c r="E1788" s="801"/>
      <c r="F1788" s="128"/>
      <c r="G1788" s="802"/>
      <c r="H1788" s="781"/>
      <c r="I1788" s="803"/>
      <c r="J1788" s="779"/>
      <c r="K1788" s="800"/>
      <c r="L1788" s="800"/>
      <c r="M1788" s="779"/>
      <c r="N1788" s="779"/>
    </row>
    <row r="1789" spans="1:23" s="89" customFormat="1" ht="40.35" customHeight="1">
      <c r="A1789" s="564" t="str">
        <f ca="1">INDIRECT("'update Helper'!C"&amp;U1789)</f>
        <v>a163p000004Vju7AAC</v>
      </c>
      <c r="B1789" s="794">
        <v>30</v>
      </c>
      <c r="C1789" s="795" t="str">
        <f ca="1">VLOOKUP(B1789,'Coverage Indicators - Section D'!$A$9:$AU$70,47,FALSE)</f>
        <v/>
      </c>
      <c r="D1789" s="796" t="str">
        <f ca="1">R1789</f>
        <v/>
      </c>
      <c r="E1789" s="796" t="str">
        <f ca="1">S1789</f>
        <v/>
      </c>
      <c r="F1789" s="127"/>
      <c r="G1789" s="797" t="str">
        <f ca="1">IF(OR(INDIRECT("'update Helper'!E"&amp;U1789)="",F1789&lt;&gt;0,F1790&lt;&gt;0),IF(IFERROR((F1789/F1790),"")="","",(F1789/F1790)),INDIRECT("'update Helper'!E"&amp;U1789)/100)</f>
        <v/>
      </c>
      <c r="H1789" s="784"/>
      <c r="I1789" s="798"/>
      <c r="J1789" s="777"/>
      <c r="K1789" s="795" t="str">
        <f ca="1">W1789</f>
        <v/>
      </c>
      <c r="L1789" s="795" t="str">
        <f ca="1">V1789</f>
        <v/>
      </c>
      <c r="M1789" s="777"/>
      <c r="N1789" s="777"/>
      <c r="P1789" s="89">
        <f ca="1">IF(AND(EXACT(C1789,C1787),C1787&lt;&gt;0),P1787+1,0)</f>
        <v>344</v>
      </c>
      <c r="Q1789" s="89" t="str">
        <f ca="1">IF(C1789&lt;&gt;"",C1789&amp;"-"&amp;P1789,"")</f>
        <v/>
      </c>
      <c r="R1789" s="89" t="str">
        <f t="array" aca="1" ref="R1789" ca="1">IFERROR(IF(INDEX('Disaggregation Records'!$E$155:$E$385,MATCH(RIGHT(Q1789,255),RIGHT('Disaggregation Records'!$D$155:$D$385,255),0))="","",INDEX('Disaggregation Records'!$E$155:$E$385,MATCH(RIGHT(Q1789,255),RIGHT('Disaggregation Records'!$D$155:$D$385,255),0))),"")</f>
        <v/>
      </c>
      <c r="S1789" s="89" t="str">
        <f t="array" aca="1" ref="S1789" ca="1">IFERROR(IF(INDEX('Disaggregation Records'!$F$155:$F$385,MATCH(RIGHT(Q1789,255),RIGHT('Disaggregation Records'!$D$155:$D$385,255),0))="","",INDEX('Disaggregation Records'!$F$155:$F$385,MATCH(RIGHT(Q1789,255),RIGHT('Disaggregation Records'!$D$155:$D$385,255),0))),"")</f>
        <v/>
      </c>
      <c r="T1789" s="89" t="str">
        <f t="array" aca="1" ref="T1789" ca="1">IFERROR(IF(INDEX('Disaggregation Records'!$H$155:$H$385,MATCH(RIGHT(Q1789,255),RIGHT('Disaggregation Records'!$D$155:$D$385,255),0))="","",INDEX('Disaggregation Records'!$H$155:$H$385,MATCH(RIGHT(Q1789,255),RIGHT('Disaggregation Records'!$D$155:$D$385,255),0))),"")</f>
        <v/>
      </c>
      <c r="U1789" s="89">
        <f>U1787+1</f>
        <v>2004</v>
      </c>
      <c r="V1789" s="89" t="str">
        <f t="array" aca="1" ref="V1789" ca="1">IFERROR(IF(INDEX('Disaggregation Records'!$I$155:$I$385,MATCH(RIGHT(Q1789,255),RIGHT('Disaggregation Records'!$D$155:$D$385,255),0))="","",INDEX('Disaggregation Records'!$I$155:$I$385,MATCH(RIGHT(Q1789,255),RIGHT('Disaggregation Records'!$D$155:$D$385,255),0))),"")</f>
        <v/>
      </c>
      <c r="W1789" s="89" t="str">
        <f ca="1">IFERROR(INDEX('Reference Records'!L$77:L$157,MATCH(LEFT(C1789,255),'Reference Records'!E$77:E$157,0)),"")</f>
        <v/>
      </c>
    </row>
    <row r="1790" spans="1:23" s="89" customFormat="1" ht="40.35" customHeight="1">
      <c r="A1790" s="564"/>
      <c r="B1790" s="799"/>
      <c r="C1790" s="800"/>
      <c r="D1790" s="801"/>
      <c r="E1790" s="801"/>
      <c r="F1790" s="128"/>
      <c r="G1790" s="802"/>
      <c r="H1790" s="781"/>
      <c r="I1790" s="803"/>
      <c r="J1790" s="779"/>
      <c r="K1790" s="800"/>
      <c r="L1790" s="800"/>
      <c r="M1790" s="779"/>
      <c r="N1790" s="779"/>
    </row>
    <row r="1791" spans="1:23" s="89" customFormat="1" ht="40.35" customHeight="1">
      <c r="A1791" s="564" t="str">
        <f ca="1">INDIRECT("'update Helper'!C"&amp;U1791)</f>
        <v>a163p000004Vju8AAC</v>
      </c>
      <c r="B1791" s="794">
        <v>30</v>
      </c>
      <c r="C1791" s="795" t="str">
        <f ca="1">VLOOKUP(B1791,'Coverage Indicators - Section D'!$A$9:$AU$70,47,FALSE)</f>
        <v/>
      </c>
      <c r="D1791" s="796" t="str">
        <f ca="1">R1791</f>
        <v/>
      </c>
      <c r="E1791" s="796" t="str">
        <f ca="1">S1791</f>
        <v/>
      </c>
      <c r="F1791" s="127"/>
      <c r="G1791" s="797" t="str">
        <f ca="1">IF(OR(INDIRECT("'update Helper'!E"&amp;U1791)="",F1791&lt;&gt;0,F1792&lt;&gt;0),IF(IFERROR((F1791/F1792),"")="","",(F1791/F1792)),INDIRECT("'update Helper'!E"&amp;U1791)/100)</f>
        <v/>
      </c>
      <c r="H1791" s="784"/>
      <c r="I1791" s="798"/>
      <c r="J1791" s="777"/>
      <c r="K1791" s="795" t="str">
        <f ca="1">W1791</f>
        <v/>
      </c>
      <c r="L1791" s="795" t="str">
        <f ca="1">V1791</f>
        <v/>
      </c>
      <c r="M1791" s="777"/>
      <c r="N1791" s="777"/>
      <c r="P1791" s="89">
        <f ca="1">IF(AND(EXACT(C1791,C1789),C1789&lt;&gt;0),P1789+1,0)</f>
        <v>345</v>
      </c>
      <c r="Q1791" s="89" t="str">
        <f ca="1">IF(C1791&lt;&gt;"",C1791&amp;"-"&amp;P1791,"")</f>
        <v/>
      </c>
      <c r="R1791" s="89" t="str">
        <f t="array" aca="1" ref="R1791" ca="1">IFERROR(IF(INDEX('Disaggregation Records'!$E$155:$E$385,MATCH(RIGHT(Q1791,255),RIGHT('Disaggregation Records'!$D$155:$D$385,255),0))="","",INDEX('Disaggregation Records'!$E$155:$E$385,MATCH(RIGHT(Q1791,255),RIGHT('Disaggregation Records'!$D$155:$D$385,255),0))),"")</f>
        <v/>
      </c>
      <c r="S1791" s="89" t="str">
        <f t="array" aca="1" ref="S1791" ca="1">IFERROR(IF(INDEX('Disaggregation Records'!$F$155:$F$385,MATCH(RIGHT(Q1791,255),RIGHT('Disaggregation Records'!$D$155:$D$385,255),0))="","",INDEX('Disaggregation Records'!$F$155:$F$385,MATCH(RIGHT(Q1791,255),RIGHT('Disaggregation Records'!$D$155:$D$385,255),0))),"")</f>
        <v/>
      </c>
      <c r="T1791" s="89" t="str">
        <f t="array" aca="1" ref="T1791" ca="1">IFERROR(IF(INDEX('Disaggregation Records'!$H$155:$H$385,MATCH(RIGHT(Q1791,255),RIGHT('Disaggregation Records'!$D$155:$D$385,255),0))="","",INDEX('Disaggregation Records'!$H$155:$H$385,MATCH(RIGHT(Q1791,255),RIGHT('Disaggregation Records'!$D$155:$D$385,255),0))),"")</f>
        <v/>
      </c>
      <c r="U1791" s="89">
        <f>U1789+1</f>
        <v>2005</v>
      </c>
      <c r="V1791" s="89" t="str">
        <f t="array" aca="1" ref="V1791" ca="1">IFERROR(IF(INDEX('Disaggregation Records'!$I$155:$I$385,MATCH(RIGHT(Q1791,255),RIGHT('Disaggregation Records'!$D$155:$D$385,255),0))="","",INDEX('Disaggregation Records'!$I$155:$I$385,MATCH(RIGHT(Q1791,255),RIGHT('Disaggregation Records'!$D$155:$D$385,255),0))),"")</f>
        <v/>
      </c>
      <c r="W1791" s="89" t="str">
        <f ca="1">IFERROR(INDEX('Reference Records'!L$77:L$157,MATCH(LEFT(C1791,255),'Reference Records'!E$77:E$157,0)),"")</f>
        <v/>
      </c>
    </row>
    <row r="1792" spans="1:23" s="89" customFormat="1" ht="40.35" customHeight="1">
      <c r="A1792" s="564"/>
      <c r="B1792" s="799"/>
      <c r="C1792" s="800"/>
      <c r="D1792" s="801"/>
      <c r="E1792" s="801"/>
      <c r="F1792" s="128"/>
      <c r="G1792" s="802"/>
      <c r="H1792" s="781"/>
      <c r="I1792" s="803"/>
      <c r="J1792" s="779"/>
      <c r="K1792" s="800"/>
      <c r="L1792" s="800"/>
      <c r="M1792" s="779"/>
      <c r="N1792" s="779"/>
    </row>
    <row r="1793" spans="1:23" s="89" customFormat="1" ht="40.35" customHeight="1">
      <c r="A1793" s="564" t="str">
        <f ca="1">INDIRECT("'update Helper'!C"&amp;U1793)</f>
        <v>a163p000004Vju9AAC</v>
      </c>
      <c r="B1793" s="794">
        <v>30</v>
      </c>
      <c r="C1793" s="795" t="str">
        <f ca="1">VLOOKUP(B1793,'Coverage Indicators - Section D'!$A$9:$AU$70,47,FALSE)</f>
        <v/>
      </c>
      <c r="D1793" s="796" t="str">
        <f ca="1">R1793</f>
        <v/>
      </c>
      <c r="E1793" s="796" t="str">
        <f ca="1">S1793</f>
        <v/>
      </c>
      <c r="F1793" s="127"/>
      <c r="G1793" s="797" t="str">
        <f ca="1">IF(OR(INDIRECT("'update Helper'!E"&amp;U1793)="",F1793&lt;&gt;0,F1794&lt;&gt;0),IF(IFERROR((F1793/F1794),"")="","",(F1793/F1794)),INDIRECT("'update Helper'!E"&amp;U1793)/100)</f>
        <v/>
      </c>
      <c r="H1793" s="784"/>
      <c r="I1793" s="798"/>
      <c r="J1793" s="777"/>
      <c r="K1793" s="795" t="str">
        <f ca="1">W1793</f>
        <v/>
      </c>
      <c r="L1793" s="795" t="str">
        <f ca="1">V1793</f>
        <v/>
      </c>
      <c r="M1793" s="777"/>
      <c r="N1793" s="777"/>
      <c r="P1793" s="89">
        <f ca="1">IF(AND(EXACT(C1793,C1791),C1791&lt;&gt;0),P1791+1,0)</f>
        <v>346</v>
      </c>
      <c r="Q1793" s="89" t="str">
        <f ca="1">IF(C1793&lt;&gt;"",C1793&amp;"-"&amp;P1793,"")</f>
        <v/>
      </c>
      <c r="R1793" s="89" t="str">
        <f t="array" aca="1" ref="R1793" ca="1">IFERROR(IF(INDEX('Disaggregation Records'!$E$155:$E$385,MATCH(RIGHT(Q1793,255),RIGHT('Disaggregation Records'!$D$155:$D$385,255),0))="","",INDEX('Disaggregation Records'!$E$155:$E$385,MATCH(RIGHT(Q1793,255),RIGHT('Disaggregation Records'!$D$155:$D$385,255),0))),"")</f>
        <v/>
      </c>
      <c r="S1793" s="89" t="str">
        <f t="array" aca="1" ref="S1793" ca="1">IFERROR(IF(INDEX('Disaggregation Records'!$F$155:$F$385,MATCH(RIGHT(Q1793,255),RIGHT('Disaggregation Records'!$D$155:$D$385,255),0))="","",INDEX('Disaggregation Records'!$F$155:$F$385,MATCH(RIGHT(Q1793,255),RIGHT('Disaggregation Records'!$D$155:$D$385,255),0))),"")</f>
        <v/>
      </c>
      <c r="T1793" s="89" t="str">
        <f t="array" aca="1" ref="T1793" ca="1">IFERROR(IF(INDEX('Disaggregation Records'!$H$155:$H$385,MATCH(RIGHT(Q1793,255),RIGHT('Disaggregation Records'!$D$155:$D$385,255),0))="","",INDEX('Disaggregation Records'!$H$155:$H$385,MATCH(RIGHT(Q1793,255),RIGHT('Disaggregation Records'!$D$155:$D$385,255),0))),"")</f>
        <v/>
      </c>
      <c r="U1793" s="89">
        <f>U1791+1</f>
        <v>2006</v>
      </c>
      <c r="V1793" s="89" t="str">
        <f t="array" aca="1" ref="V1793" ca="1">IFERROR(IF(INDEX('Disaggregation Records'!$I$155:$I$385,MATCH(RIGHT(Q1793,255),RIGHT('Disaggregation Records'!$D$155:$D$385,255),0))="","",INDEX('Disaggregation Records'!$I$155:$I$385,MATCH(RIGHT(Q1793,255),RIGHT('Disaggregation Records'!$D$155:$D$385,255),0))),"")</f>
        <v/>
      </c>
      <c r="W1793" s="89" t="str">
        <f ca="1">IFERROR(INDEX('Reference Records'!L$77:L$157,MATCH(LEFT(C1793,255),'Reference Records'!E$77:E$157,0)),"")</f>
        <v/>
      </c>
    </row>
    <row r="1794" spans="1:23" s="89" customFormat="1" ht="40.35" customHeight="1">
      <c r="A1794" s="564"/>
      <c r="B1794" s="799"/>
      <c r="C1794" s="800"/>
      <c r="D1794" s="801"/>
      <c r="E1794" s="801"/>
      <c r="F1794" s="128"/>
      <c r="G1794" s="802"/>
      <c r="H1794" s="781"/>
      <c r="I1794" s="803"/>
      <c r="J1794" s="779"/>
      <c r="K1794" s="800"/>
      <c r="L1794" s="800"/>
      <c r="M1794" s="779"/>
      <c r="N1794" s="779"/>
    </row>
    <row r="1795" spans="1:23" s="89" customFormat="1" ht="40.35" customHeight="1">
      <c r="A1795" s="564" t="str">
        <f ca="1">INDIRECT("'update Helper'!C"&amp;U1795)</f>
        <v>a163p000004VjuAAAS</v>
      </c>
      <c r="B1795" s="794">
        <v>30</v>
      </c>
      <c r="C1795" s="795" t="str">
        <f ca="1">VLOOKUP(B1795,'Coverage Indicators - Section D'!$A$9:$AU$70,47,FALSE)</f>
        <v/>
      </c>
      <c r="D1795" s="796" t="str">
        <f ca="1">R1795</f>
        <v/>
      </c>
      <c r="E1795" s="796" t="str">
        <f ca="1">S1795</f>
        <v/>
      </c>
      <c r="F1795" s="127"/>
      <c r="G1795" s="797" t="str">
        <f ca="1">IF(OR(INDIRECT("'update Helper'!E"&amp;U1795)="",F1795&lt;&gt;0,F1796&lt;&gt;0),IF(IFERROR((F1795/F1796),"")="","",(F1795/F1796)),INDIRECT("'update Helper'!E"&amp;U1795)/100)</f>
        <v/>
      </c>
      <c r="H1795" s="784"/>
      <c r="I1795" s="798"/>
      <c r="J1795" s="777"/>
      <c r="K1795" s="795" t="str">
        <f ca="1">W1795</f>
        <v/>
      </c>
      <c r="L1795" s="795" t="str">
        <f ca="1">V1795</f>
        <v/>
      </c>
      <c r="M1795" s="777"/>
      <c r="N1795" s="777"/>
      <c r="P1795" s="89">
        <f ca="1">IF(AND(EXACT(C1795,C1793),C1793&lt;&gt;0),P1793+1,0)</f>
        <v>347</v>
      </c>
      <c r="Q1795" s="89" t="str">
        <f ca="1">IF(C1795&lt;&gt;"",C1795&amp;"-"&amp;P1795,"")</f>
        <v/>
      </c>
      <c r="R1795" s="89" t="str">
        <f t="array" aca="1" ref="R1795" ca="1">IFERROR(IF(INDEX('Disaggregation Records'!$E$155:$E$385,MATCH(RIGHT(Q1795,255),RIGHT('Disaggregation Records'!$D$155:$D$385,255),0))="","",INDEX('Disaggregation Records'!$E$155:$E$385,MATCH(RIGHT(Q1795,255),RIGHT('Disaggregation Records'!$D$155:$D$385,255),0))),"")</f>
        <v/>
      </c>
      <c r="S1795" s="89" t="str">
        <f t="array" aca="1" ref="S1795" ca="1">IFERROR(IF(INDEX('Disaggregation Records'!$F$155:$F$385,MATCH(RIGHT(Q1795,255),RIGHT('Disaggregation Records'!$D$155:$D$385,255),0))="","",INDEX('Disaggregation Records'!$F$155:$F$385,MATCH(RIGHT(Q1795,255),RIGHT('Disaggregation Records'!$D$155:$D$385,255),0))),"")</f>
        <v/>
      </c>
      <c r="T1795" s="89" t="str">
        <f t="array" aca="1" ref="T1795" ca="1">IFERROR(IF(INDEX('Disaggregation Records'!$H$155:$H$385,MATCH(RIGHT(Q1795,255),RIGHT('Disaggregation Records'!$D$155:$D$385,255),0))="","",INDEX('Disaggregation Records'!$H$155:$H$385,MATCH(RIGHT(Q1795,255),RIGHT('Disaggregation Records'!$D$155:$D$385,255),0))),"")</f>
        <v/>
      </c>
      <c r="U1795" s="89">
        <f>U1793+1</f>
        <v>2007</v>
      </c>
      <c r="V1795" s="89" t="str">
        <f t="array" aca="1" ref="V1795" ca="1">IFERROR(IF(INDEX('Disaggregation Records'!$I$155:$I$385,MATCH(RIGHT(Q1795,255),RIGHT('Disaggregation Records'!$D$155:$D$385,255),0))="","",INDEX('Disaggregation Records'!$I$155:$I$385,MATCH(RIGHT(Q1795,255),RIGHT('Disaggregation Records'!$D$155:$D$385,255),0))),"")</f>
        <v/>
      </c>
      <c r="W1795" s="89" t="str">
        <f ca="1">IFERROR(INDEX('Reference Records'!L$77:L$157,MATCH(LEFT(C1795,255),'Reference Records'!E$77:E$157,0)),"")</f>
        <v/>
      </c>
    </row>
    <row r="1796" spans="1:23" s="89" customFormat="1" ht="40.35" customHeight="1">
      <c r="A1796" s="564"/>
      <c r="B1796" s="799"/>
      <c r="C1796" s="800"/>
      <c r="D1796" s="801"/>
      <c r="E1796" s="801"/>
      <c r="F1796" s="128"/>
      <c r="G1796" s="802"/>
      <c r="H1796" s="781"/>
      <c r="I1796" s="803"/>
      <c r="J1796" s="779"/>
      <c r="K1796" s="800"/>
      <c r="L1796" s="800"/>
      <c r="M1796" s="779"/>
      <c r="N1796" s="779"/>
    </row>
    <row r="1797" spans="1:23" s="89" customFormat="1" ht="40.35" customHeight="1">
      <c r="A1797" s="564" t="str">
        <f ca="1">INDIRECT("'update Helper'!C"&amp;U1797)</f>
        <v>a163p000004VjuBAAS</v>
      </c>
      <c r="B1797" s="794">
        <v>30</v>
      </c>
      <c r="C1797" s="795" t="str">
        <f ca="1">VLOOKUP(B1797,'Coverage Indicators - Section D'!$A$9:$AU$70,47,FALSE)</f>
        <v/>
      </c>
      <c r="D1797" s="796" t="str">
        <f ca="1">R1797</f>
        <v/>
      </c>
      <c r="E1797" s="796" t="str">
        <f ca="1">S1797</f>
        <v/>
      </c>
      <c r="F1797" s="127"/>
      <c r="G1797" s="797" t="str">
        <f ca="1">IF(OR(INDIRECT("'update Helper'!E"&amp;U1797)="",F1797&lt;&gt;0,F1798&lt;&gt;0),IF(IFERROR((F1797/F1798),"")="","",(F1797/F1798)),INDIRECT("'update Helper'!E"&amp;U1797)/100)</f>
        <v/>
      </c>
      <c r="H1797" s="784"/>
      <c r="I1797" s="798"/>
      <c r="J1797" s="777"/>
      <c r="K1797" s="795" t="str">
        <f ca="1">W1797</f>
        <v/>
      </c>
      <c r="L1797" s="795" t="str">
        <f ca="1">V1797</f>
        <v/>
      </c>
      <c r="M1797" s="777"/>
      <c r="N1797" s="777"/>
      <c r="P1797" s="89">
        <f ca="1">IF(AND(EXACT(C1797,C1795),C1795&lt;&gt;0),P1795+1,0)</f>
        <v>348</v>
      </c>
      <c r="Q1797" s="89" t="str">
        <f ca="1">IF(C1797&lt;&gt;"",C1797&amp;"-"&amp;P1797,"")</f>
        <v/>
      </c>
      <c r="R1797" s="89" t="str">
        <f t="array" aca="1" ref="R1797" ca="1">IFERROR(IF(INDEX('Disaggregation Records'!$E$155:$E$385,MATCH(RIGHT(Q1797,255),RIGHT('Disaggregation Records'!$D$155:$D$385,255),0))="","",INDEX('Disaggregation Records'!$E$155:$E$385,MATCH(RIGHT(Q1797,255),RIGHT('Disaggregation Records'!$D$155:$D$385,255),0))),"")</f>
        <v/>
      </c>
      <c r="S1797" s="89" t="str">
        <f t="array" aca="1" ref="S1797" ca="1">IFERROR(IF(INDEX('Disaggregation Records'!$F$155:$F$385,MATCH(RIGHT(Q1797,255),RIGHT('Disaggregation Records'!$D$155:$D$385,255),0))="","",INDEX('Disaggregation Records'!$F$155:$F$385,MATCH(RIGHT(Q1797,255),RIGHT('Disaggregation Records'!$D$155:$D$385,255),0))),"")</f>
        <v/>
      </c>
      <c r="T1797" s="89" t="str">
        <f t="array" aca="1" ref="T1797" ca="1">IFERROR(IF(INDEX('Disaggregation Records'!$H$155:$H$385,MATCH(RIGHT(Q1797,255),RIGHT('Disaggregation Records'!$D$155:$D$385,255),0))="","",INDEX('Disaggregation Records'!$H$155:$H$385,MATCH(RIGHT(Q1797,255),RIGHT('Disaggregation Records'!$D$155:$D$385,255),0))),"")</f>
        <v/>
      </c>
      <c r="U1797" s="89">
        <f>U1795+1</f>
        <v>2008</v>
      </c>
      <c r="V1797" s="89" t="str">
        <f t="array" aca="1" ref="V1797" ca="1">IFERROR(IF(INDEX('Disaggregation Records'!$I$155:$I$385,MATCH(RIGHT(Q1797,255),RIGHT('Disaggregation Records'!$D$155:$D$385,255),0))="","",INDEX('Disaggregation Records'!$I$155:$I$385,MATCH(RIGHT(Q1797,255),RIGHT('Disaggregation Records'!$D$155:$D$385,255),0))),"")</f>
        <v/>
      </c>
      <c r="W1797" s="89" t="str">
        <f ca="1">IFERROR(INDEX('Reference Records'!L$77:L$157,MATCH(LEFT(C1797,255),'Reference Records'!E$77:E$157,0)),"")</f>
        <v/>
      </c>
    </row>
    <row r="1798" spans="1:23" s="89" customFormat="1" ht="40.35" customHeight="1">
      <c r="A1798" s="564"/>
      <c r="B1798" s="799"/>
      <c r="C1798" s="800"/>
      <c r="D1798" s="801"/>
      <c r="E1798" s="801"/>
      <c r="F1798" s="128"/>
      <c r="G1798" s="802"/>
      <c r="H1798" s="781"/>
      <c r="I1798" s="803"/>
      <c r="J1798" s="779"/>
      <c r="K1798" s="800"/>
      <c r="L1798" s="800"/>
      <c r="M1798" s="779"/>
      <c r="N1798" s="779"/>
    </row>
    <row r="1799" spans="1:23" s="89" customFormat="1" ht="40.35" customHeight="1">
      <c r="A1799" s="564" t="str">
        <f ca="1">INDIRECT("'update Helper'!C"&amp;U1799)</f>
        <v>a163p000004VjuCAAS</v>
      </c>
      <c r="B1799" s="794">
        <v>30</v>
      </c>
      <c r="C1799" s="795" t="str">
        <f ca="1">VLOOKUP(B1799,'Coverage Indicators - Section D'!$A$9:$AU$70,47,FALSE)</f>
        <v/>
      </c>
      <c r="D1799" s="796" t="str">
        <f ca="1">R1799</f>
        <v/>
      </c>
      <c r="E1799" s="796" t="str">
        <f ca="1">S1799</f>
        <v/>
      </c>
      <c r="F1799" s="127"/>
      <c r="G1799" s="797" t="str">
        <f ca="1">IF(OR(INDIRECT("'update Helper'!E"&amp;U1799)="",F1799&lt;&gt;0,F1800&lt;&gt;0),IF(IFERROR((F1799/F1800),"")="","",(F1799/F1800)),INDIRECT("'update Helper'!E"&amp;U1799)/100)</f>
        <v/>
      </c>
      <c r="H1799" s="784"/>
      <c r="I1799" s="798"/>
      <c r="J1799" s="777"/>
      <c r="K1799" s="795" t="str">
        <f ca="1">W1799</f>
        <v/>
      </c>
      <c r="L1799" s="795" t="str">
        <f ca="1">V1799</f>
        <v/>
      </c>
      <c r="M1799" s="777"/>
      <c r="N1799" s="777"/>
      <c r="P1799" s="89">
        <f ca="1">IF(AND(EXACT(C1799,C1797),C1797&lt;&gt;0),P1797+1,0)</f>
        <v>349</v>
      </c>
      <c r="Q1799" s="89" t="str">
        <f ca="1">IF(C1799&lt;&gt;"",C1799&amp;"-"&amp;P1799,"")</f>
        <v/>
      </c>
      <c r="R1799" s="89" t="str">
        <f t="array" aca="1" ref="R1799" ca="1">IFERROR(IF(INDEX('Disaggregation Records'!$E$155:$E$385,MATCH(RIGHT(Q1799,255),RIGHT('Disaggregation Records'!$D$155:$D$385,255),0))="","",INDEX('Disaggregation Records'!$E$155:$E$385,MATCH(RIGHT(Q1799,255),RIGHT('Disaggregation Records'!$D$155:$D$385,255),0))),"")</f>
        <v/>
      </c>
      <c r="S1799" s="89" t="str">
        <f t="array" aca="1" ref="S1799" ca="1">IFERROR(IF(INDEX('Disaggregation Records'!$F$155:$F$385,MATCH(RIGHT(Q1799,255),RIGHT('Disaggregation Records'!$D$155:$D$385,255),0))="","",INDEX('Disaggregation Records'!$F$155:$F$385,MATCH(RIGHT(Q1799,255),RIGHT('Disaggregation Records'!$D$155:$D$385,255),0))),"")</f>
        <v/>
      </c>
      <c r="T1799" s="89" t="str">
        <f t="array" aca="1" ref="T1799" ca="1">IFERROR(IF(INDEX('Disaggregation Records'!$H$155:$H$385,MATCH(RIGHT(Q1799,255),RIGHT('Disaggregation Records'!$D$155:$D$385,255),0))="","",INDEX('Disaggregation Records'!$H$155:$H$385,MATCH(RIGHT(Q1799,255),RIGHT('Disaggregation Records'!$D$155:$D$385,255),0))),"")</f>
        <v/>
      </c>
      <c r="U1799" s="89">
        <f>U1797+1</f>
        <v>2009</v>
      </c>
      <c r="V1799" s="89" t="str">
        <f t="array" aca="1" ref="V1799" ca="1">IFERROR(IF(INDEX('Disaggregation Records'!$I$155:$I$385,MATCH(RIGHT(Q1799,255),RIGHT('Disaggregation Records'!$D$155:$D$385,255),0))="","",INDEX('Disaggregation Records'!$I$155:$I$385,MATCH(RIGHT(Q1799,255),RIGHT('Disaggregation Records'!$D$155:$D$385,255),0))),"")</f>
        <v/>
      </c>
      <c r="W1799" s="89" t="str">
        <f ca="1">IFERROR(INDEX('Reference Records'!L$77:L$157,MATCH(LEFT(C1799,255),'Reference Records'!E$77:E$157,0)),"")</f>
        <v/>
      </c>
    </row>
    <row r="1800" spans="1:23" s="89" customFormat="1" ht="40.35" customHeight="1">
      <c r="A1800" s="564"/>
      <c r="B1800" s="799"/>
      <c r="C1800" s="800"/>
      <c r="D1800" s="801"/>
      <c r="E1800" s="801"/>
      <c r="F1800" s="128"/>
      <c r="G1800" s="802"/>
      <c r="H1800" s="781"/>
      <c r="I1800" s="803"/>
      <c r="J1800" s="779"/>
      <c r="K1800" s="800"/>
      <c r="L1800" s="800"/>
      <c r="M1800" s="779"/>
      <c r="N1800" s="779"/>
    </row>
    <row r="1801" spans="1:23" s="89" customFormat="1" ht="40.35" customHeight="1">
      <c r="A1801" s="564" t="str">
        <f ca="1">INDIRECT("'update Helper'!C"&amp;U1801)</f>
        <v>a163p000004VjuDAAS</v>
      </c>
      <c r="B1801" s="794">
        <v>30</v>
      </c>
      <c r="C1801" s="795" t="str">
        <f ca="1">VLOOKUP(B1801,'Coverage Indicators - Section D'!$A$9:$AU$70,47,FALSE)</f>
        <v/>
      </c>
      <c r="D1801" s="796" t="str">
        <f ca="1">R1801</f>
        <v/>
      </c>
      <c r="E1801" s="796" t="str">
        <f ca="1">S1801</f>
        <v/>
      </c>
      <c r="F1801" s="127"/>
      <c r="G1801" s="797" t="str">
        <f ca="1">IF(OR(INDIRECT("'update Helper'!E"&amp;U1801)="",F1801&lt;&gt;0,F1802&lt;&gt;0),IF(IFERROR((F1801/F1802),"")="","",(F1801/F1802)),INDIRECT("'update Helper'!E"&amp;U1801)/100)</f>
        <v/>
      </c>
      <c r="H1801" s="784"/>
      <c r="I1801" s="798"/>
      <c r="J1801" s="777"/>
      <c r="K1801" s="795" t="str">
        <f ca="1">W1801</f>
        <v/>
      </c>
      <c r="L1801" s="795" t="str">
        <f ca="1">V1801</f>
        <v/>
      </c>
      <c r="M1801" s="777"/>
      <c r="N1801" s="777"/>
      <c r="P1801" s="89">
        <f ca="1">IF(AND(EXACT(C1801,C1799),C1799&lt;&gt;0),P1799+1,0)</f>
        <v>350</v>
      </c>
      <c r="Q1801" s="89" t="str">
        <f ca="1">IF(C1801&lt;&gt;"",C1801&amp;"-"&amp;P1801,"")</f>
        <v/>
      </c>
      <c r="R1801" s="89" t="str">
        <f t="array" aca="1" ref="R1801" ca="1">IFERROR(IF(INDEX('Disaggregation Records'!$E$155:$E$385,MATCH(RIGHT(Q1801,255),RIGHT('Disaggregation Records'!$D$155:$D$385,255),0))="","",INDEX('Disaggregation Records'!$E$155:$E$385,MATCH(RIGHT(Q1801,255),RIGHT('Disaggregation Records'!$D$155:$D$385,255),0))),"")</f>
        <v/>
      </c>
      <c r="S1801" s="89" t="str">
        <f t="array" aca="1" ref="S1801" ca="1">IFERROR(IF(INDEX('Disaggregation Records'!$F$155:$F$385,MATCH(RIGHT(Q1801,255),RIGHT('Disaggregation Records'!$D$155:$D$385,255),0))="","",INDEX('Disaggregation Records'!$F$155:$F$385,MATCH(RIGHT(Q1801,255),RIGHT('Disaggregation Records'!$D$155:$D$385,255),0))),"")</f>
        <v/>
      </c>
      <c r="T1801" s="89" t="str">
        <f t="array" aca="1" ref="T1801" ca="1">IFERROR(IF(INDEX('Disaggregation Records'!$H$155:$H$385,MATCH(RIGHT(Q1801,255),RIGHT('Disaggregation Records'!$D$155:$D$385,255),0))="","",INDEX('Disaggregation Records'!$H$155:$H$385,MATCH(RIGHT(Q1801,255),RIGHT('Disaggregation Records'!$D$155:$D$385,255),0))),"")</f>
        <v/>
      </c>
      <c r="U1801" s="89">
        <f>U1799+1</f>
        <v>2010</v>
      </c>
      <c r="V1801" s="89" t="str">
        <f t="array" aca="1" ref="V1801" ca="1">IFERROR(IF(INDEX('Disaggregation Records'!$I$155:$I$385,MATCH(RIGHT(Q1801,255),RIGHT('Disaggregation Records'!$D$155:$D$385,255),0))="","",INDEX('Disaggregation Records'!$I$155:$I$385,MATCH(RIGHT(Q1801,255),RIGHT('Disaggregation Records'!$D$155:$D$385,255),0))),"")</f>
        <v/>
      </c>
      <c r="W1801" s="89" t="str">
        <f ca="1">IFERROR(INDEX('Reference Records'!L$77:L$157,MATCH(LEFT(C1801,255),'Reference Records'!E$77:E$157,0)),"")</f>
        <v/>
      </c>
    </row>
    <row r="1802" spans="1:23" s="89" customFormat="1" ht="40.35" customHeight="1">
      <c r="A1802" s="564"/>
      <c r="B1802" s="799"/>
      <c r="C1802" s="800"/>
      <c r="D1802" s="801"/>
      <c r="E1802" s="801"/>
      <c r="F1802" s="128"/>
      <c r="G1802" s="802"/>
      <c r="H1802" s="781"/>
      <c r="I1802" s="803"/>
      <c r="J1802" s="779"/>
      <c r="K1802" s="800"/>
      <c r="L1802" s="800"/>
      <c r="M1802" s="779"/>
      <c r="N1802" s="779"/>
    </row>
    <row r="1803" spans="1:23" s="89" customFormat="1" ht="40.35" customHeight="1">
      <c r="A1803" s="564" t="str">
        <f ca="1">INDIRECT("'update Helper'!C"&amp;U1803)</f>
        <v>a163p000004VjuEAAS</v>
      </c>
      <c r="B1803" s="794">
        <v>30</v>
      </c>
      <c r="C1803" s="795" t="str">
        <f ca="1">VLOOKUP(B1803,'Coverage Indicators - Section D'!$A$9:$AU$70,47,FALSE)</f>
        <v/>
      </c>
      <c r="D1803" s="796" t="str">
        <f ca="1">R1803</f>
        <v/>
      </c>
      <c r="E1803" s="796" t="str">
        <f ca="1">S1803</f>
        <v/>
      </c>
      <c r="F1803" s="127"/>
      <c r="G1803" s="797" t="str">
        <f ca="1">IF(OR(INDIRECT("'update Helper'!E"&amp;U1803)="",F1803&lt;&gt;0,F1804&lt;&gt;0),IF(IFERROR((F1803/F1804),"")="","",(F1803/F1804)),INDIRECT("'update Helper'!E"&amp;U1803)/100)</f>
        <v/>
      </c>
      <c r="H1803" s="784"/>
      <c r="I1803" s="798"/>
      <c r="J1803" s="777"/>
      <c r="K1803" s="795" t="str">
        <f ca="1">W1803</f>
        <v/>
      </c>
      <c r="L1803" s="795" t="str">
        <f ca="1">V1803</f>
        <v/>
      </c>
      <c r="M1803" s="777"/>
      <c r="N1803" s="777"/>
      <c r="P1803" s="89">
        <f ca="1">IF(AND(EXACT(C1803,C1801),C1801&lt;&gt;0),P1801+1,0)</f>
        <v>351</v>
      </c>
      <c r="Q1803" s="89" t="str">
        <f ca="1">IF(C1803&lt;&gt;"",C1803&amp;"-"&amp;P1803,"")</f>
        <v/>
      </c>
      <c r="R1803" s="89" t="str">
        <f t="array" aca="1" ref="R1803" ca="1">IFERROR(IF(INDEX('Disaggregation Records'!$E$155:$E$385,MATCH(RIGHT(Q1803,255),RIGHT('Disaggregation Records'!$D$155:$D$385,255),0))="","",INDEX('Disaggregation Records'!$E$155:$E$385,MATCH(RIGHT(Q1803,255),RIGHT('Disaggregation Records'!$D$155:$D$385,255),0))),"")</f>
        <v/>
      </c>
      <c r="S1803" s="89" t="str">
        <f t="array" aca="1" ref="S1803" ca="1">IFERROR(IF(INDEX('Disaggregation Records'!$F$155:$F$385,MATCH(RIGHT(Q1803,255),RIGHT('Disaggregation Records'!$D$155:$D$385,255),0))="","",INDEX('Disaggregation Records'!$F$155:$F$385,MATCH(RIGHT(Q1803,255),RIGHT('Disaggregation Records'!$D$155:$D$385,255),0))),"")</f>
        <v/>
      </c>
      <c r="T1803" s="89" t="str">
        <f t="array" aca="1" ref="T1803" ca="1">IFERROR(IF(INDEX('Disaggregation Records'!$H$155:$H$385,MATCH(RIGHT(Q1803,255),RIGHT('Disaggregation Records'!$D$155:$D$385,255),0))="","",INDEX('Disaggregation Records'!$H$155:$H$385,MATCH(RIGHT(Q1803,255),RIGHT('Disaggregation Records'!$D$155:$D$385,255),0))),"")</f>
        <v/>
      </c>
      <c r="U1803" s="89">
        <f>U1801+1</f>
        <v>2011</v>
      </c>
      <c r="V1803" s="89" t="str">
        <f t="array" aca="1" ref="V1803" ca="1">IFERROR(IF(INDEX('Disaggregation Records'!$I$155:$I$385,MATCH(RIGHT(Q1803,255),RIGHT('Disaggregation Records'!$D$155:$D$385,255),0))="","",INDEX('Disaggregation Records'!$I$155:$I$385,MATCH(RIGHT(Q1803,255),RIGHT('Disaggregation Records'!$D$155:$D$385,255),0))),"")</f>
        <v/>
      </c>
      <c r="W1803" s="89" t="str">
        <f ca="1">IFERROR(INDEX('Reference Records'!L$77:L$157,MATCH(LEFT(C1803,255),'Reference Records'!E$77:E$157,0)),"")</f>
        <v/>
      </c>
    </row>
    <row r="1804" spans="1:23" s="89" customFormat="1" ht="40.35" customHeight="1">
      <c r="A1804" s="564"/>
      <c r="B1804" s="799"/>
      <c r="C1804" s="800"/>
      <c r="D1804" s="801"/>
      <c r="E1804" s="801"/>
      <c r="F1804" s="128"/>
      <c r="G1804" s="802"/>
      <c r="H1804" s="781"/>
      <c r="I1804" s="803"/>
      <c r="J1804" s="779"/>
      <c r="K1804" s="800"/>
      <c r="L1804" s="800"/>
      <c r="M1804" s="779"/>
      <c r="N1804" s="779"/>
    </row>
    <row r="1805" spans="1:23" s="89" customFormat="1" ht="40.35" customHeight="1">
      <c r="A1805" s="564" t="str">
        <f ca="1">INDIRECT("'update Helper'!C"&amp;U1805)</f>
        <v>a163p000004VjuFAAS</v>
      </c>
      <c r="B1805" s="794">
        <v>30</v>
      </c>
      <c r="C1805" s="795" t="str">
        <f ca="1">VLOOKUP(B1805,'Coverage Indicators - Section D'!$A$9:$AU$70,47,FALSE)</f>
        <v/>
      </c>
      <c r="D1805" s="796" t="str">
        <f ca="1">R1805</f>
        <v/>
      </c>
      <c r="E1805" s="796" t="str">
        <f ca="1">S1805</f>
        <v/>
      </c>
      <c r="F1805" s="127"/>
      <c r="G1805" s="797" t="str">
        <f ca="1">IF(OR(INDIRECT("'update Helper'!E"&amp;U1805)="",F1805&lt;&gt;0,F1806&lt;&gt;0),IF(IFERROR((F1805/F1806),"")="","",(F1805/F1806)),INDIRECT("'update Helper'!E"&amp;U1805)/100)</f>
        <v/>
      </c>
      <c r="H1805" s="784"/>
      <c r="I1805" s="798"/>
      <c r="J1805" s="777"/>
      <c r="K1805" s="795" t="str">
        <f ca="1">W1805</f>
        <v/>
      </c>
      <c r="L1805" s="795" t="str">
        <f ca="1">V1805</f>
        <v/>
      </c>
      <c r="M1805" s="777"/>
      <c r="N1805" s="777"/>
      <c r="P1805" s="89">
        <f ca="1">IF(AND(EXACT(C1805,C1803),C1803&lt;&gt;0),P1803+1,0)</f>
        <v>352</v>
      </c>
      <c r="Q1805" s="89" t="str">
        <f ca="1">IF(C1805&lt;&gt;"",C1805&amp;"-"&amp;P1805,"")</f>
        <v/>
      </c>
      <c r="R1805" s="89" t="str">
        <f t="array" aca="1" ref="R1805" ca="1">IFERROR(IF(INDEX('Disaggregation Records'!$E$155:$E$385,MATCH(RIGHT(Q1805,255),RIGHT('Disaggregation Records'!$D$155:$D$385,255),0))="","",INDEX('Disaggregation Records'!$E$155:$E$385,MATCH(RIGHT(Q1805,255),RIGHT('Disaggregation Records'!$D$155:$D$385,255),0))),"")</f>
        <v/>
      </c>
      <c r="S1805" s="89" t="str">
        <f t="array" aca="1" ref="S1805" ca="1">IFERROR(IF(INDEX('Disaggregation Records'!$F$155:$F$385,MATCH(RIGHT(Q1805,255),RIGHT('Disaggregation Records'!$D$155:$D$385,255),0))="","",INDEX('Disaggregation Records'!$F$155:$F$385,MATCH(RIGHT(Q1805,255),RIGHT('Disaggregation Records'!$D$155:$D$385,255),0))),"")</f>
        <v/>
      </c>
      <c r="T1805" s="89" t="str">
        <f t="array" aca="1" ref="T1805" ca="1">IFERROR(IF(INDEX('Disaggregation Records'!$H$155:$H$385,MATCH(RIGHT(Q1805,255),RIGHT('Disaggregation Records'!$D$155:$D$385,255),0))="","",INDEX('Disaggregation Records'!$H$155:$H$385,MATCH(RIGHT(Q1805,255),RIGHT('Disaggregation Records'!$D$155:$D$385,255),0))),"")</f>
        <v/>
      </c>
      <c r="U1805" s="89">
        <f>U1803+1</f>
        <v>2012</v>
      </c>
      <c r="V1805" s="89" t="str">
        <f t="array" aca="1" ref="V1805" ca="1">IFERROR(IF(INDEX('Disaggregation Records'!$I$155:$I$385,MATCH(RIGHT(Q1805,255),RIGHT('Disaggregation Records'!$D$155:$D$385,255),0))="","",INDEX('Disaggregation Records'!$I$155:$I$385,MATCH(RIGHT(Q1805,255),RIGHT('Disaggregation Records'!$D$155:$D$385,255),0))),"")</f>
        <v/>
      </c>
      <c r="W1805" s="89" t="str">
        <f ca="1">IFERROR(INDEX('Reference Records'!L$77:L$157,MATCH(LEFT(C1805,255),'Reference Records'!E$77:E$157,0)),"")</f>
        <v/>
      </c>
    </row>
    <row r="1806" spans="1:23" s="89" customFormat="1" ht="40.35" customHeight="1">
      <c r="A1806" s="564"/>
      <c r="B1806" s="799"/>
      <c r="C1806" s="800"/>
      <c r="D1806" s="801"/>
      <c r="E1806" s="801"/>
      <c r="F1806" s="128"/>
      <c r="G1806" s="802"/>
      <c r="H1806" s="781"/>
      <c r="I1806" s="803"/>
      <c r="J1806" s="779"/>
      <c r="K1806" s="800"/>
      <c r="L1806" s="800"/>
      <c r="M1806" s="779"/>
      <c r="N1806" s="779"/>
    </row>
    <row r="1807" spans="1:23" s="89" customFormat="1" ht="40.35" customHeight="1">
      <c r="A1807" s="564" t="str">
        <f ca="1">INDIRECT("'update Helper'!C"&amp;U1807)</f>
        <v>a163p000004VjuGAAS</v>
      </c>
      <c r="B1807" s="794">
        <v>30</v>
      </c>
      <c r="C1807" s="795" t="str">
        <f ca="1">VLOOKUP(B1807,'Coverage Indicators - Section D'!$A$9:$AU$70,47,FALSE)</f>
        <v/>
      </c>
      <c r="D1807" s="796" t="str">
        <f ca="1">R1807</f>
        <v/>
      </c>
      <c r="E1807" s="796" t="str">
        <f ca="1">S1807</f>
        <v/>
      </c>
      <c r="F1807" s="127"/>
      <c r="G1807" s="797" t="str">
        <f ca="1">IF(OR(INDIRECT("'update Helper'!E"&amp;U1807)="",F1807&lt;&gt;0,F1808&lt;&gt;0),IF(IFERROR((F1807/F1808),"")="","",(F1807/F1808)),INDIRECT("'update Helper'!E"&amp;U1807)/100)</f>
        <v/>
      </c>
      <c r="H1807" s="784"/>
      <c r="I1807" s="798"/>
      <c r="J1807" s="777"/>
      <c r="K1807" s="795" t="str">
        <f ca="1">W1807</f>
        <v/>
      </c>
      <c r="L1807" s="795" t="str">
        <f ca="1">V1807</f>
        <v/>
      </c>
      <c r="M1807" s="777"/>
      <c r="N1807" s="777"/>
      <c r="P1807" s="89">
        <f ca="1">IF(AND(EXACT(C1807,C1805),C1805&lt;&gt;0),P1805+1,0)</f>
        <v>353</v>
      </c>
      <c r="Q1807" s="89" t="str">
        <f ca="1">IF(C1807&lt;&gt;"",C1807&amp;"-"&amp;P1807,"")</f>
        <v/>
      </c>
      <c r="R1807" s="89" t="str">
        <f t="array" aca="1" ref="R1807" ca="1">IFERROR(IF(INDEX('Disaggregation Records'!$E$155:$E$385,MATCH(RIGHT(Q1807,255),RIGHT('Disaggregation Records'!$D$155:$D$385,255),0))="","",INDEX('Disaggregation Records'!$E$155:$E$385,MATCH(RIGHT(Q1807,255),RIGHT('Disaggregation Records'!$D$155:$D$385,255),0))),"")</f>
        <v/>
      </c>
      <c r="S1807" s="89" t="str">
        <f t="array" aca="1" ref="S1807" ca="1">IFERROR(IF(INDEX('Disaggregation Records'!$F$155:$F$385,MATCH(RIGHT(Q1807,255),RIGHT('Disaggregation Records'!$D$155:$D$385,255),0))="","",INDEX('Disaggregation Records'!$F$155:$F$385,MATCH(RIGHT(Q1807,255),RIGHT('Disaggregation Records'!$D$155:$D$385,255),0))),"")</f>
        <v/>
      </c>
      <c r="T1807" s="89" t="str">
        <f t="array" aca="1" ref="T1807" ca="1">IFERROR(IF(INDEX('Disaggregation Records'!$H$155:$H$385,MATCH(RIGHT(Q1807,255),RIGHT('Disaggregation Records'!$D$155:$D$385,255),0))="","",INDEX('Disaggregation Records'!$H$155:$H$385,MATCH(RIGHT(Q1807,255),RIGHT('Disaggregation Records'!$D$155:$D$385,255),0))),"")</f>
        <v/>
      </c>
      <c r="U1807" s="89">
        <f>U1805+1</f>
        <v>2013</v>
      </c>
      <c r="V1807" s="89" t="str">
        <f t="array" aca="1" ref="V1807" ca="1">IFERROR(IF(INDEX('Disaggregation Records'!$I$155:$I$385,MATCH(RIGHT(Q1807,255),RIGHT('Disaggregation Records'!$D$155:$D$385,255),0))="","",INDEX('Disaggregation Records'!$I$155:$I$385,MATCH(RIGHT(Q1807,255),RIGHT('Disaggregation Records'!$D$155:$D$385,255),0))),"")</f>
        <v/>
      </c>
      <c r="W1807" s="89" t="str">
        <f ca="1">IFERROR(INDEX('Reference Records'!L$77:L$157,MATCH(LEFT(C1807,255),'Reference Records'!E$77:E$157,0)),"")</f>
        <v/>
      </c>
    </row>
    <row r="1808" spans="1:23" s="89" customFormat="1" ht="40.35" customHeight="1">
      <c r="A1808" s="564"/>
      <c r="B1808" s="799"/>
      <c r="C1808" s="800"/>
      <c r="D1808" s="801"/>
      <c r="E1808" s="801"/>
      <c r="F1808" s="128"/>
      <c r="G1808" s="802"/>
      <c r="H1808" s="781"/>
      <c r="I1808" s="803"/>
      <c r="J1808" s="779"/>
      <c r="K1808" s="800"/>
      <c r="L1808" s="800"/>
      <c r="M1808" s="779"/>
      <c r="N1808" s="779"/>
    </row>
    <row r="1809" spans="1:23" s="89" customFormat="1" ht="40.35" customHeight="1">
      <c r="A1809" s="564" t="str">
        <f ca="1">INDIRECT("'update Helper'!C"&amp;U1809)</f>
        <v>a163p000004VjuHAAS</v>
      </c>
      <c r="B1809" s="794">
        <v>30</v>
      </c>
      <c r="C1809" s="795" t="str">
        <f ca="1">VLOOKUP(B1809,'Coverage Indicators - Section D'!$A$9:$AU$70,47,FALSE)</f>
        <v/>
      </c>
      <c r="D1809" s="796" t="str">
        <f ca="1">R1809</f>
        <v/>
      </c>
      <c r="E1809" s="796" t="str">
        <f ca="1">S1809</f>
        <v/>
      </c>
      <c r="F1809" s="127"/>
      <c r="G1809" s="797" t="str">
        <f ca="1">IF(OR(INDIRECT("'update Helper'!E"&amp;U1809)="",F1809&lt;&gt;0,F1810&lt;&gt;0),IF(IFERROR((F1809/F1810),"")="","",(F1809/F1810)),INDIRECT("'update Helper'!E"&amp;U1809)/100)</f>
        <v/>
      </c>
      <c r="H1809" s="784"/>
      <c r="I1809" s="798"/>
      <c r="J1809" s="777"/>
      <c r="K1809" s="795" t="str">
        <f ca="1">W1809</f>
        <v/>
      </c>
      <c r="L1809" s="795" t="str">
        <f ca="1">V1809</f>
        <v/>
      </c>
      <c r="M1809" s="777"/>
      <c r="N1809" s="777"/>
      <c r="P1809" s="89">
        <f ca="1">IF(AND(EXACT(C1809,C1807),C1807&lt;&gt;0),P1807+1,0)</f>
        <v>354</v>
      </c>
      <c r="Q1809" s="89" t="str">
        <f ca="1">IF(C1809&lt;&gt;"",C1809&amp;"-"&amp;P1809,"")</f>
        <v/>
      </c>
      <c r="R1809" s="89" t="str">
        <f t="array" aca="1" ref="R1809" ca="1">IFERROR(IF(INDEX('Disaggregation Records'!$E$155:$E$385,MATCH(RIGHT(Q1809,255),RIGHT('Disaggregation Records'!$D$155:$D$385,255),0))="","",INDEX('Disaggregation Records'!$E$155:$E$385,MATCH(RIGHT(Q1809,255),RIGHT('Disaggregation Records'!$D$155:$D$385,255),0))),"")</f>
        <v/>
      </c>
      <c r="S1809" s="89" t="str">
        <f t="array" aca="1" ref="S1809" ca="1">IFERROR(IF(INDEX('Disaggregation Records'!$F$155:$F$385,MATCH(RIGHT(Q1809,255),RIGHT('Disaggregation Records'!$D$155:$D$385,255),0))="","",INDEX('Disaggregation Records'!$F$155:$F$385,MATCH(RIGHT(Q1809,255),RIGHT('Disaggregation Records'!$D$155:$D$385,255),0))),"")</f>
        <v/>
      </c>
      <c r="T1809" s="89" t="str">
        <f t="array" aca="1" ref="T1809" ca="1">IFERROR(IF(INDEX('Disaggregation Records'!$H$155:$H$385,MATCH(RIGHT(Q1809,255),RIGHT('Disaggregation Records'!$D$155:$D$385,255),0))="","",INDEX('Disaggregation Records'!$H$155:$H$385,MATCH(RIGHT(Q1809,255),RIGHT('Disaggregation Records'!$D$155:$D$385,255),0))),"")</f>
        <v/>
      </c>
      <c r="U1809" s="89">
        <f>U1807+1</f>
        <v>2014</v>
      </c>
      <c r="V1809" s="89" t="str">
        <f t="array" aca="1" ref="V1809" ca="1">IFERROR(IF(INDEX('Disaggregation Records'!$I$155:$I$385,MATCH(RIGHT(Q1809,255),RIGHT('Disaggregation Records'!$D$155:$D$385,255),0))="","",INDEX('Disaggregation Records'!$I$155:$I$385,MATCH(RIGHT(Q1809,255),RIGHT('Disaggregation Records'!$D$155:$D$385,255),0))),"")</f>
        <v/>
      </c>
      <c r="W1809" s="89" t="str">
        <f ca="1">IFERROR(INDEX('Reference Records'!L$77:L$157,MATCH(LEFT(C1809,255),'Reference Records'!E$77:E$157,0)),"")</f>
        <v/>
      </c>
    </row>
    <row r="1810" spans="1:23" s="89" customFormat="1" ht="40.35" customHeight="1">
      <c r="A1810" s="564"/>
      <c r="B1810" s="799"/>
      <c r="C1810" s="800"/>
      <c r="D1810" s="801"/>
      <c r="E1810" s="801"/>
      <c r="F1810" s="128"/>
      <c r="G1810" s="802"/>
      <c r="H1810" s="781"/>
      <c r="I1810" s="803"/>
      <c r="J1810" s="779"/>
      <c r="K1810" s="800"/>
      <c r="L1810" s="800"/>
      <c r="M1810" s="779"/>
      <c r="N1810" s="779"/>
    </row>
    <row r="1811" spans="1:23" s="89" customFormat="1" ht="40.35" customHeight="1">
      <c r="A1811" s="564" t="str">
        <f ca="1">INDIRECT("'update Helper'!C"&amp;U1811)</f>
        <v>a163p000004VjuIAAS</v>
      </c>
      <c r="B1811" s="794">
        <v>30</v>
      </c>
      <c r="C1811" s="795" t="str">
        <f ca="1">VLOOKUP(B1811,'Coverage Indicators - Section D'!$A$9:$AU$70,47,FALSE)</f>
        <v/>
      </c>
      <c r="D1811" s="796" t="str">
        <f ca="1">R1811</f>
        <v/>
      </c>
      <c r="E1811" s="796" t="str">
        <f ca="1">S1811</f>
        <v/>
      </c>
      <c r="F1811" s="127"/>
      <c r="G1811" s="797" t="str">
        <f ca="1">IF(OR(INDIRECT("'update Helper'!E"&amp;U1811)="",F1811&lt;&gt;0,F1812&lt;&gt;0),IF(IFERROR((F1811/F1812),"")="","",(F1811/F1812)),INDIRECT("'update Helper'!E"&amp;U1811)/100)</f>
        <v/>
      </c>
      <c r="H1811" s="784"/>
      <c r="I1811" s="798"/>
      <c r="J1811" s="777"/>
      <c r="K1811" s="795" t="str">
        <f ca="1">W1811</f>
        <v/>
      </c>
      <c r="L1811" s="795" t="str">
        <f ca="1">V1811</f>
        <v/>
      </c>
      <c r="M1811" s="777"/>
      <c r="N1811" s="777"/>
      <c r="P1811" s="89">
        <f ca="1">IF(AND(EXACT(C1811,C1809),C1809&lt;&gt;0),P1809+1,0)</f>
        <v>355</v>
      </c>
      <c r="Q1811" s="89" t="str">
        <f ca="1">IF(C1811&lt;&gt;"",C1811&amp;"-"&amp;P1811,"")</f>
        <v/>
      </c>
      <c r="R1811" s="89" t="str">
        <f t="array" aca="1" ref="R1811" ca="1">IFERROR(IF(INDEX('Disaggregation Records'!$E$155:$E$385,MATCH(RIGHT(Q1811,255),RIGHT('Disaggregation Records'!$D$155:$D$385,255),0))="","",INDEX('Disaggregation Records'!$E$155:$E$385,MATCH(RIGHT(Q1811,255),RIGHT('Disaggregation Records'!$D$155:$D$385,255),0))),"")</f>
        <v/>
      </c>
      <c r="S1811" s="89" t="str">
        <f t="array" aca="1" ref="S1811" ca="1">IFERROR(IF(INDEX('Disaggregation Records'!$F$155:$F$385,MATCH(RIGHT(Q1811,255),RIGHT('Disaggregation Records'!$D$155:$D$385,255),0))="","",INDEX('Disaggregation Records'!$F$155:$F$385,MATCH(RIGHT(Q1811,255),RIGHT('Disaggregation Records'!$D$155:$D$385,255),0))),"")</f>
        <v/>
      </c>
      <c r="T1811" s="89" t="str">
        <f t="array" aca="1" ref="T1811" ca="1">IFERROR(IF(INDEX('Disaggregation Records'!$H$155:$H$385,MATCH(RIGHT(Q1811,255),RIGHT('Disaggregation Records'!$D$155:$D$385,255),0))="","",INDEX('Disaggregation Records'!$H$155:$H$385,MATCH(RIGHT(Q1811,255),RIGHT('Disaggregation Records'!$D$155:$D$385,255),0))),"")</f>
        <v/>
      </c>
      <c r="U1811" s="89">
        <f>U1809+1</f>
        <v>2015</v>
      </c>
      <c r="V1811" s="89" t="str">
        <f t="array" aca="1" ref="V1811" ca="1">IFERROR(IF(INDEX('Disaggregation Records'!$I$155:$I$385,MATCH(RIGHT(Q1811,255),RIGHT('Disaggregation Records'!$D$155:$D$385,255),0))="","",INDEX('Disaggregation Records'!$I$155:$I$385,MATCH(RIGHT(Q1811,255),RIGHT('Disaggregation Records'!$D$155:$D$385,255),0))),"")</f>
        <v/>
      </c>
      <c r="W1811" s="89" t="str">
        <f ca="1">IFERROR(INDEX('Reference Records'!L$77:L$157,MATCH(LEFT(C1811,255),'Reference Records'!E$77:E$157,0)),"")</f>
        <v/>
      </c>
    </row>
    <row r="1812" spans="1:23" s="89" customFormat="1" ht="40.35" customHeight="1">
      <c r="A1812" s="564"/>
      <c r="B1812" s="799"/>
      <c r="C1812" s="800"/>
      <c r="D1812" s="801"/>
      <c r="E1812" s="801"/>
      <c r="F1812" s="128"/>
      <c r="G1812" s="802"/>
      <c r="H1812" s="781"/>
      <c r="I1812" s="803"/>
      <c r="J1812" s="779"/>
      <c r="K1812" s="800"/>
      <c r="L1812" s="800"/>
      <c r="M1812" s="779"/>
      <c r="N1812" s="779"/>
    </row>
    <row r="1813" spans="1:23" s="89" customFormat="1" ht="40.35" customHeight="1">
      <c r="A1813" s="564" t="str">
        <f ca="1">INDIRECT("'update Helper'!C"&amp;U1813)</f>
        <v>a163p000004VjuJAAS</v>
      </c>
      <c r="B1813" s="794">
        <v>30</v>
      </c>
      <c r="C1813" s="795" t="str">
        <f ca="1">VLOOKUP(B1813,'Coverage Indicators - Section D'!$A$9:$AU$70,47,FALSE)</f>
        <v/>
      </c>
      <c r="D1813" s="796" t="str">
        <f ca="1">R1813</f>
        <v/>
      </c>
      <c r="E1813" s="796" t="str">
        <f ca="1">S1813</f>
        <v/>
      </c>
      <c r="F1813" s="127"/>
      <c r="G1813" s="797" t="str">
        <f ca="1">IF(OR(INDIRECT("'update Helper'!E"&amp;U1813)="",F1813&lt;&gt;0,F1814&lt;&gt;0),IF(IFERROR((F1813/F1814),"")="","",(F1813/F1814)),INDIRECT("'update Helper'!E"&amp;U1813)/100)</f>
        <v/>
      </c>
      <c r="H1813" s="784"/>
      <c r="I1813" s="798"/>
      <c r="J1813" s="777"/>
      <c r="K1813" s="795" t="str">
        <f ca="1">W1813</f>
        <v/>
      </c>
      <c r="L1813" s="795" t="str">
        <f ca="1">V1813</f>
        <v/>
      </c>
      <c r="M1813" s="777"/>
      <c r="N1813" s="777"/>
      <c r="P1813" s="89">
        <f ca="1">IF(AND(EXACT(C1813,C1811),C1811&lt;&gt;0),P1811+1,0)</f>
        <v>356</v>
      </c>
      <c r="Q1813" s="89" t="str">
        <f ca="1">IF(C1813&lt;&gt;"",C1813&amp;"-"&amp;P1813,"")</f>
        <v/>
      </c>
      <c r="R1813" s="89" t="str">
        <f t="array" aca="1" ref="R1813" ca="1">IFERROR(IF(INDEX('Disaggregation Records'!$E$155:$E$385,MATCH(RIGHT(Q1813,255),RIGHT('Disaggregation Records'!$D$155:$D$385,255),0))="","",INDEX('Disaggregation Records'!$E$155:$E$385,MATCH(RIGHT(Q1813,255),RIGHT('Disaggregation Records'!$D$155:$D$385,255),0))),"")</f>
        <v/>
      </c>
      <c r="S1813" s="89" t="str">
        <f t="array" aca="1" ref="S1813" ca="1">IFERROR(IF(INDEX('Disaggregation Records'!$F$155:$F$385,MATCH(RIGHT(Q1813,255),RIGHT('Disaggregation Records'!$D$155:$D$385,255),0))="","",INDEX('Disaggregation Records'!$F$155:$F$385,MATCH(RIGHT(Q1813,255),RIGHT('Disaggregation Records'!$D$155:$D$385,255),0))),"")</f>
        <v/>
      </c>
      <c r="T1813" s="89" t="str">
        <f t="array" aca="1" ref="T1813" ca="1">IFERROR(IF(INDEX('Disaggregation Records'!$H$155:$H$385,MATCH(RIGHT(Q1813,255),RIGHT('Disaggregation Records'!$D$155:$D$385,255),0))="","",INDEX('Disaggregation Records'!$H$155:$H$385,MATCH(RIGHT(Q1813,255),RIGHT('Disaggregation Records'!$D$155:$D$385,255),0))),"")</f>
        <v/>
      </c>
      <c r="U1813" s="89">
        <f>U1811+1</f>
        <v>2016</v>
      </c>
      <c r="V1813" s="89" t="str">
        <f t="array" aca="1" ref="V1813" ca="1">IFERROR(IF(INDEX('Disaggregation Records'!$I$155:$I$385,MATCH(RIGHT(Q1813,255),RIGHT('Disaggregation Records'!$D$155:$D$385,255),0))="","",INDEX('Disaggregation Records'!$I$155:$I$385,MATCH(RIGHT(Q1813,255),RIGHT('Disaggregation Records'!$D$155:$D$385,255),0))),"")</f>
        <v/>
      </c>
      <c r="W1813" s="89" t="str">
        <f ca="1">IFERROR(INDEX('Reference Records'!L$77:L$157,MATCH(LEFT(C1813,255),'Reference Records'!E$77:E$157,0)),"")</f>
        <v/>
      </c>
    </row>
    <row r="1814" spans="1:23" s="89" customFormat="1" ht="40.35" customHeight="1">
      <c r="A1814" s="564"/>
      <c r="B1814" s="799"/>
      <c r="C1814" s="800"/>
      <c r="D1814" s="801"/>
      <c r="E1814" s="801"/>
      <c r="F1814" s="128"/>
      <c r="G1814" s="802"/>
      <c r="H1814" s="781"/>
      <c r="I1814" s="803"/>
      <c r="J1814" s="779"/>
      <c r="K1814" s="800"/>
      <c r="L1814" s="800"/>
      <c r="M1814" s="779"/>
      <c r="N1814" s="779"/>
    </row>
    <row r="1815" spans="1:23" s="89" customFormat="1" ht="40.35" customHeight="1">
      <c r="A1815" s="564" t="str">
        <f ca="1">INDIRECT("'update Helper'!C"&amp;U1815)</f>
        <v>a163p000004VjuKAAS</v>
      </c>
      <c r="B1815" s="794">
        <v>30</v>
      </c>
      <c r="C1815" s="795" t="str">
        <f ca="1">VLOOKUP(B1815,'Coverage Indicators - Section D'!$A$9:$AU$70,47,FALSE)</f>
        <v/>
      </c>
      <c r="D1815" s="796" t="str">
        <f ca="1">R1815</f>
        <v/>
      </c>
      <c r="E1815" s="796" t="str">
        <f ca="1">S1815</f>
        <v/>
      </c>
      <c r="F1815" s="127"/>
      <c r="G1815" s="797" t="str">
        <f ca="1">IF(OR(INDIRECT("'update Helper'!E"&amp;U1815)="",F1815&lt;&gt;0,F1816&lt;&gt;0),IF(IFERROR((F1815/F1816),"")="","",(F1815/F1816)),INDIRECT("'update Helper'!E"&amp;U1815)/100)</f>
        <v/>
      </c>
      <c r="H1815" s="784"/>
      <c r="I1815" s="798"/>
      <c r="J1815" s="777"/>
      <c r="K1815" s="795" t="str">
        <f ca="1">W1815</f>
        <v/>
      </c>
      <c r="L1815" s="795" t="str">
        <f ca="1">V1815</f>
        <v/>
      </c>
      <c r="M1815" s="777"/>
      <c r="N1815" s="777"/>
      <c r="P1815" s="89">
        <f ca="1">IF(AND(EXACT(C1815,C1813),C1813&lt;&gt;0),P1813+1,0)</f>
        <v>357</v>
      </c>
      <c r="Q1815" s="89" t="str">
        <f ca="1">IF(C1815&lt;&gt;"",C1815&amp;"-"&amp;P1815,"")</f>
        <v/>
      </c>
      <c r="R1815" s="89" t="str">
        <f t="array" aca="1" ref="R1815" ca="1">IFERROR(IF(INDEX('Disaggregation Records'!$E$155:$E$385,MATCH(RIGHT(Q1815,255),RIGHT('Disaggregation Records'!$D$155:$D$385,255),0))="","",INDEX('Disaggregation Records'!$E$155:$E$385,MATCH(RIGHT(Q1815,255),RIGHT('Disaggregation Records'!$D$155:$D$385,255),0))),"")</f>
        <v/>
      </c>
      <c r="S1815" s="89" t="str">
        <f t="array" aca="1" ref="S1815" ca="1">IFERROR(IF(INDEX('Disaggregation Records'!$F$155:$F$385,MATCH(RIGHT(Q1815,255),RIGHT('Disaggregation Records'!$D$155:$D$385,255),0))="","",INDEX('Disaggregation Records'!$F$155:$F$385,MATCH(RIGHT(Q1815,255),RIGHT('Disaggregation Records'!$D$155:$D$385,255),0))),"")</f>
        <v/>
      </c>
      <c r="T1815" s="89" t="str">
        <f t="array" aca="1" ref="T1815" ca="1">IFERROR(IF(INDEX('Disaggregation Records'!$H$155:$H$385,MATCH(RIGHT(Q1815,255),RIGHT('Disaggregation Records'!$D$155:$D$385,255),0))="","",INDEX('Disaggregation Records'!$H$155:$H$385,MATCH(RIGHT(Q1815,255),RIGHT('Disaggregation Records'!$D$155:$D$385,255),0))),"")</f>
        <v/>
      </c>
      <c r="U1815" s="89">
        <f>U1813+1</f>
        <v>2017</v>
      </c>
      <c r="V1815" s="89" t="str">
        <f t="array" aca="1" ref="V1815" ca="1">IFERROR(IF(INDEX('Disaggregation Records'!$I$155:$I$385,MATCH(RIGHT(Q1815,255),RIGHT('Disaggregation Records'!$D$155:$D$385,255),0))="","",INDEX('Disaggregation Records'!$I$155:$I$385,MATCH(RIGHT(Q1815,255),RIGHT('Disaggregation Records'!$D$155:$D$385,255),0))),"")</f>
        <v/>
      </c>
      <c r="W1815" s="89" t="str">
        <f ca="1">IFERROR(INDEX('Reference Records'!L$77:L$157,MATCH(LEFT(C1815,255),'Reference Records'!E$77:E$157,0)),"")</f>
        <v/>
      </c>
    </row>
    <row r="1816" spans="1:23" s="89" customFormat="1" ht="40.35" customHeight="1">
      <c r="A1816" s="564"/>
      <c r="B1816" s="799"/>
      <c r="C1816" s="800"/>
      <c r="D1816" s="801"/>
      <c r="E1816" s="801"/>
      <c r="F1816" s="128"/>
      <c r="G1816" s="802"/>
      <c r="H1816" s="781"/>
      <c r="I1816" s="803"/>
      <c r="J1816" s="779"/>
      <c r="K1816" s="800"/>
      <c r="L1816" s="800"/>
      <c r="M1816" s="779"/>
      <c r="N1816" s="779"/>
    </row>
    <row r="1817" spans="1:23" s="89" customFormat="1" ht="40.35" customHeight="1">
      <c r="A1817" s="564" t="str">
        <f ca="1">INDIRECT("'update Helper'!C"&amp;U1817)</f>
        <v>a163p000004VjuLAAS</v>
      </c>
      <c r="B1817" s="794">
        <v>30</v>
      </c>
      <c r="C1817" s="795" t="str">
        <f ca="1">VLOOKUP(B1817,'Coverage Indicators - Section D'!$A$9:$AU$70,47,FALSE)</f>
        <v/>
      </c>
      <c r="D1817" s="796" t="str">
        <f ca="1">R1817</f>
        <v/>
      </c>
      <c r="E1817" s="796" t="str">
        <f ca="1">S1817</f>
        <v/>
      </c>
      <c r="F1817" s="127"/>
      <c r="G1817" s="797" t="str">
        <f ca="1">IF(OR(INDIRECT("'update Helper'!E"&amp;U1817)="",F1817&lt;&gt;0,F1818&lt;&gt;0),IF(IFERROR((F1817/F1818),"")="","",(F1817/F1818)),INDIRECT("'update Helper'!E"&amp;U1817)/100)</f>
        <v/>
      </c>
      <c r="H1817" s="784"/>
      <c r="I1817" s="798"/>
      <c r="J1817" s="777"/>
      <c r="K1817" s="795" t="str">
        <f ca="1">W1817</f>
        <v/>
      </c>
      <c r="L1817" s="795" t="str">
        <f ca="1">V1817</f>
        <v/>
      </c>
      <c r="M1817" s="777"/>
      <c r="N1817" s="777"/>
      <c r="P1817" s="89">
        <f ca="1">IF(AND(EXACT(C1817,C1815),C1815&lt;&gt;0),P1815+1,0)</f>
        <v>358</v>
      </c>
      <c r="Q1817" s="89" t="str">
        <f ca="1">IF(C1817&lt;&gt;"",C1817&amp;"-"&amp;P1817,"")</f>
        <v/>
      </c>
      <c r="R1817" s="89" t="str">
        <f t="array" aca="1" ref="R1817" ca="1">IFERROR(IF(INDEX('Disaggregation Records'!$E$155:$E$385,MATCH(RIGHT(Q1817,255),RIGHT('Disaggregation Records'!$D$155:$D$385,255),0))="","",INDEX('Disaggregation Records'!$E$155:$E$385,MATCH(RIGHT(Q1817,255),RIGHT('Disaggregation Records'!$D$155:$D$385,255),0))),"")</f>
        <v/>
      </c>
      <c r="S1817" s="89" t="str">
        <f t="array" aca="1" ref="S1817" ca="1">IFERROR(IF(INDEX('Disaggregation Records'!$F$155:$F$385,MATCH(RIGHT(Q1817,255),RIGHT('Disaggregation Records'!$D$155:$D$385,255),0))="","",INDEX('Disaggregation Records'!$F$155:$F$385,MATCH(RIGHT(Q1817,255),RIGHT('Disaggregation Records'!$D$155:$D$385,255),0))),"")</f>
        <v/>
      </c>
      <c r="T1817" s="89" t="str">
        <f t="array" aca="1" ref="T1817" ca="1">IFERROR(IF(INDEX('Disaggregation Records'!$H$155:$H$385,MATCH(RIGHT(Q1817,255),RIGHT('Disaggregation Records'!$D$155:$D$385,255),0))="","",INDEX('Disaggregation Records'!$H$155:$H$385,MATCH(RIGHT(Q1817,255),RIGHT('Disaggregation Records'!$D$155:$D$385,255),0))),"")</f>
        <v/>
      </c>
      <c r="U1817" s="89">
        <f>U1815+1</f>
        <v>2018</v>
      </c>
      <c r="V1817" s="89" t="str">
        <f t="array" aca="1" ref="V1817" ca="1">IFERROR(IF(INDEX('Disaggregation Records'!$I$155:$I$385,MATCH(RIGHT(Q1817,255),RIGHT('Disaggregation Records'!$D$155:$D$385,255),0))="","",INDEX('Disaggregation Records'!$I$155:$I$385,MATCH(RIGHT(Q1817,255),RIGHT('Disaggregation Records'!$D$155:$D$385,255),0))),"")</f>
        <v/>
      </c>
      <c r="W1817" s="89" t="str">
        <f ca="1">IFERROR(INDEX('Reference Records'!L$77:L$157,MATCH(LEFT(C1817,255),'Reference Records'!E$77:E$157,0)),"")</f>
        <v/>
      </c>
    </row>
    <row r="1818" spans="1:23" s="89" customFormat="1" ht="40.35" customHeight="1">
      <c r="A1818" s="564"/>
      <c r="B1818" s="799"/>
      <c r="C1818" s="800"/>
      <c r="D1818" s="801"/>
      <c r="E1818" s="801"/>
      <c r="F1818" s="128"/>
      <c r="G1818" s="802"/>
      <c r="H1818" s="781"/>
      <c r="I1818" s="803"/>
      <c r="J1818" s="779"/>
      <c r="K1818" s="800"/>
      <c r="L1818" s="800"/>
      <c r="M1818" s="779"/>
      <c r="N1818" s="779"/>
    </row>
    <row r="1819" spans="1:23" s="89" customFormat="1" ht="40.35" customHeight="1">
      <c r="A1819" s="564" t="str">
        <f ca="1">INDIRECT("'update Helper'!C"&amp;U1819)</f>
        <v>a163p000004VjuMAAS</v>
      </c>
      <c r="B1819" s="794">
        <v>30</v>
      </c>
      <c r="C1819" s="795" t="str">
        <f ca="1">VLOOKUP(B1819,'Coverage Indicators - Section D'!$A$9:$AU$70,47,FALSE)</f>
        <v/>
      </c>
      <c r="D1819" s="796" t="str">
        <f ca="1">R1819</f>
        <v/>
      </c>
      <c r="E1819" s="796" t="str">
        <f ca="1">S1819</f>
        <v/>
      </c>
      <c r="F1819" s="127"/>
      <c r="G1819" s="797" t="str">
        <f ca="1">IF(OR(INDIRECT("'update Helper'!E"&amp;U1819)="",F1819&lt;&gt;0,F1820&lt;&gt;0),IF(IFERROR((F1819/F1820),"")="","",(F1819/F1820)),INDIRECT("'update Helper'!E"&amp;U1819)/100)</f>
        <v/>
      </c>
      <c r="H1819" s="784"/>
      <c r="I1819" s="798"/>
      <c r="J1819" s="777"/>
      <c r="K1819" s="795" t="str">
        <f ca="1">W1819</f>
        <v/>
      </c>
      <c r="L1819" s="795" t="str">
        <f ca="1">V1819</f>
        <v/>
      </c>
      <c r="M1819" s="777"/>
      <c r="N1819" s="777"/>
      <c r="P1819" s="89">
        <f ca="1">IF(AND(EXACT(C1819,C1817),C1817&lt;&gt;0),P1817+1,0)</f>
        <v>359</v>
      </c>
      <c r="Q1819" s="89" t="str">
        <f ca="1">IF(C1819&lt;&gt;"",C1819&amp;"-"&amp;P1819,"")</f>
        <v/>
      </c>
      <c r="R1819" s="89" t="str">
        <f t="array" aca="1" ref="R1819" ca="1">IFERROR(IF(INDEX('Disaggregation Records'!$E$155:$E$385,MATCH(RIGHT(Q1819,255),RIGHT('Disaggregation Records'!$D$155:$D$385,255),0))="","",INDEX('Disaggregation Records'!$E$155:$E$385,MATCH(RIGHT(Q1819,255),RIGHT('Disaggregation Records'!$D$155:$D$385,255),0))),"")</f>
        <v/>
      </c>
      <c r="S1819" s="89" t="str">
        <f t="array" aca="1" ref="S1819" ca="1">IFERROR(IF(INDEX('Disaggregation Records'!$F$155:$F$385,MATCH(RIGHT(Q1819,255),RIGHT('Disaggregation Records'!$D$155:$D$385,255),0))="","",INDEX('Disaggregation Records'!$F$155:$F$385,MATCH(RIGHT(Q1819,255),RIGHT('Disaggregation Records'!$D$155:$D$385,255),0))),"")</f>
        <v/>
      </c>
      <c r="T1819" s="89" t="str">
        <f t="array" aca="1" ref="T1819" ca="1">IFERROR(IF(INDEX('Disaggregation Records'!$H$155:$H$385,MATCH(RIGHT(Q1819,255),RIGHT('Disaggregation Records'!$D$155:$D$385,255),0))="","",INDEX('Disaggregation Records'!$H$155:$H$385,MATCH(RIGHT(Q1819,255),RIGHT('Disaggregation Records'!$D$155:$D$385,255),0))),"")</f>
        <v/>
      </c>
      <c r="U1819" s="89">
        <f>U1817+1</f>
        <v>2019</v>
      </c>
      <c r="V1819" s="89" t="str">
        <f t="array" aca="1" ref="V1819" ca="1">IFERROR(IF(INDEX('Disaggregation Records'!$I$155:$I$385,MATCH(RIGHT(Q1819,255),RIGHT('Disaggregation Records'!$D$155:$D$385,255),0))="","",INDEX('Disaggregation Records'!$I$155:$I$385,MATCH(RIGHT(Q1819,255),RIGHT('Disaggregation Records'!$D$155:$D$385,255),0))),"")</f>
        <v/>
      </c>
      <c r="W1819" s="89" t="str">
        <f ca="1">IFERROR(INDEX('Reference Records'!L$77:L$157,MATCH(LEFT(C1819,255),'Reference Records'!E$77:E$157,0)),"")</f>
        <v/>
      </c>
    </row>
    <row r="1820" spans="1:23" s="89" customFormat="1" ht="40.35" customHeight="1">
      <c r="A1820" s="564"/>
      <c r="B1820" s="799"/>
      <c r="C1820" s="800"/>
      <c r="D1820" s="801"/>
      <c r="E1820" s="801"/>
      <c r="F1820" s="128"/>
      <c r="G1820" s="802"/>
      <c r="H1820" s="781"/>
      <c r="I1820" s="803"/>
      <c r="J1820" s="779"/>
      <c r="K1820" s="800"/>
      <c r="L1820" s="800"/>
      <c r="M1820" s="779"/>
      <c r="N1820" s="779"/>
    </row>
  </sheetData>
  <sheetProtection sheet="1" objects="1" scenarios="1" formatCells="0" formatColumns="0" formatRows="0"/>
  <mergeCells count="11707">
    <mergeCell ref="B8:J8"/>
    <mergeCell ref="K8:N8"/>
    <mergeCell ref="B314:J314"/>
    <mergeCell ref="K314:N314"/>
    <mergeCell ref="B619:J619"/>
    <mergeCell ref="K619:N619"/>
    <mergeCell ref="B10:B11"/>
    <mergeCell ref="B12:B13"/>
    <mergeCell ref="B14:B15"/>
    <mergeCell ref="B16:B17"/>
    <mergeCell ref="A10:A11"/>
    <mergeCell ref="A12:A13"/>
    <mergeCell ref="A14:A15"/>
    <mergeCell ref="A16:A17"/>
    <mergeCell ref="A18:A19"/>
    <mergeCell ref="A20:A21"/>
    <mergeCell ref="A22:A23"/>
    <mergeCell ref="A24:A25"/>
    <mergeCell ref="A26:A27"/>
    <mergeCell ref="A28:A29"/>
    <mergeCell ref="A30:A31"/>
    <mergeCell ref="A32:A33"/>
    <mergeCell ref="A34:A35"/>
    <mergeCell ref="A36:A37"/>
    <mergeCell ref="A38:A39"/>
    <mergeCell ref="A40:A41"/>
    <mergeCell ref="A42:A43"/>
    <mergeCell ref="A44:A45"/>
    <mergeCell ref="A46:A47"/>
    <mergeCell ref="A48:A49"/>
    <mergeCell ref="A50:A51"/>
    <mergeCell ref="A52:A53"/>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A84:A85"/>
    <mergeCell ref="A86:A87"/>
    <mergeCell ref="A88:A89"/>
    <mergeCell ref="A90:A91"/>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4:A125"/>
    <mergeCell ref="A126:A127"/>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0:A161"/>
    <mergeCell ref="A162:A163"/>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196:A197"/>
    <mergeCell ref="A198:A199"/>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2:A233"/>
    <mergeCell ref="A234:A235"/>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68:A269"/>
    <mergeCell ref="A270:A271"/>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4:A305"/>
    <mergeCell ref="A306:A307"/>
    <mergeCell ref="A308:A309"/>
    <mergeCell ref="A316:A317"/>
    <mergeCell ref="A318:A319"/>
    <mergeCell ref="A320:A321"/>
    <mergeCell ref="A322:A323"/>
    <mergeCell ref="A324:A325"/>
    <mergeCell ref="A326:A327"/>
    <mergeCell ref="A328:A329"/>
    <mergeCell ref="A330:A331"/>
    <mergeCell ref="A332:A333"/>
    <mergeCell ref="A334:A335"/>
    <mergeCell ref="A336:A337"/>
    <mergeCell ref="A338:A339"/>
    <mergeCell ref="A340:A341"/>
    <mergeCell ref="A342:A343"/>
    <mergeCell ref="A344:A345"/>
    <mergeCell ref="A346:A347"/>
    <mergeCell ref="A348:A349"/>
    <mergeCell ref="A350:A351"/>
    <mergeCell ref="A352:A353"/>
    <mergeCell ref="A354:A355"/>
    <mergeCell ref="A356:A357"/>
    <mergeCell ref="A358:A359"/>
    <mergeCell ref="A360:A361"/>
    <mergeCell ref="A362:A363"/>
    <mergeCell ref="A364:A365"/>
    <mergeCell ref="A366:A367"/>
    <mergeCell ref="A368:A369"/>
    <mergeCell ref="A370:A371"/>
    <mergeCell ref="A372:A373"/>
    <mergeCell ref="A374:A375"/>
    <mergeCell ref="A376:A377"/>
    <mergeCell ref="A378:A379"/>
    <mergeCell ref="A380:A381"/>
    <mergeCell ref="A382:A383"/>
    <mergeCell ref="A384:A385"/>
    <mergeCell ref="A386:A387"/>
    <mergeCell ref="A388:A389"/>
    <mergeCell ref="A390:A391"/>
    <mergeCell ref="A392:A393"/>
    <mergeCell ref="A394:A395"/>
    <mergeCell ref="A396:A397"/>
    <mergeCell ref="A398:A399"/>
    <mergeCell ref="A400:A401"/>
    <mergeCell ref="A402:A403"/>
    <mergeCell ref="A404:A405"/>
    <mergeCell ref="A406:A407"/>
    <mergeCell ref="A408:A409"/>
    <mergeCell ref="A410:A411"/>
    <mergeCell ref="A412:A413"/>
    <mergeCell ref="A414:A415"/>
    <mergeCell ref="A416:A417"/>
    <mergeCell ref="A418:A419"/>
    <mergeCell ref="A420:A421"/>
    <mergeCell ref="A422:A423"/>
    <mergeCell ref="A424:A425"/>
    <mergeCell ref="A426:A427"/>
    <mergeCell ref="A428:A429"/>
    <mergeCell ref="A430:A431"/>
    <mergeCell ref="A432:A433"/>
    <mergeCell ref="A434:A435"/>
    <mergeCell ref="A436:A437"/>
    <mergeCell ref="A438:A439"/>
    <mergeCell ref="A440:A441"/>
    <mergeCell ref="A442:A443"/>
    <mergeCell ref="A444:A445"/>
    <mergeCell ref="A446:A447"/>
    <mergeCell ref="A448:A449"/>
    <mergeCell ref="A450:A451"/>
    <mergeCell ref="A452:A453"/>
    <mergeCell ref="A454:A455"/>
    <mergeCell ref="A456:A457"/>
    <mergeCell ref="A458:A459"/>
    <mergeCell ref="A460:A461"/>
    <mergeCell ref="A462:A463"/>
    <mergeCell ref="A464:A465"/>
    <mergeCell ref="A466:A467"/>
    <mergeCell ref="A468:A469"/>
    <mergeCell ref="A470:A471"/>
    <mergeCell ref="A472:A473"/>
    <mergeCell ref="A474:A475"/>
    <mergeCell ref="A476:A477"/>
    <mergeCell ref="A478:A479"/>
    <mergeCell ref="A480:A481"/>
    <mergeCell ref="A482:A483"/>
    <mergeCell ref="A484:A485"/>
    <mergeCell ref="A486:A487"/>
    <mergeCell ref="A488:A489"/>
    <mergeCell ref="A490:A491"/>
    <mergeCell ref="A492:A493"/>
    <mergeCell ref="A494:A495"/>
    <mergeCell ref="A496:A497"/>
    <mergeCell ref="A498:A499"/>
    <mergeCell ref="A500:A501"/>
    <mergeCell ref="A502:A503"/>
    <mergeCell ref="A504:A505"/>
    <mergeCell ref="A506:A507"/>
    <mergeCell ref="A508:A509"/>
    <mergeCell ref="A510:A511"/>
    <mergeCell ref="A512:A513"/>
    <mergeCell ref="A514:A515"/>
    <mergeCell ref="A516:A517"/>
    <mergeCell ref="A518:A519"/>
    <mergeCell ref="A520:A521"/>
    <mergeCell ref="A522:A523"/>
    <mergeCell ref="A524:A525"/>
    <mergeCell ref="A526:A527"/>
    <mergeCell ref="A528:A529"/>
    <mergeCell ref="A530:A531"/>
    <mergeCell ref="A532:A533"/>
    <mergeCell ref="A534:A535"/>
    <mergeCell ref="A536:A537"/>
    <mergeCell ref="A538:A539"/>
    <mergeCell ref="A540:A541"/>
    <mergeCell ref="A542:A543"/>
    <mergeCell ref="A544:A545"/>
    <mergeCell ref="A546:A547"/>
    <mergeCell ref="A548:A549"/>
    <mergeCell ref="A550:A551"/>
    <mergeCell ref="A552:A553"/>
    <mergeCell ref="A554:A555"/>
    <mergeCell ref="A556:A557"/>
    <mergeCell ref="A558:A559"/>
    <mergeCell ref="A560:A561"/>
    <mergeCell ref="A562:A563"/>
    <mergeCell ref="A564:A565"/>
    <mergeCell ref="A566:A567"/>
    <mergeCell ref="A568:A569"/>
    <mergeCell ref="A570:A571"/>
    <mergeCell ref="A572:A573"/>
    <mergeCell ref="A574:A575"/>
    <mergeCell ref="A576:A577"/>
    <mergeCell ref="A578:A579"/>
    <mergeCell ref="A580:A581"/>
    <mergeCell ref="A582:A583"/>
    <mergeCell ref="A584:A585"/>
    <mergeCell ref="A586:A587"/>
    <mergeCell ref="A588:A589"/>
    <mergeCell ref="A590:A591"/>
    <mergeCell ref="A592:A593"/>
    <mergeCell ref="A594:A595"/>
    <mergeCell ref="A596:A597"/>
    <mergeCell ref="A598:A599"/>
    <mergeCell ref="A600:A601"/>
    <mergeCell ref="A602:A603"/>
    <mergeCell ref="A604:A605"/>
    <mergeCell ref="A606:A607"/>
    <mergeCell ref="A608:A609"/>
    <mergeCell ref="A610:A611"/>
    <mergeCell ref="A612:A613"/>
    <mergeCell ref="A614:A615"/>
    <mergeCell ref="A621:A622"/>
    <mergeCell ref="A623:A624"/>
    <mergeCell ref="A625:A626"/>
    <mergeCell ref="A627:A628"/>
    <mergeCell ref="A629:A630"/>
    <mergeCell ref="A631:A632"/>
    <mergeCell ref="A633:A634"/>
    <mergeCell ref="A635:A636"/>
    <mergeCell ref="A637:A638"/>
    <mergeCell ref="A639:A640"/>
    <mergeCell ref="A641:A642"/>
    <mergeCell ref="A643:A644"/>
    <mergeCell ref="A645:A646"/>
    <mergeCell ref="A647:A648"/>
    <mergeCell ref="A649:A650"/>
    <mergeCell ref="A651:A652"/>
    <mergeCell ref="A653:A654"/>
    <mergeCell ref="A655:A656"/>
    <mergeCell ref="A657:A658"/>
    <mergeCell ref="A659:A660"/>
    <mergeCell ref="A661:A662"/>
    <mergeCell ref="A663:A664"/>
    <mergeCell ref="A665:A666"/>
    <mergeCell ref="A667:A668"/>
    <mergeCell ref="A669:A670"/>
    <mergeCell ref="A671:A672"/>
    <mergeCell ref="A673:A674"/>
    <mergeCell ref="A675:A676"/>
    <mergeCell ref="A677:A678"/>
    <mergeCell ref="A679:A680"/>
    <mergeCell ref="A681:A682"/>
    <mergeCell ref="A683:A684"/>
    <mergeCell ref="A685:A686"/>
    <mergeCell ref="A687:A688"/>
    <mergeCell ref="A689:A690"/>
    <mergeCell ref="A691:A692"/>
    <mergeCell ref="A693:A694"/>
    <mergeCell ref="A695:A696"/>
    <mergeCell ref="A697:A698"/>
    <mergeCell ref="A699:A700"/>
    <mergeCell ref="A701:A702"/>
    <mergeCell ref="A703:A704"/>
    <mergeCell ref="A705:A706"/>
    <mergeCell ref="A707:A708"/>
    <mergeCell ref="A709:A710"/>
    <mergeCell ref="A711:A712"/>
    <mergeCell ref="A713:A714"/>
    <mergeCell ref="A715:A716"/>
    <mergeCell ref="A717:A718"/>
    <mergeCell ref="A719:A720"/>
    <mergeCell ref="A721:A722"/>
    <mergeCell ref="A723:A724"/>
    <mergeCell ref="A725:A726"/>
    <mergeCell ref="A727:A728"/>
    <mergeCell ref="A729:A730"/>
    <mergeCell ref="A731:A732"/>
    <mergeCell ref="A733:A734"/>
    <mergeCell ref="A735:A736"/>
    <mergeCell ref="A737:A738"/>
    <mergeCell ref="A739:A740"/>
    <mergeCell ref="A741:A742"/>
    <mergeCell ref="A743:A744"/>
    <mergeCell ref="A745:A746"/>
    <mergeCell ref="A747:A748"/>
    <mergeCell ref="A749:A750"/>
    <mergeCell ref="A751:A752"/>
    <mergeCell ref="A753:A754"/>
    <mergeCell ref="A755:A756"/>
    <mergeCell ref="A757:A758"/>
    <mergeCell ref="A759:A760"/>
    <mergeCell ref="A761:A762"/>
    <mergeCell ref="A763:A764"/>
    <mergeCell ref="A765:A766"/>
    <mergeCell ref="A767:A768"/>
    <mergeCell ref="A769:A770"/>
    <mergeCell ref="A771:A772"/>
    <mergeCell ref="A773:A774"/>
    <mergeCell ref="A775:A776"/>
    <mergeCell ref="A777:A778"/>
    <mergeCell ref="A779:A780"/>
    <mergeCell ref="A781:A782"/>
    <mergeCell ref="A783:A784"/>
    <mergeCell ref="A785:A786"/>
    <mergeCell ref="A787:A788"/>
    <mergeCell ref="A789:A790"/>
    <mergeCell ref="A791:A792"/>
    <mergeCell ref="A793:A794"/>
    <mergeCell ref="A795:A796"/>
    <mergeCell ref="A797:A798"/>
    <mergeCell ref="A799:A800"/>
    <mergeCell ref="A801:A802"/>
    <mergeCell ref="A803:A804"/>
    <mergeCell ref="A805:A806"/>
    <mergeCell ref="A807:A808"/>
    <mergeCell ref="A809:A810"/>
    <mergeCell ref="A811:A812"/>
    <mergeCell ref="A813:A814"/>
    <mergeCell ref="A815:A816"/>
    <mergeCell ref="A817:A818"/>
    <mergeCell ref="A819:A820"/>
    <mergeCell ref="A821:A822"/>
    <mergeCell ref="A823:A824"/>
    <mergeCell ref="A825:A826"/>
    <mergeCell ref="A827:A828"/>
    <mergeCell ref="A829:A830"/>
    <mergeCell ref="A831:A832"/>
    <mergeCell ref="A833:A834"/>
    <mergeCell ref="A835:A836"/>
    <mergeCell ref="A837:A838"/>
    <mergeCell ref="A839:A840"/>
    <mergeCell ref="A841:A842"/>
    <mergeCell ref="A843:A844"/>
    <mergeCell ref="A845:A846"/>
    <mergeCell ref="A847:A848"/>
    <mergeCell ref="A849:A850"/>
    <mergeCell ref="A851:A852"/>
    <mergeCell ref="A853:A854"/>
    <mergeCell ref="A855:A856"/>
    <mergeCell ref="A857:A858"/>
    <mergeCell ref="A859:A860"/>
    <mergeCell ref="A861:A862"/>
    <mergeCell ref="A863:A864"/>
    <mergeCell ref="A865:A866"/>
    <mergeCell ref="A867:A868"/>
    <mergeCell ref="A869:A870"/>
    <mergeCell ref="A871:A872"/>
    <mergeCell ref="A873:A874"/>
    <mergeCell ref="A875:A876"/>
    <mergeCell ref="A877:A878"/>
    <mergeCell ref="A879:A880"/>
    <mergeCell ref="A881:A882"/>
    <mergeCell ref="A883:A884"/>
    <mergeCell ref="A885:A886"/>
    <mergeCell ref="A887:A888"/>
    <mergeCell ref="A889:A890"/>
    <mergeCell ref="A891:A892"/>
    <mergeCell ref="A893:A894"/>
    <mergeCell ref="A895:A896"/>
    <mergeCell ref="A897:A898"/>
    <mergeCell ref="A899:A900"/>
    <mergeCell ref="A901:A902"/>
    <mergeCell ref="A903:A904"/>
    <mergeCell ref="A905:A906"/>
    <mergeCell ref="A907:A908"/>
    <mergeCell ref="A909:A910"/>
    <mergeCell ref="A911:A912"/>
    <mergeCell ref="A913:A914"/>
    <mergeCell ref="A915:A916"/>
    <mergeCell ref="A917:A918"/>
    <mergeCell ref="A919:A920"/>
    <mergeCell ref="A921:A922"/>
    <mergeCell ref="A923:A924"/>
    <mergeCell ref="A925:A926"/>
    <mergeCell ref="A927:A928"/>
    <mergeCell ref="A929:A930"/>
    <mergeCell ref="A931:A932"/>
    <mergeCell ref="A933:A934"/>
    <mergeCell ref="A935:A936"/>
    <mergeCell ref="A937:A938"/>
    <mergeCell ref="A939:A940"/>
    <mergeCell ref="A941:A942"/>
    <mergeCell ref="A943:A944"/>
    <mergeCell ref="A945:A946"/>
    <mergeCell ref="A947:A948"/>
    <mergeCell ref="A949:A950"/>
    <mergeCell ref="A951:A952"/>
    <mergeCell ref="A953:A954"/>
    <mergeCell ref="A955:A956"/>
    <mergeCell ref="A957:A958"/>
    <mergeCell ref="A959:A960"/>
    <mergeCell ref="A961:A962"/>
    <mergeCell ref="A963:A964"/>
    <mergeCell ref="A965:A966"/>
    <mergeCell ref="A967:A968"/>
    <mergeCell ref="A969:A970"/>
    <mergeCell ref="A971:A972"/>
    <mergeCell ref="A973:A974"/>
    <mergeCell ref="A975:A976"/>
    <mergeCell ref="A977:A978"/>
    <mergeCell ref="A979:A980"/>
    <mergeCell ref="A981:A982"/>
    <mergeCell ref="A983:A984"/>
    <mergeCell ref="A985:A986"/>
    <mergeCell ref="A987:A988"/>
    <mergeCell ref="A989:A990"/>
    <mergeCell ref="A991:A992"/>
    <mergeCell ref="A993:A994"/>
    <mergeCell ref="A995:A996"/>
    <mergeCell ref="A997:A998"/>
    <mergeCell ref="A999:A1000"/>
    <mergeCell ref="A1001:A1002"/>
    <mergeCell ref="A1003:A1004"/>
    <mergeCell ref="A1005:A1006"/>
    <mergeCell ref="A1007:A1008"/>
    <mergeCell ref="A1009:A1010"/>
    <mergeCell ref="A1011:A1012"/>
    <mergeCell ref="A1013:A1014"/>
    <mergeCell ref="A1015:A1016"/>
    <mergeCell ref="A1017:A1018"/>
    <mergeCell ref="A1019:A1020"/>
    <mergeCell ref="A1021:A1022"/>
    <mergeCell ref="A1023:A1024"/>
    <mergeCell ref="A1025:A1026"/>
    <mergeCell ref="A1027:A1028"/>
    <mergeCell ref="A1029:A1030"/>
    <mergeCell ref="A1031:A1032"/>
    <mergeCell ref="A1033:A1034"/>
    <mergeCell ref="A1035:A1036"/>
    <mergeCell ref="A1037:A1038"/>
    <mergeCell ref="A1039:A1040"/>
    <mergeCell ref="A1041:A1042"/>
    <mergeCell ref="A1043:A1044"/>
    <mergeCell ref="A1045:A1046"/>
    <mergeCell ref="A1047:A1048"/>
    <mergeCell ref="A1049:A1050"/>
    <mergeCell ref="A1051:A1052"/>
    <mergeCell ref="A1053:A1054"/>
    <mergeCell ref="A1055:A1056"/>
    <mergeCell ref="A1057:A1058"/>
    <mergeCell ref="A1059:A1060"/>
    <mergeCell ref="A1061:A1062"/>
    <mergeCell ref="A1063:A1064"/>
    <mergeCell ref="A1065:A1066"/>
    <mergeCell ref="A1067:A1068"/>
    <mergeCell ref="A1069:A1070"/>
    <mergeCell ref="A1071:A1072"/>
    <mergeCell ref="A1073:A1074"/>
    <mergeCell ref="A1075:A1076"/>
    <mergeCell ref="A1077:A1078"/>
    <mergeCell ref="A1079:A1080"/>
    <mergeCell ref="A1081:A1082"/>
    <mergeCell ref="A1083:A1084"/>
    <mergeCell ref="A1085:A1086"/>
    <mergeCell ref="A1087:A1088"/>
    <mergeCell ref="A1089:A1090"/>
    <mergeCell ref="A1091:A1092"/>
    <mergeCell ref="A1093:A1094"/>
    <mergeCell ref="A1095:A1096"/>
    <mergeCell ref="A1097:A1098"/>
    <mergeCell ref="A1099:A1100"/>
    <mergeCell ref="A1101:A1102"/>
    <mergeCell ref="A1103:A1104"/>
    <mergeCell ref="A1105:A1106"/>
    <mergeCell ref="A1107:A1108"/>
    <mergeCell ref="A1109:A1110"/>
    <mergeCell ref="A1111:A1112"/>
    <mergeCell ref="A1113:A1114"/>
    <mergeCell ref="A1115:A1116"/>
    <mergeCell ref="A1117:A1118"/>
    <mergeCell ref="A1119:A1120"/>
    <mergeCell ref="A1121:A1122"/>
    <mergeCell ref="A1123:A1124"/>
    <mergeCell ref="A1125:A1126"/>
    <mergeCell ref="A1127:A1128"/>
    <mergeCell ref="A1129:A1130"/>
    <mergeCell ref="A1131:A1132"/>
    <mergeCell ref="A1133:A1134"/>
    <mergeCell ref="A1135:A1136"/>
    <mergeCell ref="A1137:A1138"/>
    <mergeCell ref="A1139:A1140"/>
    <mergeCell ref="A1141:A1142"/>
    <mergeCell ref="A1143:A1144"/>
    <mergeCell ref="A1145:A1146"/>
    <mergeCell ref="A1147:A1148"/>
    <mergeCell ref="A1149:A1150"/>
    <mergeCell ref="A1151:A1152"/>
    <mergeCell ref="A1153:A1154"/>
    <mergeCell ref="A1155:A1156"/>
    <mergeCell ref="A1157:A1158"/>
    <mergeCell ref="A1159:A1160"/>
    <mergeCell ref="A1161:A1162"/>
    <mergeCell ref="A1163:A1164"/>
    <mergeCell ref="A1165:A1166"/>
    <mergeCell ref="A1167:A1168"/>
    <mergeCell ref="A1169:A1170"/>
    <mergeCell ref="A1171:A1172"/>
    <mergeCell ref="A1173:A1174"/>
    <mergeCell ref="A1175:A1176"/>
    <mergeCell ref="A1177:A1178"/>
    <mergeCell ref="A1179:A1180"/>
    <mergeCell ref="A1181:A1182"/>
    <mergeCell ref="A1183:A1184"/>
    <mergeCell ref="A1185:A1186"/>
    <mergeCell ref="A1187:A1188"/>
    <mergeCell ref="A1189:A1190"/>
    <mergeCell ref="A1191:A1192"/>
    <mergeCell ref="A1193:A1194"/>
    <mergeCell ref="A1195:A1196"/>
    <mergeCell ref="A1197:A1198"/>
    <mergeCell ref="A1199:A1200"/>
    <mergeCell ref="A1201:A1202"/>
    <mergeCell ref="A1203:A1204"/>
    <mergeCell ref="A1205:A1206"/>
    <mergeCell ref="A1207:A1208"/>
    <mergeCell ref="A1209:A1210"/>
    <mergeCell ref="A1211:A1212"/>
    <mergeCell ref="A1213:A1214"/>
    <mergeCell ref="A1215:A1216"/>
    <mergeCell ref="A1217:A1218"/>
    <mergeCell ref="A1219:A1220"/>
    <mergeCell ref="A1221:A1222"/>
    <mergeCell ref="A1223:A1224"/>
    <mergeCell ref="A1225:A1226"/>
    <mergeCell ref="A1227:A1228"/>
    <mergeCell ref="A1229:A1230"/>
    <mergeCell ref="A1231:A1232"/>
    <mergeCell ref="A1233:A1234"/>
    <mergeCell ref="A1235:A1236"/>
    <mergeCell ref="A1237:A1238"/>
    <mergeCell ref="A1239:A1240"/>
    <mergeCell ref="A1241:A1242"/>
    <mergeCell ref="A1243:A1244"/>
    <mergeCell ref="A1245:A1246"/>
    <mergeCell ref="A1247:A1248"/>
    <mergeCell ref="A1249:A1250"/>
    <mergeCell ref="A1251:A1252"/>
    <mergeCell ref="A1253:A1254"/>
    <mergeCell ref="A1255:A1256"/>
    <mergeCell ref="A1257:A1258"/>
    <mergeCell ref="A1259:A1260"/>
    <mergeCell ref="A1261:A1262"/>
    <mergeCell ref="A1263:A1264"/>
    <mergeCell ref="A1265:A1266"/>
    <mergeCell ref="A1267:A1268"/>
    <mergeCell ref="A1269:A1270"/>
    <mergeCell ref="A1271:A1272"/>
    <mergeCell ref="A1273:A1274"/>
    <mergeCell ref="A1275:A1276"/>
    <mergeCell ref="A1277:A1278"/>
    <mergeCell ref="A1279:A1280"/>
    <mergeCell ref="A1281:A1282"/>
    <mergeCell ref="A1283:A1284"/>
    <mergeCell ref="A1285:A1286"/>
    <mergeCell ref="A1287:A1288"/>
    <mergeCell ref="A1289:A1290"/>
    <mergeCell ref="A1291:A1292"/>
    <mergeCell ref="A1293:A1294"/>
    <mergeCell ref="A1295:A1296"/>
    <mergeCell ref="A1297:A1298"/>
    <mergeCell ref="A1299:A1300"/>
    <mergeCell ref="A1301:A1302"/>
    <mergeCell ref="A1303:A1304"/>
    <mergeCell ref="A1305:A1306"/>
    <mergeCell ref="A1307:A1308"/>
    <mergeCell ref="A1309:A1310"/>
    <mergeCell ref="A1311:A1312"/>
    <mergeCell ref="A1313:A1314"/>
    <mergeCell ref="A1315:A1316"/>
    <mergeCell ref="A1317:A1318"/>
    <mergeCell ref="A1319:A1320"/>
    <mergeCell ref="A1321:A1322"/>
    <mergeCell ref="A1323:A1324"/>
    <mergeCell ref="A1325:A1326"/>
    <mergeCell ref="A1327:A1328"/>
    <mergeCell ref="A1329:A1330"/>
    <mergeCell ref="A1331:A1332"/>
    <mergeCell ref="A1333:A1334"/>
    <mergeCell ref="A1335:A1336"/>
    <mergeCell ref="A1337:A1338"/>
    <mergeCell ref="A1339:A1340"/>
    <mergeCell ref="A1341:A1342"/>
    <mergeCell ref="A1343:A1344"/>
    <mergeCell ref="A1345:A1346"/>
    <mergeCell ref="A1347:A1348"/>
    <mergeCell ref="A1349:A1350"/>
    <mergeCell ref="A1351:A1352"/>
    <mergeCell ref="A1353:A1354"/>
    <mergeCell ref="A1355:A1356"/>
    <mergeCell ref="A1357:A1358"/>
    <mergeCell ref="A1359:A1360"/>
    <mergeCell ref="A1361:A1362"/>
    <mergeCell ref="A1363:A1364"/>
    <mergeCell ref="A1365:A1366"/>
    <mergeCell ref="A1367:A1368"/>
    <mergeCell ref="A1369:A1370"/>
    <mergeCell ref="A1371:A1372"/>
    <mergeCell ref="A1373:A1374"/>
    <mergeCell ref="A1375:A1376"/>
    <mergeCell ref="A1377:A1378"/>
    <mergeCell ref="A1379:A1380"/>
    <mergeCell ref="A1381:A1382"/>
    <mergeCell ref="A1383:A1384"/>
    <mergeCell ref="A1385:A1386"/>
    <mergeCell ref="A1387:A1388"/>
    <mergeCell ref="A1389:A1390"/>
    <mergeCell ref="A1391:A1392"/>
    <mergeCell ref="A1393:A1394"/>
    <mergeCell ref="A1395:A1396"/>
    <mergeCell ref="A1397:A1398"/>
    <mergeCell ref="A1399:A1400"/>
    <mergeCell ref="A1401:A1402"/>
    <mergeCell ref="A1403:A1404"/>
    <mergeCell ref="A1405:A1406"/>
    <mergeCell ref="A1407:A1408"/>
    <mergeCell ref="A1409:A1410"/>
    <mergeCell ref="A1411:A1412"/>
    <mergeCell ref="A1413:A1414"/>
    <mergeCell ref="A1415:A1416"/>
    <mergeCell ref="A1417:A1418"/>
    <mergeCell ref="A1419:A1420"/>
    <mergeCell ref="A1421:A1422"/>
    <mergeCell ref="A1423:A1424"/>
    <mergeCell ref="A1425:A1426"/>
    <mergeCell ref="A1427:A1428"/>
    <mergeCell ref="A1429:A1430"/>
    <mergeCell ref="A1431:A1432"/>
    <mergeCell ref="A1433:A1434"/>
    <mergeCell ref="A1435:A1436"/>
    <mergeCell ref="A1437:A1438"/>
    <mergeCell ref="A1439:A1440"/>
    <mergeCell ref="A1441:A1442"/>
    <mergeCell ref="A1443:A1444"/>
    <mergeCell ref="A1445:A1446"/>
    <mergeCell ref="A1447:A1448"/>
    <mergeCell ref="A1449:A1450"/>
    <mergeCell ref="A1451:A1452"/>
    <mergeCell ref="A1453:A1454"/>
    <mergeCell ref="A1455:A1456"/>
    <mergeCell ref="A1457:A1458"/>
    <mergeCell ref="A1459:A1460"/>
    <mergeCell ref="A1461:A1462"/>
    <mergeCell ref="A1463:A1464"/>
    <mergeCell ref="A1465:A1466"/>
    <mergeCell ref="A1467:A1468"/>
    <mergeCell ref="A1469:A1470"/>
    <mergeCell ref="A1471:A1472"/>
    <mergeCell ref="A1473:A1474"/>
    <mergeCell ref="A1475:A1476"/>
    <mergeCell ref="A1477:A1478"/>
    <mergeCell ref="A1479:A1480"/>
    <mergeCell ref="A1481:A1482"/>
    <mergeCell ref="A1483:A1484"/>
    <mergeCell ref="A1485:A1486"/>
    <mergeCell ref="A1487:A1488"/>
    <mergeCell ref="A1489:A1490"/>
    <mergeCell ref="A1491:A1492"/>
    <mergeCell ref="A1493:A1494"/>
    <mergeCell ref="A1495:A1496"/>
    <mergeCell ref="A1497:A1498"/>
    <mergeCell ref="A1499:A1500"/>
    <mergeCell ref="A1501:A1502"/>
    <mergeCell ref="A1503:A1504"/>
    <mergeCell ref="A1505:A1506"/>
    <mergeCell ref="A1507:A1508"/>
    <mergeCell ref="A1509:A1510"/>
    <mergeCell ref="A1511:A1512"/>
    <mergeCell ref="A1513:A1514"/>
    <mergeCell ref="A1515:A1516"/>
    <mergeCell ref="A1517:A1518"/>
    <mergeCell ref="A1519:A1520"/>
    <mergeCell ref="A1521:A1522"/>
    <mergeCell ref="A1523:A1524"/>
    <mergeCell ref="A1525:A1526"/>
    <mergeCell ref="A1527:A1528"/>
    <mergeCell ref="A1529:A1530"/>
    <mergeCell ref="A1531:A1532"/>
    <mergeCell ref="A1533:A1534"/>
    <mergeCell ref="A1535:A1536"/>
    <mergeCell ref="A1537:A1538"/>
    <mergeCell ref="A1539:A1540"/>
    <mergeCell ref="A1541:A1542"/>
    <mergeCell ref="A1543:A1544"/>
    <mergeCell ref="A1545:A1546"/>
    <mergeCell ref="A1547:A1548"/>
    <mergeCell ref="A1549:A1550"/>
    <mergeCell ref="A1551:A1552"/>
    <mergeCell ref="A1553:A1554"/>
    <mergeCell ref="A1555:A1556"/>
    <mergeCell ref="A1557:A1558"/>
    <mergeCell ref="A1559:A1560"/>
    <mergeCell ref="A1561:A1562"/>
    <mergeCell ref="A1563:A1564"/>
    <mergeCell ref="A1565:A1566"/>
    <mergeCell ref="A1567:A1568"/>
    <mergeCell ref="A1569:A1570"/>
    <mergeCell ref="A1571:A1572"/>
    <mergeCell ref="A1573:A1574"/>
    <mergeCell ref="A1575:A1576"/>
    <mergeCell ref="A1577:A1578"/>
    <mergeCell ref="A1579:A1580"/>
    <mergeCell ref="A1581:A1582"/>
    <mergeCell ref="A1583:A1584"/>
    <mergeCell ref="A1585:A1586"/>
    <mergeCell ref="A1587:A1588"/>
    <mergeCell ref="A1589:A1590"/>
    <mergeCell ref="A1591:A1592"/>
    <mergeCell ref="A1593:A1594"/>
    <mergeCell ref="A1595:A1596"/>
    <mergeCell ref="A1597:A1598"/>
    <mergeCell ref="A1599:A1600"/>
    <mergeCell ref="A1601:A1602"/>
    <mergeCell ref="A1603:A1604"/>
    <mergeCell ref="A1605:A1606"/>
    <mergeCell ref="A1607:A1608"/>
    <mergeCell ref="A1609:A1610"/>
    <mergeCell ref="A1611:A1612"/>
    <mergeCell ref="A1613:A1614"/>
    <mergeCell ref="A1615:A1616"/>
    <mergeCell ref="A1617:A1618"/>
    <mergeCell ref="A1619:A1620"/>
    <mergeCell ref="A1621:A1622"/>
    <mergeCell ref="A1623:A1624"/>
    <mergeCell ref="A1625:A1626"/>
    <mergeCell ref="A1627:A1628"/>
    <mergeCell ref="A1629:A1630"/>
    <mergeCell ref="A1631:A1632"/>
    <mergeCell ref="A1633:A1634"/>
    <mergeCell ref="A1635:A1636"/>
    <mergeCell ref="A1637:A1638"/>
    <mergeCell ref="A1639:A1640"/>
    <mergeCell ref="A1641:A1642"/>
    <mergeCell ref="A1643:A1644"/>
    <mergeCell ref="A1645:A1646"/>
    <mergeCell ref="A1647:A1648"/>
    <mergeCell ref="A1649:A1650"/>
    <mergeCell ref="A1651:A1652"/>
    <mergeCell ref="A1653:A1654"/>
    <mergeCell ref="A1655:A1656"/>
    <mergeCell ref="A1657:A1658"/>
    <mergeCell ref="A1659:A1660"/>
    <mergeCell ref="A1661:A1662"/>
    <mergeCell ref="A1663:A1664"/>
    <mergeCell ref="A1665:A1666"/>
    <mergeCell ref="A1667:A1668"/>
    <mergeCell ref="A1669:A1670"/>
    <mergeCell ref="A1671:A1672"/>
    <mergeCell ref="A1673:A1674"/>
    <mergeCell ref="A1675:A1676"/>
    <mergeCell ref="A1677:A1678"/>
    <mergeCell ref="A1679:A1680"/>
    <mergeCell ref="A1681:A1682"/>
    <mergeCell ref="A1683:A1684"/>
    <mergeCell ref="A1685:A1686"/>
    <mergeCell ref="A1687:A1688"/>
    <mergeCell ref="A1689:A1690"/>
    <mergeCell ref="A1691:A1692"/>
    <mergeCell ref="A1693:A1694"/>
    <mergeCell ref="A1695:A1696"/>
    <mergeCell ref="A1697:A1698"/>
    <mergeCell ref="A1699:A1700"/>
    <mergeCell ref="A1701:A1702"/>
    <mergeCell ref="A1703:A1704"/>
    <mergeCell ref="A1705:A1706"/>
    <mergeCell ref="A1707:A1708"/>
    <mergeCell ref="A1709:A1710"/>
    <mergeCell ref="A1711:A1712"/>
    <mergeCell ref="A1713:A1714"/>
    <mergeCell ref="A1715:A1716"/>
    <mergeCell ref="A1717:A1718"/>
    <mergeCell ref="A1719:A1720"/>
    <mergeCell ref="A1721:A1722"/>
    <mergeCell ref="A1723:A1724"/>
    <mergeCell ref="A1725:A1726"/>
    <mergeCell ref="A1727:A1728"/>
    <mergeCell ref="A1729:A1730"/>
    <mergeCell ref="A1731:A1732"/>
    <mergeCell ref="A1733:A1734"/>
    <mergeCell ref="A1735:A1736"/>
    <mergeCell ref="A1737:A1738"/>
    <mergeCell ref="A1739:A1740"/>
    <mergeCell ref="A1741:A1742"/>
    <mergeCell ref="A1743:A1744"/>
    <mergeCell ref="A1745:A1746"/>
    <mergeCell ref="A1747:A1748"/>
    <mergeCell ref="A1749:A1750"/>
    <mergeCell ref="A1751:A1752"/>
    <mergeCell ref="A1753:A1754"/>
    <mergeCell ref="A1755:A1756"/>
    <mergeCell ref="A1757:A1758"/>
    <mergeCell ref="A1759:A1760"/>
    <mergeCell ref="A1761:A1762"/>
    <mergeCell ref="A1763:A1764"/>
    <mergeCell ref="A1765:A1766"/>
    <mergeCell ref="A1767:A1768"/>
    <mergeCell ref="A1769:A1770"/>
    <mergeCell ref="A1771:A1772"/>
    <mergeCell ref="A1773:A1774"/>
    <mergeCell ref="A1775:A1776"/>
    <mergeCell ref="A1777:A1778"/>
    <mergeCell ref="A1779:A1780"/>
    <mergeCell ref="A1781:A1782"/>
    <mergeCell ref="A1783:A1784"/>
    <mergeCell ref="A1785:A1786"/>
    <mergeCell ref="A1787:A1788"/>
    <mergeCell ref="A1789:A1790"/>
    <mergeCell ref="A1791:A1792"/>
    <mergeCell ref="A1793:A1794"/>
    <mergeCell ref="A1795:A1796"/>
    <mergeCell ref="A1797:A1798"/>
    <mergeCell ref="A1799:A1800"/>
    <mergeCell ref="A1801:A1802"/>
    <mergeCell ref="A1803:A1804"/>
    <mergeCell ref="A1805:A1806"/>
    <mergeCell ref="A1807:A1808"/>
    <mergeCell ref="A1809:A1810"/>
    <mergeCell ref="A1811:A1812"/>
    <mergeCell ref="A1813:A1814"/>
    <mergeCell ref="A1815:A1816"/>
    <mergeCell ref="A1817:A1818"/>
    <mergeCell ref="A1819:A1820"/>
    <mergeCell ref="B18:B19"/>
    <mergeCell ref="B20:B21"/>
    <mergeCell ref="B22:B23"/>
    <mergeCell ref="B24:B25"/>
    <mergeCell ref="B26:B27"/>
    <mergeCell ref="B28:B29"/>
    <mergeCell ref="B30:B31"/>
    <mergeCell ref="B32:B33"/>
    <mergeCell ref="B34:B35"/>
    <mergeCell ref="B36:B37"/>
    <mergeCell ref="B38:B39"/>
    <mergeCell ref="B40:B41"/>
    <mergeCell ref="B42:B43"/>
    <mergeCell ref="B44:B45"/>
    <mergeCell ref="B46:B47"/>
    <mergeCell ref="B48:B49"/>
    <mergeCell ref="B50:B51"/>
    <mergeCell ref="B52:B53"/>
    <mergeCell ref="B54:B55"/>
    <mergeCell ref="B56:B57"/>
    <mergeCell ref="B58:B59"/>
    <mergeCell ref="B60:B61"/>
    <mergeCell ref="B62:B63"/>
    <mergeCell ref="B64:B65"/>
    <mergeCell ref="B66:B67"/>
    <mergeCell ref="B68:B69"/>
    <mergeCell ref="B70:B71"/>
    <mergeCell ref="B72:B73"/>
    <mergeCell ref="B74:B75"/>
    <mergeCell ref="B76:B77"/>
    <mergeCell ref="B78:B79"/>
    <mergeCell ref="B80:B81"/>
    <mergeCell ref="B82:B83"/>
    <mergeCell ref="B84:B85"/>
    <mergeCell ref="B86:B87"/>
    <mergeCell ref="B88:B89"/>
    <mergeCell ref="B90:B91"/>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4:B125"/>
    <mergeCell ref="B126:B127"/>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0:B161"/>
    <mergeCell ref="B162:B163"/>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196:B197"/>
    <mergeCell ref="B198:B199"/>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2:B233"/>
    <mergeCell ref="B234:B235"/>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68:B269"/>
    <mergeCell ref="B270:B271"/>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4:B305"/>
    <mergeCell ref="B306:B307"/>
    <mergeCell ref="B308:B309"/>
    <mergeCell ref="B316:B317"/>
    <mergeCell ref="B318:B319"/>
    <mergeCell ref="B320:B321"/>
    <mergeCell ref="B322:B323"/>
    <mergeCell ref="B324:B325"/>
    <mergeCell ref="B326:B327"/>
    <mergeCell ref="B328:B329"/>
    <mergeCell ref="B330:B331"/>
    <mergeCell ref="B332:B333"/>
    <mergeCell ref="B334:B335"/>
    <mergeCell ref="B336:B337"/>
    <mergeCell ref="B338:B339"/>
    <mergeCell ref="B340:B341"/>
    <mergeCell ref="B342:B343"/>
    <mergeCell ref="B344:B345"/>
    <mergeCell ref="B346:B347"/>
    <mergeCell ref="B348:B349"/>
    <mergeCell ref="B350:B351"/>
    <mergeCell ref="B352:B353"/>
    <mergeCell ref="B354:B355"/>
    <mergeCell ref="B356:B357"/>
    <mergeCell ref="B358:B359"/>
    <mergeCell ref="B360:B361"/>
    <mergeCell ref="B362:B363"/>
    <mergeCell ref="B364:B365"/>
    <mergeCell ref="B366:B367"/>
    <mergeCell ref="B368:B369"/>
    <mergeCell ref="B370:B371"/>
    <mergeCell ref="B372:B373"/>
    <mergeCell ref="B374:B375"/>
    <mergeCell ref="B376:B377"/>
    <mergeCell ref="B378:B379"/>
    <mergeCell ref="B380:B381"/>
    <mergeCell ref="B382:B383"/>
    <mergeCell ref="B384:B385"/>
    <mergeCell ref="B386:B387"/>
    <mergeCell ref="B388:B389"/>
    <mergeCell ref="B390:B391"/>
    <mergeCell ref="B392:B393"/>
    <mergeCell ref="B394:B395"/>
    <mergeCell ref="B396:B397"/>
    <mergeCell ref="B398:B399"/>
    <mergeCell ref="B400:B401"/>
    <mergeCell ref="B402:B403"/>
    <mergeCell ref="B404:B405"/>
    <mergeCell ref="B406:B407"/>
    <mergeCell ref="B408:B409"/>
    <mergeCell ref="B410:B411"/>
    <mergeCell ref="B412:B413"/>
    <mergeCell ref="B414:B415"/>
    <mergeCell ref="B416:B417"/>
    <mergeCell ref="B418:B419"/>
    <mergeCell ref="B420:B421"/>
    <mergeCell ref="B422:B423"/>
    <mergeCell ref="B424:B425"/>
    <mergeCell ref="B426:B427"/>
    <mergeCell ref="B428:B429"/>
    <mergeCell ref="B430:B431"/>
    <mergeCell ref="B432:B433"/>
    <mergeCell ref="B434:B435"/>
    <mergeCell ref="B436:B437"/>
    <mergeCell ref="B438:B439"/>
    <mergeCell ref="B440:B441"/>
    <mergeCell ref="B442:B443"/>
    <mergeCell ref="B444:B445"/>
    <mergeCell ref="B446:B447"/>
    <mergeCell ref="B448:B449"/>
    <mergeCell ref="B450:B451"/>
    <mergeCell ref="B452:B453"/>
    <mergeCell ref="B454:B455"/>
    <mergeCell ref="B456:B457"/>
    <mergeCell ref="B458:B459"/>
    <mergeCell ref="B460:B461"/>
    <mergeCell ref="B462:B463"/>
    <mergeCell ref="B464:B465"/>
    <mergeCell ref="B466:B467"/>
    <mergeCell ref="B468:B469"/>
    <mergeCell ref="B470:B471"/>
    <mergeCell ref="B472:B473"/>
    <mergeCell ref="B474:B475"/>
    <mergeCell ref="B476:B477"/>
    <mergeCell ref="B478:B479"/>
    <mergeCell ref="B480:B481"/>
    <mergeCell ref="B482:B483"/>
    <mergeCell ref="B484:B485"/>
    <mergeCell ref="B486:B487"/>
    <mergeCell ref="B488:B489"/>
    <mergeCell ref="B490:B491"/>
    <mergeCell ref="B492:B493"/>
    <mergeCell ref="B494:B495"/>
    <mergeCell ref="B496:B497"/>
    <mergeCell ref="B498:B499"/>
    <mergeCell ref="B500:B501"/>
    <mergeCell ref="B502:B503"/>
    <mergeCell ref="B504:B505"/>
    <mergeCell ref="B506:B507"/>
    <mergeCell ref="B508:B509"/>
    <mergeCell ref="B510:B511"/>
    <mergeCell ref="B512:B513"/>
    <mergeCell ref="B514:B515"/>
    <mergeCell ref="B516:B517"/>
    <mergeCell ref="B518:B519"/>
    <mergeCell ref="B520:B521"/>
    <mergeCell ref="B522:B523"/>
    <mergeCell ref="B524:B525"/>
    <mergeCell ref="B526:B527"/>
    <mergeCell ref="B528:B529"/>
    <mergeCell ref="B530:B531"/>
    <mergeCell ref="B532:B533"/>
    <mergeCell ref="B534:B535"/>
    <mergeCell ref="B536:B537"/>
    <mergeCell ref="B538:B539"/>
    <mergeCell ref="B540:B541"/>
    <mergeCell ref="B542:B543"/>
    <mergeCell ref="B544:B545"/>
    <mergeCell ref="B546:B547"/>
    <mergeCell ref="B548:B549"/>
    <mergeCell ref="B550:B551"/>
    <mergeCell ref="B552:B553"/>
    <mergeCell ref="B554:B555"/>
    <mergeCell ref="B556:B557"/>
    <mergeCell ref="B558:B559"/>
    <mergeCell ref="B560:B561"/>
    <mergeCell ref="B562:B563"/>
    <mergeCell ref="B564:B565"/>
    <mergeCell ref="B566:B567"/>
    <mergeCell ref="B568:B569"/>
    <mergeCell ref="B570:B571"/>
    <mergeCell ref="B572:B573"/>
    <mergeCell ref="B574:B575"/>
    <mergeCell ref="B576:B577"/>
    <mergeCell ref="B578:B579"/>
    <mergeCell ref="B580:B581"/>
    <mergeCell ref="B582:B583"/>
    <mergeCell ref="B584:B585"/>
    <mergeCell ref="B586:B587"/>
    <mergeCell ref="B588:B589"/>
    <mergeCell ref="B590:B591"/>
    <mergeCell ref="B592:B593"/>
    <mergeCell ref="B594:B595"/>
    <mergeCell ref="B596:B597"/>
    <mergeCell ref="B598:B599"/>
    <mergeCell ref="B600:B601"/>
    <mergeCell ref="B602:B603"/>
    <mergeCell ref="B604:B605"/>
    <mergeCell ref="B606:B607"/>
    <mergeCell ref="B608:B609"/>
    <mergeCell ref="B610:B611"/>
    <mergeCell ref="B612:B613"/>
    <mergeCell ref="B614:B615"/>
    <mergeCell ref="B621:B622"/>
    <mergeCell ref="B623:B624"/>
    <mergeCell ref="B625:B626"/>
    <mergeCell ref="B627:B628"/>
    <mergeCell ref="B629:B630"/>
    <mergeCell ref="B631:B632"/>
    <mergeCell ref="B633:B634"/>
    <mergeCell ref="B635:B636"/>
    <mergeCell ref="B637:B638"/>
    <mergeCell ref="B639:B640"/>
    <mergeCell ref="B641:B642"/>
    <mergeCell ref="B643:B644"/>
    <mergeCell ref="B645:B646"/>
    <mergeCell ref="B647:B648"/>
    <mergeCell ref="B649:B650"/>
    <mergeCell ref="B651:B652"/>
    <mergeCell ref="B653:B654"/>
    <mergeCell ref="B655:B656"/>
    <mergeCell ref="B657:B658"/>
    <mergeCell ref="B659:B660"/>
    <mergeCell ref="B661:B662"/>
    <mergeCell ref="B663:B664"/>
    <mergeCell ref="B665:B666"/>
    <mergeCell ref="B667:B668"/>
    <mergeCell ref="B669:B670"/>
    <mergeCell ref="B671:B672"/>
    <mergeCell ref="B673:B674"/>
    <mergeCell ref="B675:B676"/>
    <mergeCell ref="B677:B678"/>
    <mergeCell ref="B679:B680"/>
    <mergeCell ref="B681:B682"/>
    <mergeCell ref="B683:B684"/>
    <mergeCell ref="B685:B686"/>
    <mergeCell ref="B687:B688"/>
    <mergeCell ref="B689:B690"/>
    <mergeCell ref="B691:B692"/>
    <mergeCell ref="B693:B694"/>
    <mergeCell ref="B695:B696"/>
    <mergeCell ref="B697:B698"/>
    <mergeCell ref="B699:B700"/>
    <mergeCell ref="B701:B702"/>
    <mergeCell ref="B703:B704"/>
    <mergeCell ref="B705:B706"/>
    <mergeCell ref="B707:B708"/>
    <mergeCell ref="B709:B710"/>
    <mergeCell ref="B711:B712"/>
    <mergeCell ref="B713:B714"/>
    <mergeCell ref="B715:B716"/>
    <mergeCell ref="B717:B718"/>
    <mergeCell ref="B719:B720"/>
    <mergeCell ref="B721:B722"/>
    <mergeCell ref="B723:B724"/>
    <mergeCell ref="B725:B726"/>
    <mergeCell ref="B727:B728"/>
    <mergeCell ref="B729:B730"/>
    <mergeCell ref="B731:B732"/>
    <mergeCell ref="B733:B734"/>
    <mergeCell ref="B735:B736"/>
    <mergeCell ref="B737:B738"/>
    <mergeCell ref="B739:B740"/>
    <mergeCell ref="B741:B742"/>
    <mergeCell ref="B743:B744"/>
    <mergeCell ref="B745:B746"/>
    <mergeCell ref="B747:B748"/>
    <mergeCell ref="B749:B750"/>
    <mergeCell ref="B751:B752"/>
    <mergeCell ref="B753:B754"/>
    <mergeCell ref="B755:B756"/>
    <mergeCell ref="B757:B758"/>
    <mergeCell ref="B759:B760"/>
    <mergeCell ref="B761:B762"/>
    <mergeCell ref="B763:B764"/>
    <mergeCell ref="B765:B766"/>
    <mergeCell ref="B767:B768"/>
    <mergeCell ref="B769:B770"/>
    <mergeCell ref="B771:B772"/>
    <mergeCell ref="B773:B774"/>
    <mergeCell ref="B775:B776"/>
    <mergeCell ref="B777:B778"/>
    <mergeCell ref="B779:B780"/>
    <mergeCell ref="B781:B782"/>
    <mergeCell ref="B783:B784"/>
    <mergeCell ref="B785:B786"/>
    <mergeCell ref="B787:B788"/>
    <mergeCell ref="B789:B790"/>
    <mergeCell ref="B791:B792"/>
    <mergeCell ref="B793:B794"/>
    <mergeCell ref="B795:B796"/>
    <mergeCell ref="B797:B798"/>
    <mergeCell ref="B799:B800"/>
    <mergeCell ref="B801:B802"/>
    <mergeCell ref="B803:B804"/>
    <mergeCell ref="B805:B806"/>
    <mergeCell ref="B807:B808"/>
    <mergeCell ref="B809:B810"/>
    <mergeCell ref="B811:B812"/>
    <mergeCell ref="B813:B814"/>
    <mergeCell ref="B815:B816"/>
    <mergeCell ref="B817:B818"/>
    <mergeCell ref="B819:B820"/>
    <mergeCell ref="B821:B822"/>
    <mergeCell ref="B823:B824"/>
    <mergeCell ref="B825:B826"/>
    <mergeCell ref="B827:B828"/>
    <mergeCell ref="B829:B830"/>
    <mergeCell ref="B831:B832"/>
    <mergeCell ref="B833:B834"/>
    <mergeCell ref="B835:B836"/>
    <mergeCell ref="B837:B838"/>
    <mergeCell ref="B839:B840"/>
    <mergeCell ref="B841:B842"/>
    <mergeCell ref="B843:B844"/>
    <mergeCell ref="B845:B846"/>
    <mergeCell ref="B847:B848"/>
    <mergeCell ref="B849:B850"/>
    <mergeCell ref="B851:B852"/>
    <mergeCell ref="B853:B854"/>
    <mergeCell ref="B855:B856"/>
    <mergeCell ref="B857:B858"/>
    <mergeCell ref="B859:B860"/>
    <mergeCell ref="B861:B862"/>
    <mergeCell ref="B863:B864"/>
    <mergeCell ref="B865:B866"/>
    <mergeCell ref="B867:B868"/>
    <mergeCell ref="B869:B870"/>
    <mergeCell ref="B871:B872"/>
    <mergeCell ref="B873:B874"/>
    <mergeCell ref="B875:B876"/>
    <mergeCell ref="B877:B878"/>
    <mergeCell ref="B879:B880"/>
    <mergeCell ref="B881:B882"/>
    <mergeCell ref="B883:B884"/>
    <mergeCell ref="B885:B886"/>
    <mergeCell ref="B887:B888"/>
    <mergeCell ref="B889:B890"/>
    <mergeCell ref="B891:B892"/>
    <mergeCell ref="B893:B894"/>
    <mergeCell ref="B895:B896"/>
    <mergeCell ref="B897:B898"/>
    <mergeCell ref="B899:B900"/>
    <mergeCell ref="B901:B902"/>
    <mergeCell ref="B903:B904"/>
    <mergeCell ref="B905:B906"/>
    <mergeCell ref="B907:B908"/>
    <mergeCell ref="B909:B910"/>
    <mergeCell ref="B911:B912"/>
    <mergeCell ref="B913:B914"/>
    <mergeCell ref="B915:B916"/>
    <mergeCell ref="B917:B918"/>
    <mergeCell ref="B919:B920"/>
    <mergeCell ref="B921:B922"/>
    <mergeCell ref="B923:B924"/>
    <mergeCell ref="B925:B926"/>
    <mergeCell ref="B927:B928"/>
    <mergeCell ref="B929:B930"/>
    <mergeCell ref="B931:B932"/>
    <mergeCell ref="B933:B934"/>
    <mergeCell ref="B935:B936"/>
    <mergeCell ref="B937:B938"/>
    <mergeCell ref="B939:B940"/>
    <mergeCell ref="B941:B942"/>
    <mergeCell ref="B943:B944"/>
    <mergeCell ref="B945:B946"/>
    <mergeCell ref="B947:B948"/>
    <mergeCell ref="B949:B950"/>
    <mergeCell ref="B951:B952"/>
    <mergeCell ref="B953:B954"/>
    <mergeCell ref="B955:B956"/>
    <mergeCell ref="B957:B958"/>
    <mergeCell ref="B959:B960"/>
    <mergeCell ref="B961:B962"/>
    <mergeCell ref="B963:B964"/>
    <mergeCell ref="B965:B966"/>
    <mergeCell ref="B967:B968"/>
    <mergeCell ref="B969:B970"/>
    <mergeCell ref="B971:B972"/>
    <mergeCell ref="B973:B974"/>
    <mergeCell ref="B975:B976"/>
    <mergeCell ref="B977:B978"/>
    <mergeCell ref="B979:B980"/>
    <mergeCell ref="B981:B982"/>
    <mergeCell ref="B983:B984"/>
    <mergeCell ref="B985:B986"/>
    <mergeCell ref="B987:B988"/>
    <mergeCell ref="B989:B990"/>
    <mergeCell ref="B991:B992"/>
    <mergeCell ref="B993:B994"/>
    <mergeCell ref="B995:B996"/>
    <mergeCell ref="B997:B998"/>
    <mergeCell ref="B999:B1000"/>
    <mergeCell ref="B1001:B1002"/>
    <mergeCell ref="B1003:B1004"/>
    <mergeCell ref="B1005:B1006"/>
    <mergeCell ref="B1007:B1008"/>
    <mergeCell ref="B1009:B1010"/>
    <mergeCell ref="B1011:B1012"/>
    <mergeCell ref="B1013:B1014"/>
    <mergeCell ref="B1015:B1016"/>
    <mergeCell ref="B1017:B1018"/>
    <mergeCell ref="B1019:B1020"/>
    <mergeCell ref="B1021:B1022"/>
    <mergeCell ref="B1023:B1024"/>
    <mergeCell ref="B1025:B1026"/>
    <mergeCell ref="B1027:B1028"/>
    <mergeCell ref="B1029:B1030"/>
    <mergeCell ref="B1031:B1032"/>
    <mergeCell ref="B1033:B1034"/>
    <mergeCell ref="B1035:B1036"/>
    <mergeCell ref="B1037:B1038"/>
    <mergeCell ref="B1039:B1040"/>
    <mergeCell ref="B1041:B1042"/>
    <mergeCell ref="B1043:B1044"/>
    <mergeCell ref="B1045:B1046"/>
    <mergeCell ref="B1047:B1048"/>
    <mergeCell ref="B1049:B1050"/>
    <mergeCell ref="B1051:B1052"/>
    <mergeCell ref="B1053:B1054"/>
    <mergeCell ref="B1055:B1056"/>
    <mergeCell ref="B1057:B1058"/>
    <mergeCell ref="B1059:B1060"/>
    <mergeCell ref="B1061:B1062"/>
    <mergeCell ref="B1063:B1064"/>
    <mergeCell ref="B1065:B1066"/>
    <mergeCell ref="B1067:B1068"/>
    <mergeCell ref="B1069:B1070"/>
    <mergeCell ref="B1071:B1072"/>
    <mergeCell ref="B1073:B1074"/>
    <mergeCell ref="B1075:B1076"/>
    <mergeCell ref="B1077:B1078"/>
    <mergeCell ref="B1079:B1080"/>
    <mergeCell ref="B1081:B1082"/>
    <mergeCell ref="B1083:B1084"/>
    <mergeCell ref="B1085:B1086"/>
    <mergeCell ref="B1087:B1088"/>
    <mergeCell ref="B1089:B1090"/>
    <mergeCell ref="B1091:B1092"/>
    <mergeCell ref="B1093:B1094"/>
    <mergeCell ref="B1095:B1096"/>
    <mergeCell ref="B1097:B1098"/>
    <mergeCell ref="B1099:B1100"/>
    <mergeCell ref="B1101:B1102"/>
    <mergeCell ref="B1103:B1104"/>
    <mergeCell ref="B1105:B1106"/>
    <mergeCell ref="B1107:B1108"/>
    <mergeCell ref="B1109:B1110"/>
    <mergeCell ref="B1111:B1112"/>
    <mergeCell ref="B1113:B1114"/>
    <mergeCell ref="B1115:B1116"/>
    <mergeCell ref="B1117:B1118"/>
    <mergeCell ref="B1119:B1120"/>
    <mergeCell ref="B1121:B1122"/>
    <mergeCell ref="B1123:B1124"/>
    <mergeCell ref="B1125:B1126"/>
    <mergeCell ref="B1127:B1128"/>
    <mergeCell ref="B1129:B1130"/>
    <mergeCell ref="B1131:B1132"/>
    <mergeCell ref="B1133:B1134"/>
    <mergeCell ref="B1135:B1136"/>
    <mergeCell ref="B1137:B1138"/>
    <mergeCell ref="B1139:B1140"/>
    <mergeCell ref="B1141:B1142"/>
    <mergeCell ref="B1143:B1144"/>
    <mergeCell ref="B1145:B1146"/>
    <mergeCell ref="B1147:B1148"/>
    <mergeCell ref="B1149:B1150"/>
    <mergeCell ref="B1151:B1152"/>
    <mergeCell ref="B1153:B1154"/>
    <mergeCell ref="B1155:B1156"/>
    <mergeCell ref="B1157:B1158"/>
    <mergeCell ref="B1159:B1160"/>
    <mergeCell ref="B1161:B1162"/>
    <mergeCell ref="B1163:B1164"/>
    <mergeCell ref="B1165:B1166"/>
    <mergeCell ref="B1167:B1168"/>
    <mergeCell ref="B1169:B1170"/>
    <mergeCell ref="B1171:B1172"/>
    <mergeCell ref="B1173:B1174"/>
    <mergeCell ref="B1175:B1176"/>
    <mergeCell ref="B1177:B1178"/>
    <mergeCell ref="B1179:B1180"/>
    <mergeCell ref="B1181:B1182"/>
    <mergeCell ref="B1183:B1184"/>
    <mergeCell ref="B1185:B1186"/>
    <mergeCell ref="B1187:B1188"/>
    <mergeCell ref="B1189:B1190"/>
    <mergeCell ref="B1191:B1192"/>
    <mergeCell ref="B1193:B1194"/>
    <mergeCell ref="B1195:B1196"/>
    <mergeCell ref="B1197:B1198"/>
    <mergeCell ref="B1199:B1200"/>
    <mergeCell ref="B1201:B1202"/>
    <mergeCell ref="B1203:B1204"/>
    <mergeCell ref="B1205:B1206"/>
    <mergeCell ref="B1207:B1208"/>
    <mergeCell ref="B1209:B1210"/>
    <mergeCell ref="B1211:B1212"/>
    <mergeCell ref="B1213:B1214"/>
    <mergeCell ref="B1215:B1216"/>
    <mergeCell ref="B1217:B1218"/>
    <mergeCell ref="B1219:B1220"/>
    <mergeCell ref="B1221:B1222"/>
    <mergeCell ref="B1223:B1224"/>
    <mergeCell ref="B1225:B1226"/>
    <mergeCell ref="B1227:B1228"/>
    <mergeCell ref="B1229:B1230"/>
    <mergeCell ref="B1231:B1232"/>
    <mergeCell ref="B1233:B1234"/>
    <mergeCell ref="B1235:B1236"/>
    <mergeCell ref="B1237:B1238"/>
    <mergeCell ref="B1239:B1240"/>
    <mergeCell ref="B1241:B1242"/>
    <mergeCell ref="B1243:B1244"/>
    <mergeCell ref="B1245:B1246"/>
    <mergeCell ref="B1247:B1248"/>
    <mergeCell ref="B1249:B1250"/>
    <mergeCell ref="B1251:B1252"/>
    <mergeCell ref="B1253:B1254"/>
    <mergeCell ref="B1255:B1256"/>
    <mergeCell ref="B1257:B1258"/>
    <mergeCell ref="B1259:B1260"/>
    <mergeCell ref="B1261:B1262"/>
    <mergeCell ref="B1263:B1264"/>
    <mergeCell ref="B1265:B1266"/>
    <mergeCell ref="B1267:B1268"/>
    <mergeCell ref="B1269:B1270"/>
    <mergeCell ref="B1271:B1272"/>
    <mergeCell ref="B1273:B1274"/>
    <mergeCell ref="B1275:B1276"/>
    <mergeCell ref="B1277:B1278"/>
    <mergeCell ref="B1279:B1280"/>
    <mergeCell ref="B1281:B1282"/>
    <mergeCell ref="B1283:B1284"/>
    <mergeCell ref="B1285:B1286"/>
    <mergeCell ref="B1287:B1288"/>
    <mergeCell ref="B1289:B1290"/>
    <mergeCell ref="B1291:B1292"/>
    <mergeCell ref="B1293:B1294"/>
    <mergeCell ref="B1295:B1296"/>
    <mergeCell ref="B1297:B1298"/>
    <mergeCell ref="B1299:B1300"/>
    <mergeCell ref="B1301:B1302"/>
    <mergeCell ref="B1303:B1304"/>
    <mergeCell ref="B1305:B1306"/>
    <mergeCell ref="B1307:B1308"/>
    <mergeCell ref="B1309:B1310"/>
    <mergeCell ref="B1311:B1312"/>
    <mergeCell ref="B1313:B1314"/>
    <mergeCell ref="B1315:B1316"/>
    <mergeCell ref="B1317:B1318"/>
    <mergeCell ref="B1319:B1320"/>
    <mergeCell ref="B1321:B1322"/>
    <mergeCell ref="B1323:B1324"/>
    <mergeCell ref="B1325:B1326"/>
    <mergeCell ref="B1327:B1328"/>
    <mergeCell ref="B1329:B1330"/>
    <mergeCell ref="B1331:B1332"/>
    <mergeCell ref="B1333:B1334"/>
    <mergeCell ref="B1335:B1336"/>
    <mergeCell ref="B1337:B1338"/>
    <mergeCell ref="B1339:B1340"/>
    <mergeCell ref="B1341:B1342"/>
    <mergeCell ref="B1343:B1344"/>
    <mergeCell ref="B1345:B1346"/>
    <mergeCell ref="B1347:B1348"/>
    <mergeCell ref="B1349:B1350"/>
    <mergeCell ref="B1351:B1352"/>
    <mergeCell ref="B1353:B1354"/>
    <mergeCell ref="B1355:B1356"/>
    <mergeCell ref="B1357:B1358"/>
    <mergeCell ref="B1359:B1360"/>
    <mergeCell ref="B1361:B1362"/>
    <mergeCell ref="B1363:B1364"/>
    <mergeCell ref="B1365:B1366"/>
    <mergeCell ref="B1367:B1368"/>
    <mergeCell ref="B1369:B1370"/>
    <mergeCell ref="B1371:B1372"/>
    <mergeCell ref="B1373:B1374"/>
    <mergeCell ref="B1375:B1376"/>
    <mergeCell ref="B1377:B1378"/>
    <mergeCell ref="B1379:B1380"/>
    <mergeCell ref="B1381:B1382"/>
    <mergeCell ref="B1383:B1384"/>
    <mergeCell ref="B1385:B1386"/>
    <mergeCell ref="B1387:B1388"/>
    <mergeCell ref="B1389:B1390"/>
    <mergeCell ref="B1391:B1392"/>
    <mergeCell ref="B1393:B1394"/>
    <mergeCell ref="B1395:B1396"/>
    <mergeCell ref="B1397:B1398"/>
    <mergeCell ref="B1399:B1400"/>
    <mergeCell ref="B1401:B1402"/>
    <mergeCell ref="B1403:B1404"/>
    <mergeCell ref="B1405:B1406"/>
    <mergeCell ref="B1407:B1408"/>
    <mergeCell ref="B1409:B1410"/>
    <mergeCell ref="B1411:B1412"/>
    <mergeCell ref="B1413:B1414"/>
    <mergeCell ref="B1415:B1416"/>
    <mergeCell ref="B1417:B1418"/>
    <mergeCell ref="B1419:B1420"/>
    <mergeCell ref="B1421:B1422"/>
    <mergeCell ref="B1423:B1424"/>
    <mergeCell ref="B1425:B1426"/>
    <mergeCell ref="B1427:B1428"/>
    <mergeCell ref="B1429:B1430"/>
    <mergeCell ref="B1431:B1432"/>
    <mergeCell ref="B1433:B1434"/>
    <mergeCell ref="B1435:B1436"/>
    <mergeCell ref="B1437:B1438"/>
    <mergeCell ref="B1439:B1440"/>
    <mergeCell ref="B1441:B1442"/>
    <mergeCell ref="B1443:B1444"/>
    <mergeCell ref="B1445:B1446"/>
    <mergeCell ref="B1447:B1448"/>
    <mergeCell ref="B1449:B1450"/>
    <mergeCell ref="B1451:B1452"/>
    <mergeCell ref="B1453:B1454"/>
    <mergeCell ref="B1455:B1456"/>
    <mergeCell ref="B1457:B1458"/>
    <mergeCell ref="B1459:B1460"/>
    <mergeCell ref="B1461:B1462"/>
    <mergeCell ref="B1463:B1464"/>
    <mergeCell ref="B1465:B1466"/>
    <mergeCell ref="B1467:B1468"/>
    <mergeCell ref="B1469:B1470"/>
    <mergeCell ref="B1471:B1472"/>
    <mergeCell ref="B1473:B1474"/>
    <mergeCell ref="B1475:B1476"/>
    <mergeCell ref="B1477:B1478"/>
    <mergeCell ref="B1479:B1480"/>
    <mergeCell ref="B1481:B1482"/>
    <mergeCell ref="B1483:B1484"/>
    <mergeCell ref="B1485:B1486"/>
    <mergeCell ref="B1487:B1488"/>
    <mergeCell ref="B1489:B1490"/>
    <mergeCell ref="B1491:B1492"/>
    <mergeCell ref="B1493:B1494"/>
    <mergeCell ref="B1495:B1496"/>
    <mergeCell ref="B1497:B1498"/>
    <mergeCell ref="B1499:B1500"/>
    <mergeCell ref="B1501:B1502"/>
    <mergeCell ref="B1503:B1504"/>
    <mergeCell ref="B1505:B1506"/>
    <mergeCell ref="B1507:B1508"/>
    <mergeCell ref="B1509:B1510"/>
    <mergeCell ref="B1511:B1512"/>
    <mergeCell ref="B1513:B1514"/>
    <mergeCell ref="B1515:B1516"/>
    <mergeCell ref="B1517:B1518"/>
    <mergeCell ref="B1519:B1520"/>
    <mergeCell ref="B1521:B1522"/>
    <mergeCell ref="B1523:B1524"/>
    <mergeCell ref="B1525:B1526"/>
    <mergeCell ref="B1527:B1528"/>
    <mergeCell ref="B1529:B1530"/>
    <mergeCell ref="B1531:B1532"/>
    <mergeCell ref="B1533:B1534"/>
    <mergeCell ref="B1535:B1536"/>
    <mergeCell ref="B1537:B1538"/>
    <mergeCell ref="B1539:B1540"/>
    <mergeCell ref="B1541:B1542"/>
    <mergeCell ref="B1543:B1544"/>
    <mergeCell ref="B1545:B1546"/>
    <mergeCell ref="B1547:B1548"/>
    <mergeCell ref="B1549:B1550"/>
    <mergeCell ref="B1551:B1552"/>
    <mergeCell ref="B1553:B1554"/>
    <mergeCell ref="B1555:B1556"/>
    <mergeCell ref="B1557:B1558"/>
    <mergeCell ref="B1559:B1560"/>
    <mergeCell ref="B1561:B1562"/>
    <mergeCell ref="B1563:B1564"/>
    <mergeCell ref="B1565:B1566"/>
    <mergeCell ref="B1567:B1568"/>
    <mergeCell ref="B1569:B1570"/>
    <mergeCell ref="B1571:B1572"/>
    <mergeCell ref="B1573:B1574"/>
    <mergeCell ref="B1575:B1576"/>
    <mergeCell ref="B1577:B1578"/>
    <mergeCell ref="B1579:B1580"/>
    <mergeCell ref="B1581:B1582"/>
    <mergeCell ref="B1583:B1584"/>
    <mergeCell ref="B1585:B1586"/>
    <mergeCell ref="B1587:B1588"/>
    <mergeCell ref="B1589:B1590"/>
    <mergeCell ref="B1591:B1592"/>
    <mergeCell ref="B1593:B1594"/>
    <mergeCell ref="B1595:B1596"/>
    <mergeCell ref="B1597:B1598"/>
    <mergeCell ref="B1599:B1600"/>
    <mergeCell ref="B1601:B1602"/>
    <mergeCell ref="B1603:B1604"/>
    <mergeCell ref="B1605:B1606"/>
    <mergeCell ref="B1607:B1608"/>
    <mergeCell ref="B1609:B1610"/>
    <mergeCell ref="B1611:B1612"/>
    <mergeCell ref="B1613:B1614"/>
    <mergeCell ref="B1615:B1616"/>
    <mergeCell ref="B1617:B1618"/>
    <mergeCell ref="B1619:B1620"/>
    <mergeCell ref="B1621:B1622"/>
    <mergeCell ref="B1623:B1624"/>
    <mergeCell ref="B1625:B1626"/>
    <mergeCell ref="B1627:B1628"/>
    <mergeCell ref="B1629:B1630"/>
    <mergeCell ref="B1631:B1632"/>
    <mergeCell ref="B1633:B1634"/>
    <mergeCell ref="B1635:B1636"/>
    <mergeCell ref="B1637:B1638"/>
    <mergeCell ref="B1639:B1640"/>
    <mergeCell ref="B1641:B1642"/>
    <mergeCell ref="B1643:B1644"/>
    <mergeCell ref="B1645:B1646"/>
    <mergeCell ref="B1647:B1648"/>
    <mergeCell ref="B1649:B1650"/>
    <mergeCell ref="B1651:B1652"/>
    <mergeCell ref="B1653:B1654"/>
    <mergeCell ref="B1655:B1656"/>
    <mergeCell ref="B1657:B1658"/>
    <mergeCell ref="B1659:B1660"/>
    <mergeCell ref="B1661:B1662"/>
    <mergeCell ref="B1663:B1664"/>
    <mergeCell ref="B1665:B1666"/>
    <mergeCell ref="B1667:B1668"/>
    <mergeCell ref="B1669:B1670"/>
    <mergeCell ref="B1671:B1672"/>
    <mergeCell ref="B1673:B1674"/>
    <mergeCell ref="B1675:B1676"/>
    <mergeCell ref="B1677:B1678"/>
    <mergeCell ref="B1679:B1680"/>
    <mergeCell ref="B1681:B1682"/>
    <mergeCell ref="B1683:B1684"/>
    <mergeCell ref="B1685:B1686"/>
    <mergeCell ref="B1687:B1688"/>
    <mergeCell ref="B1689:B1690"/>
    <mergeCell ref="B1691:B1692"/>
    <mergeCell ref="B1693:B1694"/>
    <mergeCell ref="B1695:B1696"/>
    <mergeCell ref="B1697:B1698"/>
    <mergeCell ref="B1699:B1700"/>
    <mergeCell ref="B1701:B1702"/>
    <mergeCell ref="B1703:B1704"/>
    <mergeCell ref="B1705:B1706"/>
    <mergeCell ref="B1707:B1708"/>
    <mergeCell ref="B1709:B1710"/>
    <mergeCell ref="B1711:B1712"/>
    <mergeCell ref="B1713:B1714"/>
    <mergeCell ref="B1715:B1716"/>
    <mergeCell ref="B1717:B1718"/>
    <mergeCell ref="B1719:B1720"/>
    <mergeCell ref="B1721:B1722"/>
    <mergeCell ref="B1723:B1724"/>
    <mergeCell ref="B1725:B1726"/>
    <mergeCell ref="B1727:B1728"/>
    <mergeCell ref="B1729:B1730"/>
    <mergeCell ref="B1731:B1732"/>
    <mergeCell ref="B1733:B1734"/>
    <mergeCell ref="B1735:B1736"/>
    <mergeCell ref="B1737:B1738"/>
    <mergeCell ref="B1739:B1740"/>
    <mergeCell ref="B1741:B1742"/>
    <mergeCell ref="B1743:B1744"/>
    <mergeCell ref="B1745:B1746"/>
    <mergeCell ref="B1747:B1748"/>
    <mergeCell ref="B1749:B1750"/>
    <mergeCell ref="B1751:B1752"/>
    <mergeCell ref="B1753:B1754"/>
    <mergeCell ref="B1755:B1756"/>
    <mergeCell ref="B1757:B1758"/>
    <mergeCell ref="B1759:B1760"/>
    <mergeCell ref="B1761:B1762"/>
    <mergeCell ref="B1763:B1764"/>
    <mergeCell ref="B1765:B1766"/>
    <mergeCell ref="B1767:B1768"/>
    <mergeCell ref="B1769:B1770"/>
    <mergeCell ref="B1771:B1772"/>
    <mergeCell ref="B1773:B1774"/>
    <mergeCell ref="B1775:B1776"/>
    <mergeCell ref="B1777:B1778"/>
    <mergeCell ref="B1779:B1780"/>
    <mergeCell ref="B1781:B1782"/>
    <mergeCell ref="B1783:B1784"/>
    <mergeCell ref="B1785:B1786"/>
    <mergeCell ref="B1787:B1788"/>
    <mergeCell ref="B1789:B1790"/>
    <mergeCell ref="B1791:B1792"/>
    <mergeCell ref="B1793:B1794"/>
    <mergeCell ref="B1795:B1796"/>
    <mergeCell ref="B1797:B1798"/>
    <mergeCell ref="B1799:B1800"/>
    <mergeCell ref="B1801:B1802"/>
    <mergeCell ref="B1803:B1804"/>
    <mergeCell ref="B1805:B1806"/>
    <mergeCell ref="B1807:B1808"/>
    <mergeCell ref="B1809:B1810"/>
    <mergeCell ref="B1811:B1812"/>
    <mergeCell ref="B1813:B1814"/>
    <mergeCell ref="B1815:B1816"/>
    <mergeCell ref="B1817:B1818"/>
    <mergeCell ref="B1819:B1820"/>
    <mergeCell ref="C10:C11"/>
    <mergeCell ref="C12:C13"/>
    <mergeCell ref="C14:C15"/>
    <mergeCell ref="C16:C17"/>
    <mergeCell ref="C18:C19"/>
    <mergeCell ref="C20:C21"/>
    <mergeCell ref="C22:C23"/>
    <mergeCell ref="C24:C25"/>
    <mergeCell ref="C26:C27"/>
    <mergeCell ref="C28:C29"/>
    <mergeCell ref="C30:C31"/>
    <mergeCell ref="C32:C33"/>
    <mergeCell ref="C34:C35"/>
    <mergeCell ref="C36:C37"/>
    <mergeCell ref="C38:C39"/>
    <mergeCell ref="C40:C41"/>
    <mergeCell ref="C42:C43"/>
    <mergeCell ref="C44:C45"/>
    <mergeCell ref="C46:C47"/>
    <mergeCell ref="C48:C49"/>
    <mergeCell ref="C50:C51"/>
    <mergeCell ref="C52:C53"/>
    <mergeCell ref="C54:C55"/>
    <mergeCell ref="C56:C57"/>
    <mergeCell ref="C58:C59"/>
    <mergeCell ref="C60:C61"/>
    <mergeCell ref="C62:C63"/>
    <mergeCell ref="C64:C65"/>
    <mergeCell ref="C66:C67"/>
    <mergeCell ref="C68:C69"/>
    <mergeCell ref="C70:C71"/>
    <mergeCell ref="C72:C73"/>
    <mergeCell ref="C74:C75"/>
    <mergeCell ref="C76:C77"/>
    <mergeCell ref="C78:C79"/>
    <mergeCell ref="C80:C81"/>
    <mergeCell ref="C82:C83"/>
    <mergeCell ref="C84:C85"/>
    <mergeCell ref="C86:C87"/>
    <mergeCell ref="C88:C89"/>
    <mergeCell ref="C90:C91"/>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4:C125"/>
    <mergeCell ref="C126:C127"/>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0:C161"/>
    <mergeCell ref="C162:C163"/>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196:C197"/>
    <mergeCell ref="C198:C199"/>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2:C233"/>
    <mergeCell ref="C234:C235"/>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68:C269"/>
    <mergeCell ref="C270:C271"/>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4:C305"/>
    <mergeCell ref="C306:C307"/>
    <mergeCell ref="C308:C309"/>
    <mergeCell ref="C316:C317"/>
    <mergeCell ref="C318:C319"/>
    <mergeCell ref="C320:C321"/>
    <mergeCell ref="C322:C323"/>
    <mergeCell ref="C324:C325"/>
    <mergeCell ref="C326:C327"/>
    <mergeCell ref="C328:C329"/>
    <mergeCell ref="C330:C331"/>
    <mergeCell ref="C332:C333"/>
    <mergeCell ref="C334:C335"/>
    <mergeCell ref="C336:C337"/>
    <mergeCell ref="C338:C339"/>
    <mergeCell ref="C340:C341"/>
    <mergeCell ref="C342:C343"/>
    <mergeCell ref="C344:C345"/>
    <mergeCell ref="C346:C347"/>
    <mergeCell ref="C348:C349"/>
    <mergeCell ref="C350:C351"/>
    <mergeCell ref="C352:C353"/>
    <mergeCell ref="C354:C355"/>
    <mergeCell ref="C356:C357"/>
    <mergeCell ref="C358:C359"/>
    <mergeCell ref="C360:C361"/>
    <mergeCell ref="C362:C363"/>
    <mergeCell ref="C364:C365"/>
    <mergeCell ref="C366:C367"/>
    <mergeCell ref="C368:C369"/>
    <mergeCell ref="C370:C371"/>
    <mergeCell ref="C372:C373"/>
    <mergeCell ref="C374:C375"/>
    <mergeCell ref="C376:C377"/>
    <mergeCell ref="C378:C379"/>
    <mergeCell ref="C380:C381"/>
    <mergeCell ref="C382:C383"/>
    <mergeCell ref="C384:C385"/>
    <mergeCell ref="C386:C387"/>
    <mergeCell ref="C388:C389"/>
    <mergeCell ref="C390:C391"/>
    <mergeCell ref="C392:C393"/>
    <mergeCell ref="C394:C395"/>
    <mergeCell ref="C396:C397"/>
    <mergeCell ref="C398:C399"/>
    <mergeCell ref="C400:C401"/>
    <mergeCell ref="C402:C403"/>
    <mergeCell ref="C404:C405"/>
    <mergeCell ref="C406:C407"/>
    <mergeCell ref="C408:C409"/>
    <mergeCell ref="C410:C411"/>
    <mergeCell ref="C412:C413"/>
    <mergeCell ref="C414:C415"/>
    <mergeCell ref="C416:C417"/>
    <mergeCell ref="C418:C419"/>
    <mergeCell ref="C420:C421"/>
    <mergeCell ref="C422:C423"/>
    <mergeCell ref="C424:C425"/>
    <mergeCell ref="C426:C427"/>
    <mergeCell ref="C428:C429"/>
    <mergeCell ref="C430:C431"/>
    <mergeCell ref="C432:C433"/>
    <mergeCell ref="C434:C435"/>
    <mergeCell ref="C436:C437"/>
    <mergeCell ref="C438:C439"/>
    <mergeCell ref="C440:C441"/>
    <mergeCell ref="C442:C443"/>
    <mergeCell ref="C444:C445"/>
    <mergeCell ref="C446:C447"/>
    <mergeCell ref="C448:C449"/>
    <mergeCell ref="C450:C451"/>
    <mergeCell ref="C452:C453"/>
    <mergeCell ref="C454:C455"/>
    <mergeCell ref="C456:C457"/>
    <mergeCell ref="C458:C459"/>
    <mergeCell ref="C460:C461"/>
    <mergeCell ref="C462:C463"/>
    <mergeCell ref="C464:C465"/>
    <mergeCell ref="C466:C467"/>
    <mergeCell ref="C468:C469"/>
    <mergeCell ref="C470:C471"/>
    <mergeCell ref="C472:C473"/>
    <mergeCell ref="C474:C475"/>
    <mergeCell ref="C476:C477"/>
    <mergeCell ref="C478:C479"/>
    <mergeCell ref="C480:C481"/>
    <mergeCell ref="C482:C483"/>
    <mergeCell ref="C484:C485"/>
    <mergeCell ref="C486:C487"/>
    <mergeCell ref="C488:C489"/>
    <mergeCell ref="C490:C491"/>
    <mergeCell ref="C492:C493"/>
    <mergeCell ref="C494:C495"/>
    <mergeCell ref="C496:C497"/>
    <mergeCell ref="C498:C499"/>
    <mergeCell ref="C500:C501"/>
    <mergeCell ref="C502:C503"/>
    <mergeCell ref="C504:C505"/>
    <mergeCell ref="C506:C507"/>
    <mergeCell ref="C508:C509"/>
    <mergeCell ref="C510:C511"/>
    <mergeCell ref="C512:C513"/>
    <mergeCell ref="C514:C515"/>
    <mergeCell ref="C516:C517"/>
    <mergeCell ref="C518:C519"/>
    <mergeCell ref="C520:C521"/>
    <mergeCell ref="C522:C523"/>
    <mergeCell ref="C524:C525"/>
    <mergeCell ref="C526:C527"/>
    <mergeCell ref="C528:C529"/>
    <mergeCell ref="C530:C531"/>
    <mergeCell ref="C532:C533"/>
    <mergeCell ref="C534:C535"/>
    <mergeCell ref="C536:C537"/>
    <mergeCell ref="C538:C539"/>
    <mergeCell ref="C540:C541"/>
    <mergeCell ref="C542:C543"/>
    <mergeCell ref="C544:C545"/>
    <mergeCell ref="C546:C547"/>
    <mergeCell ref="C548:C549"/>
    <mergeCell ref="C550:C551"/>
    <mergeCell ref="C552:C553"/>
    <mergeCell ref="C554:C555"/>
    <mergeCell ref="C556:C557"/>
    <mergeCell ref="C558:C559"/>
    <mergeCell ref="C560:C561"/>
    <mergeCell ref="C562:C563"/>
    <mergeCell ref="C564:C565"/>
    <mergeCell ref="C566:C567"/>
    <mergeCell ref="C568:C569"/>
    <mergeCell ref="C570:C571"/>
    <mergeCell ref="C572:C573"/>
    <mergeCell ref="C574:C575"/>
    <mergeCell ref="C576:C577"/>
    <mergeCell ref="C578:C579"/>
    <mergeCell ref="C580:C581"/>
    <mergeCell ref="C582:C583"/>
    <mergeCell ref="C584:C585"/>
    <mergeCell ref="C586:C587"/>
    <mergeCell ref="C588:C589"/>
    <mergeCell ref="C590:C591"/>
    <mergeCell ref="C592:C593"/>
    <mergeCell ref="C594:C595"/>
    <mergeCell ref="C596:C597"/>
    <mergeCell ref="C598:C599"/>
    <mergeCell ref="C600:C601"/>
    <mergeCell ref="C602:C603"/>
    <mergeCell ref="C604:C605"/>
    <mergeCell ref="C606:C607"/>
    <mergeCell ref="C608:C609"/>
    <mergeCell ref="C610:C611"/>
    <mergeCell ref="C612:C613"/>
    <mergeCell ref="C614:C615"/>
    <mergeCell ref="C621:C622"/>
    <mergeCell ref="C623:C624"/>
    <mergeCell ref="C625:C626"/>
    <mergeCell ref="C627:C628"/>
    <mergeCell ref="C629:C630"/>
    <mergeCell ref="C631:C632"/>
    <mergeCell ref="C633:C634"/>
    <mergeCell ref="C635:C636"/>
    <mergeCell ref="C637:C638"/>
    <mergeCell ref="C639:C640"/>
    <mergeCell ref="C641:C642"/>
    <mergeCell ref="C643:C644"/>
    <mergeCell ref="C645:C646"/>
    <mergeCell ref="C647:C648"/>
    <mergeCell ref="C649:C650"/>
    <mergeCell ref="C651:C652"/>
    <mergeCell ref="C653:C654"/>
    <mergeCell ref="C655:C656"/>
    <mergeCell ref="C657:C658"/>
    <mergeCell ref="C659:C660"/>
    <mergeCell ref="C661:C662"/>
    <mergeCell ref="C663:C664"/>
    <mergeCell ref="C665:C666"/>
    <mergeCell ref="C667:C668"/>
    <mergeCell ref="C669:C670"/>
    <mergeCell ref="C671:C672"/>
    <mergeCell ref="C673:C674"/>
    <mergeCell ref="C675:C676"/>
    <mergeCell ref="C677:C678"/>
    <mergeCell ref="C679:C680"/>
    <mergeCell ref="C681:C682"/>
    <mergeCell ref="C683:C684"/>
    <mergeCell ref="C685:C686"/>
    <mergeCell ref="C687:C688"/>
    <mergeCell ref="C689:C690"/>
    <mergeCell ref="C691:C692"/>
    <mergeCell ref="C693:C694"/>
    <mergeCell ref="C695:C696"/>
    <mergeCell ref="C697:C698"/>
    <mergeCell ref="C699:C700"/>
    <mergeCell ref="C701:C702"/>
    <mergeCell ref="C703:C704"/>
    <mergeCell ref="C705:C706"/>
    <mergeCell ref="C707:C708"/>
    <mergeCell ref="C709:C710"/>
    <mergeCell ref="C711:C712"/>
    <mergeCell ref="C713:C714"/>
    <mergeCell ref="C715:C716"/>
    <mergeCell ref="C717:C718"/>
    <mergeCell ref="C719:C720"/>
    <mergeCell ref="C721:C722"/>
    <mergeCell ref="C723:C724"/>
    <mergeCell ref="C725:C726"/>
    <mergeCell ref="C727:C728"/>
    <mergeCell ref="C729:C730"/>
    <mergeCell ref="C731:C732"/>
    <mergeCell ref="C733:C734"/>
    <mergeCell ref="C735:C736"/>
    <mergeCell ref="C737:C738"/>
    <mergeCell ref="C739:C740"/>
    <mergeCell ref="C741:C742"/>
    <mergeCell ref="C743:C744"/>
    <mergeCell ref="C745:C746"/>
    <mergeCell ref="C747:C748"/>
    <mergeCell ref="C749:C750"/>
    <mergeCell ref="C751:C752"/>
    <mergeCell ref="C753:C754"/>
    <mergeCell ref="C755:C756"/>
    <mergeCell ref="C757:C758"/>
    <mergeCell ref="C759:C760"/>
    <mergeCell ref="C761:C762"/>
    <mergeCell ref="C763:C764"/>
    <mergeCell ref="C765:C766"/>
    <mergeCell ref="C767:C768"/>
    <mergeCell ref="C769:C770"/>
    <mergeCell ref="C771:C772"/>
    <mergeCell ref="C773:C774"/>
    <mergeCell ref="C775:C776"/>
    <mergeCell ref="C777:C778"/>
    <mergeCell ref="C779:C780"/>
    <mergeCell ref="C781:C782"/>
    <mergeCell ref="C783:C784"/>
    <mergeCell ref="C785:C786"/>
    <mergeCell ref="C787:C788"/>
    <mergeCell ref="C789:C790"/>
    <mergeCell ref="C791:C792"/>
    <mergeCell ref="C793:C794"/>
    <mergeCell ref="C795:C796"/>
    <mergeCell ref="C797:C798"/>
    <mergeCell ref="C799:C800"/>
    <mergeCell ref="C801:C802"/>
    <mergeCell ref="C803:C804"/>
    <mergeCell ref="C805:C806"/>
    <mergeCell ref="C807:C808"/>
    <mergeCell ref="C809:C810"/>
    <mergeCell ref="C811:C812"/>
    <mergeCell ref="C813:C814"/>
    <mergeCell ref="C815:C816"/>
    <mergeCell ref="C817:C818"/>
    <mergeCell ref="C819:C820"/>
    <mergeCell ref="C821:C822"/>
    <mergeCell ref="C823:C824"/>
    <mergeCell ref="C825:C826"/>
    <mergeCell ref="C827:C828"/>
    <mergeCell ref="C829:C830"/>
    <mergeCell ref="C831:C832"/>
    <mergeCell ref="C833:C834"/>
    <mergeCell ref="C835:C836"/>
    <mergeCell ref="C837:C838"/>
    <mergeCell ref="C839:C840"/>
    <mergeCell ref="C841:C842"/>
    <mergeCell ref="C843:C844"/>
    <mergeCell ref="C845:C846"/>
    <mergeCell ref="C847:C848"/>
    <mergeCell ref="C849:C850"/>
    <mergeCell ref="C851:C852"/>
    <mergeCell ref="C853:C854"/>
    <mergeCell ref="C855:C856"/>
    <mergeCell ref="C857:C858"/>
    <mergeCell ref="C859:C860"/>
    <mergeCell ref="C861:C862"/>
    <mergeCell ref="C863:C864"/>
    <mergeCell ref="C865:C866"/>
    <mergeCell ref="C867:C868"/>
    <mergeCell ref="C869:C870"/>
    <mergeCell ref="C871:C872"/>
    <mergeCell ref="C873:C874"/>
    <mergeCell ref="C875:C876"/>
    <mergeCell ref="C877:C878"/>
    <mergeCell ref="C879:C880"/>
    <mergeCell ref="C881:C882"/>
    <mergeCell ref="C883:C884"/>
    <mergeCell ref="C885:C886"/>
    <mergeCell ref="C887:C888"/>
    <mergeCell ref="C889:C890"/>
    <mergeCell ref="C891:C892"/>
    <mergeCell ref="C893:C894"/>
    <mergeCell ref="C895:C896"/>
    <mergeCell ref="C897:C898"/>
    <mergeCell ref="C899:C900"/>
    <mergeCell ref="C901:C902"/>
    <mergeCell ref="C903:C904"/>
    <mergeCell ref="C905:C906"/>
    <mergeCell ref="C907:C908"/>
    <mergeCell ref="C909:C910"/>
    <mergeCell ref="C911:C912"/>
    <mergeCell ref="C913:C914"/>
    <mergeCell ref="C915:C916"/>
    <mergeCell ref="C917:C918"/>
    <mergeCell ref="C919:C920"/>
    <mergeCell ref="C921:C922"/>
    <mergeCell ref="C923:C924"/>
    <mergeCell ref="C925:C926"/>
    <mergeCell ref="C927:C928"/>
    <mergeCell ref="C929:C930"/>
    <mergeCell ref="C931:C932"/>
    <mergeCell ref="C933:C934"/>
    <mergeCell ref="C935:C936"/>
    <mergeCell ref="C937:C938"/>
    <mergeCell ref="C939:C940"/>
    <mergeCell ref="C941:C942"/>
    <mergeCell ref="C943:C944"/>
    <mergeCell ref="C945:C946"/>
    <mergeCell ref="C947:C948"/>
    <mergeCell ref="C949:C950"/>
    <mergeCell ref="C951:C952"/>
    <mergeCell ref="C953:C954"/>
    <mergeCell ref="C955:C956"/>
    <mergeCell ref="C957:C958"/>
    <mergeCell ref="C959:C960"/>
    <mergeCell ref="C961:C962"/>
    <mergeCell ref="C963:C964"/>
    <mergeCell ref="C965:C966"/>
    <mergeCell ref="C967:C968"/>
    <mergeCell ref="C969:C970"/>
    <mergeCell ref="C971:C972"/>
    <mergeCell ref="C973:C974"/>
    <mergeCell ref="C975:C976"/>
    <mergeCell ref="C977:C978"/>
    <mergeCell ref="C979:C980"/>
    <mergeCell ref="C981:C982"/>
    <mergeCell ref="C983:C984"/>
    <mergeCell ref="C985:C986"/>
    <mergeCell ref="C987:C988"/>
    <mergeCell ref="C989:C990"/>
    <mergeCell ref="C991:C992"/>
    <mergeCell ref="C993:C994"/>
    <mergeCell ref="C995:C996"/>
    <mergeCell ref="C997:C998"/>
    <mergeCell ref="C999:C1000"/>
    <mergeCell ref="C1001:C1002"/>
    <mergeCell ref="C1003:C1004"/>
    <mergeCell ref="C1005:C1006"/>
    <mergeCell ref="C1007:C1008"/>
    <mergeCell ref="C1009:C1010"/>
    <mergeCell ref="C1011:C1012"/>
    <mergeCell ref="C1013:C1014"/>
    <mergeCell ref="C1015:C1016"/>
    <mergeCell ref="C1017:C1018"/>
    <mergeCell ref="C1019:C1020"/>
    <mergeCell ref="C1021:C1022"/>
    <mergeCell ref="C1023:C1024"/>
    <mergeCell ref="C1025:C1026"/>
    <mergeCell ref="C1027:C1028"/>
    <mergeCell ref="C1029:C1030"/>
    <mergeCell ref="C1031:C1032"/>
    <mergeCell ref="C1033:C1034"/>
    <mergeCell ref="C1035:C1036"/>
    <mergeCell ref="C1037:C1038"/>
    <mergeCell ref="C1039:C1040"/>
    <mergeCell ref="C1041:C1042"/>
    <mergeCell ref="C1043:C1044"/>
    <mergeCell ref="C1045:C1046"/>
    <mergeCell ref="C1047:C1048"/>
    <mergeCell ref="C1049:C1050"/>
    <mergeCell ref="C1051:C1052"/>
    <mergeCell ref="C1053:C1054"/>
    <mergeCell ref="C1055:C1056"/>
    <mergeCell ref="C1057:C1058"/>
    <mergeCell ref="C1059:C1060"/>
    <mergeCell ref="C1061:C1062"/>
    <mergeCell ref="C1063:C1064"/>
    <mergeCell ref="C1065:C1066"/>
    <mergeCell ref="C1067:C1068"/>
    <mergeCell ref="C1069:C1070"/>
    <mergeCell ref="C1071:C1072"/>
    <mergeCell ref="C1073:C1074"/>
    <mergeCell ref="C1075:C1076"/>
    <mergeCell ref="C1077:C1078"/>
    <mergeCell ref="C1079:C1080"/>
    <mergeCell ref="C1081:C1082"/>
    <mergeCell ref="C1083:C1084"/>
    <mergeCell ref="C1085:C1086"/>
    <mergeCell ref="C1087:C1088"/>
    <mergeCell ref="C1089:C1090"/>
    <mergeCell ref="C1091:C1092"/>
    <mergeCell ref="C1093:C1094"/>
    <mergeCell ref="C1095:C1096"/>
    <mergeCell ref="C1097:C1098"/>
    <mergeCell ref="C1099:C1100"/>
    <mergeCell ref="C1101:C1102"/>
    <mergeCell ref="C1103:C1104"/>
    <mergeCell ref="C1105:C1106"/>
    <mergeCell ref="C1107:C1108"/>
    <mergeCell ref="C1109:C1110"/>
    <mergeCell ref="C1111:C1112"/>
    <mergeCell ref="C1113:C1114"/>
    <mergeCell ref="C1115:C1116"/>
    <mergeCell ref="C1117:C1118"/>
    <mergeCell ref="C1119:C1120"/>
    <mergeCell ref="C1121:C1122"/>
    <mergeCell ref="C1123:C1124"/>
    <mergeCell ref="C1125:C1126"/>
    <mergeCell ref="C1127:C1128"/>
    <mergeCell ref="C1129:C1130"/>
    <mergeCell ref="C1131:C1132"/>
    <mergeCell ref="C1133:C1134"/>
    <mergeCell ref="C1135:C1136"/>
    <mergeCell ref="C1137:C1138"/>
    <mergeCell ref="C1139:C1140"/>
    <mergeCell ref="C1141:C1142"/>
    <mergeCell ref="C1143:C1144"/>
    <mergeCell ref="C1145:C1146"/>
    <mergeCell ref="C1147:C1148"/>
    <mergeCell ref="C1149:C1150"/>
    <mergeCell ref="C1151:C1152"/>
    <mergeCell ref="C1153:C1154"/>
    <mergeCell ref="C1155:C1156"/>
    <mergeCell ref="C1157:C1158"/>
    <mergeCell ref="C1159:C1160"/>
    <mergeCell ref="C1161:C1162"/>
    <mergeCell ref="C1163:C1164"/>
    <mergeCell ref="C1165:C1166"/>
    <mergeCell ref="C1167:C1168"/>
    <mergeCell ref="C1169:C1170"/>
    <mergeCell ref="C1171:C1172"/>
    <mergeCell ref="C1173:C1174"/>
    <mergeCell ref="C1175:C1176"/>
    <mergeCell ref="C1177:C1178"/>
    <mergeCell ref="C1179:C1180"/>
    <mergeCell ref="C1181:C1182"/>
    <mergeCell ref="C1183:C1184"/>
    <mergeCell ref="C1185:C1186"/>
    <mergeCell ref="C1187:C1188"/>
    <mergeCell ref="C1189:C1190"/>
    <mergeCell ref="C1191:C1192"/>
    <mergeCell ref="C1193:C1194"/>
    <mergeCell ref="C1195:C1196"/>
    <mergeCell ref="C1197:C1198"/>
    <mergeCell ref="C1199:C1200"/>
    <mergeCell ref="C1201:C1202"/>
    <mergeCell ref="C1203:C1204"/>
    <mergeCell ref="C1205:C1206"/>
    <mergeCell ref="C1207:C1208"/>
    <mergeCell ref="C1209:C1210"/>
    <mergeCell ref="C1211:C1212"/>
    <mergeCell ref="C1213:C1214"/>
    <mergeCell ref="C1215:C1216"/>
    <mergeCell ref="C1217:C1218"/>
    <mergeCell ref="C1219:C1220"/>
    <mergeCell ref="C1221:C1222"/>
    <mergeCell ref="C1223:C1224"/>
    <mergeCell ref="C1225:C1226"/>
    <mergeCell ref="C1227:C1228"/>
    <mergeCell ref="C1229:C1230"/>
    <mergeCell ref="C1231:C1232"/>
    <mergeCell ref="C1233:C1234"/>
    <mergeCell ref="C1235:C1236"/>
    <mergeCell ref="C1237:C1238"/>
    <mergeCell ref="C1239:C1240"/>
    <mergeCell ref="C1241:C1242"/>
    <mergeCell ref="C1243:C1244"/>
    <mergeCell ref="C1245:C1246"/>
    <mergeCell ref="C1247:C1248"/>
    <mergeCell ref="C1249:C1250"/>
    <mergeCell ref="C1251:C1252"/>
    <mergeCell ref="C1253:C1254"/>
    <mergeCell ref="C1255:C1256"/>
    <mergeCell ref="C1257:C1258"/>
    <mergeCell ref="C1259:C1260"/>
    <mergeCell ref="C1261:C1262"/>
    <mergeCell ref="C1263:C1264"/>
    <mergeCell ref="C1265:C1266"/>
    <mergeCell ref="C1267:C1268"/>
    <mergeCell ref="C1269:C1270"/>
    <mergeCell ref="C1271:C1272"/>
    <mergeCell ref="C1273:C1274"/>
    <mergeCell ref="C1275:C1276"/>
    <mergeCell ref="C1277:C1278"/>
    <mergeCell ref="C1279:C1280"/>
    <mergeCell ref="C1281:C1282"/>
    <mergeCell ref="C1283:C1284"/>
    <mergeCell ref="C1285:C1286"/>
    <mergeCell ref="C1287:C1288"/>
    <mergeCell ref="C1289:C1290"/>
    <mergeCell ref="C1291:C1292"/>
    <mergeCell ref="C1293:C1294"/>
    <mergeCell ref="C1295:C1296"/>
    <mergeCell ref="C1297:C1298"/>
    <mergeCell ref="C1299:C1300"/>
    <mergeCell ref="C1301:C1302"/>
    <mergeCell ref="C1303:C1304"/>
    <mergeCell ref="C1305:C1306"/>
    <mergeCell ref="C1307:C1308"/>
    <mergeCell ref="C1309:C1310"/>
    <mergeCell ref="C1311:C1312"/>
    <mergeCell ref="C1313:C1314"/>
    <mergeCell ref="C1315:C1316"/>
    <mergeCell ref="C1317:C1318"/>
    <mergeCell ref="C1319:C1320"/>
    <mergeCell ref="C1321:C1322"/>
    <mergeCell ref="C1323:C1324"/>
    <mergeCell ref="C1325:C1326"/>
    <mergeCell ref="C1327:C1328"/>
    <mergeCell ref="C1329:C1330"/>
    <mergeCell ref="C1331:C1332"/>
    <mergeCell ref="C1333:C1334"/>
    <mergeCell ref="C1335:C1336"/>
    <mergeCell ref="C1337:C1338"/>
    <mergeCell ref="C1339:C1340"/>
    <mergeCell ref="C1341:C1342"/>
    <mergeCell ref="C1343:C1344"/>
    <mergeCell ref="C1345:C1346"/>
    <mergeCell ref="C1347:C1348"/>
    <mergeCell ref="C1349:C1350"/>
    <mergeCell ref="C1351:C1352"/>
    <mergeCell ref="C1353:C1354"/>
    <mergeCell ref="C1355:C1356"/>
    <mergeCell ref="C1357:C1358"/>
    <mergeCell ref="C1359:C1360"/>
    <mergeCell ref="C1361:C1362"/>
    <mergeCell ref="C1363:C1364"/>
    <mergeCell ref="C1365:C1366"/>
    <mergeCell ref="C1367:C1368"/>
    <mergeCell ref="C1369:C1370"/>
    <mergeCell ref="C1371:C1372"/>
    <mergeCell ref="C1373:C1374"/>
    <mergeCell ref="C1375:C1376"/>
    <mergeCell ref="C1377:C1378"/>
    <mergeCell ref="C1379:C1380"/>
    <mergeCell ref="C1381:C1382"/>
    <mergeCell ref="C1383:C1384"/>
    <mergeCell ref="C1385:C1386"/>
    <mergeCell ref="C1387:C1388"/>
    <mergeCell ref="C1389:C1390"/>
    <mergeCell ref="C1391:C1392"/>
    <mergeCell ref="C1393:C1394"/>
    <mergeCell ref="C1395:C1396"/>
    <mergeCell ref="C1397:C1398"/>
    <mergeCell ref="C1399:C1400"/>
    <mergeCell ref="C1401:C1402"/>
    <mergeCell ref="C1403:C1404"/>
    <mergeCell ref="C1405:C1406"/>
    <mergeCell ref="C1407:C1408"/>
    <mergeCell ref="C1409:C1410"/>
    <mergeCell ref="C1411:C1412"/>
    <mergeCell ref="C1413:C1414"/>
    <mergeCell ref="C1415:C1416"/>
    <mergeCell ref="C1417:C1418"/>
    <mergeCell ref="C1419:C1420"/>
    <mergeCell ref="C1421:C1422"/>
    <mergeCell ref="C1423:C1424"/>
    <mergeCell ref="C1425:C1426"/>
    <mergeCell ref="C1427:C1428"/>
    <mergeCell ref="C1429:C1430"/>
    <mergeCell ref="C1431:C1432"/>
    <mergeCell ref="C1433:C1434"/>
    <mergeCell ref="C1435:C1436"/>
    <mergeCell ref="C1437:C1438"/>
    <mergeCell ref="C1439:C1440"/>
    <mergeCell ref="C1441:C1442"/>
    <mergeCell ref="C1443:C1444"/>
    <mergeCell ref="C1445:C1446"/>
    <mergeCell ref="C1447:C1448"/>
    <mergeCell ref="C1449:C1450"/>
    <mergeCell ref="C1451:C1452"/>
    <mergeCell ref="C1453:C1454"/>
    <mergeCell ref="C1455:C1456"/>
    <mergeCell ref="C1457:C1458"/>
    <mergeCell ref="C1459:C1460"/>
    <mergeCell ref="C1461:C1462"/>
    <mergeCell ref="C1463:C1464"/>
    <mergeCell ref="C1465:C1466"/>
    <mergeCell ref="C1467:C1468"/>
    <mergeCell ref="C1469:C1470"/>
    <mergeCell ref="C1471:C1472"/>
    <mergeCell ref="C1473:C1474"/>
    <mergeCell ref="C1475:C1476"/>
    <mergeCell ref="C1477:C1478"/>
    <mergeCell ref="C1479:C1480"/>
    <mergeCell ref="C1481:C1482"/>
    <mergeCell ref="C1483:C1484"/>
    <mergeCell ref="C1485:C1486"/>
    <mergeCell ref="C1487:C1488"/>
    <mergeCell ref="C1489:C1490"/>
    <mergeCell ref="C1491:C1492"/>
    <mergeCell ref="C1493:C1494"/>
    <mergeCell ref="C1495:C1496"/>
    <mergeCell ref="C1497:C1498"/>
    <mergeCell ref="C1499:C1500"/>
    <mergeCell ref="C1501:C1502"/>
    <mergeCell ref="C1503:C1504"/>
    <mergeCell ref="C1505:C1506"/>
    <mergeCell ref="C1507:C1508"/>
    <mergeCell ref="C1509:C1510"/>
    <mergeCell ref="C1511:C1512"/>
    <mergeCell ref="C1513:C1514"/>
    <mergeCell ref="C1515:C1516"/>
    <mergeCell ref="C1517:C1518"/>
    <mergeCell ref="C1519:C1520"/>
    <mergeCell ref="C1521:C1522"/>
    <mergeCell ref="C1523:C1524"/>
    <mergeCell ref="C1525:C1526"/>
    <mergeCell ref="C1527:C1528"/>
    <mergeCell ref="C1529:C1530"/>
    <mergeCell ref="C1531:C1532"/>
    <mergeCell ref="C1533:C1534"/>
    <mergeCell ref="C1535:C1536"/>
    <mergeCell ref="C1537:C1538"/>
    <mergeCell ref="C1539:C1540"/>
    <mergeCell ref="C1541:C1542"/>
    <mergeCell ref="C1543:C1544"/>
    <mergeCell ref="C1545:C1546"/>
    <mergeCell ref="C1547:C1548"/>
    <mergeCell ref="C1549:C1550"/>
    <mergeCell ref="C1551:C1552"/>
    <mergeCell ref="C1553:C1554"/>
    <mergeCell ref="C1555:C1556"/>
    <mergeCell ref="C1557:C1558"/>
    <mergeCell ref="C1559:C1560"/>
    <mergeCell ref="C1561:C1562"/>
    <mergeCell ref="C1563:C1564"/>
    <mergeCell ref="C1565:C1566"/>
    <mergeCell ref="C1567:C1568"/>
    <mergeCell ref="C1569:C1570"/>
    <mergeCell ref="C1571:C1572"/>
    <mergeCell ref="C1573:C1574"/>
    <mergeCell ref="C1575:C1576"/>
    <mergeCell ref="C1577:C1578"/>
    <mergeCell ref="C1579:C1580"/>
    <mergeCell ref="C1581:C1582"/>
    <mergeCell ref="C1583:C1584"/>
    <mergeCell ref="C1585:C1586"/>
    <mergeCell ref="C1587:C1588"/>
    <mergeCell ref="C1589:C1590"/>
    <mergeCell ref="C1591:C1592"/>
    <mergeCell ref="C1593:C1594"/>
    <mergeCell ref="C1595:C1596"/>
    <mergeCell ref="C1597:C1598"/>
    <mergeCell ref="C1599:C1600"/>
    <mergeCell ref="C1601:C1602"/>
    <mergeCell ref="C1603:C1604"/>
    <mergeCell ref="C1605:C1606"/>
    <mergeCell ref="C1607:C1608"/>
    <mergeCell ref="C1609:C1610"/>
    <mergeCell ref="C1611:C1612"/>
    <mergeCell ref="C1613:C1614"/>
    <mergeCell ref="C1615:C1616"/>
    <mergeCell ref="C1617:C1618"/>
    <mergeCell ref="C1619:C1620"/>
    <mergeCell ref="C1621:C1622"/>
    <mergeCell ref="C1623:C1624"/>
    <mergeCell ref="C1625:C1626"/>
    <mergeCell ref="C1627:C1628"/>
    <mergeCell ref="C1629:C1630"/>
    <mergeCell ref="C1631:C1632"/>
    <mergeCell ref="C1633:C1634"/>
    <mergeCell ref="C1635:C1636"/>
    <mergeCell ref="C1637:C1638"/>
    <mergeCell ref="C1639:C1640"/>
    <mergeCell ref="C1641:C1642"/>
    <mergeCell ref="C1643:C1644"/>
    <mergeCell ref="C1645:C1646"/>
    <mergeCell ref="C1647:C1648"/>
    <mergeCell ref="C1649:C1650"/>
    <mergeCell ref="C1651:C1652"/>
    <mergeCell ref="C1653:C1654"/>
    <mergeCell ref="C1655:C1656"/>
    <mergeCell ref="C1657:C1658"/>
    <mergeCell ref="C1659:C1660"/>
    <mergeCell ref="C1661:C1662"/>
    <mergeCell ref="C1663:C1664"/>
    <mergeCell ref="C1665:C1666"/>
    <mergeCell ref="C1667:C1668"/>
    <mergeCell ref="C1669:C1670"/>
    <mergeCell ref="C1671:C1672"/>
    <mergeCell ref="C1673:C1674"/>
    <mergeCell ref="C1675:C1676"/>
    <mergeCell ref="C1677:C1678"/>
    <mergeCell ref="C1679:C1680"/>
    <mergeCell ref="C1681:C1682"/>
    <mergeCell ref="C1683:C1684"/>
    <mergeCell ref="C1685:C1686"/>
    <mergeCell ref="C1687:C1688"/>
    <mergeCell ref="C1689:C1690"/>
    <mergeCell ref="C1691:C1692"/>
    <mergeCell ref="C1693:C1694"/>
    <mergeCell ref="C1695:C1696"/>
    <mergeCell ref="C1697:C1698"/>
    <mergeCell ref="C1699:C1700"/>
    <mergeCell ref="C1701:C1702"/>
    <mergeCell ref="C1703:C1704"/>
    <mergeCell ref="C1705:C1706"/>
    <mergeCell ref="C1707:C1708"/>
    <mergeCell ref="C1709:C1710"/>
    <mergeCell ref="C1711:C1712"/>
    <mergeCell ref="C1713:C1714"/>
    <mergeCell ref="C1715:C1716"/>
    <mergeCell ref="C1717:C1718"/>
    <mergeCell ref="C1719:C1720"/>
    <mergeCell ref="C1721:C1722"/>
    <mergeCell ref="C1723:C1724"/>
    <mergeCell ref="C1725:C1726"/>
    <mergeCell ref="C1727:C1728"/>
    <mergeCell ref="C1729:C1730"/>
    <mergeCell ref="C1731:C1732"/>
    <mergeCell ref="C1733:C1734"/>
    <mergeCell ref="C1735:C1736"/>
    <mergeCell ref="C1737:C1738"/>
    <mergeCell ref="C1739:C1740"/>
    <mergeCell ref="C1741:C1742"/>
    <mergeCell ref="C1743:C1744"/>
    <mergeCell ref="C1745:C1746"/>
    <mergeCell ref="C1747:C1748"/>
    <mergeCell ref="C1749:C1750"/>
    <mergeCell ref="C1751:C1752"/>
    <mergeCell ref="C1753:C1754"/>
    <mergeCell ref="C1755:C1756"/>
    <mergeCell ref="C1757:C1758"/>
    <mergeCell ref="C1759:C1760"/>
    <mergeCell ref="C1761:C1762"/>
    <mergeCell ref="C1763:C1764"/>
    <mergeCell ref="C1765:C1766"/>
    <mergeCell ref="C1767:C1768"/>
    <mergeCell ref="C1769:C1770"/>
    <mergeCell ref="C1771:C1772"/>
    <mergeCell ref="C1773:C1774"/>
    <mergeCell ref="C1775:C1776"/>
    <mergeCell ref="C1777:C1778"/>
    <mergeCell ref="C1779:C1780"/>
    <mergeCell ref="C1781:C1782"/>
    <mergeCell ref="C1783:C1784"/>
    <mergeCell ref="C1785:C1786"/>
    <mergeCell ref="C1787:C1788"/>
    <mergeCell ref="C1789:C1790"/>
    <mergeCell ref="C1791:C1792"/>
    <mergeCell ref="C1793:C1794"/>
    <mergeCell ref="C1795:C1796"/>
    <mergeCell ref="C1797:C1798"/>
    <mergeCell ref="C1799:C1800"/>
    <mergeCell ref="C1801:C1802"/>
    <mergeCell ref="C1803:C1804"/>
    <mergeCell ref="C1805:C1806"/>
    <mergeCell ref="C1807:C1808"/>
    <mergeCell ref="C1809:C1810"/>
    <mergeCell ref="C1811:C1812"/>
    <mergeCell ref="C1813:C1814"/>
    <mergeCell ref="C1815:C1816"/>
    <mergeCell ref="C1817:C1818"/>
    <mergeCell ref="C1819:C1820"/>
    <mergeCell ref="D10:D11"/>
    <mergeCell ref="D12:D13"/>
    <mergeCell ref="D14:D15"/>
    <mergeCell ref="D16:D17"/>
    <mergeCell ref="D18:D19"/>
    <mergeCell ref="D20:D21"/>
    <mergeCell ref="D22:D23"/>
    <mergeCell ref="D24:D25"/>
    <mergeCell ref="D26:D27"/>
    <mergeCell ref="D28:D29"/>
    <mergeCell ref="D30:D31"/>
    <mergeCell ref="D32:D33"/>
    <mergeCell ref="D34:D35"/>
    <mergeCell ref="D36:D37"/>
    <mergeCell ref="D38:D39"/>
    <mergeCell ref="D40:D41"/>
    <mergeCell ref="D42:D43"/>
    <mergeCell ref="D44:D45"/>
    <mergeCell ref="D46:D47"/>
    <mergeCell ref="D48:D49"/>
    <mergeCell ref="D50:D51"/>
    <mergeCell ref="D52:D53"/>
    <mergeCell ref="D54:D55"/>
    <mergeCell ref="D56:D57"/>
    <mergeCell ref="D58:D59"/>
    <mergeCell ref="D60:D61"/>
    <mergeCell ref="D62:D63"/>
    <mergeCell ref="D64:D65"/>
    <mergeCell ref="D66:D67"/>
    <mergeCell ref="D68:D69"/>
    <mergeCell ref="D70:D71"/>
    <mergeCell ref="D72:D73"/>
    <mergeCell ref="D74:D75"/>
    <mergeCell ref="D76:D77"/>
    <mergeCell ref="D78:D79"/>
    <mergeCell ref="D80:D81"/>
    <mergeCell ref="D82:D83"/>
    <mergeCell ref="D84:D85"/>
    <mergeCell ref="D86:D87"/>
    <mergeCell ref="D88:D89"/>
    <mergeCell ref="D90:D91"/>
    <mergeCell ref="D92:D93"/>
    <mergeCell ref="D94:D95"/>
    <mergeCell ref="D96:D97"/>
    <mergeCell ref="D98:D99"/>
    <mergeCell ref="D100:D101"/>
    <mergeCell ref="D102:D103"/>
    <mergeCell ref="D104:D105"/>
    <mergeCell ref="D106:D107"/>
    <mergeCell ref="D108:D109"/>
    <mergeCell ref="D110:D111"/>
    <mergeCell ref="D112:D113"/>
    <mergeCell ref="D114:D115"/>
    <mergeCell ref="D116:D117"/>
    <mergeCell ref="D118:D119"/>
    <mergeCell ref="D120:D121"/>
    <mergeCell ref="D122:D123"/>
    <mergeCell ref="D124:D125"/>
    <mergeCell ref="D126:D127"/>
    <mergeCell ref="D128:D129"/>
    <mergeCell ref="D130:D131"/>
    <mergeCell ref="D132:D133"/>
    <mergeCell ref="D134:D135"/>
    <mergeCell ref="D136:D137"/>
    <mergeCell ref="D138:D139"/>
    <mergeCell ref="D140:D141"/>
    <mergeCell ref="D142:D143"/>
    <mergeCell ref="D144:D145"/>
    <mergeCell ref="D146:D147"/>
    <mergeCell ref="D148:D149"/>
    <mergeCell ref="D150:D151"/>
    <mergeCell ref="D152:D153"/>
    <mergeCell ref="D154:D155"/>
    <mergeCell ref="D156:D157"/>
    <mergeCell ref="D158:D159"/>
    <mergeCell ref="D160:D161"/>
    <mergeCell ref="D162:D163"/>
    <mergeCell ref="D164:D165"/>
    <mergeCell ref="D166:D167"/>
    <mergeCell ref="D168:D169"/>
    <mergeCell ref="D170:D171"/>
    <mergeCell ref="D172:D173"/>
    <mergeCell ref="D174:D175"/>
    <mergeCell ref="D176:D177"/>
    <mergeCell ref="D178:D179"/>
    <mergeCell ref="D180:D181"/>
    <mergeCell ref="D182:D183"/>
    <mergeCell ref="D184:D185"/>
    <mergeCell ref="D186:D187"/>
    <mergeCell ref="D188:D189"/>
    <mergeCell ref="D190:D191"/>
    <mergeCell ref="D192:D193"/>
    <mergeCell ref="D194:D195"/>
    <mergeCell ref="D196:D197"/>
    <mergeCell ref="D198:D199"/>
    <mergeCell ref="D200:D201"/>
    <mergeCell ref="D202:D203"/>
    <mergeCell ref="D204:D205"/>
    <mergeCell ref="D206:D207"/>
    <mergeCell ref="D208:D209"/>
    <mergeCell ref="D210:D211"/>
    <mergeCell ref="D212:D213"/>
    <mergeCell ref="D214:D215"/>
    <mergeCell ref="D216:D217"/>
    <mergeCell ref="D218:D219"/>
    <mergeCell ref="D220:D221"/>
    <mergeCell ref="D222:D223"/>
    <mergeCell ref="D224:D225"/>
    <mergeCell ref="D226:D227"/>
    <mergeCell ref="D228:D229"/>
    <mergeCell ref="D230:D231"/>
    <mergeCell ref="D232:D233"/>
    <mergeCell ref="D234:D235"/>
    <mergeCell ref="D236:D237"/>
    <mergeCell ref="D238:D239"/>
    <mergeCell ref="D240:D241"/>
    <mergeCell ref="D242:D243"/>
    <mergeCell ref="D244:D245"/>
    <mergeCell ref="D246:D247"/>
    <mergeCell ref="D248:D249"/>
    <mergeCell ref="D250:D251"/>
    <mergeCell ref="D252:D253"/>
    <mergeCell ref="D254:D255"/>
    <mergeCell ref="D256:D257"/>
    <mergeCell ref="D258:D259"/>
    <mergeCell ref="D260:D261"/>
    <mergeCell ref="D262:D263"/>
    <mergeCell ref="D264:D265"/>
    <mergeCell ref="D266:D267"/>
    <mergeCell ref="D268:D269"/>
    <mergeCell ref="D270:D271"/>
    <mergeCell ref="D272:D273"/>
    <mergeCell ref="D274:D275"/>
    <mergeCell ref="D276:D277"/>
    <mergeCell ref="D278:D279"/>
    <mergeCell ref="D280:D281"/>
    <mergeCell ref="D282:D283"/>
    <mergeCell ref="D284:D285"/>
    <mergeCell ref="D286:D287"/>
    <mergeCell ref="D288:D289"/>
    <mergeCell ref="D290:D291"/>
    <mergeCell ref="D292:D293"/>
    <mergeCell ref="D294:D295"/>
    <mergeCell ref="D296:D297"/>
    <mergeCell ref="D298:D299"/>
    <mergeCell ref="D300:D301"/>
    <mergeCell ref="D302:D303"/>
    <mergeCell ref="D304:D305"/>
    <mergeCell ref="D306:D307"/>
    <mergeCell ref="D308:D309"/>
    <mergeCell ref="D316:D317"/>
    <mergeCell ref="D318:D319"/>
    <mergeCell ref="D320:D321"/>
    <mergeCell ref="D322:D323"/>
    <mergeCell ref="D324:D325"/>
    <mergeCell ref="D326:D327"/>
    <mergeCell ref="D328:D329"/>
    <mergeCell ref="D330:D331"/>
    <mergeCell ref="D332:D333"/>
    <mergeCell ref="D334:D335"/>
    <mergeCell ref="D336:D337"/>
    <mergeCell ref="D338:D339"/>
    <mergeCell ref="D340:D341"/>
    <mergeCell ref="D342:D343"/>
    <mergeCell ref="D344:D345"/>
    <mergeCell ref="D346:D347"/>
    <mergeCell ref="D348:D349"/>
    <mergeCell ref="D350:D351"/>
    <mergeCell ref="D352:D353"/>
    <mergeCell ref="D354:D355"/>
    <mergeCell ref="D356:D357"/>
    <mergeCell ref="D358:D359"/>
    <mergeCell ref="D360:D361"/>
    <mergeCell ref="D362:D363"/>
    <mergeCell ref="D364:D365"/>
    <mergeCell ref="D366:D367"/>
    <mergeCell ref="D368:D369"/>
    <mergeCell ref="D370:D371"/>
    <mergeCell ref="D372:D373"/>
    <mergeCell ref="D374:D375"/>
    <mergeCell ref="D376:D377"/>
    <mergeCell ref="D378:D379"/>
    <mergeCell ref="D380:D381"/>
    <mergeCell ref="D382:D383"/>
    <mergeCell ref="D384:D385"/>
    <mergeCell ref="D386:D387"/>
    <mergeCell ref="D388:D389"/>
    <mergeCell ref="D390:D391"/>
    <mergeCell ref="D392:D393"/>
    <mergeCell ref="D394:D395"/>
    <mergeCell ref="D396:D397"/>
    <mergeCell ref="D398:D399"/>
    <mergeCell ref="D400:D401"/>
    <mergeCell ref="D402:D403"/>
    <mergeCell ref="D404:D405"/>
    <mergeCell ref="D406:D407"/>
    <mergeCell ref="D408:D409"/>
    <mergeCell ref="D410:D411"/>
    <mergeCell ref="D412:D413"/>
    <mergeCell ref="D414:D415"/>
    <mergeCell ref="D416:D417"/>
    <mergeCell ref="D418:D419"/>
    <mergeCell ref="D420:D421"/>
    <mergeCell ref="D422:D423"/>
    <mergeCell ref="D424:D425"/>
    <mergeCell ref="D426:D427"/>
    <mergeCell ref="D428:D429"/>
    <mergeCell ref="D430:D431"/>
    <mergeCell ref="D432:D433"/>
    <mergeCell ref="D434:D435"/>
    <mergeCell ref="D436:D437"/>
    <mergeCell ref="D438:D439"/>
    <mergeCell ref="D440:D441"/>
    <mergeCell ref="D442:D443"/>
    <mergeCell ref="D444:D445"/>
    <mergeCell ref="D446:D447"/>
    <mergeCell ref="D448:D449"/>
    <mergeCell ref="D450:D451"/>
    <mergeCell ref="D452:D453"/>
    <mergeCell ref="D454:D455"/>
    <mergeCell ref="D456:D457"/>
    <mergeCell ref="D458:D459"/>
    <mergeCell ref="D460:D461"/>
    <mergeCell ref="D462:D463"/>
    <mergeCell ref="D464:D465"/>
    <mergeCell ref="D466:D467"/>
    <mergeCell ref="D468:D469"/>
    <mergeCell ref="D470:D471"/>
    <mergeCell ref="D472:D473"/>
    <mergeCell ref="D474:D475"/>
    <mergeCell ref="D476:D477"/>
    <mergeCell ref="D478:D479"/>
    <mergeCell ref="D480:D481"/>
    <mergeCell ref="D482:D483"/>
    <mergeCell ref="D484:D485"/>
    <mergeCell ref="D486:D487"/>
    <mergeCell ref="D488:D489"/>
    <mergeCell ref="D490:D491"/>
    <mergeCell ref="D492:D493"/>
    <mergeCell ref="D494:D495"/>
    <mergeCell ref="D496:D497"/>
    <mergeCell ref="D498:D499"/>
    <mergeCell ref="D500:D501"/>
    <mergeCell ref="D502:D503"/>
    <mergeCell ref="D504:D505"/>
    <mergeCell ref="D506:D507"/>
    <mergeCell ref="D508:D509"/>
    <mergeCell ref="D510:D511"/>
    <mergeCell ref="D512:D513"/>
    <mergeCell ref="D514:D515"/>
    <mergeCell ref="D516:D517"/>
    <mergeCell ref="D518:D519"/>
    <mergeCell ref="D520:D521"/>
    <mergeCell ref="D522:D523"/>
    <mergeCell ref="D524:D525"/>
    <mergeCell ref="D526:D527"/>
    <mergeCell ref="D528:D529"/>
    <mergeCell ref="D530:D531"/>
    <mergeCell ref="D532:D533"/>
    <mergeCell ref="D534:D535"/>
    <mergeCell ref="D536:D537"/>
    <mergeCell ref="D538:D539"/>
    <mergeCell ref="D540:D541"/>
    <mergeCell ref="D542:D543"/>
    <mergeCell ref="D544:D545"/>
    <mergeCell ref="D546:D547"/>
    <mergeCell ref="D548:D549"/>
    <mergeCell ref="D550:D551"/>
    <mergeCell ref="D552:D553"/>
    <mergeCell ref="D554:D555"/>
    <mergeCell ref="D556:D557"/>
    <mergeCell ref="D558:D559"/>
    <mergeCell ref="D560:D561"/>
    <mergeCell ref="D562:D563"/>
    <mergeCell ref="D564:D565"/>
    <mergeCell ref="D566:D567"/>
    <mergeCell ref="D568:D569"/>
    <mergeCell ref="D570:D571"/>
    <mergeCell ref="D572:D573"/>
    <mergeCell ref="D574:D575"/>
    <mergeCell ref="D576:D577"/>
    <mergeCell ref="D578:D579"/>
    <mergeCell ref="D580:D581"/>
    <mergeCell ref="D582:D583"/>
    <mergeCell ref="D584:D585"/>
    <mergeCell ref="D586:D587"/>
    <mergeCell ref="D588:D589"/>
    <mergeCell ref="D590:D591"/>
    <mergeCell ref="D592:D593"/>
    <mergeCell ref="D594:D595"/>
    <mergeCell ref="D596:D597"/>
    <mergeCell ref="D598:D599"/>
    <mergeCell ref="D600:D601"/>
    <mergeCell ref="D602:D603"/>
    <mergeCell ref="D604:D605"/>
    <mergeCell ref="D606:D607"/>
    <mergeCell ref="D608:D609"/>
    <mergeCell ref="D610:D611"/>
    <mergeCell ref="D612:D613"/>
    <mergeCell ref="D614:D615"/>
    <mergeCell ref="D621:D622"/>
    <mergeCell ref="D623:D624"/>
    <mergeCell ref="D625:D626"/>
    <mergeCell ref="D627:D628"/>
    <mergeCell ref="D629:D630"/>
    <mergeCell ref="D631:D632"/>
    <mergeCell ref="D633:D634"/>
    <mergeCell ref="D635:D636"/>
    <mergeCell ref="D637:D638"/>
    <mergeCell ref="D639:D640"/>
    <mergeCell ref="D641:D642"/>
    <mergeCell ref="D643:D644"/>
    <mergeCell ref="D645:D646"/>
    <mergeCell ref="D647:D648"/>
    <mergeCell ref="D649:D650"/>
    <mergeCell ref="D651:D652"/>
    <mergeCell ref="D653:D654"/>
    <mergeCell ref="D655:D656"/>
    <mergeCell ref="D657:D658"/>
    <mergeCell ref="D659:D660"/>
    <mergeCell ref="D661:D662"/>
    <mergeCell ref="D663:D664"/>
    <mergeCell ref="D665:D666"/>
    <mergeCell ref="D667:D668"/>
    <mergeCell ref="D669:D670"/>
    <mergeCell ref="D671:D672"/>
    <mergeCell ref="D673:D674"/>
    <mergeCell ref="D675:D676"/>
    <mergeCell ref="D677:D678"/>
    <mergeCell ref="D679:D680"/>
    <mergeCell ref="D681:D682"/>
    <mergeCell ref="D683:D684"/>
    <mergeCell ref="D685:D686"/>
    <mergeCell ref="D687:D688"/>
    <mergeCell ref="D689:D690"/>
    <mergeCell ref="D691:D692"/>
    <mergeCell ref="D693:D694"/>
    <mergeCell ref="D695:D696"/>
    <mergeCell ref="D697:D698"/>
    <mergeCell ref="D699:D700"/>
    <mergeCell ref="D701:D702"/>
    <mergeCell ref="D703:D704"/>
    <mergeCell ref="D705:D706"/>
    <mergeCell ref="D707:D708"/>
    <mergeCell ref="D709:D710"/>
    <mergeCell ref="D711:D712"/>
    <mergeCell ref="D713:D714"/>
    <mergeCell ref="D715:D716"/>
    <mergeCell ref="D717:D718"/>
    <mergeCell ref="D719:D720"/>
    <mergeCell ref="D721:D722"/>
    <mergeCell ref="D723:D724"/>
    <mergeCell ref="D725:D726"/>
    <mergeCell ref="D727:D728"/>
    <mergeCell ref="D729:D730"/>
    <mergeCell ref="D731:D732"/>
    <mergeCell ref="D733:D734"/>
    <mergeCell ref="D735:D736"/>
    <mergeCell ref="D737:D738"/>
    <mergeCell ref="D739:D740"/>
    <mergeCell ref="D741:D742"/>
    <mergeCell ref="D743:D744"/>
    <mergeCell ref="D745:D746"/>
    <mergeCell ref="D747:D748"/>
    <mergeCell ref="D749:D750"/>
    <mergeCell ref="D751:D752"/>
    <mergeCell ref="D753:D754"/>
    <mergeCell ref="D755:D756"/>
    <mergeCell ref="D757:D758"/>
    <mergeCell ref="D759:D760"/>
    <mergeCell ref="D761:D762"/>
    <mergeCell ref="D763:D764"/>
    <mergeCell ref="D765:D766"/>
    <mergeCell ref="D767:D768"/>
    <mergeCell ref="D769:D770"/>
    <mergeCell ref="D771:D772"/>
    <mergeCell ref="D773:D774"/>
    <mergeCell ref="D775:D776"/>
    <mergeCell ref="D777:D778"/>
    <mergeCell ref="D779:D780"/>
    <mergeCell ref="D781:D782"/>
    <mergeCell ref="D783:D784"/>
    <mergeCell ref="D785:D786"/>
    <mergeCell ref="D787:D788"/>
    <mergeCell ref="D789:D790"/>
    <mergeCell ref="D791:D792"/>
    <mergeCell ref="D793:D794"/>
    <mergeCell ref="D795:D796"/>
    <mergeCell ref="D797:D798"/>
    <mergeCell ref="D799:D800"/>
    <mergeCell ref="D801:D802"/>
    <mergeCell ref="D803:D804"/>
    <mergeCell ref="D805:D806"/>
    <mergeCell ref="D807:D808"/>
    <mergeCell ref="D809:D810"/>
    <mergeCell ref="D811:D812"/>
    <mergeCell ref="D813:D814"/>
    <mergeCell ref="D815:D816"/>
    <mergeCell ref="D817:D818"/>
    <mergeCell ref="D819:D820"/>
    <mergeCell ref="D821:D822"/>
    <mergeCell ref="D823:D824"/>
    <mergeCell ref="D825:D826"/>
    <mergeCell ref="D827:D828"/>
    <mergeCell ref="D829:D830"/>
    <mergeCell ref="D831:D832"/>
    <mergeCell ref="D833:D834"/>
    <mergeCell ref="D835:D836"/>
    <mergeCell ref="D837:D838"/>
    <mergeCell ref="D839:D840"/>
    <mergeCell ref="D841:D842"/>
    <mergeCell ref="D843:D844"/>
    <mergeCell ref="D845:D846"/>
    <mergeCell ref="D847:D848"/>
    <mergeCell ref="D849:D850"/>
    <mergeCell ref="D851:D852"/>
    <mergeCell ref="D853:D854"/>
    <mergeCell ref="D855:D856"/>
    <mergeCell ref="D857:D858"/>
    <mergeCell ref="D859:D860"/>
    <mergeCell ref="D861:D862"/>
    <mergeCell ref="D863:D864"/>
    <mergeCell ref="D865:D866"/>
    <mergeCell ref="D867:D868"/>
    <mergeCell ref="D869:D870"/>
    <mergeCell ref="D871:D872"/>
    <mergeCell ref="D873:D874"/>
    <mergeCell ref="D875:D876"/>
    <mergeCell ref="D877:D878"/>
    <mergeCell ref="D879:D880"/>
    <mergeCell ref="D881:D882"/>
    <mergeCell ref="D883:D884"/>
    <mergeCell ref="D885:D886"/>
    <mergeCell ref="D887:D888"/>
    <mergeCell ref="D889:D890"/>
    <mergeCell ref="D891:D892"/>
    <mergeCell ref="D893:D894"/>
    <mergeCell ref="D895:D896"/>
    <mergeCell ref="D897:D898"/>
    <mergeCell ref="D899:D900"/>
    <mergeCell ref="D901:D902"/>
    <mergeCell ref="D903:D904"/>
    <mergeCell ref="D905:D906"/>
    <mergeCell ref="D907:D908"/>
    <mergeCell ref="D909:D910"/>
    <mergeCell ref="D911:D912"/>
    <mergeCell ref="D913:D914"/>
    <mergeCell ref="D915:D916"/>
    <mergeCell ref="D917:D918"/>
    <mergeCell ref="D919:D920"/>
    <mergeCell ref="D921:D922"/>
    <mergeCell ref="D923:D924"/>
    <mergeCell ref="D925:D926"/>
    <mergeCell ref="D927:D928"/>
    <mergeCell ref="D929:D930"/>
    <mergeCell ref="D931:D932"/>
    <mergeCell ref="D933:D934"/>
    <mergeCell ref="D935:D936"/>
    <mergeCell ref="D937:D938"/>
    <mergeCell ref="D939:D940"/>
    <mergeCell ref="D941:D942"/>
    <mergeCell ref="D943:D944"/>
    <mergeCell ref="D945:D946"/>
    <mergeCell ref="D947:D948"/>
    <mergeCell ref="D949:D950"/>
    <mergeCell ref="D951:D952"/>
    <mergeCell ref="D953:D954"/>
    <mergeCell ref="D955:D956"/>
    <mergeCell ref="D957:D958"/>
    <mergeCell ref="D959:D960"/>
    <mergeCell ref="D961:D962"/>
    <mergeCell ref="D963:D964"/>
    <mergeCell ref="D965:D966"/>
    <mergeCell ref="D967:D968"/>
    <mergeCell ref="D969:D970"/>
    <mergeCell ref="D971:D972"/>
    <mergeCell ref="D973:D974"/>
    <mergeCell ref="D975:D976"/>
    <mergeCell ref="D977:D978"/>
    <mergeCell ref="D979:D980"/>
    <mergeCell ref="D981:D982"/>
    <mergeCell ref="D983:D984"/>
    <mergeCell ref="D985:D986"/>
    <mergeCell ref="D987:D988"/>
    <mergeCell ref="D989:D990"/>
    <mergeCell ref="D991:D992"/>
    <mergeCell ref="D993:D994"/>
    <mergeCell ref="D995:D996"/>
    <mergeCell ref="D997:D998"/>
    <mergeCell ref="D999:D1000"/>
    <mergeCell ref="D1001:D1002"/>
    <mergeCell ref="D1003:D1004"/>
    <mergeCell ref="D1005:D1006"/>
    <mergeCell ref="D1007:D1008"/>
    <mergeCell ref="D1009:D1010"/>
    <mergeCell ref="D1011:D1012"/>
    <mergeCell ref="D1013:D1014"/>
    <mergeCell ref="D1015:D1016"/>
    <mergeCell ref="D1017:D1018"/>
    <mergeCell ref="D1019:D1020"/>
    <mergeCell ref="D1021:D1022"/>
    <mergeCell ref="D1023:D1024"/>
    <mergeCell ref="D1025:D1026"/>
    <mergeCell ref="D1027:D1028"/>
    <mergeCell ref="D1029:D1030"/>
    <mergeCell ref="D1031:D1032"/>
    <mergeCell ref="D1033:D1034"/>
    <mergeCell ref="D1035:D1036"/>
    <mergeCell ref="D1037:D1038"/>
    <mergeCell ref="D1039:D1040"/>
    <mergeCell ref="D1041:D1042"/>
    <mergeCell ref="D1043:D1044"/>
    <mergeCell ref="D1045:D1046"/>
    <mergeCell ref="D1047:D1048"/>
    <mergeCell ref="D1049:D1050"/>
    <mergeCell ref="D1051:D1052"/>
    <mergeCell ref="D1053:D1054"/>
    <mergeCell ref="D1055:D1056"/>
    <mergeCell ref="D1057:D1058"/>
    <mergeCell ref="D1059:D1060"/>
    <mergeCell ref="D1061:D1062"/>
    <mergeCell ref="D1063:D1064"/>
    <mergeCell ref="D1065:D1066"/>
    <mergeCell ref="D1067:D1068"/>
    <mergeCell ref="D1069:D1070"/>
    <mergeCell ref="D1071:D1072"/>
    <mergeCell ref="D1073:D1074"/>
    <mergeCell ref="D1075:D1076"/>
    <mergeCell ref="D1077:D1078"/>
    <mergeCell ref="D1079:D1080"/>
    <mergeCell ref="D1081:D1082"/>
    <mergeCell ref="D1083:D1084"/>
    <mergeCell ref="D1085:D1086"/>
    <mergeCell ref="D1087:D1088"/>
    <mergeCell ref="D1089:D1090"/>
    <mergeCell ref="D1091:D1092"/>
    <mergeCell ref="D1093:D1094"/>
    <mergeCell ref="D1095:D1096"/>
    <mergeCell ref="D1097:D1098"/>
    <mergeCell ref="D1099:D1100"/>
    <mergeCell ref="D1101:D1102"/>
    <mergeCell ref="D1103:D1104"/>
    <mergeCell ref="D1105:D1106"/>
    <mergeCell ref="D1107:D1108"/>
    <mergeCell ref="D1109:D1110"/>
    <mergeCell ref="D1111:D1112"/>
    <mergeCell ref="D1113:D1114"/>
    <mergeCell ref="D1115:D1116"/>
    <mergeCell ref="D1117:D1118"/>
    <mergeCell ref="D1119:D1120"/>
    <mergeCell ref="D1121:D1122"/>
    <mergeCell ref="D1123:D1124"/>
    <mergeCell ref="D1125:D1126"/>
    <mergeCell ref="D1127:D1128"/>
    <mergeCell ref="D1129:D1130"/>
    <mergeCell ref="D1131:D1132"/>
    <mergeCell ref="D1133:D1134"/>
    <mergeCell ref="D1135:D1136"/>
    <mergeCell ref="D1137:D1138"/>
    <mergeCell ref="D1139:D1140"/>
    <mergeCell ref="D1141:D1142"/>
    <mergeCell ref="D1143:D1144"/>
    <mergeCell ref="D1145:D1146"/>
    <mergeCell ref="D1147:D1148"/>
    <mergeCell ref="D1149:D1150"/>
    <mergeCell ref="D1151:D1152"/>
    <mergeCell ref="D1153:D1154"/>
    <mergeCell ref="D1155:D1156"/>
    <mergeCell ref="D1157:D1158"/>
    <mergeCell ref="D1159:D1160"/>
    <mergeCell ref="D1161:D1162"/>
    <mergeCell ref="D1163:D1164"/>
    <mergeCell ref="D1165:D1166"/>
    <mergeCell ref="D1167:D1168"/>
    <mergeCell ref="D1169:D1170"/>
    <mergeCell ref="D1171:D1172"/>
    <mergeCell ref="D1173:D1174"/>
    <mergeCell ref="D1175:D1176"/>
    <mergeCell ref="D1177:D1178"/>
    <mergeCell ref="D1179:D1180"/>
    <mergeCell ref="D1181:D1182"/>
    <mergeCell ref="D1183:D1184"/>
    <mergeCell ref="D1185:D1186"/>
    <mergeCell ref="D1187:D1188"/>
    <mergeCell ref="D1189:D1190"/>
    <mergeCell ref="D1191:D1192"/>
    <mergeCell ref="D1193:D1194"/>
    <mergeCell ref="D1195:D1196"/>
    <mergeCell ref="D1197:D1198"/>
    <mergeCell ref="D1199:D1200"/>
    <mergeCell ref="D1201:D1202"/>
    <mergeCell ref="D1203:D1204"/>
    <mergeCell ref="D1205:D1206"/>
    <mergeCell ref="D1207:D1208"/>
    <mergeCell ref="D1209:D1210"/>
    <mergeCell ref="D1211:D1212"/>
    <mergeCell ref="D1213:D1214"/>
    <mergeCell ref="D1215:D1216"/>
    <mergeCell ref="D1217:D1218"/>
    <mergeCell ref="D1219:D1220"/>
    <mergeCell ref="D1221:D1222"/>
    <mergeCell ref="D1223:D1224"/>
    <mergeCell ref="D1225:D1226"/>
    <mergeCell ref="D1227:D1228"/>
    <mergeCell ref="D1229:D1230"/>
    <mergeCell ref="D1231:D1232"/>
    <mergeCell ref="D1233:D1234"/>
    <mergeCell ref="D1235:D1236"/>
    <mergeCell ref="D1237:D1238"/>
    <mergeCell ref="D1239:D1240"/>
    <mergeCell ref="D1241:D1242"/>
    <mergeCell ref="D1243:D1244"/>
    <mergeCell ref="D1245:D1246"/>
    <mergeCell ref="D1247:D1248"/>
    <mergeCell ref="D1249:D1250"/>
    <mergeCell ref="D1251:D1252"/>
    <mergeCell ref="D1253:D1254"/>
    <mergeCell ref="D1255:D1256"/>
    <mergeCell ref="D1257:D1258"/>
    <mergeCell ref="D1259:D1260"/>
    <mergeCell ref="D1261:D1262"/>
    <mergeCell ref="D1263:D1264"/>
    <mergeCell ref="D1265:D1266"/>
    <mergeCell ref="D1267:D1268"/>
    <mergeCell ref="D1269:D1270"/>
    <mergeCell ref="D1271:D1272"/>
    <mergeCell ref="D1273:D1274"/>
    <mergeCell ref="D1275:D1276"/>
    <mergeCell ref="D1277:D1278"/>
    <mergeCell ref="D1279:D1280"/>
    <mergeCell ref="D1281:D1282"/>
    <mergeCell ref="D1283:D1284"/>
    <mergeCell ref="D1285:D1286"/>
    <mergeCell ref="D1287:D1288"/>
    <mergeCell ref="D1289:D1290"/>
    <mergeCell ref="D1291:D1292"/>
    <mergeCell ref="D1293:D1294"/>
    <mergeCell ref="D1295:D1296"/>
    <mergeCell ref="D1297:D1298"/>
    <mergeCell ref="D1299:D1300"/>
    <mergeCell ref="D1301:D1302"/>
    <mergeCell ref="D1303:D1304"/>
    <mergeCell ref="D1305:D1306"/>
    <mergeCell ref="D1307:D1308"/>
    <mergeCell ref="D1309:D1310"/>
    <mergeCell ref="D1311:D1312"/>
    <mergeCell ref="D1313:D1314"/>
    <mergeCell ref="D1315:D1316"/>
    <mergeCell ref="D1317:D1318"/>
    <mergeCell ref="D1319:D1320"/>
    <mergeCell ref="D1321:D1322"/>
    <mergeCell ref="D1323:D1324"/>
    <mergeCell ref="D1325:D1326"/>
    <mergeCell ref="D1327:D1328"/>
    <mergeCell ref="D1329:D1330"/>
    <mergeCell ref="D1331:D1332"/>
    <mergeCell ref="D1333:D1334"/>
    <mergeCell ref="D1335:D1336"/>
    <mergeCell ref="D1337:D1338"/>
    <mergeCell ref="D1339:D1340"/>
    <mergeCell ref="D1341:D1342"/>
    <mergeCell ref="D1343:D1344"/>
    <mergeCell ref="D1345:D1346"/>
    <mergeCell ref="D1347:D1348"/>
    <mergeCell ref="D1349:D1350"/>
    <mergeCell ref="D1351:D1352"/>
    <mergeCell ref="D1353:D1354"/>
    <mergeCell ref="D1355:D1356"/>
    <mergeCell ref="D1357:D1358"/>
    <mergeCell ref="D1359:D1360"/>
    <mergeCell ref="D1361:D1362"/>
    <mergeCell ref="D1363:D1364"/>
    <mergeCell ref="D1365:D1366"/>
    <mergeCell ref="D1367:D1368"/>
    <mergeCell ref="D1369:D1370"/>
    <mergeCell ref="D1371:D1372"/>
    <mergeCell ref="D1373:D1374"/>
    <mergeCell ref="D1375:D1376"/>
    <mergeCell ref="D1377:D1378"/>
    <mergeCell ref="D1379:D1380"/>
    <mergeCell ref="D1381:D1382"/>
    <mergeCell ref="D1383:D1384"/>
    <mergeCell ref="D1385:D1386"/>
    <mergeCell ref="D1387:D1388"/>
    <mergeCell ref="D1389:D1390"/>
    <mergeCell ref="D1391:D1392"/>
    <mergeCell ref="D1393:D1394"/>
    <mergeCell ref="D1395:D1396"/>
    <mergeCell ref="D1397:D1398"/>
    <mergeCell ref="D1399:D1400"/>
    <mergeCell ref="D1401:D1402"/>
    <mergeCell ref="D1403:D1404"/>
    <mergeCell ref="D1405:D1406"/>
    <mergeCell ref="D1407:D1408"/>
    <mergeCell ref="D1409:D1410"/>
    <mergeCell ref="D1411:D1412"/>
    <mergeCell ref="D1413:D1414"/>
    <mergeCell ref="D1415:D1416"/>
    <mergeCell ref="D1417:D1418"/>
    <mergeCell ref="D1419:D1420"/>
    <mergeCell ref="D1421:D1422"/>
    <mergeCell ref="D1423:D1424"/>
    <mergeCell ref="D1425:D1426"/>
    <mergeCell ref="D1427:D1428"/>
    <mergeCell ref="D1429:D1430"/>
    <mergeCell ref="D1431:D1432"/>
    <mergeCell ref="D1433:D1434"/>
    <mergeCell ref="D1435:D1436"/>
    <mergeCell ref="D1437:D1438"/>
    <mergeCell ref="D1439:D1440"/>
    <mergeCell ref="D1441:D1442"/>
    <mergeCell ref="D1443:D1444"/>
    <mergeCell ref="D1445:D1446"/>
    <mergeCell ref="D1447:D1448"/>
    <mergeCell ref="D1449:D1450"/>
    <mergeCell ref="D1451:D1452"/>
    <mergeCell ref="D1453:D1454"/>
    <mergeCell ref="D1455:D1456"/>
    <mergeCell ref="D1457:D1458"/>
    <mergeCell ref="D1459:D1460"/>
    <mergeCell ref="D1461:D1462"/>
    <mergeCell ref="D1463:D1464"/>
    <mergeCell ref="D1465:D1466"/>
    <mergeCell ref="D1467:D1468"/>
    <mergeCell ref="D1469:D1470"/>
    <mergeCell ref="D1471:D1472"/>
    <mergeCell ref="D1473:D1474"/>
    <mergeCell ref="D1475:D1476"/>
    <mergeCell ref="D1477:D1478"/>
    <mergeCell ref="D1479:D1480"/>
    <mergeCell ref="D1481:D1482"/>
    <mergeCell ref="D1483:D1484"/>
    <mergeCell ref="D1485:D1486"/>
    <mergeCell ref="D1487:D1488"/>
    <mergeCell ref="D1489:D1490"/>
    <mergeCell ref="D1491:D1492"/>
    <mergeCell ref="D1493:D1494"/>
    <mergeCell ref="D1495:D1496"/>
    <mergeCell ref="D1497:D1498"/>
    <mergeCell ref="D1499:D1500"/>
    <mergeCell ref="D1501:D1502"/>
    <mergeCell ref="D1503:D1504"/>
    <mergeCell ref="D1505:D1506"/>
    <mergeCell ref="D1507:D1508"/>
    <mergeCell ref="D1509:D1510"/>
    <mergeCell ref="D1511:D1512"/>
    <mergeCell ref="D1513:D1514"/>
    <mergeCell ref="D1515:D1516"/>
    <mergeCell ref="D1517:D1518"/>
    <mergeCell ref="D1519:D1520"/>
    <mergeCell ref="D1521:D1522"/>
    <mergeCell ref="D1523:D1524"/>
    <mergeCell ref="D1525:D1526"/>
    <mergeCell ref="D1527:D1528"/>
    <mergeCell ref="D1529:D1530"/>
    <mergeCell ref="D1531:D1532"/>
    <mergeCell ref="D1533:D1534"/>
    <mergeCell ref="D1535:D1536"/>
    <mergeCell ref="D1537:D1538"/>
    <mergeCell ref="D1539:D1540"/>
    <mergeCell ref="D1541:D1542"/>
    <mergeCell ref="D1543:D1544"/>
    <mergeCell ref="D1545:D1546"/>
    <mergeCell ref="D1547:D1548"/>
    <mergeCell ref="D1549:D1550"/>
    <mergeCell ref="D1551:D1552"/>
    <mergeCell ref="D1553:D1554"/>
    <mergeCell ref="D1555:D1556"/>
    <mergeCell ref="D1557:D1558"/>
    <mergeCell ref="D1559:D1560"/>
    <mergeCell ref="D1561:D1562"/>
    <mergeCell ref="D1563:D1564"/>
    <mergeCell ref="D1565:D1566"/>
    <mergeCell ref="D1567:D1568"/>
    <mergeCell ref="D1569:D1570"/>
    <mergeCell ref="D1571:D1572"/>
    <mergeCell ref="D1573:D1574"/>
    <mergeCell ref="D1575:D1576"/>
    <mergeCell ref="D1577:D1578"/>
    <mergeCell ref="D1579:D1580"/>
    <mergeCell ref="D1581:D1582"/>
    <mergeCell ref="D1583:D1584"/>
    <mergeCell ref="D1585:D1586"/>
    <mergeCell ref="D1587:D1588"/>
    <mergeCell ref="D1589:D1590"/>
    <mergeCell ref="D1591:D1592"/>
    <mergeCell ref="D1593:D1594"/>
    <mergeCell ref="D1595:D1596"/>
    <mergeCell ref="D1597:D1598"/>
    <mergeCell ref="D1599:D1600"/>
    <mergeCell ref="D1601:D1602"/>
    <mergeCell ref="D1603:D1604"/>
    <mergeCell ref="D1605:D1606"/>
    <mergeCell ref="D1607:D1608"/>
    <mergeCell ref="D1609:D1610"/>
    <mergeCell ref="D1611:D1612"/>
    <mergeCell ref="D1613:D1614"/>
    <mergeCell ref="D1615:D1616"/>
    <mergeCell ref="D1617:D1618"/>
    <mergeCell ref="D1619:D1620"/>
    <mergeCell ref="D1621:D1622"/>
    <mergeCell ref="D1623:D1624"/>
    <mergeCell ref="D1625:D1626"/>
    <mergeCell ref="D1627:D1628"/>
    <mergeCell ref="D1629:D1630"/>
    <mergeCell ref="D1631:D1632"/>
    <mergeCell ref="D1633:D1634"/>
    <mergeCell ref="D1635:D1636"/>
    <mergeCell ref="D1637:D1638"/>
    <mergeCell ref="D1639:D1640"/>
    <mergeCell ref="D1641:D1642"/>
    <mergeCell ref="D1643:D1644"/>
    <mergeCell ref="D1645:D1646"/>
    <mergeCell ref="D1647:D1648"/>
    <mergeCell ref="D1649:D1650"/>
    <mergeCell ref="D1651:D1652"/>
    <mergeCell ref="D1653:D1654"/>
    <mergeCell ref="D1655:D1656"/>
    <mergeCell ref="D1657:D1658"/>
    <mergeCell ref="D1659:D1660"/>
    <mergeCell ref="D1661:D1662"/>
    <mergeCell ref="D1663:D1664"/>
    <mergeCell ref="D1665:D1666"/>
    <mergeCell ref="D1667:D1668"/>
    <mergeCell ref="D1669:D1670"/>
    <mergeCell ref="D1671:D1672"/>
    <mergeCell ref="D1673:D1674"/>
    <mergeCell ref="D1675:D1676"/>
    <mergeCell ref="D1677:D1678"/>
    <mergeCell ref="D1679:D1680"/>
    <mergeCell ref="D1681:D1682"/>
    <mergeCell ref="D1683:D1684"/>
    <mergeCell ref="D1685:D1686"/>
    <mergeCell ref="D1687:D1688"/>
    <mergeCell ref="D1689:D1690"/>
    <mergeCell ref="D1691:D1692"/>
    <mergeCell ref="D1693:D1694"/>
    <mergeCell ref="D1695:D1696"/>
    <mergeCell ref="D1697:D1698"/>
    <mergeCell ref="D1699:D1700"/>
    <mergeCell ref="D1701:D1702"/>
    <mergeCell ref="D1703:D1704"/>
    <mergeCell ref="D1705:D1706"/>
    <mergeCell ref="D1707:D1708"/>
    <mergeCell ref="D1709:D1710"/>
    <mergeCell ref="D1711:D1712"/>
    <mergeCell ref="D1713:D1714"/>
    <mergeCell ref="D1715:D1716"/>
    <mergeCell ref="D1717:D1718"/>
    <mergeCell ref="D1719:D1720"/>
    <mergeCell ref="D1721:D1722"/>
    <mergeCell ref="D1723:D1724"/>
    <mergeCell ref="D1725:D1726"/>
    <mergeCell ref="D1727:D1728"/>
    <mergeCell ref="D1729:D1730"/>
    <mergeCell ref="D1731:D1732"/>
    <mergeCell ref="D1733:D1734"/>
    <mergeCell ref="D1735:D1736"/>
    <mergeCell ref="D1737:D1738"/>
    <mergeCell ref="D1739:D1740"/>
    <mergeCell ref="D1741:D1742"/>
    <mergeCell ref="D1743:D1744"/>
    <mergeCell ref="D1745:D1746"/>
    <mergeCell ref="D1747:D1748"/>
    <mergeCell ref="D1749:D1750"/>
    <mergeCell ref="D1751:D1752"/>
    <mergeCell ref="D1753:D1754"/>
    <mergeCell ref="D1755:D1756"/>
    <mergeCell ref="D1757:D1758"/>
    <mergeCell ref="D1759:D1760"/>
    <mergeCell ref="D1761:D1762"/>
    <mergeCell ref="D1763:D1764"/>
    <mergeCell ref="D1765:D1766"/>
    <mergeCell ref="D1767:D1768"/>
    <mergeCell ref="D1769:D1770"/>
    <mergeCell ref="D1771:D1772"/>
    <mergeCell ref="D1773:D1774"/>
    <mergeCell ref="D1775:D1776"/>
    <mergeCell ref="D1777:D1778"/>
    <mergeCell ref="D1779:D1780"/>
    <mergeCell ref="D1781:D1782"/>
    <mergeCell ref="D1783:D1784"/>
    <mergeCell ref="D1785:D1786"/>
    <mergeCell ref="D1787:D1788"/>
    <mergeCell ref="D1789:D1790"/>
    <mergeCell ref="D1791:D1792"/>
    <mergeCell ref="D1793:D1794"/>
    <mergeCell ref="D1795:D1796"/>
    <mergeCell ref="D1797:D1798"/>
    <mergeCell ref="D1799:D1800"/>
    <mergeCell ref="D1801:D1802"/>
    <mergeCell ref="D1803:D1804"/>
    <mergeCell ref="D1805:D1806"/>
    <mergeCell ref="D1807:D1808"/>
    <mergeCell ref="D1809:D1810"/>
    <mergeCell ref="D1811:D1812"/>
    <mergeCell ref="D1813:D1814"/>
    <mergeCell ref="D1815:D1816"/>
    <mergeCell ref="D1817:D1818"/>
    <mergeCell ref="D1819:D1820"/>
    <mergeCell ref="E10:E11"/>
    <mergeCell ref="E12:E13"/>
    <mergeCell ref="E14:E15"/>
    <mergeCell ref="E16:E17"/>
    <mergeCell ref="E18:E19"/>
    <mergeCell ref="E20:E21"/>
    <mergeCell ref="E22:E23"/>
    <mergeCell ref="E24:E25"/>
    <mergeCell ref="E26:E27"/>
    <mergeCell ref="E28:E29"/>
    <mergeCell ref="E30:E31"/>
    <mergeCell ref="E32:E33"/>
    <mergeCell ref="E34:E35"/>
    <mergeCell ref="E36:E37"/>
    <mergeCell ref="E38:E39"/>
    <mergeCell ref="E40:E41"/>
    <mergeCell ref="E42:E43"/>
    <mergeCell ref="E44:E45"/>
    <mergeCell ref="E46:E47"/>
    <mergeCell ref="E48:E49"/>
    <mergeCell ref="E50:E51"/>
    <mergeCell ref="E52:E53"/>
    <mergeCell ref="E54:E55"/>
    <mergeCell ref="E56:E57"/>
    <mergeCell ref="E58:E59"/>
    <mergeCell ref="E60:E61"/>
    <mergeCell ref="E62:E63"/>
    <mergeCell ref="E64:E65"/>
    <mergeCell ref="E66:E67"/>
    <mergeCell ref="E68:E69"/>
    <mergeCell ref="E70:E71"/>
    <mergeCell ref="E72:E73"/>
    <mergeCell ref="E74:E75"/>
    <mergeCell ref="E76:E77"/>
    <mergeCell ref="E78:E79"/>
    <mergeCell ref="E80:E81"/>
    <mergeCell ref="E82:E83"/>
    <mergeCell ref="E84:E85"/>
    <mergeCell ref="E86:E87"/>
    <mergeCell ref="E88:E89"/>
    <mergeCell ref="E90:E91"/>
    <mergeCell ref="E92:E93"/>
    <mergeCell ref="E94:E95"/>
    <mergeCell ref="E96:E97"/>
    <mergeCell ref="E98:E99"/>
    <mergeCell ref="E100:E101"/>
    <mergeCell ref="E102:E103"/>
    <mergeCell ref="E104:E105"/>
    <mergeCell ref="E106:E107"/>
    <mergeCell ref="E108:E109"/>
    <mergeCell ref="E110:E111"/>
    <mergeCell ref="E112:E113"/>
    <mergeCell ref="E114:E115"/>
    <mergeCell ref="E116:E117"/>
    <mergeCell ref="E118:E119"/>
    <mergeCell ref="E120:E121"/>
    <mergeCell ref="E122:E123"/>
    <mergeCell ref="E124:E125"/>
    <mergeCell ref="E126:E127"/>
    <mergeCell ref="E128:E129"/>
    <mergeCell ref="E130:E131"/>
    <mergeCell ref="E132:E133"/>
    <mergeCell ref="E134:E135"/>
    <mergeCell ref="E136:E137"/>
    <mergeCell ref="E138:E139"/>
    <mergeCell ref="E140:E141"/>
    <mergeCell ref="E142:E143"/>
    <mergeCell ref="E144:E145"/>
    <mergeCell ref="E146:E147"/>
    <mergeCell ref="E148:E149"/>
    <mergeCell ref="E150:E151"/>
    <mergeCell ref="E152:E153"/>
    <mergeCell ref="E154:E155"/>
    <mergeCell ref="E156:E157"/>
    <mergeCell ref="E158:E159"/>
    <mergeCell ref="E160:E161"/>
    <mergeCell ref="E162:E163"/>
    <mergeCell ref="E164:E165"/>
    <mergeCell ref="E166:E167"/>
    <mergeCell ref="E168:E169"/>
    <mergeCell ref="E170:E171"/>
    <mergeCell ref="E172:E173"/>
    <mergeCell ref="E174:E175"/>
    <mergeCell ref="E176:E177"/>
    <mergeCell ref="E178:E179"/>
    <mergeCell ref="E180:E181"/>
    <mergeCell ref="E182:E183"/>
    <mergeCell ref="E184:E185"/>
    <mergeCell ref="E186:E187"/>
    <mergeCell ref="E188:E189"/>
    <mergeCell ref="E190:E191"/>
    <mergeCell ref="E192:E193"/>
    <mergeCell ref="E194:E195"/>
    <mergeCell ref="E196:E197"/>
    <mergeCell ref="E198:E199"/>
    <mergeCell ref="E200:E201"/>
    <mergeCell ref="E202:E203"/>
    <mergeCell ref="E204:E205"/>
    <mergeCell ref="E206:E207"/>
    <mergeCell ref="E208:E209"/>
    <mergeCell ref="E210:E211"/>
    <mergeCell ref="E212:E213"/>
    <mergeCell ref="E214:E215"/>
    <mergeCell ref="E216:E217"/>
    <mergeCell ref="E218:E219"/>
    <mergeCell ref="E220:E221"/>
    <mergeCell ref="E222:E223"/>
    <mergeCell ref="E224:E225"/>
    <mergeCell ref="E226:E227"/>
    <mergeCell ref="E228:E229"/>
    <mergeCell ref="E230:E231"/>
    <mergeCell ref="E232:E233"/>
    <mergeCell ref="E234:E235"/>
    <mergeCell ref="E236:E237"/>
    <mergeCell ref="E238:E239"/>
    <mergeCell ref="E240:E241"/>
    <mergeCell ref="E242:E243"/>
    <mergeCell ref="E244:E245"/>
    <mergeCell ref="E246:E247"/>
    <mergeCell ref="E248:E249"/>
    <mergeCell ref="E250:E251"/>
    <mergeCell ref="E252:E253"/>
    <mergeCell ref="E254:E255"/>
    <mergeCell ref="E256:E257"/>
    <mergeCell ref="E258:E259"/>
    <mergeCell ref="E260:E261"/>
    <mergeCell ref="E262:E263"/>
    <mergeCell ref="E264:E265"/>
    <mergeCell ref="E266:E267"/>
    <mergeCell ref="E268:E269"/>
    <mergeCell ref="E270:E271"/>
    <mergeCell ref="E272:E273"/>
    <mergeCell ref="E274:E275"/>
    <mergeCell ref="E276:E277"/>
    <mergeCell ref="E278:E279"/>
    <mergeCell ref="E280:E281"/>
    <mergeCell ref="E282:E283"/>
    <mergeCell ref="E284:E285"/>
    <mergeCell ref="E286:E287"/>
    <mergeCell ref="E288:E289"/>
    <mergeCell ref="E290:E291"/>
    <mergeCell ref="E292:E293"/>
    <mergeCell ref="E294:E295"/>
    <mergeCell ref="E296:E297"/>
    <mergeCell ref="E298:E299"/>
    <mergeCell ref="E300:E301"/>
    <mergeCell ref="E302:E303"/>
    <mergeCell ref="E304:E305"/>
    <mergeCell ref="E306:E307"/>
    <mergeCell ref="E308:E309"/>
    <mergeCell ref="E316:E317"/>
    <mergeCell ref="E318:E319"/>
    <mergeCell ref="E320:E321"/>
    <mergeCell ref="E322:E323"/>
    <mergeCell ref="E324:E325"/>
    <mergeCell ref="E326:E327"/>
    <mergeCell ref="E328:E329"/>
    <mergeCell ref="E330:E331"/>
    <mergeCell ref="E332:E333"/>
    <mergeCell ref="E334:E335"/>
    <mergeCell ref="E336:E337"/>
    <mergeCell ref="E338:E339"/>
    <mergeCell ref="E340:E341"/>
    <mergeCell ref="E342:E343"/>
    <mergeCell ref="E344:E345"/>
    <mergeCell ref="E346:E347"/>
    <mergeCell ref="E348:E349"/>
    <mergeCell ref="E350:E351"/>
    <mergeCell ref="E352:E353"/>
    <mergeCell ref="E354:E355"/>
    <mergeCell ref="E356:E357"/>
    <mergeCell ref="E358:E359"/>
    <mergeCell ref="E360:E361"/>
    <mergeCell ref="E362:E363"/>
    <mergeCell ref="E364:E365"/>
    <mergeCell ref="E366:E367"/>
    <mergeCell ref="E368:E369"/>
    <mergeCell ref="E370:E371"/>
    <mergeCell ref="E372:E373"/>
    <mergeCell ref="E374:E375"/>
    <mergeCell ref="E376:E377"/>
    <mergeCell ref="E378:E379"/>
    <mergeCell ref="E380:E381"/>
    <mergeCell ref="E382:E383"/>
    <mergeCell ref="E384:E385"/>
    <mergeCell ref="E386:E387"/>
    <mergeCell ref="E388:E389"/>
    <mergeCell ref="E390:E391"/>
    <mergeCell ref="E392:E393"/>
    <mergeCell ref="E394:E395"/>
    <mergeCell ref="E396:E397"/>
    <mergeCell ref="E398:E399"/>
    <mergeCell ref="E400:E401"/>
    <mergeCell ref="E402:E403"/>
    <mergeCell ref="E404:E405"/>
    <mergeCell ref="E406:E407"/>
    <mergeCell ref="E408:E409"/>
    <mergeCell ref="E410:E411"/>
    <mergeCell ref="E412:E413"/>
    <mergeCell ref="E414:E415"/>
    <mergeCell ref="E416:E417"/>
    <mergeCell ref="E418:E419"/>
    <mergeCell ref="E420:E421"/>
    <mergeCell ref="E422:E423"/>
    <mergeCell ref="E424:E425"/>
    <mergeCell ref="E426:E427"/>
    <mergeCell ref="E428:E429"/>
    <mergeCell ref="E430:E431"/>
    <mergeCell ref="E432:E433"/>
    <mergeCell ref="E434:E435"/>
    <mergeCell ref="E436:E437"/>
    <mergeCell ref="E438:E439"/>
    <mergeCell ref="E440:E441"/>
    <mergeCell ref="E442:E443"/>
    <mergeCell ref="E444:E445"/>
    <mergeCell ref="E446:E447"/>
    <mergeCell ref="E448:E449"/>
    <mergeCell ref="E450:E451"/>
    <mergeCell ref="E452:E453"/>
    <mergeCell ref="E454:E455"/>
    <mergeCell ref="E456:E457"/>
    <mergeCell ref="E458:E459"/>
    <mergeCell ref="E460:E461"/>
    <mergeCell ref="E462:E463"/>
    <mergeCell ref="E464:E465"/>
    <mergeCell ref="E466:E467"/>
    <mergeCell ref="E468:E469"/>
    <mergeCell ref="E470:E471"/>
    <mergeCell ref="E472:E473"/>
    <mergeCell ref="E474:E475"/>
    <mergeCell ref="E476:E477"/>
    <mergeCell ref="E478:E479"/>
    <mergeCell ref="E480:E481"/>
    <mergeCell ref="E482:E483"/>
    <mergeCell ref="E484:E485"/>
    <mergeCell ref="E486:E487"/>
    <mergeCell ref="E488:E489"/>
    <mergeCell ref="E490:E491"/>
    <mergeCell ref="E492:E493"/>
    <mergeCell ref="E494:E495"/>
    <mergeCell ref="E496:E497"/>
    <mergeCell ref="E498:E499"/>
    <mergeCell ref="E500:E501"/>
    <mergeCell ref="E502:E503"/>
    <mergeCell ref="E504:E505"/>
    <mergeCell ref="E506:E507"/>
    <mergeCell ref="E508:E509"/>
    <mergeCell ref="E510:E511"/>
    <mergeCell ref="E512:E513"/>
    <mergeCell ref="E514:E515"/>
    <mergeCell ref="E516:E517"/>
    <mergeCell ref="E518:E519"/>
    <mergeCell ref="E520:E521"/>
    <mergeCell ref="E522:E523"/>
    <mergeCell ref="E524:E525"/>
    <mergeCell ref="E526:E527"/>
    <mergeCell ref="E528:E529"/>
    <mergeCell ref="E530:E531"/>
    <mergeCell ref="E532:E533"/>
    <mergeCell ref="E534:E535"/>
    <mergeCell ref="E536:E537"/>
    <mergeCell ref="E538:E539"/>
    <mergeCell ref="E540:E541"/>
    <mergeCell ref="E542:E543"/>
    <mergeCell ref="E544:E545"/>
    <mergeCell ref="E546:E547"/>
    <mergeCell ref="E548:E549"/>
    <mergeCell ref="E550:E551"/>
    <mergeCell ref="E552:E553"/>
    <mergeCell ref="E554:E555"/>
    <mergeCell ref="E556:E557"/>
    <mergeCell ref="E558:E559"/>
    <mergeCell ref="E560:E561"/>
    <mergeCell ref="E562:E563"/>
    <mergeCell ref="E564:E565"/>
    <mergeCell ref="E566:E567"/>
    <mergeCell ref="E568:E569"/>
    <mergeCell ref="E570:E571"/>
    <mergeCell ref="E572:E573"/>
    <mergeCell ref="E574:E575"/>
    <mergeCell ref="E576:E577"/>
    <mergeCell ref="E578:E579"/>
    <mergeCell ref="E580:E581"/>
    <mergeCell ref="E582:E583"/>
    <mergeCell ref="E584:E585"/>
    <mergeCell ref="E586:E587"/>
    <mergeCell ref="E588:E589"/>
    <mergeCell ref="E590:E591"/>
    <mergeCell ref="E592:E593"/>
    <mergeCell ref="E594:E595"/>
    <mergeCell ref="E596:E597"/>
    <mergeCell ref="E598:E599"/>
    <mergeCell ref="E600:E601"/>
    <mergeCell ref="E602:E603"/>
    <mergeCell ref="E604:E605"/>
    <mergeCell ref="E606:E607"/>
    <mergeCell ref="E608:E609"/>
    <mergeCell ref="E610:E611"/>
    <mergeCell ref="E612:E613"/>
    <mergeCell ref="E614:E615"/>
    <mergeCell ref="E621:E622"/>
    <mergeCell ref="E623:E624"/>
    <mergeCell ref="E625:E626"/>
    <mergeCell ref="E627:E628"/>
    <mergeCell ref="E629:E630"/>
    <mergeCell ref="E631:E632"/>
    <mergeCell ref="E633:E634"/>
    <mergeCell ref="E635:E636"/>
    <mergeCell ref="E637:E638"/>
    <mergeCell ref="E639:E640"/>
    <mergeCell ref="E641:E642"/>
    <mergeCell ref="E643:E644"/>
    <mergeCell ref="E645:E646"/>
    <mergeCell ref="E647:E648"/>
    <mergeCell ref="E649:E650"/>
    <mergeCell ref="E651:E652"/>
    <mergeCell ref="E653:E654"/>
    <mergeCell ref="E655:E656"/>
    <mergeCell ref="E657:E658"/>
    <mergeCell ref="E659:E660"/>
    <mergeCell ref="E661:E662"/>
    <mergeCell ref="E663:E664"/>
    <mergeCell ref="E665:E666"/>
    <mergeCell ref="E667:E668"/>
    <mergeCell ref="E669:E670"/>
    <mergeCell ref="E671:E672"/>
    <mergeCell ref="E673:E674"/>
    <mergeCell ref="E675:E676"/>
    <mergeCell ref="E677:E678"/>
    <mergeCell ref="E679:E680"/>
    <mergeCell ref="E681:E682"/>
    <mergeCell ref="E683:E684"/>
    <mergeCell ref="E685:E686"/>
    <mergeCell ref="E687:E688"/>
    <mergeCell ref="E689:E690"/>
    <mergeCell ref="E691:E692"/>
    <mergeCell ref="E693:E694"/>
    <mergeCell ref="E695:E696"/>
    <mergeCell ref="E697:E698"/>
    <mergeCell ref="E699:E700"/>
    <mergeCell ref="E701:E702"/>
    <mergeCell ref="E703:E704"/>
    <mergeCell ref="E705:E706"/>
    <mergeCell ref="E707:E708"/>
    <mergeCell ref="E709:E710"/>
    <mergeCell ref="E711:E712"/>
    <mergeCell ref="E713:E714"/>
    <mergeCell ref="E715:E716"/>
    <mergeCell ref="E717:E718"/>
    <mergeCell ref="E719:E720"/>
    <mergeCell ref="E721:E722"/>
    <mergeCell ref="E723:E724"/>
    <mergeCell ref="E725:E726"/>
    <mergeCell ref="E727:E728"/>
    <mergeCell ref="E729:E730"/>
    <mergeCell ref="E731:E732"/>
    <mergeCell ref="E733:E734"/>
    <mergeCell ref="E735:E736"/>
    <mergeCell ref="E737:E738"/>
    <mergeCell ref="E739:E740"/>
    <mergeCell ref="E741:E742"/>
    <mergeCell ref="E743:E744"/>
    <mergeCell ref="E745:E746"/>
    <mergeCell ref="E747:E748"/>
    <mergeCell ref="E749:E750"/>
    <mergeCell ref="E751:E752"/>
    <mergeCell ref="E753:E754"/>
    <mergeCell ref="E755:E756"/>
    <mergeCell ref="E757:E758"/>
    <mergeCell ref="E759:E760"/>
    <mergeCell ref="E761:E762"/>
    <mergeCell ref="E763:E764"/>
    <mergeCell ref="E765:E766"/>
    <mergeCell ref="E767:E768"/>
    <mergeCell ref="E769:E770"/>
    <mergeCell ref="E771:E772"/>
    <mergeCell ref="E773:E774"/>
    <mergeCell ref="E775:E776"/>
    <mergeCell ref="E777:E778"/>
    <mergeCell ref="E779:E780"/>
    <mergeCell ref="E781:E782"/>
    <mergeCell ref="E783:E784"/>
    <mergeCell ref="E785:E786"/>
    <mergeCell ref="E787:E788"/>
    <mergeCell ref="E789:E790"/>
    <mergeCell ref="E791:E792"/>
    <mergeCell ref="E793:E794"/>
    <mergeCell ref="E795:E796"/>
    <mergeCell ref="E797:E798"/>
    <mergeCell ref="E799:E800"/>
    <mergeCell ref="E801:E802"/>
    <mergeCell ref="E803:E804"/>
    <mergeCell ref="E805:E806"/>
    <mergeCell ref="E807:E808"/>
    <mergeCell ref="E809:E810"/>
    <mergeCell ref="E811:E812"/>
    <mergeCell ref="E813:E814"/>
    <mergeCell ref="E815:E816"/>
    <mergeCell ref="E817:E818"/>
    <mergeCell ref="E819:E820"/>
    <mergeCell ref="E821:E822"/>
    <mergeCell ref="E823:E824"/>
    <mergeCell ref="E825:E826"/>
    <mergeCell ref="E827:E828"/>
    <mergeCell ref="E829:E830"/>
    <mergeCell ref="E831:E832"/>
    <mergeCell ref="E833:E834"/>
    <mergeCell ref="E835:E836"/>
    <mergeCell ref="E837:E838"/>
    <mergeCell ref="E839:E840"/>
    <mergeCell ref="E841:E842"/>
    <mergeCell ref="E843:E844"/>
    <mergeCell ref="E845:E846"/>
    <mergeCell ref="E847:E848"/>
    <mergeCell ref="E849:E850"/>
    <mergeCell ref="E851:E852"/>
    <mergeCell ref="E853:E854"/>
    <mergeCell ref="E855:E856"/>
    <mergeCell ref="E857:E858"/>
    <mergeCell ref="E859:E860"/>
    <mergeCell ref="E861:E862"/>
    <mergeCell ref="E863:E864"/>
    <mergeCell ref="E865:E866"/>
    <mergeCell ref="E867:E868"/>
    <mergeCell ref="E869:E870"/>
    <mergeCell ref="E871:E872"/>
    <mergeCell ref="E873:E874"/>
    <mergeCell ref="E875:E876"/>
    <mergeCell ref="E877:E878"/>
    <mergeCell ref="E879:E880"/>
    <mergeCell ref="E881:E882"/>
    <mergeCell ref="E883:E884"/>
    <mergeCell ref="E885:E886"/>
    <mergeCell ref="E887:E888"/>
    <mergeCell ref="E889:E890"/>
    <mergeCell ref="E891:E892"/>
    <mergeCell ref="E893:E894"/>
    <mergeCell ref="E895:E896"/>
    <mergeCell ref="E897:E898"/>
    <mergeCell ref="E899:E900"/>
    <mergeCell ref="E901:E902"/>
    <mergeCell ref="E903:E904"/>
    <mergeCell ref="E905:E906"/>
    <mergeCell ref="E907:E908"/>
    <mergeCell ref="E909:E910"/>
    <mergeCell ref="E911:E912"/>
    <mergeCell ref="E913:E914"/>
    <mergeCell ref="E915:E916"/>
    <mergeCell ref="E917:E918"/>
    <mergeCell ref="E919:E920"/>
    <mergeCell ref="E921:E922"/>
    <mergeCell ref="E923:E924"/>
    <mergeCell ref="E925:E926"/>
    <mergeCell ref="E927:E928"/>
    <mergeCell ref="E929:E930"/>
    <mergeCell ref="E931:E932"/>
    <mergeCell ref="E933:E934"/>
    <mergeCell ref="E935:E936"/>
    <mergeCell ref="E937:E938"/>
    <mergeCell ref="E939:E940"/>
    <mergeCell ref="E941:E942"/>
    <mergeCell ref="E943:E944"/>
    <mergeCell ref="E945:E946"/>
    <mergeCell ref="E947:E948"/>
    <mergeCell ref="E949:E950"/>
    <mergeCell ref="E951:E952"/>
    <mergeCell ref="E953:E954"/>
    <mergeCell ref="E955:E956"/>
    <mergeCell ref="E957:E958"/>
    <mergeCell ref="E959:E960"/>
    <mergeCell ref="E961:E962"/>
    <mergeCell ref="E963:E964"/>
    <mergeCell ref="E965:E966"/>
    <mergeCell ref="E967:E968"/>
    <mergeCell ref="E969:E970"/>
    <mergeCell ref="E971:E972"/>
    <mergeCell ref="E973:E974"/>
    <mergeCell ref="E975:E976"/>
    <mergeCell ref="E977:E978"/>
    <mergeCell ref="E979:E980"/>
    <mergeCell ref="E981:E982"/>
    <mergeCell ref="E983:E984"/>
    <mergeCell ref="E985:E986"/>
    <mergeCell ref="E987:E988"/>
    <mergeCell ref="E989:E990"/>
    <mergeCell ref="E991:E992"/>
    <mergeCell ref="E993:E994"/>
    <mergeCell ref="E995:E996"/>
    <mergeCell ref="E997:E998"/>
    <mergeCell ref="E999:E1000"/>
    <mergeCell ref="E1001:E1002"/>
    <mergeCell ref="E1003:E1004"/>
    <mergeCell ref="E1005:E1006"/>
    <mergeCell ref="E1007:E1008"/>
    <mergeCell ref="E1009:E1010"/>
    <mergeCell ref="E1011:E1012"/>
    <mergeCell ref="E1013:E1014"/>
    <mergeCell ref="E1015:E1016"/>
    <mergeCell ref="E1017:E1018"/>
    <mergeCell ref="E1019:E1020"/>
    <mergeCell ref="E1021:E1022"/>
    <mergeCell ref="E1023:E1024"/>
    <mergeCell ref="E1025:E1026"/>
    <mergeCell ref="E1027:E1028"/>
    <mergeCell ref="E1029:E1030"/>
    <mergeCell ref="E1031:E1032"/>
    <mergeCell ref="E1033:E1034"/>
    <mergeCell ref="E1035:E1036"/>
    <mergeCell ref="E1037:E1038"/>
    <mergeCell ref="E1039:E1040"/>
    <mergeCell ref="E1041:E1042"/>
    <mergeCell ref="E1043:E1044"/>
    <mergeCell ref="E1045:E1046"/>
    <mergeCell ref="E1047:E1048"/>
    <mergeCell ref="E1049:E1050"/>
    <mergeCell ref="E1051:E1052"/>
    <mergeCell ref="E1053:E1054"/>
    <mergeCell ref="E1055:E1056"/>
    <mergeCell ref="E1057:E1058"/>
    <mergeCell ref="E1059:E1060"/>
    <mergeCell ref="E1061:E1062"/>
    <mergeCell ref="E1063:E1064"/>
    <mergeCell ref="E1065:E1066"/>
    <mergeCell ref="E1067:E1068"/>
    <mergeCell ref="E1069:E1070"/>
    <mergeCell ref="E1071:E1072"/>
    <mergeCell ref="E1073:E1074"/>
    <mergeCell ref="E1075:E1076"/>
    <mergeCell ref="E1077:E1078"/>
    <mergeCell ref="E1079:E1080"/>
    <mergeCell ref="E1081:E1082"/>
    <mergeCell ref="E1083:E1084"/>
    <mergeCell ref="E1085:E1086"/>
    <mergeCell ref="E1087:E1088"/>
    <mergeCell ref="E1089:E1090"/>
    <mergeCell ref="E1091:E1092"/>
    <mergeCell ref="E1093:E1094"/>
    <mergeCell ref="E1095:E1096"/>
    <mergeCell ref="E1097:E1098"/>
    <mergeCell ref="E1099:E1100"/>
    <mergeCell ref="E1101:E1102"/>
    <mergeCell ref="E1103:E1104"/>
    <mergeCell ref="E1105:E1106"/>
    <mergeCell ref="E1107:E1108"/>
    <mergeCell ref="E1109:E1110"/>
    <mergeCell ref="E1111:E1112"/>
    <mergeCell ref="E1113:E1114"/>
    <mergeCell ref="E1115:E1116"/>
    <mergeCell ref="E1117:E1118"/>
    <mergeCell ref="E1119:E1120"/>
    <mergeCell ref="E1121:E1122"/>
    <mergeCell ref="E1123:E1124"/>
    <mergeCell ref="E1125:E1126"/>
    <mergeCell ref="E1127:E1128"/>
    <mergeCell ref="E1129:E1130"/>
    <mergeCell ref="E1131:E1132"/>
    <mergeCell ref="E1133:E1134"/>
    <mergeCell ref="E1135:E1136"/>
    <mergeCell ref="E1137:E1138"/>
    <mergeCell ref="E1139:E1140"/>
    <mergeCell ref="E1141:E1142"/>
    <mergeCell ref="E1143:E1144"/>
    <mergeCell ref="E1145:E1146"/>
    <mergeCell ref="E1147:E1148"/>
    <mergeCell ref="E1149:E1150"/>
    <mergeCell ref="E1151:E1152"/>
    <mergeCell ref="E1153:E1154"/>
    <mergeCell ref="E1155:E1156"/>
    <mergeCell ref="E1157:E1158"/>
    <mergeCell ref="E1159:E1160"/>
    <mergeCell ref="E1161:E1162"/>
    <mergeCell ref="E1163:E1164"/>
    <mergeCell ref="E1165:E1166"/>
    <mergeCell ref="E1167:E1168"/>
    <mergeCell ref="E1169:E1170"/>
    <mergeCell ref="E1171:E1172"/>
    <mergeCell ref="E1173:E1174"/>
    <mergeCell ref="E1175:E1176"/>
    <mergeCell ref="E1177:E1178"/>
    <mergeCell ref="E1179:E1180"/>
    <mergeCell ref="E1181:E1182"/>
    <mergeCell ref="E1183:E1184"/>
    <mergeCell ref="E1185:E1186"/>
    <mergeCell ref="E1187:E1188"/>
    <mergeCell ref="E1189:E1190"/>
    <mergeCell ref="E1191:E1192"/>
    <mergeCell ref="E1193:E1194"/>
    <mergeCell ref="E1195:E1196"/>
    <mergeCell ref="E1197:E1198"/>
    <mergeCell ref="E1199:E1200"/>
    <mergeCell ref="E1201:E1202"/>
    <mergeCell ref="E1203:E1204"/>
    <mergeCell ref="E1205:E1206"/>
    <mergeCell ref="E1207:E1208"/>
    <mergeCell ref="E1209:E1210"/>
    <mergeCell ref="E1211:E1212"/>
    <mergeCell ref="E1213:E1214"/>
    <mergeCell ref="E1215:E1216"/>
    <mergeCell ref="E1217:E1218"/>
    <mergeCell ref="E1219:E1220"/>
    <mergeCell ref="E1221:E1222"/>
    <mergeCell ref="E1223:E1224"/>
    <mergeCell ref="E1225:E1226"/>
    <mergeCell ref="E1227:E1228"/>
    <mergeCell ref="E1229:E1230"/>
    <mergeCell ref="E1231:E1232"/>
    <mergeCell ref="E1233:E1234"/>
    <mergeCell ref="E1235:E1236"/>
    <mergeCell ref="E1237:E1238"/>
    <mergeCell ref="E1239:E1240"/>
    <mergeCell ref="E1241:E1242"/>
    <mergeCell ref="E1243:E1244"/>
    <mergeCell ref="E1245:E1246"/>
    <mergeCell ref="E1247:E1248"/>
    <mergeCell ref="E1249:E1250"/>
    <mergeCell ref="E1251:E1252"/>
    <mergeCell ref="E1253:E1254"/>
    <mergeCell ref="E1255:E1256"/>
    <mergeCell ref="E1257:E1258"/>
    <mergeCell ref="E1259:E1260"/>
    <mergeCell ref="E1261:E1262"/>
    <mergeCell ref="E1263:E1264"/>
    <mergeCell ref="E1265:E1266"/>
    <mergeCell ref="E1267:E1268"/>
    <mergeCell ref="E1269:E1270"/>
    <mergeCell ref="E1271:E1272"/>
    <mergeCell ref="E1273:E1274"/>
    <mergeCell ref="E1275:E1276"/>
    <mergeCell ref="E1277:E1278"/>
    <mergeCell ref="E1279:E1280"/>
    <mergeCell ref="E1281:E1282"/>
    <mergeCell ref="E1283:E1284"/>
    <mergeCell ref="E1285:E1286"/>
    <mergeCell ref="E1287:E1288"/>
    <mergeCell ref="E1289:E1290"/>
    <mergeCell ref="E1291:E1292"/>
    <mergeCell ref="E1293:E1294"/>
    <mergeCell ref="E1295:E1296"/>
    <mergeCell ref="E1297:E1298"/>
    <mergeCell ref="E1299:E1300"/>
    <mergeCell ref="E1301:E1302"/>
    <mergeCell ref="E1303:E1304"/>
    <mergeCell ref="E1305:E1306"/>
    <mergeCell ref="E1307:E1308"/>
    <mergeCell ref="E1309:E1310"/>
    <mergeCell ref="E1311:E1312"/>
    <mergeCell ref="E1313:E1314"/>
    <mergeCell ref="E1315:E1316"/>
    <mergeCell ref="E1317:E1318"/>
    <mergeCell ref="E1319:E1320"/>
    <mergeCell ref="E1321:E1322"/>
    <mergeCell ref="E1323:E1324"/>
    <mergeCell ref="E1325:E1326"/>
    <mergeCell ref="E1327:E1328"/>
    <mergeCell ref="E1329:E1330"/>
    <mergeCell ref="E1331:E1332"/>
    <mergeCell ref="E1333:E1334"/>
    <mergeCell ref="E1335:E1336"/>
    <mergeCell ref="E1337:E1338"/>
    <mergeCell ref="E1339:E1340"/>
    <mergeCell ref="E1341:E1342"/>
    <mergeCell ref="E1343:E1344"/>
    <mergeCell ref="E1345:E1346"/>
    <mergeCell ref="E1347:E1348"/>
    <mergeCell ref="E1349:E1350"/>
    <mergeCell ref="E1351:E1352"/>
    <mergeCell ref="E1353:E1354"/>
    <mergeCell ref="E1355:E1356"/>
    <mergeCell ref="E1357:E1358"/>
    <mergeCell ref="E1359:E1360"/>
    <mergeCell ref="E1361:E1362"/>
    <mergeCell ref="E1363:E1364"/>
    <mergeCell ref="E1365:E1366"/>
    <mergeCell ref="E1367:E1368"/>
    <mergeCell ref="E1369:E1370"/>
    <mergeCell ref="E1371:E1372"/>
    <mergeCell ref="E1373:E1374"/>
    <mergeCell ref="E1375:E1376"/>
    <mergeCell ref="E1377:E1378"/>
    <mergeCell ref="E1379:E1380"/>
    <mergeCell ref="E1381:E1382"/>
    <mergeCell ref="E1383:E1384"/>
    <mergeCell ref="E1385:E1386"/>
    <mergeCell ref="E1387:E1388"/>
    <mergeCell ref="E1389:E1390"/>
    <mergeCell ref="E1391:E1392"/>
    <mergeCell ref="E1393:E1394"/>
    <mergeCell ref="E1395:E1396"/>
    <mergeCell ref="E1397:E1398"/>
    <mergeCell ref="E1399:E1400"/>
    <mergeCell ref="E1401:E1402"/>
    <mergeCell ref="E1403:E1404"/>
    <mergeCell ref="E1405:E1406"/>
    <mergeCell ref="E1407:E1408"/>
    <mergeCell ref="E1409:E1410"/>
    <mergeCell ref="E1411:E1412"/>
    <mergeCell ref="E1413:E1414"/>
    <mergeCell ref="E1415:E1416"/>
    <mergeCell ref="E1417:E1418"/>
    <mergeCell ref="E1419:E1420"/>
    <mergeCell ref="E1421:E1422"/>
    <mergeCell ref="E1423:E1424"/>
    <mergeCell ref="E1425:E1426"/>
    <mergeCell ref="E1427:E1428"/>
    <mergeCell ref="E1429:E1430"/>
    <mergeCell ref="E1431:E1432"/>
    <mergeCell ref="E1433:E1434"/>
    <mergeCell ref="E1435:E1436"/>
    <mergeCell ref="E1437:E1438"/>
    <mergeCell ref="E1439:E1440"/>
    <mergeCell ref="E1441:E1442"/>
    <mergeCell ref="E1443:E1444"/>
    <mergeCell ref="E1445:E1446"/>
    <mergeCell ref="E1447:E1448"/>
    <mergeCell ref="E1449:E1450"/>
    <mergeCell ref="E1451:E1452"/>
    <mergeCell ref="E1453:E1454"/>
    <mergeCell ref="E1455:E1456"/>
    <mergeCell ref="E1457:E1458"/>
    <mergeCell ref="E1459:E1460"/>
    <mergeCell ref="E1461:E1462"/>
    <mergeCell ref="E1463:E1464"/>
    <mergeCell ref="E1465:E1466"/>
    <mergeCell ref="E1467:E1468"/>
    <mergeCell ref="E1469:E1470"/>
    <mergeCell ref="E1471:E1472"/>
    <mergeCell ref="E1473:E1474"/>
    <mergeCell ref="E1475:E1476"/>
    <mergeCell ref="E1477:E1478"/>
    <mergeCell ref="E1479:E1480"/>
    <mergeCell ref="E1481:E1482"/>
    <mergeCell ref="E1483:E1484"/>
    <mergeCell ref="E1485:E1486"/>
    <mergeCell ref="E1487:E1488"/>
    <mergeCell ref="E1489:E1490"/>
    <mergeCell ref="E1491:E1492"/>
    <mergeCell ref="E1493:E1494"/>
    <mergeCell ref="E1495:E1496"/>
    <mergeCell ref="E1497:E1498"/>
    <mergeCell ref="E1499:E1500"/>
    <mergeCell ref="E1501:E1502"/>
    <mergeCell ref="E1503:E1504"/>
    <mergeCell ref="E1505:E1506"/>
    <mergeCell ref="E1507:E1508"/>
    <mergeCell ref="E1509:E1510"/>
    <mergeCell ref="E1511:E1512"/>
    <mergeCell ref="E1513:E1514"/>
    <mergeCell ref="E1515:E1516"/>
    <mergeCell ref="E1517:E1518"/>
    <mergeCell ref="E1519:E1520"/>
    <mergeCell ref="E1521:E1522"/>
    <mergeCell ref="E1523:E1524"/>
    <mergeCell ref="E1525:E1526"/>
    <mergeCell ref="E1527:E1528"/>
    <mergeCell ref="E1529:E1530"/>
    <mergeCell ref="E1531:E1532"/>
    <mergeCell ref="E1533:E1534"/>
    <mergeCell ref="E1535:E1536"/>
    <mergeCell ref="E1537:E1538"/>
    <mergeCell ref="E1539:E1540"/>
    <mergeCell ref="E1541:E1542"/>
    <mergeCell ref="E1543:E1544"/>
    <mergeCell ref="E1545:E1546"/>
    <mergeCell ref="E1547:E1548"/>
    <mergeCell ref="E1549:E1550"/>
    <mergeCell ref="E1551:E1552"/>
    <mergeCell ref="E1553:E1554"/>
    <mergeCell ref="E1555:E1556"/>
    <mergeCell ref="E1557:E1558"/>
    <mergeCell ref="E1559:E1560"/>
    <mergeCell ref="E1561:E1562"/>
    <mergeCell ref="E1563:E1564"/>
    <mergeCell ref="E1565:E1566"/>
    <mergeCell ref="E1567:E1568"/>
    <mergeCell ref="E1569:E1570"/>
    <mergeCell ref="E1571:E1572"/>
    <mergeCell ref="E1573:E1574"/>
    <mergeCell ref="E1575:E1576"/>
    <mergeCell ref="E1577:E1578"/>
    <mergeCell ref="E1579:E1580"/>
    <mergeCell ref="E1581:E1582"/>
    <mergeCell ref="E1583:E1584"/>
    <mergeCell ref="E1585:E1586"/>
    <mergeCell ref="E1587:E1588"/>
    <mergeCell ref="E1589:E1590"/>
    <mergeCell ref="E1591:E1592"/>
    <mergeCell ref="E1593:E1594"/>
    <mergeCell ref="E1595:E1596"/>
    <mergeCell ref="E1597:E1598"/>
    <mergeCell ref="E1599:E1600"/>
    <mergeCell ref="E1601:E1602"/>
    <mergeCell ref="E1603:E1604"/>
    <mergeCell ref="E1605:E1606"/>
    <mergeCell ref="E1607:E1608"/>
    <mergeCell ref="E1609:E1610"/>
    <mergeCell ref="E1611:E1612"/>
    <mergeCell ref="E1613:E1614"/>
    <mergeCell ref="E1615:E1616"/>
    <mergeCell ref="E1617:E1618"/>
    <mergeCell ref="E1619:E1620"/>
    <mergeCell ref="E1621:E1622"/>
    <mergeCell ref="E1623:E1624"/>
    <mergeCell ref="E1625:E1626"/>
    <mergeCell ref="E1627:E1628"/>
    <mergeCell ref="E1629:E1630"/>
    <mergeCell ref="E1631:E1632"/>
    <mergeCell ref="E1633:E1634"/>
    <mergeCell ref="E1635:E1636"/>
    <mergeCell ref="E1637:E1638"/>
    <mergeCell ref="E1639:E1640"/>
    <mergeCell ref="E1641:E1642"/>
    <mergeCell ref="E1643:E1644"/>
    <mergeCell ref="E1645:E1646"/>
    <mergeCell ref="E1647:E1648"/>
    <mergeCell ref="E1649:E1650"/>
    <mergeCell ref="E1651:E1652"/>
    <mergeCell ref="E1653:E1654"/>
    <mergeCell ref="E1655:E1656"/>
    <mergeCell ref="E1657:E1658"/>
    <mergeCell ref="E1659:E1660"/>
    <mergeCell ref="E1661:E1662"/>
    <mergeCell ref="E1663:E1664"/>
    <mergeCell ref="E1665:E1666"/>
    <mergeCell ref="E1667:E1668"/>
    <mergeCell ref="E1669:E1670"/>
    <mergeCell ref="E1671:E1672"/>
    <mergeCell ref="E1673:E1674"/>
    <mergeCell ref="E1675:E1676"/>
    <mergeCell ref="E1677:E1678"/>
    <mergeCell ref="E1679:E1680"/>
    <mergeCell ref="E1681:E1682"/>
    <mergeCell ref="E1683:E1684"/>
    <mergeCell ref="E1685:E1686"/>
    <mergeCell ref="E1687:E1688"/>
    <mergeCell ref="E1689:E1690"/>
    <mergeCell ref="E1691:E1692"/>
    <mergeCell ref="E1693:E1694"/>
    <mergeCell ref="E1695:E1696"/>
    <mergeCell ref="E1697:E1698"/>
    <mergeCell ref="E1699:E1700"/>
    <mergeCell ref="E1701:E1702"/>
    <mergeCell ref="E1703:E1704"/>
    <mergeCell ref="E1705:E1706"/>
    <mergeCell ref="E1707:E1708"/>
    <mergeCell ref="E1709:E1710"/>
    <mergeCell ref="E1711:E1712"/>
    <mergeCell ref="E1713:E1714"/>
    <mergeCell ref="E1715:E1716"/>
    <mergeCell ref="E1717:E1718"/>
    <mergeCell ref="E1719:E1720"/>
    <mergeCell ref="E1721:E1722"/>
    <mergeCell ref="E1723:E1724"/>
    <mergeCell ref="E1725:E1726"/>
    <mergeCell ref="E1727:E1728"/>
    <mergeCell ref="E1729:E1730"/>
    <mergeCell ref="E1731:E1732"/>
    <mergeCell ref="E1733:E1734"/>
    <mergeCell ref="E1735:E1736"/>
    <mergeCell ref="E1737:E1738"/>
    <mergeCell ref="E1739:E1740"/>
    <mergeCell ref="E1741:E1742"/>
    <mergeCell ref="E1743:E1744"/>
    <mergeCell ref="E1745:E1746"/>
    <mergeCell ref="E1747:E1748"/>
    <mergeCell ref="E1749:E1750"/>
    <mergeCell ref="E1751:E1752"/>
    <mergeCell ref="E1753:E1754"/>
    <mergeCell ref="E1755:E1756"/>
    <mergeCell ref="E1757:E1758"/>
    <mergeCell ref="E1759:E1760"/>
    <mergeCell ref="E1761:E1762"/>
    <mergeCell ref="E1763:E1764"/>
    <mergeCell ref="E1765:E1766"/>
    <mergeCell ref="E1767:E1768"/>
    <mergeCell ref="E1769:E1770"/>
    <mergeCell ref="E1771:E1772"/>
    <mergeCell ref="E1773:E1774"/>
    <mergeCell ref="E1775:E1776"/>
    <mergeCell ref="E1777:E1778"/>
    <mergeCell ref="E1779:E1780"/>
    <mergeCell ref="E1781:E1782"/>
    <mergeCell ref="E1783:E1784"/>
    <mergeCell ref="E1785:E1786"/>
    <mergeCell ref="E1787:E1788"/>
    <mergeCell ref="E1789:E1790"/>
    <mergeCell ref="E1791:E1792"/>
    <mergeCell ref="E1793:E1794"/>
    <mergeCell ref="E1795:E1796"/>
    <mergeCell ref="E1797:E1798"/>
    <mergeCell ref="E1799:E1800"/>
    <mergeCell ref="E1801:E1802"/>
    <mergeCell ref="E1803:E1804"/>
    <mergeCell ref="E1805:E1806"/>
    <mergeCell ref="E1807:E1808"/>
    <mergeCell ref="E1809:E1810"/>
    <mergeCell ref="E1811:E1812"/>
    <mergeCell ref="E1813:E1814"/>
    <mergeCell ref="E1815:E1816"/>
    <mergeCell ref="E1817:E1818"/>
    <mergeCell ref="E1819:E1820"/>
    <mergeCell ref="G10:G11"/>
    <mergeCell ref="G12:G13"/>
    <mergeCell ref="G14:G15"/>
    <mergeCell ref="G16:G17"/>
    <mergeCell ref="G18:G19"/>
    <mergeCell ref="G20:G21"/>
    <mergeCell ref="G22:G23"/>
    <mergeCell ref="G24:G25"/>
    <mergeCell ref="G26:G27"/>
    <mergeCell ref="G28:G29"/>
    <mergeCell ref="G30:G31"/>
    <mergeCell ref="G32:G33"/>
    <mergeCell ref="G34:G35"/>
    <mergeCell ref="G36:G37"/>
    <mergeCell ref="G38:G39"/>
    <mergeCell ref="G40:G41"/>
    <mergeCell ref="G42:G43"/>
    <mergeCell ref="G44:G45"/>
    <mergeCell ref="G46:G47"/>
    <mergeCell ref="G48:G49"/>
    <mergeCell ref="G50:G51"/>
    <mergeCell ref="G52:G53"/>
    <mergeCell ref="G54:G55"/>
    <mergeCell ref="G56:G57"/>
    <mergeCell ref="G58:G59"/>
    <mergeCell ref="G60:G61"/>
    <mergeCell ref="G62:G63"/>
    <mergeCell ref="G64:G65"/>
    <mergeCell ref="G66:G67"/>
    <mergeCell ref="G68:G69"/>
    <mergeCell ref="G70:G71"/>
    <mergeCell ref="G72:G73"/>
    <mergeCell ref="G74:G75"/>
    <mergeCell ref="G76:G77"/>
    <mergeCell ref="G78:G79"/>
    <mergeCell ref="G80:G81"/>
    <mergeCell ref="G82:G83"/>
    <mergeCell ref="G84:G85"/>
    <mergeCell ref="G86:G87"/>
    <mergeCell ref="G88:G89"/>
    <mergeCell ref="G90:G91"/>
    <mergeCell ref="G92:G93"/>
    <mergeCell ref="G94:G95"/>
    <mergeCell ref="G96:G97"/>
    <mergeCell ref="G98:G99"/>
    <mergeCell ref="G100:G101"/>
    <mergeCell ref="G102:G103"/>
    <mergeCell ref="G104:G105"/>
    <mergeCell ref="G106:G107"/>
    <mergeCell ref="G108:G109"/>
    <mergeCell ref="G110:G111"/>
    <mergeCell ref="G112:G113"/>
    <mergeCell ref="G114:G115"/>
    <mergeCell ref="G116:G117"/>
    <mergeCell ref="G118:G119"/>
    <mergeCell ref="G120:G121"/>
    <mergeCell ref="G122:G123"/>
    <mergeCell ref="G124:G125"/>
    <mergeCell ref="G126:G127"/>
    <mergeCell ref="G128:G129"/>
    <mergeCell ref="G130:G131"/>
    <mergeCell ref="G132:G133"/>
    <mergeCell ref="G134:G135"/>
    <mergeCell ref="G136:G137"/>
    <mergeCell ref="G138:G139"/>
    <mergeCell ref="G140:G141"/>
    <mergeCell ref="G142:G143"/>
    <mergeCell ref="G144:G145"/>
    <mergeCell ref="G146:G147"/>
    <mergeCell ref="G148:G149"/>
    <mergeCell ref="G150:G151"/>
    <mergeCell ref="G152:G153"/>
    <mergeCell ref="G154:G155"/>
    <mergeCell ref="G156:G157"/>
    <mergeCell ref="G158:G159"/>
    <mergeCell ref="G160:G161"/>
    <mergeCell ref="G162:G163"/>
    <mergeCell ref="G164:G165"/>
    <mergeCell ref="G166:G167"/>
    <mergeCell ref="G168:G169"/>
    <mergeCell ref="G170:G171"/>
    <mergeCell ref="G172:G173"/>
    <mergeCell ref="G174:G175"/>
    <mergeCell ref="G176:G177"/>
    <mergeCell ref="G178:G179"/>
    <mergeCell ref="G180:G181"/>
    <mergeCell ref="G182:G183"/>
    <mergeCell ref="G184:G185"/>
    <mergeCell ref="G186:G187"/>
    <mergeCell ref="G188:G189"/>
    <mergeCell ref="G190:G191"/>
    <mergeCell ref="G192:G193"/>
    <mergeCell ref="G194:G195"/>
    <mergeCell ref="G196:G197"/>
    <mergeCell ref="G198:G199"/>
    <mergeCell ref="G200:G201"/>
    <mergeCell ref="G202:G203"/>
    <mergeCell ref="G204:G205"/>
    <mergeCell ref="G206:G207"/>
    <mergeCell ref="G208:G209"/>
    <mergeCell ref="G210:G211"/>
    <mergeCell ref="G212:G213"/>
    <mergeCell ref="G214:G215"/>
    <mergeCell ref="G216:G217"/>
    <mergeCell ref="G218:G219"/>
    <mergeCell ref="G220:G221"/>
    <mergeCell ref="G222:G223"/>
    <mergeCell ref="G224:G225"/>
    <mergeCell ref="G226:G227"/>
    <mergeCell ref="G228:G229"/>
    <mergeCell ref="G230:G231"/>
    <mergeCell ref="G232:G233"/>
    <mergeCell ref="G234:G235"/>
    <mergeCell ref="G236:G237"/>
    <mergeCell ref="G238:G239"/>
    <mergeCell ref="G240:G241"/>
    <mergeCell ref="G242:G243"/>
    <mergeCell ref="G244:G245"/>
    <mergeCell ref="G246:G247"/>
    <mergeCell ref="G248:G249"/>
    <mergeCell ref="G250:G251"/>
    <mergeCell ref="G252:G253"/>
    <mergeCell ref="G254:G255"/>
    <mergeCell ref="G256:G257"/>
    <mergeCell ref="G258:G259"/>
    <mergeCell ref="G260:G261"/>
    <mergeCell ref="G262:G263"/>
    <mergeCell ref="G264:G265"/>
    <mergeCell ref="G266:G267"/>
    <mergeCell ref="G268:G269"/>
    <mergeCell ref="G270:G271"/>
    <mergeCell ref="G272:G273"/>
    <mergeCell ref="G274:G275"/>
    <mergeCell ref="G276:G277"/>
    <mergeCell ref="G278:G279"/>
    <mergeCell ref="G280:G281"/>
    <mergeCell ref="G282:G283"/>
    <mergeCell ref="G284:G285"/>
    <mergeCell ref="G286:G287"/>
    <mergeCell ref="G288:G289"/>
    <mergeCell ref="G290:G291"/>
    <mergeCell ref="G292:G293"/>
    <mergeCell ref="G294:G295"/>
    <mergeCell ref="G296:G297"/>
    <mergeCell ref="G298:G299"/>
    <mergeCell ref="G300:G301"/>
    <mergeCell ref="G302:G303"/>
    <mergeCell ref="G304:G305"/>
    <mergeCell ref="G306:G307"/>
    <mergeCell ref="G308:G309"/>
    <mergeCell ref="G316:G317"/>
    <mergeCell ref="G318:G319"/>
    <mergeCell ref="G320:G321"/>
    <mergeCell ref="G322:G323"/>
    <mergeCell ref="G324:G325"/>
    <mergeCell ref="G326:G327"/>
    <mergeCell ref="G328:G329"/>
    <mergeCell ref="G330:G331"/>
    <mergeCell ref="G332:G333"/>
    <mergeCell ref="G334:G335"/>
    <mergeCell ref="G336:G337"/>
    <mergeCell ref="G338:G339"/>
    <mergeCell ref="G340:G341"/>
    <mergeCell ref="G342:G343"/>
    <mergeCell ref="G344:G345"/>
    <mergeCell ref="G346:G347"/>
    <mergeCell ref="G348:G349"/>
    <mergeCell ref="G350:G351"/>
    <mergeCell ref="G352:G353"/>
    <mergeCell ref="G354:G355"/>
    <mergeCell ref="G356:G357"/>
    <mergeCell ref="G358:G359"/>
    <mergeCell ref="G360:G361"/>
    <mergeCell ref="G362:G363"/>
    <mergeCell ref="G364:G365"/>
    <mergeCell ref="G366:G367"/>
    <mergeCell ref="G368:G369"/>
    <mergeCell ref="G370:G371"/>
    <mergeCell ref="G372:G373"/>
    <mergeCell ref="G374:G375"/>
    <mergeCell ref="G376:G377"/>
    <mergeCell ref="G378:G379"/>
    <mergeCell ref="G380:G381"/>
    <mergeCell ref="G382:G383"/>
    <mergeCell ref="G384:G385"/>
    <mergeCell ref="G386:G387"/>
    <mergeCell ref="G388:G389"/>
    <mergeCell ref="G390:G391"/>
    <mergeCell ref="G392:G393"/>
    <mergeCell ref="G394:G395"/>
    <mergeCell ref="G396:G397"/>
    <mergeCell ref="G398:G399"/>
    <mergeCell ref="G400:G401"/>
    <mergeCell ref="G402:G403"/>
    <mergeCell ref="G404:G405"/>
    <mergeCell ref="G406:G407"/>
    <mergeCell ref="G408:G409"/>
    <mergeCell ref="G410:G411"/>
    <mergeCell ref="G412:G413"/>
    <mergeCell ref="G414:G415"/>
    <mergeCell ref="G416:G417"/>
    <mergeCell ref="G418:G419"/>
    <mergeCell ref="G420:G421"/>
    <mergeCell ref="G422:G423"/>
    <mergeCell ref="G424:G425"/>
    <mergeCell ref="G426:G427"/>
    <mergeCell ref="G428:G429"/>
    <mergeCell ref="G430:G431"/>
    <mergeCell ref="G432:G433"/>
    <mergeCell ref="G434:G435"/>
    <mergeCell ref="G436:G437"/>
    <mergeCell ref="G438:G439"/>
    <mergeCell ref="G440:G441"/>
    <mergeCell ref="G442:G443"/>
    <mergeCell ref="G444:G445"/>
    <mergeCell ref="G446:G447"/>
    <mergeCell ref="G448:G449"/>
    <mergeCell ref="G450:G451"/>
    <mergeCell ref="G452:G453"/>
    <mergeCell ref="G454:G455"/>
    <mergeCell ref="G456:G457"/>
    <mergeCell ref="G458:G459"/>
    <mergeCell ref="G460:G461"/>
    <mergeCell ref="G462:G463"/>
    <mergeCell ref="G464:G465"/>
    <mergeCell ref="G466:G467"/>
    <mergeCell ref="G468:G469"/>
    <mergeCell ref="G470:G471"/>
    <mergeCell ref="G472:G473"/>
    <mergeCell ref="G474:G475"/>
    <mergeCell ref="G476:G477"/>
    <mergeCell ref="G478:G479"/>
    <mergeCell ref="G480:G481"/>
    <mergeCell ref="G482:G483"/>
    <mergeCell ref="G484:G485"/>
    <mergeCell ref="G486:G487"/>
    <mergeCell ref="G488:G489"/>
    <mergeCell ref="G490:G491"/>
    <mergeCell ref="G492:G493"/>
    <mergeCell ref="G494:G495"/>
    <mergeCell ref="G496:G497"/>
    <mergeCell ref="G498:G499"/>
    <mergeCell ref="G500:G501"/>
    <mergeCell ref="G502:G503"/>
    <mergeCell ref="G504:G505"/>
    <mergeCell ref="G506:G507"/>
    <mergeCell ref="G508:G509"/>
    <mergeCell ref="G510:G511"/>
    <mergeCell ref="G512:G513"/>
    <mergeCell ref="G514:G515"/>
    <mergeCell ref="G516:G517"/>
    <mergeCell ref="G518:G519"/>
    <mergeCell ref="G520:G521"/>
    <mergeCell ref="G522:G523"/>
    <mergeCell ref="G524:G525"/>
    <mergeCell ref="G526:G527"/>
    <mergeCell ref="G528:G529"/>
    <mergeCell ref="G530:G531"/>
    <mergeCell ref="G532:G533"/>
    <mergeCell ref="G534:G535"/>
    <mergeCell ref="G536:G537"/>
    <mergeCell ref="G538:G539"/>
    <mergeCell ref="G540:G541"/>
    <mergeCell ref="G542:G543"/>
    <mergeCell ref="G544:G545"/>
    <mergeCell ref="G546:G547"/>
    <mergeCell ref="G548:G549"/>
    <mergeCell ref="G550:G551"/>
    <mergeCell ref="G552:G553"/>
    <mergeCell ref="G554:G555"/>
    <mergeCell ref="G556:G557"/>
    <mergeCell ref="G558:G559"/>
    <mergeCell ref="G560:G561"/>
    <mergeCell ref="G562:G563"/>
    <mergeCell ref="G564:G565"/>
    <mergeCell ref="G566:G567"/>
    <mergeCell ref="G568:G569"/>
    <mergeCell ref="G570:G571"/>
    <mergeCell ref="G572:G573"/>
    <mergeCell ref="G574:G575"/>
    <mergeCell ref="G576:G577"/>
    <mergeCell ref="G578:G579"/>
    <mergeCell ref="G580:G581"/>
    <mergeCell ref="G582:G583"/>
    <mergeCell ref="G584:G585"/>
    <mergeCell ref="G586:G587"/>
    <mergeCell ref="G588:G589"/>
    <mergeCell ref="G590:G591"/>
    <mergeCell ref="G592:G593"/>
    <mergeCell ref="G594:G595"/>
    <mergeCell ref="G596:G597"/>
    <mergeCell ref="G598:G599"/>
    <mergeCell ref="G600:G601"/>
    <mergeCell ref="G602:G603"/>
    <mergeCell ref="G604:G605"/>
    <mergeCell ref="G606:G607"/>
    <mergeCell ref="G608:G609"/>
    <mergeCell ref="G610:G611"/>
    <mergeCell ref="G612:G613"/>
    <mergeCell ref="G614:G615"/>
    <mergeCell ref="G621:G622"/>
    <mergeCell ref="G623:G624"/>
    <mergeCell ref="G625:G626"/>
    <mergeCell ref="G627:G628"/>
    <mergeCell ref="G629:G630"/>
    <mergeCell ref="G631:G632"/>
    <mergeCell ref="G633:G634"/>
    <mergeCell ref="G635:G636"/>
    <mergeCell ref="G637:G638"/>
    <mergeCell ref="G639:G640"/>
    <mergeCell ref="G641:G642"/>
    <mergeCell ref="G643:G644"/>
    <mergeCell ref="G645:G646"/>
    <mergeCell ref="G647:G648"/>
    <mergeCell ref="G649:G650"/>
    <mergeCell ref="G651:G652"/>
    <mergeCell ref="G653:G654"/>
    <mergeCell ref="G655:G656"/>
    <mergeCell ref="G657:G658"/>
    <mergeCell ref="G659:G660"/>
    <mergeCell ref="G661:G662"/>
    <mergeCell ref="G663:G664"/>
    <mergeCell ref="G665:G666"/>
    <mergeCell ref="G667:G668"/>
    <mergeCell ref="G669:G670"/>
    <mergeCell ref="G671:G672"/>
    <mergeCell ref="G673:G674"/>
    <mergeCell ref="G675:G676"/>
    <mergeCell ref="G677:G678"/>
    <mergeCell ref="G679:G680"/>
    <mergeCell ref="G681:G682"/>
    <mergeCell ref="G683:G684"/>
    <mergeCell ref="G685:G686"/>
    <mergeCell ref="G687:G688"/>
    <mergeCell ref="G689:G690"/>
    <mergeCell ref="G691:G692"/>
    <mergeCell ref="G693:G694"/>
    <mergeCell ref="G695:G696"/>
    <mergeCell ref="G697:G698"/>
    <mergeCell ref="G699:G700"/>
    <mergeCell ref="G701:G702"/>
    <mergeCell ref="G703:G704"/>
    <mergeCell ref="G705:G706"/>
    <mergeCell ref="G707:G708"/>
    <mergeCell ref="G709:G710"/>
    <mergeCell ref="G711:G712"/>
    <mergeCell ref="G713:G714"/>
    <mergeCell ref="G715:G716"/>
    <mergeCell ref="G717:G718"/>
    <mergeCell ref="G719:G720"/>
    <mergeCell ref="G721:G722"/>
    <mergeCell ref="G723:G724"/>
    <mergeCell ref="G725:G726"/>
    <mergeCell ref="G727:G728"/>
    <mergeCell ref="G729:G730"/>
    <mergeCell ref="G731:G732"/>
    <mergeCell ref="G733:G734"/>
    <mergeCell ref="G735:G736"/>
    <mergeCell ref="G737:G738"/>
    <mergeCell ref="G739:G740"/>
    <mergeCell ref="G741:G742"/>
    <mergeCell ref="G743:G744"/>
    <mergeCell ref="G745:G746"/>
    <mergeCell ref="G747:G748"/>
    <mergeCell ref="G749:G750"/>
    <mergeCell ref="G751:G752"/>
    <mergeCell ref="G753:G754"/>
    <mergeCell ref="G755:G756"/>
    <mergeCell ref="G757:G758"/>
    <mergeCell ref="G759:G760"/>
    <mergeCell ref="G761:G762"/>
    <mergeCell ref="G763:G764"/>
    <mergeCell ref="G765:G766"/>
    <mergeCell ref="G767:G768"/>
    <mergeCell ref="G769:G770"/>
    <mergeCell ref="G771:G772"/>
    <mergeCell ref="G773:G774"/>
    <mergeCell ref="G775:G776"/>
    <mergeCell ref="G777:G778"/>
    <mergeCell ref="G779:G780"/>
    <mergeCell ref="G781:G782"/>
    <mergeCell ref="G783:G784"/>
    <mergeCell ref="G785:G786"/>
    <mergeCell ref="G787:G788"/>
    <mergeCell ref="G789:G790"/>
    <mergeCell ref="G791:G792"/>
    <mergeCell ref="G793:G794"/>
    <mergeCell ref="G795:G796"/>
    <mergeCell ref="G797:G798"/>
    <mergeCell ref="G799:G800"/>
    <mergeCell ref="G801:G802"/>
    <mergeCell ref="G803:G804"/>
    <mergeCell ref="G805:G806"/>
    <mergeCell ref="G807:G808"/>
    <mergeCell ref="G809:G810"/>
    <mergeCell ref="G811:G812"/>
    <mergeCell ref="G813:G814"/>
    <mergeCell ref="G815:G816"/>
    <mergeCell ref="G817:G818"/>
    <mergeCell ref="G819:G820"/>
    <mergeCell ref="G821:G822"/>
    <mergeCell ref="G823:G824"/>
    <mergeCell ref="G825:G826"/>
    <mergeCell ref="G827:G828"/>
    <mergeCell ref="G829:G830"/>
    <mergeCell ref="G831:G832"/>
    <mergeCell ref="G833:G834"/>
    <mergeCell ref="G835:G836"/>
    <mergeCell ref="G837:G838"/>
    <mergeCell ref="G839:G840"/>
    <mergeCell ref="G841:G842"/>
    <mergeCell ref="G843:G844"/>
    <mergeCell ref="G845:G846"/>
    <mergeCell ref="G847:G848"/>
    <mergeCell ref="G849:G850"/>
    <mergeCell ref="G851:G852"/>
    <mergeCell ref="G853:G854"/>
    <mergeCell ref="G855:G856"/>
    <mergeCell ref="G857:G858"/>
    <mergeCell ref="G859:G860"/>
    <mergeCell ref="G861:G862"/>
    <mergeCell ref="G863:G864"/>
    <mergeCell ref="G865:G866"/>
    <mergeCell ref="G867:G868"/>
    <mergeCell ref="G869:G870"/>
    <mergeCell ref="G871:G872"/>
    <mergeCell ref="G873:G874"/>
    <mergeCell ref="G875:G876"/>
    <mergeCell ref="G877:G878"/>
    <mergeCell ref="G879:G880"/>
    <mergeCell ref="G881:G882"/>
    <mergeCell ref="G883:G884"/>
    <mergeCell ref="G885:G886"/>
    <mergeCell ref="G887:G888"/>
    <mergeCell ref="G889:G890"/>
    <mergeCell ref="G891:G892"/>
    <mergeCell ref="G893:G894"/>
    <mergeCell ref="G895:G896"/>
    <mergeCell ref="G897:G898"/>
    <mergeCell ref="G899:G900"/>
    <mergeCell ref="G901:G902"/>
    <mergeCell ref="G903:G904"/>
    <mergeCell ref="G905:G906"/>
    <mergeCell ref="G907:G908"/>
    <mergeCell ref="G909:G910"/>
    <mergeCell ref="G911:G912"/>
    <mergeCell ref="G913:G914"/>
    <mergeCell ref="G915:G916"/>
    <mergeCell ref="G917:G918"/>
    <mergeCell ref="G919:G920"/>
    <mergeCell ref="G921:G922"/>
    <mergeCell ref="G923:G924"/>
    <mergeCell ref="G925:G926"/>
    <mergeCell ref="G927:G928"/>
    <mergeCell ref="G929:G930"/>
    <mergeCell ref="G931:G932"/>
    <mergeCell ref="G933:G934"/>
    <mergeCell ref="G935:G936"/>
    <mergeCell ref="G937:G938"/>
    <mergeCell ref="G939:G940"/>
    <mergeCell ref="G941:G942"/>
    <mergeCell ref="G943:G944"/>
    <mergeCell ref="G945:G946"/>
    <mergeCell ref="G947:G948"/>
    <mergeCell ref="G949:G950"/>
    <mergeCell ref="G951:G952"/>
    <mergeCell ref="G953:G954"/>
    <mergeCell ref="G955:G956"/>
    <mergeCell ref="G957:G958"/>
    <mergeCell ref="G959:G960"/>
    <mergeCell ref="G961:G962"/>
    <mergeCell ref="G963:G964"/>
    <mergeCell ref="G965:G966"/>
    <mergeCell ref="G967:G968"/>
    <mergeCell ref="G969:G970"/>
    <mergeCell ref="G971:G972"/>
    <mergeCell ref="G973:G974"/>
    <mergeCell ref="G975:G976"/>
    <mergeCell ref="G977:G978"/>
    <mergeCell ref="G979:G980"/>
    <mergeCell ref="G981:G982"/>
    <mergeCell ref="G983:G984"/>
    <mergeCell ref="G985:G986"/>
    <mergeCell ref="G987:G988"/>
    <mergeCell ref="G989:G990"/>
    <mergeCell ref="G991:G992"/>
    <mergeCell ref="G993:G994"/>
    <mergeCell ref="G995:G996"/>
    <mergeCell ref="G997:G998"/>
    <mergeCell ref="G999:G1000"/>
    <mergeCell ref="G1001:G1002"/>
    <mergeCell ref="G1003:G1004"/>
    <mergeCell ref="G1005:G1006"/>
    <mergeCell ref="G1007:G1008"/>
    <mergeCell ref="G1009:G1010"/>
    <mergeCell ref="G1011:G1012"/>
    <mergeCell ref="G1013:G1014"/>
    <mergeCell ref="G1015:G1016"/>
    <mergeCell ref="G1017:G1018"/>
    <mergeCell ref="G1019:G1020"/>
    <mergeCell ref="G1021:G1022"/>
    <mergeCell ref="G1023:G1024"/>
    <mergeCell ref="G1025:G1026"/>
    <mergeCell ref="G1027:G1028"/>
    <mergeCell ref="G1029:G1030"/>
    <mergeCell ref="G1031:G1032"/>
    <mergeCell ref="G1033:G1034"/>
    <mergeCell ref="G1035:G1036"/>
    <mergeCell ref="G1037:G1038"/>
    <mergeCell ref="G1039:G1040"/>
    <mergeCell ref="G1041:G1042"/>
    <mergeCell ref="G1043:G1044"/>
    <mergeCell ref="G1045:G1046"/>
    <mergeCell ref="G1047:G1048"/>
    <mergeCell ref="G1049:G1050"/>
    <mergeCell ref="G1051:G1052"/>
    <mergeCell ref="G1053:G1054"/>
    <mergeCell ref="G1055:G1056"/>
    <mergeCell ref="G1057:G1058"/>
    <mergeCell ref="G1059:G1060"/>
    <mergeCell ref="G1061:G1062"/>
    <mergeCell ref="G1063:G1064"/>
    <mergeCell ref="G1065:G1066"/>
    <mergeCell ref="G1067:G1068"/>
    <mergeCell ref="G1069:G1070"/>
    <mergeCell ref="G1071:G1072"/>
    <mergeCell ref="G1073:G1074"/>
    <mergeCell ref="G1075:G1076"/>
    <mergeCell ref="G1077:G1078"/>
    <mergeCell ref="G1079:G1080"/>
    <mergeCell ref="G1081:G1082"/>
    <mergeCell ref="G1083:G1084"/>
    <mergeCell ref="G1085:G1086"/>
    <mergeCell ref="G1087:G1088"/>
    <mergeCell ref="G1089:G1090"/>
    <mergeCell ref="G1091:G1092"/>
    <mergeCell ref="G1093:G1094"/>
    <mergeCell ref="G1095:G1096"/>
    <mergeCell ref="G1097:G1098"/>
    <mergeCell ref="G1099:G1100"/>
    <mergeCell ref="G1101:G1102"/>
    <mergeCell ref="G1103:G1104"/>
    <mergeCell ref="G1105:G1106"/>
    <mergeCell ref="G1107:G1108"/>
    <mergeCell ref="G1109:G1110"/>
    <mergeCell ref="G1111:G1112"/>
    <mergeCell ref="G1113:G1114"/>
    <mergeCell ref="G1115:G1116"/>
    <mergeCell ref="G1117:G1118"/>
    <mergeCell ref="G1119:G1120"/>
    <mergeCell ref="G1121:G1122"/>
    <mergeCell ref="G1123:G1124"/>
    <mergeCell ref="G1125:G1126"/>
    <mergeCell ref="G1127:G1128"/>
    <mergeCell ref="G1129:G1130"/>
    <mergeCell ref="G1131:G1132"/>
    <mergeCell ref="G1133:G1134"/>
    <mergeCell ref="G1135:G1136"/>
    <mergeCell ref="G1137:G1138"/>
    <mergeCell ref="G1139:G1140"/>
    <mergeCell ref="G1141:G1142"/>
    <mergeCell ref="G1143:G1144"/>
    <mergeCell ref="G1145:G1146"/>
    <mergeCell ref="G1147:G1148"/>
    <mergeCell ref="G1149:G1150"/>
    <mergeCell ref="G1151:G1152"/>
    <mergeCell ref="G1153:G1154"/>
    <mergeCell ref="G1155:G1156"/>
    <mergeCell ref="G1157:G1158"/>
    <mergeCell ref="G1159:G1160"/>
    <mergeCell ref="G1161:G1162"/>
    <mergeCell ref="G1163:G1164"/>
    <mergeCell ref="G1165:G1166"/>
    <mergeCell ref="G1167:G1168"/>
    <mergeCell ref="G1169:G1170"/>
    <mergeCell ref="G1171:G1172"/>
    <mergeCell ref="G1173:G1174"/>
    <mergeCell ref="G1175:G1176"/>
    <mergeCell ref="G1177:G1178"/>
    <mergeCell ref="G1179:G1180"/>
    <mergeCell ref="G1181:G1182"/>
    <mergeCell ref="G1183:G1184"/>
    <mergeCell ref="G1185:G1186"/>
    <mergeCell ref="G1187:G1188"/>
    <mergeCell ref="G1189:G1190"/>
    <mergeCell ref="G1191:G1192"/>
    <mergeCell ref="G1193:G1194"/>
    <mergeCell ref="G1195:G1196"/>
    <mergeCell ref="G1197:G1198"/>
    <mergeCell ref="G1199:G1200"/>
    <mergeCell ref="G1201:G1202"/>
    <mergeCell ref="G1203:G1204"/>
    <mergeCell ref="G1205:G1206"/>
    <mergeCell ref="G1207:G1208"/>
    <mergeCell ref="G1209:G1210"/>
    <mergeCell ref="G1211:G1212"/>
    <mergeCell ref="G1213:G1214"/>
    <mergeCell ref="G1215:G1216"/>
    <mergeCell ref="G1217:G1218"/>
    <mergeCell ref="G1219:G1220"/>
    <mergeCell ref="G1221:G1222"/>
    <mergeCell ref="G1223:G1224"/>
    <mergeCell ref="G1225:G1226"/>
    <mergeCell ref="G1227:G1228"/>
    <mergeCell ref="G1229:G1230"/>
    <mergeCell ref="G1231:G1232"/>
    <mergeCell ref="G1233:G1234"/>
    <mergeCell ref="G1235:G1236"/>
    <mergeCell ref="G1237:G1238"/>
    <mergeCell ref="G1239:G1240"/>
    <mergeCell ref="G1241:G1242"/>
    <mergeCell ref="G1243:G1244"/>
    <mergeCell ref="G1245:G1246"/>
    <mergeCell ref="G1247:G1248"/>
    <mergeCell ref="G1249:G1250"/>
    <mergeCell ref="G1251:G1252"/>
    <mergeCell ref="G1253:G1254"/>
    <mergeCell ref="G1255:G1256"/>
    <mergeCell ref="G1257:G1258"/>
    <mergeCell ref="G1259:G1260"/>
    <mergeCell ref="G1261:G1262"/>
    <mergeCell ref="G1263:G1264"/>
    <mergeCell ref="G1265:G1266"/>
    <mergeCell ref="G1267:G1268"/>
    <mergeCell ref="G1269:G1270"/>
    <mergeCell ref="G1271:G1272"/>
    <mergeCell ref="G1273:G1274"/>
    <mergeCell ref="G1275:G1276"/>
    <mergeCell ref="G1277:G1278"/>
    <mergeCell ref="G1279:G1280"/>
    <mergeCell ref="G1281:G1282"/>
    <mergeCell ref="G1283:G1284"/>
    <mergeCell ref="G1285:G1286"/>
    <mergeCell ref="G1287:G1288"/>
    <mergeCell ref="G1289:G1290"/>
    <mergeCell ref="G1291:G1292"/>
    <mergeCell ref="G1293:G1294"/>
    <mergeCell ref="G1295:G1296"/>
    <mergeCell ref="G1297:G1298"/>
    <mergeCell ref="G1299:G1300"/>
    <mergeCell ref="G1301:G1302"/>
    <mergeCell ref="G1303:G1304"/>
    <mergeCell ref="G1305:G1306"/>
    <mergeCell ref="G1307:G1308"/>
    <mergeCell ref="G1309:G1310"/>
    <mergeCell ref="G1311:G1312"/>
    <mergeCell ref="G1313:G1314"/>
    <mergeCell ref="G1315:G1316"/>
    <mergeCell ref="G1317:G1318"/>
    <mergeCell ref="G1319:G1320"/>
    <mergeCell ref="G1321:G1322"/>
    <mergeCell ref="G1323:G1324"/>
    <mergeCell ref="G1325:G1326"/>
    <mergeCell ref="G1327:G1328"/>
    <mergeCell ref="G1329:G1330"/>
    <mergeCell ref="G1331:G1332"/>
    <mergeCell ref="G1333:G1334"/>
    <mergeCell ref="G1335:G1336"/>
    <mergeCell ref="G1337:G1338"/>
    <mergeCell ref="G1339:G1340"/>
    <mergeCell ref="G1341:G1342"/>
    <mergeCell ref="G1343:G1344"/>
    <mergeCell ref="G1345:G1346"/>
    <mergeCell ref="G1347:G1348"/>
    <mergeCell ref="G1349:G1350"/>
    <mergeCell ref="G1351:G1352"/>
    <mergeCell ref="G1353:G1354"/>
    <mergeCell ref="G1355:G1356"/>
    <mergeCell ref="G1357:G1358"/>
    <mergeCell ref="G1359:G1360"/>
    <mergeCell ref="G1361:G1362"/>
    <mergeCell ref="G1363:G1364"/>
    <mergeCell ref="G1365:G1366"/>
    <mergeCell ref="G1367:G1368"/>
    <mergeCell ref="G1369:G1370"/>
    <mergeCell ref="G1371:G1372"/>
    <mergeCell ref="G1373:G1374"/>
    <mergeCell ref="G1375:G1376"/>
    <mergeCell ref="G1377:G1378"/>
    <mergeCell ref="G1379:G1380"/>
    <mergeCell ref="G1381:G1382"/>
    <mergeCell ref="G1383:G1384"/>
    <mergeCell ref="G1385:G1386"/>
    <mergeCell ref="G1387:G1388"/>
    <mergeCell ref="G1389:G1390"/>
    <mergeCell ref="G1391:G1392"/>
    <mergeCell ref="G1393:G1394"/>
    <mergeCell ref="G1395:G1396"/>
    <mergeCell ref="G1397:G1398"/>
    <mergeCell ref="G1399:G1400"/>
    <mergeCell ref="G1401:G1402"/>
    <mergeCell ref="G1403:G1404"/>
    <mergeCell ref="G1405:G1406"/>
    <mergeCell ref="G1407:G1408"/>
    <mergeCell ref="G1409:G1410"/>
    <mergeCell ref="G1411:G1412"/>
    <mergeCell ref="G1413:G1414"/>
    <mergeCell ref="G1415:G1416"/>
    <mergeCell ref="G1417:G1418"/>
    <mergeCell ref="G1419:G1420"/>
    <mergeCell ref="G1421:G1422"/>
    <mergeCell ref="G1423:G1424"/>
    <mergeCell ref="G1425:G1426"/>
    <mergeCell ref="G1427:G1428"/>
    <mergeCell ref="G1429:G1430"/>
    <mergeCell ref="G1431:G1432"/>
    <mergeCell ref="G1433:G1434"/>
    <mergeCell ref="G1435:G1436"/>
    <mergeCell ref="G1437:G1438"/>
    <mergeCell ref="G1439:G1440"/>
    <mergeCell ref="G1441:G1442"/>
    <mergeCell ref="G1443:G1444"/>
    <mergeCell ref="G1445:G1446"/>
    <mergeCell ref="G1447:G1448"/>
    <mergeCell ref="G1449:G1450"/>
    <mergeCell ref="G1451:G1452"/>
    <mergeCell ref="G1453:G1454"/>
    <mergeCell ref="G1455:G1456"/>
    <mergeCell ref="G1457:G1458"/>
    <mergeCell ref="G1459:G1460"/>
    <mergeCell ref="G1461:G1462"/>
    <mergeCell ref="G1463:G1464"/>
    <mergeCell ref="G1465:G1466"/>
    <mergeCell ref="G1467:G1468"/>
    <mergeCell ref="G1469:G1470"/>
    <mergeCell ref="G1471:G1472"/>
    <mergeCell ref="G1473:G1474"/>
    <mergeCell ref="G1475:G1476"/>
    <mergeCell ref="G1477:G1478"/>
    <mergeCell ref="G1479:G1480"/>
    <mergeCell ref="G1481:G1482"/>
    <mergeCell ref="G1483:G1484"/>
    <mergeCell ref="G1485:G1486"/>
    <mergeCell ref="G1487:G1488"/>
    <mergeCell ref="G1489:G1490"/>
    <mergeCell ref="G1491:G1492"/>
    <mergeCell ref="G1493:G1494"/>
    <mergeCell ref="G1495:G1496"/>
    <mergeCell ref="G1497:G1498"/>
    <mergeCell ref="G1499:G1500"/>
    <mergeCell ref="G1501:G1502"/>
    <mergeCell ref="G1503:G1504"/>
    <mergeCell ref="G1505:G1506"/>
    <mergeCell ref="G1507:G1508"/>
    <mergeCell ref="G1509:G1510"/>
    <mergeCell ref="G1511:G1512"/>
    <mergeCell ref="G1513:G1514"/>
    <mergeCell ref="G1515:G1516"/>
    <mergeCell ref="G1517:G1518"/>
    <mergeCell ref="G1519:G1520"/>
    <mergeCell ref="G1521:G1522"/>
    <mergeCell ref="G1523:G1524"/>
    <mergeCell ref="G1525:G1526"/>
    <mergeCell ref="G1527:G1528"/>
    <mergeCell ref="G1529:G1530"/>
    <mergeCell ref="G1531:G1532"/>
    <mergeCell ref="G1533:G1534"/>
    <mergeCell ref="G1535:G1536"/>
    <mergeCell ref="G1537:G1538"/>
    <mergeCell ref="G1539:G1540"/>
    <mergeCell ref="G1541:G1542"/>
    <mergeCell ref="G1543:G1544"/>
    <mergeCell ref="G1545:G1546"/>
    <mergeCell ref="G1547:G1548"/>
    <mergeCell ref="G1549:G1550"/>
    <mergeCell ref="G1551:G1552"/>
    <mergeCell ref="G1553:G1554"/>
    <mergeCell ref="G1555:G1556"/>
    <mergeCell ref="G1557:G1558"/>
    <mergeCell ref="G1559:G1560"/>
    <mergeCell ref="G1561:G1562"/>
    <mergeCell ref="G1563:G1564"/>
    <mergeCell ref="G1565:G1566"/>
    <mergeCell ref="G1567:G1568"/>
    <mergeCell ref="G1569:G1570"/>
    <mergeCell ref="G1571:G1572"/>
    <mergeCell ref="G1573:G1574"/>
    <mergeCell ref="G1575:G1576"/>
    <mergeCell ref="G1577:G1578"/>
    <mergeCell ref="G1579:G1580"/>
    <mergeCell ref="G1581:G1582"/>
    <mergeCell ref="G1583:G1584"/>
    <mergeCell ref="G1585:G1586"/>
    <mergeCell ref="G1587:G1588"/>
    <mergeCell ref="G1589:G1590"/>
    <mergeCell ref="G1591:G1592"/>
    <mergeCell ref="G1593:G1594"/>
    <mergeCell ref="G1595:G1596"/>
    <mergeCell ref="G1597:G1598"/>
    <mergeCell ref="G1599:G1600"/>
    <mergeCell ref="G1601:G1602"/>
    <mergeCell ref="G1603:G1604"/>
    <mergeCell ref="G1605:G1606"/>
    <mergeCell ref="G1607:G1608"/>
    <mergeCell ref="G1609:G1610"/>
    <mergeCell ref="G1611:G1612"/>
    <mergeCell ref="G1613:G1614"/>
    <mergeCell ref="G1615:G1616"/>
    <mergeCell ref="G1617:G1618"/>
    <mergeCell ref="G1619:G1620"/>
    <mergeCell ref="G1621:G1622"/>
    <mergeCell ref="G1623:G1624"/>
    <mergeCell ref="G1625:G1626"/>
    <mergeCell ref="G1627:G1628"/>
    <mergeCell ref="G1629:G1630"/>
    <mergeCell ref="G1631:G1632"/>
    <mergeCell ref="G1633:G1634"/>
    <mergeCell ref="G1635:G1636"/>
    <mergeCell ref="G1637:G1638"/>
    <mergeCell ref="G1639:G1640"/>
    <mergeCell ref="G1641:G1642"/>
    <mergeCell ref="G1643:G1644"/>
    <mergeCell ref="G1645:G1646"/>
    <mergeCell ref="G1647:G1648"/>
    <mergeCell ref="G1649:G1650"/>
    <mergeCell ref="G1651:G1652"/>
    <mergeCell ref="G1653:G1654"/>
    <mergeCell ref="G1655:G1656"/>
    <mergeCell ref="G1657:G1658"/>
    <mergeCell ref="G1659:G1660"/>
    <mergeCell ref="G1661:G1662"/>
    <mergeCell ref="G1663:G1664"/>
    <mergeCell ref="G1665:G1666"/>
    <mergeCell ref="G1667:G1668"/>
    <mergeCell ref="G1669:G1670"/>
    <mergeCell ref="G1671:G1672"/>
    <mergeCell ref="G1673:G1674"/>
    <mergeCell ref="G1675:G1676"/>
    <mergeCell ref="G1677:G1678"/>
    <mergeCell ref="G1679:G1680"/>
    <mergeCell ref="G1681:G1682"/>
    <mergeCell ref="G1683:G1684"/>
    <mergeCell ref="G1685:G1686"/>
    <mergeCell ref="G1687:G1688"/>
    <mergeCell ref="G1689:G1690"/>
    <mergeCell ref="G1691:G1692"/>
    <mergeCell ref="G1693:G1694"/>
    <mergeCell ref="G1695:G1696"/>
    <mergeCell ref="G1697:G1698"/>
    <mergeCell ref="G1699:G1700"/>
    <mergeCell ref="G1701:G1702"/>
    <mergeCell ref="G1703:G1704"/>
    <mergeCell ref="G1705:G1706"/>
    <mergeCell ref="G1707:G1708"/>
    <mergeCell ref="G1709:G1710"/>
    <mergeCell ref="G1711:G1712"/>
    <mergeCell ref="G1713:G1714"/>
    <mergeCell ref="G1715:G1716"/>
    <mergeCell ref="G1717:G1718"/>
    <mergeCell ref="G1719:G1720"/>
    <mergeCell ref="G1721:G1722"/>
    <mergeCell ref="G1723:G1724"/>
    <mergeCell ref="G1725:G1726"/>
    <mergeCell ref="G1727:G1728"/>
    <mergeCell ref="G1729:G1730"/>
    <mergeCell ref="G1731:G1732"/>
    <mergeCell ref="G1733:G1734"/>
    <mergeCell ref="G1735:G1736"/>
    <mergeCell ref="G1737:G1738"/>
    <mergeCell ref="G1739:G1740"/>
    <mergeCell ref="G1741:G1742"/>
    <mergeCell ref="G1743:G1744"/>
    <mergeCell ref="G1745:G1746"/>
    <mergeCell ref="G1747:G1748"/>
    <mergeCell ref="G1749:G1750"/>
    <mergeCell ref="G1751:G1752"/>
    <mergeCell ref="G1753:G1754"/>
    <mergeCell ref="G1755:G1756"/>
    <mergeCell ref="G1757:G1758"/>
    <mergeCell ref="G1759:G1760"/>
    <mergeCell ref="G1761:G1762"/>
    <mergeCell ref="G1763:G1764"/>
    <mergeCell ref="G1765:G1766"/>
    <mergeCell ref="G1767:G1768"/>
    <mergeCell ref="G1769:G1770"/>
    <mergeCell ref="G1771:G1772"/>
    <mergeCell ref="G1773:G1774"/>
    <mergeCell ref="G1775:G1776"/>
    <mergeCell ref="G1777:G1778"/>
    <mergeCell ref="G1779:G1780"/>
    <mergeCell ref="G1781:G1782"/>
    <mergeCell ref="G1783:G1784"/>
    <mergeCell ref="G1785:G1786"/>
    <mergeCell ref="G1787:G1788"/>
    <mergeCell ref="G1789:G1790"/>
    <mergeCell ref="G1791:G1792"/>
    <mergeCell ref="G1793:G1794"/>
    <mergeCell ref="G1795:G1796"/>
    <mergeCell ref="G1797:G1798"/>
    <mergeCell ref="G1799:G1800"/>
    <mergeCell ref="G1801:G1802"/>
    <mergeCell ref="G1803:G1804"/>
    <mergeCell ref="G1805:G1806"/>
    <mergeCell ref="G1807:G1808"/>
    <mergeCell ref="G1809:G1810"/>
    <mergeCell ref="G1811:G1812"/>
    <mergeCell ref="G1813:G1814"/>
    <mergeCell ref="G1815:G1816"/>
    <mergeCell ref="G1817:G1818"/>
    <mergeCell ref="G1819:G1820"/>
    <mergeCell ref="H10:H11"/>
    <mergeCell ref="H12:H13"/>
    <mergeCell ref="H14:H15"/>
    <mergeCell ref="H16:H17"/>
    <mergeCell ref="H18:H19"/>
    <mergeCell ref="H20:H21"/>
    <mergeCell ref="H22:H23"/>
    <mergeCell ref="H24:H25"/>
    <mergeCell ref="H26:H27"/>
    <mergeCell ref="H28:H29"/>
    <mergeCell ref="H30:H31"/>
    <mergeCell ref="H32:H33"/>
    <mergeCell ref="H34:H35"/>
    <mergeCell ref="H36:H37"/>
    <mergeCell ref="H38:H39"/>
    <mergeCell ref="H40:H41"/>
    <mergeCell ref="H42:H43"/>
    <mergeCell ref="H44:H45"/>
    <mergeCell ref="H46:H47"/>
    <mergeCell ref="H48:H49"/>
    <mergeCell ref="H50:H51"/>
    <mergeCell ref="H52:H53"/>
    <mergeCell ref="H54:H55"/>
    <mergeCell ref="H56:H57"/>
    <mergeCell ref="H58:H59"/>
    <mergeCell ref="H60:H61"/>
    <mergeCell ref="H62:H63"/>
    <mergeCell ref="H64:H65"/>
    <mergeCell ref="H66:H67"/>
    <mergeCell ref="H68:H69"/>
    <mergeCell ref="H70:H71"/>
    <mergeCell ref="H72:H73"/>
    <mergeCell ref="H74:H75"/>
    <mergeCell ref="H76:H77"/>
    <mergeCell ref="H78:H79"/>
    <mergeCell ref="H80:H81"/>
    <mergeCell ref="H82:H83"/>
    <mergeCell ref="H84:H85"/>
    <mergeCell ref="H86:H87"/>
    <mergeCell ref="H88:H89"/>
    <mergeCell ref="H90:H91"/>
    <mergeCell ref="H92:H93"/>
    <mergeCell ref="H94:H95"/>
    <mergeCell ref="H96:H97"/>
    <mergeCell ref="H98:H99"/>
    <mergeCell ref="H100:H101"/>
    <mergeCell ref="H102:H103"/>
    <mergeCell ref="H104:H105"/>
    <mergeCell ref="H106:H107"/>
    <mergeCell ref="H108:H109"/>
    <mergeCell ref="H110:H111"/>
    <mergeCell ref="H112:H113"/>
    <mergeCell ref="H114:H115"/>
    <mergeCell ref="H116:H117"/>
    <mergeCell ref="H118:H119"/>
    <mergeCell ref="H120:H121"/>
    <mergeCell ref="H122:H123"/>
    <mergeCell ref="H124:H125"/>
    <mergeCell ref="H126:H127"/>
    <mergeCell ref="H128:H129"/>
    <mergeCell ref="H130:H131"/>
    <mergeCell ref="H132:H133"/>
    <mergeCell ref="H134:H135"/>
    <mergeCell ref="H136:H137"/>
    <mergeCell ref="H138:H139"/>
    <mergeCell ref="H140:H141"/>
    <mergeCell ref="H142:H143"/>
    <mergeCell ref="H144:H145"/>
    <mergeCell ref="H146:H147"/>
    <mergeCell ref="H148:H149"/>
    <mergeCell ref="H150:H151"/>
    <mergeCell ref="H152:H153"/>
    <mergeCell ref="H154:H155"/>
    <mergeCell ref="H156:H157"/>
    <mergeCell ref="H158:H159"/>
    <mergeCell ref="H160:H161"/>
    <mergeCell ref="H162:H163"/>
    <mergeCell ref="H164:H165"/>
    <mergeCell ref="H166:H167"/>
    <mergeCell ref="H168:H169"/>
    <mergeCell ref="H170:H171"/>
    <mergeCell ref="H172:H173"/>
    <mergeCell ref="H174:H175"/>
    <mergeCell ref="H176:H177"/>
    <mergeCell ref="H178:H179"/>
    <mergeCell ref="H180:H181"/>
    <mergeCell ref="H182:H183"/>
    <mergeCell ref="H184:H185"/>
    <mergeCell ref="H186:H187"/>
    <mergeCell ref="H188:H189"/>
    <mergeCell ref="H190:H191"/>
    <mergeCell ref="H192:H193"/>
    <mergeCell ref="H194:H195"/>
    <mergeCell ref="H196:H197"/>
    <mergeCell ref="H198:H199"/>
    <mergeCell ref="H200:H201"/>
    <mergeCell ref="H202:H203"/>
    <mergeCell ref="H204:H205"/>
    <mergeCell ref="H206:H207"/>
    <mergeCell ref="H208:H209"/>
    <mergeCell ref="H210:H211"/>
    <mergeCell ref="H212:H213"/>
    <mergeCell ref="H214:H215"/>
    <mergeCell ref="H216:H217"/>
    <mergeCell ref="H218:H219"/>
    <mergeCell ref="H220:H221"/>
    <mergeCell ref="H222:H223"/>
    <mergeCell ref="H224:H225"/>
    <mergeCell ref="H226:H227"/>
    <mergeCell ref="H228:H229"/>
    <mergeCell ref="H230:H231"/>
    <mergeCell ref="H232:H233"/>
    <mergeCell ref="H234:H235"/>
    <mergeCell ref="H236:H237"/>
    <mergeCell ref="H238:H239"/>
    <mergeCell ref="H240:H241"/>
    <mergeCell ref="H242:H243"/>
    <mergeCell ref="H244:H245"/>
    <mergeCell ref="H246:H247"/>
    <mergeCell ref="H248:H249"/>
    <mergeCell ref="H250:H251"/>
    <mergeCell ref="H252:H253"/>
    <mergeCell ref="H254:H255"/>
    <mergeCell ref="H256:H257"/>
    <mergeCell ref="H258:H259"/>
    <mergeCell ref="H260:H261"/>
    <mergeCell ref="H262:H263"/>
    <mergeCell ref="H264:H265"/>
    <mergeCell ref="H266:H267"/>
    <mergeCell ref="H268:H269"/>
    <mergeCell ref="H270:H271"/>
    <mergeCell ref="H272:H273"/>
    <mergeCell ref="H274:H275"/>
    <mergeCell ref="H276:H277"/>
    <mergeCell ref="H278:H279"/>
    <mergeCell ref="H280:H281"/>
    <mergeCell ref="H282:H283"/>
    <mergeCell ref="H284:H285"/>
    <mergeCell ref="H286:H287"/>
    <mergeCell ref="H288:H289"/>
    <mergeCell ref="H290:H291"/>
    <mergeCell ref="H292:H293"/>
    <mergeCell ref="H294:H295"/>
    <mergeCell ref="H296:H297"/>
    <mergeCell ref="H298:H299"/>
    <mergeCell ref="H300:H301"/>
    <mergeCell ref="H302:H303"/>
    <mergeCell ref="H304:H305"/>
    <mergeCell ref="H306:H307"/>
    <mergeCell ref="H308:H309"/>
    <mergeCell ref="H316:H317"/>
    <mergeCell ref="H318:H319"/>
    <mergeCell ref="H320:H321"/>
    <mergeCell ref="H322:H323"/>
    <mergeCell ref="H324:H325"/>
    <mergeCell ref="H326:H327"/>
    <mergeCell ref="H328:H329"/>
    <mergeCell ref="H330:H331"/>
    <mergeCell ref="H332:H333"/>
    <mergeCell ref="H334:H335"/>
    <mergeCell ref="H336:H337"/>
    <mergeCell ref="H338:H339"/>
    <mergeCell ref="H340:H341"/>
    <mergeCell ref="H342:H343"/>
    <mergeCell ref="H344:H345"/>
    <mergeCell ref="H346:H347"/>
    <mergeCell ref="H348:H349"/>
    <mergeCell ref="H350:H351"/>
    <mergeCell ref="H352:H353"/>
    <mergeCell ref="H354:H355"/>
    <mergeCell ref="H356:H357"/>
    <mergeCell ref="H358:H359"/>
    <mergeCell ref="H360:H361"/>
    <mergeCell ref="H362:H363"/>
    <mergeCell ref="H364:H365"/>
    <mergeCell ref="H366:H367"/>
    <mergeCell ref="H368:H369"/>
    <mergeCell ref="H370:H371"/>
    <mergeCell ref="H372:H373"/>
    <mergeCell ref="H374:H375"/>
    <mergeCell ref="H376:H377"/>
    <mergeCell ref="H378:H379"/>
    <mergeCell ref="H380:H381"/>
    <mergeCell ref="H382:H383"/>
    <mergeCell ref="H384:H385"/>
    <mergeCell ref="H386:H387"/>
    <mergeCell ref="H388:H389"/>
    <mergeCell ref="H390:H391"/>
    <mergeCell ref="H392:H393"/>
    <mergeCell ref="H394:H395"/>
    <mergeCell ref="H396:H397"/>
    <mergeCell ref="H398:H399"/>
    <mergeCell ref="H400:H401"/>
    <mergeCell ref="H402:H403"/>
    <mergeCell ref="H404:H405"/>
    <mergeCell ref="H406:H407"/>
    <mergeCell ref="H408:H409"/>
    <mergeCell ref="H410:H411"/>
    <mergeCell ref="H412:H413"/>
    <mergeCell ref="H414:H415"/>
    <mergeCell ref="H416:H417"/>
    <mergeCell ref="H418:H419"/>
    <mergeCell ref="H420:H421"/>
    <mergeCell ref="H422:H423"/>
    <mergeCell ref="H424:H425"/>
    <mergeCell ref="H426:H427"/>
    <mergeCell ref="H428:H429"/>
    <mergeCell ref="H430:H431"/>
    <mergeCell ref="H432:H433"/>
    <mergeCell ref="H434:H435"/>
    <mergeCell ref="H436:H437"/>
    <mergeCell ref="H438:H439"/>
    <mergeCell ref="H440:H441"/>
    <mergeCell ref="H442:H443"/>
    <mergeCell ref="H444:H445"/>
    <mergeCell ref="H446:H447"/>
    <mergeCell ref="H448:H449"/>
    <mergeCell ref="H450:H451"/>
    <mergeCell ref="H452:H453"/>
    <mergeCell ref="H454:H455"/>
    <mergeCell ref="H456:H457"/>
    <mergeCell ref="H458:H459"/>
    <mergeCell ref="H460:H461"/>
    <mergeCell ref="H462:H463"/>
    <mergeCell ref="H464:H465"/>
    <mergeCell ref="H466:H467"/>
    <mergeCell ref="H468:H469"/>
    <mergeCell ref="H470:H471"/>
    <mergeCell ref="H472:H473"/>
    <mergeCell ref="H474:H475"/>
    <mergeCell ref="H476:H477"/>
    <mergeCell ref="H478:H479"/>
    <mergeCell ref="H480:H481"/>
    <mergeCell ref="H482:H483"/>
    <mergeCell ref="H484:H485"/>
    <mergeCell ref="H486:H487"/>
    <mergeCell ref="H488:H489"/>
    <mergeCell ref="H490:H491"/>
    <mergeCell ref="H492:H493"/>
    <mergeCell ref="H494:H495"/>
    <mergeCell ref="H496:H497"/>
    <mergeCell ref="H498:H499"/>
    <mergeCell ref="H500:H501"/>
    <mergeCell ref="H502:H503"/>
    <mergeCell ref="H504:H505"/>
    <mergeCell ref="H506:H507"/>
    <mergeCell ref="H508:H509"/>
    <mergeCell ref="H510:H511"/>
    <mergeCell ref="H512:H513"/>
    <mergeCell ref="H514:H515"/>
    <mergeCell ref="H516:H517"/>
    <mergeCell ref="H518:H519"/>
    <mergeCell ref="H520:H521"/>
    <mergeCell ref="H522:H523"/>
    <mergeCell ref="H524:H525"/>
    <mergeCell ref="H526:H527"/>
    <mergeCell ref="H528:H529"/>
    <mergeCell ref="H530:H531"/>
    <mergeCell ref="H532:H533"/>
    <mergeCell ref="H534:H535"/>
    <mergeCell ref="H536:H537"/>
    <mergeCell ref="H538:H539"/>
    <mergeCell ref="H540:H541"/>
    <mergeCell ref="H542:H543"/>
    <mergeCell ref="H544:H545"/>
    <mergeCell ref="H546:H547"/>
    <mergeCell ref="H548:H549"/>
    <mergeCell ref="H550:H551"/>
    <mergeCell ref="H552:H553"/>
    <mergeCell ref="H554:H555"/>
    <mergeCell ref="H556:H557"/>
    <mergeCell ref="H558:H559"/>
    <mergeCell ref="H560:H561"/>
    <mergeCell ref="H562:H563"/>
    <mergeCell ref="H564:H565"/>
    <mergeCell ref="H566:H567"/>
    <mergeCell ref="H568:H569"/>
    <mergeCell ref="H570:H571"/>
    <mergeCell ref="H572:H573"/>
    <mergeCell ref="H574:H575"/>
    <mergeCell ref="H576:H577"/>
    <mergeCell ref="H578:H579"/>
    <mergeCell ref="H580:H581"/>
    <mergeCell ref="H582:H583"/>
    <mergeCell ref="H584:H585"/>
    <mergeCell ref="H586:H587"/>
    <mergeCell ref="H588:H589"/>
    <mergeCell ref="H590:H591"/>
    <mergeCell ref="H592:H593"/>
    <mergeCell ref="H594:H595"/>
    <mergeCell ref="H596:H597"/>
    <mergeCell ref="H598:H599"/>
    <mergeCell ref="H600:H601"/>
    <mergeCell ref="H602:H603"/>
    <mergeCell ref="H604:H605"/>
    <mergeCell ref="H606:H607"/>
    <mergeCell ref="H608:H609"/>
    <mergeCell ref="H610:H611"/>
    <mergeCell ref="H612:H613"/>
    <mergeCell ref="H614:H615"/>
    <mergeCell ref="H621:H622"/>
    <mergeCell ref="H623:H624"/>
    <mergeCell ref="H625:H626"/>
    <mergeCell ref="H627:H628"/>
    <mergeCell ref="H629:H630"/>
    <mergeCell ref="H631:H632"/>
    <mergeCell ref="H633:H634"/>
    <mergeCell ref="H635:H636"/>
    <mergeCell ref="H637:H638"/>
    <mergeCell ref="H639:H640"/>
    <mergeCell ref="H641:H642"/>
    <mergeCell ref="H643:H644"/>
    <mergeCell ref="H645:H646"/>
    <mergeCell ref="H647:H648"/>
    <mergeCell ref="H649:H650"/>
    <mergeCell ref="H651:H652"/>
    <mergeCell ref="H653:H654"/>
    <mergeCell ref="H655:H656"/>
    <mergeCell ref="H657:H658"/>
    <mergeCell ref="H659:H660"/>
    <mergeCell ref="H661:H662"/>
    <mergeCell ref="H663:H664"/>
    <mergeCell ref="H665:H666"/>
    <mergeCell ref="H667:H668"/>
    <mergeCell ref="H669:H670"/>
    <mergeCell ref="H671:H672"/>
    <mergeCell ref="H673:H674"/>
    <mergeCell ref="H675:H676"/>
    <mergeCell ref="H677:H678"/>
    <mergeCell ref="H679:H680"/>
    <mergeCell ref="H681:H682"/>
    <mergeCell ref="H683:H684"/>
    <mergeCell ref="H685:H686"/>
    <mergeCell ref="H687:H688"/>
    <mergeCell ref="H689:H690"/>
    <mergeCell ref="H691:H692"/>
    <mergeCell ref="H693:H694"/>
    <mergeCell ref="H695:H696"/>
    <mergeCell ref="H697:H698"/>
    <mergeCell ref="H699:H700"/>
    <mergeCell ref="H701:H702"/>
    <mergeCell ref="H703:H704"/>
    <mergeCell ref="H705:H706"/>
    <mergeCell ref="H707:H708"/>
    <mergeCell ref="H709:H710"/>
    <mergeCell ref="H711:H712"/>
    <mergeCell ref="H713:H714"/>
    <mergeCell ref="H715:H716"/>
    <mergeCell ref="H717:H718"/>
    <mergeCell ref="H719:H720"/>
    <mergeCell ref="H721:H722"/>
    <mergeCell ref="H723:H724"/>
    <mergeCell ref="H725:H726"/>
    <mergeCell ref="H727:H728"/>
    <mergeCell ref="H729:H730"/>
    <mergeCell ref="H731:H732"/>
    <mergeCell ref="H733:H734"/>
    <mergeCell ref="H735:H736"/>
    <mergeCell ref="H737:H738"/>
    <mergeCell ref="H739:H740"/>
    <mergeCell ref="H741:H742"/>
    <mergeCell ref="H743:H744"/>
    <mergeCell ref="H745:H746"/>
    <mergeCell ref="H747:H748"/>
    <mergeCell ref="H749:H750"/>
    <mergeCell ref="H751:H752"/>
    <mergeCell ref="H753:H754"/>
    <mergeCell ref="H755:H756"/>
    <mergeCell ref="H757:H758"/>
    <mergeCell ref="H759:H760"/>
    <mergeCell ref="H761:H762"/>
    <mergeCell ref="H763:H764"/>
    <mergeCell ref="H765:H766"/>
    <mergeCell ref="H767:H768"/>
    <mergeCell ref="H769:H770"/>
    <mergeCell ref="H771:H772"/>
    <mergeCell ref="H773:H774"/>
    <mergeCell ref="H775:H776"/>
    <mergeCell ref="H777:H778"/>
    <mergeCell ref="H779:H780"/>
    <mergeCell ref="H781:H782"/>
    <mergeCell ref="H783:H784"/>
    <mergeCell ref="H785:H786"/>
    <mergeCell ref="H787:H788"/>
    <mergeCell ref="H789:H790"/>
    <mergeCell ref="H791:H792"/>
    <mergeCell ref="H793:H794"/>
    <mergeCell ref="H795:H796"/>
    <mergeCell ref="H797:H798"/>
    <mergeCell ref="H799:H800"/>
    <mergeCell ref="H801:H802"/>
    <mergeCell ref="H803:H804"/>
    <mergeCell ref="H805:H806"/>
    <mergeCell ref="H807:H808"/>
    <mergeCell ref="H809:H810"/>
    <mergeCell ref="H811:H812"/>
    <mergeCell ref="H813:H814"/>
    <mergeCell ref="H815:H816"/>
    <mergeCell ref="H817:H818"/>
    <mergeCell ref="H819:H820"/>
    <mergeCell ref="H821:H822"/>
    <mergeCell ref="H823:H824"/>
    <mergeCell ref="H825:H826"/>
    <mergeCell ref="H827:H828"/>
    <mergeCell ref="H829:H830"/>
    <mergeCell ref="H831:H832"/>
    <mergeCell ref="H833:H834"/>
    <mergeCell ref="H835:H836"/>
    <mergeCell ref="H837:H838"/>
    <mergeCell ref="H839:H840"/>
    <mergeCell ref="H841:H842"/>
    <mergeCell ref="H843:H844"/>
    <mergeCell ref="H845:H846"/>
    <mergeCell ref="H847:H848"/>
    <mergeCell ref="H849:H850"/>
    <mergeCell ref="H851:H852"/>
    <mergeCell ref="H853:H854"/>
    <mergeCell ref="H855:H856"/>
    <mergeCell ref="H857:H858"/>
    <mergeCell ref="H859:H860"/>
    <mergeCell ref="H861:H862"/>
    <mergeCell ref="H863:H864"/>
    <mergeCell ref="H865:H866"/>
    <mergeCell ref="H867:H868"/>
    <mergeCell ref="H869:H870"/>
    <mergeCell ref="H871:H872"/>
    <mergeCell ref="H873:H874"/>
    <mergeCell ref="H875:H876"/>
    <mergeCell ref="H877:H878"/>
    <mergeCell ref="H879:H880"/>
    <mergeCell ref="H881:H882"/>
    <mergeCell ref="H883:H884"/>
    <mergeCell ref="H885:H886"/>
    <mergeCell ref="H887:H888"/>
    <mergeCell ref="H889:H890"/>
    <mergeCell ref="H891:H892"/>
    <mergeCell ref="H893:H894"/>
    <mergeCell ref="H895:H896"/>
    <mergeCell ref="H897:H898"/>
    <mergeCell ref="H899:H900"/>
    <mergeCell ref="H901:H902"/>
    <mergeCell ref="H903:H904"/>
    <mergeCell ref="H905:H906"/>
    <mergeCell ref="H907:H908"/>
    <mergeCell ref="H909:H910"/>
    <mergeCell ref="H911:H912"/>
    <mergeCell ref="H913:H914"/>
    <mergeCell ref="H915:H916"/>
    <mergeCell ref="H917:H918"/>
    <mergeCell ref="H919:H920"/>
    <mergeCell ref="H921:H922"/>
    <mergeCell ref="H923:H924"/>
    <mergeCell ref="H925:H926"/>
    <mergeCell ref="H927:H928"/>
    <mergeCell ref="H929:H930"/>
    <mergeCell ref="H931:H932"/>
    <mergeCell ref="H933:H934"/>
    <mergeCell ref="H935:H936"/>
    <mergeCell ref="H937:H938"/>
    <mergeCell ref="H939:H940"/>
    <mergeCell ref="H941:H942"/>
    <mergeCell ref="H943:H944"/>
    <mergeCell ref="H945:H946"/>
    <mergeCell ref="H947:H948"/>
    <mergeCell ref="H949:H950"/>
    <mergeCell ref="H951:H952"/>
    <mergeCell ref="H953:H954"/>
    <mergeCell ref="H955:H956"/>
    <mergeCell ref="H957:H958"/>
    <mergeCell ref="H959:H960"/>
    <mergeCell ref="H961:H962"/>
    <mergeCell ref="H963:H964"/>
    <mergeCell ref="H965:H966"/>
    <mergeCell ref="H967:H968"/>
    <mergeCell ref="H969:H970"/>
    <mergeCell ref="H971:H972"/>
    <mergeCell ref="H973:H974"/>
    <mergeCell ref="H975:H976"/>
    <mergeCell ref="H977:H978"/>
    <mergeCell ref="H979:H980"/>
    <mergeCell ref="H981:H982"/>
    <mergeCell ref="H983:H984"/>
    <mergeCell ref="H985:H986"/>
    <mergeCell ref="H987:H988"/>
    <mergeCell ref="H989:H990"/>
    <mergeCell ref="H991:H992"/>
    <mergeCell ref="H993:H994"/>
    <mergeCell ref="H995:H996"/>
    <mergeCell ref="H997:H998"/>
    <mergeCell ref="H999:H1000"/>
    <mergeCell ref="H1001:H1002"/>
    <mergeCell ref="H1003:H1004"/>
    <mergeCell ref="H1005:H1006"/>
    <mergeCell ref="H1007:H1008"/>
    <mergeCell ref="H1009:H1010"/>
    <mergeCell ref="H1011:H1012"/>
    <mergeCell ref="H1013:H1014"/>
    <mergeCell ref="H1015:H1016"/>
    <mergeCell ref="H1017:H1018"/>
    <mergeCell ref="H1019:H1020"/>
    <mergeCell ref="H1021:H1022"/>
    <mergeCell ref="H1023:H1024"/>
    <mergeCell ref="H1025:H1026"/>
    <mergeCell ref="H1027:H1028"/>
    <mergeCell ref="H1029:H1030"/>
    <mergeCell ref="H1031:H1032"/>
    <mergeCell ref="H1033:H1034"/>
    <mergeCell ref="H1035:H1036"/>
    <mergeCell ref="H1037:H1038"/>
    <mergeCell ref="H1039:H1040"/>
    <mergeCell ref="H1041:H1042"/>
    <mergeCell ref="H1043:H1044"/>
    <mergeCell ref="H1045:H1046"/>
    <mergeCell ref="H1047:H1048"/>
    <mergeCell ref="H1049:H1050"/>
    <mergeCell ref="H1051:H1052"/>
    <mergeCell ref="H1053:H1054"/>
    <mergeCell ref="H1055:H1056"/>
    <mergeCell ref="H1057:H1058"/>
    <mergeCell ref="H1059:H1060"/>
    <mergeCell ref="H1061:H1062"/>
    <mergeCell ref="H1063:H1064"/>
    <mergeCell ref="H1065:H1066"/>
    <mergeCell ref="H1067:H1068"/>
    <mergeCell ref="H1069:H1070"/>
    <mergeCell ref="H1071:H1072"/>
    <mergeCell ref="H1073:H1074"/>
    <mergeCell ref="H1075:H1076"/>
    <mergeCell ref="H1077:H1078"/>
    <mergeCell ref="H1079:H1080"/>
    <mergeCell ref="H1081:H1082"/>
    <mergeCell ref="H1083:H1084"/>
    <mergeCell ref="H1085:H1086"/>
    <mergeCell ref="H1087:H1088"/>
    <mergeCell ref="H1089:H1090"/>
    <mergeCell ref="H1091:H1092"/>
    <mergeCell ref="H1093:H1094"/>
    <mergeCell ref="H1095:H1096"/>
    <mergeCell ref="H1097:H1098"/>
    <mergeCell ref="H1099:H1100"/>
    <mergeCell ref="H1101:H1102"/>
    <mergeCell ref="H1103:H1104"/>
    <mergeCell ref="H1105:H1106"/>
    <mergeCell ref="H1107:H1108"/>
    <mergeCell ref="H1109:H1110"/>
    <mergeCell ref="H1111:H1112"/>
    <mergeCell ref="H1113:H1114"/>
    <mergeCell ref="H1115:H1116"/>
    <mergeCell ref="H1117:H1118"/>
    <mergeCell ref="H1119:H1120"/>
    <mergeCell ref="H1121:H1122"/>
    <mergeCell ref="H1123:H1124"/>
    <mergeCell ref="H1125:H1126"/>
    <mergeCell ref="H1127:H1128"/>
    <mergeCell ref="H1129:H1130"/>
    <mergeCell ref="H1131:H1132"/>
    <mergeCell ref="H1133:H1134"/>
    <mergeCell ref="H1135:H1136"/>
    <mergeCell ref="H1137:H1138"/>
    <mergeCell ref="H1139:H1140"/>
    <mergeCell ref="H1141:H1142"/>
    <mergeCell ref="H1143:H1144"/>
    <mergeCell ref="H1145:H1146"/>
    <mergeCell ref="H1147:H1148"/>
    <mergeCell ref="H1149:H1150"/>
    <mergeCell ref="H1151:H1152"/>
    <mergeCell ref="H1153:H1154"/>
    <mergeCell ref="H1155:H1156"/>
    <mergeCell ref="H1157:H1158"/>
    <mergeCell ref="H1159:H1160"/>
    <mergeCell ref="H1161:H1162"/>
    <mergeCell ref="H1163:H1164"/>
    <mergeCell ref="H1165:H1166"/>
    <mergeCell ref="H1167:H1168"/>
    <mergeCell ref="H1169:H1170"/>
    <mergeCell ref="H1171:H1172"/>
    <mergeCell ref="H1173:H1174"/>
    <mergeCell ref="H1175:H1176"/>
    <mergeCell ref="H1177:H1178"/>
    <mergeCell ref="H1179:H1180"/>
    <mergeCell ref="H1181:H1182"/>
    <mergeCell ref="H1183:H1184"/>
    <mergeCell ref="H1185:H1186"/>
    <mergeCell ref="H1187:H1188"/>
    <mergeCell ref="H1189:H1190"/>
    <mergeCell ref="H1191:H1192"/>
    <mergeCell ref="H1193:H1194"/>
    <mergeCell ref="H1195:H1196"/>
    <mergeCell ref="H1197:H1198"/>
    <mergeCell ref="H1199:H1200"/>
    <mergeCell ref="H1201:H1202"/>
    <mergeCell ref="H1203:H1204"/>
    <mergeCell ref="H1205:H1206"/>
    <mergeCell ref="H1207:H1208"/>
    <mergeCell ref="H1209:H1210"/>
    <mergeCell ref="H1211:H1212"/>
    <mergeCell ref="H1213:H1214"/>
    <mergeCell ref="H1215:H1216"/>
    <mergeCell ref="H1217:H1218"/>
    <mergeCell ref="H1219:H1220"/>
    <mergeCell ref="H1221:H1222"/>
    <mergeCell ref="H1223:H1224"/>
    <mergeCell ref="H1225:H1226"/>
    <mergeCell ref="H1227:H1228"/>
    <mergeCell ref="H1229:H1230"/>
    <mergeCell ref="H1231:H1232"/>
    <mergeCell ref="H1233:H1234"/>
    <mergeCell ref="H1235:H1236"/>
    <mergeCell ref="H1237:H1238"/>
    <mergeCell ref="H1239:H1240"/>
    <mergeCell ref="H1241:H1242"/>
    <mergeCell ref="H1243:H1244"/>
    <mergeCell ref="H1245:H1246"/>
    <mergeCell ref="H1247:H1248"/>
    <mergeCell ref="H1249:H1250"/>
    <mergeCell ref="H1251:H1252"/>
    <mergeCell ref="H1253:H1254"/>
    <mergeCell ref="H1255:H1256"/>
    <mergeCell ref="H1257:H1258"/>
    <mergeCell ref="H1259:H1260"/>
    <mergeCell ref="H1261:H1262"/>
    <mergeCell ref="H1263:H1264"/>
    <mergeCell ref="H1265:H1266"/>
    <mergeCell ref="H1267:H1268"/>
    <mergeCell ref="H1269:H1270"/>
    <mergeCell ref="H1271:H1272"/>
    <mergeCell ref="H1273:H1274"/>
    <mergeCell ref="H1275:H1276"/>
    <mergeCell ref="H1277:H1278"/>
    <mergeCell ref="H1279:H1280"/>
    <mergeCell ref="H1281:H1282"/>
    <mergeCell ref="H1283:H1284"/>
    <mergeCell ref="H1285:H1286"/>
    <mergeCell ref="H1287:H1288"/>
    <mergeCell ref="H1289:H1290"/>
    <mergeCell ref="H1291:H1292"/>
    <mergeCell ref="H1293:H1294"/>
    <mergeCell ref="H1295:H1296"/>
    <mergeCell ref="H1297:H1298"/>
    <mergeCell ref="H1299:H1300"/>
    <mergeCell ref="H1301:H1302"/>
    <mergeCell ref="H1303:H1304"/>
    <mergeCell ref="H1305:H1306"/>
    <mergeCell ref="H1307:H1308"/>
    <mergeCell ref="H1309:H1310"/>
    <mergeCell ref="H1311:H1312"/>
    <mergeCell ref="H1313:H1314"/>
    <mergeCell ref="H1315:H1316"/>
    <mergeCell ref="H1317:H1318"/>
    <mergeCell ref="H1319:H1320"/>
    <mergeCell ref="H1321:H1322"/>
    <mergeCell ref="H1323:H1324"/>
    <mergeCell ref="H1325:H1326"/>
    <mergeCell ref="H1327:H1328"/>
    <mergeCell ref="H1329:H1330"/>
    <mergeCell ref="H1331:H1332"/>
    <mergeCell ref="H1333:H1334"/>
    <mergeCell ref="H1335:H1336"/>
    <mergeCell ref="H1337:H1338"/>
    <mergeCell ref="H1339:H1340"/>
    <mergeCell ref="H1341:H1342"/>
    <mergeCell ref="H1343:H1344"/>
    <mergeCell ref="H1345:H1346"/>
    <mergeCell ref="H1347:H1348"/>
    <mergeCell ref="H1349:H1350"/>
    <mergeCell ref="H1351:H1352"/>
    <mergeCell ref="H1353:H1354"/>
    <mergeCell ref="H1355:H1356"/>
    <mergeCell ref="H1357:H1358"/>
    <mergeCell ref="H1359:H1360"/>
    <mergeCell ref="H1361:H1362"/>
    <mergeCell ref="H1363:H1364"/>
    <mergeCell ref="H1365:H1366"/>
    <mergeCell ref="H1367:H1368"/>
    <mergeCell ref="H1369:H1370"/>
    <mergeCell ref="H1371:H1372"/>
    <mergeCell ref="H1373:H1374"/>
    <mergeCell ref="H1375:H1376"/>
    <mergeCell ref="H1377:H1378"/>
    <mergeCell ref="H1379:H1380"/>
    <mergeCell ref="H1381:H1382"/>
    <mergeCell ref="H1383:H1384"/>
    <mergeCell ref="H1385:H1386"/>
    <mergeCell ref="H1387:H1388"/>
    <mergeCell ref="H1389:H1390"/>
    <mergeCell ref="H1391:H1392"/>
    <mergeCell ref="H1393:H1394"/>
    <mergeCell ref="H1395:H1396"/>
    <mergeCell ref="H1397:H1398"/>
    <mergeCell ref="H1399:H1400"/>
    <mergeCell ref="H1401:H1402"/>
    <mergeCell ref="H1403:H1404"/>
    <mergeCell ref="H1405:H1406"/>
    <mergeCell ref="H1407:H1408"/>
    <mergeCell ref="H1409:H1410"/>
    <mergeCell ref="H1411:H1412"/>
    <mergeCell ref="H1413:H1414"/>
    <mergeCell ref="H1415:H1416"/>
    <mergeCell ref="H1417:H1418"/>
    <mergeCell ref="H1419:H1420"/>
    <mergeCell ref="H1421:H1422"/>
    <mergeCell ref="H1423:H1424"/>
    <mergeCell ref="H1425:H1426"/>
    <mergeCell ref="H1427:H1428"/>
    <mergeCell ref="H1429:H1430"/>
    <mergeCell ref="H1431:H1432"/>
    <mergeCell ref="H1433:H1434"/>
    <mergeCell ref="H1435:H1436"/>
    <mergeCell ref="H1437:H1438"/>
    <mergeCell ref="H1439:H1440"/>
    <mergeCell ref="H1441:H1442"/>
    <mergeCell ref="H1443:H1444"/>
    <mergeCell ref="H1445:H1446"/>
    <mergeCell ref="H1447:H1448"/>
    <mergeCell ref="H1449:H1450"/>
    <mergeCell ref="H1451:H1452"/>
    <mergeCell ref="H1453:H1454"/>
    <mergeCell ref="H1455:H1456"/>
    <mergeCell ref="H1457:H1458"/>
    <mergeCell ref="H1459:H1460"/>
    <mergeCell ref="H1461:H1462"/>
    <mergeCell ref="H1463:H1464"/>
    <mergeCell ref="H1465:H1466"/>
    <mergeCell ref="H1467:H1468"/>
    <mergeCell ref="H1469:H1470"/>
    <mergeCell ref="H1471:H1472"/>
    <mergeCell ref="H1473:H1474"/>
    <mergeCell ref="H1475:H1476"/>
    <mergeCell ref="H1477:H1478"/>
    <mergeCell ref="H1479:H1480"/>
    <mergeCell ref="H1481:H1482"/>
    <mergeCell ref="H1483:H1484"/>
    <mergeCell ref="H1485:H1486"/>
    <mergeCell ref="H1487:H1488"/>
    <mergeCell ref="H1489:H1490"/>
    <mergeCell ref="H1491:H1492"/>
    <mergeCell ref="H1493:H1494"/>
    <mergeCell ref="H1495:H1496"/>
    <mergeCell ref="H1497:H1498"/>
    <mergeCell ref="H1499:H1500"/>
    <mergeCell ref="H1501:H1502"/>
    <mergeCell ref="H1503:H1504"/>
    <mergeCell ref="H1505:H1506"/>
    <mergeCell ref="H1507:H1508"/>
    <mergeCell ref="H1509:H1510"/>
    <mergeCell ref="H1511:H1512"/>
    <mergeCell ref="H1513:H1514"/>
    <mergeCell ref="H1515:H1516"/>
    <mergeCell ref="H1517:H1518"/>
    <mergeCell ref="H1519:H1520"/>
    <mergeCell ref="H1521:H1522"/>
    <mergeCell ref="H1523:H1524"/>
    <mergeCell ref="H1525:H1526"/>
    <mergeCell ref="H1527:H1528"/>
    <mergeCell ref="H1529:H1530"/>
    <mergeCell ref="H1531:H1532"/>
    <mergeCell ref="H1533:H1534"/>
    <mergeCell ref="H1535:H1536"/>
    <mergeCell ref="H1537:H1538"/>
    <mergeCell ref="H1539:H1540"/>
    <mergeCell ref="H1541:H1542"/>
    <mergeCell ref="H1543:H1544"/>
    <mergeCell ref="H1545:H1546"/>
    <mergeCell ref="H1547:H1548"/>
    <mergeCell ref="H1549:H1550"/>
    <mergeCell ref="H1551:H1552"/>
    <mergeCell ref="H1553:H1554"/>
    <mergeCell ref="H1555:H1556"/>
    <mergeCell ref="H1557:H1558"/>
    <mergeCell ref="H1559:H1560"/>
    <mergeCell ref="H1561:H1562"/>
    <mergeCell ref="H1563:H1564"/>
    <mergeCell ref="H1565:H1566"/>
    <mergeCell ref="H1567:H1568"/>
    <mergeCell ref="H1569:H1570"/>
    <mergeCell ref="H1571:H1572"/>
    <mergeCell ref="H1573:H1574"/>
    <mergeCell ref="H1575:H1576"/>
    <mergeCell ref="H1577:H1578"/>
    <mergeCell ref="H1579:H1580"/>
    <mergeCell ref="H1581:H1582"/>
    <mergeCell ref="H1583:H1584"/>
    <mergeCell ref="H1585:H1586"/>
    <mergeCell ref="H1587:H1588"/>
    <mergeCell ref="H1589:H1590"/>
    <mergeCell ref="H1591:H1592"/>
    <mergeCell ref="H1593:H1594"/>
    <mergeCell ref="H1595:H1596"/>
    <mergeCell ref="H1597:H1598"/>
    <mergeCell ref="H1599:H1600"/>
    <mergeCell ref="H1601:H1602"/>
    <mergeCell ref="H1603:H1604"/>
    <mergeCell ref="H1605:H1606"/>
    <mergeCell ref="H1607:H1608"/>
    <mergeCell ref="H1609:H1610"/>
    <mergeCell ref="H1611:H1612"/>
    <mergeCell ref="H1613:H1614"/>
    <mergeCell ref="H1615:H1616"/>
    <mergeCell ref="H1617:H1618"/>
    <mergeCell ref="H1619:H1620"/>
    <mergeCell ref="H1621:H1622"/>
    <mergeCell ref="H1623:H1624"/>
    <mergeCell ref="H1625:H1626"/>
    <mergeCell ref="H1627:H1628"/>
    <mergeCell ref="H1629:H1630"/>
    <mergeCell ref="H1631:H1632"/>
    <mergeCell ref="H1633:H1634"/>
    <mergeCell ref="H1635:H1636"/>
    <mergeCell ref="H1637:H1638"/>
    <mergeCell ref="H1639:H1640"/>
    <mergeCell ref="H1641:H1642"/>
    <mergeCell ref="H1643:H1644"/>
    <mergeCell ref="H1645:H1646"/>
    <mergeCell ref="H1647:H1648"/>
    <mergeCell ref="H1649:H1650"/>
    <mergeCell ref="H1651:H1652"/>
    <mergeCell ref="H1653:H1654"/>
    <mergeCell ref="H1655:H1656"/>
    <mergeCell ref="H1657:H1658"/>
    <mergeCell ref="H1659:H1660"/>
    <mergeCell ref="H1661:H1662"/>
    <mergeCell ref="H1663:H1664"/>
    <mergeCell ref="H1665:H1666"/>
    <mergeCell ref="H1667:H1668"/>
    <mergeCell ref="H1669:H1670"/>
    <mergeCell ref="H1671:H1672"/>
    <mergeCell ref="H1673:H1674"/>
    <mergeCell ref="H1675:H1676"/>
    <mergeCell ref="H1677:H1678"/>
    <mergeCell ref="H1679:H1680"/>
    <mergeCell ref="H1681:H1682"/>
    <mergeCell ref="H1683:H1684"/>
    <mergeCell ref="H1685:H1686"/>
    <mergeCell ref="H1687:H1688"/>
    <mergeCell ref="H1689:H1690"/>
    <mergeCell ref="H1691:H1692"/>
    <mergeCell ref="H1693:H1694"/>
    <mergeCell ref="H1695:H1696"/>
    <mergeCell ref="H1697:H1698"/>
    <mergeCell ref="H1699:H1700"/>
    <mergeCell ref="H1701:H1702"/>
    <mergeCell ref="H1703:H1704"/>
    <mergeCell ref="H1705:H1706"/>
    <mergeCell ref="H1707:H1708"/>
    <mergeCell ref="H1709:H1710"/>
    <mergeCell ref="H1711:H1712"/>
    <mergeCell ref="H1713:H1714"/>
    <mergeCell ref="H1715:H1716"/>
    <mergeCell ref="H1717:H1718"/>
    <mergeCell ref="H1719:H1720"/>
    <mergeCell ref="H1721:H1722"/>
    <mergeCell ref="H1723:H1724"/>
    <mergeCell ref="H1725:H1726"/>
    <mergeCell ref="H1727:H1728"/>
    <mergeCell ref="H1729:H1730"/>
    <mergeCell ref="H1731:H1732"/>
    <mergeCell ref="H1733:H1734"/>
    <mergeCell ref="H1735:H1736"/>
    <mergeCell ref="H1737:H1738"/>
    <mergeCell ref="H1739:H1740"/>
    <mergeCell ref="H1741:H1742"/>
    <mergeCell ref="H1743:H1744"/>
    <mergeCell ref="H1745:H1746"/>
    <mergeCell ref="H1747:H1748"/>
    <mergeCell ref="H1749:H1750"/>
    <mergeCell ref="H1751:H1752"/>
    <mergeCell ref="H1753:H1754"/>
    <mergeCell ref="H1755:H1756"/>
    <mergeCell ref="H1757:H1758"/>
    <mergeCell ref="H1759:H1760"/>
    <mergeCell ref="H1761:H1762"/>
    <mergeCell ref="H1763:H1764"/>
    <mergeCell ref="H1765:H1766"/>
    <mergeCell ref="H1767:H1768"/>
    <mergeCell ref="H1769:H1770"/>
    <mergeCell ref="H1771:H1772"/>
    <mergeCell ref="H1773:H1774"/>
    <mergeCell ref="H1775:H1776"/>
    <mergeCell ref="H1777:H1778"/>
    <mergeCell ref="H1779:H1780"/>
    <mergeCell ref="H1781:H1782"/>
    <mergeCell ref="H1783:H1784"/>
    <mergeCell ref="H1785:H1786"/>
    <mergeCell ref="H1787:H1788"/>
    <mergeCell ref="H1789:H1790"/>
    <mergeCell ref="H1791:H1792"/>
    <mergeCell ref="H1793:H1794"/>
    <mergeCell ref="H1795:H1796"/>
    <mergeCell ref="H1797:H1798"/>
    <mergeCell ref="H1799:H1800"/>
    <mergeCell ref="H1801:H1802"/>
    <mergeCell ref="H1803:H1804"/>
    <mergeCell ref="H1805:H1806"/>
    <mergeCell ref="H1807:H1808"/>
    <mergeCell ref="H1809:H1810"/>
    <mergeCell ref="H1811:H1812"/>
    <mergeCell ref="H1813:H1814"/>
    <mergeCell ref="H1815:H1816"/>
    <mergeCell ref="H1817:H1818"/>
    <mergeCell ref="H1819:H1820"/>
    <mergeCell ref="I10:I11"/>
    <mergeCell ref="I12:I13"/>
    <mergeCell ref="I14:I15"/>
    <mergeCell ref="I16:I17"/>
    <mergeCell ref="I18:I19"/>
    <mergeCell ref="I20:I21"/>
    <mergeCell ref="I22:I23"/>
    <mergeCell ref="I24:I25"/>
    <mergeCell ref="I26:I27"/>
    <mergeCell ref="I28:I29"/>
    <mergeCell ref="I30:I31"/>
    <mergeCell ref="I32:I33"/>
    <mergeCell ref="I34:I35"/>
    <mergeCell ref="I36:I37"/>
    <mergeCell ref="I38:I39"/>
    <mergeCell ref="I40:I41"/>
    <mergeCell ref="I42:I43"/>
    <mergeCell ref="I44:I45"/>
    <mergeCell ref="I46:I47"/>
    <mergeCell ref="I48:I49"/>
    <mergeCell ref="I50:I51"/>
    <mergeCell ref="I52:I53"/>
    <mergeCell ref="I54:I55"/>
    <mergeCell ref="I56:I57"/>
    <mergeCell ref="I58:I59"/>
    <mergeCell ref="I60:I61"/>
    <mergeCell ref="I62:I63"/>
    <mergeCell ref="I64:I65"/>
    <mergeCell ref="I66:I67"/>
    <mergeCell ref="I68:I69"/>
    <mergeCell ref="I70:I71"/>
    <mergeCell ref="I72:I73"/>
    <mergeCell ref="I74:I75"/>
    <mergeCell ref="I76:I77"/>
    <mergeCell ref="I78:I79"/>
    <mergeCell ref="I80:I81"/>
    <mergeCell ref="I82:I83"/>
    <mergeCell ref="I84:I85"/>
    <mergeCell ref="I86:I87"/>
    <mergeCell ref="I88:I89"/>
    <mergeCell ref="I90:I91"/>
    <mergeCell ref="I92:I93"/>
    <mergeCell ref="I94:I95"/>
    <mergeCell ref="I96:I97"/>
    <mergeCell ref="I98:I99"/>
    <mergeCell ref="I100:I101"/>
    <mergeCell ref="I102:I103"/>
    <mergeCell ref="I104:I105"/>
    <mergeCell ref="I106:I107"/>
    <mergeCell ref="I108:I109"/>
    <mergeCell ref="I110:I111"/>
    <mergeCell ref="I112:I113"/>
    <mergeCell ref="I114:I115"/>
    <mergeCell ref="I116:I117"/>
    <mergeCell ref="I118:I119"/>
    <mergeCell ref="I120:I121"/>
    <mergeCell ref="I122:I123"/>
    <mergeCell ref="I124:I125"/>
    <mergeCell ref="I126:I127"/>
    <mergeCell ref="I128:I129"/>
    <mergeCell ref="I130:I131"/>
    <mergeCell ref="I132:I133"/>
    <mergeCell ref="I134:I135"/>
    <mergeCell ref="I136:I137"/>
    <mergeCell ref="I138:I139"/>
    <mergeCell ref="I140:I141"/>
    <mergeCell ref="I142:I143"/>
    <mergeCell ref="I144:I145"/>
    <mergeCell ref="I146:I147"/>
    <mergeCell ref="I148:I149"/>
    <mergeCell ref="I150:I151"/>
    <mergeCell ref="I152:I153"/>
    <mergeCell ref="I154:I155"/>
    <mergeCell ref="I156:I157"/>
    <mergeCell ref="I158:I159"/>
    <mergeCell ref="I160:I161"/>
    <mergeCell ref="I162:I163"/>
    <mergeCell ref="I164:I165"/>
    <mergeCell ref="I166:I167"/>
    <mergeCell ref="I168:I169"/>
    <mergeCell ref="I170:I171"/>
    <mergeCell ref="I172:I173"/>
    <mergeCell ref="I174:I175"/>
    <mergeCell ref="I176:I177"/>
    <mergeCell ref="I178:I179"/>
    <mergeCell ref="I180:I181"/>
    <mergeCell ref="I182:I183"/>
    <mergeCell ref="I184:I185"/>
    <mergeCell ref="I186:I187"/>
    <mergeCell ref="I188:I189"/>
    <mergeCell ref="I190:I191"/>
    <mergeCell ref="I192:I193"/>
    <mergeCell ref="I194:I195"/>
    <mergeCell ref="I196:I197"/>
    <mergeCell ref="I198:I199"/>
    <mergeCell ref="I200:I201"/>
    <mergeCell ref="I202:I203"/>
    <mergeCell ref="I204:I205"/>
    <mergeCell ref="I206:I207"/>
    <mergeCell ref="I208:I209"/>
    <mergeCell ref="I210:I211"/>
    <mergeCell ref="I212:I213"/>
    <mergeCell ref="I214:I215"/>
    <mergeCell ref="I216:I217"/>
    <mergeCell ref="I218:I219"/>
    <mergeCell ref="I220:I221"/>
    <mergeCell ref="I222:I223"/>
    <mergeCell ref="I224:I225"/>
    <mergeCell ref="I226:I227"/>
    <mergeCell ref="I228:I229"/>
    <mergeCell ref="I230:I231"/>
    <mergeCell ref="I232:I233"/>
    <mergeCell ref="I234:I235"/>
    <mergeCell ref="I236:I237"/>
    <mergeCell ref="I238:I239"/>
    <mergeCell ref="I240:I241"/>
    <mergeCell ref="I242:I243"/>
    <mergeCell ref="I244:I245"/>
    <mergeCell ref="I246:I247"/>
    <mergeCell ref="I248:I249"/>
    <mergeCell ref="I250:I251"/>
    <mergeCell ref="I252:I253"/>
    <mergeCell ref="I254:I255"/>
    <mergeCell ref="I256:I257"/>
    <mergeCell ref="I258:I259"/>
    <mergeCell ref="I260:I261"/>
    <mergeCell ref="I262:I263"/>
    <mergeCell ref="I264:I265"/>
    <mergeCell ref="I266:I267"/>
    <mergeCell ref="I268:I269"/>
    <mergeCell ref="I270:I271"/>
    <mergeCell ref="I272:I273"/>
    <mergeCell ref="I274:I275"/>
    <mergeCell ref="I276:I277"/>
    <mergeCell ref="I278:I279"/>
    <mergeCell ref="I280:I281"/>
    <mergeCell ref="I282:I283"/>
    <mergeCell ref="I284:I285"/>
    <mergeCell ref="I286:I287"/>
    <mergeCell ref="I288:I289"/>
    <mergeCell ref="I290:I291"/>
    <mergeCell ref="I292:I293"/>
    <mergeCell ref="I294:I295"/>
    <mergeCell ref="I296:I297"/>
    <mergeCell ref="I298:I299"/>
    <mergeCell ref="I300:I301"/>
    <mergeCell ref="I302:I303"/>
    <mergeCell ref="I304:I305"/>
    <mergeCell ref="I306:I307"/>
    <mergeCell ref="I308:I309"/>
    <mergeCell ref="I316:I317"/>
    <mergeCell ref="I318:I319"/>
    <mergeCell ref="I320:I321"/>
    <mergeCell ref="I322:I323"/>
    <mergeCell ref="I324:I325"/>
    <mergeCell ref="I326:I327"/>
    <mergeCell ref="I328:I329"/>
    <mergeCell ref="I330:I331"/>
    <mergeCell ref="I332:I333"/>
    <mergeCell ref="I334:I335"/>
    <mergeCell ref="I336:I337"/>
    <mergeCell ref="I338:I339"/>
    <mergeCell ref="I340:I341"/>
    <mergeCell ref="I342:I343"/>
    <mergeCell ref="I344:I345"/>
    <mergeCell ref="I346:I347"/>
    <mergeCell ref="I348:I349"/>
    <mergeCell ref="I350:I351"/>
    <mergeCell ref="I352:I353"/>
    <mergeCell ref="I354:I355"/>
    <mergeCell ref="I356:I357"/>
    <mergeCell ref="I358:I359"/>
    <mergeCell ref="I360:I361"/>
    <mergeCell ref="I362:I363"/>
    <mergeCell ref="I364:I365"/>
    <mergeCell ref="I366:I367"/>
    <mergeCell ref="I368:I369"/>
    <mergeCell ref="I370:I371"/>
    <mergeCell ref="I372:I373"/>
    <mergeCell ref="I374:I375"/>
    <mergeCell ref="I376:I377"/>
    <mergeCell ref="I378:I379"/>
    <mergeCell ref="I380:I381"/>
    <mergeCell ref="I382:I383"/>
    <mergeCell ref="I384:I385"/>
    <mergeCell ref="I386:I387"/>
    <mergeCell ref="I388:I389"/>
    <mergeCell ref="I390:I391"/>
    <mergeCell ref="I392:I393"/>
    <mergeCell ref="I394:I395"/>
    <mergeCell ref="I396:I397"/>
    <mergeCell ref="I398:I399"/>
    <mergeCell ref="I400:I401"/>
    <mergeCell ref="I402:I403"/>
    <mergeCell ref="I404:I405"/>
    <mergeCell ref="I406:I407"/>
    <mergeCell ref="I408:I409"/>
    <mergeCell ref="I410:I411"/>
    <mergeCell ref="I412:I413"/>
    <mergeCell ref="I414:I415"/>
    <mergeCell ref="I416:I417"/>
    <mergeCell ref="I418:I419"/>
    <mergeCell ref="I420:I421"/>
    <mergeCell ref="I422:I423"/>
    <mergeCell ref="I424:I425"/>
    <mergeCell ref="I426:I427"/>
    <mergeCell ref="I428:I429"/>
    <mergeCell ref="I430:I431"/>
    <mergeCell ref="I432:I433"/>
    <mergeCell ref="I434:I435"/>
    <mergeCell ref="I436:I437"/>
    <mergeCell ref="I438:I439"/>
    <mergeCell ref="I440:I441"/>
    <mergeCell ref="I442:I443"/>
    <mergeCell ref="I444:I445"/>
    <mergeCell ref="I446:I447"/>
    <mergeCell ref="I448:I449"/>
    <mergeCell ref="I450:I451"/>
    <mergeCell ref="I452:I453"/>
    <mergeCell ref="I454:I455"/>
    <mergeCell ref="I456:I457"/>
    <mergeCell ref="I458:I459"/>
    <mergeCell ref="I460:I461"/>
    <mergeCell ref="I462:I463"/>
    <mergeCell ref="I464:I465"/>
    <mergeCell ref="I466:I467"/>
    <mergeCell ref="I468:I469"/>
    <mergeCell ref="I470:I471"/>
    <mergeCell ref="I472:I473"/>
    <mergeCell ref="I474:I475"/>
    <mergeCell ref="I476:I477"/>
    <mergeCell ref="I478:I479"/>
    <mergeCell ref="I480:I481"/>
    <mergeCell ref="I482:I483"/>
    <mergeCell ref="I484:I485"/>
    <mergeCell ref="I486:I487"/>
    <mergeCell ref="I488:I489"/>
    <mergeCell ref="I490:I491"/>
    <mergeCell ref="I492:I493"/>
    <mergeCell ref="I494:I495"/>
    <mergeCell ref="I496:I497"/>
    <mergeCell ref="I498:I499"/>
    <mergeCell ref="I500:I501"/>
    <mergeCell ref="I502:I503"/>
    <mergeCell ref="I504:I505"/>
    <mergeCell ref="I506:I507"/>
    <mergeCell ref="I508:I509"/>
    <mergeCell ref="I510:I511"/>
    <mergeCell ref="I512:I513"/>
    <mergeCell ref="I514:I515"/>
    <mergeCell ref="I516:I517"/>
    <mergeCell ref="I518:I519"/>
    <mergeCell ref="I520:I521"/>
    <mergeCell ref="I522:I523"/>
    <mergeCell ref="I524:I525"/>
    <mergeCell ref="I526:I527"/>
    <mergeCell ref="I528:I529"/>
    <mergeCell ref="I530:I531"/>
    <mergeCell ref="I532:I533"/>
    <mergeCell ref="I534:I535"/>
    <mergeCell ref="I536:I537"/>
    <mergeCell ref="I538:I539"/>
    <mergeCell ref="I540:I541"/>
    <mergeCell ref="I542:I543"/>
    <mergeCell ref="I544:I545"/>
    <mergeCell ref="I546:I547"/>
    <mergeCell ref="I548:I549"/>
    <mergeCell ref="I550:I551"/>
    <mergeCell ref="I552:I553"/>
    <mergeCell ref="I554:I555"/>
    <mergeCell ref="I556:I557"/>
    <mergeCell ref="I558:I559"/>
    <mergeCell ref="I560:I561"/>
    <mergeCell ref="I562:I563"/>
    <mergeCell ref="I564:I565"/>
    <mergeCell ref="I566:I567"/>
    <mergeCell ref="I568:I569"/>
    <mergeCell ref="I570:I571"/>
    <mergeCell ref="I572:I573"/>
    <mergeCell ref="I574:I575"/>
    <mergeCell ref="I576:I577"/>
    <mergeCell ref="I578:I579"/>
    <mergeCell ref="I580:I581"/>
    <mergeCell ref="I582:I583"/>
    <mergeCell ref="I584:I585"/>
    <mergeCell ref="I586:I587"/>
    <mergeCell ref="I588:I589"/>
    <mergeCell ref="I590:I591"/>
    <mergeCell ref="I592:I593"/>
    <mergeCell ref="I594:I595"/>
    <mergeCell ref="I596:I597"/>
    <mergeCell ref="I598:I599"/>
    <mergeCell ref="I600:I601"/>
    <mergeCell ref="I602:I603"/>
    <mergeCell ref="I604:I605"/>
    <mergeCell ref="I606:I607"/>
    <mergeCell ref="I608:I609"/>
    <mergeCell ref="I610:I611"/>
    <mergeCell ref="I612:I613"/>
    <mergeCell ref="I614:I615"/>
    <mergeCell ref="I621:I622"/>
    <mergeCell ref="I623:I624"/>
    <mergeCell ref="I625:I626"/>
    <mergeCell ref="I627:I628"/>
    <mergeCell ref="I629:I630"/>
    <mergeCell ref="I631:I632"/>
    <mergeCell ref="I633:I634"/>
    <mergeCell ref="I635:I636"/>
    <mergeCell ref="I637:I638"/>
    <mergeCell ref="I639:I640"/>
    <mergeCell ref="I641:I642"/>
    <mergeCell ref="I643:I644"/>
    <mergeCell ref="I645:I646"/>
    <mergeCell ref="I647:I648"/>
    <mergeCell ref="I649:I650"/>
    <mergeCell ref="I651:I652"/>
    <mergeCell ref="I653:I654"/>
    <mergeCell ref="I655:I656"/>
    <mergeCell ref="I657:I658"/>
    <mergeCell ref="I659:I660"/>
    <mergeCell ref="I661:I662"/>
    <mergeCell ref="I663:I664"/>
    <mergeCell ref="I665:I666"/>
    <mergeCell ref="I667:I668"/>
    <mergeCell ref="I669:I670"/>
    <mergeCell ref="I671:I672"/>
    <mergeCell ref="I673:I674"/>
    <mergeCell ref="I675:I676"/>
    <mergeCell ref="I677:I678"/>
    <mergeCell ref="I679:I680"/>
    <mergeCell ref="I681:I682"/>
    <mergeCell ref="I683:I684"/>
    <mergeCell ref="I685:I686"/>
    <mergeCell ref="I687:I688"/>
    <mergeCell ref="I689:I690"/>
    <mergeCell ref="I691:I692"/>
    <mergeCell ref="I693:I694"/>
    <mergeCell ref="I695:I696"/>
    <mergeCell ref="I697:I698"/>
    <mergeCell ref="I699:I700"/>
    <mergeCell ref="I701:I702"/>
    <mergeCell ref="I703:I704"/>
    <mergeCell ref="I705:I706"/>
    <mergeCell ref="I707:I708"/>
    <mergeCell ref="I709:I710"/>
    <mergeCell ref="I711:I712"/>
    <mergeCell ref="I713:I714"/>
    <mergeCell ref="I715:I716"/>
    <mergeCell ref="I717:I718"/>
    <mergeCell ref="I719:I720"/>
    <mergeCell ref="I721:I722"/>
    <mergeCell ref="I723:I724"/>
    <mergeCell ref="I725:I726"/>
    <mergeCell ref="I727:I728"/>
    <mergeCell ref="I729:I730"/>
    <mergeCell ref="I731:I732"/>
    <mergeCell ref="I733:I734"/>
    <mergeCell ref="I735:I736"/>
    <mergeCell ref="I737:I738"/>
    <mergeCell ref="I739:I740"/>
    <mergeCell ref="I741:I742"/>
    <mergeCell ref="I743:I744"/>
    <mergeCell ref="I745:I746"/>
    <mergeCell ref="I747:I748"/>
    <mergeCell ref="I749:I750"/>
    <mergeCell ref="I751:I752"/>
    <mergeCell ref="I753:I754"/>
    <mergeCell ref="I755:I756"/>
    <mergeCell ref="I757:I758"/>
    <mergeCell ref="I759:I760"/>
    <mergeCell ref="I761:I762"/>
    <mergeCell ref="I763:I764"/>
    <mergeCell ref="I765:I766"/>
    <mergeCell ref="I767:I768"/>
    <mergeCell ref="I769:I770"/>
    <mergeCell ref="I771:I772"/>
    <mergeCell ref="I773:I774"/>
    <mergeCell ref="I775:I776"/>
    <mergeCell ref="I777:I778"/>
    <mergeCell ref="I779:I780"/>
    <mergeCell ref="I781:I782"/>
    <mergeCell ref="I783:I784"/>
    <mergeCell ref="I785:I786"/>
    <mergeCell ref="I787:I788"/>
    <mergeCell ref="I789:I790"/>
    <mergeCell ref="I791:I792"/>
    <mergeCell ref="I793:I794"/>
    <mergeCell ref="I795:I796"/>
    <mergeCell ref="I797:I798"/>
    <mergeCell ref="I799:I800"/>
    <mergeCell ref="I801:I802"/>
    <mergeCell ref="I803:I804"/>
    <mergeCell ref="I805:I806"/>
    <mergeCell ref="I807:I808"/>
    <mergeCell ref="I809:I810"/>
    <mergeCell ref="I811:I812"/>
    <mergeCell ref="I813:I814"/>
    <mergeCell ref="I815:I816"/>
    <mergeCell ref="I817:I818"/>
    <mergeCell ref="I819:I820"/>
    <mergeCell ref="I821:I822"/>
    <mergeCell ref="I823:I824"/>
    <mergeCell ref="I825:I826"/>
    <mergeCell ref="I827:I828"/>
    <mergeCell ref="I829:I830"/>
    <mergeCell ref="I831:I832"/>
    <mergeCell ref="I833:I834"/>
    <mergeCell ref="I835:I836"/>
    <mergeCell ref="I837:I838"/>
    <mergeCell ref="I839:I840"/>
    <mergeCell ref="I841:I842"/>
    <mergeCell ref="I843:I844"/>
    <mergeCell ref="I845:I846"/>
    <mergeCell ref="I847:I848"/>
    <mergeCell ref="I849:I850"/>
    <mergeCell ref="I851:I852"/>
    <mergeCell ref="I853:I854"/>
    <mergeCell ref="I855:I856"/>
    <mergeCell ref="I857:I858"/>
    <mergeCell ref="I859:I860"/>
    <mergeCell ref="I861:I862"/>
    <mergeCell ref="I863:I864"/>
    <mergeCell ref="I865:I866"/>
    <mergeCell ref="I867:I868"/>
    <mergeCell ref="I869:I870"/>
    <mergeCell ref="I871:I872"/>
    <mergeCell ref="I873:I874"/>
    <mergeCell ref="I875:I876"/>
    <mergeCell ref="I877:I878"/>
    <mergeCell ref="I879:I880"/>
    <mergeCell ref="I881:I882"/>
    <mergeCell ref="I883:I884"/>
    <mergeCell ref="I885:I886"/>
    <mergeCell ref="I887:I888"/>
    <mergeCell ref="I889:I890"/>
    <mergeCell ref="I891:I892"/>
    <mergeCell ref="I893:I894"/>
    <mergeCell ref="I895:I896"/>
    <mergeCell ref="I897:I898"/>
    <mergeCell ref="I899:I900"/>
    <mergeCell ref="I901:I902"/>
    <mergeCell ref="I903:I904"/>
    <mergeCell ref="I905:I906"/>
    <mergeCell ref="I907:I908"/>
    <mergeCell ref="I909:I910"/>
    <mergeCell ref="I911:I912"/>
    <mergeCell ref="I913:I914"/>
    <mergeCell ref="I915:I916"/>
    <mergeCell ref="I917:I918"/>
    <mergeCell ref="I919:I920"/>
    <mergeCell ref="I921:I922"/>
    <mergeCell ref="I923:I924"/>
    <mergeCell ref="I925:I926"/>
    <mergeCell ref="I927:I928"/>
    <mergeCell ref="I929:I930"/>
    <mergeCell ref="I931:I932"/>
    <mergeCell ref="I933:I934"/>
    <mergeCell ref="I935:I936"/>
    <mergeCell ref="I937:I938"/>
    <mergeCell ref="I939:I940"/>
    <mergeCell ref="I941:I942"/>
    <mergeCell ref="I943:I944"/>
    <mergeCell ref="I945:I946"/>
    <mergeCell ref="I947:I948"/>
    <mergeCell ref="I949:I950"/>
    <mergeCell ref="I951:I952"/>
    <mergeCell ref="I953:I954"/>
    <mergeCell ref="I955:I956"/>
    <mergeCell ref="I957:I958"/>
    <mergeCell ref="I959:I960"/>
    <mergeCell ref="I961:I962"/>
    <mergeCell ref="I963:I964"/>
    <mergeCell ref="I965:I966"/>
    <mergeCell ref="I967:I968"/>
    <mergeCell ref="I969:I970"/>
    <mergeCell ref="I971:I972"/>
    <mergeCell ref="I973:I974"/>
    <mergeCell ref="I975:I976"/>
    <mergeCell ref="I977:I978"/>
    <mergeCell ref="I979:I980"/>
    <mergeCell ref="I981:I982"/>
    <mergeCell ref="I983:I984"/>
    <mergeCell ref="I985:I986"/>
    <mergeCell ref="I987:I988"/>
    <mergeCell ref="I989:I990"/>
    <mergeCell ref="I991:I992"/>
    <mergeCell ref="I993:I994"/>
    <mergeCell ref="I995:I996"/>
    <mergeCell ref="I997:I998"/>
    <mergeCell ref="I999:I1000"/>
    <mergeCell ref="I1001:I1002"/>
    <mergeCell ref="I1003:I1004"/>
    <mergeCell ref="I1005:I1006"/>
    <mergeCell ref="I1007:I1008"/>
    <mergeCell ref="I1009:I1010"/>
    <mergeCell ref="I1011:I1012"/>
    <mergeCell ref="I1013:I1014"/>
    <mergeCell ref="I1015:I1016"/>
    <mergeCell ref="I1017:I1018"/>
    <mergeCell ref="I1019:I1020"/>
    <mergeCell ref="I1021:I1022"/>
    <mergeCell ref="I1023:I1024"/>
    <mergeCell ref="I1025:I1026"/>
    <mergeCell ref="I1027:I1028"/>
    <mergeCell ref="I1029:I1030"/>
    <mergeCell ref="I1031:I1032"/>
    <mergeCell ref="I1033:I1034"/>
    <mergeCell ref="I1035:I1036"/>
    <mergeCell ref="I1037:I1038"/>
    <mergeCell ref="I1039:I1040"/>
    <mergeCell ref="I1041:I1042"/>
    <mergeCell ref="I1043:I1044"/>
    <mergeCell ref="I1045:I1046"/>
    <mergeCell ref="I1047:I1048"/>
    <mergeCell ref="I1049:I1050"/>
    <mergeCell ref="I1051:I1052"/>
    <mergeCell ref="I1053:I1054"/>
    <mergeCell ref="I1055:I1056"/>
    <mergeCell ref="I1057:I1058"/>
    <mergeCell ref="I1059:I1060"/>
    <mergeCell ref="I1061:I1062"/>
    <mergeCell ref="I1063:I1064"/>
    <mergeCell ref="I1065:I1066"/>
    <mergeCell ref="I1067:I1068"/>
    <mergeCell ref="I1069:I1070"/>
    <mergeCell ref="I1071:I1072"/>
    <mergeCell ref="I1073:I1074"/>
    <mergeCell ref="I1075:I1076"/>
    <mergeCell ref="I1077:I1078"/>
    <mergeCell ref="I1079:I1080"/>
    <mergeCell ref="I1081:I1082"/>
    <mergeCell ref="I1083:I1084"/>
    <mergeCell ref="I1085:I1086"/>
    <mergeCell ref="I1087:I1088"/>
    <mergeCell ref="I1089:I1090"/>
    <mergeCell ref="I1091:I1092"/>
    <mergeCell ref="I1093:I1094"/>
    <mergeCell ref="I1095:I1096"/>
    <mergeCell ref="I1097:I1098"/>
    <mergeCell ref="I1099:I1100"/>
    <mergeCell ref="I1101:I1102"/>
    <mergeCell ref="I1103:I1104"/>
    <mergeCell ref="I1105:I1106"/>
    <mergeCell ref="I1107:I1108"/>
    <mergeCell ref="I1109:I1110"/>
    <mergeCell ref="I1111:I1112"/>
    <mergeCell ref="I1113:I1114"/>
    <mergeCell ref="I1115:I1116"/>
    <mergeCell ref="I1117:I1118"/>
    <mergeCell ref="I1119:I1120"/>
    <mergeCell ref="I1121:I1122"/>
    <mergeCell ref="I1123:I1124"/>
    <mergeCell ref="I1125:I1126"/>
    <mergeCell ref="I1127:I1128"/>
    <mergeCell ref="I1129:I1130"/>
    <mergeCell ref="I1131:I1132"/>
    <mergeCell ref="I1133:I1134"/>
    <mergeCell ref="I1135:I1136"/>
    <mergeCell ref="I1137:I1138"/>
    <mergeCell ref="I1139:I1140"/>
    <mergeCell ref="I1141:I1142"/>
    <mergeCell ref="I1143:I1144"/>
    <mergeCell ref="I1145:I1146"/>
    <mergeCell ref="I1147:I1148"/>
    <mergeCell ref="I1149:I1150"/>
    <mergeCell ref="I1151:I1152"/>
    <mergeCell ref="I1153:I1154"/>
    <mergeCell ref="I1155:I1156"/>
    <mergeCell ref="I1157:I1158"/>
    <mergeCell ref="I1159:I1160"/>
    <mergeCell ref="I1161:I1162"/>
    <mergeCell ref="I1163:I1164"/>
    <mergeCell ref="I1165:I1166"/>
    <mergeCell ref="I1167:I1168"/>
    <mergeCell ref="I1169:I1170"/>
    <mergeCell ref="I1171:I1172"/>
    <mergeCell ref="I1173:I1174"/>
    <mergeCell ref="I1175:I1176"/>
    <mergeCell ref="I1177:I1178"/>
    <mergeCell ref="I1179:I1180"/>
    <mergeCell ref="I1181:I1182"/>
    <mergeCell ref="I1183:I1184"/>
    <mergeCell ref="I1185:I1186"/>
    <mergeCell ref="I1187:I1188"/>
    <mergeCell ref="I1189:I1190"/>
    <mergeCell ref="I1191:I1192"/>
    <mergeCell ref="I1193:I1194"/>
    <mergeCell ref="I1195:I1196"/>
    <mergeCell ref="I1197:I1198"/>
    <mergeCell ref="I1199:I1200"/>
    <mergeCell ref="I1201:I1202"/>
    <mergeCell ref="I1203:I1204"/>
    <mergeCell ref="I1205:I1206"/>
    <mergeCell ref="I1207:I1208"/>
    <mergeCell ref="I1209:I1210"/>
    <mergeCell ref="I1211:I1212"/>
    <mergeCell ref="I1213:I1214"/>
    <mergeCell ref="I1215:I1216"/>
    <mergeCell ref="I1217:I1218"/>
    <mergeCell ref="I1219:I1220"/>
    <mergeCell ref="I1221:I1222"/>
    <mergeCell ref="I1223:I1224"/>
    <mergeCell ref="I1225:I1226"/>
    <mergeCell ref="I1227:I1228"/>
    <mergeCell ref="I1229:I1230"/>
    <mergeCell ref="I1231:I1232"/>
    <mergeCell ref="I1233:I1234"/>
    <mergeCell ref="I1235:I1236"/>
    <mergeCell ref="I1237:I1238"/>
    <mergeCell ref="I1239:I1240"/>
    <mergeCell ref="I1241:I1242"/>
    <mergeCell ref="I1243:I1244"/>
    <mergeCell ref="I1245:I1246"/>
    <mergeCell ref="I1247:I1248"/>
    <mergeCell ref="I1249:I1250"/>
    <mergeCell ref="I1251:I1252"/>
    <mergeCell ref="I1253:I1254"/>
    <mergeCell ref="I1255:I1256"/>
    <mergeCell ref="I1257:I1258"/>
    <mergeCell ref="I1259:I1260"/>
    <mergeCell ref="I1261:I1262"/>
    <mergeCell ref="I1263:I1264"/>
    <mergeCell ref="I1265:I1266"/>
    <mergeCell ref="I1267:I1268"/>
    <mergeCell ref="I1269:I1270"/>
    <mergeCell ref="I1271:I1272"/>
    <mergeCell ref="I1273:I1274"/>
    <mergeCell ref="I1275:I1276"/>
    <mergeCell ref="I1277:I1278"/>
    <mergeCell ref="I1279:I1280"/>
    <mergeCell ref="I1281:I1282"/>
    <mergeCell ref="I1283:I1284"/>
    <mergeCell ref="I1285:I1286"/>
    <mergeCell ref="I1287:I1288"/>
    <mergeCell ref="I1289:I1290"/>
    <mergeCell ref="I1291:I1292"/>
    <mergeCell ref="I1293:I1294"/>
    <mergeCell ref="I1295:I1296"/>
    <mergeCell ref="I1297:I1298"/>
    <mergeCell ref="I1299:I1300"/>
    <mergeCell ref="I1301:I1302"/>
    <mergeCell ref="I1303:I1304"/>
    <mergeCell ref="I1305:I1306"/>
    <mergeCell ref="I1307:I1308"/>
    <mergeCell ref="I1309:I1310"/>
    <mergeCell ref="I1311:I1312"/>
    <mergeCell ref="I1313:I1314"/>
    <mergeCell ref="I1315:I1316"/>
    <mergeCell ref="I1317:I1318"/>
    <mergeCell ref="I1319:I1320"/>
    <mergeCell ref="I1321:I1322"/>
    <mergeCell ref="I1323:I1324"/>
    <mergeCell ref="I1325:I1326"/>
    <mergeCell ref="I1327:I1328"/>
    <mergeCell ref="I1329:I1330"/>
    <mergeCell ref="I1331:I1332"/>
    <mergeCell ref="I1333:I1334"/>
    <mergeCell ref="I1335:I1336"/>
    <mergeCell ref="I1337:I1338"/>
    <mergeCell ref="I1339:I1340"/>
    <mergeCell ref="I1341:I1342"/>
    <mergeCell ref="I1343:I1344"/>
    <mergeCell ref="I1345:I1346"/>
    <mergeCell ref="I1347:I1348"/>
    <mergeCell ref="I1349:I1350"/>
    <mergeCell ref="I1351:I1352"/>
    <mergeCell ref="I1353:I1354"/>
    <mergeCell ref="I1355:I1356"/>
    <mergeCell ref="I1357:I1358"/>
    <mergeCell ref="I1359:I1360"/>
    <mergeCell ref="I1361:I1362"/>
    <mergeCell ref="I1363:I1364"/>
    <mergeCell ref="I1365:I1366"/>
    <mergeCell ref="I1367:I1368"/>
    <mergeCell ref="I1369:I1370"/>
    <mergeCell ref="I1371:I1372"/>
    <mergeCell ref="I1373:I1374"/>
    <mergeCell ref="I1375:I1376"/>
    <mergeCell ref="I1377:I1378"/>
    <mergeCell ref="I1379:I1380"/>
    <mergeCell ref="I1381:I1382"/>
    <mergeCell ref="I1383:I1384"/>
    <mergeCell ref="I1385:I1386"/>
    <mergeCell ref="I1387:I1388"/>
    <mergeCell ref="I1389:I1390"/>
    <mergeCell ref="I1391:I1392"/>
    <mergeCell ref="I1393:I1394"/>
    <mergeCell ref="I1395:I1396"/>
    <mergeCell ref="I1397:I1398"/>
    <mergeCell ref="I1399:I1400"/>
    <mergeCell ref="I1401:I1402"/>
    <mergeCell ref="I1403:I1404"/>
    <mergeCell ref="I1405:I1406"/>
    <mergeCell ref="I1407:I1408"/>
    <mergeCell ref="I1409:I1410"/>
    <mergeCell ref="I1411:I1412"/>
    <mergeCell ref="I1413:I1414"/>
    <mergeCell ref="I1415:I1416"/>
    <mergeCell ref="I1417:I1418"/>
    <mergeCell ref="I1419:I1420"/>
    <mergeCell ref="I1421:I1422"/>
    <mergeCell ref="I1423:I1424"/>
    <mergeCell ref="I1425:I1426"/>
    <mergeCell ref="I1427:I1428"/>
    <mergeCell ref="I1429:I1430"/>
    <mergeCell ref="I1431:I1432"/>
    <mergeCell ref="I1433:I1434"/>
    <mergeCell ref="I1435:I1436"/>
    <mergeCell ref="I1437:I1438"/>
    <mergeCell ref="I1439:I1440"/>
    <mergeCell ref="I1441:I1442"/>
    <mergeCell ref="I1443:I1444"/>
    <mergeCell ref="I1445:I1446"/>
    <mergeCell ref="I1447:I1448"/>
    <mergeCell ref="I1449:I1450"/>
    <mergeCell ref="I1451:I1452"/>
    <mergeCell ref="I1453:I1454"/>
    <mergeCell ref="I1455:I1456"/>
    <mergeCell ref="I1457:I1458"/>
    <mergeCell ref="I1459:I1460"/>
    <mergeCell ref="I1461:I1462"/>
    <mergeCell ref="I1463:I1464"/>
    <mergeCell ref="I1465:I1466"/>
    <mergeCell ref="I1467:I1468"/>
    <mergeCell ref="I1469:I1470"/>
    <mergeCell ref="I1471:I1472"/>
    <mergeCell ref="I1473:I1474"/>
    <mergeCell ref="I1475:I1476"/>
    <mergeCell ref="I1477:I1478"/>
    <mergeCell ref="I1479:I1480"/>
    <mergeCell ref="I1481:I1482"/>
    <mergeCell ref="I1483:I1484"/>
    <mergeCell ref="I1485:I1486"/>
    <mergeCell ref="I1487:I1488"/>
    <mergeCell ref="I1489:I1490"/>
    <mergeCell ref="I1491:I1492"/>
    <mergeCell ref="I1493:I1494"/>
    <mergeCell ref="I1495:I1496"/>
    <mergeCell ref="I1497:I1498"/>
    <mergeCell ref="I1499:I1500"/>
    <mergeCell ref="I1501:I1502"/>
    <mergeCell ref="I1503:I1504"/>
    <mergeCell ref="I1505:I1506"/>
    <mergeCell ref="I1507:I1508"/>
    <mergeCell ref="I1509:I1510"/>
    <mergeCell ref="I1511:I1512"/>
    <mergeCell ref="I1513:I1514"/>
    <mergeCell ref="I1515:I1516"/>
    <mergeCell ref="I1517:I1518"/>
    <mergeCell ref="I1519:I1520"/>
    <mergeCell ref="I1521:I1522"/>
    <mergeCell ref="I1523:I1524"/>
    <mergeCell ref="I1525:I1526"/>
    <mergeCell ref="I1527:I1528"/>
    <mergeCell ref="I1529:I1530"/>
    <mergeCell ref="I1531:I1532"/>
    <mergeCell ref="I1533:I1534"/>
    <mergeCell ref="I1535:I1536"/>
    <mergeCell ref="I1537:I1538"/>
    <mergeCell ref="I1539:I1540"/>
    <mergeCell ref="I1541:I1542"/>
    <mergeCell ref="I1543:I1544"/>
    <mergeCell ref="I1545:I1546"/>
    <mergeCell ref="I1547:I1548"/>
    <mergeCell ref="I1549:I1550"/>
    <mergeCell ref="I1551:I1552"/>
    <mergeCell ref="I1553:I1554"/>
    <mergeCell ref="I1555:I1556"/>
    <mergeCell ref="I1557:I1558"/>
    <mergeCell ref="I1559:I1560"/>
    <mergeCell ref="I1561:I1562"/>
    <mergeCell ref="I1563:I1564"/>
    <mergeCell ref="I1565:I1566"/>
    <mergeCell ref="I1567:I1568"/>
    <mergeCell ref="I1569:I1570"/>
    <mergeCell ref="I1571:I1572"/>
    <mergeCell ref="I1573:I1574"/>
    <mergeCell ref="I1575:I1576"/>
    <mergeCell ref="I1577:I1578"/>
    <mergeCell ref="I1579:I1580"/>
    <mergeCell ref="I1581:I1582"/>
    <mergeCell ref="I1583:I1584"/>
    <mergeCell ref="I1585:I1586"/>
    <mergeCell ref="I1587:I1588"/>
    <mergeCell ref="I1589:I1590"/>
    <mergeCell ref="I1591:I1592"/>
    <mergeCell ref="I1593:I1594"/>
    <mergeCell ref="I1595:I1596"/>
    <mergeCell ref="I1597:I1598"/>
    <mergeCell ref="I1599:I1600"/>
    <mergeCell ref="I1601:I1602"/>
    <mergeCell ref="I1603:I1604"/>
    <mergeCell ref="I1605:I1606"/>
    <mergeCell ref="I1607:I1608"/>
    <mergeCell ref="I1609:I1610"/>
    <mergeCell ref="I1611:I1612"/>
    <mergeCell ref="I1613:I1614"/>
    <mergeCell ref="I1615:I1616"/>
    <mergeCell ref="I1617:I1618"/>
    <mergeCell ref="I1619:I1620"/>
    <mergeCell ref="I1621:I1622"/>
    <mergeCell ref="I1623:I1624"/>
    <mergeCell ref="I1625:I1626"/>
    <mergeCell ref="I1627:I1628"/>
    <mergeCell ref="I1629:I1630"/>
    <mergeCell ref="I1631:I1632"/>
    <mergeCell ref="I1633:I1634"/>
    <mergeCell ref="I1635:I1636"/>
    <mergeCell ref="I1637:I1638"/>
    <mergeCell ref="I1639:I1640"/>
    <mergeCell ref="I1641:I1642"/>
    <mergeCell ref="I1643:I1644"/>
    <mergeCell ref="I1645:I1646"/>
    <mergeCell ref="I1647:I1648"/>
    <mergeCell ref="I1649:I1650"/>
    <mergeCell ref="I1651:I1652"/>
    <mergeCell ref="I1653:I1654"/>
    <mergeCell ref="I1655:I1656"/>
    <mergeCell ref="I1657:I1658"/>
    <mergeCell ref="I1659:I1660"/>
    <mergeCell ref="I1661:I1662"/>
    <mergeCell ref="I1663:I1664"/>
    <mergeCell ref="I1665:I1666"/>
    <mergeCell ref="I1667:I1668"/>
    <mergeCell ref="I1669:I1670"/>
    <mergeCell ref="I1671:I1672"/>
    <mergeCell ref="I1673:I1674"/>
    <mergeCell ref="I1675:I1676"/>
    <mergeCell ref="I1677:I1678"/>
    <mergeCell ref="I1679:I1680"/>
    <mergeCell ref="I1681:I1682"/>
    <mergeCell ref="I1683:I1684"/>
    <mergeCell ref="I1685:I1686"/>
    <mergeCell ref="I1687:I1688"/>
    <mergeCell ref="I1689:I1690"/>
    <mergeCell ref="I1691:I1692"/>
    <mergeCell ref="I1693:I1694"/>
    <mergeCell ref="I1695:I1696"/>
    <mergeCell ref="I1697:I1698"/>
    <mergeCell ref="I1699:I1700"/>
    <mergeCell ref="I1701:I1702"/>
    <mergeCell ref="I1703:I1704"/>
    <mergeCell ref="I1705:I1706"/>
    <mergeCell ref="I1707:I1708"/>
    <mergeCell ref="I1709:I1710"/>
    <mergeCell ref="I1711:I1712"/>
    <mergeCell ref="I1713:I1714"/>
    <mergeCell ref="I1715:I1716"/>
    <mergeCell ref="I1717:I1718"/>
    <mergeCell ref="I1719:I1720"/>
    <mergeCell ref="I1721:I1722"/>
    <mergeCell ref="I1723:I1724"/>
    <mergeCell ref="I1725:I1726"/>
    <mergeCell ref="I1727:I1728"/>
    <mergeCell ref="I1729:I1730"/>
    <mergeCell ref="I1731:I1732"/>
    <mergeCell ref="I1733:I1734"/>
    <mergeCell ref="I1735:I1736"/>
    <mergeCell ref="I1737:I1738"/>
    <mergeCell ref="I1739:I1740"/>
    <mergeCell ref="I1741:I1742"/>
    <mergeCell ref="I1743:I1744"/>
    <mergeCell ref="I1745:I1746"/>
    <mergeCell ref="I1747:I1748"/>
    <mergeCell ref="I1749:I1750"/>
    <mergeCell ref="I1751:I1752"/>
    <mergeCell ref="I1753:I1754"/>
    <mergeCell ref="I1755:I1756"/>
    <mergeCell ref="I1757:I1758"/>
    <mergeCell ref="I1759:I1760"/>
    <mergeCell ref="I1761:I1762"/>
    <mergeCell ref="I1763:I1764"/>
    <mergeCell ref="I1765:I1766"/>
    <mergeCell ref="I1767:I1768"/>
    <mergeCell ref="I1769:I1770"/>
    <mergeCell ref="I1771:I1772"/>
    <mergeCell ref="I1773:I1774"/>
    <mergeCell ref="I1775:I1776"/>
    <mergeCell ref="I1777:I1778"/>
    <mergeCell ref="I1779:I1780"/>
    <mergeCell ref="I1781:I1782"/>
    <mergeCell ref="I1783:I1784"/>
    <mergeCell ref="I1785:I1786"/>
    <mergeCell ref="I1787:I1788"/>
    <mergeCell ref="I1789:I1790"/>
    <mergeCell ref="I1791:I1792"/>
    <mergeCell ref="I1793:I1794"/>
    <mergeCell ref="I1795:I1796"/>
    <mergeCell ref="I1797:I1798"/>
    <mergeCell ref="I1799:I1800"/>
    <mergeCell ref="I1801:I1802"/>
    <mergeCell ref="I1803:I1804"/>
    <mergeCell ref="I1805:I1806"/>
    <mergeCell ref="I1807:I1808"/>
    <mergeCell ref="I1809:I1810"/>
    <mergeCell ref="I1811:I1812"/>
    <mergeCell ref="I1813:I1814"/>
    <mergeCell ref="I1815:I1816"/>
    <mergeCell ref="I1817:I1818"/>
    <mergeCell ref="I1819:I1820"/>
    <mergeCell ref="J10:J11"/>
    <mergeCell ref="J12:J13"/>
    <mergeCell ref="J14:J15"/>
    <mergeCell ref="J16:J17"/>
    <mergeCell ref="J18:J19"/>
    <mergeCell ref="J20:J21"/>
    <mergeCell ref="J22:J23"/>
    <mergeCell ref="J24:J25"/>
    <mergeCell ref="J26:J27"/>
    <mergeCell ref="J28:J29"/>
    <mergeCell ref="J30:J31"/>
    <mergeCell ref="J32:J33"/>
    <mergeCell ref="J34:J35"/>
    <mergeCell ref="J36:J37"/>
    <mergeCell ref="J38:J39"/>
    <mergeCell ref="J40:J41"/>
    <mergeCell ref="J42:J43"/>
    <mergeCell ref="J44:J45"/>
    <mergeCell ref="J46:J47"/>
    <mergeCell ref="J48:J49"/>
    <mergeCell ref="J50:J51"/>
    <mergeCell ref="J52:J53"/>
    <mergeCell ref="J54:J55"/>
    <mergeCell ref="J56:J57"/>
    <mergeCell ref="J58:J59"/>
    <mergeCell ref="J60:J61"/>
    <mergeCell ref="J62:J63"/>
    <mergeCell ref="J64:J65"/>
    <mergeCell ref="J66:J67"/>
    <mergeCell ref="J68:J69"/>
    <mergeCell ref="J70:J71"/>
    <mergeCell ref="J72:J73"/>
    <mergeCell ref="J74:J75"/>
    <mergeCell ref="J76:J77"/>
    <mergeCell ref="J78:J79"/>
    <mergeCell ref="J80:J81"/>
    <mergeCell ref="J82:J83"/>
    <mergeCell ref="J84:J85"/>
    <mergeCell ref="J86:J87"/>
    <mergeCell ref="J88:J89"/>
    <mergeCell ref="J90:J91"/>
    <mergeCell ref="J92:J93"/>
    <mergeCell ref="J94:J95"/>
    <mergeCell ref="J96:J97"/>
    <mergeCell ref="J98:J99"/>
    <mergeCell ref="J100:J101"/>
    <mergeCell ref="J102:J103"/>
    <mergeCell ref="J104:J105"/>
    <mergeCell ref="J106:J107"/>
    <mergeCell ref="J108:J109"/>
    <mergeCell ref="J110:J111"/>
    <mergeCell ref="J112:J113"/>
    <mergeCell ref="J114:J115"/>
    <mergeCell ref="J116:J117"/>
    <mergeCell ref="J118:J119"/>
    <mergeCell ref="J120:J121"/>
    <mergeCell ref="J122:J123"/>
    <mergeCell ref="J124:J125"/>
    <mergeCell ref="J126:J127"/>
    <mergeCell ref="J128:J129"/>
    <mergeCell ref="J130:J131"/>
    <mergeCell ref="J132:J133"/>
    <mergeCell ref="J134:J135"/>
    <mergeCell ref="J136:J137"/>
    <mergeCell ref="J138:J139"/>
    <mergeCell ref="J140:J141"/>
    <mergeCell ref="J142:J143"/>
    <mergeCell ref="J144:J145"/>
    <mergeCell ref="J146:J147"/>
    <mergeCell ref="J148:J149"/>
    <mergeCell ref="J150:J151"/>
    <mergeCell ref="J152:J153"/>
    <mergeCell ref="J154:J155"/>
    <mergeCell ref="J156:J157"/>
    <mergeCell ref="J158:J159"/>
    <mergeCell ref="J160:J161"/>
    <mergeCell ref="J162:J163"/>
    <mergeCell ref="J164:J165"/>
    <mergeCell ref="J166:J167"/>
    <mergeCell ref="J168:J169"/>
    <mergeCell ref="J170:J171"/>
    <mergeCell ref="J172:J173"/>
    <mergeCell ref="J174:J175"/>
    <mergeCell ref="J176:J177"/>
    <mergeCell ref="J178:J179"/>
    <mergeCell ref="J180:J181"/>
    <mergeCell ref="J182:J183"/>
    <mergeCell ref="J184:J185"/>
    <mergeCell ref="J186:J187"/>
    <mergeCell ref="J188:J189"/>
    <mergeCell ref="J190:J191"/>
    <mergeCell ref="J192:J193"/>
    <mergeCell ref="J194:J195"/>
    <mergeCell ref="J196:J197"/>
    <mergeCell ref="J198:J199"/>
    <mergeCell ref="J200:J201"/>
    <mergeCell ref="J202:J203"/>
    <mergeCell ref="J204:J205"/>
    <mergeCell ref="J206:J207"/>
    <mergeCell ref="J208:J209"/>
    <mergeCell ref="J210:J211"/>
    <mergeCell ref="J212:J213"/>
    <mergeCell ref="J214:J215"/>
    <mergeCell ref="J216:J217"/>
    <mergeCell ref="J218:J219"/>
    <mergeCell ref="J220:J221"/>
    <mergeCell ref="J222:J223"/>
    <mergeCell ref="J224:J225"/>
    <mergeCell ref="J226:J227"/>
    <mergeCell ref="J228:J229"/>
    <mergeCell ref="J230:J231"/>
    <mergeCell ref="J232:J233"/>
    <mergeCell ref="J234:J235"/>
    <mergeCell ref="J236:J237"/>
    <mergeCell ref="J238:J239"/>
    <mergeCell ref="J240:J241"/>
    <mergeCell ref="J242:J243"/>
    <mergeCell ref="J244:J245"/>
    <mergeCell ref="J246:J247"/>
    <mergeCell ref="J248:J249"/>
    <mergeCell ref="J250:J251"/>
    <mergeCell ref="J252:J253"/>
    <mergeCell ref="J254:J255"/>
    <mergeCell ref="J256:J257"/>
    <mergeCell ref="J258:J259"/>
    <mergeCell ref="J260:J261"/>
    <mergeCell ref="J262:J263"/>
    <mergeCell ref="J264:J265"/>
    <mergeCell ref="J266:J267"/>
    <mergeCell ref="J268:J269"/>
    <mergeCell ref="J270:J271"/>
    <mergeCell ref="J272:J273"/>
    <mergeCell ref="J274:J275"/>
    <mergeCell ref="J276:J277"/>
    <mergeCell ref="J278:J279"/>
    <mergeCell ref="J280:J281"/>
    <mergeCell ref="J282:J283"/>
    <mergeCell ref="J284:J285"/>
    <mergeCell ref="J286:J287"/>
    <mergeCell ref="J288:J289"/>
    <mergeCell ref="J290:J291"/>
    <mergeCell ref="J292:J293"/>
    <mergeCell ref="J294:J295"/>
    <mergeCell ref="J296:J297"/>
    <mergeCell ref="J298:J299"/>
    <mergeCell ref="J300:J301"/>
    <mergeCell ref="J302:J303"/>
    <mergeCell ref="J304:J305"/>
    <mergeCell ref="J306:J307"/>
    <mergeCell ref="J308:J309"/>
    <mergeCell ref="J316:J317"/>
    <mergeCell ref="J318:J319"/>
    <mergeCell ref="J320:J321"/>
    <mergeCell ref="J322:J323"/>
    <mergeCell ref="J324:J325"/>
    <mergeCell ref="J326:J327"/>
    <mergeCell ref="J328:J329"/>
    <mergeCell ref="J330:J331"/>
    <mergeCell ref="J332:J333"/>
    <mergeCell ref="J334:J335"/>
    <mergeCell ref="J336:J337"/>
    <mergeCell ref="J338:J339"/>
    <mergeCell ref="J340:J341"/>
    <mergeCell ref="J342:J343"/>
    <mergeCell ref="J344:J345"/>
    <mergeCell ref="J346:J347"/>
    <mergeCell ref="J348:J349"/>
    <mergeCell ref="J350:J351"/>
    <mergeCell ref="J352:J353"/>
    <mergeCell ref="J354:J355"/>
    <mergeCell ref="J356:J357"/>
    <mergeCell ref="J358:J359"/>
    <mergeCell ref="J360:J361"/>
    <mergeCell ref="J362:J363"/>
    <mergeCell ref="J364:J365"/>
    <mergeCell ref="J366:J367"/>
    <mergeCell ref="J368:J369"/>
    <mergeCell ref="J370:J371"/>
    <mergeCell ref="J372:J373"/>
    <mergeCell ref="J374:J375"/>
    <mergeCell ref="J376:J377"/>
    <mergeCell ref="J378:J379"/>
    <mergeCell ref="J380:J381"/>
    <mergeCell ref="J382:J383"/>
    <mergeCell ref="J384:J385"/>
    <mergeCell ref="J386:J387"/>
    <mergeCell ref="J388:J389"/>
    <mergeCell ref="J390:J391"/>
    <mergeCell ref="J392:J393"/>
    <mergeCell ref="J394:J395"/>
    <mergeCell ref="J396:J397"/>
    <mergeCell ref="J398:J399"/>
    <mergeCell ref="J400:J401"/>
    <mergeCell ref="J402:J403"/>
    <mergeCell ref="J404:J405"/>
    <mergeCell ref="J406:J407"/>
    <mergeCell ref="J408:J409"/>
    <mergeCell ref="J410:J411"/>
    <mergeCell ref="J412:J413"/>
    <mergeCell ref="J414:J415"/>
    <mergeCell ref="J416:J417"/>
    <mergeCell ref="J418:J419"/>
    <mergeCell ref="J420:J421"/>
    <mergeCell ref="J422:J423"/>
    <mergeCell ref="J424:J425"/>
    <mergeCell ref="J426:J427"/>
    <mergeCell ref="J428:J429"/>
    <mergeCell ref="J430:J431"/>
    <mergeCell ref="J432:J433"/>
    <mergeCell ref="J434:J435"/>
    <mergeCell ref="J436:J437"/>
    <mergeCell ref="J438:J439"/>
    <mergeCell ref="J440:J441"/>
    <mergeCell ref="J442:J443"/>
    <mergeCell ref="J444:J445"/>
    <mergeCell ref="J446:J447"/>
    <mergeCell ref="J448:J449"/>
    <mergeCell ref="J450:J451"/>
    <mergeCell ref="J452:J453"/>
    <mergeCell ref="J454:J455"/>
    <mergeCell ref="J456:J457"/>
    <mergeCell ref="J458:J459"/>
    <mergeCell ref="J460:J461"/>
    <mergeCell ref="J462:J463"/>
    <mergeCell ref="J464:J465"/>
    <mergeCell ref="J466:J467"/>
    <mergeCell ref="J468:J469"/>
    <mergeCell ref="J470:J471"/>
    <mergeCell ref="J472:J473"/>
    <mergeCell ref="J474:J475"/>
    <mergeCell ref="J476:J477"/>
    <mergeCell ref="J478:J479"/>
    <mergeCell ref="J480:J481"/>
    <mergeCell ref="J482:J483"/>
    <mergeCell ref="J484:J485"/>
    <mergeCell ref="J486:J487"/>
    <mergeCell ref="J488:J489"/>
    <mergeCell ref="J490:J491"/>
    <mergeCell ref="J492:J493"/>
    <mergeCell ref="J494:J495"/>
    <mergeCell ref="J496:J497"/>
    <mergeCell ref="J498:J499"/>
    <mergeCell ref="J500:J501"/>
    <mergeCell ref="J502:J503"/>
    <mergeCell ref="J504:J505"/>
    <mergeCell ref="J506:J507"/>
    <mergeCell ref="J508:J509"/>
    <mergeCell ref="J510:J511"/>
    <mergeCell ref="J512:J513"/>
    <mergeCell ref="J514:J515"/>
    <mergeCell ref="J516:J517"/>
    <mergeCell ref="J518:J519"/>
    <mergeCell ref="J520:J521"/>
    <mergeCell ref="J522:J523"/>
    <mergeCell ref="J524:J525"/>
    <mergeCell ref="J526:J527"/>
    <mergeCell ref="J528:J529"/>
    <mergeCell ref="J530:J531"/>
    <mergeCell ref="J532:J533"/>
    <mergeCell ref="J534:J535"/>
    <mergeCell ref="J536:J537"/>
    <mergeCell ref="J538:J539"/>
    <mergeCell ref="J540:J541"/>
    <mergeCell ref="J542:J543"/>
    <mergeCell ref="J544:J545"/>
    <mergeCell ref="J546:J547"/>
    <mergeCell ref="J548:J549"/>
    <mergeCell ref="J550:J551"/>
    <mergeCell ref="J552:J553"/>
    <mergeCell ref="J554:J555"/>
    <mergeCell ref="J556:J557"/>
    <mergeCell ref="J558:J559"/>
    <mergeCell ref="J560:J561"/>
    <mergeCell ref="J562:J563"/>
    <mergeCell ref="J564:J565"/>
    <mergeCell ref="J566:J567"/>
    <mergeCell ref="J568:J569"/>
    <mergeCell ref="J570:J571"/>
    <mergeCell ref="J572:J573"/>
    <mergeCell ref="J574:J575"/>
    <mergeCell ref="J576:J577"/>
    <mergeCell ref="J578:J579"/>
    <mergeCell ref="J580:J581"/>
    <mergeCell ref="J582:J583"/>
    <mergeCell ref="J584:J585"/>
    <mergeCell ref="J586:J587"/>
    <mergeCell ref="J588:J589"/>
    <mergeCell ref="J590:J591"/>
    <mergeCell ref="J592:J593"/>
    <mergeCell ref="J594:J595"/>
    <mergeCell ref="J596:J597"/>
    <mergeCell ref="J598:J599"/>
    <mergeCell ref="J600:J601"/>
    <mergeCell ref="J602:J603"/>
    <mergeCell ref="J604:J605"/>
    <mergeCell ref="J606:J607"/>
    <mergeCell ref="J608:J609"/>
    <mergeCell ref="J610:J611"/>
    <mergeCell ref="J612:J613"/>
    <mergeCell ref="J614:J615"/>
    <mergeCell ref="J621:J622"/>
    <mergeCell ref="J623:J624"/>
    <mergeCell ref="J625:J626"/>
    <mergeCell ref="J627:J628"/>
    <mergeCell ref="J629:J630"/>
    <mergeCell ref="J631:J632"/>
    <mergeCell ref="J633:J634"/>
    <mergeCell ref="J635:J636"/>
    <mergeCell ref="J637:J638"/>
    <mergeCell ref="J639:J640"/>
    <mergeCell ref="J641:J642"/>
    <mergeCell ref="J643:J644"/>
    <mergeCell ref="J645:J646"/>
    <mergeCell ref="J647:J648"/>
    <mergeCell ref="J649:J650"/>
    <mergeCell ref="J651:J652"/>
    <mergeCell ref="J653:J654"/>
    <mergeCell ref="J655:J656"/>
    <mergeCell ref="J657:J658"/>
    <mergeCell ref="J659:J660"/>
    <mergeCell ref="J661:J662"/>
    <mergeCell ref="J663:J664"/>
    <mergeCell ref="J665:J666"/>
    <mergeCell ref="J667:J668"/>
    <mergeCell ref="J669:J670"/>
    <mergeCell ref="J671:J672"/>
    <mergeCell ref="J673:J674"/>
    <mergeCell ref="J675:J676"/>
    <mergeCell ref="J677:J678"/>
    <mergeCell ref="J679:J680"/>
    <mergeCell ref="J681:J682"/>
    <mergeCell ref="J683:J684"/>
    <mergeCell ref="J685:J686"/>
    <mergeCell ref="J687:J688"/>
    <mergeCell ref="J689:J690"/>
    <mergeCell ref="J691:J692"/>
    <mergeCell ref="J693:J694"/>
    <mergeCell ref="J695:J696"/>
    <mergeCell ref="J697:J698"/>
    <mergeCell ref="J699:J700"/>
    <mergeCell ref="J701:J702"/>
    <mergeCell ref="J703:J704"/>
    <mergeCell ref="J705:J706"/>
    <mergeCell ref="J707:J708"/>
    <mergeCell ref="J709:J710"/>
    <mergeCell ref="J711:J712"/>
    <mergeCell ref="J713:J714"/>
    <mergeCell ref="J715:J716"/>
    <mergeCell ref="J717:J718"/>
    <mergeCell ref="J719:J720"/>
    <mergeCell ref="J721:J722"/>
    <mergeCell ref="J723:J724"/>
    <mergeCell ref="J725:J726"/>
    <mergeCell ref="J727:J728"/>
    <mergeCell ref="J729:J730"/>
    <mergeCell ref="J731:J732"/>
    <mergeCell ref="J733:J734"/>
    <mergeCell ref="J735:J736"/>
    <mergeCell ref="J737:J738"/>
    <mergeCell ref="J739:J740"/>
    <mergeCell ref="J741:J742"/>
    <mergeCell ref="J743:J744"/>
    <mergeCell ref="J745:J746"/>
    <mergeCell ref="J747:J748"/>
    <mergeCell ref="J749:J750"/>
    <mergeCell ref="J751:J752"/>
    <mergeCell ref="J753:J754"/>
    <mergeCell ref="J755:J756"/>
    <mergeCell ref="J757:J758"/>
    <mergeCell ref="J759:J760"/>
    <mergeCell ref="J761:J762"/>
    <mergeCell ref="J763:J764"/>
    <mergeCell ref="J765:J766"/>
    <mergeCell ref="J767:J768"/>
    <mergeCell ref="J769:J770"/>
    <mergeCell ref="J771:J772"/>
    <mergeCell ref="J773:J774"/>
    <mergeCell ref="J775:J776"/>
    <mergeCell ref="J777:J778"/>
    <mergeCell ref="J779:J780"/>
    <mergeCell ref="J781:J782"/>
    <mergeCell ref="J783:J784"/>
    <mergeCell ref="J785:J786"/>
    <mergeCell ref="J787:J788"/>
    <mergeCell ref="J789:J790"/>
    <mergeCell ref="J791:J792"/>
    <mergeCell ref="J793:J794"/>
    <mergeCell ref="J795:J796"/>
    <mergeCell ref="J797:J798"/>
    <mergeCell ref="J799:J800"/>
    <mergeCell ref="J801:J802"/>
    <mergeCell ref="J803:J804"/>
    <mergeCell ref="J805:J806"/>
    <mergeCell ref="J807:J808"/>
    <mergeCell ref="J809:J810"/>
    <mergeCell ref="J811:J812"/>
    <mergeCell ref="J813:J814"/>
    <mergeCell ref="J815:J816"/>
    <mergeCell ref="J817:J818"/>
    <mergeCell ref="J819:J820"/>
    <mergeCell ref="J821:J822"/>
    <mergeCell ref="J823:J824"/>
    <mergeCell ref="J825:J826"/>
    <mergeCell ref="J827:J828"/>
    <mergeCell ref="J829:J830"/>
    <mergeCell ref="J831:J832"/>
    <mergeCell ref="J833:J834"/>
    <mergeCell ref="J835:J836"/>
    <mergeCell ref="J837:J838"/>
    <mergeCell ref="J839:J840"/>
    <mergeCell ref="J841:J842"/>
    <mergeCell ref="J843:J844"/>
    <mergeCell ref="J845:J846"/>
    <mergeCell ref="J847:J848"/>
    <mergeCell ref="J849:J850"/>
    <mergeCell ref="J851:J852"/>
    <mergeCell ref="J853:J854"/>
    <mergeCell ref="J855:J856"/>
    <mergeCell ref="J857:J858"/>
    <mergeCell ref="J859:J860"/>
    <mergeCell ref="J861:J862"/>
    <mergeCell ref="J863:J864"/>
    <mergeCell ref="J865:J866"/>
    <mergeCell ref="J867:J868"/>
    <mergeCell ref="J869:J870"/>
    <mergeCell ref="J871:J872"/>
    <mergeCell ref="J873:J874"/>
    <mergeCell ref="J875:J876"/>
    <mergeCell ref="J877:J878"/>
    <mergeCell ref="J879:J880"/>
    <mergeCell ref="J881:J882"/>
    <mergeCell ref="J883:J884"/>
    <mergeCell ref="J885:J886"/>
    <mergeCell ref="J887:J888"/>
    <mergeCell ref="J889:J890"/>
    <mergeCell ref="J891:J892"/>
    <mergeCell ref="J893:J894"/>
    <mergeCell ref="J895:J896"/>
    <mergeCell ref="J897:J898"/>
    <mergeCell ref="J899:J900"/>
    <mergeCell ref="J901:J902"/>
    <mergeCell ref="J903:J904"/>
    <mergeCell ref="J905:J906"/>
    <mergeCell ref="J907:J908"/>
    <mergeCell ref="J909:J910"/>
    <mergeCell ref="J911:J912"/>
    <mergeCell ref="J913:J914"/>
    <mergeCell ref="J915:J916"/>
    <mergeCell ref="J917:J918"/>
    <mergeCell ref="J919:J920"/>
    <mergeCell ref="J921:J922"/>
    <mergeCell ref="J923:J924"/>
    <mergeCell ref="J925:J926"/>
    <mergeCell ref="J927:J928"/>
    <mergeCell ref="J929:J930"/>
    <mergeCell ref="J931:J932"/>
    <mergeCell ref="J933:J934"/>
    <mergeCell ref="J935:J936"/>
    <mergeCell ref="J937:J938"/>
    <mergeCell ref="J939:J940"/>
    <mergeCell ref="J941:J942"/>
    <mergeCell ref="J943:J944"/>
    <mergeCell ref="J945:J946"/>
    <mergeCell ref="J947:J948"/>
    <mergeCell ref="J949:J950"/>
    <mergeCell ref="J951:J952"/>
    <mergeCell ref="J953:J954"/>
    <mergeCell ref="J955:J956"/>
    <mergeCell ref="J957:J958"/>
    <mergeCell ref="J959:J960"/>
    <mergeCell ref="J961:J962"/>
    <mergeCell ref="J963:J964"/>
    <mergeCell ref="J965:J966"/>
    <mergeCell ref="J967:J968"/>
    <mergeCell ref="J969:J970"/>
    <mergeCell ref="J971:J972"/>
    <mergeCell ref="J973:J974"/>
    <mergeCell ref="J975:J976"/>
    <mergeCell ref="J977:J978"/>
    <mergeCell ref="J979:J980"/>
    <mergeCell ref="J981:J982"/>
    <mergeCell ref="J983:J984"/>
    <mergeCell ref="J985:J986"/>
    <mergeCell ref="J987:J988"/>
    <mergeCell ref="J989:J990"/>
    <mergeCell ref="J991:J992"/>
    <mergeCell ref="J993:J994"/>
    <mergeCell ref="J995:J996"/>
    <mergeCell ref="J997:J998"/>
    <mergeCell ref="J999:J1000"/>
    <mergeCell ref="J1001:J1002"/>
    <mergeCell ref="J1003:J1004"/>
    <mergeCell ref="J1005:J1006"/>
    <mergeCell ref="J1007:J1008"/>
    <mergeCell ref="J1009:J1010"/>
    <mergeCell ref="J1011:J1012"/>
    <mergeCell ref="J1013:J1014"/>
    <mergeCell ref="J1015:J1016"/>
    <mergeCell ref="J1017:J1018"/>
    <mergeCell ref="J1019:J1020"/>
    <mergeCell ref="J1021:J1022"/>
    <mergeCell ref="J1023:J1024"/>
    <mergeCell ref="J1025:J1026"/>
    <mergeCell ref="J1027:J1028"/>
    <mergeCell ref="J1029:J1030"/>
    <mergeCell ref="J1031:J1032"/>
    <mergeCell ref="J1033:J1034"/>
    <mergeCell ref="J1035:J1036"/>
    <mergeCell ref="J1037:J1038"/>
    <mergeCell ref="J1039:J1040"/>
    <mergeCell ref="J1041:J1042"/>
    <mergeCell ref="J1043:J1044"/>
    <mergeCell ref="J1045:J1046"/>
    <mergeCell ref="J1047:J1048"/>
    <mergeCell ref="J1049:J1050"/>
    <mergeCell ref="J1051:J1052"/>
    <mergeCell ref="J1053:J1054"/>
    <mergeCell ref="J1055:J1056"/>
    <mergeCell ref="J1057:J1058"/>
    <mergeCell ref="J1059:J1060"/>
    <mergeCell ref="J1061:J1062"/>
    <mergeCell ref="J1063:J1064"/>
    <mergeCell ref="J1065:J1066"/>
    <mergeCell ref="J1067:J1068"/>
    <mergeCell ref="J1069:J1070"/>
    <mergeCell ref="J1071:J1072"/>
    <mergeCell ref="J1073:J1074"/>
    <mergeCell ref="J1075:J1076"/>
    <mergeCell ref="J1077:J1078"/>
    <mergeCell ref="J1079:J1080"/>
    <mergeCell ref="J1081:J1082"/>
    <mergeCell ref="J1083:J1084"/>
    <mergeCell ref="J1085:J1086"/>
    <mergeCell ref="J1087:J1088"/>
    <mergeCell ref="J1089:J1090"/>
    <mergeCell ref="J1091:J1092"/>
    <mergeCell ref="J1093:J1094"/>
    <mergeCell ref="J1095:J1096"/>
    <mergeCell ref="J1097:J1098"/>
    <mergeCell ref="J1099:J1100"/>
    <mergeCell ref="J1101:J1102"/>
    <mergeCell ref="J1103:J1104"/>
    <mergeCell ref="J1105:J1106"/>
    <mergeCell ref="J1107:J1108"/>
    <mergeCell ref="J1109:J1110"/>
    <mergeCell ref="J1111:J1112"/>
    <mergeCell ref="J1113:J1114"/>
    <mergeCell ref="J1115:J1116"/>
    <mergeCell ref="J1117:J1118"/>
    <mergeCell ref="J1119:J1120"/>
    <mergeCell ref="J1121:J1122"/>
    <mergeCell ref="J1123:J1124"/>
    <mergeCell ref="J1125:J1126"/>
    <mergeCell ref="J1127:J1128"/>
    <mergeCell ref="J1129:J1130"/>
    <mergeCell ref="J1131:J1132"/>
    <mergeCell ref="J1133:J1134"/>
    <mergeCell ref="J1135:J1136"/>
    <mergeCell ref="J1137:J1138"/>
    <mergeCell ref="J1139:J1140"/>
    <mergeCell ref="J1141:J1142"/>
    <mergeCell ref="J1143:J1144"/>
    <mergeCell ref="J1145:J1146"/>
    <mergeCell ref="J1147:J1148"/>
    <mergeCell ref="J1149:J1150"/>
    <mergeCell ref="J1151:J1152"/>
    <mergeCell ref="J1153:J1154"/>
    <mergeCell ref="J1155:J1156"/>
    <mergeCell ref="J1157:J1158"/>
    <mergeCell ref="J1159:J1160"/>
    <mergeCell ref="J1161:J1162"/>
    <mergeCell ref="J1163:J1164"/>
    <mergeCell ref="J1165:J1166"/>
    <mergeCell ref="J1167:J1168"/>
    <mergeCell ref="J1169:J1170"/>
    <mergeCell ref="J1171:J1172"/>
    <mergeCell ref="J1173:J1174"/>
    <mergeCell ref="J1175:J1176"/>
    <mergeCell ref="J1177:J1178"/>
    <mergeCell ref="J1179:J1180"/>
    <mergeCell ref="J1181:J1182"/>
    <mergeCell ref="J1183:J1184"/>
    <mergeCell ref="J1185:J1186"/>
    <mergeCell ref="J1187:J1188"/>
    <mergeCell ref="J1189:J1190"/>
    <mergeCell ref="J1191:J1192"/>
    <mergeCell ref="J1193:J1194"/>
    <mergeCell ref="J1195:J1196"/>
    <mergeCell ref="J1197:J1198"/>
    <mergeCell ref="J1199:J1200"/>
    <mergeCell ref="J1201:J1202"/>
    <mergeCell ref="J1203:J1204"/>
    <mergeCell ref="J1205:J1206"/>
    <mergeCell ref="J1207:J1208"/>
    <mergeCell ref="J1209:J1210"/>
    <mergeCell ref="J1211:J1212"/>
    <mergeCell ref="J1213:J1214"/>
    <mergeCell ref="J1215:J1216"/>
    <mergeCell ref="J1217:J1218"/>
    <mergeCell ref="J1219:J1220"/>
    <mergeCell ref="J1221:J1222"/>
    <mergeCell ref="J1223:J1224"/>
    <mergeCell ref="J1225:J1226"/>
    <mergeCell ref="J1227:J1228"/>
    <mergeCell ref="J1229:J1230"/>
    <mergeCell ref="J1231:J1232"/>
    <mergeCell ref="J1233:J1234"/>
    <mergeCell ref="J1235:J1236"/>
    <mergeCell ref="J1237:J1238"/>
    <mergeCell ref="J1239:J1240"/>
    <mergeCell ref="J1241:J1242"/>
    <mergeCell ref="J1243:J1244"/>
    <mergeCell ref="J1245:J1246"/>
    <mergeCell ref="J1247:J1248"/>
    <mergeCell ref="J1249:J1250"/>
    <mergeCell ref="J1251:J1252"/>
    <mergeCell ref="J1253:J1254"/>
    <mergeCell ref="J1255:J1256"/>
    <mergeCell ref="J1257:J1258"/>
    <mergeCell ref="J1259:J1260"/>
    <mergeCell ref="J1261:J1262"/>
    <mergeCell ref="J1263:J1264"/>
    <mergeCell ref="J1265:J1266"/>
    <mergeCell ref="J1267:J1268"/>
    <mergeCell ref="J1269:J1270"/>
    <mergeCell ref="J1271:J1272"/>
    <mergeCell ref="J1273:J1274"/>
    <mergeCell ref="J1275:J1276"/>
    <mergeCell ref="J1277:J1278"/>
    <mergeCell ref="J1279:J1280"/>
    <mergeCell ref="J1281:J1282"/>
    <mergeCell ref="J1283:J1284"/>
    <mergeCell ref="J1285:J1286"/>
    <mergeCell ref="J1287:J1288"/>
    <mergeCell ref="J1289:J1290"/>
    <mergeCell ref="J1291:J1292"/>
    <mergeCell ref="J1293:J1294"/>
    <mergeCell ref="J1295:J1296"/>
    <mergeCell ref="J1297:J1298"/>
    <mergeCell ref="J1299:J1300"/>
    <mergeCell ref="J1301:J1302"/>
    <mergeCell ref="J1303:J1304"/>
    <mergeCell ref="J1305:J1306"/>
    <mergeCell ref="J1307:J1308"/>
    <mergeCell ref="J1309:J1310"/>
    <mergeCell ref="J1311:J1312"/>
    <mergeCell ref="J1313:J1314"/>
    <mergeCell ref="J1315:J1316"/>
    <mergeCell ref="J1317:J1318"/>
    <mergeCell ref="J1319:J1320"/>
    <mergeCell ref="J1321:J1322"/>
    <mergeCell ref="J1323:J1324"/>
    <mergeCell ref="J1325:J1326"/>
    <mergeCell ref="J1327:J1328"/>
    <mergeCell ref="J1329:J1330"/>
    <mergeCell ref="J1331:J1332"/>
    <mergeCell ref="J1333:J1334"/>
    <mergeCell ref="J1335:J1336"/>
    <mergeCell ref="J1337:J1338"/>
    <mergeCell ref="J1339:J1340"/>
    <mergeCell ref="J1341:J1342"/>
    <mergeCell ref="J1343:J1344"/>
    <mergeCell ref="J1345:J1346"/>
    <mergeCell ref="J1347:J1348"/>
    <mergeCell ref="J1349:J1350"/>
    <mergeCell ref="J1351:J1352"/>
    <mergeCell ref="J1353:J1354"/>
    <mergeCell ref="J1355:J1356"/>
    <mergeCell ref="J1357:J1358"/>
    <mergeCell ref="J1359:J1360"/>
    <mergeCell ref="J1361:J1362"/>
    <mergeCell ref="J1363:J1364"/>
    <mergeCell ref="J1365:J1366"/>
    <mergeCell ref="J1367:J1368"/>
    <mergeCell ref="J1369:J1370"/>
    <mergeCell ref="J1371:J1372"/>
    <mergeCell ref="J1373:J1374"/>
    <mergeCell ref="J1375:J1376"/>
    <mergeCell ref="J1377:J1378"/>
    <mergeCell ref="J1379:J1380"/>
    <mergeCell ref="J1381:J1382"/>
    <mergeCell ref="J1383:J1384"/>
    <mergeCell ref="J1385:J1386"/>
    <mergeCell ref="J1387:J1388"/>
    <mergeCell ref="J1389:J1390"/>
    <mergeCell ref="J1391:J1392"/>
    <mergeCell ref="J1393:J1394"/>
    <mergeCell ref="J1395:J1396"/>
    <mergeCell ref="J1397:J1398"/>
    <mergeCell ref="J1399:J1400"/>
    <mergeCell ref="J1401:J1402"/>
    <mergeCell ref="J1403:J1404"/>
    <mergeCell ref="J1405:J1406"/>
    <mergeCell ref="J1407:J1408"/>
    <mergeCell ref="J1409:J1410"/>
    <mergeCell ref="J1411:J1412"/>
    <mergeCell ref="J1413:J1414"/>
    <mergeCell ref="J1415:J1416"/>
    <mergeCell ref="J1417:J1418"/>
    <mergeCell ref="J1419:J1420"/>
    <mergeCell ref="J1421:J1422"/>
    <mergeCell ref="J1423:J1424"/>
    <mergeCell ref="J1425:J1426"/>
    <mergeCell ref="J1427:J1428"/>
    <mergeCell ref="J1429:J1430"/>
    <mergeCell ref="J1431:J1432"/>
    <mergeCell ref="J1433:J1434"/>
    <mergeCell ref="J1435:J1436"/>
    <mergeCell ref="J1437:J1438"/>
    <mergeCell ref="J1439:J1440"/>
    <mergeCell ref="J1441:J1442"/>
    <mergeCell ref="J1443:J1444"/>
    <mergeCell ref="J1445:J1446"/>
    <mergeCell ref="J1447:J1448"/>
    <mergeCell ref="J1449:J1450"/>
    <mergeCell ref="J1451:J1452"/>
    <mergeCell ref="J1453:J1454"/>
    <mergeCell ref="J1455:J1456"/>
    <mergeCell ref="J1457:J1458"/>
    <mergeCell ref="J1459:J1460"/>
    <mergeCell ref="J1461:J1462"/>
    <mergeCell ref="J1463:J1464"/>
    <mergeCell ref="J1465:J1466"/>
    <mergeCell ref="J1467:J1468"/>
    <mergeCell ref="J1469:J1470"/>
    <mergeCell ref="J1471:J1472"/>
    <mergeCell ref="J1473:J1474"/>
    <mergeCell ref="J1475:J1476"/>
    <mergeCell ref="J1477:J1478"/>
    <mergeCell ref="J1479:J1480"/>
    <mergeCell ref="J1481:J1482"/>
    <mergeCell ref="J1483:J1484"/>
    <mergeCell ref="J1485:J1486"/>
    <mergeCell ref="J1487:J1488"/>
    <mergeCell ref="J1489:J1490"/>
    <mergeCell ref="J1491:J1492"/>
    <mergeCell ref="J1493:J1494"/>
    <mergeCell ref="J1495:J1496"/>
    <mergeCell ref="J1497:J1498"/>
    <mergeCell ref="J1499:J1500"/>
    <mergeCell ref="J1501:J1502"/>
    <mergeCell ref="J1503:J1504"/>
    <mergeCell ref="J1505:J1506"/>
    <mergeCell ref="J1507:J1508"/>
    <mergeCell ref="J1509:J1510"/>
    <mergeCell ref="J1511:J1512"/>
    <mergeCell ref="J1513:J1514"/>
    <mergeCell ref="J1515:J1516"/>
    <mergeCell ref="J1517:J1518"/>
    <mergeCell ref="J1519:J1520"/>
    <mergeCell ref="J1521:J1522"/>
    <mergeCell ref="J1523:J1524"/>
    <mergeCell ref="J1525:J1526"/>
    <mergeCell ref="J1527:J1528"/>
    <mergeCell ref="J1529:J1530"/>
    <mergeCell ref="J1531:J1532"/>
    <mergeCell ref="J1533:J1534"/>
    <mergeCell ref="J1535:J1536"/>
    <mergeCell ref="J1537:J1538"/>
    <mergeCell ref="J1539:J1540"/>
    <mergeCell ref="J1541:J1542"/>
    <mergeCell ref="J1543:J1544"/>
    <mergeCell ref="J1545:J1546"/>
    <mergeCell ref="J1547:J1548"/>
    <mergeCell ref="J1549:J1550"/>
    <mergeCell ref="J1551:J1552"/>
    <mergeCell ref="J1553:J1554"/>
    <mergeCell ref="J1555:J1556"/>
    <mergeCell ref="J1557:J1558"/>
    <mergeCell ref="J1559:J1560"/>
    <mergeCell ref="J1561:J1562"/>
    <mergeCell ref="J1563:J1564"/>
    <mergeCell ref="J1565:J1566"/>
    <mergeCell ref="J1567:J1568"/>
    <mergeCell ref="J1569:J1570"/>
    <mergeCell ref="J1571:J1572"/>
    <mergeCell ref="J1573:J1574"/>
    <mergeCell ref="J1575:J1576"/>
    <mergeCell ref="J1577:J1578"/>
    <mergeCell ref="J1579:J1580"/>
    <mergeCell ref="J1581:J1582"/>
    <mergeCell ref="J1583:J1584"/>
    <mergeCell ref="J1585:J1586"/>
    <mergeCell ref="J1587:J1588"/>
    <mergeCell ref="J1589:J1590"/>
    <mergeCell ref="J1591:J1592"/>
    <mergeCell ref="J1593:J1594"/>
    <mergeCell ref="J1595:J1596"/>
    <mergeCell ref="J1597:J1598"/>
    <mergeCell ref="J1599:J1600"/>
    <mergeCell ref="J1601:J1602"/>
    <mergeCell ref="J1603:J1604"/>
    <mergeCell ref="J1605:J1606"/>
    <mergeCell ref="J1607:J1608"/>
    <mergeCell ref="J1609:J1610"/>
    <mergeCell ref="J1611:J1612"/>
    <mergeCell ref="J1613:J1614"/>
    <mergeCell ref="J1615:J1616"/>
    <mergeCell ref="J1617:J1618"/>
    <mergeCell ref="J1619:J1620"/>
    <mergeCell ref="J1621:J1622"/>
    <mergeCell ref="J1623:J1624"/>
    <mergeCell ref="J1625:J1626"/>
    <mergeCell ref="J1627:J1628"/>
    <mergeCell ref="J1629:J1630"/>
    <mergeCell ref="J1631:J1632"/>
    <mergeCell ref="J1633:J1634"/>
    <mergeCell ref="J1635:J1636"/>
    <mergeCell ref="J1637:J1638"/>
    <mergeCell ref="J1639:J1640"/>
    <mergeCell ref="J1641:J1642"/>
    <mergeCell ref="J1643:J1644"/>
    <mergeCell ref="J1645:J1646"/>
    <mergeCell ref="J1647:J1648"/>
    <mergeCell ref="J1649:J1650"/>
    <mergeCell ref="J1651:J1652"/>
    <mergeCell ref="J1653:J1654"/>
    <mergeCell ref="J1655:J1656"/>
    <mergeCell ref="J1657:J1658"/>
    <mergeCell ref="J1659:J1660"/>
    <mergeCell ref="J1661:J1662"/>
    <mergeCell ref="J1663:J1664"/>
    <mergeCell ref="J1665:J1666"/>
    <mergeCell ref="J1667:J1668"/>
    <mergeCell ref="J1669:J1670"/>
    <mergeCell ref="J1671:J1672"/>
    <mergeCell ref="J1673:J1674"/>
    <mergeCell ref="J1675:J1676"/>
    <mergeCell ref="J1677:J1678"/>
    <mergeCell ref="J1679:J1680"/>
    <mergeCell ref="J1681:J1682"/>
    <mergeCell ref="J1683:J1684"/>
    <mergeCell ref="J1685:J1686"/>
    <mergeCell ref="J1687:J1688"/>
    <mergeCell ref="J1689:J1690"/>
    <mergeCell ref="J1691:J1692"/>
    <mergeCell ref="J1693:J1694"/>
    <mergeCell ref="J1695:J1696"/>
    <mergeCell ref="J1697:J1698"/>
    <mergeCell ref="J1699:J1700"/>
    <mergeCell ref="J1701:J1702"/>
    <mergeCell ref="J1703:J1704"/>
    <mergeCell ref="J1705:J1706"/>
    <mergeCell ref="J1707:J1708"/>
    <mergeCell ref="J1709:J1710"/>
    <mergeCell ref="J1711:J1712"/>
    <mergeCell ref="J1713:J1714"/>
    <mergeCell ref="J1715:J1716"/>
    <mergeCell ref="J1717:J1718"/>
    <mergeCell ref="J1719:J1720"/>
    <mergeCell ref="J1721:J1722"/>
    <mergeCell ref="J1723:J1724"/>
    <mergeCell ref="J1725:J1726"/>
    <mergeCell ref="J1727:J1728"/>
    <mergeCell ref="J1729:J1730"/>
    <mergeCell ref="J1731:J1732"/>
    <mergeCell ref="J1733:J1734"/>
    <mergeCell ref="J1735:J1736"/>
    <mergeCell ref="J1737:J1738"/>
    <mergeCell ref="J1739:J1740"/>
    <mergeCell ref="J1741:J1742"/>
    <mergeCell ref="J1743:J1744"/>
    <mergeCell ref="J1745:J1746"/>
    <mergeCell ref="J1747:J1748"/>
    <mergeCell ref="J1749:J1750"/>
    <mergeCell ref="J1751:J1752"/>
    <mergeCell ref="J1753:J1754"/>
    <mergeCell ref="J1755:J1756"/>
    <mergeCell ref="J1757:J1758"/>
    <mergeCell ref="J1759:J1760"/>
    <mergeCell ref="J1761:J1762"/>
    <mergeCell ref="J1763:J1764"/>
    <mergeCell ref="J1765:J1766"/>
    <mergeCell ref="J1767:J1768"/>
    <mergeCell ref="J1769:J1770"/>
    <mergeCell ref="J1771:J1772"/>
    <mergeCell ref="J1773:J1774"/>
    <mergeCell ref="J1775:J1776"/>
    <mergeCell ref="J1777:J1778"/>
    <mergeCell ref="J1779:J1780"/>
    <mergeCell ref="J1781:J1782"/>
    <mergeCell ref="J1783:J1784"/>
    <mergeCell ref="J1785:J1786"/>
    <mergeCell ref="J1787:J1788"/>
    <mergeCell ref="J1789:J1790"/>
    <mergeCell ref="J1791:J1792"/>
    <mergeCell ref="J1793:J1794"/>
    <mergeCell ref="J1795:J1796"/>
    <mergeCell ref="J1797:J1798"/>
    <mergeCell ref="J1799:J1800"/>
    <mergeCell ref="J1801:J1802"/>
    <mergeCell ref="J1803:J1804"/>
    <mergeCell ref="J1805:J1806"/>
    <mergeCell ref="J1807:J1808"/>
    <mergeCell ref="J1809:J1810"/>
    <mergeCell ref="J1811:J1812"/>
    <mergeCell ref="J1813:J1814"/>
    <mergeCell ref="J1815:J1816"/>
    <mergeCell ref="J1817:J1818"/>
    <mergeCell ref="J1819:J1820"/>
    <mergeCell ref="K10:K11"/>
    <mergeCell ref="K12:K13"/>
    <mergeCell ref="K14:K15"/>
    <mergeCell ref="K16:K17"/>
    <mergeCell ref="K18:K19"/>
    <mergeCell ref="K20:K21"/>
    <mergeCell ref="K22:K23"/>
    <mergeCell ref="K24:K25"/>
    <mergeCell ref="K26:K27"/>
    <mergeCell ref="K28:K29"/>
    <mergeCell ref="K30:K31"/>
    <mergeCell ref="K32:K33"/>
    <mergeCell ref="K34:K35"/>
    <mergeCell ref="K36:K37"/>
    <mergeCell ref="K38:K39"/>
    <mergeCell ref="K40:K41"/>
    <mergeCell ref="K42:K43"/>
    <mergeCell ref="K44:K45"/>
    <mergeCell ref="K46:K47"/>
    <mergeCell ref="K48:K49"/>
    <mergeCell ref="K50:K51"/>
    <mergeCell ref="K52:K53"/>
    <mergeCell ref="K54:K55"/>
    <mergeCell ref="K56:K57"/>
    <mergeCell ref="K58:K59"/>
    <mergeCell ref="K60:K61"/>
    <mergeCell ref="K62:K63"/>
    <mergeCell ref="K64:K65"/>
    <mergeCell ref="K66:K67"/>
    <mergeCell ref="K68:K69"/>
    <mergeCell ref="K70:K71"/>
    <mergeCell ref="K72:K73"/>
    <mergeCell ref="K74:K75"/>
    <mergeCell ref="K76:K77"/>
    <mergeCell ref="K78:K79"/>
    <mergeCell ref="K80:K81"/>
    <mergeCell ref="K82:K83"/>
    <mergeCell ref="K84:K85"/>
    <mergeCell ref="K86:K87"/>
    <mergeCell ref="K88:K89"/>
    <mergeCell ref="K90:K91"/>
    <mergeCell ref="K92:K93"/>
    <mergeCell ref="K94:K95"/>
    <mergeCell ref="K96:K97"/>
    <mergeCell ref="K98:K99"/>
    <mergeCell ref="K100:K101"/>
    <mergeCell ref="K102:K103"/>
    <mergeCell ref="K104:K105"/>
    <mergeCell ref="K106:K107"/>
    <mergeCell ref="K108:K109"/>
    <mergeCell ref="K110:K111"/>
    <mergeCell ref="K112:K113"/>
    <mergeCell ref="K114:K115"/>
    <mergeCell ref="K116:K117"/>
    <mergeCell ref="K118:K119"/>
    <mergeCell ref="K120:K121"/>
    <mergeCell ref="K122:K123"/>
    <mergeCell ref="K124:K125"/>
    <mergeCell ref="K126:K127"/>
    <mergeCell ref="K128:K129"/>
    <mergeCell ref="K130:K131"/>
    <mergeCell ref="K132:K133"/>
    <mergeCell ref="K134:K135"/>
    <mergeCell ref="K136:K137"/>
    <mergeCell ref="K138:K139"/>
    <mergeCell ref="K140:K141"/>
    <mergeCell ref="K142:K143"/>
    <mergeCell ref="K144:K145"/>
    <mergeCell ref="K146:K147"/>
    <mergeCell ref="K148:K149"/>
    <mergeCell ref="K150:K151"/>
    <mergeCell ref="K152:K153"/>
    <mergeCell ref="K154:K155"/>
    <mergeCell ref="K156:K157"/>
    <mergeCell ref="K158:K159"/>
    <mergeCell ref="K160:K161"/>
    <mergeCell ref="K162:K163"/>
    <mergeCell ref="K164:K165"/>
    <mergeCell ref="K166:K167"/>
    <mergeCell ref="K168:K169"/>
    <mergeCell ref="K170:K171"/>
    <mergeCell ref="K172:K173"/>
    <mergeCell ref="K174:K175"/>
    <mergeCell ref="K176:K177"/>
    <mergeCell ref="K178:K179"/>
    <mergeCell ref="K180:K181"/>
    <mergeCell ref="K182:K183"/>
    <mergeCell ref="K184:K185"/>
    <mergeCell ref="K186:K187"/>
    <mergeCell ref="K188:K189"/>
    <mergeCell ref="K190:K191"/>
    <mergeCell ref="K192:K193"/>
    <mergeCell ref="K194:K195"/>
    <mergeCell ref="K196:K197"/>
    <mergeCell ref="K198:K199"/>
    <mergeCell ref="K200:K201"/>
    <mergeCell ref="K202:K203"/>
    <mergeCell ref="K204:K205"/>
    <mergeCell ref="K206:K207"/>
    <mergeCell ref="K208:K209"/>
    <mergeCell ref="K210:K211"/>
    <mergeCell ref="K212:K213"/>
    <mergeCell ref="K214:K215"/>
    <mergeCell ref="K216:K217"/>
    <mergeCell ref="K218:K219"/>
    <mergeCell ref="K220:K221"/>
    <mergeCell ref="K222:K223"/>
    <mergeCell ref="K224:K225"/>
    <mergeCell ref="K226:K227"/>
    <mergeCell ref="K228:K229"/>
    <mergeCell ref="K230:K231"/>
    <mergeCell ref="K232:K233"/>
    <mergeCell ref="K234:K235"/>
    <mergeCell ref="K236:K237"/>
    <mergeCell ref="K238:K239"/>
    <mergeCell ref="K240:K241"/>
    <mergeCell ref="K242:K243"/>
    <mergeCell ref="K244:K245"/>
    <mergeCell ref="K246:K247"/>
    <mergeCell ref="K248:K249"/>
    <mergeCell ref="K250:K251"/>
    <mergeCell ref="K252:K253"/>
    <mergeCell ref="K254:K255"/>
    <mergeCell ref="K256:K257"/>
    <mergeCell ref="K258:K259"/>
    <mergeCell ref="K260:K261"/>
    <mergeCell ref="K262:K263"/>
    <mergeCell ref="K264:K265"/>
    <mergeCell ref="K266:K267"/>
    <mergeCell ref="K268:K269"/>
    <mergeCell ref="K270:K271"/>
    <mergeCell ref="K272:K273"/>
    <mergeCell ref="K274:K275"/>
    <mergeCell ref="K276:K277"/>
    <mergeCell ref="K278:K279"/>
    <mergeCell ref="K280:K281"/>
    <mergeCell ref="K282:K283"/>
    <mergeCell ref="K284:K285"/>
    <mergeCell ref="K286:K287"/>
    <mergeCell ref="K288:K289"/>
    <mergeCell ref="K290:K291"/>
    <mergeCell ref="K292:K293"/>
    <mergeCell ref="K294:K295"/>
    <mergeCell ref="K296:K297"/>
    <mergeCell ref="K298:K299"/>
    <mergeCell ref="K300:K301"/>
    <mergeCell ref="K302:K303"/>
    <mergeCell ref="K304:K305"/>
    <mergeCell ref="K306:K307"/>
    <mergeCell ref="K308:K309"/>
    <mergeCell ref="K316:K317"/>
    <mergeCell ref="K318:K319"/>
    <mergeCell ref="K320:K321"/>
    <mergeCell ref="K322:K323"/>
    <mergeCell ref="K324:K325"/>
    <mergeCell ref="K326:K327"/>
    <mergeCell ref="K328:K329"/>
    <mergeCell ref="K330:K331"/>
    <mergeCell ref="K332:K333"/>
    <mergeCell ref="K334:K335"/>
    <mergeCell ref="K336:K337"/>
    <mergeCell ref="K338:K339"/>
    <mergeCell ref="K340:K341"/>
    <mergeCell ref="K342:K343"/>
    <mergeCell ref="K344:K345"/>
    <mergeCell ref="K346:K347"/>
    <mergeCell ref="K348:K349"/>
    <mergeCell ref="K350:K351"/>
    <mergeCell ref="K352:K353"/>
    <mergeCell ref="K354:K355"/>
    <mergeCell ref="K356:K357"/>
    <mergeCell ref="K358:K359"/>
    <mergeCell ref="K360:K361"/>
    <mergeCell ref="K362:K363"/>
    <mergeCell ref="K364:K365"/>
    <mergeCell ref="K366:K367"/>
    <mergeCell ref="K368:K369"/>
    <mergeCell ref="K370:K371"/>
    <mergeCell ref="K372:K373"/>
    <mergeCell ref="K374:K375"/>
    <mergeCell ref="K376:K377"/>
    <mergeCell ref="K378:K379"/>
    <mergeCell ref="K380:K381"/>
    <mergeCell ref="K382:K383"/>
    <mergeCell ref="K384:K385"/>
    <mergeCell ref="K386:K387"/>
    <mergeCell ref="K388:K389"/>
    <mergeCell ref="K390:K391"/>
    <mergeCell ref="K392:K393"/>
    <mergeCell ref="K394:K395"/>
    <mergeCell ref="K396:K397"/>
    <mergeCell ref="K398:K399"/>
    <mergeCell ref="K400:K401"/>
    <mergeCell ref="K402:K403"/>
    <mergeCell ref="K404:K405"/>
    <mergeCell ref="K406:K407"/>
    <mergeCell ref="K408:K409"/>
    <mergeCell ref="K410:K411"/>
    <mergeCell ref="K412:K413"/>
    <mergeCell ref="K414:K415"/>
    <mergeCell ref="K416:K417"/>
    <mergeCell ref="K418:K419"/>
    <mergeCell ref="K420:K421"/>
    <mergeCell ref="K422:K423"/>
    <mergeCell ref="K424:K425"/>
    <mergeCell ref="K426:K427"/>
    <mergeCell ref="K428:K429"/>
    <mergeCell ref="K430:K431"/>
    <mergeCell ref="K432:K433"/>
    <mergeCell ref="K434:K435"/>
    <mergeCell ref="K436:K437"/>
    <mergeCell ref="K438:K439"/>
    <mergeCell ref="K440:K441"/>
    <mergeCell ref="K442:K443"/>
    <mergeCell ref="K444:K445"/>
    <mergeCell ref="K446:K447"/>
    <mergeCell ref="K448:K449"/>
    <mergeCell ref="K450:K451"/>
    <mergeCell ref="K452:K453"/>
    <mergeCell ref="K454:K455"/>
    <mergeCell ref="K456:K457"/>
    <mergeCell ref="K458:K459"/>
    <mergeCell ref="K460:K461"/>
    <mergeCell ref="K462:K463"/>
    <mergeCell ref="K464:K465"/>
    <mergeCell ref="K466:K467"/>
    <mergeCell ref="K468:K469"/>
    <mergeCell ref="K470:K471"/>
    <mergeCell ref="K472:K473"/>
    <mergeCell ref="K474:K475"/>
    <mergeCell ref="K476:K477"/>
    <mergeCell ref="K478:K479"/>
    <mergeCell ref="K480:K481"/>
    <mergeCell ref="K482:K483"/>
    <mergeCell ref="K484:K485"/>
    <mergeCell ref="K486:K487"/>
    <mergeCell ref="K488:K489"/>
    <mergeCell ref="K490:K491"/>
    <mergeCell ref="K492:K493"/>
    <mergeCell ref="K494:K495"/>
    <mergeCell ref="K496:K497"/>
    <mergeCell ref="K498:K499"/>
    <mergeCell ref="K500:K501"/>
    <mergeCell ref="K502:K503"/>
    <mergeCell ref="K504:K505"/>
    <mergeCell ref="K506:K507"/>
    <mergeCell ref="K508:K509"/>
    <mergeCell ref="K510:K511"/>
    <mergeCell ref="K512:K513"/>
    <mergeCell ref="K514:K515"/>
    <mergeCell ref="K516:K517"/>
    <mergeCell ref="K518:K519"/>
    <mergeCell ref="K520:K521"/>
    <mergeCell ref="K522:K523"/>
    <mergeCell ref="K524:K525"/>
    <mergeCell ref="K526:K527"/>
    <mergeCell ref="K528:K529"/>
    <mergeCell ref="K530:K531"/>
    <mergeCell ref="K532:K533"/>
    <mergeCell ref="K534:K535"/>
    <mergeCell ref="K536:K537"/>
    <mergeCell ref="K538:K539"/>
    <mergeCell ref="K540:K541"/>
    <mergeCell ref="K542:K543"/>
    <mergeCell ref="K544:K545"/>
    <mergeCell ref="K546:K547"/>
    <mergeCell ref="K548:K549"/>
    <mergeCell ref="K550:K551"/>
    <mergeCell ref="K552:K553"/>
    <mergeCell ref="K554:K555"/>
    <mergeCell ref="K556:K557"/>
    <mergeCell ref="K558:K559"/>
    <mergeCell ref="K560:K561"/>
    <mergeCell ref="K562:K563"/>
    <mergeCell ref="K564:K565"/>
    <mergeCell ref="K566:K567"/>
    <mergeCell ref="K568:K569"/>
    <mergeCell ref="K570:K571"/>
    <mergeCell ref="K572:K573"/>
    <mergeCell ref="K574:K575"/>
    <mergeCell ref="K576:K577"/>
    <mergeCell ref="K578:K579"/>
    <mergeCell ref="K580:K581"/>
    <mergeCell ref="K582:K583"/>
    <mergeCell ref="K584:K585"/>
    <mergeCell ref="K586:K587"/>
    <mergeCell ref="K588:K589"/>
    <mergeCell ref="K590:K591"/>
    <mergeCell ref="K592:K593"/>
    <mergeCell ref="K594:K595"/>
    <mergeCell ref="K596:K597"/>
    <mergeCell ref="K598:K599"/>
    <mergeCell ref="K600:K601"/>
    <mergeCell ref="K602:K603"/>
    <mergeCell ref="K604:K605"/>
    <mergeCell ref="K606:K607"/>
    <mergeCell ref="K608:K609"/>
    <mergeCell ref="K610:K611"/>
    <mergeCell ref="K612:K613"/>
    <mergeCell ref="K614:K615"/>
    <mergeCell ref="K621:K622"/>
    <mergeCell ref="K623:K624"/>
    <mergeCell ref="K625:K626"/>
    <mergeCell ref="K627:K628"/>
    <mergeCell ref="K629:K630"/>
    <mergeCell ref="K631:K632"/>
    <mergeCell ref="K633:K634"/>
    <mergeCell ref="K635:K636"/>
    <mergeCell ref="K637:K638"/>
    <mergeCell ref="K639:K640"/>
    <mergeCell ref="K641:K642"/>
    <mergeCell ref="K643:K644"/>
    <mergeCell ref="K645:K646"/>
    <mergeCell ref="K647:K648"/>
    <mergeCell ref="K649:K650"/>
    <mergeCell ref="K651:K652"/>
    <mergeCell ref="K653:K654"/>
    <mergeCell ref="K655:K656"/>
    <mergeCell ref="K657:K658"/>
    <mergeCell ref="K659:K660"/>
    <mergeCell ref="K661:K662"/>
    <mergeCell ref="K663:K664"/>
    <mergeCell ref="K665:K666"/>
    <mergeCell ref="K667:K668"/>
    <mergeCell ref="K669:K670"/>
    <mergeCell ref="K671:K672"/>
    <mergeCell ref="K673:K674"/>
    <mergeCell ref="K675:K676"/>
    <mergeCell ref="K677:K678"/>
    <mergeCell ref="K679:K680"/>
    <mergeCell ref="K681:K682"/>
    <mergeCell ref="K683:K684"/>
    <mergeCell ref="K685:K686"/>
    <mergeCell ref="K687:K688"/>
    <mergeCell ref="K689:K690"/>
    <mergeCell ref="K691:K692"/>
    <mergeCell ref="K693:K694"/>
    <mergeCell ref="K695:K696"/>
    <mergeCell ref="K697:K698"/>
    <mergeCell ref="K699:K700"/>
    <mergeCell ref="K701:K702"/>
    <mergeCell ref="K703:K704"/>
    <mergeCell ref="K705:K706"/>
    <mergeCell ref="K707:K708"/>
    <mergeCell ref="K709:K710"/>
    <mergeCell ref="K711:K712"/>
    <mergeCell ref="K713:K714"/>
    <mergeCell ref="K715:K716"/>
    <mergeCell ref="K717:K718"/>
    <mergeCell ref="K719:K720"/>
    <mergeCell ref="K721:K722"/>
    <mergeCell ref="K723:K724"/>
    <mergeCell ref="K725:K726"/>
    <mergeCell ref="K727:K728"/>
    <mergeCell ref="K729:K730"/>
    <mergeCell ref="K731:K732"/>
    <mergeCell ref="K733:K734"/>
    <mergeCell ref="K735:K736"/>
    <mergeCell ref="K737:K738"/>
    <mergeCell ref="K739:K740"/>
    <mergeCell ref="K741:K742"/>
    <mergeCell ref="K743:K744"/>
    <mergeCell ref="K745:K746"/>
    <mergeCell ref="K747:K748"/>
    <mergeCell ref="K749:K750"/>
    <mergeCell ref="K751:K752"/>
    <mergeCell ref="K753:K754"/>
    <mergeCell ref="K755:K756"/>
    <mergeCell ref="K757:K758"/>
    <mergeCell ref="K759:K760"/>
    <mergeCell ref="K761:K762"/>
    <mergeCell ref="K763:K764"/>
    <mergeCell ref="K765:K766"/>
    <mergeCell ref="K767:K768"/>
    <mergeCell ref="K769:K770"/>
    <mergeCell ref="K771:K772"/>
    <mergeCell ref="K773:K774"/>
    <mergeCell ref="K775:K776"/>
    <mergeCell ref="K777:K778"/>
    <mergeCell ref="K779:K780"/>
    <mergeCell ref="K781:K782"/>
    <mergeCell ref="K783:K784"/>
    <mergeCell ref="K785:K786"/>
    <mergeCell ref="K787:K788"/>
    <mergeCell ref="K789:K790"/>
    <mergeCell ref="K791:K792"/>
    <mergeCell ref="K793:K794"/>
    <mergeCell ref="K795:K796"/>
    <mergeCell ref="K797:K798"/>
    <mergeCell ref="K799:K800"/>
    <mergeCell ref="K801:K802"/>
    <mergeCell ref="K803:K804"/>
    <mergeCell ref="K805:K806"/>
    <mergeCell ref="K807:K808"/>
    <mergeCell ref="K809:K810"/>
    <mergeCell ref="K811:K812"/>
    <mergeCell ref="K813:K814"/>
    <mergeCell ref="K815:K816"/>
    <mergeCell ref="K817:K818"/>
    <mergeCell ref="K819:K820"/>
    <mergeCell ref="K821:K822"/>
    <mergeCell ref="K823:K824"/>
    <mergeCell ref="K825:K826"/>
    <mergeCell ref="K827:K828"/>
    <mergeCell ref="K829:K830"/>
    <mergeCell ref="K831:K832"/>
    <mergeCell ref="K833:K834"/>
    <mergeCell ref="K835:K836"/>
    <mergeCell ref="K837:K838"/>
    <mergeCell ref="K839:K840"/>
    <mergeCell ref="K841:K842"/>
    <mergeCell ref="K843:K844"/>
    <mergeCell ref="K845:K846"/>
    <mergeCell ref="K847:K848"/>
    <mergeCell ref="K849:K850"/>
    <mergeCell ref="K851:K852"/>
    <mergeCell ref="K853:K854"/>
    <mergeCell ref="K855:K856"/>
    <mergeCell ref="K857:K858"/>
    <mergeCell ref="K859:K860"/>
    <mergeCell ref="K861:K862"/>
    <mergeCell ref="K863:K864"/>
    <mergeCell ref="K865:K866"/>
    <mergeCell ref="K867:K868"/>
    <mergeCell ref="K869:K870"/>
    <mergeCell ref="K871:K872"/>
    <mergeCell ref="K873:K874"/>
    <mergeCell ref="K875:K876"/>
    <mergeCell ref="K877:K878"/>
    <mergeCell ref="K879:K880"/>
    <mergeCell ref="K881:K882"/>
    <mergeCell ref="K883:K884"/>
    <mergeCell ref="K885:K886"/>
    <mergeCell ref="K887:K888"/>
    <mergeCell ref="K889:K890"/>
    <mergeCell ref="K891:K892"/>
    <mergeCell ref="K893:K894"/>
    <mergeCell ref="K895:K896"/>
    <mergeCell ref="K897:K898"/>
    <mergeCell ref="K899:K900"/>
    <mergeCell ref="K901:K902"/>
    <mergeCell ref="K903:K904"/>
    <mergeCell ref="K905:K906"/>
    <mergeCell ref="K907:K908"/>
    <mergeCell ref="K909:K910"/>
    <mergeCell ref="K911:K912"/>
    <mergeCell ref="K913:K914"/>
    <mergeCell ref="K915:K916"/>
    <mergeCell ref="K917:K918"/>
    <mergeCell ref="K919:K920"/>
    <mergeCell ref="K921:K922"/>
    <mergeCell ref="K923:K924"/>
    <mergeCell ref="K925:K926"/>
    <mergeCell ref="K927:K928"/>
    <mergeCell ref="K929:K930"/>
    <mergeCell ref="K931:K932"/>
    <mergeCell ref="K933:K934"/>
    <mergeCell ref="K935:K936"/>
    <mergeCell ref="K937:K938"/>
    <mergeCell ref="K939:K940"/>
    <mergeCell ref="K941:K942"/>
    <mergeCell ref="K943:K944"/>
    <mergeCell ref="K945:K946"/>
    <mergeCell ref="K947:K948"/>
    <mergeCell ref="K949:K950"/>
    <mergeCell ref="K951:K952"/>
    <mergeCell ref="K953:K954"/>
    <mergeCell ref="K955:K956"/>
    <mergeCell ref="K957:K958"/>
    <mergeCell ref="K959:K960"/>
    <mergeCell ref="K961:K962"/>
    <mergeCell ref="K963:K964"/>
    <mergeCell ref="K965:K966"/>
    <mergeCell ref="K967:K968"/>
    <mergeCell ref="K969:K970"/>
    <mergeCell ref="K971:K972"/>
    <mergeCell ref="K973:K974"/>
    <mergeCell ref="K975:K976"/>
    <mergeCell ref="K977:K978"/>
    <mergeCell ref="K979:K980"/>
    <mergeCell ref="K981:K982"/>
    <mergeCell ref="K983:K984"/>
    <mergeCell ref="K985:K986"/>
    <mergeCell ref="K987:K988"/>
    <mergeCell ref="K989:K990"/>
    <mergeCell ref="K991:K992"/>
    <mergeCell ref="K993:K994"/>
    <mergeCell ref="K995:K996"/>
    <mergeCell ref="K997:K998"/>
    <mergeCell ref="K999:K1000"/>
    <mergeCell ref="K1001:K1002"/>
    <mergeCell ref="K1003:K1004"/>
    <mergeCell ref="K1005:K1006"/>
    <mergeCell ref="K1007:K1008"/>
    <mergeCell ref="K1009:K1010"/>
    <mergeCell ref="K1011:K1012"/>
    <mergeCell ref="K1013:K1014"/>
    <mergeCell ref="K1015:K1016"/>
    <mergeCell ref="K1017:K1018"/>
    <mergeCell ref="K1019:K1020"/>
    <mergeCell ref="K1021:K1022"/>
    <mergeCell ref="K1023:K1024"/>
    <mergeCell ref="K1025:K1026"/>
    <mergeCell ref="K1027:K1028"/>
    <mergeCell ref="K1029:K1030"/>
    <mergeCell ref="K1031:K1032"/>
    <mergeCell ref="K1033:K1034"/>
    <mergeCell ref="K1035:K1036"/>
    <mergeCell ref="K1037:K1038"/>
    <mergeCell ref="K1039:K1040"/>
    <mergeCell ref="K1041:K1042"/>
    <mergeCell ref="K1043:K1044"/>
    <mergeCell ref="K1045:K1046"/>
    <mergeCell ref="K1047:K1048"/>
    <mergeCell ref="K1049:K1050"/>
    <mergeCell ref="K1051:K1052"/>
    <mergeCell ref="K1053:K1054"/>
    <mergeCell ref="K1055:K1056"/>
    <mergeCell ref="K1057:K1058"/>
    <mergeCell ref="K1059:K1060"/>
    <mergeCell ref="K1061:K1062"/>
    <mergeCell ref="K1063:K1064"/>
    <mergeCell ref="K1065:K1066"/>
    <mergeCell ref="K1067:K1068"/>
    <mergeCell ref="K1069:K1070"/>
    <mergeCell ref="K1071:K1072"/>
    <mergeCell ref="K1073:K1074"/>
    <mergeCell ref="K1075:K1076"/>
    <mergeCell ref="K1077:K1078"/>
    <mergeCell ref="K1079:K1080"/>
    <mergeCell ref="K1081:K1082"/>
    <mergeCell ref="K1083:K1084"/>
    <mergeCell ref="K1085:K1086"/>
    <mergeCell ref="K1087:K1088"/>
    <mergeCell ref="K1089:K1090"/>
    <mergeCell ref="K1091:K1092"/>
    <mergeCell ref="K1093:K1094"/>
    <mergeCell ref="K1095:K1096"/>
    <mergeCell ref="K1097:K1098"/>
    <mergeCell ref="K1099:K1100"/>
    <mergeCell ref="K1101:K1102"/>
    <mergeCell ref="K1103:K1104"/>
    <mergeCell ref="K1105:K1106"/>
    <mergeCell ref="K1107:K1108"/>
    <mergeCell ref="K1109:K1110"/>
    <mergeCell ref="K1111:K1112"/>
    <mergeCell ref="K1113:K1114"/>
    <mergeCell ref="K1115:K1116"/>
    <mergeCell ref="K1117:K1118"/>
    <mergeCell ref="K1119:K1120"/>
    <mergeCell ref="K1121:K1122"/>
    <mergeCell ref="K1123:K1124"/>
    <mergeCell ref="K1125:K1126"/>
    <mergeCell ref="K1127:K1128"/>
    <mergeCell ref="K1129:K1130"/>
    <mergeCell ref="K1131:K1132"/>
    <mergeCell ref="K1133:K1134"/>
    <mergeCell ref="K1135:K1136"/>
    <mergeCell ref="K1137:K1138"/>
    <mergeCell ref="K1139:K1140"/>
    <mergeCell ref="K1141:K1142"/>
    <mergeCell ref="K1143:K1144"/>
    <mergeCell ref="K1145:K1146"/>
    <mergeCell ref="K1147:K1148"/>
    <mergeCell ref="K1149:K1150"/>
    <mergeCell ref="K1151:K1152"/>
    <mergeCell ref="K1153:K1154"/>
    <mergeCell ref="K1155:K1156"/>
    <mergeCell ref="K1157:K1158"/>
    <mergeCell ref="K1159:K1160"/>
    <mergeCell ref="K1161:K1162"/>
    <mergeCell ref="K1163:K1164"/>
    <mergeCell ref="K1165:K1166"/>
    <mergeCell ref="K1167:K1168"/>
    <mergeCell ref="K1169:K1170"/>
    <mergeCell ref="K1171:K1172"/>
    <mergeCell ref="K1173:K1174"/>
    <mergeCell ref="K1175:K1176"/>
    <mergeCell ref="K1177:K1178"/>
    <mergeCell ref="K1179:K1180"/>
    <mergeCell ref="K1181:K1182"/>
    <mergeCell ref="K1183:K1184"/>
    <mergeCell ref="K1185:K1186"/>
    <mergeCell ref="K1187:K1188"/>
    <mergeCell ref="K1189:K1190"/>
    <mergeCell ref="K1191:K1192"/>
    <mergeCell ref="K1193:K1194"/>
    <mergeCell ref="K1195:K1196"/>
    <mergeCell ref="K1197:K1198"/>
    <mergeCell ref="K1199:K1200"/>
    <mergeCell ref="K1201:K1202"/>
    <mergeCell ref="K1203:K1204"/>
    <mergeCell ref="K1205:K1206"/>
    <mergeCell ref="K1207:K1208"/>
    <mergeCell ref="K1209:K1210"/>
    <mergeCell ref="K1211:K1212"/>
    <mergeCell ref="K1213:K1214"/>
    <mergeCell ref="K1215:K1216"/>
    <mergeCell ref="K1217:K1218"/>
    <mergeCell ref="K1219:K1220"/>
    <mergeCell ref="K1221:K1222"/>
    <mergeCell ref="K1223:K1224"/>
    <mergeCell ref="K1225:K1226"/>
    <mergeCell ref="K1227:K1228"/>
    <mergeCell ref="K1229:K1230"/>
    <mergeCell ref="K1231:K1232"/>
    <mergeCell ref="K1233:K1234"/>
    <mergeCell ref="K1235:K1236"/>
    <mergeCell ref="K1237:K1238"/>
    <mergeCell ref="K1239:K1240"/>
    <mergeCell ref="K1241:K1242"/>
    <mergeCell ref="K1243:K1244"/>
    <mergeCell ref="K1245:K1246"/>
    <mergeCell ref="K1247:K1248"/>
    <mergeCell ref="K1249:K1250"/>
    <mergeCell ref="K1251:K1252"/>
    <mergeCell ref="K1253:K1254"/>
    <mergeCell ref="K1255:K1256"/>
    <mergeCell ref="K1257:K1258"/>
    <mergeCell ref="K1259:K1260"/>
    <mergeCell ref="K1261:K1262"/>
    <mergeCell ref="K1263:K1264"/>
    <mergeCell ref="K1265:K1266"/>
    <mergeCell ref="K1267:K1268"/>
    <mergeCell ref="K1269:K1270"/>
    <mergeCell ref="K1271:K1272"/>
    <mergeCell ref="K1273:K1274"/>
    <mergeCell ref="K1275:K1276"/>
    <mergeCell ref="K1277:K1278"/>
    <mergeCell ref="K1279:K1280"/>
    <mergeCell ref="K1281:K1282"/>
    <mergeCell ref="K1283:K1284"/>
    <mergeCell ref="K1285:K1286"/>
    <mergeCell ref="K1287:K1288"/>
    <mergeCell ref="K1289:K1290"/>
    <mergeCell ref="K1291:K1292"/>
    <mergeCell ref="K1293:K1294"/>
    <mergeCell ref="K1295:K1296"/>
    <mergeCell ref="K1297:K1298"/>
    <mergeCell ref="K1299:K1300"/>
    <mergeCell ref="K1301:K1302"/>
    <mergeCell ref="K1303:K1304"/>
    <mergeCell ref="K1305:K1306"/>
    <mergeCell ref="K1307:K1308"/>
    <mergeCell ref="K1309:K1310"/>
    <mergeCell ref="K1311:K1312"/>
    <mergeCell ref="K1313:K1314"/>
    <mergeCell ref="K1315:K1316"/>
    <mergeCell ref="K1317:K1318"/>
    <mergeCell ref="K1319:K1320"/>
    <mergeCell ref="K1321:K1322"/>
    <mergeCell ref="K1323:K1324"/>
    <mergeCell ref="K1325:K1326"/>
    <mergeCell ref="K1327:K1328"/>
    <mergeCell ref="K1329:K1330"/>
    <mergeCell ref="K1331:K1332"/>
    <mergeCell ref="K1333:K1334"/>
    <mergeCell ref="K1335:K1336"/>
    <mergeCell ref="K1337:K1338"/>
    <mergeCell ref="K1339:K1340"/>
    <mergeCell ref="K1341:K1342"/>
    <mergeCell ref="K1343:K1344"/>
    <mergeCell ref="K1345:K1346"/>
    <mergeCell ref="K1347:K1348"/>
    <mergeCell ref="K1349:K1350"/>
    <mergeCell ref="K1351:K1352"/>
    <mergeCell ref="K1353:K1354"/>
    <mergeCell ref="K1355:K1356"/>
    <mergeCell ref="K1357:K1358"/>
    <mergeCell ref="K1359:K1360"/>
    <mergeCell ref="K1361:K1362"/>
    <mergeCell ref="K1363:K1364"/>
    <mergeCell ref="K1365:K1366"/>
    <mergeCell ref="K1367:K1368"/>
    <mergeCell ref="K1369:K1370"/>
    <mergeCell ref="K1371:K1372"/>
    <mergeCell ref="K1373:K1374"/>
    <mergeCell ref="K1375:K1376"/>
    <mergeCell ref="K1377:K1378"/>
    <mergeCell ref="K1379:K1380"/>
    <mergeCell ref="K1381:K1382"/>
    <mergeCell ref="K1383:K1384"/>
    <mergeCell ref="K1385:K1386"/>
    <mergeCell ref="K1387:K1388"/>
    <mergeCell ref="K1389:K1390"/>
    <mergeCell ref="K1391:K1392"/>
    <mergeCell ref="K1393:K1394"/>
    <mergeCell ref="K1395:K1396"/>
    <mergeCell ref="K1397:K1398"/>
    <mergeCell ref="K1399:K1400"/>
    <mergeCell ref="K1401:K1402"/>
    <mergeCell ref="K1403:K1404"/>
    <mergeCell ref="K1405:K1406"/>
    <mergeCell ref="K1407:K1408"/>
    <mergeCell ref="K1409:K1410"/>
    <mergeCell ref="K1411:K1412"/>
    <mergeCell ref="K1413:K1414"/>
    <mergeCell ref="K1415:K1416"/>
    <mergeCell ref="K1417:K1418"/>
    <mergeCell ref="K1419:K1420"/>
    <mergeCell ref="K1421:K1422"/>
    <mergeCell ref="K1423:K1424"/>
    <mergeCell ref="K1425:K1426"/>
    <mergeCell ref="K1427:K1428"/>
    <mergeCell ref="K1429:K1430"/>
    <mergeCell ref="K1431:K1432"/>
    <mergeCell ref="K1433:K1434"/>
    <mergeCell ref="K1435:K1436"/>
    <mergeCell ref="K1437:K1438"/>
    <mergeCell ref="K1439:K1440"/>
    <mergeCell ref="K1441:K1442"/>
    <mergeCell ref="K1443:K1444"/>
    <mergeCell ref="K1445:K1446"/>
    <mergeCell ref="K1447:K1448"/>
    <mergeCell ref="K1449:K1450"/>
    <mergeCell ref="K1451:K1452"/>
    <mergeCell ref="K1453:K1454"/>
    <mergeCell ref="K1455:K1456"/>
    <mergeCell ref="K1457:K1458"/>
    <mergeCell ref="K1459:K1460"/>
    <mergeCell ref="K1461:K1462"/>
    <mergeCell ref="K1463:K1464"/>
    <mergeCell ref="K1465:K1466"/>
    <mergeCell ref="K1467:K1468"/>
    <mergeCell ref="K1469:K1470"/>
    <mergeCell ref="K1471:K1472"/>
    <mergeCell ref="K1473:K1474"/>
    <mergeCell ref="K1475:K1476"/>
    <mergeCell ref="K1477:K1478"/>
    <mergeCell ref="K1479:K1480"/>
    <mergeCell ref="K1481:K1482"/>
    <mergeCell ref="K1483:K1484"/>
    <mergeCell ref="K1485:K1486"/>
    <mergeCell ref="K1487:K1488"/>
    <mergeCell ref="K1489:K1490"/>
    <mergeCell ref="K1491:K1492"/>
    <mergeCell ref="K1493:K1494"/>
    <mergeCell ref="K1495:K1496"/>
    <mergeCell ref="K1497:K1498"/>
    <mergeCell ref="K1499:K1500"/>
    <mergeCell ref="K1501:K1502"/>
    <mergeCell ref="K1503:K1504"/>
    <mergeCell ref="K1505:K1506"/>
    <mergeCell ref="K1507:K1508"/>
    <mergeCell ref="K1509:K1510"/>
    <mergeCell ref="K1511:K1512"/>
    <mergeCell ref="K1513:K1514"/>
    <mergeCell ref="K1515:K1516"/>
    <mergeCell ref="K1517:K1518"/>
    <mergeCell ref="K1519:K1520"/>
    <mergeCell ref="K1521:K1522"/>
    <mergeCell ref="K1523:K1524"/>
    <mergeCell ref="K1525:K1526"/>
    <mergeCell ref="K1527:K1528"/>
    <mergeCell ref="K1529:K1530"/>
    <mergeCell ref="K1531:K1532"/>
    <mergeCell ref="K1533:K1534"/>
    <mergeCell ref="K1535:K1536"/>
    <mergeCell ref="K1537:K1538"/>
    <mergeCell ref="K1539:K1540"/>
    <mergeCell ref="K1541:K1542"/>
    <mergeCell ref="K1543:K1544"/>
    <mergeCell ref="K1545:K1546"/>
    <mergeCell ref="K1547:K1548"/>
    <mergeCell ref="K1549:K1550"/>
    <mergeCell ref="K1551:K1552"/>
    <mergeCell ref="K1553:K1554"/>
    <mergeCell ref="K1555:K1556"/>
    <mergeCell ref="K1557:K1558"/>
    <mergeCell ref="K1559:K1560"/>
    <mergeCell ref="K1561:K1562"/>
    <mergeCell ref="K1563:K1564"/>
    <mergeCell ref="K1565:K1566"/>
    <mergeCell ref="K1567:K1568"/>
    <mergeCell ref="K1569:K1570"/>
    <mergeCell ref="K1571:K1572"/>
    <mergeCell ref="K1573:K1574"/>
    <mergeCell ref="K1575:K1576"/>
    <mergeCell ref="K1577:K1578"/>
    <mergeCell ref="K1579:K1580"/>
    <mergeCell ref="K1581:K1582"/>
    <mergeCell ref="K1583:K1584"/>
    <mergeCell ref="K1585:K1586"/>
    <mergeCell ref="K1587:K1588"/>
    <mergeCell ref="K1589:K1590"/>
    <mergeCell ref="K1591:K1592"/>
    <mergeCell ref="K1593:K1594"/>
    <mergeCell ref="K1595:K1596"/>
    <mergeCell ref="K1597:K1598"/>
    <mergeCell ref="K1599:K1600"/>
    <mergeCell ref="K1601:K1602"/>
    <mergeCell ref="K1603:K1604"/>
    <mergeCell ref="K1605:K1606"/>
    <mergeCell ref="K1607:K1608"/>
    <mergeCell ref="K1609:K1610"/>
    <mergeCell ref="K1611:K1612"/>
    <mergeCell ref="K1613:K1614"/>
    <mergeCell ref="K1615:K1616"/>
    <mergeCell ref="K1617:K1618"/>
    <mergeCell ref="K1619:K1620"/>
    <mergeCell ref="K1621:K1622"/>
    <mergeCell ref="K1623:K1624"/>
    <mergeCell ref="K1625:K1626"/>
    <mergeCell ref="K1627:K1628"/>
    <mergeCell ref="K1629:K1630"/>
    <mergeCell ref="K1631:K1632"/>
    <mergeCell ref="K1633:K1634"/>
    <mergeCell ref="K1635:K1636"/>
    <mergeCell ref="K1637:K1638"/>
    <mergeCell ref="K1639:K1640"/>
    <mergeCell ref="K1641:K1642"/>
    <mergeCell ref="K1643:K1644"/>
    <mergeCell ref="K1645:K1646"/>
    <mergeCell ref="K1647:K1648"/>
    <mergeCell ref="K1649:K1650"/>
    <mergeCell ref="K1651:K1652"/>
    <mergeCell ref="K1653:K1654"/>
    <mergeCell ref="K1655:K1656"/>
    <mergeCell ref="K1657:K1658"/>
    <mergeCell ref="K1659:K1660"/>
    <mergeCell ref="K1661:K1662"/>
    <mergeCell ref="K1663:K1664"/>
    <mergeCell ref="K1665:K1666"/>
    <mergeCell ref="K1667:K1668"/>
    <mergeCell ref="K1669:K1670"/>
    <mergeCell ref="K1671:K1672"/>
    <mergeCell ref="K1673:K1674"/>
    <mergeCell ref="K1675:K1676"/>
    <mergeCell ref="K1677:K1678"/>
    <mergeCell ref="K1679:K1680"/>
    <mergeCell ref="K1681:K1682"/>
    <mergeCell ref="K1683:K1684"/>
    <mergeCell ref="K1685:K1686"/>
    <mergeCell ref="K1687:K1688"/>
    <mergeCell ref="K1689:K1690"/>
    <mergeCell ref="K1691:K1692"/>
    <mergeCell ref="K1693:K1694"/>
    <mergeCell ref="K1695:K1696"/>
    <mergeCell ref="K1697:K1698"/>
    <mergeCell ref="K1699:K1700"/>
    <mergeCell ref="K1701:K1702"/>
    <mergeCell ref="K1703:K1704"/>
    <mergeCell ref="K1705:K1706"/>
    <mergeCell ref="K1707:K1708"/>
    <mergeCell ref="K1709:K1710"/>
    <mergeCell ref="K1711:K1712"/>
    <mergeCell ref="K1713:K1714"/>
    <mergeCell ref="K1715:K1716"/>
    <mergeCell ref="K1717:K1718"/>
    <mergeCell ref="K1719:K1720"/>
    <mergeCell ref="K1721:K1722"/>
    <mergeCell ref="K1723:K1724"/>
    <mergeCell ref="K1725:K1726"/>
    <mergeCell ref="K1727:K1728"/>
    <mergeCell ref="K1729:K1730"/>
    <mergeCell ref="K1731:K1732"/>
    <mergeCell ref="K1733:K1734"/>
    <mergeCell ref="K1735:K1736"/>
    <mergeCell ref="K1737:K1738"/>
    <mergeCell ref="K1739:K1740"/>
    <mergeCell ref="K1741:K1742"/>
    <mergeCell ref="K1743:K1744"/>
    <mergeCell ref="K1745:K1746"/>
    <mergeCell ref="K1747:K1748"/>
    <mergeCell ref="K1749:K1750"/>
    <mergeCell ref="K1751:K1752"/>
    <mergeCell ref="K1753:K1754"/>
    <mergeCell ref="K1755:K1756"/>
    <mergeCell ref="K1757:K1758"/>
    <mergeCell ref="K1759:K1760"/>
    <mergeCell ref="K1761:K1762"/>
    <mergeCell ref="K1763:K1764"/>
    <mergeCell ref="K1765:K1766"/>
    <mergeCell ref="K1767:K1768"/>
    <mergeCell ref="K1769:K1770"/>
    <mergeCell ref="K1771:K1772"/>
    <mergeCell ref="K1773:K1774"/>
    <mergeCell ref="K1775:K1776"/>
    <mergeCell ref="K1777:K1778"/>
    <mergeCell ref="K1779:K1780"/>
    <mergeCell ref="K1781:K1782"/>
    <mergeCell ref="K1783:K1784"/>
    <mergeCell ref="K1785:K1786"/>
    <mergeCell ref="K1787:K1788"/>
    <mergeCell ref="K1789:K1790"/>
    <mergeCell ref="K1791:K1792"/>
    <mergeCell ref="K1793:K1794"/>
    <mergeCell ref="K1795:K1796"/>
    <mergeCell ref="K1797:K1798"/>
    <mergeCell ref="K1799:K1800"/>
    <mergeCell ref="K1801:K1802"/>
    <mergeCell ref="K1803:K1804"/>
    <mergeCell ref="K1805:K1806"/>
    <mergeCell ref="K1807:K1808"/>
    <mergeCell ref="K1809:K1810"/>
    <mergeCell ref="K1811:K1812"/>
    <mergeCell ref="K1813:K1814"/>
    <mergeCell ref="K1815:K1816"/>
    <mergeCell ref="K1817:K1818"/>
    <mergeCell ref="K1819:K1820"/>
    <mergeCell ref="L10:L11"/>
    <mergeCell ref="L12:L13"/>
    <mergeCell ref="L14:L15"/>
    <mergeCell ref="L16:L17"/>
    <mergeCell ref="L18:L19"/>
    <mergeCell ref="L20:L21"/>
    <mergeCell ref="L22:L23"/>
    <mergeCell ref="L24:L25"/>
    <mergeCell ref="L26:L27"/>
    <mergeCell ref="L28:L29"/>
    <mergeCell ref="L30:L31"/>
    <mergeCell ref="L32:L33"/>
    <mergeCell ref="L34:L35"/>
    <mergeCell ref="L36:L37"/>
    <mergeCell ref="L38:L39"/>
    <mergeCell ref="L40:L41"/>
    <mergeCell ref="L42:L43"/>
    <mergeCell ref="L44:L45"/>
    <mergeCell ref="L46:L47"/>
    <mergeCell ref="L48:L49"/>
    <mergeCell ref="L50:L51"/>
    <mergeCell ref="L52:L53"/>
    <mergeCell ref="L54:L55"/>
    <mergeCell ref="L56:L57"/>
    <mergeCell ref="L58:L59"/>
    <mergeCell ref="L60:L61"/>
    <mergeCell ref="L62:L63"/>
    <mergeCell ref="L64:L65"/>
    <mergeCell ref="L66:L67"/>
    <mergeCell ref="L68:L69"/>
    <mergeCell ref="L70:L71"/>
    <mergeCell ref="L72:L73"/>
    <mergeCell ref="L74:L75"/>
    <mergeCell ref="L76:L77"/>
    <mergeCell ref="L78:L79"/>
    <mergeCell ref="L80:L81"/>
    <mergeCell ref="L82:L83"/>
    <mergeCell ref="L84:L85"/>
    <mergeCell ref="L86:L87"/>
    <mergeCell ref="L88:L89"/>
    <mergeCell ref="L90:L91"/>
    <mergeCell ref="L92:L93"/>
    <mergeCell ref="L94:L95"/>
    <mergeCell ref="L96:L97"/>
    <mergeCell ref="L98:L99"/>
    <mergeCell ref="L100:L101"/>
    <mergeCell ref="L102:L103"/>
    <mergeCell ref="L104:L105"/>
    <mergeCell ref="L106:L107"/>
    <mergeCell ref="L108:L109"/>
    <mergeCell ref="L110:L111"/>
    <mergeCell ref="L112:L113"/>
    <mergeCell ref="L114:L115"/>
    <mergeCell ref="L116:L117"/>
    <mergeCell ref="L118:L119"/>
    <mergeCell ref="L120:L121"/>
    <mergeCell ref="L122:L123"/>
    <mergeCell ref="L124:L125"/>
    <mergeCell ref="L126:L127"/>
    <mergeCell ref="L128:L129"/>
    <mergeCell ref="L130:L131"/>
    <mergeCell ref="L132:L133"/>
    <mergeCell ref="L134:L135"/>
    <mergeCell ref="L136:L137"/>
    <mergeCell ref="L138:L139"/>
    <mergeCell ref="L140:L141"/>
    <mergeCell ref="L142:L143"/>
    <mergeCell ref="L144:L145"/>
    <mergeCell ref="L146:L147"/>
    <mergeCell ref="L148:L149"/>
    <mergeCell ref="L150:L151"/>
    <mergeCell ref="L152:L153"/>
    <mergeCell ref="L154:L155"/>
    <mergeCell ref="L156:L157"/>
    <mergeCell ref="L158:L159"/>
    <mergeCell ref="L160:L161"/>
    <mergeCell ref="L162:L163"/>
    <mergeCell ref="L164:L165"/>
    <mergeCell ref="L166:L167"/>
    <mergeCell ref="L168:L169"/>
    <mergeCell ref="L170:L171"/>
    <mergeCell ref="L172:L173"/>
    <mergeCell ref="L174:L175"/>
    <mergeCell ref="L176:L177"/>
    <mergeCell ref="L178:L179"/>
    <mergeCell ref="L180:L181"/>
    <mergeCell ref="L182:L183"/>
    <mergeCell ref="L184:L185"/>
    <mergeCell ref="L186:L187"/>
    <mergeCell ref="L188:L189"/>
    <mergeCell ref="L190:L191"/>
    <mergeCell ref="L192:L193"/>
    <mergeCell ref="L194:L195"/>
    <mergeCell ref="L196:L197"/>
    <mergeCell ref="L198:L199"/>
    <mergeCell ref="L200:L201"/>
    <mergeCell ref="L202:L203"/>
    <mergeCell ref="L204:L205"/>
    <mergeCell ref="L206:L207"/>
    <mergeCell ref="L208:L209"/>
    <mergeCell ref="L210:L211"/>
    <mergeCell ref="L212:L213"/>
    <mergeCell ref="L214:L215"/>
    <mergeCell ref="L216:L217"/>
    <mergeCell ref="L218:L219"/>
    <mergeCell ref="L220:L221"/>
    <mergeCell ref="L222:L223"/>
    <mergeCell ref="L224:L225"/>
    <mergeCell ref="L226:L227"/>
    <mergeCell ref="L228:L229"/>
    <mergeCell ref="L230:L231"/>
    <mergeCell ref="L232:L233"/>
    <mergeCell ref="L234:L235"/>
    <mergeCell ref="L236:L237"/>
    <mergeCell ref="L238:L239"/>
    <mergeCell ref="L240:L241"/>
    <mergeCell ref="L242:L243"/>
    <mergeCell ref="L244:L245"/>
    <mergeCell ref="L246:L247"/>
    <mergeCell ref="L248:L249"/>
    <mergeCell ref="L250:L251"/>
    <mergeCell ref="L252:L253"/>
    <mergeCell ref="L254:L255"/>
    <mergeCell ref="L256:L257"/>
    <mergeCell ref="L258:L259"/>
    <mergeCell ref="L260:L261"/>
    <mergeCell ref="L262:L263"/>
    <mergeCell ref="L264:L265"/>
    <mergeCell ref="L266:L267"/>
    <mergeCell ref="L268:L269"/>
    <mergeCell ref="L270:L271"/>
    <mergeCell ref="L272:L273"/>
    <mergeCell ref="L274:L275"/>
    <mergeCell ref="L276:L277"/>
    <mergeCell ref="L278:L279"/>
    <mergeCell ref="L280:L281"/>
    <mergeCell ref="L282:L283"/>
    <mergeCell ref="L284:L285"/>
    <mergeCell ref="L286:L287"/>
    <mergeCell ref="L288:L289"/>
    <mergeCell ref="L290:L291"/>
    <mergeCell ref="L292:L293"/>
    <mergeCell ref="L294:L295"/>
    <mergeCell ref="L296:L297"/>
    <mergeCell ref="L298:L299"/>
    <mergeCell ref="L300:L301"/>
    <mergeCell ref="L302:L303"/>
    <mergeCell ref="L304:L305"/>
    <mergeCell ref="L306:L307"/>
    <mergeCell ref="L308:L309"/>
    <mergeCell ref="L316:L317"/>
    <mergeCell ref="L318:L319"/>
    <mergeCell ref="L320:L321"/>
    <mergeCell ref="L322:L323"/>
    <mergeCell ref="L324:L325"/>
    <mergeCell ref="L326:L327"/>
    <mergeCell ref="L328:L329"/>
    <mergeCell ref="L330:L331"/>
    <mergeCell ref="L332:L333"/>
    <mergeCell ref="L334:L335"/>
    <mergeCell ref="L336:L337"/>
    <mergeCell ref="L338:L339"/>
    <mergeCell ref="L340:L341"/>
    <mergeCell ref="L342:L343"/>
    <mergeCell ref="L344:L345"/>
    <mergeCell ref="L346:L347"/>
    <mergeCell ref="L348:L349"/>
    <mergeCell ref="L350:L351"/>
    <mergeCell ref="L352:L353"/>
    <mergeCell ref="L354:L355"/>
    <mergeCell ref="L356:L357"/>
    <mergeCell ref="L358:L359"/>
    <mergeCell ref="L360:L361"/>
    <mergeCell ref="L362:L363"/>
    <mergeCell ref="L364:L365"/>
    <mergeCell ref="L366:L367"/>
    <mergeCell ref="L368:L369"/>
    <mergeCell ref="L370:L371"/>
    <mergeCell ref="L372:L373"/>
    <mergeCell ref="L374:L375"/>
    <mergeCell ref="L376:L377"/>
    <mergeCell ref="L378:L379"/>
    <mergeCell ref="L380:L381"/>
    <mergeCell ref="L382:L383"/>
    <mergeCell ref="L384:L385"/>
    <mergeCell ref="L386:L387"/>
    <mergeCell ref="L388:L389"/>
    <mergeCell ref="L390:L391"/>
    <mergeCell ref="L392:L393"/>
    <mergeCell ref="L394:L395"/>
    <mergeCell ref="L396:L397"/>
    <mergeCell ref="L398:L399"/>
    <mergeCell ref="L400:L401"/>
    <mergeCell ref="L402:L403"/>
    <mergeCell ref="L404:L405"/>
    <mergeCell ref="L406:L407"/>
    <mergeCell ref="L408:L409"/>
    <mergeCell ref="L410:L411"/>
    <mergeCell ref="L412:L413"/>
    <mergeCell ref="L414:L415"/>
    <mergeCell ref="L416:L417"/>
    <mergeCell ref="L418:L419"/>
    <mergeCell ref="L420:L421"/>
    <mergeCell ref="L422:L423"/>
    <mergeCell ref="L424:L425"/>
    <mergeCell ref="L426:L427"/>
    <mergeCell ref="L428:L429"/>
    <mergeCell ref="L430:L431"/>
    <mergeCell ref="L432:L433"/>
    <mergeCell ref="L434:L435"/>
    <mergeCell ref="L436:L437"/>
    <mergeCell ref="L438:L439"/>
    <mergeCell ref="L440:L441"/>
    <mergeCell ref="L442:L443"/>
    <mergeCell ref="L444:L445"/>
    <mergeCell ref="L446:L447"/>
    <mergeCell ref="L448:L449"/>
    <mergeCell ref="L450:L451"/>
    <mergeCell ref="L452:L453"/>
    <mergeCell ref="L454:L455"/>
    <mergeCell ref="L456:L457"/>
    <mergeCell ref="L458:L459"/>
    <mergeCell ref="L460:L461"/>
    <mergeCell ref="L462:L463"/>
    <mergeCell ref="L464:L465"/>
    <mergeCell ref="L466:L467"/>
    <mergeCell ref="L468:L469"/>
    <mergeCell ref="L470:L471"/>
    <mergeCell ref="L472:L473"/>
    <mergeCell ref="L474:L475"/>
    <mergeCell ref="L476:L477"/>
    <mergeCell ref="L478:L479"/>
    <mergeCell ref="L480:L481"/>
    <mergeCell ref="L482:L483"/>
    <mergeCell ref="L484:L485"/>
    <mergeCell ref="L486:L487"/>
    <mergeCell ref="L488:L489"/>
    <mergeCell ref="L490:L491"/>
    <mergeCell ref="L492:L493"/>
    <mergeCell ref="L494:L495"/>
    <mergeCell ref="L496:L497"/>
    <mergeCell ref="L498:L499"/>
    <mergeCell ref="L500:L501"/>
    <mergeCell ref="L502:L503"/>
    <mergeCell ref="L504:L505"/>
    <mergeCell ref="L506:L507"/>
    <mergeCell ref="L508:L509"/>
    <mergeCell ref="L510:L511"/>
    <mergeCell ref="L512:L513"/>
    <mergeCell ref="L514:L515"/>
    <mergeCell ref="L516:L517"/>
    <mergeCell ref="L518:L519"/>
    <mergeCell ref="L520:L521"/>
    <mergeCell ref="L522:L523"/>
    <mergeCell ref="L524:L525"/>
    <mergeCell ref="L526:L527"/>
    <mergeCell ref="L528:L529"/>
    <mergeCell ref="L530:L531"/>
    <mergeCell ref="L532:L533"/>
    <mergeCell ref="L534:L535"/>
    <mergeCell ref="L536:L537"/>
    <mergeCell ref="L538:L539"/>
    <mergeCell ref="L540:L541"/>
    <mergeCell ref="L542:L543"/>
    <mergeCell ref="L544:L545"/>
    <mergeCell ref="L546:L547"/>
    <mergeCell ref="L548:L549"/>
    <mergeCell ref="L550:L551"/>
    <mergeCell ref="L552:L553"/>
    <mergeCell ref="L554:L555"/>
    <mergeCell ref="L556:L557"/>
    <mergeCell ref="L558:L559"/>
    <mergeCell ref="L560:L561"/>
    <mergeCell ref="L562:L563"/>
    <mergeCell ref="L564:L565"/>
    <mergeCell ref="L566:L567"/>
    <mergeCell ref="L568:L569"/>
    <mergeCell ref="L570:L571"/>
    <mergeCell ref="L572:L573"/>
    <mergeCell ref="L574:L575"/>
    <mergeCell ref="L576:L577"/>
    <mergeCell ref="L578:L579"/>
    <mergeCell ref="L580:L581"/>
    <mergeCell ref="L582:L583"/>
    <mergeCell ref="L584:L585"/>
    <mergeCell ref="L586:L587"/>
    <mergeCell ref="L588:L589"/>
    <mergeCell ref="L590:L591"/>
    <mergeCell ref="L592:L593"/>
    <mergeCell ref="L594:L595"/>
    <mergeCell ref="L596:L597"/>
    <mergeCell ref="L598:L599"/>
    <mergeCell ref="L600:L601"/>
    <mergeCell ref="L602:L603"/>
    <mergeCell ref="L604:L605"/>
    <mergeCell ref="L606:L607"/>
    <mergeCell ref="L608:L609"/>
    <mergeCell ref="L610:L611"/>
    <mergeCell ref="L612:L613"/>
    <mergeCell ref="L614:L615"/>
    <mergeCell ref="L621:L622"/>
    <mergeCell ref="L623:L624"/>
    <mergeCell ref="L625:L626"/>
    <mergeCell ref="L627:L628"/>
    <mergeCell ref="L629:L630"/>
    <mergeCell ref="L631:L632"/>
    <mergeCell ref="L633:L634"/>
    <mergeCell ref="L635:L636"/>
    <mergeCell ref="L637:L638"/>
    <mergeCell ref="L639:L640"/>
    <mergeCell ref="L641:L642"/>
    <mergeCell ref="L643:L644"/>
    <mergeCell ref="L645:L646"/>
    <mergeCell ref="L647:L648"/>
    <mergeCell ref="L649:L650"/>
    <mergeCell ref="L651:L652"/>
    <mergeCell ref="L653:L654"/>
    <mergeCell ref="L655:L656"/>
    <mergeCell ref="L657:L658"/>
    <mergeCell ref="L659:L660"/>
    <mergeCell ref="L661:L662"/>
    <mergeCell ref="L663:L664"/>
    <mergeCell ref="L665:L666"/>
    <mergeCell ref="L667:L668"/>
    <mergeCell ref="L669:L670"/>
    <mergeCell ref="L671:L672"/>
    <mergeCell ref="L673:L674"/>
    <mergeCell ref="L675:L676"/>
    <mergeCell ref="L677:L678"/>
    <mergeCell ref="L679:L680"/>
    <mergeCell ref="L681:L682"/>
    <mergeCell ref="L683:L684"/>
    <mergeCell ref="L685:L686"/>
    <mergeCell ref="L687:L688"/>
    <mergeCell ref="L689:L690"/>
    <mergeCell ref="L691:L692"/>
    <mergeCell ref="L693:L694"/>
    <mergeCell ref="L695:L696"/>
    <mergeCell ref="L697:L698"/>
    <mergeCell ref="L699:L700"/>
    <mergeCell ref="L701:L702"/>
    <mergeCell ref="L703:L704"/>
    <mergeCell ref="L705:L706"/>
    <mergeCell ref="L707:L708"/>
    <mergeCell ref="L709:L710"/>
    <mergeCell ref="L711:L712"/>
    <mergeCell ref="L713:L714"/>
    <mergeCell ref="L715:L716"/>
    <mergeCell ref="L717:L718"/>
    <mergeCell ref="L719:L720"/>
    <mergeCell ref="L721:L722"/>
    <mergeCell ref="L723:L724"/>
    <mergeCell ref="L725:L726"/>
    <mergeCell ref="L727:L728"/>
    <mergeCell ref="L729:L730"/>
    <mergeCell ref="L731:L732"/>
    <mergeCell ref="L733:L734"/>
    <mergeCell ref="L735:L736"/>
    <mergeCell ref="L737:L738"/>
    <mergeCell ref="L739:L740"/>
    <mergeCell ref="L741:L742"/>
    <mergeCell ref="L743:L744"/>
    <mergeCell ref="L745:L746"/>
    <mergeCell ref="L747:L748"/>
    <mergeCell ref="L749:L750"/>
    <mergeCell ref="L751:L752"/>
    <mergeCell ref="L753:L754"/>
    <mergeCell ref="L755:L756"/>
    <mergeCell ref="L757:L758"/>
    <mergeCell ref="L759:L760"/>
    <mergeCell ref="L761:L762"/>
    <mergeCell ref="L763:L764"/>
    <mergeCell ref="L765:L766"/>
    <mergeCell ref="L767:L768"/>
    <mergeCell ref="L769:L770"/>
    <mergeCell ref="L771:L772"/>
    <mergeCell ref="L773:L774"/>
    <mergeCell ref="L775:L776"/>
    <mergeCell ref="L777:L778"/>
    <mergeCell ref="L779:L780"/>
    <mergeCell ref="L781:L782"/>
    <mergeCell ref="L783:L784"/>
    <mergeCell ref="L785:L786"/>
    <mergeCell ref="L787:L788"/>
    <mergeCell ref="L789:L790"/>
    <mergeCell ref="L791:L792"/>
    <mergeCell ref="L793:L794"/>
    <mergeCell ref="L795:L796"/>
    <mergeCell ref="L797:L798"/>
    <mergeCell ref="L799:L800"/>
    <mergeCell ref="L801:L802"/>
    <mergeCell ref="L803:L804"/>
    <mergeCell ref="L805:L806"/>
    <mergeCell ref="L807:L808"/>
    <mergeCell ref="L809:L810"/>
    <mergeCell ref="L811:L812"/>
    <mergeCell ref="L813:L814"/>
    <mergeCell ref="L815:L816"/>
    <mergeCell ref="L817:L818"/>
    <mergeCell ref="L819:L820"/>
    <mergeCell ref="L821:L822"/>
    <mergeCell ref="L823:L824"/>
    <mergeCell ref="L825:L826"/>
    <mergeCell ref="L827:L828"/>
    <mergeCell ref="L829:L830"/>
    <mergeCell ref="L831:L832"/>
    <mergeCell ref="L833:L834"/>
    <mergeCell ref="L835:L836"/>
    <mergeCell ref="L837:L838"/>
    <mergeCell ref="L839:L840"/>
    <mergeCell ref="L841:L842"/>
    <mergeCell ref="L843:L844"/>
    <mergeCell ref="L845:L846"/>
    <mergeCell ref="L847:L848"/>
    <mergeCell ref="L849:L850"/>
    <mergeCell ref="L851:L852"/>
    <mergeCell ref="L853:L854"/>
    <mergeCell ref="L855:L856"/>
    <mergeCell ref="L857:L858"/>
    <mergeCell ref="L859:L860"/>
    <mergeCell ref="L861:L862"/>
    <mergeCell ref="L863:L864"/>
    <mergeCell ref="L865:L866"/>
    <mergeCell ref="L867:L868"/>
    <mergeCell ref="L869:L870"/>
    <mergeCell ref="L871:L872"/>
    <mergeCell ref="L873:L874"/>
    <mergeCell ref="L875:L876"/>
    <mergeCell ref="L877:L878"/>
    <mergeCell ref="L879:L880"/>
    <mergeCell ref="L881:L882"/>
    <mergeCell ref="L883:L884"/>
    <mergeCell ref="L885:L886"/>
    <mergeCell ref="L887:L888"/>
    <mergeCell ref="L889:L890"/>
    <mergeCell ref="L891:L892"/>
    <mergeCell ref="L893:L894"/>
    <mergeCell ref="L895:L896"/>
    <mergeCell ref="L897:L898"/>
    <mergeCell ref="L899:L900"/>
    <mergeCell ref="L901:L902"/>
    <mergeCell ref="L903:L904"/>
    <mergeCell ref="L905:L906"/>
    <mergeCell ref="L907:L908"/>
    <mergeCell ref="L909:L910"/>
    <mergeCell ref="L911:L912"/>
    <mergeCell ref="L913:L914"/>
    <mergeCell ref="L915:L916"/>
    <mergeCell ref="L917:L918"/>
    <mergeCell ref="L919:L920"/>
    <mergeCell ref="L921:L922"/>
    <mergeCell ref="L923:L924"/>
    <mergeCell ref="L925:L926"/>
    <mergeCell ref="L927:L928"/>
    <mergeCell ref="L929:L930"/>
    <mergeCell ref="L931:L932"/>
    <mergeCell ref="L933:L934"/>
    <mergeCell ref="L935:L936"/>
    <mergeCell ref="L937:L938"/>
    <mergeCell ref="L939:L940"/>
    <mergeCell ref="L941:L942"/>
    <mergeCell ref="L943:L944"/>
    <mergeCell ref="L945:L946"/>
    <mergeCell ref="L947:L948"/>
    <mergeCell ref="L949:L950"/>
    <mergeCell ref="L951:L952"/>
    <mergeCell ref="L953:L954"/>
    <mergeCell ref="L955:L956"/>
    <mergeCell ref="L957:L958"/>
    <mergeCell ref="L959:L960"/>
    <mergeCell ref="L961:L962"/>
    <mergeCell ref="L963:L964"/>
    <mergeCell ref="L965:L966"/>
    <mergeCell ref="L967:L968"/>
    <mergeCell ref="L969:L970"/>
    <mergeCell ref="L971:L972"/>
    <mergeCell ref="L973:L974"/>
    <mergeCell ref="L975:L976"/>
    <mergeCell ref="L977:L978"/>
    <mergeCell ref="L979:L980"/>
    <mergeCell ref="L981:L982"/>
    <mergeCell ref="L983:L984"/>
    <mergeCell ref="L985:L986"/>
    <mergeCell ref="L987:L988"/>
    <mergeCell ref="L989:L990"/>
    <mergeCell ref="L991:L992"/>
    <mergeCell ref="L993:L994"/>
    <mergeCell ref="L995:L996"/>
    <mergeCell ref="L997:L998"/>
    <mergeCell ref="L999:L1000"/>
    <mergeCell ref="L1001:L1002"/>
    <mergeCell ref="L1003:L1004"/>
    <mergeCell ref="L1005:L1006"/>
    <mergeCell ref="L1007:L1008"/>
    <mergeCell ref="L1009:L1010"/>
    <mergeCell ref="L1011:L1012"/>
    <mergeCell ref="L1013:L1014"/>
    <mergeCell ref="L1015:L1016"/>
    <mergeCell ref="L1017:L1018"/>
    <mergeCell ref="L1019:L1020"/>
    <mergeCell ref="L1021:L1022"/>
    <mergeCell ref="L1023:L1024"/>
    <mergeCell ref="L1025:L1026"/>
    <mergeCell ref="L1027:L1028"/>
    <mergeCell ref="L1029:L1030"/>
    <mergeCell ref="L1031:L1032"/>
    <mergeCell ref="L1033:L1034"/>
    <mergeCell ref="L1035:L1036"/>
    <mergeCell ref="L1037:L1038"/>
    <mergeCell ref="L1039:L1040"/>
    <mergeCell ref="L1041:L1042"/>
    <mergeCell ref="L1043:L1044"/>
    <mergeCell ref="L1045:L1046"/>
    <mergeCell ref="L1047:L1048"/>
    <mergeCell ref="L1049:L1050"/>
    <mergeCell ref="L1051:L1052"/>
    <mergeCell ref="L1053:L1054"/>
    <mergeCell ref="L1055:L1056"/>
    <mergeCell ref="L1057:L1058"/>
    <mergeCell ref="L1059:L1060"/>
    <mergeCell ref="L1061:L1062"/>
    <mergeCell ref="L1063:L1064"/>
    <mergeCell ref="L1065:L1066"/>
    <mergeCell ref="L1067:L1068"/>
    <mergeCell ref="L1069:L1070"/>
    <mergeCell ref="L1071:L1072"/>
    <mergeCell ref="L1073:L1074"/>
    <mergeCell ref="L1075:L1076"/>
    <mergeCell ref="L1077:L1078"/>
    <mergeCell ref="L1079:L1080"/>
    <mergeCell ref="L1081:L1082"/>
    <mergeCell ref="L1083:L1084"/>
    <mergeCell ref="L1085:L1086"/>
    <mergeCell ref="L1087:L1088"/>
    <mergeCell ref="L1089:L1090"/>
    <mergeCell ref="L1091:L1092"/>
    <mergeCell ref="L1093:L1094"/>
    <mergeCell ref="L1095:L1096"/>
    <mergeCell ref="L1097:L1098"/>
    <mergeCell ref="L1099:L1100"/>
    <mergeCell ref="L1101:L1102"/>
    <mergeCell ref="L1103:L1104"/>
    <mergeCell ref="L1105:L1106"/>
    <mergeCell ref="L1107:L1108"/>
    <mergeCell ref="L1109:L1110"/>
    <mergeCell ref="L1111:L1112"/>
    <mergeCell ref="L1113:L1114"/>
    <mergeCell ref="L1115:L1116"/>
    <mergeCell ref="L1117:L1118"/>
    <mergeCell ref="L1119:L1120"/>
    <mergeCell ref="L1121:L1122"/>
    <mergeCell ref="L1123:L1124"/>
    <mergeCell ref="L1125:L1126"/>
    <mergeCell ref="L1127:L1128"/>
    <mergeCell ref="L1129:L1130"/>
    <mergeCell ref="L1131:L1132"/>
    <mergeCell ref="L1133:L1134"/>
    <mergeCell ref="L1135:L1136"/>
    <mergeCell ref="L1137:L1138"/>
    <mergeCell ref="L1139:L1140"/>
    <mergeCell ref="L1141:L1142"/>
    <mergeCell ref="L1143:L1144"/>
    <mergeCell ref="L1145:L1146"/>
    <mergeCell ref="L1147:L1148"/>
    <mergeCell ref="L1149:L1150"/>
    <mergeCell ref="L1151:L1152"/>
    <mergeCell ref="L1153:L1154"/>
    <mergeCell ref="L1155:L1156"/>
    <mergeCell ref="L1157:L1158"/>
    <mergeCell ref="L1159:L1160"/>
    <mergeCell ref="L1161:L1162"/>
    <mergeCell ref="L1163:L1164"/>
    <mergeCell ref="L1165:L1166"/>
    <mergeCell ref="L1167:L1168"/>
    <mergeCell ref="L1169:L1170"/>
    <mergeCell ref="L1171:L1172"/>
    <mergeCell ref="L1173:L1174"/>
    <mergeCell ref="L1175:L1176"/>
    <mergeCell ref="L1177:L1178"/>
    <mergeCell ref="L1179:L1180"/>
    <mergeCell ref="L1181:L1182"/>
    <mergeCell ref="L1183:L1184"/>
    <mergeCell ref="L1185:L1186"/>
    <mergeCell ref="L1187:L1188"/>
    <mergeCell ref="L1189:L1190"/>
    <mergeCell ref="L1191:L1192"/>
    <mergeCell ref="L1193:L1194"/>
    <mergeCell ref="L1195:L1196"/>
    <mergeCell ref="L1197:L1198"/>
    <mergeCell ref="L1199:L1200"/>
    <mergeCell ref="L1201:L1202"/>
    <mergeCell ref="L1203:L1204"/>
    <mergeCell ref="L1205:L1206"/>
    <mergeCell ref="L1207:L1208"/>
    <mergeCell ref="L1209:L1210"/>
    <mergeCell ref="L1211:L1212"/>
    <mergeCell ref="L1213:L1214"/>
    <mergeCell ref="L1215:L1216"/>
    <mergeCell ref="L1217:L1218"/>
    <mergeCell ref="L1219:L1220"/>
    <mergeCell ref="L1221:L1222"/>
    <mergeCell ref="L1223:L1224"/>
    <mergeCell ref="L1225:L1226"/>
    <mergeCell ref="L1227:L1228"/>
    <mergeCell ref="L1229:L1230"/>
    <mergeCell ref="L1231:L1232"/>
    <mergeCell ref="L1233:L1234"/>
    <mergeCell ref="L1235:L1236"/>
    <mergeCell ref="L1237:L1238"/>
    <mergeCell ref="L1239:L1240"/>
    <mergeCell ref="L1241:L1242"/>
    <mergeCell ref="L1243:L1244"/>
    <mergeCell ref="L1245:L1246"/>
    <mergeCell ref="L1247:L1248"/>
    <mergeCell ref="L1249:L1250"/>
    <mergeCell ref="L1251:L1252"/>
    <mergeCell ref="L1253:L1254"/>
    <mergeCell ref="L1255:L1256"/>
    <mergeCell ref="L1257:L1258"/>
    <mergeCell ref="L1259:L1260"/>
    <mergeCell ref="L1261:L1262"/>
    <mergeCell ref="L1263:L1264"/>
    <mergeCell ref="L1265:L1266"/>
    <mergeCell ref="L1267:L1268"/>
    <mergeCell ref="L1269:L1270"/>
    <mergeCell ref="L1271:L1272"/>
    <mergeCell ref="L1273:L1274"/>
    <mergeCell ref="L1275:L1276"/>
    <mergeCell ref="L1277:L1278"/>
    <mergeCell ref="L1279:L1280"/>
    <mergeCell ref="L1281:L1282"/>
    <mergeCell ref="L1283:L1284"/>
    <mergeCell ref="L1285:L1286"/>
    <mergeCell ref="L1287:L1288"/>
    <mergeCell ref="L1289:L1290"/>
    <mergeCell ref="L1291:L1292"/>
    <mergeCell ref="L1293:L1294"/>
    <mergeCell ref="L1295:L1296"/>
    <mergeCell ref="L1297:L1298"/>
    <mergeCell ref="L1299:L1300"/>
    <mergeCell ref="L1301:L1302"/>
    <mergeCell ref="L1303:L1304"/>
    <mergeCell ref="L1305:L1306"/>
    <mergeCell ref="L1307:L1308"/>
    <mergeCell ref="L1309:L1310"/>
    <mergeCell ref="L1311:L1312"/>
    <mergeCell ref="L1313:L1314"/>
    <mergeCell ref="L1315:L1316"/>
    <mergeCell ref="L1317:L1318"/>
    <mergeCell ref="L1319:L1320"/>
    <mergeCell ref="L1321:L1322"/>
    <mergeCell ref="L1323:L1324"/>
    <mergeCell ref="L1325:L1326"/>
    <mergeCell ref="L1327:L1328"/>
    <mergeCell ref="L1329:L1330"/>
    <mergeCell ref="L1331:L1332"/>
    <mergeCell ref="L1333:L1334"/>
    <mergeCell ref="L1335:L1336"/>
    <mergeCell ref="L1337:L1338"/>
    <mergeCell ref="L1339:L1340"/>
    <mergeCell ref="L1341:L1342"/>
    <mergeCell ref="L1343:L1344"/>
    <mergeCell ref="L1345:L1346"/>
    <mergeCell ref="L1347:L1348"/>
    <mergeCell ref="L1349:L1350"/>
    <mergeCell ref="L1351:L1352"/>
    <mergeCell ref="L1353:L1354"/>
    <mergeCell ref="L1355:L1356"/>
    <mergeCell ref="L1357:L1358"/>
    <mergeCell ref="L1359:L1360"/>
    <mergeCell ref="L1361:L1362"/>
    <mergeCell ref="L1363:L1364"/>
    <mergeCell ref="L1365:L1366"/>
    <mergeCell ref="L1367:L1368"/>
    <mergeCell ref="L1369:L1370"/>
    <mergeCell ref="L1371:L1372"/>
    <mergeCell ref="L1373:L1374"/>
    <mergeCell ref="L1375:L1376"/>
    <mergeCell ref="L1377:L1378"/>
    <mergeCell ref="L1379:L1380"/>
    <mergeCell ref="L1381:L1382"/>
    <mergeCell ref="L1383:L1384"/>
    <mergeCell ref="L1385:L1386"/>
    <mergeCell ref="L1387:L1388"/>
    <mergeCell ref="L1389:L1390"/>
    <mergeCell ref="L1391:L1392"/>
    <mergeCell ref="L1393:L1394"/>
    <mergeCell ref="L1395:L1396"/>
    <mergeCell ref="L1397:L1398"/>
    <mergeCell ref="L1399:L1400"/>
    <mergeCell ref="L1401:L1402"/>
    <mergeCell ref="L1403:L1404"/>
    <mergeCell ref="L1405:L1406"/>
    <mergeCell ref="L1407:L1408"/>
    <mergeCell ref="L1409:L1410"/>
    <mergeCell ref="L1411:L1412"/>
    <mergeCell ref="L1413:L1414"/>
    <mergeCell ref="L1415:L1416"/>
    <mergeCell ref="L1417:L1418"/>
    <mergeCell ref="L1419:L1420"/>
    <mergeCell ref="L1421:L1422"/>
    <mergeCell ref="L1423:L1424"/>
    <mergeCell ref="L1425:L1426"/>
    <mergeCell ref="L1427:L1428"/>
    <mergeCell ref="L1429:L1430"/>
    <mergeCell ref="L1431:L1432"/>
    <mergeCell ref="L1433:L1434"/>
    <mergeCell ref="L1435:L1436"/>
    <mergeCell ref="L1437:L1438"/>
    <mergeCell ref="L1439:L1440"/>
    <mergeCell ref="L1441:L1442"/>
    <mergeCell ref="L1443:L1444"/>
    <mergeCell ref="L1445:L1446"/>
    <mergeCell ref="L1447:L1448"/>
    <mergeCell ref="L1449:L1450"/>
    <mergeCell ref="L1451:L1452"/>
    <mergeCell ref="L1453:L1454"/>
    <mergeCell ref="L1455:L1456"/>
    <mergeCell ref="L1457:L1458"/>
    <mergeCell ref="L1459:L1460"/>
    <mergeCell ref="L1461:L1462"/>
    <mergeCell ref="L1463:L1464"/>
    <mergeCell ref="L1465:L1466"/>
    <mergeCell ref="L1467:L1468"/>
    <mergeCell ref="L1469:L1470"/>
    <mergeCell ref="L1471:L1472"/>
    <mergeCell ref="L1473:L1474"/>
    <mergeCell ref="L1475:L1476"/>
    <mergeCell ref="L1477:L1478"/>
    <mergeCell ref="L1479:L1480"/>
    <mergeCell ref="L1481:L1482"/>
    <mergeCell ref="L1483:L1484"/>
    <mergeCell ref="L1485:L1486"/>
    <mergeCell ref="L1487:L1488"/>
    <mergeCell ref="L1489:L1490"/>
    <mergeCell ref="L1491:L1492"/>
    <mergeCell ref="L1493:L1494"/>
    <mergeCell ref="L1495:L1496"/>
    <mergeCell ref="L1497:L1498"/>
    <mergeCell ref="L1499:L1500"/>
    <mergeCell ref="L1501:L1502"/>
    <mergeCell ref="L1503:L1504"/>
    <mergeCell ref="L1505:L1506"/>
    <mergeCell ref="L1507:L1508"/>
    <mergeCell ref="L1509:L1510"/>
    <mergeCell ref="L1511:L1512"/>
    <mergeCell ref="L1513:L1514"/>
    <mergeCell ref="L1515:L1516"/>
    <mergeCell ref="L1517:L1518"/>
    <mergeCell ref="L1519:L1520"/>
    <mergeCell ref="L1521:L1522"/>
    <mergeCell ref="L1523:L1524"/>
    <mergeCell ref="L1525:L1526"/>
    <mergeCell ref="L1527:L1528"/>
    <mergeCell ref="L1529:L1530"/>
    <mergeCell ref="L1531:L1532"/>
    <mergeCell ref="L1533:L1534"/>
    <mergeCell ref="L1535:L1536"/>
    <mergeCell ref="L1537:L1538"/>
    <mergeCell ref="L1539:L1540"/>
    <mergeCell ref="L1541:L1542"/>
    <mergeCell ref="L1543:L1544"/>
    <mergeCell ref="L1545:L1546"/>
    <mergeCell ref="L1547:L1548"/>
    <mergeCell ref="L1549:L1550"/>
    <mergeCell ref="L1551:L1552"/>
    <mergeCell ref="L1553:L1554"/>
    <mergeCell ref="L1555:L1556"/>
    <mergeCell ref="L1557:L1558"/>
    <mergeCell ref="L1559:L1560"/>
    <mergeCell ref="L1561:L1562"/>
    <mergeCell ref="L1563:L1564"/>
    <mergeCell ref="L1565:L1566"/>
    <mergeCell ref="L1567:L1568"/>
    <mergeCell ref="L1569:L1570"/>
    <mergeCell ref="L1571:L1572"/>
    <mergeCell ref="L1573:L1574"/>
    <mergeCell ref="L1575:L1576"/>
    <mergeCell ref="L1577:L1578"/>
    <mergeCell ref="L1579:L1580"/>
    <mergeCell ref="L1581:L1582"/>
    <mergeCell ref="L1583:L1584"/>
    <mergeCell ref="L1585:L1586"/>
    <mergeCell ref="L1587:L1588"/>
    <mergeCell ref="L1589:L1590"/>
    <mergeCell ref="L1591:L1592"/>
    <mergeCell ref="L1593:L1594"/>
    <mergeCell ref="L1595:L1596"/>
    <mergeCell ref="L1597:L1598"/>
    <mergeCell ref="L1599:L1600"/>
    <mergeCell ref="L1601:L1602"/>
    <mergeCell ref="L1603:L1604"/>
    <mergeCell ref="L1605:L1606"/>
    <mergeCell ref="L1607:L1608"/>
    <mergeCell ref="L1609:L1610"/>
    <mergeCell ref="L1611:L1612"/>
    <mergeCell ref="L1613:L1614"/>
    <mergeCell ref="L1615:L1616"/>
    <mergeCell ref="L1617:L1618"/>
    <mergeCell ref="L1619:L1620"/>
    <mergeCell ref="L1621:L1622"/>
    <mergeCell ref="L1623:L1624"/>
    <mergeCell ref="L1625:L1626"/>
    <mergeCell ref="L1627:L1628"/>
    <mergeCell ref="L1629:L1630"/>
    <mergeCell ref="L1631:L1632"/>
    <mergeCell ref="L1633:L1634"/>
    <mergeCell ref="L1635:L1636"/>
    <mergeCell ref="L1637:L1638"/>
    <mergeCell ref="L1639:L1640"/>
    <mergeCell ref="L1641:L1642"/>
    <mergeCell ref="L1643:L1644"/>
    <mergeCell ref="L1645:L1646"/>
    <mergeCell ref="L1647:L1648"/>
    <mergeCell ref="L1649:L1650"/>
    <mergeCell ref="L1651:L1652"/>
    <mergeCell ref="L1653:L1654"/>
    <mergeCell ref="L1655:L1656"/>
    <mergeCell ref="L1657:L1658"/>
    <mergeCell ref="L1659:L1660"/>
    <mergeCell ref="L1661:L1662"/>
    <mergeCell ref="L1663:L1664"/>
    <mergeCell ref="L1665:L1666"/>
    <mergeCell ref="L1667:L1668"/>
    <mergeCell ref="L1669:L1670"/>
    <mergeCell ref="L1671:L1672"/>
    <mergeCell ref="L1673:L1674"/>
    <mergeCell ref="L1675:L1676"/>
    <mergeCell ref="L1677:L1678"/>
    <mergeCell ref="L1679:L1680"/>
    <mergeCell ref="L1681:L1682"/>
    <mergeCell ref="L1683:L1684"/>
    <mergeCell ref="L1685:L1686"/>
    <mergeCell ref="L1687:L1688"/>
    <mergeCell ref="L1689:L1690"/>
    <mergeCell ref="L1691:L1692"/>
    <mergeCell ref="L1693:L1694"/>
    <mergeCell ref="L1695:L1696"/>
    <mergeCell ref="L1697:L1698"/>
    <mergeCell ref="L1699:L1700"/>
    <mergeCell ref="L1701:L1702"/>
    <mergeCell ref="L1703:L1704"/>
    <mergeCell ref="L1705:L1706"/>
    <mergeCell ref="L1707:L1708"/>
    <mergeCell ref="L1709:L1710"/>
    <mergeCell ref="L1711:L1712"/>
    <mergeCell ref="L1713:L1714"/>
    <mergeCell ref="L1715:L1716"/>
    <mergeCell ref="L1717:L1718"/>
    <mergeCell ref="L1719:L1720"/>
    <mergeCell ref="L1721:L1722"/>
    <mergeCell ref="L1723:L1724"/>
    <mergeCell ref="L1725:L1726"/>
    <mergeCell ref="L1727:L1728"/>
    <mergeCell ref="L1729:L1730"/>
    <mergeCell ref="L1731:L1732"/>
    <mergeCell ref="L1733:L1734"/>
    <mergeCell ref="L1735:L1736"/>
    <mergeCell ref="L1737:L1738"/>
    <mergeCell ref="L1739:L1740"/>
    <mergeCell ref="L1741:L1742"/>
    <mergeCell ref="L1743:L1744"/>
    <mergeCell ref="L1745:L1746"/>
    <mergeCell ref="L1747:L1748"/>
    <mergeCell ref="L1749:L1750"/>
    <mergeCell ref="L1751:L1752"/>
    <mergeCell ref="L1753:L1754"/>
    <mergeCell ref="L1755:L1756"/>
    <mergeCell ref="L1757:L1758"/>
    <mergeCell ref="L1759:L1760"/>
    <mergeCell ref="L1761:L1762"/>
    <mergeCell ref="L1763:L1764"/>
    <mergeCell ref="L1765:L1766"/>
    <mergeCell ref="L1767:L1768"/>
    <mergeCell ref="L1769:L1770"/>
    <mergeCell ref="L1771:L1772"/>
    <mergeCell ref="L1773:L1774"/>
    <mergeCell ref="L1775:L1776"/>
    <mergeCell ref="L1777:L1778"/>
    <mergeCell ref="L1779:L1780"/>
    <mergeCell ref="L1781:L1782"/>
    <mergeCell ref="L1783:L1784"/>
    <mergeCell ref="L1785:L1786"/>
    <mergeCell ref="L1787:L1788"/>
    <mergeCell ref="L1789:L1790"/>
    <mergeCell ref="L1791:L1792"/>
    <mergeCell ref="L1793:L1794"/>
    <mergeCell ref="L1795:L1796"/>
    <mergeCell ref="L1797:L1798"/>
    <mergeCell ref="L1799:L1800"/>
    <mergeCell ref="L1801:L1802"/>
    <mergeCell ref="L1803:L1804"/>
    <mergeCell ref="L1805:L1806"/>
    <mergeCell ref="L1807:L1808"/>
    <mergeCell ref="L1809:L1810"/>
    <mergeCell ref="L1811:L1812"/>
    <mergeCell ref="L1813:L1814"/>
    <mergeCell ref="L1815:L1816"/>
    <mergeCell ref="L1817:L1818"/>
    <mergeCell ref="L1819:L1820"/>
    <mergeCell ref="M10:M11"/>
    <mergeCell ref="M12:M13"/>
    <mergeCell ref="M14:M15"/>
    <mergeCell ref="M16:M17"/>
    <mergeCell ref="M18:M19"/>
    <mergeCell ref="M20:M21"/>
    <mergeCell ref="M22:M23"/>
    <mergeCell ref="M24:M25"/>
    <mergeCell ref="M26:M27"/>
    <mergeCell ref="M28:M29"/>
    <mergeCell ref="M30:M31"/>
    <mergeCell ref="M32:M33"/>
    <mergeCell ref="M34:M35"/>
    <mergeCell ref="M36:M37"/>
    <mergeCell ref="M38:M39"/>
    <mergeCell ref="M40:M41"/>
    <mergeCell ref="M42:M43"/>
    <mergeCell ref="M44:M45"/>
    <mergeCell ref="M46:M47"/>
    <mergeCell ref="M48:M49"/>
    <mergeCell ref="M50:M51"/>
    <mergeCell ref="M52:M53"/>
    <mergeCell ref="M54:M55"/>
    <mergeCell ref="M56:M57"/>
    <mergeCell ref="M58:M59"/>
    <mergeCell ref="M60:M61"/>
    <mergeCell ref="M62:M63"/>
    <mergeCell ref="M64:M65"/>
    <mergeCell ref="M66:M67"/>
    <mergeCell ref="M68:M69"/>
    <mergeCell ref="M70:M71"/>
    <mergeCell ref="M72:M73"/>
    <mergeCell ref="M74:M75"/>
    <mergeCell ref="M76:M77"/>
    <mergeCell ref="M78:M79"/>
    <mergeCell ref="M80:M81"/>
    <mergeCell ref="M82:M83"/>
    <mergeCell ref="M84:M85"/>
    <mergeCell ref="M86:M87"/>
    <mergeCell ref="M88:M89"/>
    <mergeCell ref="M90:M91"/>
    <mergeCell ref="M92:M93"/>
    <mergeCell ref="M94:M95"/>
    <mergeCell ref="M96:M97"/>
    <mergeCell ref="M98:M99"/>
    <mergeCell ref="M100:M101"/>
    <mergeCell ref="M102:M103"/>
    <mergeCell ref="M104:M105"/>
    <mergeCell ref="M106:M107"/>
    <mergeCell ref="M108:M109"/>
    <mergeCell ref="M110:M111"/>
    <mergeCell ref="M112:M113"/>
    <mergeCell ref="M114:M115"/>
    <mergeCell ref="M116:M117"/>
    <mergeCell ref="M118:M119"/>
    <mergeCell ref="M120:M121"/>
    <mergeCell ref="M122:M123"/>
    <mergeCell ref="M124:M125"/>
    <mergeCell ref="M126:M127"/>
    <mergeCell ref="M128:M129"/>
    <mergeCell ref="M130:M131"/>
    <mergeCell ref="M132:M133"/>
    <mergeCell ref="M134:M135"/>
    <mergeCell ref="M136:M137"/>
    <mergeCell ref="M138:M139"/>
    <mergeCell ref="M140:M141"/>
    <mergeCell ref="M142:M143"/>
    <mergeCell ref="M144:M145"/>
    <mergeCell ref="M146:M147"/>
    <mergeCell ref="M148:M149"/>
    <mergeCell ref="M150:M151"/>
    <mergeCell ref="M152:M153"/>
    <mergeCell ref="M154:M155"/>
    <mergeCell ref="M156:M157"/>
    <mergeCell ref="M158:M159"/>
    <mergeCell ref="M160:M161"/>
    <mergeCell ref="M162:M163"/>
    <mergeCell ref="M164:M165"/>
    <mergeCell ref="M166:M167"/>
    <mergeCell ref="M168:M169"/>
    <mergeCell ref="M170:M171"/>
    <mergeCell ref="M172:M173"/>
    <mergeCell ref="M174:M175"/>
    <mergeCell ref="M176:M177"/>
    <mergeCell ref="M178:M179"/>
    <mergeCell ref="M180:M181"/>
    <mergeCell ref="M182:M183"/>
    <mergeCell ref="M184:M185"/>
    <mergeCell ref="M186:M187"/>
    <mergeCell ref="M188:M189"/>
    <mergeCell ref="M190:M191"/>
    <mergeCell ref="M192:M193"/>
    <mergeCell ref="M194:M195"/>
    <mergeCell ref="M196:M197"/>
    <mergeCell ref="M198:M199"/>
    <mergeCell ref="M200:M201"/>
    <mergeCell ref="M202:M203"/>
    <mergeCell ref="M204:M205"/>
    <mergeCell ref="M206:M207"/>
    <mergeCell ref="M208:M209"/>
    <mergeCell ref="M210:M211"/>
    <mergeCell ref="M212:M213"/>
    <mergeCell ref="M214:M215"/>
    <mergeCell ref="M216:M217"/>
    <mergeCell ref="M218:M219"/>
    <mergeCell ref="M220:M221"/>
    <mergeCell ref="M222:M223"/>
    <mergeCell ref="M224:M225"/>
    <mergeCell ref="M226:M227"/>
    <mergeCell ref="M228:M229"/>
    <mergeCell ref="M230:M231"/>
    <mergeCell ref="M232:M233"/>
    <mergeCell ref="M234:M235"/>
    <mergeCell ref="M236:M237"/>
    <mergeCell ref="M238:M239"/>
    <mergeCell ref="M240:M241"/>
    <mergeCell ref="M242:M243"/>
    <mergeCell ref="M244:M245"/>
    <mergeCell ref="M246:M247"/>
    <mergeCell ref="M248:M249"/>
    <mergeCell ref="M250:M251"/>
    <mergeCell ref="M252:M253"/>
    <mergeCell ref="M254:M255"/>
    <mergeCell ref="M256:M257"/>
    <mergeCell ref="M258:M259"/>
    <mergeCell ref="M260:M261"/>
    <mergeCell ref="M262:M263"/>
    <mergeCell ref="M264:M265"/>
    <mergeCell ref="M266:M267"/>
    <mergeCell ref="M268:M269"/>
    <mergeCell ref="M270:M271"/>
    <mergeCell ref="M272:M273"/>
    <mergeCell ref="M274:M275"/>
    <mergeCell ref="M276:M277"/>
    <mergeCell ref="M278:M279"/>
    <mergeCell ref="M280:M281"/>
    <mergeCell ref="M282:M283"/>
    <mergeCell ref="M284:M285"/>
    <mergeCell ref="M286:M287"/>
    <mergeCell ref="M288:M289"/>
    <mergeCell ref="M290:M291"/>
    <mergeCell ref="M292:M293"/>
    <mergeCell ref="M294:M295"/>
    <mergeCell ref="M296:M297"/>
    <mergeCell ref="M298:M299"/>
    <mergeCell ref="M300:M301"/>
    <mergeCell ref="M302:M303"/>
    <mergeCell ref="M304:M305"/>
    <mergeCell ref="M306:M307"/>
    <mergeCell ref="M308:M309"/>
    <mergeCell ref="M316:M317"/>
    <mergeCell ref="M318:M319"/>
    <mergeCell ref="M320:M321"/>
    <mergeCell ref="M322:M323"/>
    <mergeCell ref="M324:M325"/>
    <mergeCell ref="M326:M327"/>
    <mergeCell ref="M328:M329"/>
    <mergeCell ref="M330:M331"/>
    <mergeCell ref="M332:M333"/>
    <mergeCell ref="M334:M335"/>
    <mergeCell ref="M336:M337"/>
    <mergeCell ref="M338:M339"/>
    <mergeCell ref="M340:M341"/>
    <mergeCell ref="M342:M343"/>
    <mergeCell ref="M344:M345"/>
    <mergeCell ref="M346:M347"/>
    <mergeCell ref="M348:M349"/>
    <mergeCell ref="M350:M351"/>
    <mergeCell ref="M352:M353"/>
    <mergeCell ref="M354:M355"/>
    <mergeCell ref="M356:M357"/>
    <mergeCell ref="M358:M359"/>
    <mergeCell ref="M360:M361"/>
    <mergeCell ref="M362:M363"/>
    <mergeCell ref="M364:M365"/>
    <mergeCell ref="M366:M367"/>
    <mergeCell ref="M368:M369"/>
    <mergeCell ref="M370:M371"/>
    <mergeCell ref="M372:M373"/>
    <mergeCell ref="M374:M375"/>
    <mergeCell ref="M376:M377"/>
    <mergeCell ref="M378:M379"/>
    <mergeCell ref="M380:M381"/>
    <mergeCell ref="M382:M383"/>
    <mergeCell ref="M384:M385"/>
    <mergeCell ref="M386:M387"/>
    <mergeCell ref="M388:M389"/>
    <mergeCell ref="M390:M391"/>
    <mergeCell ref="M392:M393"/>
    <mergeCell ref="M394:M395"/>
    <mergeCell ref="M396:M397"/>
    <mergeCell ref="M398:M399"/>
    <mergeCell ref="M400:M401"/>
    <mergeCell ref="M402:M403"/>
    <mergeCell ref="M404:M405"/>
    <mergeCell ref="M406:M407"/>
    <mergeCell ref="M408:M409"/>
    <mergeCell ref="M410:M411"/>
    <mergeCell ref="M412:M413"/>
    <mergeCell ref="M414:M415"/>
    <mergeCell ref="M416:M417"/>
    <mergeCell ref="M418:M419"/>
    <mergeCell ref="M420:M421"/>
    <mergeCell ref="M422:M423"/>
    <mergeCell ref="M424:M425"/>
    <mergeCell ref="M426:M427"/>
    <mergeCell ref="M428:M429"/>
    <mergeCell ref="M430:M431"/>
    <mergeCell ref="M432:M433"/>
    <mergeCell ref="M434:M435"/>
    <mergeCell ref="M436:M437"/>
    <mergeCell ref="M438:M439"/>
    <mergeCell ref="M440:M441"/>
    <mergeCell ref="M442:M443"/>
    <mergeCell ref="M444:M445"/>
    <mergeCell ref="M446:M447"/>
    <mergeCell ref="M448:M449"/>
    <mergeCell ref="M450:M451"/>
    <mergeCell ref="M452:M453"/>
    <mergeCell ref="M454:M455"/>
    <mergeCell ref="M456:M457"/>
    <mergeCell ref="M458:M459"/>
    <mergeCell ref="M460:M461"/>
    <mergeCell ref="M462:M463"/>
    <mergeCell ref="M464:M465"/>
    <mergeCell ref="M466:M467"/>
    <mergeCell ref="M468:M469"/>
    <mergeCell ref="M470:M471"/>
    <mergeCell ref="M472:M473"/>
    <mergeCell ref="M474:M475"/>
    <mergeCell ref="M476:M477"/>
    <mergeCell ref="M478:M479"/>
    <mergeCell ref="M480:M481"/>
    <mergeCell ref="M482:M483"/>
    <mergeCell ref="M484:M485"/>
    <mergeCell ref="M486:M487"/>
    <mergeCell ref="M488:M489"/>
    <mergeCell ref="M490:M491"/>
    <mergeCell ref="M492:M493"/>
    <mergeCell ref="M494:M495"/>
    <mergeCell ref="M496:M497"/>
    <mergeCell ref="M498:M499"/>
    <mergeCell ref="M500:M501"/>
    <mergeCell ref="M502:M503"/>
    <mergeCell ref="M504:M505"/>
    <mergeCell ref="M506:M507"/>
    <mergeCell ref="M508:M509"/>
    <mergeCell ref="M510:M511"/>
    <mergeCell ref="M512:M513"/>
    <mergeCell ref="M514:M515"/>
    <mergeCell ref="M516:M517"/>
    <mergeCell ref="M518:M519"/>
    <mergeCell ref="M520:M521"/>
    <mergeCell ref="M522:M523"/>
    <mergeCell ref="M524:M525"/>
    <mergeCell ref="M526:M527"/>
    <mergeCell ref="M528:M529"/>
    <mergeCell ref="M530:M531"/>
    <mergeCell ref="M532:M533"/>
    <mergeCell ref="M534:M535"/>
    <mergeCell ref="M536:M537"/>
    <mergeCell ref="M538:M539"/>
    <mergeCell ref="M540:M541"/>
    <mergeCell ref="M542:M543"/>
    <mergeCell ref="M544:M545"/>
    <mergeCell ref="M546:M547"/>
    <mergeCell ref="M548:M549"/>
    <mergeCell ref="M550:M551"/>
    <mergeCell ref="M552:M553"/>
    <mergeCell ref="M554:M555"/>
    <mergeCell ref="M556:M557"/>
    <mergeCell ref="M558:M559"/>
    <mergeCell ref="M560:M561"/>
    <mergeCell ref="M562:M563"/>
    <mergeCell ref="M564:M565"/>
    <mergeCell ref="M566:M567"/>
    <mergeCell ref="M568:M569"/>
    <mergeCell ref="M570:M571"/>
    <mergeCell ref="M572:M573"/>
    <mergeCell ref="M574:M575"/>
    <mergeCell ref="M576:M577"/>
    <mergeCell ref="M578:M579"/>
    <mergeCell ref="M580:M581"/>
    <mergeCell ref="M582:M583"/>
    <mergeCell ref="M584:M585"/>
    <mergeCell ref="M586:M587"/>
    <mergeCell ref="M588:M589"/>
    <mergeCell ref="M590:M591"/>
    <mergeCell ref="M592:M593"/>
    <mergeCell ref="M594:M595"/>
    <mergeCell ref="M596:M597"/>
    <mergeCell ref="M598:M599"/>
    <mergeCell ref="M600:M601"/>
    <mergeCell ref="M602:M603"/>
    <mergeCell ref="M604:M605"/>
    <mergeCell ref="M606:M607"/>
    <mergeCell ref="M608:M609"/>
    <mergeCell ref="M610:M611"/>
    <mergeCell ref="M612:M613"/>
    <mergeCell ref="M614:M615"/>
    <mergeCell ref="M621:M622"/>
    <mergeCell ref="M623:M624"/>
    <mergeCell ref="M625:M626"/>
    <mergeCell ref="M627:M628"/>
    <mergeCell ref="M629:M630"/>
    <mergeCell ref="M631:M632"/>
    <mergeCell ref="M633:M634"/>
    <mergeCell ref="M635:M636"/>
    <mergeCell ref="M637:M638"/>
    <mergeCell ref="M639:M640"/>
    <mergeCell ref="M641:M642"/>
    <mergeCell ref="M643:M644"/>
    <mergeCell ref="M645:M646"/>
    <mergeCell ref="M647:M648"/>
    <mergeCell ref="M649:M650"/>
    <mergeCell ref="M651:M652"/>
    <mergeCell ref="M653:M654"/>
    <mergeCell ref="M655:M656"/>
    <mergeCell ref="M657:M658"/>
    <mergeCell ref="M659:M660"/>
    <mergeCell ref="M661:M662"/>
    <mergeCell ref="M663:M664"/>
    <mergeCell ref="M665:M666"/>
    <mergeCell ref="M667:M668"/>
    <mergeCell ref="M669:M670"/>
    <mergeCell ref="M671:M672"/>
    <mergeCell ref="M673:M674"/>
    <mergeCell ref="M675:M676"/>
    <mergeCell ref="M677:M678"/>
    <mergeCell ref="M679:M680"/>
    <mergeCell ref="M681:M682"/>
    <mergeCell ref="M683:M684"/>
    <mergeCell ref="M685:M686"/>
    <mergeCell ref="M687:M688"/>
    <mergeCell ref="M689:M690"/>
    <mergeCell ref="M691:M692"/>
    <mergeCell ref="M693:M694"/>
    <mergeCell ref="M695:M696"/>
    <mergeCell ref="M697:M698"/>
    <mergeCell ref="M699:M700"/>
    <mergeCell ref="M701:M702"/>
    <mergeCell ref="M703:M704"/>
    <mergeCell ref="M705:M706"/>
    <mergeCell ref="M707:M708"/>
    <mergeCell ref="M709:M710"/>
    <mergeCell ref="M711:M712"/>
    <mergeCell ref="M713:M714"/>
    <mergeCell ref="M715:M716"/>
    <mergeCell ref="M717:M718"/>
    <mergeCell ref="M719:M720"/>
    <mergeCell ref="M721:M722"/>
    <mergeCell ref="M723:M724"/>
    <mergeCell ref="M725:M726"/>
    <mergeCell ref="M727:M728"/>
    <mergeCell ref="M729:M730"/>
    <mergeCell ref="M731:M732"/>
    <mergeCell ref="M733:M734"/>
    <mergeCell ref="M735:M736"/>
    <mergeCell ref="M737:M738"/>
    <mergeCell ref="M739:M740"/>
    <mergeCell ref="M741:M742"/>
    <mergeCell ref="M743:M744"/>
    <mergeCell ref="M745:M746"/>
    <mergeCell ref="M747:M748"/>
    <mergeCell ref="M749:M750"/>
    <mergeCell ref="M751:M752"/>
    <mergeCell ref="M753:M754"/>
    <mergeCell ref="M755:M756"/>
    <mergeCell ref="M757:M758"/>
    <mergeCell ref="M759:M760"/>
    <mergeCell ref="M761:M762"/>
    <mergeCell ref="M763:M764"/>
    <mergeCell ref="M765:M766"/>
    <mergeCell ref="M767:M768"/>
    <mergeCell ref="M769:M770"/>
    <mergeCell ref="M771:M772"/>
    <mergeCell ref="M773:M774"/>
    <mergeCell ref="M775:M776"/>
    <mergeCell ref="M777:M778"/>
    <mergeCell ref="M779:M780"/>
    <mergeCell ref="M781:M782"/>
    <mergeCell ref="M783:M784"/>
    <mergeCell ref="M785:M786"/>
    <mergeCell ref="M787:M788"/>
    <mergeCell ref="M789:M790"/>
    <mergeCell ref="M791:M792"/>
    <mergeCell ref="M793:M794"/>
    <mergeCell ref="M795:M796"/>
    <mergeCell ref="M797:M798"/>
    <mergeCell ref="M799:M800"/>
    <mergeCell ref="M801:M802"/>
    <mergeCell ref="M803:M804"/>
    <mergeCell ref="M805:M806"/>
    <mergeCell ref="M807:M808"/>
    <mergeCell ref="M809:M810"/>
    <mergeCell ref="M811:M812"/>
    <mergeCell ref="M813:M814"/>
    <mergeCell ref="M815:M816"/>
    <mergeCell ref="M817:M818"/>
    <mergeCell ref="M819:M820"/>
    <mergeCell ref="M821:M822"/>
    <mergeCell ref="M823:M824"/>
    <mergeCell ref="M825:M826"/>
    <mergeCell ref="M827:M828"/>
    <mergeCell ref="M829:M830"/>
    <mergeCell ref="M831:M832"/>
    <mergeCell ref="M833:M834"/>
    <mergeCell ref="M835:M836"/>
    <mergeCell ref="M837:M838"/>
    <mergeCell ref="M839:M840"/>
    <mergeCell ref="M841:M842"/>
    <mergeCell ref="M843:M844"/>
    <mergeCell ref="M845:M846"/>
    <mergeCell ref="M847:M848"/>
    <mergeCell ref="M849:M850"/>
    <mergeCell ref="M851:M852"/>
    <mergeCell ref="M853:M854"/>
    <mergeCell ref="M855:M856"/>
    <mergeCell ref="M857:M858"/>
    <mergeCell ref="M859:M860"/>
    <mergeCell ref="M861:M862"/>
    <mergeCell ref="M863:M864"/>
    <mergeCell ref="M865:M866"/>
    <mergeCell ref="M867:M868"/>
    <mergeCell ref="M869:M870"/>
    <mergeCell ref="M871:M872"/>
    <mergeCell ref="M873:M874"/>
    <mergeCell ref="M875:M876"/>
    <mergeCell ref="M877:M878"/>
    <mergeCell ref="M879:M880"/>
    <mergeCell ref="M881:M882"/>
    <mergeCell ref="M883:M884"/>
    <mergeCell ref="M885:M886"/>
    <mergeCell ref="M887:M888"/>
    <mergeCell ref="M889:M890"/>
    <mergeCell ref="M891:M892"/>
    <mergeCell ref="M893:M894"/>
    <mergeCell ref="M895:M896"/>
    <mergeCell ref="M897:M898"/>
    <mergeCell ref="M899:M900"/>
    <mergeCell ref="M901:M902"/>
    <mergeCell ref="M903:M904"/>
    <mergeCell ref="M905:M906"/>
    <mergeCell ref="M907:M908"/>
    <mergeCell ref="M909:M910"/>
    <mergeCell ref="M911:M912"/>
    <mergeCell ref="M913:M914"/>
    <mergeCell ref="M915:M916"/>
    <mergeCell ref="M917:M918"/>
    <mergeCell ref="M919:M920"/>
    <mergeCell ref="M921:M922"/>
    <mergeCell ref="M923:M924"/>
    <mergeCell ref="M925:M926"/>
    <mergeCell ref="M927:M928"/>
    <mergeCell ref="M929:M930"/>
    <mergeCell ref="M931:M932"/>
    <mergeCell ref="M933:M934"/>
    <mergeCell ref="M935:M936"/>
    <mergeCell ref="M937:M938"/>
    <mergeCell ref="M939:M940"/>
    <mergeCell ref="M941:M942"/>
    <mergeCell ref="M943:M944"/>
    <mergeCell ref="M945:M946"/>
    <mergeCell ref="M947:M948"/>
    <mergeCell ref="M949:M950"/>
    <mergeCell ref="M951:M952"/>
    <mergeCell ref="M953:M954"/>
    <mergeCell ref="M955:M956"/>
    <mergeCell ref="M957:M958"/>
    <mergeCell ref="M959:M960"/>
    <mergeCell ref="M961:M962"/>
    <mergeCell ref="M963:M964"/>
    <mergeCell ref="M965:M966"/>
    <mergeCell ref="M967:M968"/>
    <mergeCell ref="M969:M970"/>
    <mergeCell ref="M971:M972"/>
    <mergeCell ref="M973:M974"/>
    <mergeCell ref="M975:M976"/>
    <mergeCell ref="M977:M978"/>
    <mergeCell ref="M979:M980"/>
    <mergeCell ref="M981:M982"/>
    <mergeCell ref="M983:M984"/>
    <mergeCell ref="M985:M986"/>
    <mergeCell ref="M987:M988"/>
    <mergeCell ref="M989:M990"/>
    <mergeCell ref="M991:M992"/>
    <mergeCell ref="M993:M994"/>
    <mergeCell ref="M995:M996"/>
    <mergeCell ref="M997:M998"/>
    <mergeCell ref="M999:M1000"/>
    <mergeCell ref="M1001:M1002"/>
    <mergeCell ref="M1003:M1004"/>
    <mergeCell ref="M1005:M1006"/>
    <mergeCell ref="M1007:M1008"/>
    <mergeCell ref="M1009:M1010"/>
    <mergeCell ref="M1011:M1012"/>
    <mergeCell ref="M1013:M1014"/>
    <mergeCell ref="M1015:M1016"/>
    <mergeCell ref="M1017:M1018"/>
    <mergeCell ref="M1019:M1020"/>
    <mergeCell ref="M1021:M1022"/>
    <mergeCell ref="M1023:M1024"/>
    <mergeCell ref="M1025:M1026"/>
    <mergeCell ref="M1027:M1028"/>
    <mergeCell ref="M1029:M1030"/>
    <mergeCell ref="M1031:M1032"/>
    <mergeCell ref="M1033:M1034"/>
    <mergeCell ref="M1035:M1036"/>
    <mergeCell ref="M1037:M1038"/>
    <mergeCell ref="M1039:M1040"/>
    <mergeCell ref="M1041:M1042"/>
    <mergeCell ref="M1043:M1044"/>
    <mergeCell ref="M1045:M1046"/>
    <mergeCell ref="M1047:M1048"/>
    <mergeCell ref="M1049:M1050"/>
    <mergeCell ref="M1051:M1052"/>
    <mergeCell ref="M1053:M1054"/>
    <mergeCell ref="M1055:M1056"/>
    <mergeCell ref="M1057:M1058"/>
    <mergeCell ref="M1059:M1060"/>
    <mergeCell ref="M1061:M1062"/>
    <mergeCell ref="M1063:M1064"/>
    <mergeCell ref="M1065:M1066"/>
    <mergeCell ref="M1067:M1068"/>
    <mergeCell ref="M1069:M1070"/>
    <mergeCell ref="M1071:M1072"/>
    <mergeCell ref="M1073:M1074"/>
    <mergeCell ref="M1075:M1076"/>
    <mergeCell ref="M1077:M1078"/>
    <mergeCell ref="M1079:M1080"/>
    <mergeCell ref="M1081:M1082"/>
    <mergeCell ref="M1083:M1084"/>
    <mergeCell ref="M1085:M1086"/>
    <mergeCell ref="M1087:M1088"/>
    <mergeCell ref="M1089:M1090"/>
    <mergeCell ref="M1091:M1092"/>
    <mergeCell ref="M1093:M1094"/>
    <mergeCell ref="M1095:M1096"/>
    <mergeCell ref="M1097:M1098"/>
    <mergeCell ref="M1099:M1100"/>
    <mergeCell ref="M1101:M1102"/>
    <mergeCell ref="M1103:M1104"/>
    <mergeCell ref="M1105:M1106"/>
    <mergeCell ref="M1107:M1108"/>
    <mergeCell ref="M1109:M1110"/>
    <mergeCell ref="M1111:M1112"/>
    <mergeCell ref="M1113:M1114"/>
    <mergeCell ref="M1115:M1116"/>
    <mergeCell ref="M1117:M1118"/>
    <mergeCell ref="M1119:M1120"/>
    <mergeCell ref="M1121:M1122"/>
    <mergeCell ref="M1123:M1124"/>
    <mergeCell ref="M1125:M1126"/>
    <mergeCell ref="M1127:M1128"/>
    <mergeCell ref="M1129:M1130"/>
    <mergeCell ref="M1131:M1132"/>
    <mergeCell ref="M1133:M1134"/>
    <mergeCell ref="M1135:M1136"/>
    <mergeCell ref="M1137:M1138"/>
    <mergeCell ref="M1139:M1140"/>
    <mergeCell ref="M1141:M1142"/>
    <mergeCell ref="M1143:M1144"/>
    <mergeCell ref="M1145:M1146"/>
    <mergeCell ref="M1147:M1148"/>
    <mergeCell ref="M1149:M1150"/>
    <mergeCell ref="M1151:M1152"/>
    <mergeCell ref="M1153:M1154"/>
    <mergeCell ref="M1155:M1156"/>
    <mergeCell ref="M1157:M1158"/>
    <mergeCell ref="M1159:M1160"/>
    <mergeCell ref="M1161:M1162"/>
    <mergeCell ref="M1163:M1164"/>
    <mergeCell ref="M1165:M1166"/>
    <mergeCell ref="M1167:M1168"/>
    <mergeCell ref="M1169:M1170"/>
    <mergeCell ref="M1171:M1172"/>
    <mergeCell ref="M1173:M1174"/>
    <mergeCell ref="M1175:M1176"/>
    <mergeCell ref="M1177:M1178"/>
    <mergeCell ref="M1179:M1180"/>
    <mergeCell ref="M1181:M1182"/>
    <mergeCell ref="M1183:M1184"/>
    <mergeCell ref="M1185:M1186"/>
    <mergeCell ref="M1187:M1188"/>
    <mergeCell ref="M1189:M1190"/>
    <mergeCell ref="M1191:M1192"/>
    <mergeCell ref="M1193:M1194"/>
    <mergeCell ref="M1195:M1196"/>
    <mergeCell ref="M1197:M1198"/>
    <mergeCell ref="M1199:M1200"/>
    <mergeCell ref="M1201:M1202"/>
    <mergeCell ref="M1203:M1204"/>
    <mergeCell ref="M1205:M1206"/>
    <mergeCell ref="M1207:M1208"/>
    <mergeCell ref="M1209:M1210"/>
    <mergeCell ref="M1211:M1212"/>
    <mergeCell ref="M1213:M1214"/>
    <mergeCell ref="M1215:M1216"/>
    <mergeCell ref="M1217:M1218"/>
    <mergeCell ref="M1219:M1220"/>
    <mergeCell ref="M1221:M1222"/>
    <mergeCell ref="M1223:M1224"/>
    <mergeCell ref="M1225:M1226"/>
    <mergeCell ref="M1227:M1228"/>
    <mergeCell ref="M1229:M1230"/>
    <mergeCell ref="M1231:M1232"/>
    <mergeCell ref="M1233:M1234"/>
    <mergeCell ref="M1235:M1236"/>
    <mergeCell ref="M1237:M1238"/>
    <mergeCell ref="M1239:M1240"/>
    <mergeCell ref="M1241:M1242"/>
    <mergeCell ref="M1243:M1244"/>
    <mergeCell ref="M1245:M1246"/>
    <mergeCell ref="M1247:M1248"/>
    <mergeCell ref="M1249:M1250"/>
    <mergeCell ref="M1251:M1252"/>
    <mergeCell ref="M1253:M1254"/>
    <mergeCell ref="M1255:M1256"/>
    <mergeCell ref="M1257:M1258"/>
    <mergeCell ref="M1259:M1260"/>
    <mergeCell ref="M1261:M1262"/>
    <mergeCell ref="M1263:M1264"/>
    <mergeCell ref="M1265:M1266"/>
    <mergeCell ref="M1267:M1268"/>
    <mergeCell ref="M1269:M1270"/>
    <mergeCell ref="M1271:M1272"/>
    <mergeCell ref="M1273:M1274"/>
    <mergeCell ref="M1275:M1276"/>
    <mergeCell ref="M1277:M1278"/>
    <mergeCell ref="M1279:M1280"/>
    <mergeCell ref="M1281:M1282"/>
    <mergeCell ref="M1283:M1284"/>
    <mergeCell ref="M1285:M1286"/>
    <mergeCell ref="M1287:M1288"/>
    <mergeCell ref="M1289:M1290"/>
    <mergeCell ref="M1291:M1292"/>
    <mergeCell ref="M1293:M1294"/>
    <mergeCell ref="M1295:M1296"/>
    <mergeCell ref="M1297:M1298"/>
    <mergeCell ref="M1299:M1300"/>
    <mergeCell ref="M1301:M1302"/>
    <mergeCell ref="M1303:M1304"/>
    <mergeCell ref="M1305:M1306"/>
    <mergeCell ref="M1307:M1308"/>
    <mergeCell ref="M1309:M1310"/>
    <mergeCell ref="M1311:M1312"/>
    <mergeCell ref="M1313:M1314"/>
    <mergeCell ref="M1315:M1316"/>
    <mergeCell ref="M1317:M1318"/>
    <mergeCell ref="M1319:M1320"/>
    <mergeCell ref="M1321:M1322"/>
    <mergeCell ref="M1323:M1324"/>
    <mergeCell ref="M1325:M1326"/>
    <mergeCell ref="M1327:M1328"/>
    <mergeCell ref="M1329:M1330"/>
    <mergeCell ref="M1331:M1332"/>
    <mergeCell ref="M1333:M1334"/>
    <mergeCell ref="M1335:M1336"/>
    <mergeCell ref="M1337:M1338"/>
    <mergeCell ref="M1339:M1340"/>
    <mergeCell ref="M1341:M1342"/>
    <mergeCell ref="M1343:M1344"/>
    <mergeCell ref="M1345:M1346"/>
    <mergeCell ref="M1347:M1348"/>
    <mergeCell ref="M1349:M1350"/>
    <mergeCell ref="M1351:M1352"/>
    <mergeCell ref="M1353:M1354"/>
    <mergeCell ref="M1355:M1356"/>
    <mergeCell ref="M1357:M1358"/>
    <mergeCell ref="M1359:M1360"/>
    <mergeCell ref="M1361:M1362"/>
    <mergeCell ref="M1363:M1364"/>
    <mergeCell ref="M1365:M1366"/>
    <mergeCell ref="M1367:M1368"/>
    <mergeCell ref="M1369:M1370"/>
    <mergeCell ref="M1371:M1372"/>
    <mergeCell ref="M1373:M1374"/>
    <mergeCell ref="M1375:M1376"/>
    <mergeCell ref="M1377:M1378"/>
    <mergeCell ref="M1379:M1380"/>
    <mergeCell ref="M1381:M1382"/>
    <mergeCell ref="M1383:M1384"/>
    <mergeCell ref="M1385:M1386"/>
    <mergeCell ref="M1387:M1388"/>
    <mergeCell ref="M1389:M1390"/>
    <mergeCell ref="M1391:M1392"/>
    <mergeCell ref="M1393:M1394"/>
    <mergeCell ref="M1395:M1396"/>
    <mergeCell ref="M1397:M1398"/>
    <mergeCell ref="M1399:M1400"/>
    <mergeCell ref="M1401:M1402"/>
    <mergeCell ref="M1403:M1404"/>
    <mergeCell ref="M1405:M1406"/>
    <mergeCell ref="M1407:M1408"/>
    <mergeCell ref="M1409:M1410"/>
    <mergeCell ref="M1411:M1412"/>
    <mergeCell ref="M1413:M1414"/>
    <mergeCell ref="M1415:M1416"/>
    <mergeCell ref="M1417:M1418"/>
    <mergeCell ref="M1419:M1420"/>
    <mergeCell ref="M1421:M1422"/>
    <mergeCell ref="M1423:M1424"/>
    <mergeCell ref="M1425:M1426"/>
    <mergeCell ref="M1427:M1428"/>
    <mergeCell ref="M1429:M1430"/>
    <mergeCell ref="M1431:M1432"/>
    <mergeCell ref="M1433:M1434"/>
    <mergeCell ref="M1435:M1436"/>
    <mergeCell ref="M1437:M1438"/>
    <mergeCell ref="M1439:M1440"/>
    <mergeCell ref="M1441:M1442"/>
    <mergeCell ref="M1443:M1444"/>
    <mergeCell ref="M1445:M1446"/>
    <mergeCell ref="M1447:M1448"/>
    <mergeCell ref="M1449:M1450"/>
    <mergeCell ref="M1451:M1452"/>
    <mergeCell ref="M1453:M1454"/>
    <mergeCell ref="M1455:M1456"/>
    <mergeCell ref="M1457:M1458"/>
    <mergeCell ref="M1459:M1460"/>
    <mergeCell ref="M1461:M1462"/>
    <mergeCell ref="M1463:M1464"/>
    <mergeCell ref="M1465:M1466"/>
    <mergeCell ref="M1467:M1468"/>
    <mergeCell ref="M1469:M1470"/>
    <mergeCell ref="M1471:M1472"/>
    <mergeCell ref="M1473:M1474"/>
    <mergeCell ref="M1475:M1476"/>
    <mergeCell ref="M1477:M1478"/>
    <mergeCell ref="M1479:M1480"/>
    <mergeCell ref="M1481:M1482"/>
    <mergeCell ref="M1483:M1484"/>
    <mergeCell ref="M1485:M1486"/>
    <mergeCell ref="M1487:M1488"/>
    <mergeCell ref="M1489:M1490"/>
    <mergeCell ref="M1491:M1492"/>
    <mergeCell ref="M1493:M1494"/>
    <mergeCell ref="M1495:M1496"/>
    <mergeCell ref="M1497:M1498"/>
    <mergeCell ref="M1499:M1500"/>
    <mergeCell ref="M1501:M1502"/>
    <mergeCell ref="M1503:M1504"/>
    <mergeCell ref="M1505:M1506"/>
    <mergeCell ref="M1507:M1508"/>
    <mergeCell ref="M1509:M1510"/>
    <mergeCell ref="M1511:M1512"/>
    <mergeCell ref="M1513:M1514"/>
    <mergeCell ref="M1515:M1516"/>
    <mergeCell ref="M1517:M1518"/>
    <mergeCell ref="M1519:M1520"/>
    <mergeCell ref="M1521:M1522"/>
    <mergeCell ref="M1523:M1524"/>
    <mergeCell ref="M1525:M1526"/>
    <mergeCell ref="M1527:M1528"/>
    <mergeCell ref="M1529:M1530"/>
    <mergeCell ref="M1531:M1532"/>
    <mergeCell ref="M1533:M1534"/>
    <mergeCell ref="M1535:M1536"/>
    <mergeCell ref="M1537:M1538"/>
    <mergeCell ref="M1539:M1540"/>
    <mergeCell ref="M1541:M1542"/>
    <mergeCell ref="M1543:M1544"/>
    <mergeCell ref="M1545:M1546"/>
    <mergeCell ref="M1547:M1548"/>
    <mergeCell ref="M1549:M1550"/>
    <mergeCell ref="M1551:M1552"/>
    <mergeCell ref="M1553:M1554"/>
    <mergeCell ref="M1555:M1556"/>
    <mergeCell ref="M1557:M1558"/>
    <mergeCell ref="M1559:M1560"/>
    <mergeCell ref="M1561:M1562"/>
    <mergeCell ref="M1563:M1564"/>
    <mergeCell ref="M1565:M1566"/>
    <mergeCell ref="M1567:M1568"/>
    <mergeCell ref="M1569:M1570"/>
    <mergeCell ref="M1571:M1572"/>
    <mergeCell ref="M1573:M1574"/>
    <mergeCell ref="M1575:M1576"/>
    <mergeCell ref="M1577:M1578"/>
    <mergeCell ref="M1579:M1580"/>
    <mergeCell ref="M1581:M1582"/>
    <mergeCell ref="M1583:M1584"/>
    <mergeCell ref="M1585:M1586"/>
    <mergeCell ref="M1587:M1588"/>
    <mergeCell ref="M1589:M1590"/>
    <mergeCell ref="M1591:M1592"/>
    <mergeCell ref="M1593:M1594"/>
    <mergeCell ref="M1595:M1596"/>
    <mergeCell ref="M1597:M1598"/>
    <mergeCell ref="M1599:M1600"/>
    <mergeCell ref="M1601:M1602"/>
    <mergeCell ref="M1603:M1604"/>
    <mergeCell ref="M1605:M1606"/>
    <mergeCell ref="M1607:M1608"/>
    <mergeCell ref="M1609:M1610"/>
    <mergeCell ref="M1611:M1612"/>
    <mergeCell ref="M1613:M1614"/>
    <mergeCell ref="M1615:M1616"/>
    <mergeCell ref="M1617:M1618"/>
    <mergeCell ref="M1619:M1620"/>
    <mergeCell ref="M1621:M1622"/>
    <mergeCell ref="M1623:M1624"/>
    <mergeCell ref="M1625:M1626"/>
    <mergeCell ref="M1627:M1628"/>
    <mergeCell ref="M1629:M1630"/>
    <mergeCell ref="M1631:M1632"/>
    <mergeCell ref="M1633:M1634"/>
    <mergeCell ref="M1635:M1636"/>
    <mergeCell ref="M1637:M1638"/>
    <mergeCell ref="M1639:M1640"/>
    <mergeCell ref="M1641:M1642"/>
    <mergeCell ref="M1643:M1644"/>
    <mergeCell ref="M1645:M1646"/>
    <mergeCell ref="M1647:M1648"/>
    <mergeCell ref="M1649:M1650"/>
    <mergeCell ref="M1651:M1652"/>
    <mergeCell ref="M1653:M1654"/>
    <mergeCell ref="M1655:M1656"/>
    <mergeCell ref="M1657:M1658"/>
    <mergeCell ref="M1659:M1660"/>
    <mergeCell ref="M1661:M1662"/>
    <mergeCell ref="M1663:M1664"/>
    <mergeCell ref="M1665:M1666"/>
    <mergeCell ref="M1667:M1668"/>
    <mergeCell ref="M1669:M1670"/>
    <mergeCell ref="M1671:M1672"/>
    <mergeCell ref="M1673:M1674"/>
    <mergeCell ref="M1675:M1676"/>
    <mergeCell ref="M1677:M1678"/>
    <mergeCell ref="M1679:M1680"/>
    <mergeCell ref="M1681:M1682"/>
    <mergeCell ref="M1683:M1684"/>
    <mergeCell ref="M1685:M1686"/>
    <mergeCell ref="M1687:M1688"/>
    <mergeCell ref="M1689:M1690"/>
    <mergeCell ref="M1691:M1692"/>
    <mergeCell ref="M1693:M1694"/>
    <mergeCell ref="M1695:M1696"/>
    <mergeCell ref="M1697:M1698"/>
    <mergeCell ref="M1699:M1700"/>
    <mergeCell ref="M1701:M1702"/>
    <mergeCell ref="M1703:M1704"/>
    <mergeCell ref="M1705:M1706"/>
    <mergeCell ref="M1707:M1708"/>
    <mergeCell ref="M1709:M1710"/>
    <mergeCell ref="M1711:M1712"/>
    <mergeCell ref="M1713:M1714"/>
    <mergeCell ref="M1715:M1716"/>
    <mergeCell ref="M1717:M1718"/>
    <mergeCell ref="M1719:M1720"/>
    <mergeCell ref="M1721:M1722"/>
    <mergeCell ref="M1723:M1724"/>
    <mergeCell ref="M1725:M1726"/>
    <mergeCell ref="M1727:M1728"/>
    <mergeCell ref="M1729:M1730"/>
    <mergeCell ref="M1731:M1732"/>
    <mergeCell ref="M1733:M1734"/>
    <mergeCell ref="M1735:M1736"/>
    <mergeCell ref="M1737:M1738"/>
    <mergeCell ref="M1739:M1740"/>
    <mergeCell ref="M1741:M1742"/>
    <mergeCell ref="M1743:M1744"/>
    <mergeCell ref="M1745:M1746"/>
    <mergeCell ref="M1747:M1748"/>
    <mergeCell ref="M1749:M1750"/>
    <mergeCell ref="M1751:M1752"/>
    <mergeCell ref="M1753:M1754"/>
    <mergeCell ref="M1755:M1756"/>
    <mergeCell ref="M1757:M1758"/>
    <mergeCell ref="M1759:M1760"/>
    <mergeCell ref="M1761:M1762"/>
    <mergeCell ref="M1763:M1764"/>
    <mergeCell ref="M1765:M1766"/>
    <mergeCell ref="M1767:M1768"/>
    <mergeCell ref="M1769:M1770"/>
    <mergeCell ref="M1771:M1772"/>
    <mergeCell ref="M1773:M1774"/>
    <mergeCell ref="M1775:M1776"/>
    <mergeCell ref="M1777:M1778"/>
    <mergeCell ref="M1779:M1780"/>
    <mergeCell ref="M1781:M1782"/>
    <mergeCell ref="M1783:M1784"/>
    <mergeCell ref="M1785:M1786"/>
    <mergeCell ref="M1787:M1788"/>
    <mergeCell ref="M1789:M1790"/>
    <mergeCell ref="M1791:M1792"/>
    <mergeCell ref="M1793:M1794"/>
    <mergeCell ref="M1795:M1796"/>
    <mergeCell ref="M1797:M1798"/>
    <mergeCell ref="M1799:M1800"/>
    <mergeCell ref="M1801:M1802"/>
    <mergeCell ref="M1803:M1804"/>
    <mergeCell ref="M1805:M1806"/>
    <mergeCell ref="M1807:M1808"/>
    <mergeCell ref="M1809:M1810"/>
    <mergeCell ref="M1811:M1812"/>
    <mergeCell ref="M1813:M1814"/>
    <mergeCell ref="M1815:M1816"/>
    <mergeCell ref="M1817:M1818"/>
    <mergeCell ref="M1819:M1820"/>
    <mergeCell ref="N10:N11"/>
    <mergeCell ref="N12:N13"/>
    <mergeCell ref="N14:N15"/>
    <mergeCell ref="N16:N17"/>
    <mergeCell ref="N18:N19"/>
    <mergeCell ref="N20:N21"/>
    <mergeCell ref="N22:N23"/>
    <mergeCell ref="N24:N25"/>
    <mergeCell ref="N26:N27"/>
    <mergeCell ref="N28:N29"/>
    <mergeCell ref="N30:N31"/>
    <mergeCell ref="N32:N33"/>
    <mergeCell ref="N34:N35"/>
    <mergeCell ref="N36:N37"/>
    <mergeCell ref="N38:N39"/>
    <mergeCell ref="N40:N41"/>
    <mergeCell ref="N42:N43"/>
    <mergeCell ref="N44:N45"/>
    <mergeCell ref="N46:N47"/>
    <mergeCell ref="N48:N49"/>
    <mergeCell ref="N50:N51"/>
    <mergeCell ref="N52:N53"/>
    <mergeCell ref="N54:N55"/>
    <mergeCell ref="N56:N57"/>
    <mergeCell ref="N58:N59"/>
    <mergeCell ref="N60:N61"/>
    <mergeCell ref="N62:N63"/>
    <mergeCell ref="N64:N65"/>
    <mergeCell ref="N66:N67"/>
    <mergeCell ref="N68:N69"/>
    <mergeCell ref="N70:N71"/>
    <mergeCell ref="N72:N73"/>
    <mergeCell ref="N74:N75"/>
    <mergeCell ref="N76:N77"/>
    <mergeCell ref="N78:N79"/>
    <mergeCell ref="N80:N81"/>
    <mergeCell ref="N82:N83"/>
    <mergeCell ref="N84:N85"/>
    <mergeCell ref="N86:N87"/>
    <mergeCell ref="N88:N89"/>
    <mergeCell ref="N90:N91"/>
    <mergeCell ref="N92:N93"/>
    <mergeCell ref="N94:N95"/>
    <mergeCell ref="N96:N97"/>
    <mergeCell ref="N98:N99"/>
    <mergeCell ref="N100:N101"/>
    <mergeCell ref="N102:N103"/>
    <mergeCell ref="N104:N105"/>
    <mergeCell ref="N106:N107"/>
    <mergeCell ref="N108:N109"/>
    <mergeCell ref="N110:N111"/>
    <mergeCell ref="N112:N113"/>
    <mergeCell ref="N114:N115"/>
    <mergeCell ref="N116:N117"/>
    <mergeCell ref="N118:N119"/>
    <mergeCell ref="N120:N121"/>
    <mergeCell ref="N122:N123"/>
    <mergeCell ref="N124:N125"/>
    <mergeCell ref="N126:N127"/>
    <mergeCell ref="N128:N129"/>
    <mergeCell ref="N130:N131"/>
    <mergeCell ref="N132:N133"/>
    <mergeCell ref="N134:N135"/>
    <mergeCell ref="N136:N137"/>
    <mergeCell ref="N138:N139"/>
    <mergeCell ref="N140:N141"/>
    <mergeCell ref="N142:N143"/>
    <mergeCell ref="N144:N145"/>
    <mergeCell ref="N146:N147"/>
    <mergeCell ref="N148:N149"/>
    <mergeCell ref="N150:N151"/>
    <mergeCell ref="N152:N153"/>
    <mergeCell ref="N154:N155"/>
    <mergeCell ref="N156:N157"/>
    <mergeCell ref="N158:N159"/>
    <mergeCell ref="N160:N161"/>
    <mergeCell ref="N162:N163"/>
    <mergeCell ref="N164:N165"/>
    <mergeCell ref="N166:N167"/>
    <mergeCell ref="N168:N169"/>
    <mergeCell ref="N170:N171"/>
    <mergeCell ref="N172:N173"/>
    <mergeCell ref="N174:N175"/>
    <mergeCell ref="N176:N177"/>
    <mergeCell ref="N178:N179"/>
    <mergeCell ref="N180:N181"/>
    <mergeCell ref="N182:N183"/>
    <mergeCell ref="N184:N185"/>
    <mergeCell ref="N186:N187"/>
    <mergeCell ref="N188:N189"/>
    <mergeCell ref="N190:N191"/>
    <mergeCell ref="N192:N193"/>
    <mergeCell ref="N194:N195"/>
    <mergeCell ref="N196:N197"/>
    <mergeCell ref="N198:N199"/>
    <mergeCell ref="N200:N201"/>
    <mergeCell ref="N202:N203"/>
    <mergeCell ref="N204:N205"/>
    <mergeCell ref="N206:N207"/>
    <mergeCell ref="N208:N209"/>
    <mergeCell ref="N210:N211"/>
    <mergeCell ref="N212:N213"/>
    <mergeCell ref="N214:N215"/>
    <mergeCell ref="N216:N217"/>
    <mergeCell ref="N218:N219"/>
    <mergeCell ref="N220:N221"/>
    <mergeCell ref="N222:N223"/>
    <mergeCell ref="N224:N225"/>
    <mergeCell ref="N226:N227"/>
    <mergeCell ref="N228:N229"/>
    <mergeCell ref="N230:N231"/>
    <mergeCell ref="N232:N233"/>
    <mergeCell ref="N234:N235"/>
    <mergeCell ref="N236:N237"/>
    <mergeCell ref="N238:N239"/>
    <mergeCell ref="N240:N241"/>
    <mergeCell ref="N242:N243"/>
    <mergeCell ref="N244:N245"/>
    <mergeCell ref="N246:N247"/>
    <mergeCell ref="N248:N249"/>
    <mergeCell ref="N250:N251"/>
    <mergeCell ref="N252:N253"/>
    <mergeCell ref="N254:N255"/>
    <mergeCell ref="N256:N257"/>
    <mergeCell ref="N258:N259"/>
    <mergeCell ref="N260:N261"/>
    <mergeCell ref="N262:N263"/>
    <mergeCell ref="N264:N265"/>
    <mergeCell ref="N266:N267"/>
    <mergeCell ref="N268:N269"/>
    <mergeCell ref="N270:N271"/>
    <mergeCell ref="N272:N273"/>
    <mergeCell ref="N274:N275"/>
    <mergeCell ref="N276:N277"/>
    <mergeCell ref="N278:N279"/>
    <mergeCell ref="N280:N281"/>
    <mergeCell ref="N282:N283"/>
    <mergeCell ref="N284:N285"/>
    <mergeCell ref="N286:N287"/>
    <mergeCell ref="N288:N289"/>
    <mergeCell ref="N290:N291"/>
    <mergeCell ref="N292:N293"/>
    <mergeCell ref="N294:N295"/>
    <mergeCell ref="N296:N297"/>
    <mergeCell ref="N298:N299"/>
    <mergeCell ref="N300:N301"/>
    <mergeCell ref="N302:N303"/>
    <mergeCell ref="N304:N305"/>
    <mergeCell ref="N306:N307"/>
    <mergeCell ref="N308:N309"/>
    <mergeCell ref="N316:N317"/>
    <mergeCell ref="N318:N319"/>
    <mergeCell ref="N320:N321"/>
    <mergeCell ref="N322:N323"/>
    <mergeCell ref="N324:N325"/>
    <mergeCell ref="N326:N327"/>
    <mergeCell ref="N328:N329"/>
    <mergeCell ref="N330:N331"/>
    <mergeCell ref="N332:N333"/>
    <mergeCell ref="N334:N335"/>
    <mergeCell ref="N336:N337"/>
    <mergeCell ref="N338:N339"/>
    <mergeCell ref="N340:N341"/>
    <mergeCell ref="N342:N343"/>
    <mergeCell ref="N344:N345"/>
    <mergeCell ref="N346:N347"/>
    <mergeCell ref="N348:N349"/>
    <mergeCell ref="N350:N351"/>
    <mergeCell ref="N352:N353"/>
    <mergeCell ref="N354:N355"/>
    <mergeCell ref="N356:N357"/>
    <mergeCell ref="N358:N359"/>
    <mergeCell ref="N360:N361"/>
    <mergeCell ref="N362:N363"/>
    <mergeCell ref="N364:N365"/>
    <mergeCell ref="N366:N367"/>
    <mergeCell ref="N368:N369"/>
    <mergeCell ref="N370:N371"/>
    <mergeCell ref="N372:N373"/>
    <mergeCell ref="N374:N375"/>
    <mergeCell ref="N376:N377"/>
    <mergeCell ref="N378:N379"/>
    <mergeCell ref="N380:N381"/>
    <mergeCell ref="N382:N383"/>
    <mergeCell ref="N384:N385"/>
    <mergeCell ref="N386:N387"/>
    <mergeCell ref="N388:N389"/>
    <mergeCell ref="N390:N391"/>
    <mergeCell ref="N392:N393"/>
    <mergeCell ref="N394:N395"/>
    <mergeCell ref="N396:N397"/>
    <mergeCell ref="N398:N399"/>
    <mergeCell ref="N400:N401"/>
    <mergeCell ref="N402:N403"/>
    <mergeCell ref="N404:N405"/>
    <mergeCell ref="N406:N407"/>
    <mergeCell ref="N408:N409"/>
    <mergeCell ref="N410:N411"/>
    <mergeCell ref="N412:N413"/>
    <mergeCell ref="N414:N415"/>
    <mergeCell ref="N416:N417"/>
    <mergeCell ref="N418:N419"/>
    <mergeCell ref="N420:N421"/>
    <mergeCell ref="N422:N423"/>
    <mergeCell ref="N424:N425"/>
    <mergeCell ref="N426:N427"/>
    <mergeCell ref="N428:N429"/>
    <mergeCell ref="N430:N431"/>
    <mergeCell ref="N432:N433"/>
    <mergeCell ref="N434:N435"/>
    <mergeCell ref="N436:N437"/>
    <mergeCell ref="N438:N439"/>
    <mergeCell ref="N440:N441"/>
    <mergeCell ref="N442:N443"/>
    <mergeCell ref="N444:N445"/>
    <mergeCell ref="N446:N447"/>
    <mergeCell ref="N448:N449"/>
    <mergeCell ref="N450:N451"/>
    <mergeCell ref="N452:N453"/>
    <mergeCell ref="N454:N455"/>
    <mergeCell ref="N456:N457"/>
    <mergeCell ref="N458:N459"/>
    <mergeCell ref="N460:N461"/>
    <mergeCell ref="N462:N463"/>
    <mergeCell ref="N464:N465"/>
    <mergeCell ref="N466:N467"/>
    <mergeCell ref="N468:N469"/>
    <mergeCell ref="N470:N471"/>
    <mergeCell ref="N472:N473"/>
    <mergeCell ref="N474:N475"/>
    <mergeCell ref="N476:N477"/>
    <mergeCell ref="N478:N479"/>
    <mergeCell ref="N480:N481"/>
    <mergeCell ref="N482:N483"/>
    <mergeCell ref="N484:N485"/>
    <mergeCell ref="N486:N487"/>
    <mergeCell ref="N488:N489"/>
    <mergeCell ref="N490:N491"/>
    <mergeCell ref="N492:N493"/>
    <mergeCell ref="N494:N495"/>
    <mergeCell ref="N496:N497"/>
    <mergeCell ref="N498:N499"/>
    <mergeCell ref="N500:N501"/>
    <mergeCell ref="N502:N503"/>
    <mergeCell ref="N504:N505"/>
    <mergeCell ref="N506:N507"/>
    <mergeCell ref="N508:N509"/>
    <mergeCell ref="N510:N511"/>
    <mergeCell ref="N512:N513"/>
    <mergeCell ref="N514:N515"/>
    <mergeCell ref="N516:N517"/>
    <mergeCell ref="N518:N519"/>
    <mergeCell ref="N520:N521"/>
    <mergeCell ref="N522:N523"/>
    <mergeCell ref="N524:N525"/>
    <mergeCell ref="N526:N527"/>
    <mergeCell ref="N528:N529"/>
    <mergeCell ref="N530:N531"/>
    <mergeCell ref="N532:N533"/>
    <mergeCell ref="N534:N535"/>
    <mergeCell ref="N536:N537"/>
    <mergeCell ref="N538:N539"/>
    <mergeCell ref="N540:N541"/>
    <mergeCell ref="N542:N543"/>
    <mergeCell ref="N544:N545"/>
    <mergeCell ref="N546:N547"/>
    <mergeCell ref="N548:N549"/>
    <mergeCell ref="N550:N551"/>
    <mergeCell ref="N552:N553"/>
    <mergeCell ref="N554:N555"/>
    <mergeCell ref="N556:N557"/>
    <mergeCell ref="N558:N559"/>
    <mergeCell ref="N560:N561"/>
    <mergeCell ref="N562:N563"/>
    <mergeCell ref="N564:N565"/>
    <mergeCell ref="N566:N567"/>
    <mergeCell ref="N568:N569"/>
    <mergeCell ref="N570:N571"/>
    <mergeCell ref="N572:N573"/>
    <mergeCell ref="N574:N575"/>
    <mergeCell ref="N576:N577"/>
    <mergeCell ref="N578:N579"/>
    <mergeCell ref="N580:N581"/>
    <mergeCell ref="N582:N583"/>
    <mergeCell ref="N584:N585"/>
    <mergeCell ref="N586:N587"/>
    <mergeCell ref="N588:N589"/>
    <mergeCell ref="N590:N591"/>
    <mergeCell ref="N592:N593"/>
    <mergeCell ref="N594:N595"/>
    <mergeCell ref="N596:N597"/>
    <mergeCell ref="N598:N599"/>
    <mergeCell ref="N600:N601"/>
    <mergeCell ref="N602:N603"/>
    <mergeCell ref="N604:N605"/>
    <mergeCell ref="N606:N607"/>
    <mergeCell ref="N608:N609"/>
    <mergeCell ref="N610:N611"/>
    <mergeCell ref="N612:N613"/>
    <mergeCell ref="N614:N615"/>
    <mergeCell ref="N621:N622"/>
    <mergeCell ref="N623:N624"/>
    <mergeCell ref="N625:N626"/>
    <mergeCell ref="N627:N628"/>
    <mergeCell ref="N629:N630"/>
    <mergeCell ref="N631:N632"/>
    <mergeCell ref="N633:N634"/>
    <mergeCell ref="N635:N636"/>
    <mergeCell ref="N637:N638"/>
    <mergeCell ref="N639:N640"/>
    <mergeCell ref="N641:N642"/>
    <mergeCell ref="N643:N644"/>
    <mergeCell ref="N645:N646"/>
    <mergeCell ref="N647:N648"/>
    <mergeCell ref="N649:N650"/>
    <mergeCell ref="N651:N652"/>
    <mergeCell ref="N653:N654"/>
    <mergeCell ref="N655:N656"/>
    <mergeCell ref="N657:N658"/>
    <mergeCell ref="N659:N660"/>
    <mergeCell ref="N661:N662"/>
    <mergeCell ref="N663:N664"/>
    <mergeCell ref="N665:N666"/>
    <mergeCell ref="N667:N668"/>
    <mergeCell ref="N669:N670"/>
    <mergeCell ref="N671:N672"/>
    <mergeCell ref="N673:N674"/>
    <mergeCell ref="N675:N676"/>
    <mergeCell ref="N677:N678"/>
    <mergeCell ref="N679:N680"/>
    <mergeCell ref="N681:N682"/>
    <mergeCell ref="N683:N684"/>
    <mergeCell ref="N685:N686"/>
    <mergeCell ref="N687:N688"/>
    <mergeCell ref="N689:N690"/>
    <mergeCell ref="N691:N692"/>
    <mergeCell ref="N693:N694"/>
    <mergeCell ref="N695:N696"/>
    <mergeCell ref="N697:N698"/>
    <mergeCell ref="N699:N700"/>
    <mergeCell ref="N701:N702"/>
    <mergeCell ref="N703:N704"/>
    <mergeCell ref="N705:N706"/>
    <mergeCell ref="N707:N708"/>
    <mergeCell ref="N709:N710"/>
    <mergeCell ref="N711:N712"/>
    <mergeCell ref="N713:N714"/>
    <mergeCell ref="N715:N716"/>
    <mergeCell ref="N717:N718"/>
    <mergeCell ref="N719:N720"/>
    <mergeCell ref="N721:N722"/>
    <mergeCell ref="N723:N724"/>
    <mergeCell ref="N725:N726"/>
    <mergeCell ref="N727:N728"/>
    <mergeCell ref="N729:N730"/>
    <mergeCell ref="N731:N732"/>
    <mergeCell ref="N733:N734"/>
    <mergeCell ref="N735:N736"/>
    <mergeCell ref="N737:N738"/>
    <mergeCell ref="N739:N740"/>
    <mergeCell ref="N741:N742"/>
    <mergeCell ref="N743:N744"/>
    <mergeCell ref="N745:N746"/>
    <mergeCell ref="N747:N748"/>
    <mergeCell ref="N749:N750"/>
    <mergeCell ref="N751:N752"/>
    <mergeCell ref="N753:N754"/>
    <mergeCell ref="N755:N756"/>
    <mergeCell ref="N757:N758"/>
    <mergeCell ref="N759:N760"/>
    <mergeCell ref="N761:N762"/>
    <mergeCell ref="N763:N764"/>
    <mergeCell ref="N765:N766"/>
    <mergeCell ref="N767:N768"/>
    <mergeCell ref="N769:N770"/>
    <mergeCell ref="N771:N772"/>
    <mergeCell ref="N773:N774"/>
    <mergeCell ref="N775:N776"/>
    <mergeCell ref="N777:N778"/>
    <mergeCell ref="N779:N780"/>
    <mergeCell ref="N781:N782"/>
    <mergeCell ref="N783:N784"/>
    <mergeCell ref="N785:N786"/>
    <mergeCell ref="N787:N788"/>
    <mergeCell ref="N789:N790"/>
    <mergeCell ref="N791:N792"/>
    <mergeCell ref="N793:N794"/>
    <mergeCell ref="N795:N796"/>
    <mergeCell ref="N797:N798"/>
    <mergeCell ref="N799:N800"/>
    <mergeCell ref="N801:N802"/>
    <mergeCell ref="N803:N804"/>
    <mergeCell ref="N805:N806"/>
    <mergeCell ref="N807:N808"/>
    <mergeCell ref="N809:N810"/>
    <mergeCell ref="N811:N812"/>
    <mergeCell ref="N813:N814"/>
    <mergeCell ref="N815:N816"/>
    <mergeCell ref="N817:N818"/>
    <mergeCell ref="N819:N820"/>
    <mergeCell ref="N821:N822"/>
    <mergeCell ref="N823:N824"/>
    <mergeCell ref="N825:N826"/>
    <mergeCell ref="N827:N828"/>
    <mergeCell ref="N829:N830"/>
    <mergeCell ref="N831:N832"/>
    <mergeCell ref="N833:N834"/>
    <mergeCell ref="N835:N836"/>
    <mergeCell ref="N837:N838"/>
    <mergeCell ref="N839:N840"/>
    <mergeCell ref="N841:N842"/>
    <mergeCell ref="N843:N844"/>
    <mergeCell ref="N845:N846"/>
    <mergeCell ref="N847:N848"/>
    <mergeCell ref="N849:N850"/>
    <mergeCell ref="N851:N852"/>
    <mergeCell ref="N853:N854"/>
    <mergeCell ref="N855:N856"/>
    <mergeCell ref="N857:N858"/>
    <mergeCell ref="N859:N860"/>
    <mergeCell ref="N861:N862"/>
    <mergeCell ref="N863:N864"/>
    <mergeCell ref="N865:N866"/>
    <mergeCell ref="N867:N868"/>
    <mergeCell ref="N869:N870"/>
    <mergeCell ref="N871:N872"/>
    <mergeCell ref="N873:N874"/>
    <mergeCell ref="N875:N876"/>
    <mergeCell ref="N877:N878"/>
    <mergeCell ref="N879:N880"/>
    <mergeCell ref="N881:N882"/>
    <mergeCell ref="N883:N884"/>
    <mergeCell ref="N885:N886"/>
    <mergeCell ref="N887:N888"/>
    <mergeCell ref="N889:N890"/>
    <mergeCell ref="N891:N892"/>
    <mergeCell ref="N893:N894"/>
    <mergeCell ref="N895:N896"/>
    <mergeCell ref="N897:N898"/>
    <mergeCell ref="N899:N900"/>
    <mergeCell ref="N901:N902"/>
    <mergeCell ref="N903:N904"/>
    <mergeCell ref="N905:N906"/>
    <mergeCell ref="N907:N908"/>
    <mergeCell ref="N909:N910"/>
    <mergeCell ref="N911:N912"/>
    <mergeCell ref="N913:N914"/>
    <mergeCell ref="N915:N916"/>
    <mergeCell ref="N917:N918"/>
    <mergeCell ref="N919:N920"/>
    <mergeCell ref="N921:N922"/>
    <mergeCell ref="N923:N924"/>
    <mergeCell ref="N925:N926"/>
    <mergeCell ref="N927:N928"/>
    <mergeCell ref="N929:N930"/>
    <mergeCell ref="N931:N932"/>
    <mergeCell ref="N933:N934"/>
    <mergeCell ref="N935:N936"/>
    <mergeCell ref="N937:N938"/>
    <mergeCell ref="N939:N940"/>
    <mergeCell ref="N941:N942"/>
    <mergeCell ref="N943:N944"/>
    <mergeCell ref="N945:N946"/>
    <mergeCell ref="N947:N948"/>
    <mergeCell ref="N949:N950"/>
    <mergeCell ref="N951:N952"/>
    <mergeCell ref="N953:N954"/>
    <mergeCell ref="N955:N956"/>
    <mergeCell ref="N957:N958"/>
    <mergeCell ref="N959:N960"/>
    <mergeCell ref="N961:N962"/>
    <mergeCell ref="N963:N964"/>
    <mergeCell ref="N965:N966"/>
    <mergeCell ref="N967:N968"/>
    <mergeCell ref="N969:N970"/>
    <mergeCell ref="N971:N972"/>
    <mergeCell ref="N973:N974"/>
    <mergeCell ref="N975:N976"/>
    <mergeCell ref="N977:N978"/>
    <mergeCell ref="N979:N980"/>
    <mergeCell ref="N981:N982"/>
    <mergeCell ref="N983:N984"/>
    <mergeCell ref="N985:N986"/>
    <mergeCell ref="N987:N988"/>
    <mergeCell ref="N989:N990"/>
    <mergeCell ref="N991:N992"/>
    <mergeCell ref="N993:N994"/>
    <mergeCell ref="N995:N996"/>
    <mergeCell ref="N997:N998"/>
    <mergeCell ref="N999:N1000"/>
    <mergeCell ref="N1001:N1002"/>
    <mergeCell ref="N1003:N1004"/>
    <mergeCell ref="N1005:N1006"/>
    <mergeCell ref="N1007:N1008"/>
    <mergeCell ref="N1009:N1010"/>
    <mergeCell ref="N1011:N1012"/>
    <mergeCell ref="N1013:N1014"/>
    <mergeCell ref="N1015:N1016"/>
    <mergeCell ref="N1017:N1018"/>
    <mergeCell ref="N1019:N1020"/>
    <mergeCell ref="N1021:N1022"/>
    <mergeCell ref="N1023:N1024"/>
    <mergeCell ref="N1025:N1026"/>
    <mergeCell ref="N1027:N1028"/>
    <mergeCell ref="N1029:N1030"/>
    <mergeCell ref="N1031:N1032"/>
    <mergeCell ref="N1033:N1034"/>
    <mergeCell ref="N1035:N1036"/>
    <mergeCell ref="N1037:N1038"/>
    <mergeCell ref="N1039:N1040"/>
    <mergeCell ref="N1041:N1042"/>
    <mergeCell ref="N1043:N1044"/>
    <mergeCell ref="N1045:N1046"/>
    <mergeCell ref="N1047:N1048"/>
    <mergeCell ref="N1049:N1050"/>
    <mergeCell ref="N1051:N1052"/>
    <mergeCell ref="N1053:N1054"/>
    <mergeCell ref="N1055:N1056"/>
    <mergeCell ref="N1057:N1058"/>
    <mergeCell ref="N1059:N1060"/>
    <mergeCell ref="N1061:N1062"/>
    <mergeCell ref="N1063:N1064"/>
    <mergeCell ref="N1065:N1066"/>
    <mergeCell ref="N1067:N1068"/>
    <mergeCell ref="N1069:N1070"/>
    <mergeCell ref="N1071:N1072"/>
    <mergeCell ref="N1073:N1074"/>
    <mergeCell ref="N1075:N1076"/>
    <mergeCell ref="N1077:N1078"/>
    <mergeCell ref="N1079:N1080"/>
    <mergeCell ref="N1081:N1082"/>
    <mergeCell ref="N1083:N1084"/>
    <mergeCell ref="N1085:N1086"/>
    <mergeCell ref="N1087:N1088"/>
    <mergeCell ref="N1089:N1090"/>
    <mergeCell ref="N1091:N1092"/>
    <mergeCell ref="N1093:N1094"/>
    <mergeCell ref="N1095:N1096"/>
    <mergeCell ref="N1097:N1098"/>
    <mergeCell ref="N1099:N1100"/>
    <mergeCell ref="N1101:N1102"/>
    <mergeCell ref="N1103:N1104"/>
    <mergeCell ref="N1105:N1106"/>
    <mergeCell ref="N1107:N1108"/>
    <mergeCell ref="N1109:N1110"/>
    <mergeCell ref="N1111:N1112"/>
    <mergeCell ref="N1113:N1114"/>
    <mergeCell ref="N1115:N1116"/>
    <mergeCell ref="N1117:N1118"/>
    <mergeCell ref="N1119:N1120"/>
    <mergeCell ref="N1121:N1122"/>
    <mergeCell ref="N1123:N1124"/>
    <mergeCell ref="N1125:N1126"/>
    <mergeCell ref="N1127:N1128"/>
    <mergeCell ref="N1129:N1130"/>
    <mergeCell ref="N1131:N1132"/>
    <mergeCell ref="N1133:N1134"/>
    <mergeCell ref="N1135:N1136"/>
    <mergeCell ref="N1137:N1138"/>
    <mergeCell ref="N1139:N1140"/>
    <mergeCell ref="N1141:N1142"/>
    <mergeCell ref="N1143:N1144"/>
    <mergeCell ref="N1145:N1146"/>
    <mergeCell ref="N1147:N1148"/>
    <mergeCell ref="N1149:N1150"/>
    <mergeCell ref="N1151:N1152"/>
    <mergeCell ref="N1153:N1154"/>
    <mergeCell ref="N1155:N1156"/>
    <mergeCell ref="N1157:N1158"/>
    <mergeCell ref="N1159:N1160"/>
    <mergeCell ref="N1161:N1162"/>
    <mergeCell ref="N1163:N1164"/>
    <mergeCell ref="N1165:N1166"/>
    <mergeCell ref="N1167:N1168"/>
    <mergeCell ref="N1169:N1170"/>
    <mergeCell ref="N1171:N1172"/>
    <mergeCell ref="N1173:N1174"/>
    <mergeCell ref="N1175:N1176"/>
    <mergeCell ref="N1177:N1178"/>
    <mergeCell ref="N1179:N1180"/>
    <mergeCell ref="N1181:N1182"/>
    <mergeCell ref="N1183:N1184"/>
    <mergeCell ref="N1185:N1186"/>
    <mergeCell ref="N1187:N1188"/>
    <mergeCell ref="N1189:N1190"/>
    <mergeCell ref="N1191:N1192"/>
    <mergeCell ref="N1193:N1194"/>
    <mergeCell ref="N1195:N1196"/>
    <mergeCell ref="N1197:N1198"/>
    <mergeCell ref="N1199:N1200"/>
    <mergeCell ref="N1201:N1202"/>
    <mergeCell ref="N1203:N1204"/>
    <mergeCell ref="N1205:N1206"/>
    <mergeCell ref="N1207:N1208"/>
    <mergeCell ref="N1209:N1210"/>
    <mergeCell ref="N1211:N1212"/>
    <mergeCell ref="N1213:N1214"/>
    <mergeCell ref="N1215:N1216"/>
    <mergeCell ref="N1217:N1218"/>
    <mergeCell ref="N1219:N1220"/>
    <mergeCell ref="N1221:N1222"/>
    <mergeCell ref="N1223:N1224"/>
    <mergeCell ref="N1225:N1226"/>
    <mergeCell ref="N1227:N1228"/>
    <mergeCell ref="N1229:N1230"/>
    <mergeCell ref="N1231:N1232"/>
    <mergeCell ref="N1233:N1234"/>
    <mergeCell ref="N1235:N1236"/>
    <mergeCell ref="N1237:N1238"/>
    <mergeCell ref="N1239:N1240"/>
    <mergeCell ref="N1241:N1242"/>
    <mergeCell ref="N1243:N1244"/>
    <mergeCell ref="N1245:N1246"/>
    <mergeCell ref="N1247:N1248"/>
    <mergeCell ref="N1249:N1250"/>
    <mergeCell ref="N1251:N1252"/>
    <mergeCell ref="N1253:N1254"/>
    <mergeCell ref="N1255:N1256"/>
    <mergeCell ref="N1257:N1258"/>
    <mergeCell ref="N1259:N1260"/>
    <mergeCell ref="N1261:N1262"/>
    <mergeCell ref="N1263:N1264"/>
    <mergeCell ref="N1265:N1266"/>
    <mergeCell ref="N1267:N1268"/>
    <mergeCell ref="N1269:N1270"/>
    <mergeCell ref="N1271:N1272"/>
    <mergeCell ref="N1273:N1274"/>
    <mergeCell ref="N1275:N1276"/>
    <mergeCell ref="N1277:N1278"/>
    <mergeCell ref="N1279:N1280"/>
    <mergeCell ref="N1281:N1282"/>
    <mergeCell ref="N1283:N1284"/>
    <mergeCell ref="N1285:N1286"/>
    <mergeCell ref="N1287:N1288"/>
    <mergeCell ref="N1289:N1290"/>
    <mergeCell ref="N1291:N1292"/>
    <mergeCell ref="N1293:N1294"/>
    <mergeCell ref="N1295:N1296"/>
    <mergeCell ref="N1297:N1298"/>
    <mergeCell ref="N1299:N1300"/>
    <mergeCell ref="N1301:N1302"/>
    <mergeCell ref="N1303:N1304"/>
    <mergeCell ref="N1305:N1306"/>
    <mergeCell ref="N1307:N1308"/>
    <mergeCell ref="N1309:N1310"/>
    <mergeCell ref="N1311:N1312"/>
    <mergeCell ref="N1313:N1314"/>
    <mergeCell ref="N1315:N1316"/>
    <mergeCell ref="N1317:N1318"/>
    <mergeCell ref="N1319:N1320"/>
    <mergeCell ref="N1321:N1322"/>
    <mergeCell ref="N1323:N1324"/>
    <mergeCell ref="N1325:N1326"/>
    <mergeCell ref="N1327:N1328"/>
    <mergeCell ref="N1329:N1330"/>
    <mergeCell ref="N1331:N1332"/>
    <mergeCell ref="N1333:N1334"/>
    <mergeCell ref="N1335:N1336"/>
    <mergeCell ref="N1337:N1338"/>
    <mergeCell ref="N1339:N1340"/>
    <mergeCell ref="N1341:N1342"/>
    <mergeCell ref="N1343:N1344"/>
    <mergeCell ref="N1345:N1346"/>
    <mergeCell ref="N1347:N1348"/>
    <mergeCell ref="N1349:N1350"/>
    <mergeCell ref="N1351:N1352"/>
    <mergeCell ref="N1353:N1354"/>
    <mergeCell ref="N1355:N1356"/>
    <mergeCell ref="N1357:N1358"/>
    <mergeCell ref="N1359:N1360"/>
    <mergeCell ref="N1361:N1362"/>
    <mergeCell ref="N1363:N1364"/>
    <mergeCell ref="N1365:N1366"/>
    <mergeCell ref="N1367:N1368"/>
    <mergeCell ref="N1369:N1370"/>
    <mergeCell ref="N1371:N1372"/>
    <mergeCell ref="N1373:N1374"/>
    <mergeCell ref="N1375:N1376"/>
    <mergeCell ref="N1377:N1378"/>
    <mergeCell ref="N1379:N1380"/>
    <mergeCell ref="N1381:N1382"/>
    <mergeCell ref="N1383:N1384"/>
    <mergeCell ref="N1385:N1386"/>
    <mergeCell ref="N1387:N1388"/>
    <mergeCell ref="N1389:N1390"/>
    <mergeCell ref="N1391:N1392"/>
    <mergeCell ref="N1393:N1394"/>
    <mergeCell ref="N1395:N1396"/>
    <mergeCell ref="N1397:N1398"/>
    <mergeCell ref="N1399:N1400"/>
    <mergeCell ref="N1401:N1402"/>
    <mergeCell ref="N1403:N1404"/>
    <mergeCell ref="N1405:N1406"/>
    <mergeCell ref="N1407:N1408"/>
    <mergeCell ref="N1409:N1410"/>
    <mergeCell ref="N1411:N1412"/>
    <mergeCell ref="N1413:N1414"/>
    <mergeCell ref="N1415:N1416"/>
    <mergeCell ref="N1417:N1418"/>
    <mergeCell ref="N1419:N1420"/>
    <mergeCell ref="N1421:N1422"/>
    <mergeCell ref="N1423:N1424"/>
    <mergeCell ref="N1425:N1426"/>
    <mergeCell ref="N1427:N1428"/>
    <mergeCell ref="N1429:N1430"/>
    <mergeCell ref="N1431:N1432"/>
    <mergeCell ref="N1433:N1434"/>
    <mergeCell ref="N1435:N1436"/>
    <mergeCell ref="N1437:N1438"/>
    <mergeCell ref="N1439:N1440"/>
    <mergeCell ref="N1441:N1442"/>
    <mergeCell ref="N1443:N1444"/>
    <mergeCell ref="N1445:N1446"/>
    <mergeCell ref="N1447:N1448"/>
    <mergeCell ref="N1449:N1450"/>
    <mergeCell ref="N1451:N1452"/>
    <mergeCell ref="N1453:N1454"/>
    <mergeCell ref="N1455:N1456"/>
    <mergeCell ref="N1457:N1458"/>
    <mergeCell ref="N1459:N1460"/>
    <mergeCell ref="N1461:N1462"/>
    <mergeCell ref="N1463:N1464"/>
    <mergeCell ref="N1465:N1466"/>
    <mergeCell ref="N1467:N1468"/>
    <mergeCell ref="N1469:N1470"/>
    <mergeCell ref="N1471:N1472"/>
    <mergeCell ref="N1473:N1474"/>
    <mergeCell ref="N1475:N1476"/>
    <mergeCell ref="N1477:N1478"/>
    <mergeCell ref="N1479:N1480"/>
    <mergeCell ref="N1481:N1482"/>
    <mergeCell ref="N1483:N1484"/>
    <mergeCell ref="N1485:N1486"/>
    <mergeCell ref="N1487:N1488"/>
    <mergeCell ref="N1489:N1490"/>
    <mergeCell ref="N1491:N1492"/>
    <mergeCell ref="N1493:N1494"/>
    <mergeCell ref="N1495:N1496"/>
    <mergeCell ref="N1497:N1498"/>
    <mergeCell ref="N1499:N1500"/>
    <mergeCell ref="N1501:N1502"/>
    <mergeCell ref="N1503:N1504"/>
    <mergeCell ref="N1505:N1506"/>
    <mergeCell ref="N1507:N1508"/>
    <mergeCell ref="N1509:N1510"/>
    <mergeCell ref="N1511:N1512"/>
    <mergeCell ref="N1513:N1514"/>
    <mergeCell ref="N1515:N1516"/>
    <mergeCell ref="N1517:N1518"/>
    <mergeCell ref="N1519:N1520"/>
    <mergeCell ref="N1521:N1522"/>
    <mergeCell ref="N1523:N1524"/>
    <mergeCell ref="N1525:N1526"/>
    <mergeCell ref="N1527:N1528"/>
    <mergeCell ref="N1529:N1530"/>
    <mergeCell ref="N1531:N1532"/>
    <mergeCell ref="N1533:N1534"/>
    <mergeCell ref="N1535:N1536"/>
    <mergeCell ref="N1537:N1538"/>
    <mergeCell ref="N1539:N1540"/>
    <mergeCell ref="N1541:N1542"/>
    <mergeCell ref="N1543:N1544"/>
    <mergeCell ref="N1545:N1546"/>
    <mergeCell ref="N1547:N1548"/>
    <mergeCell ref="N1549:N1550"/>
    <mergeCell ref="N1551:N1552"/>
    <mergeCell ref="N1553:N1554"/>
    <mergeCell ref="N1555:N1556"/>
    <mergeCell ref="N1557:N1558"/>
    <mergeCell ref="N1559:N1560"/>
    <mergeCell ref="N1561:N1562"/>
    <mergeCell ref="N1563:N1564"/>
    <mergeCell ref="N1565:N1566"/>
    <mergeCell ref="N1567:N1568"/>
    <mergeCell ref="N1569:N1570"/>
    <mergeCell ref="N1571:N1572"/>
    <mergeCell ref="N1573:N1574"/>
    <mergeCell ref="N1575:N1576"/>
    <mergeCell ref="N1577:N1578"/>
    <mergeCell ref="N1579:N1580"/>
    <mergeCell ref="N1581:N1582"/>
    <mergeCell ref="N1583:N1584"/>
    <mergeCell ref="N1585:N1586"/>
    <mergeCell ref="N1587:N1588"/>
    <mergeCell ref="N1681:N1682"/>
    <mergeCell ref="N1683:N1684"/>
    <mergeCell ref="N1685:N1686"/>
    <mergeCell ref="N1687:N1688"/>
    <mergeCell ref="N1689:N1690"/>
    <mergeCell ref="N1691:N1692"/>
    <mergeCell ref="N1693:N1694"/>
    <mergeCell ref="N1695:N1696"/>
    <mergeCell ref="N1697:N1698"/>
    <mergeCell ref="N1699:N1700"/>
    <mergeCell ref="N1701:N1702"/>
    <mergeCell ref="N1703:N1704"/>
    <mergeCell ref="N1705:N1706"/>
    <mergeCell ref="N1707:N1708"/>
    <mergeCell ref="N1709:N1710"/>
    <mergeCell ref="N1711:N1712"/>
    <mergeCell ref="N1713:N1714"/>
    <mergeCell ref="N1715:N1716"/>
    <mergeCell ref="N1717:N1718"/>
    <mergeCell ref="N1719:N1720"/>
    <mergeCell ref="N1589:N1590"/>
    <mergeCell ref="N1591:N1592"/>
    <mergeCell ref="N1593:N1594"/>
    <mergeCell ref="N1595:N1596"/>
    <mergeCell ref="N1597:N1598"/>
    <mergeCell ref="N1599:N1600"/>
    <mergeCell ref="N1601:N1602"/>
    <mergeCell ref="N1603:N1604"/>
    <mergeCell ref="N1605:N1606"/>
    <mergeCell ref="N1607:N1608"/>
    <mergeCell ref="N1609:N1610"/>
    <mergeCell ref="N1611:N1612"/>
    <mergeCell ref="N1613:N1614"/>
    <mergeCell ref="N1615:N1616"/>
    <mergeCell ref="N1617:N1618"/>
    <mergeCell ref="N1619:N1620"/>
    <mergeCell ref="N1621:N1622"/>
    <mergeCell ref="N1623:N1624"/>
    <mergeCell ref="N1625:N1626"/>
    <mergeCell ref="N1627:N1628"/>
    <mergeCell ref="N1629:N1630"/>
    <mergeCell ref="N1631:N1632"/>
    <mergeCell ref="N1633:N1634"/>
    <mergeCell ref="N1635:N1636"/>
    <mergeCell ref="N1637:N1638"/>
    <mergeCell ref="N1639:N1640"/>
    <mergeCell ref="N1641:N1642"/>
    <mergeCell ref="N1643:N1644"/>
    <mergeCell ref="N1645:N1646"/>
    <mergeCell ref="N1647:N1648"/>
    <mergeCell ref="N1649:N1650"/>
    <mergeCell ref="N1651:N1652"/>
    <mergeCell ref="N1653:N1654"/>
    <mergeCell ref="N1819:N1820"/>
    <mergeCell ref="N1797:N1798"/>
    <mergeCell ref="N1799:N1800"/>
    <mergeCell ref="N1801:N1802"/>
    <mergeCell ref="N1803:N1804"/>
    <mergeCell ref="N1805:N1806"/>
    <mergeCell ref="N1807:N1808"/>
    <mergeCell ref="B1:J3"/>
    <mergeCell ref="N1809:N1810"/>
    <mergeCell ref="N1811:N1812"/>
    <mergeCell ref="N1813:N1814"/>
    <mergeCell ref="N1815:N1816"/>
    <mergeCell ref="N1817:N1818"/>
    <mergeCell ref="N1785:N1786"/>
    <mergeCell ref="N1787:N1788"/>
    <mergeCell ref="N1789:N1790"/>
    <mergeCell ref="N1791:N1792"/>
    <mergeCell ref="N1721:N1722"/>
    <mergeCell ref="N1723:N1724"/>
    <mergeCell ref="N1725:N1726"/>
    <mergeCell ref="N1727:N1728"/>
    <mergeCell ref="N1729:N1730"/>
    <mergeCell ref="N1731:N1732"/>
    <mergeCell ref="N1733:N1734"/>
    <mergeCell ref="N1735:N1736"/>
    <mergeCell ref="N1737:N1738"/>
    <mergeCell ref="N1739:N1740"/>
    <mergeCell ref="N1741:N1742"/>
    <mergeCell ref="N1743:N1744"/>
    <mergeCell ref="N1745:N1746"/>
    <mergeCell ref="N1747:N1748"/>
    <mergeCell ref="N1749:N1750"/>
    <mergeCell ref="N1751:N1752"/>
    <mergeCell ref="N1753:N1754"/>
    <mergeCell ref="N1755:N1756"/>
    <mergeCell ref="N1757:N1758"/>
    <mergeCell ref="N1759:N1760"/>
    <mergeCell ref="N1761:N1762"/>
    <mergeCell ref="N1763:N1764"/>
    <mergeCell ref="N1765:N1766"/>
    <mergeCell ref="N1767:N1768"/>
    <mergeCell ref="N1769:N1770"/>
    <mergeCell ref="N1771:N1772"/>
    <mergeCell ref="N1793:N1794"/>
    <mergeCell ref="N1795:N1796"/>
    <mergeCell ref="N1773:N1774"/>
    <mergeCell ref="N1775:N1776"/>
    <mergeCell ref="N1777:N1778"/>
    <mergeCell ref="N1779:N1780"/>
    <mergeCell ref="N1781:N1782"/>
    <mergeCell ref="N1783:N1784"/>
    <mergeCell ref="N1655:N1656"/>
    <mergeCell ref="N1657:N1658"/>
    <mergeCell ref="N1659:N1660"/>
    <mergeCell ref="N1661:N1662"/>
    <mergeCell ref="N1663:N1664"/>
    <mergeCell ref="N1665:N1666"/>
    <mergeCell ref="N1667:N1668"/>
    <mergeCell ref="N1669:N1670"/>
    <mergeCell ref="N1671:N1672"/>
    <mergeCell ref="N1673:N1674"/>
    <mergeCell ref="N1675:N1676"/>
    <mergeCell ref="N1677:N1678"/>
    <mergeCell ref="N1679:N1680"/>
  </mergeCells>
  <conditionalFormatting sqref="B10:E10 C12:E12 K12:N12 C14:N14 C16:N16 C18:N18 C20:N20 C22:N22 C24:N24 C26:N26 C28:N28 C30:E30 C32:E32 C34:N34 C36:N36 C38:N38 C40:N40 C42:N42 C44:N44 C46:N46 C48:N48 C50:N50 C52:N52 C54:N54 C56:N56 C58:N58 C60:N60 C62:N62 C64:N64 C66:N66 C68:N68 C70:N70 C72:N72 C74:N74 C76:N76 C78:N78 C80:N80 C82:N82 C84:N84 C86:N86 C88:N88 C90:N90 C92:N92 C94:N94 C96:N96 C98:N98 C100:N100 C102:N102 C104:N104 C106:N106 C108:N108 C110:N110 C112:N112 C114:N114 C116:N116 C118:N118 C120:N120 C122:N122 C124:N124 C126:N126 C128:N128 C130:N130 C132:N132 C134:N134 C136:N136 C138:N138 C140:N140 C142:N142 C144:N144 C146:N146 C148:N148 C150:N150 C152:N152 C154:N154 C156:N156 C158:N158 C160:N160 C162:N162 C164:N164 C166:N166 C168:N168 C170:N170 C172:N172 C174:N174 C176:N176 C178:N178 C180:N180 C182:N182 C184:N184 C186:N186 C188:N188 C190:N190 C192:N192 C194:N194 C196:N196 C198:N198 C200:N200 C202:N202 C204:N204 C206:N206 C208:N208 C210:N210 C212:N212 C214:N214 C216:N216 C218:N218 C220:N220 C222:N222 C224:N224 C226:N226 C228:N228 C230:N230 C232:N232 C234:N234 C236:N236 C238:N238 C240:N240 C242:N242 C244:N244 C246:N246 C248:N248 C250:N250 C252:N252 C254:N254 C256:N256 C258:N258 C260:N260 C262:N262 C264:N264 C266:N266 C268:N268 C270:N270 C272:N272 C274:N274 C276:N276 C278:N278 C280:N280 C282:N282 C284:N284 C286:N286 C288:N288 C290:N290 C292:N292 C294:N294 C296:N296 C298:N298 C300:N300 C302:N302 C304:N304 C306:N306 C308:N308 K10:N10 K32:N32 K30:N30">
    <cfRule type="expression" dxfId="243" priority="270">
      <formula>$D10=""</formula>
    </cfRule>
  </conditionalFormatting>
  <conditionalFormatting sqref="F14:I14 F16:I16 F18:I18 F20:I20 F22:I22 F24:I24 F26:I26 F28:I28 F34:I34 F36:I36 F38:I38 F40:I40 F42:I42 F44:I44 F46:I46 F48:I48 F50:I50 F52:I52 F54:I54 F56:I56 F58:I58 F60:I60 F62:I62 F64:I64 F66:I66 F68:I68 F70:I70 F72:I72 F74:I74 F76:I76 F78:I78 F80:I80 F82:I82 F84:I84 F86:I86 F88:I88 F90:I90 F92:I92 F94:I94 F96:I96 F98:I98 F100:I100 F102:I102 F104:I104 F106:I106 F108:I108 F110:I110 F112:I112 F114:I114 F116:I116 F118:I118 F120:I120 F122:I122 F124:I124 F126:I126 F128:I128 F130:I130 F132:I132 F134:I134 F136:I136 F138:I138 F140:I140 F142:I142 F144:I144 F146:I146 F148:I148 F150:I150 F152:I152 F154:I154 F156:I156 F158:I158 F160:I160 F162:I162 F164:I164 F166:I166 F168:I168 F170:I170 F172:I172 F174:I174 F176:I176 F178:I178 F180:I180 F182:I182 F184:I184 F186:I186 F188:I188 F190:I190 F192:I192 F194:I194 F196:I196 F198:I198 F200:I200 F202:I202 F204:I204 F206:I206 F208:I208 F210:I210 F212:I212 F214:I214 F216:I216 F218:I218 F220:I220 F222:I222 F224:I224 F226:I226 F228:I228 F230:I230 F232:I232 F234:I234 F236:I236 F238:I238 F240:I240 F242:I242 F244:I244 F246:I246 F248:I248 F250:I250 F252:I252 F254:I254 F256:I256 F258:I258 F260:I260 F262:I262 F264:I264 F266:I266 F268:I268 F270:I270 F272:I272 F274:I274 F276:I276 F278:I278 F280:I280 F282:I282 F284:I284 F286:I286 F288:I288 F290:I290 F292:I292 F294:I294 F296:I296 F298:I298 F300:I300 F302:I302 F304:I304 F306:I306 F308:I308">
    <cfRule type="expression" dxfId="242" priority="12816">
      <formula>$D14=""</formula>
    </cfRule>
  </conditionalFormatting>
  <conditionalFormatting sqref="G14 G16 G18 G20 G22 G24 G26 G28 G34 G36 G38 G40 G42 G44 G46 G48 G50 G52 G54 G56 G58 G60 G62 G64 G66 G68 G70 G72 G74 G76 G78 G80 G82 G84 G86 G88 G90 G92 G94 G96 G98 G100 G102 G104 G106 G108 G110 G112 G114 G116 G118 G120 G122 G124 G126 G128 G130 G132 G134 G136 G138 G140 G142 G144 G146 G148 G150 G152 G154 G156 G158 G160 G162 G164 G166 G168 G170 G172 G174 G176 G178 G180 G182 G184 G186 G188 G190 G192 G194 G196 G198 G200 G202 G204 G206 G208 G210 G212 G214 G216 G218 G220 G222 G224 G226 G228 G230 G232 G234 G236 G238 G240 G242 G244 G246 G248 G250 G252 G254 G256 G258 G260 G262 G264 G266 G268 G270 G272 G274 G276 G278 G280 G282 G284 G286 G288 G290 G292 G294 G296 G298 G300 G302 G304 G306 G308">
    <cfRule type="expression" priority="12824">
      <formula>ROW()-2&gt;SUMPRODUCT(MAX(($B5:$B15&lt;&gt;"")*(ROW($B5:G15))))</formula>
    </cfRule>
  </conditionalFormatting>
  <conditionalFormatting sqref="H14 H16 H18 H20 H22 H24 H26 H28 H34 H36 H38 H40 H42 H44 H46 H48 H50 H52 H54 H56 H58 H60 H62 H64 H66 H68 H70 H72 H74 H76 H78 H80 H82 H84 H86 H88 H90 H92 H94 H96 H98 H100 H102 H104 H106 H108 H110 H112 H114 H116 H118 H120 H122 H124 H126 H128 H130 H132 H134 H136 H138 H140 H142 H144 H146 H148 H150 H152 H154 H156 H158 H160 H162 H164 H166 H168 H170 H172 H174 H176 H178 H180 H182 H184 H186 H188 H190 H192 H194 H196 H198 H200 H202 H204 H206 H208 H210 H212 H214 H216 H218 H220 H222 H224 H226 H228 H230 H232 H234 H236 H238 H240 H242 H244 H246 H248 H250 H252 H254 H256 H258 H260 H262 H264 H266 H268 H270 H272 H274 H276 H278 H280 H282 H284 H286 H288 H290 H292 H294 H296 H298 H300 H302 H304 H306 H308">
    <cfRule type="expression" priority="12823">
      <formula>ROW()-2&gt;SUMPRODUCT(MAX(($B5:$B15&lt;&gt;"")*(ROW($B5:H15))))</formula>
    </cfRule>
  </conditionalFormatting>
  <conditionalFormatting sqref="I14 I16 I18 I20 I22 I24 I26 I28 I34 I36 I38 I40 I42 I44 I46 I48 I50 I52 I54 I56 I58 I60 I62 I64 I66 I68 I70 I72 I74 I76 I78 I80 I82 I84 I86 I88 I90 I92 I94 I96 I98 I100 I102 I104 I106 I108 I110 I112 I114 I116 I118 I120 I122 I124 I126 I128 I130 I132 I134 I136 I138 I140 I142 I144 I146 I148 I150 I152 I154 I156 I158 I160 I162 I164 I166 I168 I170 I172 I174 I176 I178 I180 I182 I184 I186 I188 I190 I192 I194 I196 I198 I200 I202 I204 I206 I208 I210 I212 I214 I216 I218 I220 I222 I224 I226 I228 I230 I232 I234 I236 I238 I240 I242 I244 I246 I248 I250 I252 I254 I256 I258 I260 I262 I264 I266 I268 I270 I272 I274 I276 I278 I280 I282 I284 I286 I288 I290 I292 I294 I296 I298 I300 I302 I304 I306 I308">
    <cfRule type="expression" priority="12822">
      <formula>ROW()-2&gt;SUMPRODUCT(MAX(($B5:$B15&lt;&gt;"")*(ROW($B5:I15))))</formula>
    </cfRule>
  </conditionalFormatting>
  <conditionalFormatting sqref="K10:N10 K12:N12 K14:N14 K16:N16 K18:N18 K20:N20 K22:N22 K24:N24 K26:N26 K28:N28 K30:N30 K32:N32 K34:N34 K36:N36 K38:N38 K40:N40 K42:N42 K44:N44 K46:N46 K48:N48 K50:N50 K52:N52 K54:N54 K56:N56 K58:N58 K60:N60 K62:N62 K64:N64 K66:N66 K68:N68 K70:N70 K72:N72 K74:N74 K76:N76 K78:N78 K80:N80 K82:N82 K84:N84 K86:N86 K88:N88 K90:N90 K92:N92 K94:N94 K96:N96 K98:N98 K100:N100 K102:N102 K104:N104 K106:N106 K108:N108 K110:N110 K112:N112 K114:N114 K116:N116 K118:N118 K120:N120 K122:N122 K124:N124 K126:N126 K128:N128 K130:N130 K132:N132 K134:N134 K136:N136 K138:N138 K140:N140 K142:N142 K144:N144 K146:N146 K148:N148 K150:N150 K152:N152 K154:N154 K156:N156 K158:N158 K160:N160 K162:N162 K164:N164 K166:N166 K168:N168 K170:N170 K172:N172 K174:N174 K176:N176 K178:N178 K180:N180 K182:N182 K184:N184 K186:N186 K188:N188 K190:N190 K192:N192 K194:N194 K196:N196 K198:N198 K200:N200 K202:N202 K204:N204 K206:N206 K208:N208 K210:N210 K212:N212 K214:N214 K216:N216 K218:N218 K220:N220 K222:N222 K224:N224 K226:N226 K228:N228 K230:N230 K232:N232 K234:N234 K236:N236 K238:N238 K240:N240 K242:N242 K244:N244 K246:N246 K248:N248 K250:N250 K252:N252 K254:N254 K256:N256 K258:N258 K260:N260 K262:N262 K264:N264 K266:N266 K268:N268 K270:N270 K272:N272 K274:N274 K276:N276 K278:N278 K280:N280 K282:N282 K284:N284 K286:N286 K288:N288 K290:N290 K292:N292 K294:N294 K296:N296 K298:N298 K300:N300 K302:N302 K304:N304 K306:N306 K308:N308">
    <cfRule type="expression" priority="12827">
      <formula>ROW()-2&gt;SUMPRODUCT(MAX(($B1:$B11&lt;&gt;"")*(ROW($B1:K11))))</formula>
    </cfRule>
  </conditionalFormatting>
  <conditionalFormatting sqref="K10 K12 K14 K16 K18 K20 K22 K24 K26 K28 K30 K32 K34 K36 K38 K40 K42 K44 K46 K48 K50 K52 K54 K56 K58 K60 K62 K64 K66 K68 K70 K72 K74 K76 K78 K80 K82 K84 K86 K88 K90 K92 K94 K96 K98 K100 K102 K104 K106 K108 K110 K112 K114 K116 K118 K120 K122 K124 K126 K128 K130 K132 K134 K136 K138 K140 K142 K144 K146 K148 K150 K152 K154 K156 K158 K160 K162 K164 K166 K168 K170 K172 K174 K176 K178 K180 K182 K184 K186 K188 K190 K192 K194 K196 K198 K200 K202 K204 K206 K208 K210 K212 K214 K216 K218 K220 K222 K224 K226 K228 K230 K232 K234 K236 K238 K240 K242 K244 K246 K248 K250 K252 K254 K256 K258 K260 K262 K264 K266 K268 K270 K272 K274 K276 K278 K280 K282 K284 K286 K288 K290 K292 K294 K296 K298 K300 K302 K304 K306 K308">
    <cfRule type="expression" dxfId="241" priority="12813">
      <formula>$D10=""</formula>
    </cfRule>
  </conditionalFormatting>
  <conditionalFormatting sqref="L10 L12 L14 L16 L18 L20 L22 L24 L26 L28 L30 L32 L34 L36 L38 L40 L42 L44 L46 L48 L50 L52 L54 L56 L58 L60 L62 L64 L66 L68 L70 L72 L74 L76 L78 L80 L82 L84 L86 L88 L90 L92 L94 L96 L98 L100 L102 L104 L106 L108 L110 L112 L114 L116 L118 L120 L122 L124 L126 L128 L130 L132 L134 L136 L138 L140 L142 L144 L146 L148 L150 L152 L154 L156 L158 L160 L162 L164 L166 L168 L170 L172 L174 L176 L178 L180 L182 L184 L186 L188 L190 L192 L194 L196 L198 L200 L202 L204 L206 L208 L210 L212 L214 L216 L218 L220 L222 L224 L226 L228 L230 L232 L234 L236 L238 L240 L242 L244 L246 L248 L250 L252 L254 L256 L258 L260 L262 L264 L266 L268 L270 L272 L274 L276 L278 L280 L282 L284 L286 L288 L290 L292 L294 L296 L298 L300 L302 L304 L306 L308">
    <cfRule type="expression" dxfId="240" priority="12810">
      <formula>$D10=""</formula>
    </cfRule>
  </conditionalFormatting>
  <conditionalFormatting sqref="M10 M12 M14 M16 M18 M20 M22 M24 M26 M28 M30 M32 M34 M36 M38 M40 M42 M44 M46 M48 M50 M52 M54 M56 M58 M60 M62 M64 M66 M68 M70 M72 M74 M76 M78 M80 M82 M84 M86 M88 M90 M92 M94 M96 M98 M100 M102 M104 M106 M108 M110 M112 M114 M116 M118 M120 M122 M124 M126 M128 M130 M132 M134 M136 M138 M140 M142 M144 M146 M148 M150 M152 M154 M156 M158 M160 M162 M164 M166 M168 M170 M172 M174 M176 M178 M180 M182 M184 M186 M188 M190 M192 M194 M196 M198 M200 M202 M204 M206 M208 M210 M212 M214 M216 M218 M220 M222 M224 M226 M228 M230 M232 M234 M236 M238 M240 M242 M244 M246 M248 M250 M252 M254 M256 M258 M260 M262 M264 M266 M268 M270 M272 M274 M276 M278 M280 M282 M284 M286 M288 M290 M292 M294 M296 M298 M300 M302 M304 M306 M308">
    <cfRule type="expression" dxfId="239" priority="12807">
      <formula>$D10=""</formula>
    </cfRule>
  </conditionalFormatting>
  <conditionalFormatting sqref="N10 N12 N14 N16 N18 N20 N22 N24 N26 N28 N30 N32 N34 N36 N38 N40 N42 N44 N46 N48 N50 N52 N54 N56 N58 N60 N62 N64 N66 N68 N70 N72 N74 N76 N78 N80 N82 N84 N86 N88 N90 N92 N94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14 N216 N218 N220 N222 N224 N226 N228 N230 N232 N234 N236 N238 N240 N242 N244 N246 N248 N250 N252 N254 N256 N258 N260 N262 N264 N266 N268 N270 N272 N274 N276 N278 N280 N282 N284 N286 N288 N290 N292 N294 N296 N298 N300 N302 N304 N306 N308">
    <cfRule type="expression" dxfId="238" priority="12804">
      <formula>$D10=""</formula>
    </cfRule>
  </conditionalFormatting>
  <conditionalFormatting sqref="F15 F17 F19 F21 F23 F25 F27 F29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257 F259 F261 F263 F265 F267 F269 F271 F273 F275 F277 F279 F281 F283 F285 F287 F289 F291 F293 F295 F297 F299 F301 F303 F305 F307 F309">
    <cfRule type="expression" dxfId="237" priority="269">
      <formula>$D14=""</formula>
    </cfRule>
  </conditionalFormatting>
  <conditionalFormatting sqref="G15:I15 G17:I17 G19:I19 G21:I21 G23:I23 G25:I25 G27:I27 G29:I29 G35:I35 G37:I37 G39:I39 G41:I41 G43:I43 G45:I45 G47:I47 G49:I49 G51:I51 G53:I53 G55:I55 G57:I57 G59:I59 G61:I61 G63:I63 G65:I65 G67:I67 G69:I69 G71:I71 G73:I73 G75:I75 G77:I77 G79:I79 G81:I81 G83:I83 G85:I85 G87:I87 G89:I89 G91:I91 G93:I93 G95:I95 G97:I97 G99:I99 G101:I101 G103:I103 G105:I105 G107:I107 G109:I109 G111:I111 G113:I113 G115:I115 G117:I117 G119:I119 G121:I121 G123:I123 G125:I125 G127:I127 G129:I129 G131:I131 G133:I133 G135:I135 G137:I137 G139:I139 G141:I141 G143:I143 G145:I145 G147:I147 G149:I149 G151:I151 G153:I153 G155:I155 G157:I157 G159:I159 G161:I161 G163:I163 G165:I165 G167:I167 G169:I169 G171:I171 G173:I173 G175:I175 G177:I177 G179:I179 G181:I181 G183:I183 G185:I185 G187:I187 G189:I189 G191:I191 G193:I193 G195:I195 G197:I197 G199:I199 G201:I201 G203:I203 G205:I205 G207:I207 G209:I209 G211:I211 G213:I213 G215:I215 G217:I217 G219:I219 G221:I221 G223:I223 G225:I225 G227:I227 G229:I229 G231:I231 G233:I233 G235:I235 G237:I237 G239:I239 G241:I241 G243:I243 G245:I245 G247:I247 G249:I249 G251:I251 G253:I253 G255:I255 G257:I257 G259:I259 G261:I261 G263:I263 G265:I265 G267:I267 G269:I269 G271:I271 G273:I273 G275:I275 G277:I277 G279:I279 G281:I281 G283:I283 G285:I285 G287:I287 G289:I289 G291:I291 G293:I293 G295:I295 G297:I297 G299:I299 G301:I301 G303:I303 G305:I305 G307:I307 G309:I309">
    <cfRule type="expression" dxfId="236" priority="12817">
      <formula>$D14=""</formula>
    </cfRule>
  </conditionalFormatting>
  <conditionalFormatting sqref="K11 K13 K15 K17 K19 K21 K23 K25 K27 K29 K31 K33 K35 K37 K39 K41 K43 K45 K47 K49 K51 K53 K55 K57 K59 K61 K63 K65 K67 K69 K71 K73 K75 K77 K79 K81 K83 K85 K87 K89 K91 K93 K95 K97 K99 K101 K103 K105 K107 K109 K111 K113 K115 K117 K119 K121 K123 K125 K127 K129 K131 K133 K135 K137 K139 K141 K143 K145 K147 K149 K151 K153 K155 K157 K159 K161 K163 K165 K167 K169 K171 K173 K175 K177 K179 K181 K183 K185 K187 K189 K191 K193 K195 K197 K199 K201 K203 K205 K207 K209 K211 K213 K215 K217 K219 K221 K223 K225 K227 K229 K231 K233 K235 K237 K239 K241 K243 K245 K247 K249 K251 K253 K255 K257 K259 K261 K263 K265 K267 K269 K271 K273 K275 K277 K279 K281 K283 K285 K287 K289 K291 K293 K295 K297 K299 K301 K303 K305 K307 K309">
    <cfRule type="expression" dxfId="235" priority="12814">
      <formula>$D10=""</formula>
    </cfRule>
  </conditionalFormatting>
  <conditionalFormatting sqref="L11 L13 L15 L17 L19 L21 L23 L25 L27 L29 L31 L33 L35 L37 L39 L41 L43 L45 L47 L49 L51 L53 L55 L57 L59 L61 L63 L65 L67 L69 L71 L73 L75 L77 L79 L81 L83 L85 L87 L89 L91 L93 L95 L97 L99 L101 L103 L105 L107 L109 L111 L113 L115 L117 L119 L121 L123 L125 L127 L129 L131 L133 L135 L137 L139 L141 L143 L145 L147 L149 L151 L153 L155 L157 L159 L161 L163 L165 L167 L169 L171 L173 L175 L177 L179 L181 L183 L185 L187 L189 L191 L193 L195 L197 L199 L201 L203 L205 L207 L209 L211 L213 L215 L217 L219 L221 L223 L225 L227 L229 L231 L233 L235 L237 L239 L241 L243 L245 L247 L249 L251 L253 L255 L257 L259 L261 L263 L265 L267 L269 L271 L273 L275 L277 L279 L281 L283 L285 L287 L289 L291 L293 L295 L297 L299 L301 L303 L305 L307 L309">
    <cfRule type="expression" dxfId="234" priority="12811">
      <formula>$D10=""</formula>
    </cfRule>
  </conditionalFormatting>
  <conditionalFormatting sqref="M11 M13 M15 M17 M19 M21 M23 M25 M27 M29 M31 M33 M35 M37 M39 M41 M43 M45 M47 M49 M51 M53 M55 M57 M59 M61 M63 M65 M67 M69 M71 M73 M75 M77 M79 M81 M83 M85 M87 M89 M91 M93 M95 M97 M99 M101 M103 M105 M107 M109 M111 M113 M115 M117 M119 M121 M123 M125 M127 M129 M131 M133 M135 M137 M139 M141 M143 M145 M147 M149 M151 M153 M155 M157 M159 M161 M163 M165 M167 M169 M171 M173 M175 M177 M179 M181 M183 M185 M187 M189 M191 M193 M195 M197 M199 M201 M203 M205 M207 M209 M211 M213 M215 M217 M219 M221 M223 M225 M227 M229 M231 M233 M235 M237 M239 M241 M243 M245 M247 M249 M251 M253 M255 M257 M259 M261 M263 M265 M267 M269 M271 M273 M275 M277 M279 M281 M283 M285 M287 M289 M291 M293 M295 M297 M299 M301 M303 M305 M307 M309">
    <cfRule type="expression" dxfId="233" priority="12808">
      <formula>$D10=""</formula>
    </cfRule>
  </conditionalFormatting>
  <conditionalFormatting sqref="N11 N13 N15 N17 N19 N21 N23 N25 N27 N29 N31 N33 N35 N37 N39 N41 N43 N45 N47 N49 N51 N53 N55 N57 N59 N61 N63 N65 N67 N69 N71 N73 N75 N77 N79 N81 N83 N85 N87 N89 N91 N93 N95 N97 N99 N101 N103 N105 N107 N109 N111 N113 N115 N117 N119 N121 N123 N125 N127 N129 N131 N133 N135 N137 N139 N141 N143 N145 N147 N149 N151 N153 N155 N157 N159 N161 N163 N165 N167 N169 N171 N173 N175 N177 N179 N181 N183 N185 N187 N189 N191 N193 N195 N197 N199 N201 N203 N205 N207 N209 N211 N213 N215 N217 N219 N221 N223 N225 N227 N229 N231 N233 N235 N237 N239 N241 N243 N245 N247 N249 N251 N253 N255 N257 N259 N261 N263 N265 N267 N269 N271 N273 N275 N277 N279 N281 N283 N285 N287 N289 N291 N293 N295 N297 N299 N301 N303 N305 N307 N309">
    <cfRule type="expression" dxfId="232" priority="12805">
      <formula>$D10=""</formula>
    </cfRule>
  </conditionalFormatting>
  <conditionalFormatting sqref="B12 B14 B16 B18 B20 B22 B24 B26 B28 B30 B32 B34 B36 B38 B40 B42 B44 B46 B48 B50 B52 B54 B56 B58 B60 B62 B64 B66 B68 B70 B72 B74 B76 B78 B80 B82 B84 B86 B88 B90 B92 B94 B96 B98 B100 B102 B104 B106 B108 B110 B112 B114 B116 B118 B120 B122 B124 B126 B128 B130 B132 B134 B136 B138 B140 B142 B144 B146 B148 B150 B152 B154 B156 B158 B160 B162 B164 B166 B168 B170 B172 B174 B176 B178 B180 B182 B184 B186 B188 B190 B192 B194 B196 B198 B200 B202 B204 B206 B208 B210 B212 B214 B216 B218 B220 B222 B224 B226 B228 B230 B232 B234 B236 B238 B240 B242 B244 B246 B248 B250 B252 B254 B256 B258 B260 B262 B264 B266 B268 B270 B272 B274 B276 B278 B280 B282 B284 B286 B288 B290 B292 B294 B296 B298 B300 B302 B304 B306 B308">
    <cfRule type="expression" dxfId="231" priority="254">
      <formula>$D12=""</formula>
    </cfRule>
  </conditionalFormatting>
  <conditionalFormatting sqref="B316:E316 D332:N332 D334:N334 D336:E336 D338:E338 D340:N340 D342:N342 D344:N344 D346:N346 D348:N348 D350:N350 D352:N352 D354:N354 D356:E356 D358:E358 D360:N360 D362:N362 D364:N364 D366:N366 D368:N368 D370:N370 D372:N372 D374:N374 D376:E376 D378:E378 D380:E380 D382:E382 D384:E384 D386:N386 D388:N388 D390:N390 D392:N392 D394:N394 D396:E396 D398:E398 D400:E400 D402:N402 D404:N404 D406:N406 D408:N408 D410:N410 D412:N412 D414:N414 D416:N416 D418:N418 D420:N420 D422:N422 D424:N424 D426:N426 D428:N428 D430:N430 D432:N432 D434:N434 D436:N436 D438:N438 D440:N440 D442:N442 D444:N444 D446:N446 D448:N448 D450:N450 D452:N452 D454:N454 D456:N456 D458:N458 D460:N460 D462:N462 D464:N464 D466:N466 D468:N468 D470:N470 D472:N472 D474:N474 D476:N476 D478:N478 D480:N480 D482:N482 D484:N484 D486:N486 D488:N488 D490:N490 D492:N492 D494:N494 D496:N496 D498:N498 D500:N500 D502:N502 D504:N504 D506:N506 D508:N508 D510:N510 D512:N512 D514:N514 D516:N516 D518:N518 D520:N520 D522:N522 D524:N524 D526:N526 D528:N528 D530:N530 D532:N532 D534:N534 D536:N536 D538:N538 D540:N540 D542:N542 D544:N544 D546:N546 D548:N548 D550:N550 D552:N552 D554:N554 D556:N556 D558:N558 D560:N560 D562:N562 D564:N564 D566:N566 D568:N568 D570:N570 D572:N572 D574:N574 D576:N576 D578:N578 D580:N580 D582:N582 D584:N584 D586:N586 D588:N588 D590:N590 D592:N592 D594:N594 D596:N596 D598:N598 D600:N600 D602:N602 D604:N604 D606:N606 D608:N608 D610:N610 D612:N612 D614:N614 D318:E318 D320:E320 D322:E322 D324:E324 D326:E326 D328:E328 D330:E330 K330:N330 K328:N328 K326:N326 K324:N324 K322:N322 K320:N320 K318:N318 K316:N316 K338:N338 K336:N336 K358:N358 K356:N356 K384:N384 K382:N382 K380:N380 K378:N378 K376:N376 K400:N400 K398:N398 K396:N396">
    <cfRule type="expression" dxfId="230" priority="238">
      <formula>$D316=""</formula>
    </cfRule>
  </conditionalFormatting>
  <conditionalFormatting sqref="F332:I332 F334:I334 F340:I340 F342:I342 F344:I344 F346:I346 F348:I348 F350:I350 F352:I352 F354:I354 F360:I360 F362:I362 F364:I364 F366:I366 F368:I368 F370:I370 F372:I372 F374:I374 F386:I386 F388:I388 F390:I390 F392:I392 F394:I394 F402:I402 F404:I404 F406:I406 F408:I408 F410:I410 F412:I412 F414:I414 F416:I416 F418:I418 F420:I420 F422:I422 F424:I424 F426:I426 F428:I428 F430:I430 F432:I432 F434:I434 F436:I436 F438:I438 F440:I440 F442:I442 F444:I444 F446:I446 F448:I448 F450:I450 F452:I452 F454:I454 F456:I456 F458:I458 F460:I460 F462:I462 F464:I464 F466:I466 F468:I468 F470:I470 F472:I472 F474:I474 F476:I476 F478:I478 F480:I480 F482:I482 F484:I484 F486:I486 F488:I488 F490:I490 F492:I492 F494:I494 F496:I496 F498:I498 F500:I500 F502:I502 F504:I504 F506:I506 F508:I508 F510:I510 F512:I512 F514:I514 F516:I516 F518:I518 F520:I520 F522:I522 F524:I524 F526:I526 F528:I528 F530:I530 F532:I532 F534:I534 F536:I536 F538:I538 F540:I540 F542:I542 F544:I544 F546:I546 F548:I548 F550:I550 F552:I552 F554:I554 F556:I556 F558:I558 F560:I560 F562:I562 F564:I564 F566:I566 F568:I568 F570:I570 F572:I572 F574:I574 F576:I576 F578:I578 F580:I580 F582:I582 F584:I584 F586:I586 F588:I588 F590:I590 F592:I592 F594:I594 F596:I596 F598:I598 F600:I600 F602:I602 F604:I604 F606:I606 F608:I608 F610:I610 F612:I612 F614:I614">
    <cfRule type="expression" dxfId="229" priority="247">
      <formula>$D332=""</formula>
    </cfRule>
  </conditionalFormatting>
  <conditionalFormatting sqref="G332 G334 G340 G342 G344 G346 G348 G350 G352 G354 G360 G362 G364 G366 G368 G370 G372 G374 G386 G388 G390 G392 G394 G402 G404 G406 G408 G410 G412 G414 G416 G418 G420 G422 G424 G426 G428 G430 G432 G434 G436 G438 G440 G442 G444 G446 G448 G450 G452 G454 G456 G458 G460 G462 G464 G466 G468 G470 G472 G474 G476 G478 G480 G482 G484 G486 G488 G490 G492 G494 G496 G498 G500 G502 G504 G506 G508 G510 G512 G514 G516 G518 G520 G522 G524 G526 G528 G530 G532 G534 G536 G538 G540 G542 G544 G546 G548 G550 G552 G554 G556 G558 G560 G562 G564 G566 G568 G570 G572 G574 G576 G578 G580 G582 G584 G586 G588 G590 G592 G594 G596 G598 G600 G602 G604 G606 G608 G610 G612 G614">
    <cfRule type="expression" priority="251">
      <formula>ROW()-2&gt;SUMPRODUCT(MAX(($B323:$B333&lt;&gt;"")*(ROW($B323:G333))))</formula>
    </cfRule>
  </conditionalFormatting>
  <conditionalFormatting sqref="H332 H334 H340 H342 H344 H346 H348 H350 H352 H354 H360 H362 H364 H366 H368 H370 H372 H374 H386 H388 H390 H392 H394 H402 H404 H406 H408 H410 H412 H414 H416 H418 H420 H422 H424 H426 H428 H430 H432 H434 H436 H438 H440 H442 H444 H446 H448 H450 H452 H454 H456 H458 H460 H462 H464 H466 H468 H470 H472 H474 H476 H478 H480 H482 H484 H486 H488 H490 H492 H494 H496 H498 H500 H502 H504 H506 H508 H510 H512 H514 H516 H518 H520 H522 H524 H526 H528 H530 H532 H534 H536 H538 H540 H542 H544 H546 H548 H550 H552 H554 H556 H558 H560 H562 H564 H566 H568 H570 H572 H574 H576 H578 H580 H582 H584 H586 H588 H590 H592 H594 H596 H598 H600 H602 H604 H606 H608 H610 H612 H614">
    <cfRule type="expression" priority="250">
      <formula>ROW()-2&gt;SUMPRODUCT(MAX(($B323:$B333&lt;&gt;"")*(ROW($B323:H333))))</formula>
    </cfRule>
  </conditionalFormatting>
  <conditionalFormatting sqref="I332 I334 I340 I342 I344 I346 I348 I350 I352 I354 I360 I362 I364 I366 I368 I370 I372 I374 I386 I388 I390 I392 I394 I402 I404 I406 I408 I410 I412 I414 I416 I418 I420 I422 I424 I426 I428 I430 I432 I434 I436 I438 I440 I442 I444 I446 I448 I450 I452 I454 I456 I458 I460 I462 I464 I466 I468 I470 I472 I474 I476 I478 I480 I482 I484 I486 I488 I490 I492 I494 I496 I498 I500 I502 I504 I506 I508 I510 I512 I514 I516 I518 I520 I522 I524 I526 I528 I530 I532 I534 I536 I538 I540 I542 I544 I546 I548 I550 I552 I554 I556 I558 I560 I562 I564 I566 I568 I570 I572 I574 I576 I578 I580 I582 I584 I586 I588 I590 I592 I594 I596 I598 I600 I602 I604 I606 I608 I610 I612 I614">
    <cfRule type="expression" priority="249">
      <formula>ROW()-2&gt;SUMPRODUCT(MAX(($B323:$B333&lt;&gt;"")*(ROW($B323:I333))))</formula>
    </cfRule>
  </conditionalFormatting>
  <conditionalFormatting sqref="K316:N316 K318:N318 K320:N320 K322:N322 K324:N324 K326:N326 K328:N328 K330:N330 K332:N332 K334:N334 K336:N336 K338:N338 K340:N340 K342:N342 K344:N344 K346:N346 K348:N348 K350:N350 K352:N352 K354:N354 K356:N356 K358:N358 K360:N360 K362:N362 K364:N364 K366:N366 K368:N368 K370:N370 K372:N372 K374:N374 K376:N376 K378:N378 K380:N380 K382:N382 K384:N384 K386:N386 K388:N388 K390:N390 K392:N392 K394:N394 K396:N396 K398:N398 K400:N400 K402:N402 K404:N404 K406:N406 K408:N408 K410:N410 K412:N412 K414:N414 K416:N416 K418:N418 K420:N420 K422:N422 K424:N424 K426:N426 K428:N428 K430:N430 K432:N432 K434:N434 K436:N436 K438:N438 K440:N440 K442:N442 K444:N444 K446:N446 K448:N448 K450:N450 K452:N452 K454:N454 K456:N456 K458:N458 K460:N460 K462:N462 K464:N464 K466:N466 K468:N468 K470:N470 K472:N472 K474:N474 K476:N476 K478:N478 K480:N480 K482:N482 K484:N484 K486:N486 K488:N488 K490:N490 K492:N492 K494:N494 K496:N496 K498:N498 K500:N500 K502:N502 K504:N504 K506:N506 K508:N508 K510:N510 K512:N512 K514:N514 K516:N516 K518:N518 K520:N520 K522:N522 K524:N524 K526:N526 K528:N528 K530:N530 K532:N532 K534:N534 K536:N536 K538:N538 K540:N540 K542:N542 K544:N544 K546:N546 K548:N548 K550:N550 K552:N552 K554:N554 K556:N556 K558:N558 K560:N560 K562:N562 K564:N564 K566:N566 K568:N568 K570:N570 K572:N572 K574:N574 K576:N576 K578:N578 K580:N580 K582:N582 K584:N584 K586:N586 K588:N588 K590:N590 K592:N592 K594:N594 K596:N596 K598:N598 K600:N600 K602:N602 K604:N604 K606:N606 K608:N608 K610:N610 K612:N612 K614:N614">
    <cfRule type="expression" priority="252">
      <formula>ROW()-2&gt;SUMPRODUCT(MAX(($B307:$B317&lt;&gt;"")*(ROW($B307:K317))))</formula>
    </cfRule>
  </conditionalFormatting>
  <conditionalFormatting sqref="K316 K318 K320 K322 K324 K326 K328 K330 K332 K334 K336 K338 K340 K342 K344 K346 K348 K350 K352 K354 K356 K358 K360 K362 K364 K366 K368 K370 K372 K374 K376 K378 K380 K382 K384 K386 K388 K390 K392 K394 K396 K398 K400 K402 K404 K406 K408 K410 K412 K414 K416 K418 K420 K422 K424 K426 K428 K430 K432 K434 K436 K438 K440 K442 K444 K446 K448 K450 K452 K454 K456 K458 K460 K462 K464 K466 K468 K470 K472 K474 K476 K478 K480 K482 K484 K486 K488 K490 K492 K494 K496 K498 K500 K502 K504 K506 K508 K510 K512 K514 K516 K518 K520 K522 K524 K526 K528 K530 K532 K534 K536 K538 K540 K542 K544 K546 K548 K550 K552 K554 K556 K558 K560 K562 K564 K566 K568 K570 K572 K574 K576 K578 K580 K582 K584 K586 K588 K590 K592 K594 K596 K598 K600 K602 K604 K606 K608 K610 K612 K614">
    <cfRule type="expression" dxfId="228" priority="245">
      <formula>$D316=""</formula>
    </cfRule>
  </conditionalFormatting>
  <conditionalFormatting sqref="L316 L318 L320 L322 L324 L326 L328 L330 L332 L334 L336 L338 L340 L342 L344 L346 L348 L350 L352 L354 L356 L358 L360 L362 L364 L366 L368 L370 L372 L374 L376 L378 L380 L382 L384 L386 L388 L390 L392 L394 L396 L398 L400 L402 L404 L406 L408 L410 L412 L414 L416 L418 L420 L422 L424 L426 L428 L430 L432 L434 L436 L438 L440 L442 L444 L446 L448 L450 L452 L454 L456 L458 L460 L462 L464 L466 L468 L470 L472 L474 L476 L478 L480 L482 L484 L486 L488 L490 L492 L494 L496 L498 L500 L502 L504 L506 L508 L510 L512 L514 L516 L518 L520 L522 L524 L526 L528 L530 L532 L534 L536 L538 L540 L542 L544 L546 L548 L550 L552 L554 L556 L558 L560 L562 L564 L566 L568 L570 L572 L574 L576 L578 L580 L582 L584 L586 L588 L590 L592 L594 L596 L598 L600 L602 L604 L606 L608 L610 L612 L614">
    <cfRule type="expression" dxfId="227" priority="243">
      <formula>$D316=""</formula>
    </cfRule>
  </conditionalFormatting>
  <conditionalFormatting sqref="M316 M318 M320 M322 M324 M326 M328 M330 M332 M334 M336 M338 M340 M342 M344 M346 M348 M350 M352 M354 M356 M358 M360 M362 M364 M366 M368 M370 M372 M374 M376 M378 M380 M382 M384 M386 M388 M390 M392 M394 M396 M398 M400 M402 M404 M406 M408 M410 M412 M414 M416 M418 M420 M422 M424 M426 M428 M430 M432 M434 M436 M438 M440 M442 M444 M446 M448 M450 M452 M454 M456 M458 M460 M462 M464 M466 M468 M470 M472 M474 M476 M478 M480 M482 M484 M486 M488 M490 M492 M494 M496 M498 M500 M502 M504 M506 M508 M510 M512 M514 M516 M518 M520 M522 M524 M526 M528 M530 M532 M534 M536 M538 M540 M542 M544 M546 M548 M550 M552 M554 M556 M558 M560 M562 M564 M566 M568 M570 M572 M574 M576 M578 M580 M582 M584 M586 M588 M590 M592 M594 M596 M598 M600 M602 M604 M606 M608 M610 M612 M614">
    <cfRule type="expression" dxfId="226" priority="241">
      <formula>$D316=""</formula>
    </cfRule>
  </conditionalFormatting>
  <conditionalFormatting sqref="N316 N318 N320 N322 N324 N326 N328 N330 N332 N334 N336 N338 N340 N342 N344 N346 N348 N350 N352 N354 N356 N358 N360 N362 N364 N366 N368 N370 N372 N374 N376 N378 N380 N382 N384 N386 N388 N390 N392 N394 N396 N398 N400 N402 N404 N406 N408 N410 N412 N414 N416 N418 N420 N422 N424 N426 N428 N430 N432 N434 N436 N438 N440 N442 N444 N446 N448 N450 N452 N454 N456 N458 N460 N462 N464 N466 N468 N470 N472 N474 N476 N478 N480 N482 N484 N486 N488 N490 N492 N494 N496 N498 N500 N502 N504 N506 N508 N510 N512 N514 N516 N518 N520 N522 N524 N526 N528 N530 N532 N534 N536 N538 N540 N542 N544 N546 N548 N550 N552 N554 N556 N558 N560 N562 N564 N566 N568 N570 N572 N574 N576 N578 N580 N582 N584 N586 N588 N590 N592 N594 N596 N598 N600 N602 N604 N606 N608 N610 N612 N614">
    <cfRule type="expression" dxfId="225" priority="239">
      <formula>$D316=""</formula>
    </cfRule>
  </conditionalFormatting>
  <conditionalFormatting sqref="F333 F335 F341 F343 F345 F347 F349 F351 F353 F355 F361 F363 F365 F367 F369 F371 F373 F375 F387 F389 F391 F393 F395 F403 F405 F407 F409 F411 F413 F415 F417 F419 F421 F423 F425 F427 F429 F431 F433 F435 F437 F439 F441 F443 F445 F447 F449 F451 F453 F455 F457 F459 F461 F463 F465 F467 F469 F471 F473 F475 F477 F479 F481 F483 F485 F487 F489 F491 F493 F495 F497 F499 F501 F503 F505 F507 F509 F511 F513 F515 F517 F519 F521 F523 F525 F527 F529 F531 F533 F535 F537 F539 F541 F543 F545 F547 F549 F551 F553 F555 F557 F559 F561 F563 F565 F567 F569 F571 F573 F575 F577 F579 F581 F583 F585 F587 F589 F591 F593 F595 F597 F599 F601 F603 F605 F607 F609 F611 F613 F615">
    <cfRule type="expression" dxfId="224" priority="237">
      <formula>$D332=""</formula>
    </cfRule>
  </conditionalFormatting>
  <conditionalFormatting sqref="G333:I333 G335:I335 G341:I341 G343:I343 G345:I345 G347:I347 G349:I349 G351:I351 G353:I353 G355:I355 G361:I361 G363:I363 G365:I365 G367:I367 G369:I369 G371:I371 G373:I373 G375:I375 G387:I387 G389:I389 G391:I391 G393:I393 G395:I395 G403:I403 G405:I405 G407:I407 G409:I409 G411:I411 G413:I413 G415:I415 G417:I417 G419:I419 G421:I421 G423:I423 G425:I425 G427:I427 G429:I429 G431:I431 G433:I433 G435:I435 G437:I437 G439:I439 G441:I441 G443:I443 G445:I445 G447:I447 G449:I449 G451:I451 G453:I453 G455:I455 G457:I457 G459:I459 G461:I461 G463:I463 G465:I465 G467:I467 G469:I469 G471:I471 G473:I473 G475:I475 G477:I477 G479:I479 G481:I481 G483:I483 G485:I485 G487:I487 G489:I489 G491:I491 G493:I493 G495:I495 G497:I497 G499:I499 G501:I501 G503:I503 G505:I505 G507:I507 G509:I509 G511:I511 G513:I513 G515:I515 G517:I517 G519:I519 G521:I521 G523:I523 G525:I525 G527:I527 G529:I529 G531:I531 G533:I533 G535:I535 G537:I537 G539:I539 G541:I541 G543:I543 G545:I545 G547:I547 G549:I549 G551:I551 G553:I553 G555:I555 G557:I557 G559:I559 G561:I561 G563:I563 G565:I565 G567:I567 G569:I569 G571:I571 G573:I573 G575:I575 G577:I577 G579:I579 G581:I581 G583:I583 G585:I585 G587:I587 G589:I589 G591:I591 G593:I593 G595:I595 G597:I597 G599:I599 G601:I601 G603:I603 G605:I605 G607:I607 G609:I609 G611:I611 G613:I613 G615:I615">
    <cfRule type="expression" dxfId="223" priority="248">
      <formula>$D332=""</formula>
    </cfRule>
  </conditionalFormatting>
  <conditionalFormatting sqref="K317 K319 K321 K323 K325 K327 K329 K331 K333 K335 K337 K339 K341 K343 K345 K347 K349 K351 K353 K355 K357 K359 K361 K363 K365 K367 K369 K371 K373 K375 K377 K379 K381 K383 K385 K387 K389 K391 K393 K395 K397 K399 K401 K403 K405 K407 K409 K411 K413 K415 K417 K419 K421 K423 K425 K427 K429 K431 K433 K435 K437 K439 K441 K443 K445 K447 K449 K451 K453 K455 K457 K459 K461 K463 K465 K467 K469 K471 K473 K475 K477 K479 K481 K483 K485 K487 K489 K491 K493 K495 K497 K499 K501 K503 K505 K507 K509 K511 K513 K515 K517 K519 K521 K523 K525 K527 K529 K531 K533 K535 K537 K539 K541 K543 K545 K547 K549 K551 K553 K555 K557 K559 K561 K563 K565 K567 K569 K571 K573 K575 K577 K579 K581 K583 K585 K587 K589 K591 K593 K595 K597 K599 K601 K603 K605 K607 K609 K611 K613 K615">
    <cfRule type="expression" dxfId="222" priority="246">
      <formula>$D316=""</formula>
    </cfRule>
  </conditionalFormatting>
  <conditionalFormatting sqref="L317 L319 L321 L323 L325 L327 L329 L331 L333 L335 L337 L339 L341 L343 L345 L347 L349 L351 L353 L355 L357 L359 L361 L363 L365 L367 L369 L371 L373 L375 L377 L379 L381 L383 L385 L387 L389 L391 L393 L395 L397 L399 L401 L403 L405 L407 L409 L411 L413 L415 L417 L419 L421 L423 L425 L427 L429 L431 L433 L435 L437 L439 L441 L443 L445 L447 L449 L451 L453 L455 L457 L459 L461 L463 L465 L467 L469 L471 L473 L475 L477 L479 L481 L483 L485 L487 L489 L491 L493 L495 L497 L499 L501 L503 L505 L507 L509 L511 L513 L515 L517 L519 L521 L523 L525 L527 L529 L531 L533 L535 L537 L539 L541 L543 L545 L547 L549 L551 L553 L555 L557 L559 L561 L563 L565 L567 L569 L571 L573 L575 L577 L579 L581 L583 L585 L587 L589 L591 L593 L595 L597 L599 L601 L603 L605 L607 L609 L611 L613 L615">
    <cfRule type="expression" dxfId="221" priority="244">
      <formula>$D316=""</formula>
    </cfRule>
  </conditionalFormatting>
  <conditionalFormatting sqref="M317 M319 M321 M323 M325 M327 M329 M331 M333 M335 M337 M339 M341 M343 M345 M347 M349 M351 M353 M355 M357 M359 M361 M363 M365 M367 M369 M371 M373 M375 M377 M379 M381 M383 M385 M387 M389 M391 M393 M395 M397 M399 M401 M403 M405 M407 M409 M411 M413 M415 M417 M419 M421 M423 M425 M427 M429 M431 M433 M435 M437 M439 M441 M443 M445 M447 M449 M451 M453 M455 M457 M459 M461 M463 M465 M467 M469 M471 M473 M475 M477 M479 M481 M483 M485 M487 M489 M491 M493 M495 M497 M499 M501 M503 M505 M507 M509 M511 M513 M515 M517 M519 M521 M523 M525 M527 M529 M531 M533 M535 M537 M539 M541 M543 M545 M547 M549 M551 M553 M555 M557 M559 M561 M563 M565 M567 M569 M571 M573 M575 M577 M579 M581 M583 M585 M587 M589 M591 M593 M595 M597 M599 M601 M603 M605 M607 M609 M611 M613 M615">
    <cfRule type="expression" dxfId="220" priority="242">
      <formula>$D316=""</formula>
    </cfRule>
  </conditionalFormatting>
  <conditionalFormatting sqref="N317 N319 N321 N323 N325 N327 N329 N331 N333 N335 N337 N339 N341 N343 N345 N347 N349 N351 N353 N355 N357 N359 N361 N363 N365 N367 N369 N371 N373 N375 N377 N379 N381 N383 N385 N387 N389 N391 N393 N395 N397 N399 N401 N403 N405 N407 N409 N411 N413 N415 N417 N419 N421 N423 N425 N427 N429 N431 N433 N435 N437 N439 N441 N443 N445 N447 N449 N451 N453 N455 N457 N459 N461 N463 N465 N467 N469 N471 N473 N475 N477 N479 N481 N483 N485 N487 N489 N491 N493 N495 N497 N499 N501 N503 N505 N507 N509 N511 N513 N515 N517 N519 N521 N523 N525 N527 N529 N531 N533 N535 N537 N539 N541 N543 N545 N547 N549 N551 N553 N555 N557 N559 N561 N563 N565 N567 N569 N571 N573 N575 N577 N579 N581 N583 N585 N587 N589 N591 N593 N595 N597 N599 N601 N603 N605 N607 N609 N611 N613 N615">
    <cfRule type="expression" dxfId="219" priority="240">
      <formula>$D316=""</formula>
    </cfRule>
  </conditionalFormatting>
  <conditionalFormatting sqref="B318 B320 B322 B324 B326 B328 B330 B332 B334 B336 B338 B340 B342 B344 B346 B348 B350 B352 B354 B356 B358 B360 B362 B364 B366 B368 B370 B372 B374 B376 B378 B380 B382 B384 B386 B388 B390 B392 B394 B396 B398 B400 B402 B404 B406 B408 B410 B412 B414 B416 B418 B420 B422 B424 B426 B428 B430 B432 B434 B436 B438 B440 B442 B444 B446 B448 B450 B452 B454 B456 B458 B460 B462 B464 B466 B468 B470 B472 B474 B476 B478 B480 B482 B484 B486 B488 B490 B492 B494 B496 B498 B500 B502 B504 B506 B508 B510 B512 B514 B516 B518 B520 B522 B524 B526 B528 B530 B532 B534 B536 B538 B540 B542 B544 B546 B548 B550 B552 B554 B556 B558 B560 B562 B564 B566 B568 B570 B572 B574 B576 B578 B580 B582 B584 B586 B588 B590 B592 B594 B596 B598 B600 B602 B604 B606 B608 B610 B612 B614">
    <cfRule type="expression" dxfId="218" priority="222">
      <formula>$D318=""</formula>
    </cfRule>
  </conditionalFormatting>
  <conditionalFormatting sqref="C318 C320 C322 C324 C326 C328 C330 C332 C334 C336 C338 C340 C342 C344 C346 C348 C350 C352 C354 C356 C358 C360 C362 C364 C366 C368 C370 C372 C374 C376 C378 C380 C382 C384 C386 C388 C390 C392 C394 C396 C398 C400 C402 C404 C406 C408 C410 C412 C414 C416 C418 C420 C422 C424 C426 C428 C430 C432 C434 C436 C438 C440 C442 C444 C446 C448 C450 C452 C454 C456 C458 C460 C462 C464 C466 C468 C470 C472 C474 C476 C478 C480 C482 C484 C486 C488 C490 C492 C494 C496 C498 C500 C502 C504 C506 C508 C510 C512 C514 C516 C518 C520 C522 C524 C526 C528 C530 C532 C534 C536 C538 C540 C542 C544 C546 C548 C550 C552 C554 C556 C558 C560 C562 C564 C566 C568 C570 C572 C574 C576 C578 C580 C582 C584 C586 C588 C590 C592 C594 C596 C598 C600 C602 C604 C606 C608 C610 C612 C614">
    <cfRule type="expression" dxfId="217" priority="175">
      <formula>$D318=""</formula>
    </cfRule>
  </conditionalFormatting>
  <conditionalFormatting sqref="D621 D623 D625 D627 D629 D631 D633 D635 D637 D639 D641 D643 D645 D647 D649 D651 D653 D655 D657 D659 D661 D663 D665 D667 D669 D671 D673 D675 D677 D679 D681 D683 D685 D687 D689 D691 D693 D695 D697 D699 D701 D703 D705 D707 D709 D711 D713 D715 D717 D719 D721 D723 D725 D727 D729 D731 D733 D735 D737 D739 D741 D743 D745 D747 D749 D751 D753 D755 D757 D759 D761 D763 D765 D767 D769 D771 D773 D775 D777 D779 D781 D783 D785 D787 D789 D791 D793 D795 D797 D799 D801 D803 D805 D807 D809 D811 D813 D815 D817 D819 D821 D823 D825 D827 D829 D831 D833 D835 D837 D839 D841 D843 D845 D847 D849 D851 D853 D855 D857 D859 D861 D863 D865 D867 D869 D871 D873 D875 D877 D879 D881 D883 D885 D887 D889 D891 D893 D895 D897 D899 D901 D903 D905 D907 D909 D911 D913 D915 D917 D919 D921 D923 D925 D927 D929 D931 D933 D935 D937 D939 D941 D943 D945 D947 D949 D951 D953 D955 D957 D959 D961 D963 D965 D967 D969 D971 D973 D975 D977 D979 D981 D983 D985 D987 D989 D991 D993 D995 D997 D999 D1001 D1003 D1005 D1007 D1009 D1011 D1013 D1015 D1017 D1019 D1021 D1023 D1025 D1027 D1029 D1031 D1033 D1035 D1037 D1039 D1041 D1043 D1045 D1047 D1049 D1051 D1053 D1055 D1057 D1059 D1061 D1063 D1065 D1067 D1069 D1071 D1073 D1075 D1077 D1079 D1081 D1083 D1085 D1087 D1089 D1091 D1093 D1095 D1097 D1099 D1101 D1103 D1105 D1107 D1109 D1111 D1113 D1115 D1117 D1119 D1121 D1123 D1125 D1127 D1129 D1131 D1133 D1135 D1137 D1139 D1141 D1143 D1145 D1147 D1149 D1151 D1153 D1155 D1157 D1159 D1161 D1163 D1165 D1167 D1169 D1171 D1173 D1175 D1177 D1179 D1181 D1183 D1185 D1187 D1189 D1191 D1193 D1195 D1197 D1199 D1201 D1203 D1205 D1207 D1209 D1211 D1213 D1215 D1217 D1219 D1221 D1223 D1225 D1227 D1229 D1231 D1233 D1235 D1237 D1239 D1241 D1243 D1245 D1247 D1249 D1251 D1253 D1255 D1257 D1259 D1261 D1263 D1265 D1267 D1269 D1271 D1273 D1275 D1277 D1279 D1281 D1283 D1285 D1287 D1289 D1291 D1293 D1295 D1297 D1299 D1301 D1303 D1305 D1307 D1309 D1311 D1313 D1315 D1317 D1319 D1321 D1323 D1325 D1327 D1329 D1331 D1333 D1335 D1337 D1339 D1341 D1343 D1345 D1347 D1349 D1351 D1353 D1355 D1357 D1359 D1361 D1363 D1365 D1367 D1369 D1371 D1373 D1375 D1377 D1379 D1381 D1383 D1385 D1387 D1389 D1391 D1393 D1395 D1397 D1399 D1401 D1403 D1405 D1407 D1409 D1411 D1413 D1415 D1417 D1419 D1421 D1423 D1425 D1427 D1429 D1431 D1433 D1435 D1437 D1439 D1441 D1443 D1445 D1447 D1449 D1451 D1453 D1455 D1457 D1459 D1461 D1463 D1465 D1467 D1469 D1471 D1473 D1475 D1477 D1479 D1481 D1483 D1485 D1487 D1489 D1491 D1493 D1495 D1497 D1499 D1501 D1503 D1505 D1507 D1509 D1511 D1513 D1515 D1517 D1519 D1521 D1523 D1525 D1527 D1529 D1531 D1533 D1535 D1537 D1539 D1541 D1543 D1545 D1547 D1549 D1551 D1553 D1555 D1557 D1559 D1561 D1563 D1565 D1567 D1569 D1571 D1573 D1575 D1577 D1579 D1581 D1583 D1585 D1587 D1589 D1591 D1593 D1595 D1597 D1599 D1601 D1603 D1605 D1607 D1609 D1611 D1613 D1615 D1617 D1619 D1621 D1623 D1625 D1627 D1629 D1631 D1633 D1635 D1637 D1639 D1641 D1643 D1645">
    <cfRule type="expression" dxfId="216" priority="220">
      <formula>$D621=""</formula>
    </cfRule>
  </conditionalFormatting>
  <conditionalFormatting sqref="F625:I625 F627:I627 F629:I629 F631:I631 F633:I633 F635:I635 F637:I637 F639:I639 F641:I641 F643:I643 F645:I645 F647:I647 F649:I649 F651:I651 F653:I653 F655:I655 F657:I657 F659:I659 F669:I669 F671:I671 F673:I673 F675:I675 F677:I677 F679:I679 F681:I681 F683:I683 F685:I685 F687:I687 F689:I689 F691:I691 F693:I693 F695:I695 F697:I697 F699:I699 F705:I705 F707:I707 F709:I709 F711:I711 F713:I713 F715:I715 F717:I717 F719:I719 F721:I721 F723:I723 F725:I725 F727:I727 F729:I729 F731:I731 F733:I733 F735:I735 F737:I737 F739:I739 F749:I749 F751:I751 F753:I753 F755:I755 F757:I757 F759:I759 F761:I761 F763:I763 F765:I765 F767:I767 F769:I769 F771:I771 F773:I773 F775:I775 F777:I777 F779:I779 F817:I817 F819:I819 F831:I831 F833:I833 F835:I835 F837:I837 F839:I839 F841:I841 F843:I843 F845:I845 F847:I847 F849:I849 F851:I851 F853:I853 F855:I855 F857:I857 F859:I859 F875:I875 F877:I877 F879:I879 F881:I881 F883:I883 F885:I885 F887:I887 F889:I889 F891:I891 F893:I893 F895:I895 F897:I897 F899:I899 I901 I903 I905 I907 I909 I911 I913 I915 F917:I917 F919:I919 F921:I921 F923:I923 F925:I925 F927:I927 F929:I929 F931:I931 F933:I933 F935:I935 F937:I937 F939:I939 F941:I941 F943:I943 F945:I945 F947:I947 F949:I949 F951:I951 F953:I953 F955:I955 F957:I957 F959:I959 F961:I961 F963:I963 F965:I965 F967:I967 F969:I969 F971:I971 F973:I973 F975:I975 F977:I977 F979:I979 F981:I981 F983:I983 F985:I985 F987:I987 F989:I989 F991:I991 F993:I993 F995:I995 F997:I997 F999:I999 F1001:I1001 F1003:I1003 F1005:I1005 F1007:I1007 F1009:I1009 F1011:I1011 F1013:I1013 F1015:I1015 F1017:I1017 F1019:I1019 F1029:I1029 F1031:I1031 F1033:I1033 F1035:I1035 F1037:I1037 F1039:I1039 F1041:I1041 F1043:I1043 F1045:I1045 F1047:I1047 F1049:I1049 F1051:I1051 F1053:I1053 F1055:I1055 F1057:I1057 F1059:I1059 F1073:I1073 F1075:I1075 F1077:I1077 F1079:I1079 F1081:I1081 F1083:I1083 F1085:I1085 F1087:I1087 F1089:I1089 F1091:I1091 F1093:I1093 F1095:I1095 F1097:I1097 F1099:I1099 F1101:I1101 F1103:I1103 F1105:I1105 F1107:I1107 F1109:I1109 F1111:I1111 F1113:I1113 F1115:I1115 F1117:I1117 F1119:I1119 F1121:I1121 F1123:I1123 F1125:I1125 F1127:I1127 F1129:I1129 F1131:I1131 F1133:I1133 F1135:I1135 F1137:I1137 F1139:I1139 F1141:I1141 F1143:I1143 F1145:I1145 F1147:I1147 F1149:I1149 F1151:I1151 F1153:I1153 F1155:I1155 F1157:I1157 F1159:I1159 F1161:I1161 F1163:I1163 F1165:I1165 F1167:I1167 F1169:I1169 F1171:I1171 F1173:I1173 F1175:I1175 F1177:I1177 F1179:I1179 F1181:I1181 F1183:I1183 F1185:I1185 F1187:I1187 F1189:I1189 F1191:I1191 F1193:I1193 F1195:I1195 F1197:I1197 F1199:I1199 F1201:I1201 F1203:I1203 F1205:I1205 F1207:I1207 F1209:I1209 F1211:I1211 F1213:I1213 F1215:I1215 F1217:I1217 F1219:I1219 F1221:I1221 F1223:I1223 F1225:I1225 F1227:I1227 F1229:I1229 F1231:I1231 F1233:I1233 F1235:I1235 F1237:I1237 F1239:I1239 F1241:I1241 F1243:I1243 F1245:I1245 F1247:I1247 F1249:I1249 F1251:I1251 F1253:I1253 F1255:I1255 F1257:I1257 F1259:I1259 F1261:I1261 F1263:I1263 F1265:I1265 F1267:I1267 F1269:I1269 F1271:I1271 F1273:I1273 F1275:I1275 F1277:I1277 F1279:I1279 F1281:I1281 F1283:I1283 F1285:I1285 F1287:I1287 F1289:I1289 F1291:I1291 F1293:I1293 F1295:I1295 F1297:I1297 F1299:I1299 F1301:I1301 F1303:I1303 F1305:I1305 F1307:I1307 F1309:I1309 F1311:I1311 F1313:I1313 F1315:I1315 F1317:I1317 F1319:I1319 F1321:I1321 F1323:I1323 F1325:I1325 F1327:I1327 F1329:I1329 F1331:I1331 F1333:I1333 F1335:I1335 F1337:I1337 F1339:I1339 F1341:I1341 F1343:I1343 F1345:I1345 F1347:I1347 F1349:I1349 F1351:I1351 F1353:I1353 F1355:I1355 F1357:I1357 F1359:I1359 F1361:I1361 F1363:I1363 F1365:I1365 F1367:I1367 F1369:I1369 F1371:I1371 F1373:I1373 F1375:I1375 F1377:I1377 F1379:I1379 F1381:I1381 F1383:I1383 F1385:I1385 F1387:I1387 F1389:I1389 F1391:I1391 F1393:I1393 F1395:I1395 F1397:I1397 F1399:I1399 F1401:I1401 F1403:I1403 F1405:I1405 F1407:I1407 F1409:I1409 F1411:I1411 F1413:I1413 F1415:I1415 F1417:I1417 F1419:I1419 F1421:I1421 F1423:I1423 F1425:I1425 F1427:I1427 F1429:I1429 F1431:I1431 F1433:I1433 F1435:I1435 F1437:I1437 F1439:I1439 F1441:I1441 F1443:I1443 F1445:I1445 F1447:I1447 F1449:I1449 F1451:I1451 F1453:I1453 F1455:I1455 F1457:I1457 F1459:I1459 F1461:I1461 F1463:I1463 F1465:I1465 F1467:I1467 F1469:I1469 F1471:I1471 F1473:I1473 F1475:I1475 F1477:I1477 F1479:I1479 F1481:I1481 F1483:I1483 F1485:I1485 F1487:I1487 F1489:I1489 F1491:I1491 F1493:I1493 F1495:I1495 F1497:I1497 F1499:I1499 F1501:I1501 F1503:I1503 F1505:I1505 F1507:I1507 F1509:I1509 F1511:I1511 F1513:I1513 F1515:I1515 F1517:I1517 F1519:I1519 F1521:I1521 F1523:I1523 F1525:I1525 F1527:I1527 F1529:I1529 F1531:I1531 F1533:I1533 F1535:I1535 F1537:I1537 F1539:I1539 F1541:I1541 F1543:I1543 F1545:I1545 F1547:I1547 F1549:I1549 F1551:I1551 F1553:I1553 F1555:I1555 F1557:I1557 F1559:I1559 F1561:I1561 F1563:I1563 F1565:I1565 F1567:I1567 F1569:I1569 F1571:I1571 F1573:I1573 F1575:I1575 F1577:I1577 F1579:I1579 F1581:I1581 F1583:I1583 F1585:I1585 F1587:I1587 F1589:I1589 F1591:I1591 F1593:I1593 F1595:I1595 F1597:I1597 F1599:I1599 F1601:I1601 F1603:I1603 F1605:I1605 F1607:I1607 F1609:I1609 F1611:I1611 F1613:I1613 F1615:I1615 F1617:I1617 F1619:I1619 F1621:I1621 F1623:I1623 F1625:I1625 F1627:I1627 F1629:I1629 F1631:I1631 F1633:I1633 F1635:I1635 F1637:I1637 F1639:I1639 F1641:I1641 F1643:I1643 F1645:I1645">
    <cfRule type="expression" dxfId="215" priority="214">
      <formula>$D625=""</formula>
    </cfRule>
  </conditionalFormatting>
  <conditionalFormatting sqref="G625 G627 G629 G631 G633 G635 G637 G639 G641 G643 G645 G647 G649 G651 G653 G655 G657 G659 G669 G671 G673 G675 G677 G679 G681 G683 G685 G687 G689 G691 G693 G695 G697 G699 G705 G707 G709 G711 G713 G715 G717 G719 G721 G723 G725 G727 G729 G731 G733 G735 G737 G739 G749 G751 G753 G755 G757 G759 G761 G763 G765 G767 G769 G771 G773 G775 G777 G779 G817 G819 G831 G833 G835 G837 G839 G841 G843 G845 G847 G849 G851 G853 G855 G857 G859 G875 G877 G879 G881 G883 G885 G887 G889 G891 G893 G895 G897 G899 G917 G919 G921 G923 G925 G927 G929 G931 G933 G935 G937 G939 G941 G943 G945 G947 G949 G951 G953 G955 G957 G959 G961 G963 G965 G967 G969 G971 G973 G975 G977 G979 G981 G983 G985 G987 G989 G991 G993 G995 G997 G999 G1001 G1003 G1005 G1007 G1009 G1011 G1013 G1015 G1017 G1019 G1029 G1031 G1033 G1035 G1037 G1039 G1041 G1043 G1045 G1047 G1049 G1051 G1053 G1055 G1057 G1059 G1073 G1075 G1077 G1079 G1081 G1083 G1085 G1087 G1089 G1091 G1093 G1095 G1097 G1099 G1101 G1103 G1105 G1107 G1109 G1111 G1113 G1115 G1117 G1119 G1121 G1123 G1125 G1127 G1129 G1131 G1133 G1135 G1137 G1139 G1141 G1143 G1145 G1147 G1149 G1151 G1153 G1155 G1157 G1159 G1161 G1163 G1165 G1167 G1169 G1171 G1173 G1175 G1177 G1179 G1181 G1183 G1185 G1187 G1189 G1191 G1193 G1195 G1197 G1199 G1201 G1203 G1205 G1207 G1209 G1211 G1213 G1215 G1217 G1219 G1221 G1223 G1225 G1227 G1229 G1231 G1233 G1235 G1237 G1239 G1241 G1243 G1245 G1247 G1249 G1251 G1253 G1255 G1257 G1259 G1261 G1263 G1265 G1267 G1269 G1271 G1273 G1275 G1277 G1279 G1281 G1283 G1285 G1287 G1289 G1291 G1293 G1295 G1297 G1299 G1301 G1303 G1305 G1307 G1309 G1311 G1313 G1315 G1317 G1319 G1321 G1323 G1325 G1327 G1329 G1331 G1333 G1335 G1337 G1339 G1341 G1343 G1345 G1347 G1349 G1351 G1353 G1355 G1357 G1359 G1361 G1363 G1365 G1367 G1369 G1371 G1373 G1375 G1377 G1379 G1381 G1383 G1385 G1387 G1389 G1391 G1393 G1395 G1397 G1399 G1401 G1403 G1405 G1407 G1409 G1411 G1413 G1415 G1417 G1419 G1421 G1423 G1425 G1427 G1429 G1431 G1433 G1435 G1437 G1439 G1441 G1443 G1445 G1447 G1449 G1451 G1453 G1455 G1457 G1459 G1461 G1463 G1465 G1467 G1469 G1471 G1473 G1475 G1477 G1479 G1481 G1483 G1485 G1487 G1489 G1491 G1493 G1495 G1497 G1499 G1501 G1503 G1505 G1507 G1509 G1511 G1513 G1515 G1517 G1519 G1521 G1523 G1525 G1527 G1529 G1531 G1533 G1535 G1537 G1539 G1541 G1543 G1545 G1547 G1549 G1551 G1553 G1555 G1557 G1559 G1561 G1563 G1565 G1567 G1569 G1571 G1573 G1575 G1577 G1579 G1581 G1583 G1585 G1587 G1589 G1591 G1593 G1595 G1597 G1599 G1601 G1603 G1605 G1607 G1609 G1611 G1613 G1615 G1617 G1619 G1621 G1623 G1625 G1627 G1629 G1631 G1633 G1635 G1637 G1639 G1641 G1643 G1645">
    <cfRule type="expression" priority="218">
      <formula>ROW()-2&gt;SUMPRODUCT(MAX(($B615:$B626&lt;&gt;"")*(ROW($B615:G626))))</formula>
    </cfRule>
  </conditionalFormatting>
  <conditionalFormatting sqref="H625 H627 H629 H631 H633 H635 H637 H639 H641 H643 H645 H647 H649 H651 H653 H655 H657 H659 H669 H671 H673 H675 H677 H679 H681 H683 H685 H687 H689 H691 H693 H695 H697 H699 H705 H707 H709 H711 H713 H715 H717 H719 H721 H723 H725 H727 H729 H731 H733 H735 H737 H739 H749 H751 H753 H755 H757 H759 H761 H763 H765 H767 H769 H771 H773 H775 H777 H779 H817 H819 H831 H833 H835 H837 H839 H841 H843 H845 H847 H849 H851 H853 H855 H857 H859 H875 H877 H879 H881 H883 H885 H887 H889 H891 H893 H895 H897 H899 H917 H919 H921 H923 H925 H927 H929 H931 H933 H935 H937 H939 H941 H943 H945 H947 H949 H951 H953 H955 H957 H959 H961 H963 H965 H967 H969 H971 H973 H975 H977 H979 H981 H983 H985 H987 H989 H991 H993 H995 H997 H999 H1001 H1003 H1005 H1007 H1009 H1011 H1013 H1015 H1017 H1019 H1029 H1031 H1033 H1035 H1037 H1039 H1041 H1043 H1045 H1047 H1049 H1051 H1053 H1055 H1057 H1059 H1073 H1075 H1077 H1079 H1081 H1083 H1085 H1087 H1089 H1091 H1093 H1095 H1097 H1099 H1101 H1103 H1105 H1107 H1109 H1111 H1113 H1115 H1117 H1119 H1121 H1123 H1125 H1127 H1129 H1131 H1133 H1135 H1137 H1139 H1141 H1143 H1145 H1147 H1149 H1151 H1153 H1155 H1157 H1159 H1161 H1163 H1165 H1167 H1169 H1171 H1173 H1175 H1177 H1179 H1181 H1183 H1185 H1187 H1189 H1191 H1193 H1195 H1197 H1199 H1201 H1203 H1205 H1207 H1209 H1211 H1213 H1215 H1217 H1219 H1221 H1223 H1225 H1227 H1229 H1231 H1233 H1235 H1237 H1239 H1241 H1243 H1245 H1247 H1249 H1251 H1253 H1255 H1257 H1259 H1261 H1263 H1265 H1267 H1269 H1271 H1273 H1275 H1277 H1279 H1281 H1283 H1285 H1287 H1289 H1291 H1293 H1295 H1297 H1299 H1301 H1303 H1305 H1307 H1309 H1311 H1313 H1315 H1317 H1319 H1321 H1323 H1325 H1327 H1329 H1331 H1333 H1335 H1337 H1339 H1341 H1343 H1345 H1347 H1349 H1351 H1353 H1355 H1357 H1359 H1361 H1363 H1365 H1367 H1369 H1371 H1373 H1375 H1377 H1379 H1381 H1383 H1385 H1387 H1389 H1391 H1393 H1395 H1397 H1399 H1401 H1403 H1405 H1407 H1409 H1411 H1413 H1415 H1417 H1419 H1421 H1423 H1425 H1427 H1429 H1431 H1433 H1435 H1437 H1439 H1441 H1443 H1445 H1447 H1449 H1451 H1453 H1455 H1457 H1459 H1461 H1463 H1465 H1467 H1469 H1471 H1473 H1475 H1477 H1479 H1481 H1483 H1485 H1487 H1489 H1491 H1493 H1495 H1497 H1499 H1501 H1503 H1505 H1507 H1509 H1511 H1513 H1515 H1517 H1519 H1521 H1523 H1525 H1527 H1529 H1531 H1533 H1535 H1537 H1539 H1541 H1543 H1545 H1547 H1549 H1551 H1553 H1555 H1557 H1559 H1561 H1563 H1565 H1567 H1569 H1571 H1573 H1575 H1577 H1579 H1581 H1583 H1585 H1587 H1589 H1591 H1593 H1595 H1597 H1599 H1601 H1603 H1605 H1607 H1609 H1611 H1613 H1615 H1617 H1619 H1621 H1623 H1625 H1627 H1629 H1631 H1633 H1635 H1637 H1639 H1641 H1643 H1645">
    <cfRule type="expression" priority="217">
      <formula>ROW()-2&gt;SUMPRODUCT(MAX(($B615:$B626&lt;&gt;"")*(ROW($B615:H626))))</formula>
    </cfRule>
  </conditionalFormatting>
  <conditionalFormatting sqref="I625 I627 I629 I631 I633 I635 I637 I639 I641 I643 I645 I647 I649 I651 I653 I655 I657 I659 I669 I671 I673 I675 I677 I679 I681 I683 I685 I687 I689 I691 I693 I695 I697 I699 I705 I707 I709 I711 I713 I715 I717 I719 I721 I723 I725 I727 I729 I731 I733 I735 I737 I739 I749 I751 I753 I755 I757 I759 I761 I763 I765 I767 I769 I771 I773 I775 I777 I779 I817 I819 I831 I833 I835 I837 I839 I841 I843 I845 I847 I849 I851 I853 I855 I857 I859 I875 I877 I879 I881 I883 I885 I887 I889 I891 I893 I895 I897 I899 I901 I903 I905 I907 I909 I911 I913 I915 I917 I919 I921 I923 I925 I927 I929 I931 I933 I935 I937 I939 I941 I943 I945 I947 I949 I951 I953 I955 I957 I959 I961 I963 I965 I967 I969 I971 I973 I975 I977 I979 I981 I983 I985 I987 I989 I991 I993 I995 I997 I999 I1001 I1003 I1005 I1007 I1009 I1011 I1013 I1015 I1017 I1019 I1029 I1031 I1033 I1035 I1037 I1039 I1041 I1043 I1045 I1047 I1049 I1051 I1053 I1055 I1057 I1059 I1073 I1075 I1077 I1079 I1081 I1083 I1085 I1087 I1089 I1091 I1093 I1095 I1097 I1099 I1101 I1103 I1105 I1107 I1109 I1111 I1113 I1115 I1117 I1119 I1121 I1123 I1125 I1127 I1129 I1131 I1133 I1135 I1137 I1139 I1141 I1143 I1145 I1147 I1149 I1151 I1153 I1155 I1157 I1159 I1161 I1163 I1165 I1167 I1169 I1171 I1173 I1175 I1177 I1179 I1181 I1183 I1185 I1187 I1189 I1191 I1193 I1195 I1197 I1199 I1201 I1203 I1205 I1207 I1209 I1211 I1213 I1215 I1217 I1219 I1221 I1223 I1225 I1227 I1229 I1231 I1233 I1235 I1237 I1239 I1241 I1243 I1245 I1247 I1249 I1251 I1253 I1255 I1257 I1259 I1261 I1263 I1265 I1267 I1269 I1271 I1273 I1275 I1277 I1279 I1281 I1283 I1285 I1287 I1289 I1291 I1293 I1295 I1297 I1299 I1301 I1303 I1305 I1307 I1309 I1311 I1313 I1315 I1317 I1319 I1321 I1323 I1325 I1327 I1329 I1331 I1333 I1335 I1337 I1339 I1341 I1343 I1345 I1347 I1349 I1351 I1353 I1355 I1357 I1359 I1361 I1363 I1365 I1367 I1369 I1371 I1373 I1375 I1377 I1379 I1381 I1383 I1385 I1387 I1389 I1391 I1393 I1395 I1397 I1399 I1401 I1403 I1405 I1407 I1409 I1411 I1413 I1415 I1417 I1419 I1421 I1423 I1425 I1427 I1429 I1431 I1433 I1435 I1437 I1439 I1441 I1443 I1445 I1447 I1449 I1451 I1453 I1455 I1457 I1459 I1461 I1463 I1465 I1467 I1469 I1471 I1473 I1475 I1477 I1479 I1481 I1483 I1485 I1487 I1489 I1491 I1493 I1495 I1497 I1499 I1501 I1503 I1505 I1507 I1509 I1511 I1513 I1515 I1517 I1519 I1521 I1523 I1525 I1527 I1529 I1531 I1533 I1535 I1537 I1539 I1541 I1543 I1545 I1547 I1549 I1551 I1553 I1555 I1557 I1559 I1561 I1563 I1565 I1567 I1569 I1571 I1573 I1575 I1577 I1579 I1581 I1583 I1585 I1587 I1589 I1591 I1593 I1595 I1597 I1599 I1601 I1603 I1605 I1607 I1609 I1611 I1613 I1615 I1617 I1619 I1621 I1623 I1625 I1627 I1629 I1631 I1633 I1635 I1637 I1639 I1641 I1643 I1645">
    <cfRule type="expression" priority="216">
      <formula>ROW()-2&gt;SUMPRODUCT(MAX(($B615:$B626&lt;&gt;"")*(ROW($B615:I626))))</formula>
    </cfRule>
  </conditionalFormatting>
  <conditionalFormatting sqref="K621:N621 K623:N623 K625:N625 K627:N627 K629:N629 K631:N631 K633:N633 K635:N635 K637:N637 K639:N639 K641:N641 K643:N643 K645:N645 K647:N647 K649:N649 K651:N651 K653:N653 K655:N655 K657:N657 K659:N659 K661:N661 K663:N663 K665:N665 K667:N667 K669:N669 K671:N671 K673:N673 K675:N675 K677:N677 K679:N679 K681:N681 K683:N683 K685:N685 K687:N687 K689:N689 K691:N691 K693:N693 K695:N695 K697:N697 K699:N699 K701:N701 K703:N703 K705:N705 K707:N707 K709:N709 K711:N711 K713:N713 K715:N715 K717:N717 K719:N719 K721:N721 K723:N723 K725:N725 K727:N727 K729:N729 K731:N731 K733:N733 K735:N735 K737:N737 K739:N739 K741:N741 K743:N743 K745:N745 K747:N747 K749:N749 K751:N751 K753:N753 K755:N755 K757:N757 K759:N759 K761:N761 K763:N763 K765:N765 K767:N767 K769:N769 K771:N771 K773:N773 K775:N775 K777:N777 K779:N779 K781:N781 K783:N783 K785:N785 K787:N787 K789:N789 K791:N791 K793:N793 K795:N795 K797:N797 K799:N799 K801:N801 K803:N803 K805:N805 K807:N807 K809:N809 K811:N811 K813:N813 K815:N815 K817:N817 K819:N819 K821:N821 K823:N823 K825:N825 K827:N827 K829:N829 K831:N831 K833:N833 K835:N835 K837:N837 K839:N839 K841:N841 K843:N843 K845:N845 K847:N847 K849:N849 K851:N851 K853:N853 K855:N855 K857:N857 K859:N859 K861:N861 K863:N863 K865:N865 K867:N867 K869:N869 K871:N871 K873:N873 K875:N875 K877:N877 K879:N879 K881:N881 K883:N883 K885:N885 K887:N887 K889:N889 K891:N891 K893:N893 K895:N895 K897:N897 K899:N899 K901:N901 K903:N903 K905:N905 K907:N907 K909:N909 K911:N911 K913:N913 K915:N915 K917:N917 K919:N919 K921:N921 K923:N923 K925:N925 K927:N927 K929:N929 K931:N931 K933:N933 K935:N935 K937:N937 K939:N939 K941:N941 K943:N943 K945:N945 K947:N947 K949:N949 K951:N951 K953:N953 K955:N955 K957:N957 K959:N959 K961:N961 K963:N963 K965:N965 K967:N967 K969:N969 K971:N971 K973:N973 K975:N975 K977:N977 K979:N979 K981:N981 K983:N983 K985:N985 K987:N987 K989:N989 K991:N991 K993:N993 K995:N995 K997:N997 K999:N999 K1001:N1001 K1003:N1003 K1005:N1005 K1007:N1007 K1009:N1009 K1011:N1011 K1013:N1013 K1015:N1015 K1017:N1017 K1019:N1019 K1021:N1021 K1023:N1023 K1025:N1025 K1027:N1027 K1029:N1029 K1031:N1031 K1033:N1033 K1035:N1035 K1037:N1037 K1039:N1039 K1041:N1041 K1043:N1043 K1045:N1045 K1047:N1047 K1049:N1049 K1051:N1051 K1053:N1053 K1055:N1055 K1057:N1057 K1059:N1059 K1061:N1061 K1063:N1063 K1065:N1065 K1067:N1067 K1069:N1069 K1071:N1071 K1073:N1073 K1075:N1075 K1077:N1077 K1079:N1079 K1081:N1081 K1083:N1083 K1085:N1085 K1087:N1087 K1089:N1089 K1091:N1091 K1093:N1093 K1095:N1095 K1097:N1097 K1099:N1099 K1101:N1101 K1103:N1103 K1105:N1105 K1107:N1107 K1109:N1109 K1111:N1111 K1113:N1113 K1115:N1115 K1117:N1117 K1119:N1119 K1121:N1121 K1123:N1123 K1125:N1125 K1127:N1127 K1129:N1129 K1131:N1131 K1133:N1133 K1135:N1135 K1137:N1137 K1139:N1139 K1141:N1141 K1143:N1143 K1145:N1145 K1147:N1147 K1149:N1149 K1151:N1151 K1153:N1153 K1155:N1155 K1157:N1157 K1159:N1159 K1161:N1161 K1163:N1163 K1165:N1165 K1167:N1167 K1169:N1169 K1171:N1171 K1173:N1173 K1175:N1175 K1177:N1177 K1179:N1179 K1181:N1181 K1183:N1183 K1185:N1185 K1187:N1187 K1189:N1189 K1191:N1191 K1193:N1193 K1195:N1195 K1197:N1197 K1199:N1199 K1201:N1201 K1203:N1203 K1205:N1205 K1207:N1207 K1209:N1209 K1211:N1211 K1213:N1213 K1215:N1215 K1217:N1217 K1219:N1219 K1221:N1221 K1223:N1223 K1225:N1225 K1227:N1227 K1229:N1229 K1231:N1231 K1233:N1233 K1235:N1235 K1237:N1237 K1239:N1239 K1241:N1241 K1243:N1243 K1245:N1245 K1247:N1247 K1249:N1249 K1251:N1251 K1253:N1253 K1255:N1255 K1257:N1257 K1259:N1259 K1261:N1261 K1263:N1263 K1265:N1265 K1267:N1267 K1269:N1269 K1271:N1271 K1273:N1273 K1275:N1275 K1277:N1277 K1279:N1279 K1281:N1281 K1283:N1283 K1285:N1285 K1287:N1287 K1289:N1289 K1291:N1291 K1293:N1293 K1295:N1295 K1297:N1297 K1299:N1299 K1301:N1301 K1303:N1303 K1305:N1305 K1307:N1307 K1309:N1309 K1311:N1311 K1313:N1313 K1315:N1315 K1317:N1317 K1319:N1319 K1321:N1321 K1323:N1323 K1325:N1325 K1327:N1327 K1329:N1329 K1331:N1331 K1333:N1333 K1335:N1335 K1337:N1337 K1339:N1339 K1341:N1341 K1343:N1343 K1345:N1345 K1347:N1347 K1349:N1349 K1351:N1351 K1353:N1353 K1355:N1355 K1357:N1357 K1359:N1359 K1361:N1361 K1363:N1363 K1365:N1365 K1367:N1367 K1369:N1369 K1371:N1371 K1373:N1373 K1375:N1375 K1377:N1377 K1379:N1379 K1381:N1381 K1383:N1383 K1385:N1385 K1387:N1387 K1389:N1389 K1391:N1391 K1393:N1393 K1395:N1395 K1397:N1397 K1399:N1399 K1401:N1401 K1403:N1403 K1405:N1405 K1407:N1407 K1409:N1409 K1411:N1411 K1413:N1413 K1415:N1415 K1417:N1417 K1419:N1419 K1421:N1421 K1423:N1423 K1425:N1425 K1427:N1427 K1429:N1429 K1431:N1431 K1433:N1433 K1435:N1435 K1437:N1437 K1439:N1439 K1441:N1441 K1443:N1443 K1445:N1445 K1447:N1447 K1449:N1449 K1451:N1451 K1453:N1453 K1455:N1455 K1457:N1457 K1459:N1459 K1461:N1461 K1463:N1463 K1465:N1465 K1467:N1467 K1469:N1469 K1471:N1471 K1473:N1473 K1475:N1475 K1477:N1477 K1479:N1479 K1481:N1481 K1483:N1483 K1485:N1485 K1487:N1487 K1489:N1489 K1491:N1491 K1493:N1493 K1495:N1495 K1497:N1497 K1499:N1499 K1501:N1501 K1503:N1503 K1505:N1505 K1507:N1507 K1509:N1509 K1511:N1511 K1513:N1513 K1515:N1515 K1517:N1517 K1519:N1519 K1521:N1521 K1523:N1523 K1525:N1525 K1527:N1527 K1529:N1529 K1531:N1531 K1533:N1533 K1535:N1535 K1537:N1537 K1539:N1539 K1541:N1541 K1543:N1543 K1545:N1545 K1547:N1547 K1549:N1549 K1551:N1551 K1553:N1553 K1555:N1555 K1557:N1557 K1559:N1559 K1561:N1561 K1563:N1563 K1565:N1565 K1567:N1567 K1569:N1569 K1571:N1571 K1573:N1573 K1575:N1575 K1577:N1577 K1579:N1579 K1581:N1581 K1583:N1583 K1585:N1585 K1587:N1587 K1589:N1589 K1591:N1591 K1593:N1593 K1595:N1595 K1597:N1597 K1599:N1599 K1601:N1601 K1603:N1603 K1605:N1605 K1607:N1607 K1609:N1609 K1611:N1611 K1613:N1613 K1615:N1615 K1617:N1617 K1619:N1619 K1621:N1621 K1623:N1623 K1625:N1625 K1627:N1627 K1629:N1629 K1631:N1631 K1633:N1633 K1635:N1635 K1637:N1637 K1639:N1639 K1641:N1641 K1643:N1643 K1645:N1645">
    <cfRule type="expression" priority="219">
      <formula>ROW()-2&gt;SUMPRODUCT(MAX(($B611:$B622&lt;&gt;"")*(ROW($B611:K622))))</formula>
    </cfRule>
  </conditionalFormatting>
  <conditionalFormatting sqref="K621 K623 K625 K627 K629 K631 K633 K635 K637 K639 K641 K643 K645 K647 K649 K651 K653 K655 K657 K659 K661 K663 K665 K667 K669 K671 K673 K675 K677 K679 K681 K683 K685 K687 K689 K691 K693 K695 K697 K699 K701 K703 K705 K707 K709 K711 K713 K715 K717 K719 K721 K723 K725 K727 K729 K731 K733 K735 K737 K739 K741 K743 K745 K747 K749 K751 K753 K755 K757 K759 K761 K763 K765 K767 K769 K771 K773 K775 K777 K779 K781 K783 K785 K787 K789 K791 K793 K795 K797 K799 K801 K803 K805 K807 K809 K811 K813 K815 K817 K819 K821 K823 K825 K827 K829 K831 K833 K835 K837 K839 K841 K843 K845 K847 K849 K851 K853 K855 K857 K859 K861 K863 K865 K867 K869 K871 K873 K875 K877 K879 K881 K883 K885 K887 K889 K891 K893 K895 K897 K899 K901 K903 K905 K907 K909 K911 K913 K915 K917 K919 K921 K923 K925 K927 K929 K931 K933 K935 K937 K939 K941 K943 K945 K947 K949 K951 K953 K955 K957 K959 K961 K963 K965 K967 K969 K971 K973 K975 K977 K979 K981 K983 K985 K987 K989 K991 K993 K995 K997 K999 K1001 K1003 K1005 K1007 K1009 K1011 K1013 K1015 K1017 K1019 K1021 K1023 K1025 K1027 K1029 K1031 K1033 K1035 K1037 K1039 K1041 K1043 K1045 K1047 K1049 K1051 K1053 K1055 K1057 K1059 K1061 K1063 K1065 K1067 K1069 K1071 K1073 K1075 K1077 K1079 K1081 K1083 K1085 K1087 K1089 K1091 K1093 K1095 K1097 K1099 K1101 K1103 K1105 K1107 K1109 K1111 K1113 K1115 K1117 K1119 K1121 K1123 K1125 K1127 K1129 K1131 K1133 K1135 K1137 K1139 K1141 K1143 K1145 K1147 K1149 K1151 K1153 K1155 K1157 K1159 K1161 K1163 K1165 K1167 K1169 K1171 K1173 K1175 K1177 K1179 K1181 K1183 K1185 K1187 K1189 K1191 K1193 K1195 K1197 K1199 K1201 K1203 K1205 K1207 K1209 K1211 K1213 K1215 K1217 K1219 K1221 K1223 K1225 K1227 K1229 K1231 K1233 K1235 K1237 K1239 K1241 K1243 K1245 K1247 K1249 K1251 K1253 K1255 K1257 K1259 K1261 K1263 K1265 K1267 K1269 K1271 K1273 K1275 K1277 K1279 K1281 K1283 K1285 K1287 K1289 K1291 K1293 K1295 K1297 K1299 K1301 K1303 K1305 K1307 K1309 K1311 K1313 K1315 K1317 K1319 K1321 K1323 K1325 K1327 K1329 K1331 K1333 K1335 K1337 K1339 K1341 K1343 K1345 K1347 K1349 K1351 K1353 K1355 K1357 K1359 K1361 K1363 K1365 K1367 K1369 K1371 K1373 K1375 K1377 K1379 K1381 K1383 K1385 K1387 K1389 K1391 K1393 K1395 K1397 K1399 K1401 K1403 K1405 K1407 K1409 K1411 K1413 K1415 K1417 K1419 K1421 K1423 K1425 K1427 K1429 K1431 K1433 K1435 K1437 K1439 K1441 K1443 K1445 K1447 K1449 K1451 K1453 K1455 K1457 K1459 K1461 K1463 K1465 K1467 K1469 K1471 K1473 K1475 K1477 K1479 K1481 K1483 K1485 K1487 K1489 K1491 K1493 K1495 K1497 K1499 K1501 K1503 K1505 K1507 K1509 K1511 K1513 K1515 K1517 K1519 K1521 K1523 K1525 K1527 K1529 K1531 K1533 K1535 K1537 K1539 K1541 K1543 K1545 K1547 K1549 K1551 K1553 K1555 K1557 K1559 K1561 K1563 K1565 K1567 K1569 K1571 K1573 K1575 K1577 K1579 K1581 K1583 K1585 K1587 K1589 K1591 K1593 K1595 K1597 K1599 K1601 K1603 K1605 K1607 K1609 K1611 K1613 K1615 K1617 K1619 K1621 K1623 K1625 K1627 K1629 K1631 K1633 K1635 K1637 K1639 K1641 K1643 K1645">
    <cfRule type="expression" dxfId="214" priority="212">
      <formula>$D621=""</formula>
    </cfRule>
  </conditionalFormatting>
  <conditionalFormatting sqref="L621 L623 L625 L627 L629 L631 L633 L635 L637 L639 L641 L643 L645 L647 L649 L651 L653 L655 L657 L659 L661 L663 L665 L667 L669 L671 L673 L675 L677 L679 L681 L683 L685 L687 L689 L691 L693 L695 L697 L699 L701 L703 L705 L707 L709 L711 L713 L715 L717 L719 L721 L723 L725 L727 L729 L731 L733 L735 L737 L739 L741 L743 L745 L747 L749 L751 L753 L755 L757 L759 L761 L763 L765 L767 L769 L771 L773 L775 L777 L779 L781 L783 L785 L787 L789 L791 L793 L795 L797 L799 L801 L803 L805 L807 L809 L811 L813 L815 L817 L819 L821 L823 L825 L827 L829 L831 L833 L835 L837 L839 L841 L843 L845 L847 L849 L851 L853 L855 L857 L859 L861 L863 L865 L867 L869 L871 L873 L875 L877 L879 L881 L883 L885 L887 L889 L891 L893 L895 L897 L899 L901 L903 L905 L907 L909 L911 L913 L915 L917 L919 L921 L923 L925 L927 L929 L931 L933 L935 L937 L939 L941 L943 L945 L947 L949 L951 L953 L955 L957 L959 L961 L963 L965 L967 L969 L971 L973 L975 L977 L979 L981 L983 L985 L987 L989 L991 L993 L995 L997 L999 L1001 L1003 L1005 L1007 L1009 L1011 L1013 L1015 L1017 L1019 L1021 L1023 L1025 L1027 L1029 L1031 L1033 L1035 L1037 L1039 L1041 L1043 L1045 L1047 L1049 L1051 L1053 L1055 L1057 L1059 L1061 L1063 L1065 L1067 L1069 L1071 L1073 L1075 L1077 L1079 L1081 L1083 L1085 L1087 L1089 L1091 L1093 L1095 L1097 L1099 L1101 L1103 L1105 L1107 L1109 L1111 L1113 L1115 L1117 L1119 L1121 L1123 L1125 L1127 L1129 L1131 L1133 L1135 L1137 L1139 L1141 L1143 L1145 L1147 L1149 L1151 L1153 L1155 L1157 L1159 L1161 L1163 L1165 L1167 L1169 L1171 L1173 L1175 L1177 L1179 L1181 L1183 L1185 L1187 L1189 L1191 L1193 L1195 L1197 L1199 L1201 L1203 L1205 L1207 L1209 L1211 L1213 L1215 L1217 L1219 L1221 L1223 L1225 L1227 L1229 L1231 L1233 L1235 L1237 L1239 L1241 L1243 L1245 L1247 L1249 L1251 L1253 L1255 L1257 L1259 L1261 L1263 L1265 L1267 L1269 L1271 L1273 L1275 L1277 L1279 L1281 L1283 L1285 L1287 L1289 L1291 L1293 L1295 L1297 L1299 L1301 L1303 L1305 L1307 L1309 L1311 L1313 L1315 L1317 L1319 L1321 L1323 L1325 L1327 L1329 L1331 L1333 L1335 L1337 L1339 L1341 L1343 L1345 L1347 L1349 L1351 L1353 L1355 L1357 L1359 L1361 L1363 L1365 L1367 L1369 L1371 L1373 L1375 L1377 L1379 L1381 L1383 L1385 L1387 L1389 L1391 L1393 L1395 L1397 L1399 L1401 L1403 L1405 L1407 L1409 L1411 L1413 L1415 L1417 L1419 L1421 L1423 L1425 L1427 L1429 L1431 L1433 L1435 L1437 L1439 L1441 L1443 L1445 L1447 L1449 L1451 L1453 L1455 L1457 L1459 L1461 L1463 L1465 L1467 L1469 L1471 L1473 L1475 L1477 L1479 L1481 L1483 L1485 L1487 L1489 L1491 L1493 L1495 L1497 L1499 L1501 L1503 L1505 L1507 L1509 L1511 L1513 L1515 L1517 L1519 L1521 L1523 L1525 L1527 L1529 L1531 L1533 L1535 L1537 L1539 L1541 L1543 L1545 L1547 L1549 L1551 L1553 L1555 L1557 L1559 L1561 L1563 L1565 L1567 L1569 L1571 L1573 L1575 L1577 L1579 L1581 L1583 L1585 L1587 L1589 L1591 L1593 L1595 L1597 L1599 L1601 L1603 L1605 L1607 L1609 L1611 L1613 L1615 L1617 L1619 L1621 L1623 L1625 L1627 L1629 L1631 L1633 L1635 L1637 L1639 L1641 L1643 L1645">
    <cfRule type="expression" dxfId="213" priority="210">
      <formula>$D621=""</formula>
    </cfRule>
  </conditionalFormatting>
  <conditionalFormatting sqref="M621 M623 M625 M627 M629 M631 M633 M635 M637 M639 M641 M643 M645 M647 M649 M651 M653 M655 M657 M659 M661 M663 M665 M667 M669 M671 M673 M675 M677 M679 M681 M683 M685 M687 M689 M691 M693 M695 M697 M699 M701 M703 M705 M707 M709 M711 M713 M715 M717 M719 M721 M723 M725 M727 M729 M731 M733 M735 M737 M739 M741 M743 M745 M747 M749 M751 M753 M755 M757 M759 M761 M763 M765 M767 M769 M771 M773 M775 M777 M779 M781 M783 M785 M787 M789 M791 M793 M795 M797 M799 M801 M803 M805 M807 M809 M811 M813 M815 M817 M819 M821 M823 M825 M827 M829 M831 M833 M835 M837 M839 M841 M843 M845 M847 M849 M851 M853 M855 M857 M859 M861 M863 M865 M867 M869 M871 M873 M875 M877 M879 M881 M883 M885 M887 M889 M891 M893 M895 M897 M899 M901 M903 M905 M907 M909 M911 M913 M915 M917 M919 M921 M923 M925 M927 M929 M931 M933 M935 M937 M939 M941 M943 M945 M947 M949 M951 M953 M955 M957 M959 M961 M963 M965 M967 M969 M971 M973 M975 M977 M979 M981 M983 M985 M987 M989 M991 M993 M995 M997 M999 M1001 M1003 M1005 M1007 M1009 M1011 M1013 M1015 M1017 M1019 M1021 M1023 M1025 M1027 M1029 M1031 M1033 M1035 M1037 M1039 M1041 M1043 M1045 M1047 M1049 M1051 M1053 M1055 M1057 M1059 M1061 M1063 M1065 M1067 M1069 M1071 M1073 M1075 M1077 M1079 M1081 M1083 M1085 M1087 M1089 M1091 M1093 M1095 M1097 M1099 M1101 M1103 M1105 M1107 M1109 M1111 M1113 M1115 M1117 M1119 M1121 M1123 M1125 M1127 M1129 M1131 M1133 M1135 M1137 M1139 M1141 M1143 M1145 M1147 M1149 M1151 M1153 M1155 M1157 M1159 M1161 M1163 M1165 M1167 M1169 M1171 M1173 M1175 M1177 M1179 M1181 M1183 M1185 M1187 M1189 M1191 M1193 M1195 M1197 M1199 M1201 M1203 M1205 M1207 M1209 M1211 M1213 M1215 M1217 M1219 M1221 M1223 M1225 M1227 M1229 M1231 M1233 M1235 M1237 M1239 M1241 M1243 M1245 M1247 M1249 M1251 M1253 M1255 M1257 M1259 M1261 M1263 M1265 M1267 M1269 M1271 M1273 M1275 M1277 M1279 M1281 M1283 M1285 M1287 M1289 M1291 M1293 M1295 M1297 M1299 M1301 M1303 M1305 M1307 M1309 M1311 M1313 M1315 M1317 M1319 M1321 M1323 M1325 M1327 M1329 M1331 M1333 M1335 M1337 M1339 M1341 M1343 M1345 M1347 M1349 M1351 M1353 M1355 M1357 M1359 M1361 M1363 M1365 M1367 M1369 M1371 M1373 M1375 M1377 M1379 M1381 M1383 M1385 M1387 M1389 M1391 M1393 M1395 M1397 M1399 M1401 M1403 M1405 M1407 M1409 M1411 M1413 M1415 M1417 M1419 M1421 M1423 M1425 M1427 M1429 M1431 M1433 M1435 M1437 M1439 M1441 M1443 M1445 M1447 M1449 M1451 M1453 M1455 M1457 M1459 M1461 M1463 M1465 M1467 M1469 M1471 M1473 M1475 M1477 M1479 M1481 M1483 M1485 M1487 M1489 M1491 M1493 M1495 M1497 M1499 M1501 M1503 M1505 M1507 M1509 M1511 M1513 M1515 M1517 M1519 M1521 M1523 M1525 M1527 M1529 M1531 M1533 M1535 M1537 M1539 M1541 M1543 M1545 M1547 M1549 M1551 M1553 M1555 M1557 M1559 M1561 M1563 M1565 M1567 M1569 M1571 M1573 M1575 M1577 M1579 M1581 M1583 M1585 M1587 M1589 M1591 M1593 M1595 M1597 M1599 M1601 M1603 M1605 M1607 M1609 M1611 M1613 M1615 M1617 M1619 M1621 M1623 M1625 M1627 M1629 M1631 M1633 M1635 M1637 M1639 M1641 M1643 M1645">
    <cfRule type="expression" dxfId="212" priority="208">
      <formula>$D621=""</formula>
    </cfRule>
  </conditionalFormatting>
  <conditionalFormatting sqref="N621 N623 N625 N627 N629 N631 N633 N635 N637 N639 N641 N643 N645 N647 N649 N651 N653 N655 N657 N659 N661 N663 N665 N667 N669 N671 N673 N675 N677 N679 N681 N683 N685 N687 N689 N691 N693 N695 N697 N699 N701 N703 N705 N707 N709 N711 N713 N715 N717 N719 N721 N723 N725 N727 N729 N731 N733 N735 N737 N739 N741 N743 N745 N747 N749 N751 N753 N755 N757 N759 N761 N763 N765 N767 N769 N771 N773 N775 N777 N779 N781 N783 N785 N787 N789 N791 N793 N795 N797 N799 N801 N803 N805 N807 N809 N811 N813 N815 N817 N819 N821 N823 N825 N827 N829 N831 N833 N835 N837 N839 N841 N843 N845 N847 N849 N851 N853 N855 N857 N859 N861 N863 N865 N867 N869 N871 N873 N875 N877 N879 N881 N883 N885 N887 N889 N891 N893 N895 N897 N899 N901 N903 N905 N907 N909 N911 N913 N915 N917 N919 N921 N923 N925 N927 N929 N931 N933 N935 N937 N939 N941 N943 N945 N947 N949 N951 N953 N955 N957 N959 N961 N963 N965 N967 N969 N971 N973 N975 N977 N979 N981 N983 N985 N987 N989 N991 N993 N995 N997 N999 N1001 N1003 N1005 N1007 N1009 N1011 N1013 N1015 N1017 N1019 N1021 N1023 N1025 N1027 N1029 N1031 N1033 N1035 N1037 N1039 N1041 N1043 N1045 N1047 N1049 N1051 N1053 N1055 N1057 N1059 N1061 N1063 N1065 N1067 N1069 N1071 N1073 N1075 N1077 N1079 N1081 N1083 N1085 N1087 N1089 N1091 N1093 N1095 N1097 N1099 N1101 N1103 N1105 N1107 N1109 N1111 N1113 N1115 N1117 N1119 N1121 N1123 N1125 N1127 N1129 N1131 N1133 N1135 N1137 N1139 N1141 N1143 N1145 N1147 N1149 N1151 N1153 N1155 N1157 N1159 N1161 N1163 N1165 N1167 N1169 N1171 N1173 N1175 N1177 N1179 N1181 N1183 N1185 N1187 N1189 N1191 N1193 N1195 N1197 N1199 N1201 N1203 N1205 N1207 N1209 N1211 N1213 N1215 N1217 N1219 N1221 N1223 N1225 N1227 N1229 N1231 N1233 N1235 N1237 N1239 N1241 N1243 N1245 N1247 N1249 N1251 N1253 N1255 N1257 N1259 N1261 N1263 N1265 N1267 N1269 N1271 N1273 N1275 N1277 N1279 N1281 N1283 N1285 N1287 N1289 N1291 N1293 N1295 N1297 N1299 N1301 N1303 N1305 N1307 N1309 N1311 N1313 N1315 N1317 N1319 N1321 N1323 N1325 N1327 N1329 N1331 N1333 N1335 N1337 N1339 N1341 N1343 N1345 N1347 N1349 N1351 N1353 N1355 N1357 N1359 N1361 N1363 N1365 N1367 N1369 N1371 N1373 N1375 N1377 N1379 N1381 N1383 N1385 N1387 N1389 N1391 N1393 N1395 N1397 N1399 N1401 N1403 N1405 N1407 N1409 N1411 N1413 N1415 N1417 N1419 N1421 N1423 N1425 N1427 N1429 N1431 N1433 N1435 N1437 N1439 N1441 N1443 N1445 N1447 N1449 N1451 N1453 N1455 N1457 N1459 N1461 N1463 N1465 N1467 N1469 N1471 N1473 N1475 N1477 N1479 N1481 N1483 N1485 N1487 N1489 N1491 N1493 N1495 N1497 N1499 N1501 N1503 N1505 N1507 N1509 N1511 N1513 N1515 N1517 N1519 N1521 N1523 N1525 N1527 N1529 N1531 N1533 N1535 N1537 N1539 N1541 N1543 N1545 N1547 N1549 N1551 N1553 N1555 N1557 N1559 N1561 N1563 N1565 N1567 N1569 N1571 N1573 N1575 N1577 N1579 N1581 N1583 N1585 N1587 N1589 N1591 N1593 N1595 N1597 N1599 N1601 N1603 N1605 N1607 N1609 N1611 N1613 N1615 N1617 N1619 N1621 N1623 N1625 N1627 N1629 N1631 N1633 N1635 N1637 N1639 N1641 N1643 N1645">
    <cfRule type="expression" dxfId="211" priority="206">
      <formula>$D621=""</formula>
    </cfRule>
  </conditionalFormatting>
  <conditionalFormatting sqref="F626 F628 F630 F632 F634 F636 F638 F640 F642 F644 F646 F648 F650 F652 F654 F656 F658 F660 F670 F672 F674 F676 F678 F680 F682 F684 F686 F688 F690 F692 F694 F696 F698 F700 F706 F708 F710 F712 F714 F716 F718 F720 F722 F724 F726 F728 F730 F732 F734 F736 F738 F740 F750 F752 F754 F756 F758 F760 F762 F764 F766 F768 F770 F772 F774 F776 F778 F780 F818 F820 F832 F834 F836 F838 F840 F842 F844 F846 F848 F850 F852 F854 F856 F858 F860 F876 F878 F880 F882 F884 F886 F888 F890 F892 F894 F896 F898 F900 F918 F920 F922 F924 F926 F928 F930 F932 F934 F936 F938 F940 F942 F944 F946 F948 F950 F952 F954 F956 F958 F960 F962 F964 F966 F968 F970 F972 F974 F976 F978 F980 F982 F984 F986 F988 F990 F992 F994 F996 F998 F1000 F1002 F1004 F1006 F1008 F1010 F1012 F1014 F1016 F1018 F1020 F1030 F1032 F1034 F1036 F1038 F1040 F1042 F1044 F1046 F1048 F1050 F1052 F1054 F1056 F1058 F1060 F1074 F1076 F1078 F1080 F1082 F1084 F1086 F1088 F1090 F1092 F1094 F1096 F1098 F1100 F1102 F1104 F1106 F1108 F1110 F1112 F1114 F1116 F1118 F1120 F1122 F1124 F1126 F1128 F1130 F1132 F1134 F1136 F1138 F1140 F1142 F1144 F1146 F1148 F1150 F1152 F1154 F1156 F1158 F1160 F1162 F1164 F1166 F1168 F1170 F1172 F1174 F1176 F1178 F1180 F1182 F1184 F1186 F1188 F1190 F1192 F1194 F1196 F1198 F1200 F1202 F1204 F1206 F1208 F1210 F1212 F1214 F1216 F1218 F1220 F1222 F1224 F1226 F1228 F1230 F1232 F1234 F1236 F1238 F1240 F1242 F1244 F1246 F1248 F1250 F1252 F1254 F1256 F1258 F1260 F1262 F1264 F1266 F1268 F1270 F1272 F1274 F1276 F1278 F1280 F1282 F1284 F1286 F1288 F1290 F1292 F1294 F1296 F1298 F1300 F1302 F1304 F1306 F1308 F1310 F1312 F1314 F1316 F1318 F1320 F1322 F1324 F1326 F1328 F1330 F1332 F1334 F1336 F1338 F1340 F1342 F1344 F1346 F1348 F1350 F1352 F1354 F1356 F1358 F1360 F1362 F1364 F1366 F1368 F1370 F1372 F1374 F1376 F1378 F1380 F1382 F1384 F1386 F1388 F1390 F1392 F1394 F1396 F1398 F1400 F1402 F1404 F1406 F1408 F1410 F1412 F1414 F1416 F1418 F1420 F1422 F1424 F1426 F1428 F1430 F1432 F1434 F1436 F1438 F1440 F1442 F1444 F1446 F1448 F1450 F1452 F1454 F1456 F1458 F1460 F1462 F1464 F1466 F1468 F1470 F1472 F1474 F1476 F1478 F1480 F1482 F1484 F1486 F1488 F1490 F1492 F1494 F1496 F1498 F1500 F1502 F1504 F1506 F1508 F1510 F1512 F1514 F1516 F1518 F1520 F1522 F1524 F1526 F1528 F1530 F1532 F1534 F1536 F1538 F1540 F1542 F1544 F1546 F1548 F1550 F1552 F1554 F1556 F1558 F1560 F1562 F1564 F1566 F1568 F1570 F1572 F1574 F1576 F1578 F1580 F1582 F1584 F1586 F1588 F1590 F1592 F1594 F1596 F1598 F1600 F1602 F1604 F1606 F1608 F1610 F1612 F1614 F1616 F1618 F1620 F1622 F1624 F1626 F1628 F1630 F1632 F1634 F1636 F1638 F1640 F1642 F1644 F1646">
    <cfRule type="expression" dxfId="210" priority="204">
      <formula>$D625=""</formula>
    </cfRule>
  </conditionalFormatting>
  <conditionalFormatting sqref="G626:I626 G628:I628 G630:I630 G632:I632 G634:I634 G636:I636 G638:I638 G640:I640 G642:I642 G644:I644 G646:I646 G648:I648 G650:I650 G652:I652 G654:I654 G656:I656 G658:I658 G660:I660 G670:I670 G672:I672 G674:I674 G676:I676 G678:I678 G680:I680 G682:I682 G684:I684 G686:I686 G688:I688 G690:I690 G692:I692 G694:I694 G696:I696 G698:I698 G700:I700 G706:I706 G708:I708 G710:I710 G712:I712 G714:I714 G716:I716 G718:I718 G720:I720 G722:I722 G724:I724 G726:I726 G728:I728 G730:I730 G732:I732 G734:I734 G736:I736 G738:I738 G740:I740 G750:I750 G752:I752 G754:I754 G756:I756 G758:I758 G760:I760 G762:I762 G764:I764 G766:I766 G768:I768 G770:I770 G772:I772 G774:I774 G776:I776 G778:I778 G780:I780 G818:I818 G820:I820 G832:I832 G834:I834 G836:I836 G838:I838 G840:I840 G842:I842 G844:I844 G846:I846 G848:I848 G850:I850 G852:I852 G854:I854 G856:I856 G858:I858 G860:I860 G876:I876 G878:I878 G880:I880 G882:I882 G884:I884 G886:I886 G888:I888 G890:I890 G892:I892 G894:I894 G896:I896 G898:I898 G900:I900 I902 I904 I906 I908 I910 I912 I914 I916 G918:I918 G920:I920 G922:I922 G924:I924 G926:I926 G928:I928 G930:I930 G932:I932 G934:I934 G936:I936 G938:I938 G940:I940 G942:I942 G944:I944 G946:I946 G948:I948 G950:I950 G952:I952 G954:I954 G956:I956 G958:I958 G960:I960 G962:I962 G964:I964 G966:I966 G968:I968 G970:I970 G972:I972 G974:I974 G976:I976 G978:I978 G980:I980 G982:I982 G984:I984 G986:I986 G988:I988 G990:I990 G992:I992 G994:I994 G996:I996 G998:I998 G1000:I1000 G1002:I1002 G1004:I1004 G1006:I1006 G1008:I1008 G1010:I1010 G1012:I1012 G1014:I1014 G1016:I1016 G1018:I1018 G1020:I1020 G1030:I1030 G1032:I1032 G1034:I1034 G1036:I1036 G1038:I1038 G1040:I1040 G1042:I1042 G1044:I1044 G1046:I1046 G1048:I1048 G1050:I1050 G1052:I1052 G1054:I1054 G1056:I1056 G1058:I1058 G1060:I1060 G1074:I1074 G1076:I1076 G1078:I1078 G1080:I1080 G1082:I1082 G1084:I1084 G1086:I1086 G1088:I1088 G1090:I1090 G1092:I1092 G1094:I1094 G1096:I1096 G1098:I1098 G1100:I1100 G1102:I1102 G1104:I1104 G1106:I1106 G1108:I1108 G1110:I1110 G1112:I1112 G1114:I1114 G1116:I1116 G1118:I1118 G1120:I1120 G1122:I1122 G1124:I1124 G1126:I1126 G1128:I1128 G1130:I1130 G1132:I1132 G1134:I1134 G1136:I1136 G1138:I1138 G1140:I1140 G1142:I1142 G1144:I1144 G1146:I1146 G1148:I1148 G1150:I1150 G1152:I1152 G1154:I1154 G1156:I1156 G1158:I1158 G1160:I1160 G1162:I1162 G1164:I1164 G1166:I1166 G1168:I1168 G1170:I1170 G1172:I1172 G1174:I1174 G1176:I1176 G1178:I1178 G1180:I1180 G1182:I1182 G1184:I1184 G1186:I1186 G1188:I1188 G1190:I1190 G1192:I1192 G1194:I1194 G1196:I1196 G1198:I1198 G1200:I1200 G1202:I1202 G1204:I1204 G1206:I1206 G1208:I1208 G1210:I1210 G1212:I1212 G1214:I1214 G1216:I1216 G1218:I1218 G1220:I1220 G1222:I1222 G1224:I1224 G1226:I1226 G1228:I1228 G1230:I1230 G1232:I1232 G1234:I1234 G1236:I1236 G1238:I1238 G1240:I1240 G1242:I1242 G1244:I1244 G1246:I1246 G1248:I1248 G1250:I1250 G1252:I1252 G1254:I1254 G1256:I1256 G1258:I1258 G1260:I1260 G1262:I1262 G1264:I1264 G1266:I1266 G1268:I1268 G1270:I1270 G1272:I1272 G1274:I1274 G1276:I1276 G1278:I1278 G1280:I1280 G1282:I1282 G1284:I1284 G1286:I1286 G1288:I1288 G1290:I1290 G1292:I1292 G1294:I1294 G1296:I1296 G1298:I1298 G1300:I1300 G1302:I1302 G1304:I1304 G1306:I1306 G1308:I1308 G1310:I1310 G1312:I1312 G1314:I1314 G1316:I1316 G1318:I1318 G1320:I1320 G1322:I1322 G1324:I1324 G1326:I1326 G1328:I1328 G1330:I1330 G1332:I1332 G1334:I1334 G1336:I1336 G1338:I1338 G1340:I1340 G1342:I1342 G1344:I1344 G1346:I1346 G1348:I1348 G1350:I1350 G1352:I1352 G1354:I1354 G1356:I1356 G1358:I1358 G1360:I1360 G1362:I1362 G1364:I1364 G1366:I1366 G1368:I1368 G1370:I1370 G1372:I1372 G1374:I1374 G1376:I1376 G1378:I1378 G1380:I1380 G1382:I1382 G1384:I1384 G1386:I1386 G1388:I1388 G1390:I1390 G1392:I1392 G1394:I1394 G1396:I1396 G1398:I1398 G1400:I1400 G1402:I1402 G1404:I1404 G1406:I1406 G1408:I1408 G1410:I1410 G1412:I1412 G1414:I1414 G1416:I1416 G1418:I1418 G1420:I1420 G1422:I1422 G1424:I1424 G1426:I1426 G1428:I1428 G1430:I1430 G1432:I1432 G1434:I1434 G1436:I1436 G1438:I1438 G1440:I1440 G1442:I1442 G1444:I1444 G1446:I1446 G1448:I1448 G1450:I1450 G1452:I1452 G1454:I1454 G1456:I1456 G1458:I1458 G1460:I1460 G1462:I1462 G1464:I1464 G1466:I1466 G1468:I1468 G1470:I1470 G1472:I1472 G1474:I1474 G1476:I1476 G1478:I1478 G1480:I1480 G1482:I1482 G1484:I1484 G1486:I1486 G1488:I1488 G1490:I1490 G1492:I1492 G1494:I1494 G1496:I1496 G1498:I1498 G1500:I1500 G1502:I1502 G1504:I1504 G1506:I1506 G1508:I1508 G1510:I1510 G1512:I1512 G1514:I1514 G1516:I1516 G1518:I1518 G1520:I1520 G1522:I1522 G1524:I1524 G1526:I1526 G1528:I1528 G1530:I1530 G1532:I1532 G1534:I1534 G1536:I1536 G1538:I1538 G1540:I1540 G1542:I1542 G1544:I1544 G1546:I1546 G1548:I1548 G1550:I1550 G1552:I1552 G1554:I1554 G1556:I1556 G1558:I1558 G1560:I1560 G1562:I1562 G1564:I1564 G1566:I1566 G1568:I1568 G1570:I1570 G1572:I1572 G1574:I1574 G1576:I1576 G1578:I1578 G1580:I1580 G1582:I1582 G1584:I1584 G1586:I1586 G1588:I1588 G1590:I1590 G1592:I1592 G1594:I1594 G1596:I1596 G1598:I1598 G1600:I1600 G1602:I1602 G1604:I1604 G1606:I1606 G1608:I1608 G1610:I1610 G1612:I1612 G1614:I1614 G1616:I1616 G1618:I1618 G1620:I1620 G1622:I1622 G1624:I1624 G1626:I1626 G1628:I1628 G1630:I1630 G1632:I1632 G1634:I1634 G1636:I1636 G1638:I1638 G1640:I1640 G1642:I1642 G1644:I1644 G1646:I1646">
    <cfRule type="expression" dxfId="209" priority="215">
      <formula>$D625=""</formula>
    </cfRule>
  </conditionalFormatting>
  <conditionalFormatting sqref="K622 K624 K626 K628 K630 K632 K634 K636 K638 K640 K642 K644 K646 K648 K650 K652 K654 K656 K658 K660 K662 K664 K666 K668 K670 K672 K674 K676 K678 K680 K682 K684 K686 K688 K690 K692 K694 K696 K698 K700 K702 K704 K706 K708 K710 K712 K714 K716 K718 K720 K722 K724 K726 K728 K730 K732 K734 K736 K738 K740 K742 K744 K746 K748 K750 K752 K754 K756 K758 K760 K762 K764 K766 K768 K770 K772 K774 K776 K778 K780 K782 K784 K786 K788 K790 K792 K794 K796 K798 K800 K802 K804 K806 K808 K810 K812 K814 K816 K818 K820 K822 K824 K826 K828 K830 K832 K834 K836 K838 K840 K842 K844 K846 K848 K850 K852 K854 K856 K858 K860 K862 K864 K866 K868 K870 K872 K874 K876 K878 K880 K882 K884 K886 K888 K890 K892 K894 K896 K898 K900 K902 K904 K906 K908 K910 K912 K914 K916 K918 K920 K922 K924 K926 K928 K930 K932 K934 K936 K938 K940 K942 K944 K946 K948 K950 K952 K954 K956 K958 K960 K962 K964 K966 K968 K970 K972 K974 K976 K978 K980 K982 K984 K986 K988 K990 K992 K994 K996 K998 K1000 K1002 K1004 K1006 K1008 K1010 K1012 K1014 K1016 K1018 K1020 K1022 K1024 K1026 K1028 K1030 K1032 K1034 K1036 K1038 K1040 K1042 K1044 K1046 K1048 K1050 K1052 K1054 K1056 K1058 K1060 K1062 K1064 K1066 K1068 K1070 K1072 K1074 K1076 K1078 K1080 K1082 K1084 K1086 K1088 K1090 K1092 K1094 K1096 K1098 K1100 K1102 K1104 K1106 K1108 K1110 K1112 K1114 K1116 K1118 K1120 K1122 K1124 K1126 K1128 K1130 K1132 K1134 K1136 K1138 K1140 K1142 K1144 K1146 K1148 K1150 K1152 K1154 K1156 K1158 K1160 K1162 K1164 K1166 K1168 K1170 K1172 K1174 K1176 K1178 K1180 K1182 K1184 K1186 K1188 K1190 K1192 K1194 K1196 K1198 K1200 K1202 K1204 K1206 K1208 K1210 K1212 K1214 K1216 K1218 K1220 K1222 K1224 K1226 K1228 K1230 K1232 K1234 K1236 K1238 K1240 K1242 K1244 K1246 K1248 K1250 K1252 K1254 K1256 K1258 K1260 K1262 K1264 K1266 K1268 K1270 K1272 K1274 K1276 K1278 K1280 K1282 K1284 K1286 K1288 K1290 K1292 K1294 K1296 K1298 K1300 K1302 K1304 K1306 K1308 K1310 K1312 K1314 K1316 K1318 K1320 K1322 K1324 K1326 K1328 K1330 K1332 K1334 K1336 K1338 K1340 K1342 K1344 K1346 K1348 K1350 K1352 K1354 K1356 K1358 K1360 K1362 K1364 K1366 K1368 K1370 K1372 K1374 K1376 K1378 K1380 K1382 K1384 K1386 K1388 K1390 K1392 K1394 K1396 K1398 K1400 K1402 K1404 K1406 K1408 K1410 K1412 K1414 K1416 K1418 K1420 K1422 K1424 K1426 K1428 K1430 K1432 K1434 K1436 K1438 K1440 K1442 K1444 K1446 K1448 K1450 K1452 K1454 K1456 K1458 K1460 K1462 K1464 K1466 K1468 K1470 K1472 K1474 K1476 K1478 K1480 K1482 K1484 K1486 K1488 K1490 K1492 K1494 K1496 K1498 K1500 K1502 K1504 K1506 K1508 K1510 K1512 K1514 K1516 K1518 K1520 K1522 K1524 K1526 K1528 K1530 K1532 K1534 K1536 K1538 K1540 K1542 K1544 K1546 K1548 K1550 K1552 K1554 K1556 K1558 K1560 K1562 K1564 K1566 K1568 K1570 K1572 K1574 K1576 K1578 K1580 K1582 K1584 K1586 K1588 K1590 K1592 K1594 K1596 K1598 K1600 K1602 K1604 K1606 K1608 K1610 K1612 K1614 K1616 K1618 K1620 K1622 K1624 K1626 K1628 K1630 K1632 K1634 K1636 K1638 K1640 K1642 K1644 K1646">
    <cfRule type="expression" dxfId="208" priority="213">
      <formula>$D621=""</formula>
    </cfRule>
  </conditionalFormatting>
  <conditionalFormatting sqref="L622 L624 L626 L628 L630 L632 L634 L636 L638 L640 L642 L644 L646 L648 L650 L652 L654 L656 L658 L660 L662 L664 L666 L668 L670 L672 L674 L676 L678 L680 L682 L684 L686 L688 L690 L692 L694 L696 L698 L700 L702 L704 L706 L708 L710 L712 L714 L716 L718 L720 L722 L724 L726 L728 L730 L732 L734 L736 L738 L740 L742 L744 L746 L748 L750 L752 L754 L756 L758 L760 L762 L764 L766 L768 L770 L772 L774 L776 L778 L780 L782 L784 L786 L788 L790 L792 L794 L796 L798 L800 L802 L804 L806 L808 L810 L812 L814 L816 L818 L820 L822 L824 L826 L828 L830 L832 L834 L836 L838 L840 L842 L844 L846 L848 L850 L852 L854 L856 L858 L860 L862 L864 L866 L868 L870 L872 L874 L876 L878 L880 L882 L884 L886 L888 L890 L892 L894 L896 L898 L900 L902 L904 L906 L908 L910 L912 L914 L916 L918 L920 L922 L924 L926 L928 L930 L932 L934 L936 L938 L940 L942 L944 L946 L948 L950 L952 L954 L956 L958 L960 L962 L964 L966 L968 L970 L972 L974 L976 L978 L980 L982 L984 L986 L988 L990 L992 L994 L996 L998 L1000 L1002 L1004 L1006 L1008 L1010 L1012 L1014 L1016 L1018 L1020 L1022 L1024 L1026 L1028 L1030 L1032 L1034 L1036 L1038 L1040 L1042 L1044 L1046 L1048 L1050 L1052 L1054 L1056 L1058 L1060 L1062 L1064 L1066 L1068 L1070 L1072 L1074 L1076 L1078 L1080 L1082 L1084 L1086 L1088 L1090 L1092 L1094 L1096 L1098 L1100 L1102 L1104 L1106 L1108 L1110 L1112 L1114 L1116 L1118 L1120 L1122 L1124 L1126 L1128 L1130 L1132 L1134 L1136 L1138 L1140 L1142 L1144 L1146 L1148 L1150 L1152 L1154 L1156 L1158 L1160 L1162 L1164 L1166 L1168 L1170 L1172 L1174 L1176 L1178 L1180 L1182 L1184 L1186 L1188 L1190 L1192 L1194 L1196 L1198 L1200 L1202 L1204 L1206 L1208 L1210 L1212 L1214 L1216 L1218 L1220 L1222 L1224 L1226 L1228 L1230 L1232 L1234 L1236 L1238 L1240 L1242 L1244 L1246 L1248 L1250 L1252 L1254 L1256 L1258 L1260 L1262 L1264 L1266 L1268 L1270 L1272 L1274 L1276 L1278 L1280 L1282 L1284 L1286 L1288 L1290 L1292 L1294 L1296 L1298 L1300 L1302 L1304 L1306 L1308 L1310 L1312 L1314 L1316 L1318 L1320 L1322 L1324 L1326 L1328 L1330 L1332 L1334 L1336 L1338 L1340 L1342 L1344 L1346 L1348 L1350 L1352 L1354 L1356 L1358 L1360 L1362 L1364 L1366 L1368 L1370 L1372 L1374 L1376 L1378 L1380 L1382 L1384 L1386 L1388 L1390 L1392 L1394 L1396 L1398 L1400 L1402 L1404 L1406 L1408 L1410 L1412 L1414 L1416 L1418 L1420 L1422 L1424 L1426 L1428 L1430 L1432 L1434 L1436 L1438 L1440 L1442 L1444 L1446 L1448 L1450 L1452 L1454 L1456 L1458 L1460 L1462 L1464 L1466 L1468 L1470 L1472 L1474 L1476 L1478 L1480 L1482 L1484 L1486 L1488 L1490 L1492 L1494 L1496 L1498 L1500 L1502 L1504 L1506 L1508 L1510 L1512 L1514 L1516 L1518 L1520 L1522 L1524 L1526 L1528 L1530 L1532 L1534 L1536 L1538 L1540 L1542 L1544 L1546 L1548 L1550 L1552 L1554 L1556 L1558 L1560 L1562 L1564 L1566 L1568 L1570 L1572 L1574 L1576 L1578 L1580 L1582 L1584 L1586 L1588 L1590 L1592 L1594 L1596 L1598 L1600 L1602 L1604 L1606 L1608 L1610 L1612 L1614 L1616 L1618 L1620 L1622 L1624 L1626 L1628 L1630 L1632 L1634 L1636 L1638 L1640 L1642 L1644 L1646">
    <cfRule type="expression" dxfId="207" priority="211">
      <formula>$D621=""</formula>
    </cfRule>
  </conditionalFormatting>
  <conditionalFormatting sqref="M622 M624 M626 M628 M630 M632 M634 M636 M638 M640 M642 M644 M646 M648 M650 M652 M654 M656 M658 M660 M662 M664 M666 M668 M670 M672 M674 M676 M678 M680 M682 M684 M686 M688 M690 M692 M694 M696 M698 M700 M702 M704 M706 M708 M710 M712 M714 M716 M718 M720 M722 M724 M726 M728 M730 M732 M734 M736 M738 M740 M742 M744 M746 M748 M750 M752 M754 M756 M758 M760 M762 M764 M766 M768 M770 M772 M774 M776 M778 M780 M782 M784 M786 M788 M790 M792 M794 M796 M798 M800 M802 M804 M806 M808 M810 M812 M814 M816 M818 M820 M822 M824 M826 M828 M830 M832 M834 M836 M838 M840 M842 M844 M846 M848 M850 M852 M854 M856 M858 M860 M862 M864 M866 M868 M870 M872 M874 M876 M878 M880 M882 M884 M886 M888 M890 M892 M894 M896 M898 M900 M902 M904 M906 M908 M910 M912 M914 M916 M918 M920 M922 M924 M926 M928 M930 M932 M934 M936 M938 M940 M942 M944 M946 M948 M950 M952 M954 M956 M958 M960 M962 M964 M966 M968 M970 M972 M974 M976 M978 M980 M982 M984 M986 M988 M990 M992 M994 M996 M998 M1000 M1002 M1004 M1006 M1008 M1010 M1012 M1014 M1016 M1018 M1020 M1022 M1024 M1026 M1028 M1030 M1032 M1034 M1036 M1038 M1040 M1042 M1044 M1046 M1048 M1050 M1052 M1054 M1056 M1058 M1060 M1062 M1064 M1066 M1068 M1070 M1072 M1074 M1076 M1078 M1080 M1082 M1084 M1086 M1088 M1090 M1092 M1094 M1096 M1098 M1100 M1102 M1104 M1106 M1108 M1110 M1112 M1114 M1116 M1118 M1120 M1122 M1124 M1126 M1128 M1130 M1132 M1134 M1136 M1138 M1140 M1142 M1144 M1146 M1148 M1150 M1152 M1154 M1156 M1158 M1160 M1162 M1164 M1166 M1168 M1170 M1172 M1174 M1176 M1178 M1180 M1182 M1184 M1186 M1188 M1190 M1192 M1194 M1196 M1198 M1200 M1202 M1204 M1206 M1208 M1210 M1212 M1214 M1216 M1218 M1220 M1222 M1224 M1226 M1228 M1230 M1232 M1234 M1236 M1238 M1240 M1242 M1244 M1246 M1248 M1250 M1252 M1254 M1256 M1258 M1260 M1262 M1264 M1266 M1268 M1270 M1272 M1274 M1276 M1278 M1280 M1282 M1284 M1286 M1288 M1290 M1292 M1294 M1296 M1298 M1300 M1302 M1304 M1306 M1308 M1310 M1312 M1314 M1316 M1318 M1320 M1322 M1324 M1326 M1328 M1330 M1332 M1334 M1336 M1338 M1340 M1342 M1344 M1346 M1348 M1350 M1352 M1354 M1356 M1358 M1360 M1362 M1364 M1366 M1368 M1370 M1372 M1374 M1376 M1378 M1380 M1382 M1384 M1386 M1388 M1390 M1392 M1394 M1396 M1398 M1400 M1402 M1404 M1406 M1408 M1410 M1412 M1414 M1416 M1418 M1420 M1422 M1424 M1426 M1428 M1430 M1432 M1434 M1436 M1438 M1440 M1442 M1444 M1446 M1448 M1450 M1452 M1454 M1456 M1458 M1460 M1462 M1464 M1466 M1468 M1470 M1472 M1474 M1476 M1478 M1480 M1482 M1484 M1486 M1488 M1490 M1492 M1494 M1496 M1498 M1500 M1502 M1504 M1506 M1508 M1510 M1512 M1514 M1516 M1518 M1520 M1522 M1524 M1526 M1528 M1530 M1532 M1534 M1536 M1538 M1540 M1542 M1544 M1546 M1548 M1550 M1552 M1554 M1556 M1558 M1560 M1562 M1564 M1566 M1568 M1570 M1572 M1574 M1576 M1578 M1580 M1582 M1584 M1586 M1588 M1590 M1592 M1594 M1596 M1598 M1600 M1602 M1604 M1606 M1608 M1610 M1612 M1614 M1616 M1618 M1620 M1622 M1624 M1626 M1628 M1630 M1632 M1634 M1636 M1638 M1640 M1642 M1644 M1646">
    <cfRule type="expression" dxfId="206" priority="209">
      <formula>$D621=""</formula>
    </cfRule>
  </conditionalFormatting>
  <conditionalFormatting sqref="N622 N624 N626 N628 N630 N632 N634 N636 N638 N640 N642 N644 N646 N648 N650 N652 N654 N656 N658 N660 N662 N664 N666 N668 N670 N672 N674 N676 N678 N680 N682 N684 N686 N688 N690 N692 N694 N696 N698 N700 N702 N704 N706 N708 N710 N712 N714 N716 N718 N720 N722 N724 N726 N728 N730 N732 N734 N736 N738 N740 N742 N744 N746 N748 N750 N752 N754 N756 N758 N760 N762 N764 N766 N768 N770 N772 N774 N776 N778 N780 N782 N784 N786 N788 N790 N792 N794 N796 N798 N800 N802 N804 N806 N808 N810 N812 N814 N816 N818 N820 N822 N824 N826 N828 N830 N832 N834 N836 N838 N840 N842 N844 N846 N848 N850 N852 N854 N856 N858 N860 N862 N864 N866 N868 N870 N872 N874 N876 N878 N880 N882 N884 N886 N888 N890 N892 N894 N896 N898 N900 N902 N904 N906 N908 N910 N912 N914 N916 N918 N920 N922 N924 N926 N928 N930 N932 N934 N936 N938 N940 N942 N944 N946 N948 N950 N952 N954 N956 N958 N960 N962 N964 N966 N968 N970 N972 N974 N976 N978 N980 N982 N984 N986 N988 N990 N992 N994 N996 N998 N1000 N1002 N1004 N1006 N1008 N1010 N1012 N1014 N1016 N1018 N1020 N1022 N1024 N1026 N1028 N1030 N1032 N1034 N1036 N1038 N1040 N1042 N1044 N1046 N1048 N1050 N1052 N1054 N1056 N1058 N1060 N1062 N1064 N1066 N1068 N1070 N1072 N1074 N1076 N1078 N1080 N1082 N1084 N1086 N1088 N1090 N1092 N1094 N1096 N1098 N1100 N1102 N1104 N1106 N1108 N1110 N1112 N1114 N1116 N1118 N1120 N1122 N1124 N1126 N1128 N1130 N1132 N1134 N1136 N1138 N1140 N1142 N1144 N1146 N1148 N1150 N1152 N1154 N1156 N1158 N1160 N1162 N1164 N1166 N1168 N1170 N1172 N1174 N1176 N1178 N1180 N1182 N1184 N1186 N1188 N1190 N1192 N1194 N1196 N1198 N1200 N1202 N1204 N1206 N1208 N1210 N1212 N1214 N1216 N1218 N1220 N1222 N1224 N1226 N1228 N1230 N1232 N1234 N1236 N1238 N1240 N1242 N1244 N1246 N1248 N1250 N1252 N1254 N1256 N1258 N1260 N1262 N1264 N1266 N1268 N1270 N1272 N1274 N1276 N1278 N1280 N1282 N1284 N1286 N1288 N1290 N1292 N1294 N1296 N1298 N1300 N1302 N1304 N1306 N1308 N1310 N1312 N1314 N1316 N1318 N1320 N1322 N1324 N1326 N1328 N1330 N1332 N1334 N1336 N1338 N1340 N1342 N1344 N1346 N1348 N1350 N1352 N1354 N1356 N1358 N1360 N1362 N1364 N1366 N1368 N1370 N1372 N1374 N1376 N1378 N1380 N1382 N1384 N1386 N1388 N1390 N1392 N1394 N1396 N1398 N1400 N1402 N1404 N1406 N1408 N1410 N1412 N1414 N1416 N1418 N1420 N1422 N1424 N1426 N1428 N1430 N1432 N1434 N1436 N1438 N1440 N1442 N1444 N1446 N1448 N1450 N1452 N1454 N1456 N1458 N1460 N1462 N1464 N1466 N1468 N1470 N1472 N1474 N1476 N1478 N1480 N1482 N1484 N1486 N1488 N1490 N1492 N1494 N1496 N1498 N1500 N1502 N1504 N1506 N1508 N1510 N1512 N1514 N1516 N1518 N1520 N1522 N1524 N1526 N1528 N1530 N1532 N1534 N1536 N1538 N1540 N1542 N1544 N1546 N1548 N1550 N1552 N1554 N1556 N1558 N1560 N1562 N1564 N1566 N1568 N1570 N1572 N1574 N1576 N1578 N1580 N1582 N1584 N1586 N1588 N1590 N1592 N1594 N1596 N1598 N1600 N1602 N1604 N1606 N1608 N1610 N1612 N1614 N1616 N1618 N1620 N1622 N1624 N1626 N1628 N1630 N1632 N1634 N1636 N1638 N1640 N1642 N1644 N1646">
    <cfRule type="expression" dxfId="205" priority="207">
      <formula>$D621=""</formula>
    </cfRule>
  </conditionalFormatting>
  <conditionalFormatting sqref="B623 B625 B627 B629 B631 B633 B635 B637 B639 B641 B643 B645 B647 B649 B651 B653 B655 B657 B659 B661 B663 B665 B667 B669 B671 B673 B675 B677 B679 B681 B683 B685 B687 B689 B691 B693 B695 B697 B699 B701 B703 B705 B707 B709 B711 B713 B715 B717 B719 B721 B723 B725 B727 B729 B731 B733 B735 B737 B739 B741 B743 B745 B747 B749 B751 B753 B755 B757 B759 B761 B763 B765 B767 B769 B771 B773 B775 B777 B779 B781 B783 B785 B787 B789 B791 B793 B795 B797 B799 B801 B803 B805 B807 B809 B811 B813 B815 B817 B819 B821 B823 B825 B827 B829 B831 B833 B835 B837 B839 B841 B843 B845 B847 B849 B851 B853 B855 B857 B859 B861 B863 B865 B867 B869 B871 B873 B875 B877 B879 B881 B883 B885 B887 B889 B891 B893 B895 B897 B899 B901 B903 B905 B907 B909 B911 B913 B915 B917 B919 B921 B923 B925 B927 B929 B931 B933 B935 B937 B939 B941 B943 B945 B947 B949 B951 B953 B955 B957 B959 B961 B963 B965 B967 B969 B971 B973 B975 B977 B979 B981 B983 B985 B987 B989 B991 B993 B995 B997 B999 B1001 B1003 B1005 B1007 B1009 B1011 B1013 B1015 B1017 B1019 B1021 B1023 B1025 B1027 B1029 B1031 B1033 B1035 B1037 B1039 B1041 B1043 B1045 B1047 B1049 B1051 B1053 B1055 B1057 B1059 B1061 B1063 B1065 B1067 B1069 B1071 B1073 B1075 B1077 B1079 B1081 B1083 B1085 B1087 B1089 B1091 B1093 B1095 B1097 B1099 B1101 B1103 B1105 B1107 B1109 B1111 B1113 B1115 B1117 B1119 B1121 B1123 B1125 B1127 B1129 B1131 B1133 B1135 B1137 B1139 B1141 B1143 B1145 B1147 B1149 B1151 B1153 B1155 B1157 B1159 B1161 B1163 B1165 B1167 B1169 B1171 B1173 B1175 B1177 B1179 B1181 B1183 B1185 B1187 B1189 B1191 B1193 B1195 B1197 B1199 B1201 B1203 B1205 B1207 B1209 B1211 B1213 B1215 B1217 B1219 B1221 B1223 B1225 B1227 B1229 B1231 B1233 B1235 B1237 B1239 B1241 B1243 B1245 B1247 B1249 B1251 B1253 B1255 B1257 B1259 B1261 B1263 B1265 B1267 B1269 B1271 B1273 B1275 B1277 B1279 B1281 B1283 B1285 B1287 B1289 B1291 B1293 B1295 B1297 B1299 B1301 B1303 B1305 B1307 B1309 B1311 B1313 B1315 B1317 B1319 B1321 B1323 B1325 B1327 B1329 B1331 B1333 B1335 B1337 B1339 B1341 B1343 B1345 B1347 B1349 B1351 B1353 B1355 B1357 B1359 B1361 B1363 B1365 B1367 B1369 B1371 B1373 B1375 B1377 B1379 B1381 B1383 B1385 B1387 B1389 B1391 B1393 B1395 B1397 B1399 B1401 B1403 B1405 B1407 B1409 B1411 B1413 B1415 B1417 B1419 B1421 B1423 B1425 B1427 B1429 B1431 B1433 B1435 B1437 B1439 B1441 B1443 B1445 B1447 B1449 B1451 B1453 B1455 B1457 B1459 B1461 B1463 B1465 B1467 B1469 B1471 B1473 B1475 B1477 B1479 B1481 B1483 B1485 B1487 B1489 B1491 B1493 B1495 B1497 B1499 B1501 B1503 B1505 B1507 B1509 B1511 B1513 B1515 B1517 B1519 B1521 B1523 B1525 B1527 B1529 B1531 B1533 B1535 B1537 B1539 B1541 B1543 B1545 B1547 B1549 B1551 B1553 B1555 B1557 B1559 B1561 B1563 B1565 B1567 B1569 B1571 B1573 B1575 B1577 B1579 B1581 B1583 B1585 B1587 B1589 B1591 B1593 B1595 B1597 B1599 B1601 B1603 B1605 B1607 B1609 B1611 B1613 B1615 B1617 B1619 B1621 B1623 B1625 B1627 B1629 B1631 B1633 B1635 B1637 B1639 B1641 B1643 B1645 B1647">
    <cfRule type="expression" dxfId="204" priority="177">
      <formula>$D623=""</formula>
    </cfRule>
  </conditionalFormatting>
  <conditionalFormatting sqref="G901 G903 G905 G907 G909 G911 G913 G915">
    <cfRule type="expression" priority="165">
      <formula>ROW() - 2 &gt; SUMPRODUCT(MAX(($B891:$B902&lt;&gt;"")*(ROW($B891:G902))))</formula>
    </cfRule>
  </conditionalFormatting>
  <conditionalFormatting sqref="H901 H903 H905 H907 H909 H911 H913 H915">
    <cfRule type="expression" priority="164">
      <formula>ROW() - 2 &gt; SUMPRODUCT(MAX(($B891:$B902&lt;&gt;"")*(ROW($B891:H902))))</formula>
    </cfRule>
  </conditionalFormatting>
  <conditionalFormatting sqref="F901:H901 F903:H903 F905:H905 F907:H907 F909:H909 F911:H911 F913:H913 F915:H915">
    <cfRule type="expression" dxfId="203" priority="162">
      <formula>$D901=""</formula>
    </cfRule>
  </conditionalFormatting>
  <conditionalFormatting sqref="G902:H902 G904:H904 G906:H906 G908:H908 G910:H910 G912:H912 G914:H914 G916:H916">
    <cfRule type="expression" dxfId="202" priority="163">
      <formula>$D901=""</formula>
    </cfRule>
  </conditionalFormatting>
  <conditionalFormatting sqref="F901:H901 F903:H903 F905:H905 F907:H907 F909:H909 F911:H911 F913:H913 F915:H915">
    <cfRule type="expression" dxfId="201" priority="161">
      <formula>$D901=""</formula>
    </cfRule>
  </conditionalFormatting>
  <conditionalFormatting sqref="F902 F904 F906 F908 F910 F912 F914 F916">
    <cfRule type="expression" dxfId="200" priority="160">
      <formula>$D901=""</formula>
    </cfRule>
  </conditionalFormatting>
  <conditionalFormatting sqref="G1021 G1023 G1025 G1027">
    <cfRule type="expression" priority="159">
      <formula>ROW() - 2 &gt; SUMPRODUCT(MAX(($B1011:$B1022&lt;&gt;"")*(ROW($B1011:G1022))))</formula>
    </cfRule>
  </conditionalFormatting>
  <conditionalFormatting sqref="H1021">
    <cfRule type="expression" priority="158">
      <formula>ROW() - 2 &gt; SUMPRODUCT(MAX(($B1011:$B1022&lt;&gt;"")*(ROW($B1011:H1022))))</formula>
    </cfRule>
  </conditionalFormatting>
  <conditionalFormatting sqref="I1021 I1023 I1025 I1027">
    <cfRule type="expression" priority="157">
      <formula>ROW() - 2 &gt; SUMPRODUCT(MAX(($B1011:$B1022&lt;&gt;"")*(ROW($B1011:I1022))))</formula>
    </cfRule>
  </conditionalFormatting>
  <conditionalFormatting sqref="F1021:I1021 F1023:G1023 F1025:G1025 F1027:G1027 I1027 I1025 I1023">
    <cfRule type="expression" dxfId="199" priority="155">
      <formula>$D1021=""</formula>
    </cfRule>
  </conditionalFormatting>
  <conditionalFormatting sqref="G1022:I1022 G1024 G1026 G1028 I1028 I1026 I1024">
    <cfRule type="expression" dxfId="198" priority="156">
      <formula>$D1021=""</formula>
    </cfRule>
  </conditionalFormatting>
  <conditionalFormatting sqref="F1021:I1021 F1023:G1023 F1025:G1025 F1027:G1027 I1027 I1025 I1023">
    <cfRule type="expression" dxfId="197" priority="154">
      <formula>$D1021=""</formula>
    </cfRule>
  </conditionalFormatting>
  <conditionalFormatting sqref="F1022 F1024 F1026 F1028">
    <cfRule type="expression" dxfId="196" priority="153">
      <formula>$D1021=""</formula>
    </cfRule>
  </conditionalFormatting>
  <conditionalFormatting sqref="H1023 H1025 H1027">
    <cfRule type="expression" priority="152">
      <formula>ROW() - 2 &gt; SUMPRODUCT(MAX(($B1013:$B1024&lt;&gt;"")*(ROW($B1013:H1024))))</formula>
    </cfRule>
  </conditionalFormatting>
  <conditionalFormatting sqref="H1023 H1025 H1027">
    <cfRule type="expression" dxfId="195" priority="150">
      <formula>$D1023=""</formula>
    </cfRule>
  </conditionalFormatting>
  <conditionalFormatting sqref="H1024 H1026 H1028">
    <cfRule type="expression" dxfId="194" priority="151">
      <formula>$D1023=""</formula>
    </cfRule>
  </conditionalFormatting>
  <conditionalFormatting sqref="H1023 H1025 H1027">
    <cfRule type="expression" dxfId="193" priority="149">
      <formula>$D1023=""</formula>
    </cfRule>
  </conditionalFormatting>
  <conditionalFormatting sqref="G1061 G1063 G1065 G1067 G1069 G1071">
    <cfRule type="expression" priority="148">
      <formula>ROW() - 2 &gt; SUMPRODUCT(MAX(($B1051:$B1062&lt;&gt;"")*(ROW($B1051:G1062))))</formula>
    </cfRule>
  </conditionalFormatting>
  <conditionalFormatting sqref="H1061 H1063 H1065 H1067 H1069 H1071">
    <cfRule type="expression" priority="147">
      <formula>ROW() - 2 &gt; SUMPRODUCT(MAX(($B1051:$B1062&lt;&gt;"")*(ROW($B1051:H1062))))</formula>
    </cfRule>
  </conditionalFormatting>
  <conditionalFormatting sqref="I1061 I1063 I1065 I1067 I1069 I1071">
    <cfRule type="expression" priority="146">
      <formula>ROW() - 2 &gt; SUMPRODUCT(MAX(($B1051:$B1062&lt;&gt;"")*(ROW($B1051:I1062))))</formula>
    </cfRule>
  </conditionalFormatting>
  <conditionalFormatting sqref="F1061:I1061 F1063:I1063 F1065:I1065 F1067:I1067 F1069:I1069 F1071:I1071">
    <cfRule type="expression" dxfId="192" priority="144">
      <formula>$D1061=""</formula>
    </cfRule>
  </conditionalFormatting>
  <conditionalFormatting sqref="G1062:I1062 G1064:I1064 G1066:I1066 G1068:I1068 G1070:I1070 G1072:I1072">
    <cfRule type="expression" dxfId="191" priority="145">
      <formula>$D1061=""</formula>
    </cfRule>
  </conditionalFormatting>
  <conditionalFormatting sqref="F1061:I1061 F1063:I1063 F1065:I1065 F1067:I1067 F1069:I1069 F1071:I1071">
    <cfRule type="expression" dxfId="190" priority="143">
      <formula>$D1061=""</formula>
    </cfRule>
  </conditionalFormatting>
  <conditionalFormatting sqref="F1062 F1064 F1066 F1068 F1070 F1072">
    <cfRule type="expression" dxfId="189" priority="142">
      <formula>$D1061=""</formula>
    </cfRule>
  </conditionalFormatting>
  <conditionalFormatting sqref="I12">
    <cfRule type="expression" dxfId="188" priority="131">
      <formula>$D12=""</formula>
    </cfRule>
    <cfRule type="expression" dxfId="187" priority="132">
      <formula>$D12=""</formula>
    </cfRule>
    <cfRule type="expression" priority="134">
      <formula>ROW()-2&gt;SUMPRODUCT(MAX(($B3:$B13&lt;&gt;"")*(ROW($B3:I13))))</formula>
    </cfRule>
  </conditionalFormatting>
  <conditionalFormatting sqref="I13">
    <cfRule type="expression" dxfId="186" priority="133">
      <formula>$D12=""</formula>
    </cfRule>
  </conditionalFormatting>
  <conditionalFormatting sqref="F10:J10 F12:H12">
    <cfRule type="expression" dxfId="185" priority="136">
      <formula>$D10=""</formula>
    </cfRule>
  </conditionalFormatting>
  <conditionalFormatting sqref="F10:I10 F12:H12">
    <cfRule type="expression" dxfId="184" priority="137">
      <formula>$D10=""</formula>
    </cfRule>
  </conditionalFormatting>
  <conditionalFormatting sqref="G10 G12">
    <cfRule type="expression" priority="141">
      <formula>ROW()-2&gt;SUMPRODUCT(MAX(($B1:$B11&lt;&gt;"")*(ROW($B1:G11))))</formula>
    </cfRule>
  </conditionalFormatting>
  <conditionalFormatting sqref="H10 H12">
    <cfRule type="expression" priority="140">
      <formula>ROW()-2&gt;SUMPRODUCT(MAX(($B1:$B11&lt;&gt;"")*(ROW($B1:H11))))</formula>
    </cfRule>
  </conditionalFormatting>
  <conditionalFormatting sqref="I10">
    <cfRule type="expression" priority="139">
      <formula>ROW()-2&gt;SUMPRODUCT(MAX(($B1:$B11&lt;&gt;"")*(ROW($B1:I11))))</formula>
    </cfRule>
  </conditionalFormatting>
  <conditionalFormatting sqref="F11 F13">
    <cfRule type="expression" dxfId="183" priority="135">
      <formula>$D10=""</formula>
    </cfRule>
  </conditionalFormatting>
  <conditionalFormatting sqref="G11:I11 G13:H13">
    <cfRule type="expression" dxfId="182" priority="138">
      <formula>$D10=""</formula>
    </cfRule>
  </conditionalFormatting>
  <conditionalFormatting sqref="F30:H30 F32:H32 J30">
    <cfRule type="expression" dxfId="181" priority="125">
      <formula>$D30=""</formula>
    </cfRule>
  </conditionalFormatting>
  <conditionalFormatting sqref="F30:H30 F32:H32">
    <cfRule type="expression" dxfId="180" priority="126">
      <formula>$D30=""</formula>
    </cfRule>
  </conditionalFormatting>
  <conditionalFormatting sqref="G30 G32">
    <cfRule type="expression" priority="129">
      <formula>ROW()-2&gt;SUMPRODUCT(MAX(($B21:$B31&lt;&gt;"")*(ROW($B21:G31))))</formula>
    </cfRule>
  </conditionalFormatting>
  <conditionalFormatting sqref="H30 H32">
    <cfRule type="expression" priority="128">
      <formula>ROW()-2&gt;SUMPRODUCT(MAX(($B21:$B31&lt;&gt;"")*(ROW($B21:H31))))</formula>
    </cfRule>
  </conditionalFormatting>
  <conditionalFormatting sqref="F31 F33">
    <cfRule type="expression" dxfId="179" priority="124">
      <formula>$D30=""</formula>
    </cfRule>
  </conditionalFormatting>
  <conditionalFormatting sqref="G31:H31 G33:H33">
    <cfRule type="expression" dxfId="178" priority="127">
      <formula>$D30=""</formula>
    </cfRule>
  </conditionalFormatting>
  <conditionalFormatting sqref="I30">
    <cfRule type="expression" dxfId="177" priority="120">
      <formula>$D30=""</formula>
    </cfRule>
    <cfRule type="expression" dxfId="176" priority="121">
      <formula>$D30=""</formula>
    </cfRule>
    <cfRule type="expression" priority="123">
      <formula>ROW()-2&gt;SUMPRODUCT(MAX(($B21:$B31&lt;&gt;"")*(ROW($B21:I31))))</formula>
    </cfRule>
  </conditionalFormatting>
  <conditionalFormatting sqref="I31">
    <cfRule type="expression" dxfId="175" priority="122">
      <formula>$D30=""</formula>
    </cfRule>
  </conditionalFormatting>
  <conditionalFormatting sqref="I32">
    <cfRule type="expression" dxfId="174" priority="116">
      <formula>$D32=""</formula>
    </cfRule>
    <cfRule type="expression" dxfId="173" priority="117">
      <formula>$D32=""</formula>
    </cfRule>
    <cfRule type="expression" priority="119">
      <formula>ROW()-2&gt;SUMPRODUCT(MAX(($B23:$B33&lt;&gt;"")*(ROW($B23:I33))))</formula>
    </cfRule>
  </conditionalFormatting>
  <conditionalFormatting sqref="I33">
    <cfRule type="expression" dxfId="172" priority="118">
      <formula>$D32=""</formula>
    </cfRule>
  </conditionalFormatting>
  <conditionalFormatting sqref="F316:J316 F318:J318 F320:H320 F322:J322 F324:J324 F326:J326 F328:J328 F330:J330 J320">
    <cfRule type="expression" dxfId="171" priority="110">
      <formula>$D316=""</formula>
    </cfRule>
  </conditionalFormatting>
  <conditionalFormatting sqref="F316:I316 F318:I318 F320:H320 F322:I322 F324:I324 F326:I326 F328:I328 F330:I330">
    <cfRule type="expression" dxfId="170" priority="111">
      <formula>$D316=""</formula>
    </cfRule>
  </conditionalFormatting>
  <conditionalFormatting sqref="G316 G318 G320 G322 G324 G326 G328 G330">
    <cfRule type="expression" priority="115">
      <formula>ROW()-2&gt;SUMPRODUCT(MAX(($B307:$B317&lt;&gt;"")*(ROW($B307:G317))))</formula>
    </cfRule>
  </conditionalFormatting>
  <conditionalFormatting sqref="H316 H318 H320 H322 H324 H326 H328 H330">
    <cfRule type="expression" priority="114">
      <formula>ROW()-2&gt;SUMPRODUCT(MAX(($B307:$B317&lt;&gt;"")*(ROW($B307:H317))))</formula>
    </cfRule>
  </conditionalFormatting>
  <conditionalFormatting sqref="I316 I318 I322 I324 I326 I328 I330">
    <cfRule type="expression" priority="113">
      <formula>ROW()-2&gt;SUMPRODUCT(MAX(($B307:$B317&lt;&gt;"")*(ROW($B307:I317))))</formula>
    </cfRule>
  </conditionalFormatting>
  <conditionalFormatting sqref="F317 F319 F321 F323 F325 F327 F329 F331">
    <cfRule type="expression" dxfId="169" priority="109">
      <formula>$D316=""</formula>
    </cfRule>
  </conditionalFormatting>
  <conditionalFormatting sqref="G317:I317 G319:I319 G321:H321 G323:I323 G325:I325 G327:I327 G329:I329 G331:I331">
    <cfRule type="expression" dxfId="168" priority="112">
      <formula>$D316=""</formula>
    </cfRule>
  </conditionalFormatting>
  <conditionalFormatting sqref="I320">
    <cfRule type="expression" dxfId="167" priority="105">
      <formula>$D320=""</formula>
    </cfRule>
  </conditionalFormatting>
  <conditionalFormatting sqref="I320">
    <cfRule type="expression" dxfId="166" priority="106">
      <formula>$D320=""</formula>
    </cfRule>
  </conditionalFormatting>
  <conditionalFormatting sqref="I320">
    <cfRule type="expression" priority="108">
      <formula>ROW()-2&gt;SUMPRODUCT(MAX(($B311:$B321&lt;&gt;"")*(ROW($B311:I321))))</formula>
    </cfRule>
  </conditionalFormatting>
  <conditionalFormatting sqref="I321">
    <cfRule type="expression" dxfId="165" priority="107">
      <formula>$D320=""</formula>
    </cfRule>
  </conditionalFormatting>
  <conditionalFormatting sqref="F336:H336 F338:H338 J336 J338">
    <cfRule type="expression" dxfId="164" priority="100">
      <formula>$D336=""</formula>
    </cfRule>
  </conditionalFormatting>
  <conditionalFormatting sqref="F336:H336 F338:H338">
    <cfRule type="expression" dxfId="163" priority="101">
      <formula>$D336=""</formula>
    </cfRule>
  </conditionalFormatting>
  <conditionalFormatting sqref="G336 G338">
    <cfRule type="expression" priority="104">
      <formula>ROW()-2&gt;SUMPRODUCT(MAX(($B327:$B337&lt;&gt;"")*(ROW($B327:G337))))</formula>
    </cfRule>
  </conditionalFormatting>
  <conditionalFormatting sqref="H336 H338">
    <cfRule type="expression" priority="103">
      <formula>ROW()-2&gt;SUMPRODUCT(MAX(($B327:$B337&lt;&gt;"")*(ROW($B327:H337))))</formula>
    </cfRule>
  </conditionalFormatting>
  <conditionalFormatting sqref="F337 F339">
    <cfRule type="expression" dxfId="162" priority="99">
      <formula>$D336=""</formula>
    </cfRule>
  </conditionalFormatting>
  <conditionalFormatting sqref="G337:H337 G339:H339">
    <cfRule type="expression" dxfId="161" priority="102">
      <formula>$D336=""</formula>
    </cfRule>
  </conditionalFormatting>
  <conditionalFormatting sqref="I336">
    <cfRule type="expression" dxfId="160" priority="95">
      <formula>$D336=""</formula>
    </cfRule>
    <cfRule type="expression" dxfId="159" priority="96">
      <formula>$D336=""</formula>
    </cfRule>
    <cfRule type="expression" priority="98">
      <formula>ROW()-2&gt;SUMPRODUCT(MAX(($B327:$B337&lt;&gt;"")*(ROW($B327:I337))))</formula>
    </cfRule>
  </conditionalFormatting>
  <conditionalFormatting sqref="I337">
    <cfRule type="expression" dxfId="158" priority="97">
      <formula>$D336=""</formula>
    </cfRule>
  </conditionalFormatting>
  <conditionalFormatting sqref="I338">
    <cfRule type="expression" dxfId="157" priority="91">
      <formula>$D338=""</formula>
    </cfRule>
    <cfRule type="expression" dxfId="156" priority="92">
      <formula>$D338=""</formula>
    </cfRule>
    <cfRule type="expression" priority="94">
      <formula>ROW()-2&gt;SUMPRODUCT(MAX(($B329:$B339&lt;&gt;"")*(ROW($B329:I339))))</formula>
    </cfRule>
  </conditionalFormatting>
  <conditionalFormatting sqref="I339">
    <cfRule type="expression" dxfId="155" priority="93">
      <formula>$D338=""</formula>
    </cfRule>
  </conditionalFormatting>
  <conditionalFormatting sqref="F356:H356 F358:H358 J356 J358">
    <cfRule type="expression" dxfId="154" priority="86">
      <formula>$D356=""</formula>
    </cfRule>
  </conditionalFormatting>
  <conditionalFormatting sqref="F356:H356 F358:H358">
    <cfRule type="expression" dxfId="153" priority="87">
      <formula>$D356=""</formula>
    </cfRule>
  </conditionalFormatting>
  <conditionalFormatting sqref="G356 G358">
    <cfRule type="expression" priority="90">
      <formula>ROW()-2&gt;SUMPRODUCT(MAX(($B347:$B357&lt;&gt;"")*(ROW($B347:G357))))</formula>
    </cfRule>
  </conditionalFormatting>
  <conditionalFormatting sqref="H356 H358">
    <cfRule type="expression" priority="89">
      <formula>ROW()-2&gt;SUMPRODUCT(MAX(($B347:$B357&lt;&gt;"")*(ROW($B347:H357))))</formula>
    </cfRule>
  </conditionalFormatting>
  <conditionalFormatting sqref="F357 F359">
    <cfRule type="expression" dxfId="152" priority="85">
      <formula>$D356=""</formula>
    </cfRule>
  </conditionalFormatting>
  <conditionalFormatting sqref="G357:H357 G359:H359">
    <cfRule type="expression" dxfId="151" priority="88">
      <formula>$D356=""</formula>
    </cfRule>
  </conditionalFormatting>
  <conditionalFormatting sqref="I356">
    <cfRule type="expression" dxfId="150" priority="81">
      <formula>$D356=""</formula>
    </cfRule>
    <cfRule type="expression" dxfId="149" priority="82">
      <formula>$D356=""</formula>
    </cfRule>
    <cfRule type="expression" priority="84">
      <formula>ROW()-2&gt;SUMPRODUCT(MAX(($B347:$B357&lt;&gt;"")*(ROW($B347:I357))))</formula>
    </cfRule>
  </conditionalFormatting>
  <conditionalFormatting sqref="I357">
    <cfRule type="expression" dxfId="148" priority="83">
      <formula>$D356=""</formula>
    </cfRule>
  </conditionalFormatting>
  <conditionalFormatting sqref="I358">
    <cfRule type="expression" dxfId="147" priority="77">
      <formula>$D358=""</formula>
    </cfRule>
    <cfRule type="expression" dxfId="146" priority="78">
      <formula>$D358=""</formula>
    </cfRule>
    <cfRule type="expression" priority="80">
      <formula>ROW()-2&gt;SUMPRODUCT(MAX(($B349:$B359&lt;&gt;"")*(ROW($B349:I359))))</formula>
    </cfRule>
  </conditionalFormatting>
  <conditionalFormatting sqref="I359">
    <cfRule type="expression" dxfId="145" priority="79">
      <formula>$D358=""</formula>
    </cfRule>
  </conditionalFormatting>
  <conditionalFormatting sqref="F376:J376 F378:I378 F380:I380 F382:I382 F384:I384">
    <cfRule type="expression" dxfId="144" priority="71">
      <formula>$D376=""</formula>
    </cfRule>
  </conditionalFormatting>
  <conditionalFormatting sqref="F376:I376 F378:I378 F380:I380 F382:I382 F384:I384">
    <cfRule type="expression" dxfId="143" priority="72">
      <formula>$D376=""</formula>
    </cfRule>
  </conditionalFormatting>
  <conditionalFormatting sqref="G376 G378 G380 G382 G384">
    <cfRule type="expression" priority="76">
      <formula>ROW()-2&gt;SUMPRODUCT(MAX(($B367:$B377&lt;&gt;"")*(ROW($B367:G377))))</formula>
    </cfRule>
  </conditionalFormatting>
  <conditionalFormatting sqref="H376 H378 H380 H382 H384">
    <cfRule type="expression" priority="75">
      <formula>ROW()-2&gt;SUMPRODUCT(MAX(($B367:$B377&lt;&gt;"")*(ROW($B367:H377))))</formula>
    </cfRule>
  </conditionalFormatting>
  <conditionalFormatting sqref="I376 I378 I380 I382 I384">
    <cfRule type="expression" priority="74">
      <formula>ROW()-2&gt;SUMPRODUCT(MAX(($B367:$B377&lt;&gt;"")*(ROW($B367:I377))))</formula>
    </cfRule>
  </conditionalFormatting>
  <conditionalFormatting sqref="F377 F379 F381 F383 F385">
    <cfRule type="expression" dxfId="142" priority="70">
      <formula>$D376=""</formula>
    </cfRule>
  </conditionalFormatting>
  <conditionalFormatting sqref="G377:I377 G379:I379 G381:I381 G383:I383 G385:I385">
    <cfRule type="expression" dxfId="141" priority="73">
      <formula>$D376=""</formula>
    </cfRule>
  </conditionalFormatting>
  <conditionalFormatting sqref="J378">
    <cfRule type="expression" dxfId="140" priority="69">
      <formula>$D378=""</formula>
    </cfRule>
  </conditionalFormatting>
  <conditionalFormatting sqref="J380">
    <cfRule type="expression" dxfId="139" priority="68">
      <formula>$D380=""</formula>
    </cfRule>
  </conditionalFormatting>
  <conditionalFormatting sqref="J382">
    <cfRule type="expression" dxfId="138" priority="67">
      <formula>$D382=""</formula>
    </cfRule>
  </conditionalFormatting>
  <conditionalFormatting sqref="J384">
    <cfRule type="expression" dxfId="137" priority="66">
      <formula>$D384=""</formula>
    </cfRule>
  </conditionalFormatting>
  <conditionalFormatting sqref="F396:J396 F398:J398 F400:J400">
    <cfRule type="expression" dxfId="136" priority="60">
      <formula>$D396=""</formula>
    </cfRule>
  </conditionalFormatting>
  <conditionalFormatting sqref="F396:I396 F398:I398 F400:I400">
    <cfRule type="expression" dxfId="135" priority="61">
      <formula>$D396=""</formula>
    </cfRule>
  </conditionalFormatting>
  <conditionalFormatting sqref="G396 G398 G400">
    <cfRule type="expression" priority="65">
      <formula>ROW()-2&gt;SUMPRODUCT(MAX(($B387:$B397&lt;&gt;"")*(ROW($B387:G397))))</formula>
    </cfRule>
  </conditionalFormatting>
  <conditionalFormatting sqref="H396 H398 H400">
    <cfRule type="expression" priority="64">
      <formula>ROW()-2&gt;SUMPRODUCT(MAX(($B387:$B397&lt;&gt;"")*(ROW($B387:H397))))</formula>
    </cfRule>
  </conditionalFormatting>
  <conditionalFormatting sqref="I396 I398 I400">
    <cfRule type="expression" priority="63">
      <formula>ROW()-2&gt;SUMPRODUCT(MAX(($B387:$B397&lt;&gt;"")*(ROW($B387:I397))))</formula>
    </cfRule>
  </conditionalFormatting>
  <conditionalFormatting sqref="F397 F399 F401">
    <cfRule type="expression" dxfId="134" priority="59">
      <formula>$D396=""</formula>
    </cfRule>
  </conditionalFormatting>
  <conditionalFormatting sqref="G397:I397 G399:I399 G401:I401">
    <cfRule type="expression" dxfId="133" priority="62">
      <formula>$D396=""</formula>
    </cfRule>
  </conditionalFormatting>
  <conditionalFormatting sqref="F621:I621 F623:I623">
    <cfRule type="expression" dxfId="132" priority="54">
      <formula>$D621=""</formula>
    </cfRule>
  </conditionalFormatting>
  <conditionalFormatting sqref="G621 G623">
    <cfRule type="expression" priority="58">
      <formula>ROW()-2&gt;SUMPRODUCT(MAX(($B611:$B622&lt;&gt;"")*(ROW($B611:G622))))</formula>
    </cfRule>
  </conditionalFormatting>
  <conditionalFormatting sqref="H621 H623">
    <cfRule type="expression" priority="57">
      <formula>ROW()-2&gt;SUMPRODUCT(MAX(($B611:$B622&lt;&gt;"")*(ROW($B611:H622))))</formula>
    </cfRule>
  </conditionalFormatting>
  <conditionalFormatting sqref="I621 I623">
    <cfRule type="expression" priority="56">
      <formula>ROW()-2&gt;SUMPRODUCT(MAX(($B611:$B622&lt;&gt;"")*(ROW($B611:I622))))</formula>
    </cfRule>
  </conditionalFormatting>
  <conditionalFormatting sqref="F622 F624">
    <cfRule type="expression" dxfId="131" priority="53">
      <formula>$D621=""</formula>
    </cfRule>
  </conditionalFormatting>
  <conditionalFormatting sqref="G622:I622 G624:I624">
    <cfRule type="expression" dxfId="130" priority="55">
      <formula>$D621=""</formula>
    </cfRule>
  </conditionalFormatting>
  <conditionalFormatting sqref="F661:I661 F663:H663 F665:H665 F667:H667">
    <cfRule type="expression" dxfId="129" priority="48">
      <formula>$D661=""</formula>
    </cfRule>
  </conditionalFormatting>
  <conditionalFormatting sqref="G661 G663 G665 G667">
    <cfRule type="expression" priority="52">
      <formula>ROW()-2&gt;SUMPRODUCT(MAX(($B651:$B662&lt;&gt;"")*(ROW($B651:G662))))</formula>
    </cfRule>
  </conditionalFormatting>
  <conditionalFormatting sqref="H661 H663 H665 H667">
    <cfRule type="expression" priority="51">
      <formula>ROW()-2&gt;SUMPRODUCT(MAX(($B651:$B662&lt;&gt;"")*(ROW($B651:H662))))</formula>
    </cfRule>
  </conditionalFormatting>
  <conditionalFormatting sqref="I661">
    <cfRule type="expression" priority="50">
      <formula>ROW()-2&gt;SUMPRODUCT(MAX(($B651:$B662&lt;&gt;"")*(ROW($B651:I662))))</formula>
    </cfRule>
  </conditionalFormatting>
  <conditionalFormatting sqref="F662 F664 F666 F668">
    <cfRule type="expression" dxfId="128" priority="47">
      <formula>$D661=""</formula>
    </cfRule>
  </conditionalFormatting>
  <conditionalFormatting sqref="G662:I662 G664:H664 G666:H666 G668:H668">
    <cfRule type="expression" dxfId="127" priority="49">
      <formula>$D661=""</formula>
    </cfRule>
  </conditionalFormatting>
  <conditionalFormatting sqref="I663">
    <cfRule type="expression" dxfId="126" priority="44">
      <formula>$D663=""</formula>
    </cfRule>
  </conditionalFormatting>
  <conditionalFormatting sqref="I663">
    <cfRule type="expression" priority="46">
      <formula>ROW()-2&gt;SUMPRODUCT(MAX(($B653:$B664&lt;&gt;"")*(ROW($B653:I664))))</formula>
    </cfRule>
  </conditionalFormatting>
  <conditionalFormatting sqref="I664">
    <cfRule type="expression" dxfId="125" priority="45">
      <formula>$D663=""</formula>
    </cfRule>
  </conditionalFormatting>
  <conditionalFormatting sqref="I665">
    <cfRule type="expression" dxfId="124" priority="41">
      <formula>$D665=""</formula>
    </cfRule>
  </conditionalFormatting>
  <conditionalFormatting sqref="I665">
    <cfRule type="expression" priority="43">
      <formula>ROW()-2&gt;SUMPRODUCT(MAX(($B655:$B666&lt;&gt;"")*(ROW($B655:I666))))</formula>
    </cfRule>
  </conditionalFormatting>
  <conditionalFormatting sqref="I666">
    <cfRule type="expression" dxfId="123" priority="42">
      <formula>$D665=""</formula>
    </cfRule>
  </conditionalFormatting>
  <conditionalFormatting sqref="I667">
    <cfRule type="expression" dxfId="122" priority="38">
      <formula>$D667=""</formula>
    </cfRule>
  </conditionalFormatting>
  <conditionalFormatting sqref="I667">
    <cfRule type="expression" priority="40">
      <formula>ROW()-2&gt;SUMPRODUCT(MAX(($B657:$B668&lt;&gt;"")*(ROW($B657:I668))))</formula>
    </cfRule>
  </conditionalFormatting>
  <conditionalFormatting sqref="I668">
    <cfRule type="expression" dxfId="121" priority="39">
      <formula>$D667=""</formula>
    </cfRule>
  </conditionalFormatting>
  <conditionalFormatting sqref="F701:H701 F703:H703">
    <cfRule type="expression" dxfId="120" priority="34">
      <formula>$D701=""</formula>
    </cfRule>
  </conditionalFormatting>
  <conditionalFormatting sqref="G701 G703">
    <cfRule type="expression" priority="37">
      <formula>ROW()-2&gt;SUMPRODUCT(MAX(($B691:$B702&lt;&gt;"")*(ROW($B691:G702))))</formula>
    </cfRule>
  </conditionalFormatting>
  <conditionalFormatting sqref="H701 H703">
    <cfRule type="expression" priority="36">
      <formula>ROW()-2&gt;SUMPRODUCT(MAX(($B691:$B702&lt;&gt;"")*(ROW($B691:H702))))</formula>
    </cfRule>
  </conditionalFormatting>
  <conditionalFormatting sqref="F702 F704">
    <cfRule type="expression" dxfId="119" priority="33">
      <formula>$D701=""</formula>
    </cfRule>
  </conditionalFormatting>
  <conditionalFormatting sqref="G702:H702 G704:H704">
    <cfRule type="expression" dxfId="118" priority="35">
      <formula>$D701=""</formula>
    </cfRule>
  </conditionalFormatting>
  <conditionalFormatting sqref="I701">
    <cfRule type="expression" dxfId="117" priority="30">
      <formula>$D701=""</formula>
    </cfRule>
  </conditionalFormatting>
  <conditionalFormatting sqref="I701">
    <cfRule type="expression" priority="32">
      <formula>ROW()-2&gt;SUMPRODUCT(MAX(($B691:$B702&lt;&gt;"")*(ROW($B691:I702))))</formula>
    </cfRule>
  </conditionalFormatting>
  <conditionalFormatting sqref="I702">
    <cfRule type="expression" dxfId="116" priority="31">
      <formula>$D701=""</formula>
    </cfRule>
  </conditionalFormatting>
  <conditionalFormatting sqref="I703">
    <cfRule type="expression" dxfId="115" priority="27">
      <formula>$D703=""</formula>
    </cfRule>
  </conditionalFormatting>
  <conditionalFormatting sqref="I703">
    <cfRule type="expression" priority="29">
      <formula>ROW()-2&gt;SUMPRODUCT(MAX(($B693:$B704&lt;&gt;"")*(ROW($B693:I704))))</formula>
    </cfRule>
  </conditionalFormatting>
  <conditionalFormatting sqref="I704">
    <cfRule type="expression" dxfId="114" priority="28">
      <formula>$D703=""</formula>
    </cfRule>
  </conditionalFormatting>
  <conditionalFormatting sqref="F741:I741 F743:I743 F745:I745 F747:I747">
    <cfRule type="expression" dxfId="113" priority="22">
      <formula>$D741=""</formula>
    </cfRule>
  </conditionalFormatting>
  <conditionalFormatting sqref="G741 G743 G745 G747">
    <cfRule type="expression" priority="26">
      <formula>ROW()-2&gt;SUMPRODUCT(MAX(($B731:$B742&lt;&gt;"")*(ROW($B731:G742))))</formula>
    </cfRule>
  </conditionalFormatting>
  <conditionalFormatting sqref="H741 H743 H745 H747">
    <cfRule type="expression" priority="25">
      <formula>ROW()-2&gt;SUMPRODUCT(MAX(($B731:$B742&lt;&gt;"")*(ROW($B731:H742))))</formula>
    </cfRule>
  </conditionalFormatting>
  <conditionalFormatting sqref="I741 I743 I745 I747">
    <cfRule type="expression" priority="24">
      <formula>ROW()-2&gt;SUMPRODUCT(MAX(($B731:$B742&lt;&gt;"")*(ROW($B731:I742))))</formula>
    </cfRule>
  </conditionalFormatting>
  <conditionalFormatting sqref="F742 F744 F746 F748">
    <cfRule type="expression" dxfId="112" priority="21">
      <formula>$D741=""</formula>
    </cfRule>
  </conditionalFormatting>
  <conditionalFormatting sqref="G742:I742 G744:I744 G746:I746 G748:I748">
    <cfRule type="expression" dxfId="111" priority="23">
      <formula>$D741=""</formula>
    </cfRule>
  </conditionalFormatting>
  <conditionalFormatting sqref="F781:I781 F783:I783 F785:I785 F787:I787 F789:I789 F803:I803 F805:I805 F807:I807 F809:I809 F811:I811 F813:I813 F815:I815 F791:I791 F793:I793 F795:I795 F797:I797 F799:I799 F801:I801">
    <cfRule type="expression" dxfId="110" priority="16">
      <formula>$D781=""</formula>
    </cfRule>
  </conditionalFormatting>
  <conditionalFormatting sqref="G781 G783 G785 G787 G789 G791 G793 G795 G797 G799 G801 G803 G805 G807 G809 G811 G813 G815">
    <cfRule type="expression" priority="20">
      <formula>ROW()-2&gt;SUMPRODUCT(MAX(($B771:$B782&lt;&gt;"")*(ROW($B771:G782))))</formula>
    </cfRule>
  </conditionalFormatting>
  <conditionalFormatting sqref="H781 H783 H785 H787 H789 H803 H805 H807 H809 H811 H813 H815 H791 H793 H795 H797 H799 H801">
    <cfRule type="expression" priority="19">
      <formula>ROW()-2&gt;SUMPRODUCT(MAX(($B771:$B782&lt;&gt;"")*(ROW($B771:H782))))</formula>
    </cfRule>
  </conditionalFormatting>
  <conditionalFormatting sqref="I781 I783 I785 I787 I789 I791 I793 I795 I797 I799 I801 I803 I805 I807 I809 I811 I813 I815">
    <cfRule type="expression" priority="18">
      <formula>ROW()-2&gt;SUMPRODUCT(MAX(($B771:$B782&lt;&gt;"")*(ROW($B771:I782))))</formula>
    </cfRule>
  </conditionalFormatting>
  <conditionalFormatting sqref="F782 F784 F786 F788 F790 F792 F794 F796 F798 F800 F802 F804 F806 F808 F810 F812 F814 F816">
    <cfRule type="expression" dxfId="109" priority="15">
      <formula>$D781=""</formula>
    </cfRule>
  </conditionalFormatting>
  <conditionalFormatting sqref="G782:I782 G784:I784 G786:I786 G788:I788 G790:I790 G804:I804 G806:I806 G808:I808 G810:I810 G812:I812 G814:I814 G816:I816 G792:I792 G794:I794 G796:I796 G798:I798 G800:I800 G802:I802">
    <cfRule type="expression" dxfId="108" priority="17">
      <formula>$D781=""</formula>
    </cfRule>
  </conditionalFormatting>
  <conditionalFormatting sqref="F821:I821 F823:I823 F825:I825 F827:I827 F829:I829">
    <cfRule type="expression" dxfId="107" priority="10">
      <formula>$D821=""</formula>
    </cfRule>
  </conditionalFormatting>
  <conditionalFormatting sqref="G821 G823 G825 G827 G829">
    <cfRule type="expression" priority="14">
      <formula>ROW()-2&gt;SUMPRODUCT(MAX(($B811:$B822&lt;&gt;"")*(ROW($B811:G822))))</formula>
    </cfRule>
  </conditionalFormatting>
  <conditionalFormatting sqref="H821 H823 H825 H827 H829">
    <cfRule type="expression" priority="13">
      <formula>ROW()-2&gt;SUMPRODUCT(MAX(($B811:$B822&lt;&gt;"")*(ROW($B811:H822))))</formula>
    </cfRule>
  </conditionalFormatting>
  <conditionalFormatting sqref="I821 I823 I825 I827 I829">
    <cfRule type="expression" priority="12">
      <formula>ROW()-2&gt;SUMPRODUCT(MAX(($B811:$B822&lt;&gt;"")*(ROW($B811:I822))))</formula>
    </cfRule>
  </conditionalFormatting>
  <conditionalFormatting sqref="F822 F824 F826 F828 F830">
    <cfRule type="expression" dxfId="106" priority="9">
      <formula>$D821=""</formula>
    </cfRule>
  </conditionalFormatting>
  <conditionalFormatting sqref="G822:I822 G824:I824 G826:I826 G828:I828 G830:I830">
    <cfRule type="expression" dxfId="105" priority="11">
      <formula>$D821=""</formula>
    </cfRule>
  </conditionalFormatting>
  <conditionalFormatting sqref="F865:I865 F867:I867 F869:I869 F861:I861 F863:I863 F871:I871 F873:I873">
    <cfRule type="expression" dxfId="104" priority="4">
      <formula>$D861=""</formula>
    </cfRule>
  </conditionalFormatting>
  <conditionalFormatting sqref="G861 G863 G865 G867 G869 G871 G873">
    <cfRule type="expression" priority="8">
      <formula>ROW()-2&gt;SUMPRODUCT(MAX(($B851:$B862&lt;&gt;"")*(ROW($B851:G862))))</formula>
    </cfRule>
  </conditionalFormatting>
  <conditionalFormatting sqref="H865 H867 H869 H861 H863 H871 H873">
    <cfRule type="expression" priority="7">
      <formula>ROW()-2&gt;SUMPRODUCT(MAX(($B851:$B862&lt;&gt;"")*(ROW($B851:H862))))</formula>
    </cfRule>
  </conditionalFormatting>
  <conditionalFormatting sqref="I861 I863 I865 I867 I869 I871 I873">
    <cfRule type="expression" priority="6">
      <formula>ROW()-2&gt;SUMPRODUCT(MAX(($B851:$B862&lt;&gt;"")*(ROW($B851:I862))))</formula>
    </cfRule>
  </conditionalFormatting>
  <conditionalFormatting sqref="F862 F864 F866 F868 F870 F872 F874">
    <cfRule type="expression" dxfId="103" priority="3">
      <formula>$D861=""</formula>
    </cfRule>
  </conditionalFormatting>
  <conditionalFormatting sqref="G866:I866 G868:I868 G870:I870 G862:I862 G864:I864 G872:I872 G874:I874">
    <cfRule type="expression" dxfId="102" priority="5">
      <formula>$D861=""</formula>
    </cfRule>
  </conditionalFormatting>
  <conditionalFormatting sqref="J12">
    <cfRule type="expression" dxfId="101" priority="2">
      <formula>$D12=""</formula>
    </cfRule>
  </conditionalFormatting>
  <conditionalFormatting sqref="J32">
    <cfRule type="expression" dxfId="100" priority="1">
      <formula>$D32=""</formula>
    </cfRule>
  </conditionalFormatting>
  <dataValidations count="3">
    <dataValidation type="list" allowBlank="1" showInputMessage="1" showErrorMessage="1" sqref="H10:H312 H316:H615 H621:H1820" xr:uid="{00000000-0002-0000-0B00-000000000000}">
      <formula1>baseline_validation</formula1>
    </dataValidation>
    <dataValidation type="textLength" allowBlank="1" showInputMessage="1" showErrorMessage="1" error="You cannot enter more than 255 characters in this Comments for Impact Disaggregation." sqref="J10:J309 N10:N309" xr:uid="{00000000-0002-0000-0B00-000001000000}">
      <formula1>0</formula1>
      <formula2>255</formula2>
    </dataValidation>
    <dataValidation type="decimal" operator="greaterThanOrEqual" allowBlank="1" showInputMessage="1" showErrorMessage="1" sqref="F316:G615 F621:G1820 F10:G312" xr:uid="{00000000-0002-0000-0B00-000002000000}">
      <formula1>0</formula1>
    </dataValidation>
  </dataValidations>
  <hyperlinks>
    <hyperlink ref="C5" location="Impact_Indicator_Disaggregation_new" display="=Translations!A70" xr:uid="{00000000-0004-0000-0B00-000000000000}"/>
    <hyperlink ref="D5" location="Outcome_Indicator_Disaggregation_new" display="=Translations!A78" xr:uid="{00000000-0004-0000-0B00-000001000000}"/>
    <hyperlink ref="E5" location="Coverage_Indicator_Disaggregation_new" display="=Translations!A71" xr:uid="{00000000-0004-0000-0B00-000002000000}"/>
    <hyperlink ref="F5" location="'Instructions-FR'!InstructionE" display="=Translations!A48" xr:uid="{00000000-0004-0000-0B00-000003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F125"/>
  <sheetViews>
    <sheetView showGridLines="0" topLeftCell="D8" zoomScale="76" zoomScaleNormal="76" zoomScaleSheetLayoutView="100" workbookViewId="0">
      <selection activeCell="H12" sqref="H12"/>
    </sheetView>
  </sheetViews>
  <sheetFormatPr defaultColWidth="8.75" defaultRowHeight="15.75"/>
  <cols>
    <col min="1" max="1" width="19.25" customWidth="1"/>
    <col min="2" max="2" width="18" customWidth="1"/>
    <col min="3" max="3" width="23.5" customWidth="1"/>
    <col min="4" max="4" width="21.625" customWidth="1"/>
    <col min="5" max="5" width="40.5" customWidth="1"/>
    <col min="6" max="6" width="18.625" customWidth="1"/>
    <col min="7" max="7" width="32.625" customWidth="1"/>
    <col min="8" max="8" width="37.875" style="159" customWidth="1"/>
    <col min="9" max="9" width="54.875" customWidth="1"/>
    <col min="10" max="10" width="27.375" customWidth="1"/>
    <col min="11" max="11" width="40.5" customWidth="1"/>
    <col min="12" max="12" width="43.875" style="159" customWidth="1"/>
    <col min="13" max="13" width="63.125" customWidth="1"/>
    <col min="14" max="14" width="25" customWidth="1"/>
    <col min="15" max="15" width="35.75" customWidth="1"/>
    <col min="16" max="16" width="47.375" style="159" customWidth="1"/>
    <col min="17" max="17" width="50.375" customWidth="1"/>
    <col min="18" max="18" width="17.125" hidden="1" customWidth="1"/>
    <col min="19" max="19" width="14.625" hidden="1" customWidth="1"/>
    <col min="20" max="37" width="21" hidden="1" customWidth="1"/>
    <col min="38" max="39" width="20.625" hidden="1" customWidth="1"/>
    <col min="40" max="40" width="50.625" customWidth="1"/>
    <col min="41" max="41" width="26.125" hidden="1" customWidth="1"/>
    <col min="42" max="42" width="18.75" hidden="1" customWidth="1"/>
    <col min="43" max="43" width="13.125" hidden="1" customWidth="1"/>
    <col min="44" max="44" width="17.5" hidden="1" customWidth="1"/>
    <col min="45" max="45" width="16.125" hidden="1" customWidth="1"/>
    <col min="46" max="46" width="13.625" hidden="1" customWidth="1"/>
    <col min="47" max="47" width="30.625" hidden="1" customWidth="1"/>
    <col min="48" max="48" width="50.625" hidden="1" customWidth="1"/>
    <col min="49" max="50" width="9" hidden="1" customWidth="1"/>
    <col min="51" max="51" width="14.625" hidden="1" customWidth="1"/>
    <col min="52" max="52" width="9" hidden="1" customWidth="1"/>
    <col min="53" max="53" width="17.75" hidden="1" customWidth="1"/>
    <col min="54" max="54" width="17.125" hidden="1" customWidth="1"/>
    <col min="55" max="55" width="7.625" hidden="1" customWidth="1"/>
    <col min="56" max="56" width="8.75" hidden="1" customWidth="1"/>
    <col min="57" max="57" width="14.25" hidden="1" customWidth="1"/>
    <col min="58" max="58" width="21.5" hidden="1" customWidth="1"/>
  </cols>
  <sheetData>
    <row r="1" spans="1:58">
      <c r="A1" s="573" t="str">
        <f ca="1">Translations!A83</f>
        <v>Marco de desempeño - MSPT - Sección E</v>
      </c>
      <c r="B1" s="574"/>
      <c r="C1" s="574"/>
      <c r="D1" s="574"/>
      <c r="E1" s="574"/>
      <c r="F1" s="574"/>
      <c r="G1" s="574"/>
      <c r="H1" s="311"/>
      <c r="I1" s="115"/>
    </row>
    <row r="2" spans="1:58">
      <c r="A2" s="574"/>
      <c r="B2" s="574"/>
      <c r="C2" s="574"/>
      <c r="D2" s="574"/>
      <c r="E2" s="574"/>
      <c r="F2" s="574"/>
      <c r="G2" s="574"/>
      <c r="H2" s="311"/>
      <c r="I2" s="115"/>
    </row>
    <row r="5" spans="1:58">
      <c r="A5" s="116" t="str">
        <f ca="1">Translations!A12</f>
        <v>Navegación de la página</v>
      </c>
      <c r="B5" s="117" t="str">
        <f ca="1">Translations!A48</f>
        <v>Instrucciones</v>
      </c>
    </row>
    <row r="6" spans="1:58">
      <c r="J6" s="19">
        <v>2</v>
      </c>
      <c r="L6" s="218">
        <v>3</v>
      </c>
      <c r="M6" s="19"/>
      <c r="N6" s="19">
        <v>3</v>
      </c>
      <c r="O6" s="19"/>
      <c r="P6" s="218"/>
      <c r="Q6" s="19"/>
      <c r="R6" s="19">
        <v>4</v>
      </c>
      <c r="S6" s="19"/>
      <c r="T6" s="19">
        <v>7</v>
      </c>
      <c r="U6" s="19"/>
      <c r="V6" s="19">
        <v>5</v>
      </c>
      <c r="W6" s="19"/>
      <c r="X6" s="19"/>
      <c r="Y6" s="19"/>
      <c r="Z6" s="19">
        <v>6</v>
      </c>
      <c r="AA6" s="19"/>
      <c r="AB6" s="19"/>
      <c r="AC6" s="19"/>
      <c r="AD6" s="19">
        <v>7</v>
      </c>
      <c r="AE6" s="19"/>
      <c r="AF6" s="19"/>
      <c r="AG6" s="19"/>
      <c r="AH6" s="19">
        <v>8</v>
      </c>
      <c r="AI6" s="19"/>
      <c r="AJ6" s="19">
        <v>8</v>
      </c>
      <c r="AK6" s="19"/>
      <c r="AL6" s="19">
        <v>9</v>
      </c>
    </row>
    <row r="7" spans="1:58">
      <c r="A7" s="118"/>
      <c r="B7" s="118"/>
      <c r="C7" s="118"/>
      <c r="D7" s="118"/>
      <c r="E7" s="118"/>
      <c r="F7" s="118"/>
      <c r="G7" s="118"/>
      <c r="H7" s="570" t="str">
        <f ca="1">IFERROR(IF(YEAR(INDEX('Overview - Section A'!$A$47:$A$54,MATCH(J6,'Overview - Section A'!$B$47:$B$54,0)))&lt;=YEAR('Overview - Section A'!$E$11),TEXT(IFERROR(INDEX('Overview - Section A'!$A$47:$A$54,MATCH(J6,'Overview - Section A'!$B$47:$B$54,0)),""),Setup!$A$33)&amp;" to "&amp;TEXT(IFERROR(INDEX('Overview - Section A'!$E$47:$E$54,MATCH(J6,'Overview - Section A'!$B$47:$B$54,0)),""),Setup!$A$33),""),"")</f>
        <v>1-Jan-23 to 31-Dec-23</v>
      </c>
      <c r="I7" s="571"/>
      <c r="J7" s="571"/>
      <c r="K7" s="572"/>
      <c r="L7" s="570" t="str">
        <f ca="1">IFERROR(IF(YEAR(INDEX('Overview - Section A'!$A$47:$A$54,MATCH(N6,'Overview - Section A'!$B$47:$B$54,0)))&lt;=YEAR('Overview - Section A'!$E$11),TEXT(IFERROR(INDEX('Overview - Section A'!$A$47:$A$54,MATCH(N6,'Overview - Section A'!$B$47:$B$54,0)),""),Setup!$A$33)&amp;" to "&amp;TEXT(IFERROR(INDEX('Overview - Section A'!$E$47:$E$54,MATCH(N6,'Overview - Section A'!$B$47:$B$54,0)),""),Setup!$A$33),""),"")</f>
        <v>1-Jan-24 to 31-Dec-24</v>
      </c>
      <c r="M7" s="571"/>
      <c r="N7" s="571"/>
      <c r="O7" s="572"/>
      <c r="P7" s="570" t="str">
        <f ca="1">IFERROR(IF(YEAR(INDEX('Overview - Section A'!$A$47:$A$54,MATCH(R6,'Overview - Section A'!$B$47:$B$54,0)))&lt;=YEAR('Overview - Section A'!$E$11),TEXT(IFERROR(INDEX('Overview - Section A'!$A$47:$A$54,MATCH(R6,'Overview - Section A'!$B$47:$B$54,0)),""),Setup!$A$33)&amp;" to "&amp;TEXT(IFERROR(INDEX('Overview - Section A'!$E$47:$E$54,MATCH(R6,'Overview - Section A'!$B$47:$B$54,0)),""),Setup!$A$33),""),"")</f>
        <v>1-Jan-25 to 31-Dec-25</v>
      </c>
      <c r="Q7" s="571"/>
      <c r="R7" s="571"/>
      <c r="S7" s="572"/>
      <c r="T7" s="570" t="str">
        <f ca="1">IFERROR(IF(YEAR(INDEX('Overview - Section A'!$A$47:$A$54,MATCH(V6,'Overview - Section A'!$B$47:$B$54,0)))&lt;=YEAR('Overview - Section A'!$E$11),TEXT(IFERROR(INDEX('Overview - Section A'!$A$47:$A$54,MATCH(V6,'Overview - Section A'!$B$47:$B$54,0)),""),Setup!$A$33)&amp;" to "&amp;TEXT(IFERROR(INDEX('Overview - Section A'!$E$47:$E$54,MATCH(V6,'Overview - Section A'!$B$47:$B$54,0)),""),Setup!$A$33),""),"")</f>
        <v/>
      </c>
      <c r="U7" s="571"/>
      <c r="V7" s="571"/>
      <c r="W7" s="572"/>
      <c r="X7" s="570" t="str">
        <f ca="1">IFERROR(IF(YEAR(INDEX('Overview - Section A'!$A$47:$A$54,MATCH(Z6,'Overview - Section A'!$B$47:$B$54,0)))&lt;=YEAR('Overview - Section A'!$E$11),TEXT(IFERROR(INDEX('Overview - Section A'!$A$47:$A$54,MATCH(Z6,'Overview - Section A'!$B$47:$B$54,0)),""),Setup!$A$33)&amp;" to "&amp;TEXT(IFERROR(INDEX('Overview - Section A'!$E$47:$E$54,MATCH(Z6,'Overview - Section A'!$B$47:$B$54,0)),""),Setup!$A$33),""),"")</f>
        <v/>
      </c>
      <c r="Y7" s="571"/>
      <c r="Z7" s="571"/>
      <c r="AA7" s="572"/>
      <c r="AB7" s="570" t="str">
        <f ca="1">IFERROR(IF(YEAR(INDEX('Overview - Section A'!$A$47:$A$54,MATCH(AD6,'Overview - Section A'!$B$47:$B$54,0)))&lt;=YEAR('Overview - Section A'!$E$11),TEXT(IFERROR(INDEX('Overview - Section A'!$A$47:$A$54,MATCH(AD6,'Overview - Section A'!$B$47:$B$54,0)),""),Setup!$A$33)&amp;" to "&amp;TEXT(IFERROR(INDEX('Overview - Section A'!$E$47:$E$54,MATCH(AD6,'Overview - Section A'!$B$47:$B$54,0)),""),Setup!$A$33),""),"")</f>
        <v/>
      </c>
      <c r="AC7" s="571"/>
      <c r="AD7" s="571"/>
      <c r="AE7" s="572"/>
      <c r="AF7" s="570" t="str">
        <f ca="1">IFERROR(IF(YEAR(INDEX('Overview - Section A'!$A$47:$A$54,MATCH(AH6,'Overview - Section A'!$B$47:$B$54,0)))&lt;=YEAR('Overview - Section A'!$E$11),TEXT(IFERROR(INDEX('Overview - Section A'!$A$47:$A$54,MATCH(AH6,'Overview - Section A'!$B$47:$B$54,0)),""),Setup!$A$33)&amp;" to "&amp;TEXT(IFERROR(INDEX('Overview - Section A'!$E$47:$E$54,MATCH(AH6,'Overview - Section A'!$B$47:$B$54,0)),""),Setup!$A$33),""),"")</f>
        <v/>
      </c>
      <c r="AG7" s="571"/>
      <c r="AH7" s="571"/>
      <c r="AI7" s="572"/>
      <c r="AJ7" s="570" t="str">
        <f ca="1">IFERROR(IF(YEAR(INDEX('Overview - Section A'!$A$47:$A$54,MATCH(AL6,'Overview - Section A'!$B$47:$B$54,0)))&lt;=YEAR('Overview - Section A'!$E$11),TEXT(IFERROR(INDEX('Overview - Section A'!$A$47:$A$54,MATCH(AL6,'Overview - Section A'!$B$47:$B$54,0)),""),Setup!$A$33)&amp;" to "&amp;TEXT(IFERROR(INDEX('Overview - Section A'!$E$47:$E$54,MATCH(AL6,'Overview - Section A'!$B$47:$B$54,0)),""),Setup!$A$33),""),"")</f>
        <v/>
      </c>
      <c r="AK7" s="571"/>
      <c r="AL7" s="571"/>
      <c r="AM7" s="572"/>
      <c r="AN7" s="123"/>
      <c r="AU7" s="123"/>
      <c r="AV7" s="123"/>
    </row>
    <row r="8" spans="1:58" ht="55.5" customHeight="1">
      <c r="A8" s="119" t="str">
        <f ca="1">Translations!A84</f>
        <v xml:space="preserve">Número </v>
      </c>
      <c r="B8" s="119" t="str">
        <f ca="1">Translations!A30</f>
        <v>Nombre del módulo</v>
      </c>
      <c r="C8" s="119" t="str">
        <f ca="1">Translations!A35</f>
        <v>Población</v>
      </c>
      <c r="D8" s="119" t="str">
        <f ca="1">Translations!A46</f>
        <v>Intervención</v>
      </c>
      <c r="E8" s="119" t="str">
        <f ca="1">Translations!A85</f>
        <v>Actividad clave</v>
      </c>
      <c r="F8" s="119" t="str">
        <f ca="1">Translations!A52</f>
        <v>Receptor principal responsible</v>
      </c>
      <c r="G8" s="119" t="str">
        <f ca="1">Translations!A53</f>
        <v>País</v>
      </c>
      <c r="H8" s="119" t="str">
        <f ca="1">Translations!$A$86</f>
        <v>Hitos/ Descripción de la meta</v>
      </c>
      <c r="I8" s="119" t="str">
        <f ca="1">Translations!$A$87</f>
        <v>Criterios para la finalización</v>
      </c>
      <c r="J8" s="119" t="str">
        <f ca="1">Translations!$A$86&amp;" (EN)"</f>
        <v>Hitos/ Descripción de la meta (EN)</v>
      </c>
      <c r="K8" s="119" t="str">
        <f ca="1">Translations!$A$87&amp;" (EN)"</f>
        <v>Criterios para la finalización (EN)</v>
      </c>
      <c r="L8" s="119" t="str">
        <f ca="1">Translations!$A$86</f>
        <v>Hitos/ Descripción de la meta</v>
      </c>
      <c r="M8" s="119" t="str">
        <f ca="1">Translations!$A$87</f>
        <v>Criterios para la finalización</v>
      </c>
      <c r="N8" s="119" t="str">
        <f ca="1">Translations!$A$86&amp;" (EN)"</f>
        <v>Hitos/ Descripción de la meta (EN)</v>
      </c>
      <c r="O8" s="119" t="str">
        <f ca="1">Translations!$A$87&amp;" (EN)"</f>
        <v>Criterios para la finalización (EN)</v>
      </c>
      <c r="P8" s="119" t="str">
        <f ca="1">Translations!$A$86</f>
        <v>Hitos/ Descripción de la meta</v>
      </c>
      <c r="Q8" s="119" t="str">
        <f ca="1">Translations!$A$87</f>
        <v>Criterios para la finalización</v>
      </c>
      <c r="R8" s="119" t="str">
        <f ca="1">Translations!$A$86&amp;" (EN)"</f>
        <v>Hitos/ Descripción de la meta (EN)</v>
      </c>
      <c r="S8" s="119" t="str">
        <f ca="1">Translations!$A$87&amp;" (EN)"</f>
        <v>Criterios para la finalización (EN)</v>
      </c>
      <c r="T8" s="119" t="str">
        <f ca="1">Translations!$A$86</f>
        <v>Hitos/ Descripción de la meta</v>
      </c>
      <c r="U8" s="119" t="str">
        <f ca="1">Translations!$A$87</f>
        <v>Criterios para la finalización</v>
      </c>
      <c r="V8" s="119" t="str">
        <f ca="1">Translations!$A$86&amp;" (EN)"</f>
        <v>Hitos/ Descripción de la meta (EN)</v>
      </c>
      <c r="W8" s="119" t="str">
        <f ca="1">Translations!$A$87&amp;" (EN)"</f>
        <v>Criterios para la finalización (EN)</v>
      </c>
      <c r="X8" s="119" t="str">
        <f ca="1">Translations!$A$86</f>
        <v>Hitos/ Descripción de la meta</v>
      </c>
      <c r="Y8" s="119" t="str">
        <f ca="1">Translations!$A$87</f>
        <v>Criterios para la finalización</v>
      </c>
      <c r="Z8" s="119" t="str">
        <f ca="1">Translations!$A$86&amp;" (EN)"</f>
        <v>Hitos/ Descripción de la meta (EN)</v>
      </c>
      <c r="AA8" s="119" t="str">
        <f ca="1">Translations!$A$87&amp;" (EN)"</f>
        <v>Criterios para la finalización (EN)</v>
      </c>
      <c r="AB8" s="119" t="str">
        <f ca="1">Translations!$A$86</f>
        <v>Hitos/ Descripción de la meta</v>
      </c>
      <c r="AC8" s="119" t="str">
        <f ca="1">Translations!$A$87</f>
        <v>Criterios para la finalización</v>
      </c>
      <c r="AD8" s="119" t="str">
        <f ca="1">Translations!$A$86&amp;" (EN)"</f>
        <v>Hitos/ Descripción de la meta (EN)</v>
      </c>
      <c r="AE8" s="119" t="str">
        <f ca="1">Translations!$A$87&amp;" (EN)"</f>
        <v>Criterios para la finalización (EN)</v>
      </c>
      <c r="AF8" s="119" t="str">
        <f ca="1">Translations!$A$86</f>
        <v>Hitos/ Descripción de la meta</v>
      </c>
      <c r="AG8" s="119" t="str">
        <f ca="1">Translations!$A$87</f>
        <v>Criterios para la finalización</v>
      </c>
      <c r="AH8" s="119" t="str">
        <f ca="1">Translations!$A$86&amp;" (EN)"</f>
        <v>Hitos/ Descripción de la meta (EN)</v>
      </c>
      <c r="AI8" s="119" t="str">
        <f ca="1">Translations!$A$87&amp;" (EN)"</f>
        <v>Criterios para la finalización (EN)</v>
      </c>
      <c r="AJ8" s="119" t="str">
        <f ca="1">Translations!$A$86</f>
        <v>Hitos/ Descripción de la meta</v>
      </c>
      <c r="AK8" s="119" t="str">
        <f ca="1">Translations!$A$87</f>
        <v>Criterios para la finalización</v>
      </c>
      <c r="AL8" s="119" t="str">
        <f ca="1">Translations!$A$86&amp;" (EN)"</f>
        <v>Hitos/ Descripción de la meta (EN)</v>
      </c>
      <c r="AM8" s="119" t="str">
        <f ca="1">Translations!$A$87&amp;" (EN)"</f>
        <v>Criterios para la finalización (EN)</v>
      </c>
      <c r="AN8" s="739" t="str">
        <f ca="1">Translations!A58</f>
        <v>Comentarios</v>
      </c>
      <c r="AO8" s="124"/>
      <c r="AP8" s="124"/>
      <c r="AQ8" s="124"/>
      <c r="AR8" s="124"/>
      <c r="AS8" s="124" t="s">
        <v>5507</v>
      </c>
      <c r="AT8" s="124"/>
      <c r="AU8" s="739" t="str">
        <f ca="1">Translations!A85&amp;" (EN)"</f>
        <v>Actividad clave (EN)</v>
      </c>
      <c r="AV8" s="739" t="str">
        <f ca="1">Translations!A58&amp;" (EN)"</f>
        <v>Comentarios (EN)</v>
      </c>
      <c r="AY8" t="s">
        <v>5508</v>
      </c>
      <c r="AZ8" t="s">
        <v>5509</v>
      </c>
      <c r="BE8" t="s">
        <v>5510</v>
      </c>
      <c r="BF8" t="s">
        <v>5511</v>
      </c>
    </row>
    <row r="9" spans="1:58" ht="195.6" customHeight="1">
      <c r="A9" s="120">
        <v>1</v>
      </c>
      <c r="B9" s="121" t="s">
        <v>437</v>
      </c>
      <c r="C9" s="121" t="s">
        <v>5512</v>
      </c>
      <c r="D9" s="121" t="str">
        <f>'Overview - Section A'!K125</f>
        <v>Pruebas a nivel comunitario</v>
      </c>
      <c r="E9" s="121" t="s">
        <v>5513</v>
      </c>
      <c r="F9" s="121" t="s">
        <v>356</v>
      </c>
      <c r="G9" s="122" t="s">
        <v>2303</v>
      </c>
      <c r="H9" s="121" t="s">
        <v>5514</v>
      </c>
      <c r="I9" s="121" t="s">
        <v>5515</v>
      </c>
      <c r="J9" s="121" t="s">
        <v>5516</v>
      </c>
      <c r="K9" s="121" t="s">
        <v>5517</v>
      </c>
      <c r="L9" s="173"/>
      <c r="M9" s="164"/>
      <c r="N9" s="121"/>
      <c r="O9" s="121"/>
      <c r="P9" s="121" t="s">
        <v>5518</v>
      </c>
      <c r="Q9" s="121" t="s">
        <v>5519</v>
      </c>
      <c r="R9" s="121"/>
      <c r="S9" s="121"/>
      <c r="T9" s="122"/>
      <c r="U9" s="122"/>
      <c r="V9" s="121"/>
      <c r="W9" s="121"/>
      <c r="X9" s="122"/>
      <c r="Y9" s="122"/>
      <c r="Z9" s="121"/>
      <c r="AA9" s="121"/>
      <c r="AB9" s="122"/>
      <c r="AC9" s="122"/>
      <c r="AD9" s="121"/>
      <c r="AE9" s="121"/>
      <c r="AF9" s="122"/>
      <c r="AG9" s="122"/>
      <c r="AH9" s="121"/>
      <c r="AI9" s="121"/>
      <c r="AJ9" s="122"/>
      <c r="AK9" s="122"/>
      <c r="AL9" s="121"/>
      <c r="AM9" s="121"/>
      <c r="AN9" s="121"/>
      <c r="AO9" t="str">
        <f>IFERROR(VLOOKUP(D9,'Reference Records'!$C$213:$E$352,3,FALSE),"")</f>
        <v>a1O1R000006c5hsUAA</v>
      </c>
      <c r="AP9" t="str">
        <f>VLOOKUP(AO9,'Reference Records'!$E$213:$F$352,2,0)</f>
        <v>MCI-00694</v>
      </c>
      <c r="AQ9">
        <f>MATCH($AP9,'Reference Records'!$E$430:$E$653,0)+ROW(Population_by_intervention)-1</f>
        <v>510</v>
      </c>
      <c r="AR9">
        <f>MATCH($AP9,'Reference Records'!$E$430:$E$653,1)+ROW(Population_by_intervention)-1</f>
        <v>519</v>
      </c>
      <c r="AS9" t="str">
        <f>IF(B9&amp;C9="","|empty|",B9&amp;C9&amp;D9)</f>
        <v>Servicios diferenciados de diagnóstico del VIHTrabajadoras sexuales y sus clientes, GB-HSH, TransPruebas a nivel comunitario</v>
      </c>
      <c r="AT9" t="str">
        <f>IF(AS9="","",IFERROR(VLOOKUP(AS9,'Overview - Section A'!AF$124:AG175,2,0),VLOOKUP("|empty|",'Overview - Section A'!AF$124:AG175,2,0)))</f>
        <v>INT-257067</v>
      </c>
      <c r="AU9" s="121"/>
      <c r="AV9" s="121"/>
      <c r="AY9">
        <f>ROW(WPTM____Section_F)+3</f>
        <v>2205</v>
      </c>
      <c r="AZ9">
        <f>ROW(WPTM_Results)+3</f>
        <v>2371</v>
      </c>
      <c r="BB9" t="str">
        <f ca="1">IF(INDIRECT("'update Helper'!M"&amp;AY9)=0,"",INDIRECT("'update Helper'!M"&amp;AY9))</f>
        <v/>
      </c>
      <c r="BC9" t="str">
        <f ca="1">IF(INDIRECT("'update Helper'!S"&amp;AY9)=0,"",IFERROR(VLOOKUP(INDIRECT("'update Helper'!S"&amp;AY9),'Account Role'!A$1:B$14,2,0),IFERROR(VLOOKUP(INDIRECT("'update Helper'!I"&amp;AY9),'Overview - Section A'!J$26:P$91,7,0),"")))</f>
        <v/>
      </c>
      <c r="BD9" t="str">
        <f ca="1">IFERROR(INDEX('Overview - Section A'!A$123:A175,MATCH(INDIRECT("'update Helper'!Q"&amp;AY9),'Overview - Section A'!AQ$123:AQ175,0)),"")</f>
        <v/>
      </c>
      <c r="BE9" t="str">
        <f>IFERROR(INDEX('Overview - Section A'!O$123:O175,MATCH(AT9,'Overview - Section A'!AQ$123:AQ175,0)),"")</f>
        <v/>
      </c>
      <c r="BF9" t="str">
        <f>IFERROR(INDEX('Overview - Section A'!H$123:H175,MATCH(AT9,'Overview - Section A'!AQ$123:AQ175,0)),"")</f>
        <v/>
      </c>
    </row>
    <row r="10" spans="1:58" ht="195" customHeight="1">
      <c r="A10" s="120">
        <v>2</v>
      </c>
      <c r="B10" s="121" t="s">
        <v>434</v>
      </c>
      <c r="C10" s="121" t="s">
        <v>5520</v>
      </c>
      <c r="D10" s="121" t="str">
        <f>'Overview - Section A'!K126</f>
        <v>PrEP</v>
      </c>
      <c r="E10" s="121" t="s">
        <v>5521</v>
      </c>
      <c r="F10" s="121" t="s">
        <v>356</v>
      </c>
      <c r="G10" s="122" t="s">
        <v>2303</v>
      </c>
      <c r="H10" s="121" t="s">
        <v>5522</v>
      </c>
      <c r="I10" s="121" t="s">
        <v>5523</v>
      </c>
      <c r="J10" s="121" t="s">
        <v>5524</v>
      </c>
      <c r="K10" s="121" t="s">
        <v>5525</v>
      </c>
      <c r="L10" s="121" t="s">
        <v>5526</v>
      </c>
      <c r="M10" s="121" t="s">
        <v>5527</v>
      </c>
      <c r="N10" s="121" t="s">
        <v>5528</v>
      </c>
      <c r="O10" s="121" t="s">
        <v>5529</v>
      </c>
      <c r="P10" s="121"/>
      <c r="Q10" s="122"/>
      <c r="R10" s="121"/>
      <c r="S10" s="121"/>
      <c r="T10" s="122"/>
      <c r="U10" s="122"/>
      <c r="V10" s="121"/>
      <c r="W10" s="121"/>
      <c r="X10" s="122"/>
      <c r="Y10" s="122"/>
      <c r="Z10" s="121"/>
      <c r="AA10" s="121"/>
      <c r="AB10" s="122"/>
      <c r="AC10" s="122"/>
      <c r="AD10" s="121"/>
      <c r="AE10" s="121"/>
      <c r="AF10" s="122"/>
      <c r="AG10" s="122"/>
      <c r="AH10" s="121"/>
      <c r="AI10" s="121"/>
      <c r="AJ10" s="122"/>
      <c r="AK10" s="122"/>
      <c r="AL10" s="121"/>
      <c r="AM10" s="121"/>
      <c r="AN10" s="121"/>
      <c r="AO10" t="str">
        <f>IFERROR(VLOOKUP(D10,'Reference Records'!$C$213:$E$352,3,FALSE),"")</f>
        <v>a1O1R000006c5hVUAQ</v>
      </c>
      <c r="AP10" t="str">
        <f>VLOOKUP(AO10,'Reference Records'!$E$213:$F$352,2,0)</f>
        <v>MCI-00671</v>
      </c>
      <c r="AQ10">
        <f>MATCH($AP10,'Reference Records'!$E$430:$E$653,0)+ROW(Population_by_intervention)-1</f>
        <v>440</v>
      </c>
      <c r="AR10">
        <f>MATCH($AP10,'Reference Records'!$E$430:$E$653,1)+ROW(Population_by_intervention)-1</f>
        <v>446</v>
      </c>
      <c r="AS10" t="str">
        <f t="shared" ref="AS10:AS73" si="0">IF(B10&amp;C10="","|empty|",B10&amp;C10&amp;D10)</f>
        <v>PrevenciónGB-HSH, TransPrEP</v>
      </c>
      <c r="AT10" t="str">
        <f>IF(AS10="","",IFERROR(VLOOKUP(AS10,'Overview - Section A'!AF$124:AG176,2,0),VLOOKUP("|empty|",'Overview - Section A'!AF$124:AG176,2,0)))</f>
        <v>INT-257067</v>
      </c>
      <c r="AU10" s="121"/>
      <c r="AV10" s="121"/>
      <c r="AY10">
        <f>AY9+1</f>
        <v>2206</v>
      </c>
      <c r="AZ10">
        <f ca="1">AZ9+'update Helper'!$X$2</f>
        <v>2377</v>
      </c>
      <c r="BB10" t="str">
        <f t="shared" ref="BB10:BB15" ca="1" si="1">IF(INDIRECT("'update Helper'!M"&amp;AY10)=0,"",INDIRECT("'update Helper'!M"&amp;AY10))</f>
        <v/>
      </c>
      <c r="BC10" t="str">
        <f ca="1">IF(INDIRECT("'update Helper'!S"&amp;AY10)=0,"",IFERROR(VLOOKUP(INDIRECT("'update Helper'!S"&amp;AY10),'Account Role'!A$1:B$14,2,0),IFERROR(VLOOKUP(INDIRECT("'update Helper'!I"&amp;AY10),'Overview - Section A'!J$26:P$91,7,0),"")))</f>
        <v/>
      </c>
      <c r="BD10" t="str">
        <f ca="1">IFERROR(INDEX('Overview - Section A'!A$123:A176,MATCH(INDIRECT("'update Helper'!Q"&amp;AY10),'Overview - Section A'!AQ$123:AQ176,0)),"")</f>
        <v/>
      </c>
      <c r="BE10" t="str">
        <f>IFERROR(INDEX('Overview - Section A'!O$123:O176,MATCH(AT10,'Overview - Section A'!AQ$123:AQ176,0)),"")</f>
        <v/>
      </c>
      <c r="BF10" t="str">
        <f>IFERROR(INDEX('Overview - Section A'!H$123:H176,MATCH(AT10,'Overview - Section A'!AQ$123:AQ176,0)),"")</f>
        <v/>
      </c>
    </row>
    <row r="11" spans="1:58" ht="123.6" customHeight="1">
      <c r="A11" s="120">
        <v>3</v>
      </c>
      <c r="B11" s="443" t="s">
        <v>443</v>
      </c>
      <c r="C11" s="443" t="s">
        <v>5530</v>
      </c>
      <c r="D11" s="443" t="str">
        <f>'Overview - Section A'!K127</f>
        <v>Detección y diagnóstico de casos (Atención y prevención de la tuberculosis)</v>
      </c>
      <c r="E11" s="443" t="s">
        <v>5531</v>
      </c>
      <c r="F11" s="443" t="s">
        <v>356</v>
      </c>
      <c r="G11" s="444" t="s">
        <v>2303</v>
      </c>
      <c r="H11" s="443" t="s">
        <v>5532</v>
      </c>
      <c r="I11" s="443" t="s">
        <v>5533</v>
      </c>
      <c r="J11" s="443" t="s">
        <v>5534</v>
      </c>
      <c r="K11" s="443" t="s">
        <v>5535</v>
      </c>
      <c r="L11" s="443" t="s">
        <v>5536</v>
      </c>
      <c r="M11" s="443" t="s">
        <v>5537</v>
      </c>
      <c r="N11" s="443" t="s">
        <v>5538</v>
      </c>
      <c r="O11" s="443" t="s">
        <v>5539</v>
      </c>
      <c r="P11" s="443"/>
      <c r="Q11" s="444"/>
      <c r="R11" s="121"/>
      <c r="S11" s="121"/>
      <c r="T11" s="122"/>
      <c r="U11" s="122"/>
      <c r="V11" s="121"/>
      <c r="W11" s="121"/>
      <c r="X11" s="122"/>
      <c r="Y11" s="122"/>
      <c r="Z11" s="121"/>
      <c r="AA11" s="121"/>
      <c r="AB11" s="122"/>
      <c r="AC11" s="122"/>
      <c r="AD11" s="121"/>
      <c r="AE11" s="121"/>
      <c r="AF11" s="122"/>
      <c r="AG11" s="122"/>
      <c r="AH11" s="121"/>
      <c r="AI11" s="121"/>
      <c r="AJ11" s="122"/>
      <c r="AK11" s="122"/>
      <c r="AL11" s="121"/>
      <c r="AM11" s="121"/>
      <c r="AN11" s="121"/>
      <c r="AO11" t="str">
        <f>IFERROR(VLOOKUP(D11,'Reference Records'!$C$213:$E$352,3,FALSE),"")</f>
        <v>a1O1R000006c5i9UAA</v>
      </c>
      <c r="AP11" t="str">
        <f>VLOOKUP(AO11,'Reference Records'!$E$213:$F$352,2,0)</f>
        <v>MCI-00711</v>
      </c>
      <c r="AQ11">
        <f>MATCH($AP11,'Reference Records'!$E$430:$E$653,0)+ROW(Population_by_intervention)-1</f>
        <v>557</v>
      </c>
      <c r="AR11">
        <f>MATCH($AP11,'Reference Records'!$E$430:$E$653,1)+ROW(Population_by_intervention)-1</f>
        <v>557</v>
      </c>
      <c r="AS11" t="str">
        <f t="shared" si="0"/>
        <v>Atención y prevención de la tuberculosisPoblación GeneralDetección y diagnóstico de casos (Atención y prevención de la tuberculosis)</v>
      </c>
      <c r="AT11" t="str">
        <f>IF(AS11="","",IFERROR(VLOOKUP(AS11,'Overview - Section A'!AF$124:AG177,2,0),VLOOKUP("|empty|",'Overview - Section A'!AF$124:AG177,2,0)))</f>
        <v>INT-257067</v>
      </c>
      <c r="AU11" s="121"/>
      <c r="AV11" s="121"/>
      <c r="AY11">
        <f t="shared" ref="AY11:AY74" si="2">AY10+1</f>
        <v>2207</v>
      </c>
      <c r="AZ11">
        <f ca="1">AZ10+'update Helper'!$X$2</f>
        <v>2383</v>
      </c>
      <c r="BB11" t="str">
        <f t="shared" ca="1" si="1"/>
        <v/>
      </c>
      <c r="BC11" t="str">
        <f ca="1">IF(INDIRECT("'update Helper'!S"&amp;AY11)=0,"",IFERROR(VLOOKUP(INDIRECT("'update Helper'!S"&amp;AY11),'Account Role'!A$1:B$14,2,0),IFERROR(VLOOKUP(INDIRECT("'update Helper'!I"&amp;AY11),'Overview - Section A'!J$26:P$91,7,0),"")))</f>
        <v/>
      </c>
      <c r="BD11" t="str">
        <f ca="1">IFERROR(INDEX('Overview - Section A'!A$123:A177,MATCH(INDIRECT("'update Helper'!Q"&amp;AY11),'Overview - Section A'!AQ$123:AQ177,0)),"")</f>
        <v/>
      </c>
      <c r="BE11" t="str">
        <f>IFERROR(INDEX('Overview - Section A'!O$123:O177,MATCH(AT11,'Overview - Section A'!AQ$123:AQ177,0)),"")</f>
        <v/>
      </c>
      <c r="BF11" t="str">
        <f>IFERROR(INDEX('Overview - Section A'!H$123:H177,MATCH(AT11,'Overview - Section A'!AQ$123:AQ177,0)),"")</f>
        <v/>
      </c>
    </row>
    <row r="12" spans="1:58" ht="94.5" customHeight="1">
      <c r="A12" s="120">
        <v>4</v>
      </c>
      <c r="B12" s="443" t="s">
        <v>446</v>
      </c>
      <c r="C12" s="443" t="s">
        <v>5530</v>
      </c>
      <c r="D12" s="443" t="str">
        <f>'Overview - Section A'!K128</f>
        <v>Tratamiento (Tuberculosis multirresistente)</v>
      </c>
      <c r="E12" s="443" t="s">
        <v>5540</v>
      </c>
      <c r="F12" s="443" t="s">
        <v>356</v>
      </c>
      <c r="G12" s="444" t="s">
        <v>2303</v>
      </c>
      <c r="H12" s="443" t="s">
        <v>5541</v>
      </c>
      <c r="I12" s="443" t="s">
        <v>5542</v>
      </c>
      <c r="J12" s="443" t="s">
        <v>5543</v>
      </c>
      <c r="K12" s="443" t="s">
        <v>5544</v>
      </c>
      <c r="L12" s="443" t="s">
        <v>5545</v>
      </c>
      <c r="M12" s="443" t="s">
        <v>5546</v>
      </c>
      <c r="N12" s="443" t="s">
        <v>5547</v>
      </c>
      <c r="O12" s="443" t="s">
        <v>5548</v>
      </c>
      <c r="P12" s="443"/>
      <c r="Q12" s="444"/>
      <c r="R12" s="121"/>
      <c r="S12" s="121"/>
      <c r="T12" s="122"/>
      <c r="U12" s="122"/>
      <c r="V12" s="121"/>
      <c r="W12" s="121"/>
      <c r="X12" s="122"/>
      <c r="Y12" s="122"/>
      <c r="Z12" s="121"/>
      <c r="AA12" s="121"/>
      <c r="AB12" s="122"/>
      <c r="AC12" s="122"/>
      <c r="AD12" s="121"/>
      <c r="AE12" s="121"/>
      <c r="AF12" s="122"/>
      <c r="AG12" s="122"/>
      <c r="AH12" s="121"/>
      <c r="AI12" s="121"/>
      <c r="AJ12" s="122"/>
      <c r="AK12" s="122"/>
      <c r="AL12" s="121"/>
      <c r="AM12" s="121"/>
      <c r="AN12" s="121"/>
      <c r="AO12" t="str">
        <f>IFERROR(VLOOKUP(D12,'Reference Records'!$C$213:$E$352,3,FALSE),"")</f>
        <v>a1O1R000006c5iLUAQ</v>
      </c>
      <c r="AP12" t="str">
        <f>VLOOKUP(AO12,'Reference Records'!$E$213:$F$352,2,0)</f>
        <v>MCI-00723</v>
      </c>
      <c r="AQ12">
        <f>MATCH($AP12,'Reference Records'!$E$430:$E$653,0)+ROW(Population_by_intervention)-1</f>
        <v>569</v>
      </c>
      <c r="AR12">
        <f>MATCH($AP12,'Reference Records'!$E$430:$E$653,1)+ROW(Population_by_intervention)-1</f>
        <v>569</v>
      </c>
      <c r="AS12" t="str">
        <f t="shared" si="0"/>
        <v>Tuberculosis multirresistentePoblación GeneralTratamiento (Tuberculosis multirresistente)</v>
      </c>
      <c r="AT12" t="str">
        <f>IF(AS12="","",IFERROR(VLOOKUP(AS12,'Overview - Section A'!AF$124:AG178,2,0),VLOOKUP("|empty|",'Overview - Section A'!AF$124:AG178,2,0)))</f>
        <v>INT-257067</v>
      </c>
      <c r="AU12" s="121"/>
      <c r="AV12" s="121"/>
      <c r="AY12">
        <f t="shared" si="2"/>
        <v>2208</v>
      </c>
      <c r="AZ12">
        <f ca="1">AZ11+'update Helper'!$X$2</f>
        <v>2389</v>
      </c>
      <c r="BB12" t="str">
        <f t="shared" ca="1" si="1"/>
        <v/>
      </c>
      <c r="BC12" t="str">
        <f ca="1">IF(INDIRECT("'update Helper'!S"&amp;AY12)=0,"",IFERROR(VLOOKUP(INDIRECT("'update Helper'!S"&amp;AY12),'Account Role'!A$1:B$14,2,0),IFERROR(VLOOKUP(INDIRECT("'update Helper'!I"&amp;AY12),'Overview - Section A'!J$26:P$91,7,0),"")))</f>
        <v/>
      </c>
      <c r="BD12" t="str">
        <f ca="1">IFERROR(INDEX('Overview - Section A'!A$123:A178,MATCH(INDIRECT("'update Helper'!Q"&amp;AY12),'Overview - Section A'!AQ$123:AQ178,0)),"")</f>
        <v/>
      </c>
      <c r="BE12" t="str">
        <f>IFERROR(INDEX('Overview - Section A'!O$123:O178,MATCH(AT12,'Overview - Section A'!AQ$123:AQ178,0)),"")</f>
        <v/>
      </c>
      <c r="BF12" t="str">
        <f>IFERROR(INDEX('Overview - Section A'!H$123:H178,MATCH(AT12,'Overview - Section A'!AQ$123:AQ178,0)),"")</f>
        <v/>
      </c>
    </row>
    <row r="13" spans="1:58" ht="30" customHeight="1">
      <c r="A13" s="120">
        <v>5</v>
      </c>
      <c r="B13" s="121"/>
      <c r="C13" s="121"/>
      <c r="D13" s="121"/>
      <c r="E13" s="121"/>
      <c r="F13" s="121"/>
      <c r="G13" s="122"/>
      <c r="H13" s="121"/>
      <c r="I13" s="122"/>
      <c r="J13" s="121"/>
      <c r="K13" s="121"/>
      <c r="L13" s="121"/>
      <c r="M13" s="122"/>
      <c r="N13" s="121"/>
      <c r="O13" s="121"/>
      <c r="P13" s="121"/>
      <c r="Q13" s="122"/>
      <c r="R13" s="121"/>
      <c r="S13" s="121"/>
      <c r="T13" s="122"/>
      <c r="U13" s="122"/>
      <c r="V13" s="121"/>
      <c r="W13" s="121"/>
      <c r="X13" s="122"/>
      <c r="Y13" s="122"/>
      <c r="Z13" s="121"/>
      <c r="AA13" s="121"/>
      <c r="AB13" s="122"/>
      <c r="AC13" s="122"/>
      <c r="AD13" s="121"/>
      <c r="AE13" s="121"/>
      <c r="AF13" s="122"/>
      <c r="AG13" s="122"/>
      <c r="AH13" s="121"/>
      <c r="AI13" s="121"/>
      <c r="AJ13" s="122"/>
      <c r="AK13" s="122"/>
      <c r="AL13" s="121"/>
      <c r="AM13" s="121"/>
      <c r="AN13" s="121"/>
      <c r="AO13" t="str">
        <f>IFERROR(VLOOKUP(D13,'Reference Records'!$C$213:$E$352,3,FALSE),"")</f>
        <v/>
      </c>
      <c r="AP13" t="e">
        <f>VLOOKUP(AO13,'Reference Records'!$E$213:$F$352,2,0)</f>
        <v>#N/A</v>
      </c>
      <c r="AQ13" t="e">
        <f>MATCH($AP13,'Reference Records'!$E$430:$E$653,0)+ROW(Population_by_intervention)-1</f>
        <v>#N/A</v>
      </c>
      <c r="AR13" t="e">
        <f>MATCH($AP13,'Reference Records'!$E$430:$E$653,1)+ROW(Population_by_intervention)-1</f>
        <v>#N/A</v>
      </c>
      <c r="AS13" t="str">
        <f t="shared" si="0"/>
        <v>|empty|</v>
      </c>
      <c r="AT13" t="str">
        <f>IF(AS13="","",IFERROR(VLOOKUP(AS13,'Overview - Section A'!AF$124:AG179,2,0),VLOOKUP("|empty|",'Overview - Section A'!AF$124:AG179,2,0)))</f>
        <v>INT-257067</v>
      </c>
      <c r="AU13" s="121"/>
      <c r="AV13" s="121"/>
      <c r="AY13">
        <f t="shared" si="2"/>
        <v>2209</v>
      </c>
      <c r="AZ13">
        <f ca="1">AZ12+'update Helper'!$X$2</f>
        <v>2395</v>
      </c>
      <c r="BB13" t="str">
        <f t="shared" ca="1" si="1"/>
        <v/>
      </c>
      <c r="BC13" t="str">
        <f ca="1">IF(INDIRECT("'update Helper'!S"&amp;AY13)=0,"",IFERROR(VLOOKUP(INDIRECT("'update Helper'!S"&amp;AY13),'Account Role'!A$1:B$14,2,0),IFERROR(VLOOKUP(INDIRECT("'update Helper'!I"&amp;AY13),'Overview - Section A'!J$26:P$91,7,0),"")))</f>
        <v/>
      </c>
      <c r="BD13" t="str">
        <f ca="1">IFERROR(INDEX('Overview - Section A'!A$123:A179,MATCH(INDIRECT("'update Helper'!Q"&amp;AY13),'Overview - Section A'!AQ$123:AQ179,0)),"")</f>
        <v/>
      </c>
      <c r="BE13" t="str">
        <f>IFERROR(INDEX('Overview - Section A'!O$123:O179,MATCH(AT13,'Overview - Section A'!AQ$123:AQ179,0)),"")</f>
        <v/>
      </c>
      <c r="BF13" t="str">
        <f>IFERROR(INDEX('Overview - Section A'!H$123:H179,MATCH(AT13,'Overview - Section A'!AQ$123:AQ179,0)),"")</f>
        <v/>
      </c>
    </row>
    <row r="14" spans="1:58" ht="30" customHeight="1">
      <c r="A14" s="120">
        <v>6</v>
      </c>
      <c r="B14" s="121"/>
      <c r="C14" s="121"/>
      <c r="D14" s="121"/>
      <c r="E14" s="121"/>
      <c r="F14" s="121"/>
      <c r="G14" s="122"/>
      <c r="H14" s="121"/>
      <c r="I14" s="122"/>
      <c r="J14" s="121"/>
      <c r="K14" s="121"/>
      <c r="L14" s="121"/>
      <c r="M14" s="122"/>
      <c r="N14" s="121"/>
      <c r="O14" s="121"/>
      <c r="P14" s="121"/>
      <c r="Q14" s="122"/>
      <c r="R14" s="121"/>
      <c r="S14" s="121"/>
      <c r="T14" s="122"/>
      <c r="U14" s="122"/>
      <c r="V14" s="121"/>
      <c r="W14" s="121"/>
      <c r="X14" s="122"/>
      <c r="Y14" s="122"/>
      <c r="Z14" s="121"/>
      <c r="AA14" s="121"/>
      <c r="AB14" s="122"/>
      <c r="AC14" s="122"/>
      <c r="AD14" s="121"/>
      <c r="AE14" s="121"/>
      <c r="AF14" s="122"/>
      <c r="AG14" s="122"/>
      <c r="AH14" s="121"/>
      <c r="AI14" s="121"/>
      <c r="AJ14" s="122"/>
      <c r="AK14" s="122"/>
      <c r="AL14" s="121"/>
      <c r="AM14" s="121"/>
      <c r="AN14" s="121"/>
      <c r="AO14" t="str">
        <f>IFERROR(VLOOKUP(D14,'Reference Records'!$C$213:$E$352,3,FALSE),"")</f>
        <v/>
      </c>
      <c r="AP14" t="e">
        <f>VLOOKUP(AO14,'Reference Records'!$E$213:$F$352,2,0)</f>
        <v>#N/A</v>
      </c>
      <c r="AQ14" t="e">
        <f>MATCH($AP14,'Reference Records'!$E$430:$E$653,0)+ROW(Population_by_intervention)-1</f>
        <v>#N/A</v>
      </c>
      <c r="AR14" t="e">
        <f>MATCH($AP14,'Reference Records'!$E$430:$E$653,1)+ROW(Population_by_intervention)-1</f>
        <v>#N/A</v>
      </c>
      <c r="AS14" t="str">
        <f t="shared" si="0"/>
        <v>|empty|</v>
      </c>
      <c r="AT14" t="str">
        <f>IF(AS14="","",IFERROR(VLOOKUP(AS14,'Overview - Section A'!AF$124:AG180,2,0),VLOOKUP("|empty|",'Overview - Section A'!AF$124:AG180,2,0)))</f>
        <v>INT-257067</v>
      </c>
      <c r="AU14" s="121"/>
      <c r="AV14" s="121"/>
      <c r="AY14">
        <f t="shared" si="2"/>
        <v>2210</v>
      </c>
      <c r="AZ14">
        <f ca="1">AZ13+'update Helper'!$X$2</f>
        <v>2401</v>
      </c>
      <c r="BB14" t="str">
        <f t="shared" ca="1" si="1"/>
        <v/>
      </c>
      <c r="BC14" t="str">
        <f ca="1">IF(INDIRECT("'update Helper'!S"&amp;AY14)=0,"",IFERROR(VLOOKUP(INDIRECT("'update Helper'!S"&amp;AY14),'Account Role'!A$1:B$14,2,0),IFERROR(VLOOKUP(INDIRECT("'update Helper'!I"&amp;AY14),'Overview - Section A'!J$26:P$91,7,0),"")))</f>
        <v/>
      </c>
      <c r="BD14" t="str">
        <f ca="1">IFERROR(INDEX('Overview - Section A'!A$123:A180,MATCH(INDIRECT("'update Helper'!Q"&amp;AY14),'Overview - Section A'!AQ$123:AQ180,0)),"")</f>
        <v/>
      </c>
      <c r="BE14" t="str">
        <f>IFERROR(INDEX('Overview - Section A'!O$123:O180,MATCH(AT14,'Overview - Section A'!AQ$123:AQ180,0)),"")</f>
        <v/>
      </c>
      <c r="BF14" t="str">
        <f>IFERROR(INDEX('Overview - Section A'!H$123:H180,MATCH(AT14,'Overview - Section A'!AQ$123:AQ180,0)),"")</f>
        <v/>
      </c>
    </row>
    <row r="15" spans="1:58" ht="30" customHeight="1">
      <c r="A15" s="120">
        <v>7</v>
      </c>
      <c r="B15" s="121"/>
      <c r="C15" s="121"/>
      <c r="D15" s="121"/>
      <c r="E15" s="121"/>
      <c r="F15" s="121"/>
      <c r="G15" s="122"/>
      <c r="H15" s="121"/>
      <c r="I15" s="122"/>
      <c r="J15" s="121"/>
      <c r="K15" s="121"/>
      <c r="L15" s="121"/>
      <c r="M15" s="122"/>
      <c r="N15" s="121"/>
      <c r="O15" s="121"/>
      <c r="P15" s="121"/>
      <c r="Q15" s="122"/>
      <c r="R15" s="121"/>
      <c r="S15" s="121"/>
      <c r="T15" s="122"/>
      <c r="U15" s="122"/>
      <c r="V15" s="121"/>
      <c r="W15" s="121"/>
      <c r="X15" s="122"/>
      <c r="Y15" s="122"/>
      <c r="Z15" s="121"/>
      <c r="AA15" s="121"/>
      <c r="AB15" s="122"/>
      <c r="AC15" s="122"/>
      <c r="AD15" s="121"/>
      <c r="AE15" s="121"/>
      <c r="AF15" s="122"/>
      <c r="AG15" s="122"/>
      <c r="AH15" s="121"/>
      <c r="AI15" s="121"/>
      <c r="AJ15" s="122"/>
      <c r="AK15" s="122"/>
      <c r="AL15" s="121"/>
      <c r="AM15" s="121"/>
      <c r="AN15" s="121"/>
      <c r="AO15" t="str">
        <f>IFERROR(VLOOKUP(D15,'Reference Records'!$C$213:$E$352,3,FALSE),"")</f>
        <v/>
      </c>
      <c r="AP15" t="e">
        <f>VLOOKUP(AO15,'Reference Records'!$E$213:$F$352,2,0)</f>
        <v>#N/A</v>
      </c>
      <c r="AQ15" t="e">
        <f>MATCH($AP15,'Reference Records'!$E$430:$E$653,0)+ROW(Population_by_intervention)-1</f>
        <v>#N/A</v>
      </c>
      <c r="AR15" t="e">
        <f>MATCH($AP15,'Reference Records'!$E$430:$E$653,1)+ROW(Population_by_intervention)-1</f>
        <v>#N/A</v>
      </c>
      <c r="AS15" t="str">
        <f t="shared" si="0"/>
        <v>|empty|</v>
      </c>
      <c r="AT15" t="str">
        <f>IF(AS15="","",IFERROR(VLOOKUP(AS15,'Overview - Section A'!AF$124:AG181,2,0),VLOOKUP("|empty|",'Overview - Section A'!AF$124:AG181,2,0)))</f>
        <v>INT-257067</v>
      </c>
      <c r="AU15" s="121"/>
      <c r="AV15" s="121"/>
      <c r="AY15">
        <f t="shared" si="2"/>
        <v>2211</v>
      </c>
      <c r="AZ15">
        <f ca="1">AZ14+'update Helper'!$X$2</f>
        <v>2407</v>
      </c>
      <c r="BB15" t="str">
        <f t="shared" ca="1" si="1"/>
        <v/>
      </c>
      <c r="BC15" t="str">
        <f ca="1">IF(INDIRECT("'update Helper'!S"&amp;AY15)=0,"",IFERROR(VLOOKUP(INDIRECT("'update Helper'!S"&amp;AY15),'Account Role'!A$1:B$14,2,0),IFERROR(VLOOKUP(INDIRECT("'update Helper'!I"&amp;AY15),'Overview - Section A'!J$26:P$91,7,0),"")))</f>
        <v/>
      </c>
      <c r="BD15" t="str">
        <f ca="1">IFERROR(INDEX('Overview - Section A'!A$123:A181,MATCH(INDIRECT("'update Helper'!Q"&amp;AY15),'Overview - Section A'!AQ$123:AQ181,0)),"")</f>
        <v/>
      </c>
      <c r="BE15" t="str">
        <f>IFERROR(INDEX('Overview - Section A'!O$123:O181,MATCH(AT15,'Overview - Section A'!AQ$123:AQ181,0)),"")</f>
        <v/>
      </c>
      <c r="BF15" t="str">
        <f>IFERROR(INDEX('Overview - Section A'!H$123:H181,MATCH(AT15,'Overview - Section A'!AQ$123:AQ181,0)),"")</f>
        <v/>
      </c>
    </row>
    <row r="16" spans="1:58" ht="30" customHeight="1">
      <c r="A16" s="120">
        <v>8</v>
      </c>
      <c r="B16" s="121"/>
      <c r="C16" s="121"/>
      <c r="D16" s="121"/>
      <c r="E16" s="121"/>
      <c r="F16" s="121"/>
      <c r="G16" s="122"/>
      <c r="H16" s="121"/>
      <c r="I16" s="122"/>
      <c r="J16" s="121"/>
      <c r="K16" s="121"/>
      <c r="L16" s="121"/>
      <c r="M16" s="122"/>
      <c r="N16" s="121"/>
      <c r="O16" s="121"/>
      <c r="P16" s="121"/>
      <c r="Q16" s="122"/>
      <c r="R16" s="121"/>
      <c r="S16" s="121"/>
      <c r="T16" s="122"/>
      <c r="U16" s="122"/>
      <c r="V16" s="121"/>
      <c r="W16" s="121"/>
      <c r="X16" s="122"/>
      <c r="Y16" s="122"/>
      <c r="Z16" s="121"/>
      <c r="AA16" s="121"/>
      <c r="AB16" s="122"/>
      <c r="AC16" s="122"/>
      <c r="AD16" s="121"/>
      <c r="AE16" s="121"/>
      <c r="AF16" s="122"/>
      <c r="AG16" s="122"/>
      <c r="AH16" s="121"/>
      <c r="AI16" s="121"/>
      <c r="AJ16" s="122"/>
      <c r="AK16" s="122"/>
      <c r="AL16" s="121"/>
      <c r="AM16" s="121"/>
      <c r="AN16" s="121"/>
      <c r="AO16" t="str">
        <f>IFERROR(VLOOKUP(D16,'Reference Records'!$C$213:$E$352,3,FALSE),"")</f>
        <v/>
      </c>
      <c r="AP16" t="e">
        <f>VLOOKUP(AO16,'Reference Records'!$E$213:$F$352,2,0)</f>
        <v>#N/A</v>
      </c>
      <c r="AQ16" t="e">
        <f>MATCH($AP16,'Reference Records'!$E$430:$E$653,0)+ROW(Population_by_intervention)-1</f>
        <v>#N/A</v>
      </c>
      <c r="AR16" t="e">
        <f>MATCH($AP16,'Reference Records'!$E$430:$E$653,1)+ROW(Population_by_intervention)-1</f>
        <v>#N/A</v>
      </c>
      <c r="AS16" t="str">
        <f t="shared" si="0"/>
        <v>|empty|</v>
      </c>
      <c r="AT16" t="str">
        <f>IF(AS16="","",IFERROR(VLOOKUP(AS16,'Overview - Section A'!AF$124:AG182,2,0),VLOOKUP("|empty|",'Overview - Section A'!AF$124:AG182,2,0)))</f>
        <v>INT-257067</v>
      </c>
      <c r="AU16" s="121"/>
      <c r="AV16" s="121"/>
      <c r="AY16">
        <f t="shared" si="2"/>
        <v>2212</v>
      </c>
      <c r="AZ16">
        <f ca="1">AZ15+'update Helper'!$X$2</f>
        <v>2413</v>
      </c>
      <c r="BC16" t="str">
        <f ca="1">IF(INDIRECT("'update Helper'!S"&amp;AY16)=0,"",IFERROR(VLOOKUP(INDIRECT("'update Helper'!S"&amp;AY16),'Account Role'!A$1:B$14,2,0),IFERROR(VLOOKUP(INDIRECT("'update Helper'!I"&amp;AY16),'Overview - Section A'!J$26:P$91,7,0),"")))</f>
        <v/>
      </c>
      <c r="BD16" t="str">
        <f ca="1">IFERROR(INDEX('Overview - Section A'!A$123:A182,MATCH(INDIRECT("'update Helper'!Q"&amp;AY16),'Overview - Section A'!AQ$123:AQ182,0)),"")</f>
        <v/>
      </c>
      <c r="BE16" t="str">
        <f>IFERROR(INDEX('Overview - Section A'!O$123:O182,MATCH(AT16,'Overview - Section A'!AQ$123:AQ182,0)),"")</f>
        <v/>
      </c>
      <c r="BF16" t="str">
        <f>IFERROR(INDEX('Overview - Section A'!H$123:H182,MATCH(AT16,'Overview - Section A'!AQ$123:AQ182,0)),"")</f>
        <v/>
      </c>
    </row>
    <row r="17" spans="1:58" ht="30" customHeight="1">
      <c r="A17" s="120">
        <v>9</v>
      </c>
      <c r="B17" s="121"/>
      <c r="C17" s="121"/>
      <c r="D17" s="121"/>
      <c r="E17" s="121"/>
      <c r="F17" s="121"/>
      <c r="G17" s="122"/>
      <c r="H17" s="121"/>
      <c r="I17" s="122"/>
      <c r="J17" s="121"/>
      <c r="K17" s="121"/>
      <c r="L17" s="121"/>
      <c r="M17" s="122"/>
      <c r="N17" s="121"/>
      <c r="O17" s="121"/>
      <c r="P17" s="121"/>
      <c r="Q17" s="122"/>
      <c r="R17" s="121"/>
      <c r="S17" s="121"/>
      <c r="T17" s="122"/>
      <c r="U17" s="122"/>
      <c r="V17" s="121"/>
      <c r="W17" s="121"/>
      <c r="X17" s="122"/>
      <c r="Y17" s="122"/>
      <c r="Z17" s="121"/>
      <c r="AA17" s="121"/>
      <c r="AB17" s="122"/>
      <c r="AC17" s="122"/>
      <c r="AD17" s="121"/>
      <c r="AE17" s="121"/>
      <c r="AF17" s="122"/>
      <c r="AG17" s="122"/>
      <c r="AH17" s="121"/>
      <c r="AI17" s="121"/>
      <c r="AJ17" s="122"/>
      <c r="AK17" s="122"/>
      <c r="AL17" s="121"/>
      <c r="AM17" s="121"/>
      <c r="AN17" s="121"/>
      <c r="AO17" t="str">
        <f>IFERROR(VLOOKUP(D17,'Reference Records'!$C$213:$E$352,3,FALSE),"")</f>
        <v/>
      </c>
      <c r="AP17" t="e">
        <f>VLOOKUP(AO17,'Reference Records'!$E$213:$F$352,2,0)</f>
        <v>#N/A</v>
      </c>
      <c r="AQ17" t="e">
        <f>MATCH($AP17,'Reference Records'!$E$430:$E$653,0)+ROW(Population_by_intervention)-1</f>
        <v>#N/A</v>
      </c>
      <c r="AR17" t="e">
        <f>MATCH($AP17,'Reference Records'!$E$430:$E$653,1)+ROW(Population_by_intervention)-1</f>
        <v>#N/A</v>
      </c>
      <c r="AS17" t="str">
        <f t="shared" si="0"/>
        <v>|empty|</v>
      </c>
      <c r="AT17" t="str">
        <f>IF(AS17="","",IFERROR(VLOOKUP(AS17,'Overview - Section A'!AF$124:AG183,2,0),VLOOKUP("|empty|",'Overview - Section A'!AF$124:AG183,2,0)))</f>
        <v>INT-257067</v>
      </c>
      <c r="AU17" s="121"/>
      <c r="AV17" s="121"/>
      <c r="AY17">
        <f t="shared" si="2"/>
        <v>2213</v>
      </c>
      <c r="AZ17">
        <f ca="1">AZ16+'update Helper'!$X$2</f>
        <v>2419</v>
      </c>
      <c r="BC17" t="str">
        <f ca="1">IF(INDIRECT("'update Helper'!S"&amp;AY17)=0,"",IFERROR(VLOOKUP(INDIRECT("'update Helper'!S"&amp;AY17),'Account Role'!A$1:B$14,2,0),IFERROR(VLOOKUP(INDIRECT("'update Helper'!I"&amp;AY17),'Overview - Section A'!J$26:P$91,7,0),"")))</f>
        <v/>
      </c>
      <c r="BD17" t="str">
        <f ca="1">IFERROR(INDEX('Overview - Section A'!A$123:A183,MATCH(INDIRECT("'update Helper'!Q"&amp;AY17),'Overview - Section A'!AQ$123:AQ183,0)),"")</f>
        <v/>
      </c>
      <c r="BE17" t="str">
        <f>IFERROR(INDEX('Overview - Section A'!O$123:O183,MATCH(AT17,'Overview - Section A'!AQ$123:AQ183,0)),"")</f>
        <v/>
      </c>
      <c r="BF17" t="str">
        <f>IFERROR(INDEX('Overview - Section A'!H$123:H183,MATCH(AT17,'Overview - Section A'!AQ$123:AQ183,0)),"")</f>
        <v/>
      </c>
    </row>
    <row r="18" spans="1:58" ht="30" customHeight="1">
      <c r="A18" s="120">
        <v>10</v>
      </c>
      <c r="B18" s="121"/>
      <c r="C18" s="121"/>
      <c r="D18" s="121"/>
      <c r="E18" s="121"/>
      <c r="F18" s="121"/>
      <c r="G18" s="122"/>
      <c r="H18" s="121"/>
      <c r="I18" s="122"/>
      <c r="J18" s="121"/>
      <c r="K18" s="121"/>
      <c r="L18" s="121"/>
      <c r="M18" s="122"/>
      <c r="N18" s="121"/>
      <c r="O18" s="121"/>
      <c r="P18" s="121"/>
      <c r="Q18" s="122"/>
      <c r="R18" s="121"/>
      <c r="S18" s="121"/>
      <c r="T18" s="122"/>
      <c r="U18" s="122"/>
      <c r="V18" s="121"/>
      <c r="W18" s="121"/>
      <c r="X18" s="122"/>
      <c r="Y18" s="122"/>
      <c r="Z18" s="121"/>
      <c r="AA18" s="121"/>
      <c r="AB18" s="122"/>
      <c r="AC18" s="122"/>
      <c r="AD18" s="121"/>
      <c r="AE18" s="121"/>
      <c r="AF18" s="122"/>
      <c r="AG18" s="122"/>
      <c r="AH18" s="121"/>
      <c r="AI18" s="121"/>
      <c r="AJ18" s="122"/>
      <c r="AK18" s="122"/>
      <c r="AL18" s="121"/>
      <c r="AM18" s="121"/>
      <c r="AN18" s="121"/>
      <c r="AO18" t="str">
        <f>IFERROR(VLOOKUP(D18,'Reference Records'!$C$213:$E$352,3,FALSE),"")</f>
        <v/>
      </c>
      <c r="AP18" t="e">
        <f>VLOOKUP(AO18,'Reference Records'!$E$213:$F$352,2,0)</f>
        <v>#N/A</v>
      </c>
      <c r="AQ18" t="e">
        <f>MATCH($AP18,'Reference Records'!$E$430:$E$653,0)+ROW(Population_by_intervention)-1</f>
        <v>#N/A</v>
      </c>
      <c r="AR18" t="e">
        <f>MATCH($AP18,'Reference Records'!$E$430:$E$653,1)+ROW(Population_by_intervention)-1</f>
        <v>#N/A</v>
      </c>
      <c r="AS18" t="str">
        <f t="shared" si="0"/>
        <v>|empty|</v>
      </c>
      <c r="AT18" t="str">
        <f>IF(AS18="","",IFERROR(VLOOKUP(AS18,'Overview - Section A'!AF$124:AG184,2,0),VLOOKUP("|empty|",'Overview - Section A'!AF$124:AG184,2,0)))</f>
        <v>INT-257067</v>
      </c>
      <c r="AU18" s="121"/>
      <c r="AV18" s="121"/>
      <c r="AY18">
        <f t="shared" si="2"/>
        <v>2214</v>
      </c>
      <c r="AZ18">
        <f ca="1">AZ17+'update Helper'!$X$2</f>
        <v>2425</v>
      </c>
      <c r="BC18" t="str">
        <f ca="1">IF(INDIRECT("'update Helper'!S"&amp;AY18)=0,"",IFERROR(VLOOKUP(INDIRECT("'update Helper'!S"&amp;AY18),'Account Role'!A$1:B$14,2,0),IFERROR(VLOOKUP(INDIRECT("'update Helper'!I"&amp;AY18),'Overview - Section A'!J$26:P$91,7,0),"")))</f>
        <v/>
      </c>
      <c r="BD18" t="str">
        <f ca="1">IFERROR(INDEX('Overview - Section A'!A$123:A184,MATCH(INDIRECT("'update Helper'!Q"&amp;AY18),'Overview - Section A'!AQ$123:AQ184,0)),"")</f>
        <v/>
      </c>
      <c r="BE18" t="str">
        <f>IFERROR(INDEX('Overview - Section A'!O$123:O184,MATCH(AT18,'Overview - Section A'!AQ$123:AQ184,0)),"")</f>
        <v/>
      </c>
      <c r="BF18" t="str">
        <f>IFERROR(INDEX('Overview - Section A'!H$123:H184,MATCH(AT18,'Overview - Section A'!AQ$123:AQ184,0)),"")</f>
        <v/>
      </c>
    </row>
    <row r="19" spans="1:58" ht="30" customHeight="1">
      <c r="A19" s="120">
        <v>11</v>
      </c>
      <c r="B19" s="121"/>
      <c r="C19" s="121"/>
      <c r="D19" s="121"/>
      <c r="E19" s="121"/>
      <c r="F19" s="121"/>
      <c r="G19" s="122"/>
      <c r="H19" s="121"/>
      <c r="I19" s="122"/>
      <c r="J19" s="121"/>
      <c r="K19" s="121"/>
      <c r="L19" s="121"/>
      <c r="M19" s="122"/>
      <c r="N19" s="121"/>
      <c r="O19" s="121"/>
      <c r="P19" s="121"/>
      <c r="Q19" s="122"/>
      <c r="R19" s="121"/>
      <c r="S19" s="121"/>
      <c r="T19" s="122"/>
      <c r="U19" s="122"/>
      <c r="V19" s="121"/>
      <c r="W19" s="121"/>
      <c r="X19" s="122"/>
      <c r="Y19" s="122"/>
      <c r="Z19" s="121"/>
      <c r="AA19" s="121"/>
      <c r="AB19" s="122"/>
      <c r="AC19" s="122"/>
      <c r="AD19" s="121"/>
      <c r="AE19" s="121"/>
      <c r="AF19" s="122"/>
      <c r="AG19" s="122"/>
      <c r="AH19" s="121"/>
      <c r="AI19" s="121"/>
      <c r="AJ19" s="122"/>
      <c r="AK19" s="122"/>
      <c r="AL19" s="121"/>
      <c r="AM19" s="121"/>
      <c r="AN19" s="121"/>
      <c r="AO19" t="str">
        <f>IFERROR(VLOOKUP(D19,'Reference Records'!$C$213:$E$352,3,FALSE),"")</f>
        <v/>
      </c>
      <c r="AP19" t="e">
        <f>VLOOKUP(AO19,'Reference Records'!$E$213:$F$352,2,0)</f>
        <v>#N/A</v>
      </c>
      <c r="AQ19" t="e">
        <f>MATCH($AP19,'Reference Records'!$E$430:$E$653,0)+ROW(Population_by_intervention)-1</f>
        <v>#N/A</v>
      </c>
      <c r="AR19" t="e">
        <f>MATCH($AP19,'Reference Records'!$E$430:$E$653,1)+ROW(Population_by_intervention)-1</f>
        <v>#N/A</v>
      </c>
      <c r="AS19" t="str">
        <f t="shared" si="0"/>
        <v>|empty|</v>
      </c>
      <c r="AT19" t="str">
        <f>IF(AS19="","",IFERROR(VLOOKUP(AS19,'Overview - Section A'!AF$124:AG185,2,0),VLOOKUP("|empty|",'Overview - Section A'!AF$124:AG185,2,0)))</f>
        <v>INT-257067</v>
      </c>
      <c r="AU19" s="121"/>
      <c r="AV19" s="121"/>
      <c r="AY19">
        <f t="shared" si="2"/>
        <v>2215</v>
      </c>
      <c r="AZ19">
        <f ca="1">AZ18+'update Helper'!$X$2</f>
        <v>2431</v>
      </c>
      <c r="BC19" t="str">
        <f ca="1">IF(INDIRECT("'update Helper'!S"&amp;AY19)=0,"",IFERROR(VLOOKUP(INDIRECT("'update Helper'!S"&amp;AY19),'Account Role'!A$1:B$14,2,0),IFERROR(VLOOKUP(INDIRECT("'update Helper'!I"&amp;AY19),'Overview - Section A'!J$26:P$91,7,0),"")))</f>
        <v/>
      </c>
      <c r="BD19" t="str">
        <f ca="1">IFERROR(INDEX('Overview - Section A'!A$123:A185,MATCH(INDIRECT("'update Helper'!Q"&amp;AY19),'Overview - Section A'!AQ$123:AQ185,0)),"")</f>
        <v/>
      </c>
      <c r="BE19" t="str">
        <f>IFERROR(INDEX('Overview - Section A'!O$123:O185,MATCH(AT19,'Overview - Section A'!AQ$123:AQ185,0)),"")</f>
        <v/>
      </c>
      <c r="BF19" t="str">
        <f>IFERROR(INDEX('Overview - Section A'!H$123:H185,MATCH(AT19,'Overview - Section A'!AQ$123:AQ185,0)),"")</f>
        <v/>
      </c>
    </row>
    <row r="20" spans="1:58" ht="30" customHeight="1">
      <c r="A20" s="120">
        <v>12</v>
      </c>
      <c r="B20" s="121"/>
      <c r="C20" s="121"/>
      <c r="D20" s="121"/>
      <c r="E20" s="121"/>
      <c r="F20" s="121"/>
      <c r="G20" s="122"/>
      <c r="H20" s="121"/>
      <c r="I20" s="122"/>
      <c r="J20" s="121"/>
      <c r="K20" s="121"/>
      <c r="L20" s="121"/>
      <c r="M20" s="122"/>
      <c r="N20" s="121"/>
      <c r="O20" s="121"/>
      <c r="P20" s="121"/>
      <c r="Q20" s="122"/>
      <c r="R20" s="121"/>
      <c r="S20" s="121"/>
      <c r="T20" s="122"/>
      <c r="U20" s="122"/>
      <c r="V20" s="121"/>
      <c r="W20" s="121"/>
      <c r="X20" s="122"/>
      <c r="Y20" s="122"/>
      <c r="Z20" s="121"/>
      <c r="AA20" s="121"/>
      <c r="AB20" s="122"/>
      <c r="AC20" s="122"/>
      <c r="AD20" s="121"/>
      <c r="AE20" s="121"/>
      <c r="AF20" s="122"/>
      <c r="AG20" s="122"/>
      <c r="AH20" s="121"/>
      <c r="AI20" s="121"/>
      <c r="AJ20" s="122"/>
      <c r="AK20" s="122"/>
      <c r="AL20" s="121"/>
      <c r="AM20" s="121"/>
      <c r="AN20" s="121"/>
      <c r="AO20" t="str">
        <f>IFERROR(VLOOKUP(D20,'Reference Records'!$C$213:$E$352,3,FALSE),"")</f>
        <v/>
      </c>
      <c r="AP20" t="e">
        <f>VLOOKUP(AO20,'Reference Records'!$E$213:$F$352,2,0)</f>
        <v>#N/A</v>
      </c>
      <c r="AQ20" t="e">
        <f>MATCH($AP20,'Reference Records'!$E$430:$E$653,0)+ROW(Population_by_intervention)-1</f>
        <v>#N/A</v>
      </c>
      <c r="AR20" t="e">
        <f>MATCH($AP20,'Reference Records'!$E$430:$E$653,1)+ROW(Population_by_intervention)-1</f>
        <v>#N/A</v>
      </c>
      <c r="AS20" t="str">
        <f t="shared" si="0"/>
        <v>|empty|</v>
      </c>
      <c r="AT20" t="str">
        <f>IF(AS20="","",IFERROR(VLOOKUP(AS20,'Overview - Section A'!AF$124:AG186,2,0),VLOOKUP("|empty|",'Overview - Section A'!AF$124:AG186,2,0)))</f>
        <v>INT-257067</v>
      </c>
      <c r="AU20" s="121"/>
      <c r="AV20" s="121"/>
      <c r="AY20">
        <f t="shared" si="2"/>
        <v>2216</v>
      </c>
      <c r="AZ20">
        <f ca="1">AZ19+'update Helper'!$X$2</f>
        <v>2437</v>
      </c>
      <c r="BC20" t="str">
        <f ca="1">IF(INDIRECT("'update Helper'!S"&amp;AY20)=0,"",IFERROR(VLOOKUP(INDIRECT("'update Helper'!S"&amp;AY20),'Account Role'!A$1:B$14,2,0),IFERROR(VLOOKUP(INDIRECT("'update Helper'!I"&amp;AY20),'Overview - Section A'!J$26:P$91,7,0),"")))</f>
        <v/>
      </c>
      <c r="BD20" t="str">
        <f ca="1">IFERROR(INDEX('Overview - Section A'!A$123:A186,MATCH(INDIRECT("'update Helper'!Q"&amp;AY20),'Overview - Section A'!AQ$123:AQ186,0)),"")</f>
        <v/>
      </c>
      <c r="BE20" t="str">
        <f>IFERROR(INDEX('Overview - Section A'!O$123:O186,MATCH(AT20,'Overview - Section A'!AQ$123:AQ186,0)),"")</f>
        <v/>
      </c>
      <c r="BF20" t="str">
        <f>IFERROR(INDEX('Overview - Section A'!H$123:H186,MATCH(AT20,'Overview - Section A'!AQ$123:AQ186,0)),"")</f>
        <v/>
      </c>
    </row>
    <row r="21" spans="1:58" ht="30" customHeight="1">
      <c r="A21" s="120">
        <v>13</v>
      </c>
      <c r="B21" s="121"/>
      <c r="C21" s="121"/>
      <c r="D21" s="121"/>
      <c r="E21" s="121"/>
      <c r="F21" s="121"/>
      <c r="G21" s="122"/>
      <c r="H21" s="121"/>
      <c r="I21" s="122"/>
      <c r="J21" s="121"/>
      <c r="K21" s="121"/>
      <c r="L21" s="121"/>
      <c r="M21" s="122"/>
      <c r="N21" s="121"/>
      <c r="O21" s="121"/>
      <c r="P21" s="121"/>
      <c r="Q21" s="122"/>
      <c r="R21" s="121"/>
      <c r="S21" s="121"/>
      <c r="T21" s="122"/>
      <c r="U21" s="122"/>
      <c r="V21" s="121"/>
      <c r="W21" s="121"/>
      <c r="X21" s="122"/>
      <c r="Y21" s="122"/>
      <c r="Z21" s="121"/>
      <c r="AA21" s="121"/>
      <c r="AB21" s="122"/>
      <c r="AC21" s="122"/>
      <c r="AD21" s="121"/>
      <c r="AE21" s="121"/>
      <c r="AF21" s="122"/>
      <c r="AG21" s="122"/>
      <c r="AH21" s="121"/>
      <c r="AI21" s="121"/>
      <c r="AJ21" s="122"/>
      <c r="AK21" s="122"/>
      <c r="AL21" s="121"/>
      <c r="AM21" s="121"/>
      <c r="AN21" s="121"/>
      <c r="AO21" t="str">
        <f>IFERROR(VLOOKUP(D21,'Reference Records'!$C$213:$E$352,3,FALSE),"")</f>
        <v/>
      </c>
      <c r="AP21" t="e">
        <f>VLOOKUP(AO21,'Reference Records'!$E$213:$F$352,2,0)</f>
        <v>#N/A</v>
      </c>
      <c r="AQ21" t="e">
        <f>MATCH($AP21,'Reference Records'!$E$430:$E$653,0)+ROW(Population_by_intervention)-1</f>
        <v>#N/A</v>
      </c>
      <c r="AR21" t="e">
        <f>MATCH($AP21,'Reference Records'!$E$430:$E$653,1)+ROW(Population_by_intervention)-1</f>
        <v>#N/A</v>
      </c>
      <c r="AS21" t="str">
        <f t="shared" si="0"/>
        <v>|empty|</v>
      </c>
      <c r="AT21" t="str">
        <f>IF(AS21="","",IFERROR(VLOOKUP(AS21,'Overview - Section A'!AF$124:AG187,2,0),VLOOKUP("|empty|",'Overview - Section A'!AF$124:AG187,2,0)))</f>
        <v>INT-257067</v>
      </c>
      <c r="AU21" s="121"/>
      <c r="AV21" s="121"/>
      <c r="AY21">
        <f t="shared" si="2"/>
        <v>2217</v>
      </c>
      <c r="AZ21">
        <f ca="1">AZ20+'update Helper'!$X$2</f>
        <v>2443</v>
      </c>
      <c r="BC21" t="str">
        <f ca="1">IF(INDIRECT("'update Helper'!S"&amp;AY21)=0,"",IFERROR(VLOOKUP(INDIRECT("'update Helper'!S"&amp;AY21),'Account Role'!A$1:B$14,2,0),IFERROR(VLOOKUP(INDIRECT("'update Helper'!I"&amp;AY21),'Overview - Section A'!J$26:P$91,7,0),"")))</f>
        <v/>
      </c>
      <c r="BD21" t="str">
        <f ca="1">IFERROR(INDEX('Overview - Section A'!A$123:A187,MATCH(INDIRECT("'update Helper'!Q"&amp;AY21),'Overview - Section A'!AQ$123:AQ187,0)),"")</f>
        <v/>
      </c>
      <c r="BE21" t="str">
        <f>IFERROR(INDEX('Overview - Section A'!O$123:O187,MATCH(AT21,'Overview - Section A'!AQ$123:AQ187,0)),"")</f>
        <v/>
      </c>
      <c r="BF21" t="str">
        <f>IFERROR(INDEX('Overview - Section A'!H$123:H187,MATCH(AT21,'Overview - Section A'!AQ$123:AQ187,0)),"")</f>
        <v/>
      </c>
    </row>
    <row r="22" spans="1:58" ht="30" customHeight="1">
      <c r="A22" s="120">
        <v>14</v>
      </c>
      <c r="B22" s="121"/>
      <c r="C22" s="121"/>
      <c r="D22" s="121"/>
      <c r="E22" s="121"/>
      <c r="F22" s="121"/>
      <c r="G22" s="122"/>
      <c r="H22" s="121"/>
      <c r="I22" s="122"/>
      <c r="J22" s="121"/>
      <c r="K22" s="121"/>
      <c r="L22" s="121"/>
      <c r="M22" s="122"/>
      <c r="N22" s="121"/>
      <c r="O22" s="121"/>
      <c r="P22" s="121"/>
      <c r="Q22" s="122"/>
      <c r="R22" s="121"/>
      <c r="S22" s="121"/>
      <c r="T22" s="122"/>
      <c r="U22" s="122"/>
      <c r="V22" s="121"/>
      <c r="W22" s="121"/>
      <c r="X22" s="122"/>
      <c r="Y22" s="122"/>
      <c r="Z22" s="121"/>
      <c r="AA22" s="121"/>
      <c r="AB22" s="122"/>
      <c r="AC22" s="122"/>
      <c r="AD22" s="121"/>
      <c r="AE22" s="121"/>
      <c r="AF22" s="122"/>
      <c r="AG22" s="122"/>
      <c r="AH22" s="121"/>
      <c r="AI22" s="121"/>
      <c r="AJ22" s="122"/>
      <c r="AK22" s="122"/>
      <c r="AL22" s="121"/>
      <c r="AM22" s="121"/>
      <c r="AN22" s="121"/>
      <c r="AO22" t="str">
        <f>IFERROR(VLOOKUP(D22,'Reference Records'!$C$213:$E$352,3,FALSE),"")</f>
        <v/>
      </c>
      <c r="AP22" t="e">
        <f>VLOOKUP(AO22,'Reference Records'!$E$213:$F$352,2,0)</f>
        <v>#N/A</v>
      </c>
      <c r="AQ22" t="e">
        <f>MATCH($AP22,'Reference Records'!$E$430:$E$653,0)+ROW(Population_by_intervention)-1</f>
        <v>#N/A</v>
      </c>
      <c r="AR22" t="e">
        <f>MATCH($AP22,'Reference Records'!$E$430:$E$653,1)+ROW(Population_by_intervention)-1</f>
        <v>#N/A</v>
      </c>
      <c r="AS22" t="str">
        <f t="shared" si="0"/>
        <v>|empty|</v>
      </c>
      <c r="AT22" t="str">
        <f>IF(AS22="","",IFERROR(VLOOKUP(AS22,'Overview - Section A'!AF$124:AG188,2,0),VLOOKUP("|empty|",'Overview - Section A'!AF$124:AG188,2,0)))</f>
        <v>INT-257067</v>
      </c>
      <c r="AU22" s="121"/>
      <c r="AV22" s="121"/>
      <c r="AY22">
        <f t="shared" si="2"/>
        <v>2218</v>
      </c>
      <c r="AZ22">
        <f ca="1">AZ21+'update Helper'!$X$2</f>
        <v>2449</v>
      </c>
      <c r="BC22" t="str">
        <f ca="1">IF(INDIRECT("'update Helper'!S"&amp;AY22)=0,"",IFERROR(VLOOKUP(INDIRECT("'update Helper'!S"&amp;AY22),'Account Role'!A$1:B$14,2,0),IFERROR(VLOOKUP(INDIRECT("'update Helper'!I"&amp;AY22),'Overview - Section A'!J$26:P$91,7,0),"")))</f>
        <v/>
      </c>
      <c r="BD22" t="str">
        <f ca="1">IFERROR(INDEX('Overview - Section A'!A$123:A188,MATCH(INDIRECT("'update Helper'!Q"&amp;AY22),'Overview - Section A'!AQ$123:AQ188,0)),"")</f>
        <v/>
      </c>
      <c r="BE22" t="str">
        <f>IFERROR(INDEX('Overview - Section A'!O$123:O188,MATCH(AT22,'Overview - Section A'!AQ$123:AQ188,0)),"")</f>
        <v/>
      </c>
      <c r="BF22" t="str">
        <f>IFERROR(INDEX('Overview - Section A'!H$123:H188,MATCH(AT22,'Overview - Section A'!AQ$123:AQ188,0)),"")</f>
        <v/>
      </c>
    </row>
    <row r="23" spans="1:58" ht="30" customHeight="1">
      <c r="A23" s="120">
        <v>15</v>
      </c>
      <c r="B23" s="121"/>
      <c r="C23" s="121"/>
      <c r="D23" s="121"/>
      <c r="E23" s="121"/>
      <c r="F23" s="121"/>
      <c r="G23" s="122"/>
      <c r="H23" s="121"/>
      <c r="I23" s="122"/>
      <c r="J23" s="121"/>
      <c r="K23" s="121"/>
      <c r="L23" s="121"/>
      <c r="M23" s="122"/>
      <c r="N23" s="121"/>
      <c r="O23" s="121"/>
      <c r="P23" s="121"/>
      <c r="Q23" s="122"/>
      <c r="R23" s="121"/>
      <c r="S23" s="121"/>
      <c r="T23" s="122"/>
      <c r="U23" s="122"/>
      <c r="V23" s="121"/>
      <c r="W23" s="121"/>
      <c r="X23" s="122"/>
      <c r="Y23" s="122"/>
      <c r="Z23" s="121"/>
      <c r="AA23" s="121"/>
      <c r="AB23" s="122"/>
      <c r="AC23" s="122"/>
      <c r="AD23" s="121"/>
      <c r="AE23" s="121"/>
      <c r="AF23" s="122"/>
      <c r="AG23" s="122"/>
      <c r="AH23" s="121"/>
      <c r="AI23" s="121"/>
      <c r="AJ23" s="122"/>
      <c r="AK23" s="122"/>
      <c r="AL23" s="121"/>
      <c r="AM23" s="121"/>
      <c r="AN23" s="121"/>
      <c r="AO23" t="str">
        <f>IFERROR(VLOOKUP(D23,'Reference Records'!$C$213:$E$352,3,FALSE),"")</f>
        <v/>
      </c>
      <c r="AP23" t="e">
        <f>VLOOKUP(AO23,'Reference Records'!$E$213:$F$352,2,0)</f>
        <v>#N/A</v>
      </c>
      <c r="AQ23" t="e">
        <f>MATCH($AP23,'Reference Records'!$E$430:$E$653,0)+ROW(Population_by_intervention)-1</f>
        <v>#N/A</v>
      </c>
      <c r="AR23" t="e">
        <f>MATCH($AP23,'Reference Records'!$E$430:$E$653,1)+ROW(Population_by_intervention)-1</f>
        <v>#N/A</v>
      </c>
      <c r="AS23" t="str">
        <f t="shared" si="0"/>
        <v>|empty|</v>
      </c>
      <c r="AT23" t="str">
        <f>IF(AS23="","",IFERROR(VLOOKUP(AS23,'Overview - Section A'!AF$124:AG189,2,0),VLOOKUP("|empty|",'Overview - Section A'!AF$124:AG189,2,0)))</f>
        <v>INT-257067</v>
      </c>
      <c r="AU23" s="121"/>
      <c r="AV23" s="121"/>
      <c r="AY23">
        <f t="shared" si="2"/>
        <v>2219</v>
      </c>
      <c r="AZ23">
        <f ca="1">AZ22+'update Helper'!$X$2</f>
        <v>2455</v>
      </c>
      <c r="BC23" t="str">
        <f ca="1">IF(INDIRECT("'update Helper'!S"&amp;AY23)=0,"",IFERROR(VLOOKUP(INDIRECT("'update Helper'!S"&amp;AY23),'Account Role'!A$1:B$14,2,0),IFERROR(VLOOKUP(INDIRECT("'update Helper'!I"&amp;AY23),'Overview - Section A'!J$26:P$91,7,0),"")))</f>
        <v/>
      </c>
      <c r="BD23" t="str">
        <f ca="1">IFERROR(INDEX('Overview - Section A'!A$123:A189,MATCH(INDIRECT("'update Helper'!Q"&amp;AY23),'Overview - Section A'!AQ$123:AQ189,0)),"")</f>
        <v/>
      </c>
      <c r="BE23" t="str">
        <f>IFERROR(INDEX('Overview - Section A'!O$123:O189,MATCH(AT23,'Overview - Section A'!AQ$123:AQ189,0)),"")</f>
        <v/>
      </c>
      <c r="BF23" t="str">
        <f>IFERROR(INDEX('Overview - Section A'!H$123:H189,MATCH(AT23,'Overview - Section A'!AQ$123:AQ189,0)),"")</f>
        <v/>
      </c>
    </row>
    <row r="24" spans="1:58" ht="30" customHeight="1">
      <c r="A24" s="120">
        <v>16</v>
      </c>
      <c r="B24" s="121"/>
      <c r="C24" s="121"/>
      <c r="D24" s="121"/>
      <c r="E24" s="121"/>
      <c r="F24" s="121"/>
      <c r="G24" s="122"/>
      <c r="H24" s="121"/>
      <c r="I24" s="122"/>
      <c r="J24" s="121"/>
      <c r="K24" s="121"/>
      <c r="L24" s="121"/>
      <c r="M24" s="122"/>
      <c r="N24" s="121"/>
      <c r="O24" s="121"/>
      <c r="P24" s="121"/>
      <c r="Q24" s="122"/>
      <c r="R24" s="121"/>
      <c r="S24" s="121"/>
      <c r="T24" s="122"/>
      <c r="U24" s="122"/>
      <c r="V24" s="121"/>
      <c r="W24" s="121"/>
      <c r="X24" s="122"/>
      <c r="Y24" s="122"/>
      <c r="Z24" s="121"/>
      <c r="AA24" s="121"/>
      <c r="AB24" s="122"/>
      <c r="AC24" s="122"/>
      <c r="AD24" s="121"/>
      <c r="AE24" s="121"/>
      <c r="AF24" s="122"/>
      <c r="AG24" s="122"/>
      <c r="AH24" s="121"/>
      <c r="AI24" s="121"/>
      <c r="AJ24" s="122"/>
      <c r="AK24" s="122"/>
      <c r="AL24" s="121"/>
      <c r="AM24" s="121"/>
      <c r="AN24" s="121"/>
      <c r="AO24" t="str">
        <f>IFERROR(VLOOKUP(D24,'Reference Records'!$C$213:$E$352,3,FALSE),"")</f>
        <v/>
      </c>
      <c r="AP24" t="e">
        <f>VLOOKUP(AO24,'Reference Records'!$E$213:$F$352,2,0)</f>
        <v>#N/A</v>
      </c>
      <c r="AQ24" t="e">
        <f>MATCH($AP24,'Reference Records'!$E$430:$E$653,0)+ROW(Population_by_intervention)-1</f>
        <v>#N/A</v>
      </c>
      <c r="AR24" t="e">
        <f>MATCH($AP24,'Reference Records'!$E$430:$E$653,1)+ROW(Population_by_intervention)-1</f>
        <v>#N/A</v>
      </c>
      <c r="AS24" t="str">
        <f t="shared" si="0"/>
        <v>|empty|</v>
      </c>
      <c r="AT24" t="str">
        <f>IF(AS24="","",IFERROR(VLOOKUP(AS24,'Overview - Section A'!AF$124:AG190,2,0),VLOOKUP("|empty|",'Overview - Section A'!AF$124:AG190,2,0)))</f>
        <v>INT-257067</v>
      </c>
      <c r="AU24" s="121"/>
      <c r="AV24" s="121"/>
      <c r="AY24">
        <f t="shared" si="2"/>
        <v>2220</v>
      </c>
      <c r="AZ24">
        <f ca="1">AZ23+'update Helper'!$X$2</f>
        <v>2461</v>
      </c>
      <c r="BC24" t="str">
        <f ca="1">IF(INDIRECT("'update Helper'!S"&amp;AY24)=0,"",IFERROR(VLOOKUP(INDIRECT("'update Helper'!S"&amp;AY24),'Account Role'!A$1:B$14,2,0),IFERROR(VLOOKUP(INDIRECT("'update Helper'!I"&amp;AY24),'Overview - Section A'!J$26:P$91,7,0),"")))</f>
        <v/>
      </c>
      <c r="BD24" t="str">
        <f ca="1">IFERROR(INDEX('Overview - Section A'!A$123:A190,MATCH(INDIRECT("'update Helper'!Q"&amp;AY24),'Overview - Section A'!AQ$123:AQ190,0)),"")</f>
        <v/>
      </c>
      <c r="BE24" t="str">
        <f>IFERROR(INDEX('Overview - Section A'!O$123:O190,MATCH(AT24,'Overview - Section A'!AQ$123:AQ190,0)),"")</f>
        <v/>
      </c>
      <c r="BF24" t="str">
        <f>IFERROR(INDEX('Overview - Section A'!H$123:H190,MATCH(AT24,'Overview - Section A'!AQ$123:AQ190,0)),"")</f>
        <v/>
      </c>
    </row>
    <row r="25" spans="1:58" ht="30" customHeight="1">
      <c r="A25" s="120">
        <v>17</v>
      </c>
      <c r="B25" s="121"/>
      <c r="C25" s="121"/>
      <c r="D25" s="121"/>
      <c r="E25" s="121"/>
      <c r="F25" s="121"/>
      <c r="G25" s="122"/>
      <c r="H25" s="121"/>
      <c r="I25" s="122"/>
      <c r="J25" s="121"/>
      <c r="K25" s="121"/>
      <c r="L25" s="121"/>
      <c r="M25" s="122"/>
      <c r="N25" s="121"/>
      <c r="O25" s="121"/>
      <c r="P25" s="121"/>
      <c r="Q25" s="122"/>
      <c r="R25" s="121"/>
      <c r="S25" s="121"/>
      <c r="T25" s="122"/>
      <c r="U25" s="122"/>
      <c r="V25" s="121"/>
      <c r="W25" s="121"/>
      <c r="X25" s="122"/>
      <c r="Y25" s="122"/>
      <c r="Z25" s="121"/>
      <c r="AA25" s="121"/>
      <c r="AB25" s="122"/>
      <c r="AC25" s="122"/>
      <c r="AD25" s="121"/>
      <c r="AE25" s="121"/>
      <c r="AF25" s="122"/>
      <c r="AG25" s="122"/>
      <c r="AH25" s="121"/>
      <c r="AI25" s="121"/>
      <c r="AJ25" s="122"/>
      <c r="AK25" s="122"/>
      <c r="AL25" s="121"/>
      <c r="AM25" s="121"/>
      <c r="AN25" s="121"/>
      <c r="AO25" t="str">
        <f>IFERROR(VLOOKUP(D25,'Reference Records'!$C$213:$E$352,3,FALSE),"")</f>
        <v/>
      </c>
      <c r="AP25" t="e">
        <f>VLOOKUP(AO25,'Reference Records'!$E$213:$F$352,2,0)</f>
        <v>#N/A</v>
      </c>
      <c r="AQ25" t="e">
        <f>MATCH($AP25,'Reference Records'!$E$430:$E$653,0)+ROW(Population_by_intervention)-1</f>
        <v>#N/A</v>
      </c>
      <c r="AR25" t="e">
        <f>MATCH($AP25,'Reference Records'!$E$430:$E$653,1)+ROW(Population_by_intervention)-1</f>
        <v>#N/A</v>
      </c>
      <c r="AS25" t="str">
        <f t="shared" si="0"/>
        <v>|empty|</v>
      </c>
      <c r="AT25" t="str">
        <f>IF(AS25="","",IFERROR(VLOOKUP(AS25,'Overview - Section A'!AF$124:AG191,2,0),VLOOKUP("|empty|",'Overview - Section A'!AF$124:AG191,2,0)))</f>
        <v>INT-257067</v>
      </c>
      <c r="AU25" s="121"/>
      <c r="AV25" s="121"/>
      <c r="AY25">
        <f t="shared" si="2"/>
        <v>2221</v>
      </c>
      <c r="AZ25">
        <f ca="1">AZ24+'update Helper'!$X$2</f>
        <v>2467</v>
      </c>
      <c r="BC25" t="str">
        <f ca="1">IF(INDIRECT("'update Helper'!S"&amp;AY25)=0,"",IFERROR(VLOOKUP(INDIRECT("'update Helper'!S"&amp;AY25),'Account Role'!A$1:B$14,2,0),IFERROR(VLOOKUP(INDIRECT("'update Helper'!I"&amp;AY25),'Overview - Section A'!J$26:P$91,7,0),"")))</f>
        <v/>
      </c>
      <c r="BD25" t="str">
        <f ca="1">IFERROR(INDEX('Overview - Section A'!A$123:A191,MATCH(INDIRECT("'update Helper'!Q"&amp;AY25),'Overview - Section A'!AQ$123:AQ191,0)),"")</f>
        <v/>
      </c>
      <c r="BE25" t="str">
        <f>IFERROR(INDEX('Overview - Section A'!O$123:O191,MATCH(AT25,'Overview - Section A'!AQ$123:AQ191,0)),"")</f>
        <v/>
      </c>
      <c r="BF25" t="str">
        <f>IFERROR(INDEX('Overview - Section A'!H$123:H191,MATCH(AT25,'Overview - Section A'!AQ$123:AQ191,0)),"")</f>
        <v/>
      </c>
    </row>
    <row r="26" spans="1:58" ht="30" customHeight="1">
      <c r="A26" s="120">
        <v>18</v>
      </c>
      <c r="B26" s="121"/>
      <c r="C26" s="121"/>
      <c r="D26" s="121"/>
      <c r="E26" s="121"/>
      <c r="F26" s="121"/>
      <c r="G26" s="122"/>
      <c r="H26" s="121"/>
      <c r="I26" s="122"/>
      <c r="J26" s="121"/>
      <c r="K26" s="121"/>
      <c r="L26" s="121"/>
      <c r="M26" s="122"/>
      <c r="N26" s="121"/>
      <c r="O26" s="121"/>
      <c r="P26" s="121"/>
      <c r="Q26" s="122"/>
      <c r="R26" s="121"/>
      <c r="S26" s="121"/>
      <c r="T26" s="122"/>
      <c r="U26" s="122"/>
      <c r="V26" s="121"/>
      <c r="W26" s="121"/>
      <c r="X26" s="122"/>
      <c r="Y26" s="122"/>
      <c r="Z26" s="121"/>
      <c r="AA26" s="121"/>
      <c r="AB26" s="122"/>
      <c r="AC26" s="122"/>
      <c r="AD26" s="121"/>
      <c r="AE26" s="121"/>
      <c r="AF26" s="122"/>
      <c r="AG26" s="122"/>
      <c r="AH26" s="121"/>
      <c r="AI26" s="121"/>
      <c r="AJ26" s="122"/>
      <c r="AK26" s="122"/>
      <c r="AL26" s="121"/>
      <c r="AM26" s="121"/>
      <c r="AN26" s="121"/>
      <c r="AO26" t="str">
        <f>IFERROR(VLOOKUP(D26,'Reference Records'!$C$213:$E$352,3,FALSE),"")</f>
        <v/>
      </c>
      <c r="AP26" t="e">
        <f>VLOOKUP(AO26,'Reference Records'!$E$213:$F$352,2,0)</f>
        <v>#N/A</v>
      </c>
      <c r="AQ26" t="e">
        <f>MATCH($AP26,'Reference Records'!$E$430:$E$653,0)+ROW(Population_by_intervention)-1</f>
        <v>#N/A</v>
      </c>
      <c r="AR26" t="e">
        <f>MATCH($AP26,'Reference Records'!$E$430:$E$653,1)+ROW(Population_by_intervention)-1</f>
        <v>#N/A</v>
      </c>
      <c r="AS26" t="str">
        <f t="shared" si="0"/>
        <v>|empty|</v>
      </c>
      <c r="AT26" t="str">
        <f>IF(AS26="","",IFERROR(VLOOKUP(AS26,'Overview - Section A'!AF$124:AG192,2,0),VLOOKUP("|empty|",'Overview - Section A'!AF$124:AG192,2,0)))</f>
        <v>INT-257067</v>
      </c>
      <c r="AU26" s="121"/>
      <c r="AV26" s="121"/>
      <c r="AY26">
        <f t="shared" si="2"/>
        <v>2222</v>
      </c>
      <c r="AZ26">
        <f ca="1">AZ25+'update Helper'!$X$2</f>
        <v>2473</v>
      </c>
      <c r="BC26" t="str">
        <f ca="1">IF(INDIRECT("'update Helper'!S"&amp;AY26)=0,"",IFERROR(VLOOKUP(INDIRECT("'update Helper'!S"&amp;AY26),'Account Role'!A$1:B$14,2,0),IFERROR(VLOOKUP(INDIRECT("'update Helper'!I"&amp;AY26),'Overview - Section A'!J$26:P$91,7,0),"")))</f>
        <v/>
      </c>
      <c r="BD26" t="str">
        <f ca="1">IFERROR(INDEX('Overview - Section A'!A$123:A192,MATCH(INDIRECT("'update Helper'!Q"&amp;AY26),'Overview - Section A'!AQ$123:AQ192,0)),"")</f>
        <v/>
      </c>
      <c r="BE26" t="str">
        <f>IFERROR(INDEX('Overview - Section A'!O$123:O192,MATCH(AT26,'Overview - Section A'!AQ$123:AQ192,0)),"")</f>
        <v/>
      </c>
      <c r="BF26" t="str">
        <f>IFERROR(INDEX('Overview - Section A'!H$123:H192,MATCH(AT26,'Overview - Section A'!AQ$123:AQ192,0)),"")</f>
        <v/>
      </c>
    </row>
    <row r="27" spans="1:58" ht="30" customHeight="1">
      <c r="A27" s="120">
        <v>19</v>
      </c>
      <c r="B27" s="121"/>
      <c r="C27" s="121"/>
      <c r="D27" s="121"/>
      <c r="E27" s="121"/>
      <c r="F27" s="121"/>
      <c r="G27" s="122"/>
      <c r="H27" s="121"/>
      <c r="I27" s="122"/>
      <c r="J27" s="121"/>
      <c r="K27" s="121"/>
      <c r="L27" s="121"/>
      <c r="M27" s="122"/>
      <c r="N27" s="121"/>
      <c r="O27" s="121"/>
      <c r="P27" s="121"/>
      <c r="Q27" s="122"/>
      <c r="R27" s="121"/>
      <c r="S27" s="121"/>
      <c r="T27" s="122"/>
      <c r="U27" s="122"/>
      <c r="V27" s="121"/>
      <c r="W27" s="121"/>
      <c r="X27" s="122"/>
      <c r="Y27" s="122"/>
      <c r="Z27" s="121"/>
      <c r="AA27" s="121"/>
      <c r="AB27" s="122"/>
      <c r="AC27" s="122"/>
      <c r="AD27" s="121"/>
      <c r="AE27" s="121"/>
      <c r="AF27" s="122"/>
      <c r="AG27" s="122"/>
      <c r="AH27" s="121"/>
      <c r="AI27" s="121"/>
      <c r="AJ27" s="122"/>
      <c r="AK27" s="122"/>
      <c r="AL27" s="121"/>
      <c r="AM27" s="121"/>
      <c r="AN27" s="121"/>
      <c r="AO27" t="str">
        <f>IFERROR(VLOOKUP(D27,'Reference Records'!$C$213:$E$352,3,FALSE),"")</f>
        <v/>
      </c>
      <c r="AP27" t="e">
        <f>VLOOKUP(AO27,'Reference Records'!$E$213:$F$352,2,0)</f>
        <v>#N/A</v>
      </c>
      <c r="AQ27" t="e">
        <f>MATCH($AP27,'Reference Records'!$E$430:$E$653,0)+ROW(Population_by_intervention)-1</f>
        <v>#N/A</v>
      </c>
      <c r="AR27" t="e">
        <f>MATCH($AP27,'Reference Records'!$E$430:$E$653,1)+ROW(Population_by_intervention)-1</f>
        <v>#N/A</v>
      </c>
      <c r="AS27" t="str">
        <f t="shared" si="0"/>
        <v>|empty|</v>
      </c>
      <c r="AT27" t="str">
        <f>IF(AS27="","",IFERROR(VLOOKUP(AS27,'Overview - Section A'!AF$124:AG193,2,0),VLOOKUP("|empty|",'Overview - Section A'!AF$124:AG193,2,0)))</f>
        <v>INT-257067</v>
      </c>
      <c r="AU27" s="121"/>
      <c r="AV27" s="121"/>
      <c r="AY27">
        <f t="shared" si="2"/>
        <v>2223</v>
      </c>
      <c r="AZ27">
        <f ca="1">AZ26+'update Helper'!$X$2</f>
        <v>2479</v>
      </c>
      <c r="BC27" t="str">
        <f ca="1">IF(INDIRECT("'update Helper'!S"&amp;AY27)=0,"",IFERROR(VLOOKUP(INDIRECT("'update Helper'!S"&amp;AY27),'Account Role'!A$1:B$14,2,0),IFERROR(VLOOKUP(INDIRECT("'update Helper'!I"&amp;AY27),'Overview - Section A'!J$26:P$91,7,0),"")))</f>
        <v/>
      </c>
      <c r="BD27" t="str">
        <f ca="1">IFERROR(INDEX('Overview - Section A'!A$123:A193,MATCH(INDIRECT("'update Helper'!Q"&amp;AY27),'Overview - Section A'!AQ$123:AQ193,0)),"")</f>
        <v/>
      </c>
      <c r="BE27" t="str">
        <f>IFERROR(INDEX('Overview - Section A'!O$123:O193,MATCH(AT27,'Overview - Section A'!AQ$123:AQ193,0)),"")</f>
        <v/>
      </c>
      <c r="BF27" t="str">
        <f>IFERROR(INDEX('Overview - Section A'!H$123:H193,MATCH(AT27,'Overview - Section A'!AQ$123:AQ193,0)),"")</f>
        <v/>
      </c>
    </row>
    <row r="28" spans="1:58" ht="30" customHeight="1">
      <c r="A28" s="120">
        <v>20</v>
      </c>
      <c r="B28" s="121"/>
      <c r="C28" s="121"/>
      <c r="D28" s="121"/>
      <c r="E28" s="121"/>
      <c r="F28" s="121"/>
      <c r="G28" s="122"/>
      <c r="H28" s="121"/>
      <c r="I28" s="122"/>
      <c r="J28" s="121"/>
      <c r="K28" s="121"/>
      <c r="L28" s="121"/>
      <c r="M28" s="122"/>
      <c r="N28" s="121"/>
      <c r="O28" s="121"/>
      <c r="P28" s="121"/>
      <c r="Q28" s="122"/>
      <c r="R28" s="121"/>
      <c r="S28" s="121"/>
      <c r="T28" s="122"/>
      <c r="U28" s="122"/>
      <c r="V28" s="121"/>
      <c r="W28" s="121"/>
      <c r="X28" s="122"/>
      <c r="Y28" s="122"/>
      <c r="Z28" s="121"/>
      <c r="AA28" s="121"/>
      <c r="AB28" s="122"/>
      <c r="AC28" s="122"/>
      <c r="AD28" s="121"/>
      <c r="AE28" s="121"/>
      <c r="AF28" s="122"/>
      <c r="AG28" s="122"/>
      <c r="AH28" s="121"/>
      <c r="AI28" s="121"/>
      <c r="AJ28" s="122"/>
      <c r="AK28" s="122"/>
      <c r="AL28" s="121"/>
      <c r="AM28" s="121"/>
      <c r="AN28" s="121"/>
      <c r="AO28" t="str">
        <f>IFERROR(VLOOKUP(D28,'Reference Records'!$C$213:$E$352,3,FALSE),"")</f>
        <v/>
      </c>
      <c r="AP28" t="e">
        <f>VLOOKUP(AO28,'Reference Records'!$E$213:$F$352,2,0)</f>
        <v>#N/A</v>
      </c>
      <c r="AQ28" t="e">
        <f>MATCH($AP28,'Reference Records'!$E$430:$E$653,0)+ROW(Population_by_intervention)-1</f>
        <v>#N/A</v>
      </c>
      <c r="AR28" t="e">
        <f>MATCH($AP28,'Reference Records'!$E$430:$E$653,1)+ROW(Population_by_intervention)-1</f>
        <v>#N/A</v>
      </c>
      <c r="AS28" t="str">
        <f t="shared" si="0"/>
        <v>|empty|</v>
      </c>
      <c r="AT28" t="str">
        <f>IF(AS28="","",IFERROR(VLOOKUP(AS28,'Overview - Section A'!AF$124:AG194,2,0),VLOOKUP("|empty|",'Overview - Section A'!AF$124:AG194,2,0)))</f>
        <v>INT-257067</v>
      </c>
      <c r="AU28" s="121"/>
      <c r="AV28" s="121"/>
      <c r="AY28">
        <f t="shared" si="2"/>
        <v>2224</v>
      </c>
      <c r="AZ28">
        <f ca="1">AZ27+'update Helper'!$X$2</f>
        <v>2485</v>
      </c>
      <c r="BC28" t="str">
        <f ca="1">IF(INDIRECT("'update Helper'!S"&amp;AY28)=0,"",IFERROR(VLOOKUP(INDIRECT("'update Helper'!S"&amp;AY28),'Account Role'!A$1:B$14,2,0),IFERROR(VLOOKUP(INDIRECT("'update Helper'!I"&amp;AY28),'Overview - Section A'!J$26:P$91,7,0),"")))</f>
        <v/>
      </c>
      <c r="BD28" t="str">
        <f ca="1">IFERROR(INDEX('Overview - Section A'!A$123:A194,MATCH(INDIRECT("'update Helper'!Q"&amp;AY28),'Overview - Section A'!AQ$123:AQ194,0)),"")</f>
        <v/>
      </c>
      <c r="BE28" t="str">
        <f>IFERROR(INDEX('Overview - Section A'!O$123:O194,MATCH(AT28,'Overview - Section A'!AQ$123:AQ194,0)),"")</f>
        <v/>
      </c>
      <c r="BF28" t="str">
        <f>IFERROR(INDEX('Overview - Section A'!H$123:H194,MATCH(AT28,'Overview - Section A'!AQ$123:AQ194,0)),"")</f>
        <v/>
      </c>
    </row>
    <row r="29" spans="1:58" ht="30" customHeight="1">
      <c r="A29" s="120">
        <v>21</v>
      </c>
      <c r="B29" s="121"/>
      <c r="C29" s="121"/>
      <c r="D29" s="121"/>
      <c r="E29" s="121"/>
      <c r="F29" s="121"/>
      <c r="G29" s="122"/>
      <c r="H29" s="121"/>
      <c r="I29" s="122"/>
      <c r="J29" s="121"/>
      <c r="K29" s="121"/>
      <c r="L29" s="121"/>
      <c r="M29" s="122"/>
      <c r="N29" s="121"/>
      <c r="O29" s="121"/>
      <c r="P29" s="121"/>
      <c r="Q29" s="122"/>
      <c r="R29" s="121"/>
      <c r="S29" s="121"/>
      <c r="T29" s="122"/>
      <c r="U29" s="122"/>
      <c r="V29" s="121"/>
      <c r="W29" s="121"/>
      <c r="X29" s="122"/>
      <c r="Y29" s="122"/>
      <c r="Z29" s="121"/>
      <c r="AA29" s="121"/>
      <c r="AB29" s="122"/>
      <c r="AC29" s="122"/>
      <c r="AD29" s="121"/>
      <c r="AE29" s="121"/>
      <c r="AF29" s="122"/>
      <c r="AG29" s="122"/>
      <c r="AH29" s="121"/>
      <c r="AI29" s="121"/>
      <c r="AJ29" s="122"/>
      <c r="AK29" s="122"/>
      <c r="AL29" s="121"/>
      <c r="AM29" s="121"/>
      <c r="AN29" s="121"/>
      <c r="AO29" t="str">
        <f>IFERROR(VLOOKUP(D29,'Reference Records'!$C$213:$E$352,3,FALSE),"")</f>
        <v/>
      </c>
      <c r="AP29" t="e">
        <f>VLOOKUP(AO29,'Reference Records'!$E$213:$F$352,2,0)</f>
        <v>#N/A</v>
      </c>
      <c r="AQ29" t="e">
        <f>MATCH($AP29,'Reference Records'!$E$430:$E$653,0)+ROW(Population_by_intervention)-1</f>
        <v>#N/A</v>
      </c>
      <c r="AR29" t="e">
        <f>MATCH($AP29,'Reference Records'!$E$430:$E$653,1)+ROW(Population_by_intervention)-1</f>
        <v>#N/A</v>
      </c>
      <c r="AS29" t="str">
        <f t="shared" si="0"/>
        <v>|empty|</v>
      </c>
      <c r="AT29" t="str">
        <f>IF(AS29="","",IFERROR(VLOOKUP(AS29,'Overview - Section A'!AF$124:AG195,2,0),VLOOKUP("|empty|",'Overview - Section A'!AF$124:AG195,2,0)))</f>
        <v>INT-257067</v>
      </c>
      <c r="AU29" s="121"/>
      <c r="AV29" s="121"/>
      <c r="AY29">
        <f t="shared" si="2"/>
        <v>2225</v>
      </c>
      <c r="AZ29">
        <f ca="1">AZ28+'update Helper'!$X$2</f>
        <v>2491</v>
      </c>
      <c r="BC29" t="str">
        <f ca="1">IF(INDIRECT("'update Helper'!S"&amp;AY29)=0,"",IFERROR(VLOOKUP(INDIRECT("'update Helper'!S"&amp;AY29),'Account Role'!A$1:B$14,2,0),IFERROR(VLOOKUP(INDIRECT("'update Helper'!I"&amp;AY29),'Overview - Section A'!J$26:P$91,7,0),"")))</f>
        <v/>
      </c>
      <c r="BD29" t="str">
        <f ca="1">IFERROR(INDEX('Overview - Section A'!A$123:A195,MATCH(INDIRECT("'update Helper'!Q"&amp;AY29),'Overview - Section A'!AQ$123:AQ195,0)),"")</f>
        <v/>
      </c>
      <c r="BE29" t="str">
        <f>IFERROR(INDEX('Overview - Section A'!O$123:O195,MATCH(AT29,'Overview - Section A'!AQ$123:AQ195,0)),"")</f>
        <v/>
      </c>
      <c r="BF29" t="str">
        <f>IFERROR(INDEX('Overview - Section A'!H$123:H195,MATCH(AT29,'Overview - Section A'!AQ$123:AQ195,0)),"")</f>
        <v/>
      </c>
    </row>
    <row r="30" spans="1:58" ht="30" customHeight="1">
      <c r="A30" s="120">
        <v>22</v>
      </c>
      <c r="B30" s="121"/>
      <c r="C30" s="121"/>
      <c r="D30" s="121"/>
      <c r="E30" s="121"/>
      <c r="F30" s="121"/>
      <c r="G30" s="122"/>
      <c r="H30" s="121"/>
      <c r="I30" s="122"/>
      <c r="J30" s="121"/>
      <c r="K30" s="121"/>
      <c r="L30" s="121"/>
      <c r="M30" s="122"/>
      <c r="N30" s="121"/>
      <c r="O30" s="121"/>
      <c r="P30" s="121"/>
      <c r="Q30" s="122"/>
      <c r="R30" s="121"/>
      <c r="S30" s="121"/>
      <c r="T30" s="122"/>
      <c r="U30" s="122"/>
      <c r="V30" s="121"/>
      <c r="W30" s="121"/>
      <c r="X30" s="122"/>
      <c r="Y30" s="122"/>
      <c r="Z30" s="121"/>
      <c r="AA30" s="121"/>
      <c r="AB30" s="122"/>
      <c r="AC30" s="122"/>
      <c r="AD30" s="121"/>
      <c r="AE30" s="121"/>
      <c r="AF30" s="122"/>
      <c r="AG30" s="122"/>
      <c r="AH30" s="121"/>
      <c r="AI30" s="121"/>
      <c r="AJ30" s="122"/>
      <c r="AK30" s="122"/>
      <c r="AL30" s="121"/>
      <c r="AM30" s="121"/>
      <c r="AN30" s="121"/>
      <c r="AO30" t="str">
        <f>IFERROR(VLOOKUP(D30,'Reference Records'!$C$213:$E$352,3,FALSE),"")</f>
        <v/>
      </c>
      <c r="AP30" t="e">
        <f>VLOOKUP(AO30,'Reference Records'!$E$213:$F$352,2,0)</f>
        <v>#N/A</v>
      </c>
      <c r="AQ30" t="e">
        <f>MATCH($AP30,'Reference Records'!$E$430:$E$653,0)+ROW(Population_by_intervention)-1</f>
        <v>#N/A</v>
      </c>
      <c r="AR30" t="e">
        <f>MATCH($AP30,'Reference Records'!$E$430:$E$653,1)+ROW(Population_by_intervention)-1</f>
        <v>#N/A</v>
      </c>
      <c r="AS30" t="str">
        <f t="shared" si="0"/>
        <v>|empty|</v>
      </c>
      <c r="AT30" t="str">
        <f>IF(AS30="","",IFERROR(VLOOKUP(AS30,'Overview - Section A'!AF$124:AG196,2,0),VLOOKUP("|empty|",'Overview - Section A'!AF$124:AG196,2,0)))</f>
        <v>INT-257067</v>
      </c>
      <c r="AU30" s="121"/>
      <c r="AV30" s="121"/>
      <c r="AY30">
        <f t="shared" si="2"/>
        <v>2226</v>
      </c>
      <c r="AZ30">
        <f ca="1">AZ29+'update Helper'!$X$2</f>
        <v>2497</v>
      </c>
      <c r="BC30" t="str">
        <f ca="1">IF(INDIRECT("'update Helper'!S"&amp;AY30)=0,"",IFERROR(VLOOKUP(INDIRECT("'update Helper'!S"&amp;AY30),'Account Role'!A$1:B$14,2,0),IFERROR(VLOOKUP(INDIRECT("'update Helper'!I"&amp;AY30),'Overview - Section A'!J$26:P$91,7,0),"")))</f>
        <v/>
      </c>
      <c r="BD30" t="str">
        <f ca="1">IFERROR(INDEX('Overview - Section A'!A$123:A196,MATCH(INDIRECT("'update Helper'!Q"&amp;AY30),'Overview - Section A'!AQ$123:AQ196,0)),"")</f>
        <v/>
      </c>
      <c r="BE30" t="str">
        <f>IFERROR(INDEX('Overview - Section A'!O$123:O196,MATCH(AT30,'Overview - Section A'!AQ$123:AQ196,0)),"")</f>
        <v/>
      </c>
      <c r="BF30" t="str">
        <f>IFERROR(INDEX('Overview - Section A'!H$123:H196,MATCH(AT30,'Overview - Section A'!AQ$123:AQ196,0)),"")</f>
        <v/>
      </c>
    </row>
    <row r="31" spans="1:58" ht="30" customHeight="1">
      <c r="A31" s="120">
        <v>23</v>
      </c>
      <c r="B31" s="121"/>
      <c r="C31" s="121"/>
      <c r="D31" s="121"/>
      <c r="E31" s="121"/>
      <c r="F31" s="121"/>
      <c r="G31" s="122"/>
      <c r="H31" s="121"/>
      <c r="I31" s="122"/>
      <c r="J31" s="121"/>
      <c r="K31" s="121"/>
      <c r="L31" s="121"/>
      <c r="M31" s="122"/>
      <c r="N31" s="121"/>
      <c r="O31" s="121"/>
      <c r="P31" s="121"/>
      <c r="Q31" s="122"/>
      <c r="R31" s="121"/>
      <c r="S31" s="121"/>
      <c r="T31" s="122"/>
      <c r="U31" s="122"/>
      <c r="V31" s="121"/>
      <c r="W31" s="121"/>
      <c r="X31" s="122"/>
      <c r="Y31" s="122"/>
      <c r="Z31" s="121"/>
      <c r="AA31" s="121"/>
      <c r="AB31" s="122"/>
      <c r="AC31" s="122"/>
      <c r="AD31" s="121"/>
      <c r="AE31" s="121"/>
      <c r="AF31" s="122"/>
      <c r="AG31" s="122"/>
      <c r="AH31" s="121"/>
      <c r="AI31" s="121"/>
      <c r="AJ31" s="122"/>
      <c r="AK31" s="122"/>
      <c r="AL31" s="121"/>
      <c r="AM31" s="121"/>
      <c r="AN31" s="121"/>
      <c r="AO31" t="str">
        <f>IFERROR(VLOOKUP(D31,'Reference Records'!$C$213:$E$352,3,FALSE),"")</f>
        <v/>
      </c>
      <c r="AP31" t="e">
        <f>VLOOKUP(AO31,'Reference Records'!$E$213:$F$352,2,0)</f>
        <v>#N/A</v>
      </c>
      <c r="AQ31" t="e">
        <f>MATCH($AP31,'Reference Records'!$E$430:$E$653,0)+ROW(Population_by_intervention)-1</f>
        <v>#N/A</v>
      </c>
      <c r="AR31" t="e">
        <f>MATCH($AP31,'Reference Records'!$E$430:$E$653,1)+ROW(Population_by_intervention)-1</f>
        <v>#N/A</v>
      </c>
      <c r="AS31" t="str">
        <f t="shared" si="0"/>
        <v>|empty|</v>
      </c>
      <c r="AT31" t="str">
        <f>IF(AS31="","",IFERROR(VLOOKUP(AS31,'Overview - Section A'!AF$124:AG197,2,0),VLOOKUP("|empty|",'Overview - Section A'!AF$124:AG197,2,0)))</f>
        <v>INT-257067</v>
      </c>
      <c r="AU31" s="121"/>
      <c r="AV31" s="121"/>
      <c r="AY31">
        <f t="shared" si="2"/>
        <v>2227</v>
      </c>
      <c r="AZ31">
        <f ca="1">AZ30+'update Helper'!$X$2</f>
        <v>2503</v>
      </c>
      <c r="BC31" t="str">
        <f ca="1">IF(INDIRECT("'update Helper'!S"&amp;AY31)=0,"",IFERROR(VLOOKUP(INDIRECT("'update Helper'!S"&amp;AY31),'Account Role'!A$1:B$14,2,0),IFERROR(VLOOKUP(INDIRECT("'update Helper'!I"&amp;AY31),'Overview - Section A'!J$26:P$91,7,0),"")))</f>
        <v/>
      </c>
      <c r="BD31" t="str">
        <f ca="1">IFERROR(INDEX('Overview - Section A'!A$123:A197,MATCH(INDIRECT("'update Helper'!Q"&amp;AY31),'Overview - Section A'!AQ$123:AQ197,0)),"")</f>
        <v/>
      </c>
      <c r="BE31" t="str">
        <f>IFERROR(INDEX('Overview - Section A'!O$123:O197,MATCH(AT31,'Overview - Section A'!AQ$123:AQ197,0)),"")</f>
        <v/>
      </c>
      <c r="BF31" t="str">
        <f>IFERROR(INDEX('Overview - Section A'!H$123:H197,MATCH(AT31,'Overview - Section A'!AQ$123:AQ197,0)),"")</f>
        <v/>
      </c>
    </row>
    <row r="32" spans="1:58" ht="30" customHeight="1">
      <c r="A32" s="120">
        <v>24</v>
      </c>
      <c r="B32" s="121"/>
      <c r="C32" s="121"/>
      <c r="D32" s="121"/>
      <c r="E32" s="121"/>
      <c r="F32" s="121"/>
      <c r="G32" s="122"/>
      <c r="H32" s="121"/>
      <c r="I32" s="122"/>
      <c r="J32" s="121"/>
      <c r="K32" s="121"/>
      <c r="L32" s="121"/>
      <c r="M32" s="122"/>
      <c r="N32" s="121"/>
      <c r="O32" s="121"/>
      <c r="P32" s="121"/>
      <c r="Q32" s="122"/>
      <c r="R32" s="121"/>
      <c r="S32" s="121"/>
      <c r="T32" s="122"/>
      <c r="U32" s="122"/>
      <c r="V32" s="121"/>
      <c r="W32" s="121"/>
      <c r="X32" s="122"/>
      <c r="Y32" s="122"/>
      <c r="Z32" s="121"/>
      <c r="AA32" s="121"/>
      <c r="AB32" s="122"/>
      <c r="AC32" s="122"/>
      <c r="AD32" s="121"/>
      <c r="AE32" s="121"/>
      <c r="AF32" s="122"/>
      <c r="AG32" s="122"/>
      <c r="AH32" s="121"/>
      <c r="AI32" s="121"/>
      <c r="AJ32" s="122"/>
      <c r="AK32" s="122"/>
      <c r="AL32" s="121"/>
      <c r="AM32" s="121"/>
      <c r="AN32" s="121"/>
      <c r="AO32" t="str">
        <f>IFERROR(VLOOKUP(D32,'Reference Records'!$C$213:$E$352,3,FALSE),"")</f>
        <v/>
      </c>
      <c r="AP32" t="e">
        <f>VLOOKUP(AO32,'Reference Records'!$E$213:$F$352,2,0)</f>
        <v>#N/A</v>
      </c>
      <c r="AQ32" t="e">
        <f>MATCH($AP32,'Reference Records'!$E$430:$E$653,0)+ROW(Population_by_intervention)-1</f>
        <v>#N/A</v>
      </c>
      <c r="AR32" t="e">
        <f>MATCH($AP32,'Reference Records'!$E$430:$E$653,1)+ROW(Population_by_intervention)-1</f>
        <v>#N/A</v>
      </c>
      <c r="AS32" t="str">
        <f t="shared" si="0"/>
        <v>|empty|</v>
      </c>
      <c r="AT32" t="str">
        <f>IF(AS32="","",IFERROR(VLOOKUP(AS32,'Overview - Section A'!AF$124:AG198,2,0),VLOOKUP("|empty|",'Overview - Section A'!AF$124:AG198,2,0)))</f>
        <v>INT-257067</v>
      </c>
      <c r="AU32" s="121"/>
      <c r="AV32" s="121"/>
      <c r="AY32">
        <f t="shared" si="2"/>
        <v>2228</v>
      </c>
      <c r="AZ32">
        <f ca="1">AZ31+'update Helper'!$X$2</f>
        <v>2509</v>
      </c>
      <c r="BC32" t="str">
        <f ca="1">IF(INDIRECT("'update Helper'!S"&amp;AY32)=0,"",IFERROR(VLOOKUP(INDIRECT("'update Helper'!S"&amp;AY32),'Account Role'!A$1:B$14,2,0),IFERROR(VLOOKUP(INDIRECT("'update Helper'!I"&amp;AY32),'Overview - Section A'!J$26:P$91,7,0),"")))</f>
        <v/>
      </c>
      <c r="BD32" t="str">
        <f ca="1">IFERROR(INDEX('Overview - Section A'!A$123:A198,MATCH(INDIRECT("'update Helper'!Q"&amp;AY32),'Overview - Section A'!AQ$123:AQ198,0)),"")</f>
        <v/>
      </c>
      <c r="BE32" t="str">
        <f>IFERROR(INDEX('Overview - Section A'!O$123:O198,MATCH(AT32,'Overview - Section A'!AQ$123:AQ198,0)),"")</f>
        <v/>
      </c>
      <c r="BF32" t="str">
        <f>IFERROR(INDEX('Overview - Section A'!H$123:H198,MATCH(AT32,'Overview - Section A'!AQ$123:AQ198,0)),"")</f>
        <v/>
      </c>
    </row>
    <row r="33" spans="1:58" ht="30" customHeight="1">
      <c r="A33" s="120">
        <v>25</v>
      </c>
      <c r="B33" s="121"/>
      <c r="C33" s="121"/>
      <c r="D33" s="121"/>
      <c r="E33" s="121"/>
      <c r="F33" s="121"/>
      <c r="G33" s="122"/>
      <c r="H33" s="121"/>
      <c r="I33" s="122"/>
      <c r="J33" s="121"/>
      <c r="K33" s="121"/>
      <c r="L33" s="121"/>
      <c r="M33" s="122"/>
      <c r="N33" s="121"/>
      <c r="O33" s="121"/>
      <c r="P33" s="121"/>
      <c r="Q33" s="122"/>
      <c r="R33" s="121"/>
      <c r="S33" s="121"/>
      <c r="T33" s="122"/>
      <c r="U33" s="122"/>
      <c r="V33" s="121"/>
      <c r="W33" s="121"/>
      <c r="X33" s="122"/>
      <c r="Y33" s="122"/>
      <c r="Z33" s="121"/>
      <c r="AA33" s="121"/>
      <c r="AB33" s="122"/>
      <c r="AC33" s="122"/>
      <c r="AD33" s="121"/>
      <c r="AE33" s="121"/>
      <c r="AF33" s="122"/>
      <c r="AG33" s="122"/>
      <c r="AH33" s="121"/>
      <c r="AI33" s="121"/>
      <c r="AJ33" s="122"/>
      <c r="AK33" s="122"/>
      <c r="AL33" s="121"/>
      <c r="AM33" s="121"/>
      <c r="AN33" s="121"/>
      <c r="AO33" t="str">
        <f>IFERROR(VLOOKUP(D33,'Reference Records'!$C$213:$E$352,3,FALSE),"")</f>
        <v/>
      </c>
      <c r="AP33" t="e">
        <f>VLOOKUP(AO33,'Reference Records'!$E$213:$F$352,2,0)</f>
        <v>#N/A</v>
      </c>
      <c r="AQ33" t="e">
        <f>MATCH($AP33,'Reference Records'!$E$430:$E$653,0)+ROW(Population_by_intervention)-1</f>
        <v>#N/A</v>
      </c>
      <c r="AR33" t="e">
        <f>MATCH($AP33,'Reference Records'!$E$430:$E$653,1)+ROW(Population_by_intervention)-1</f>
        <v>#N/A</v>
      </c>
      <c r="AS33" t="str">
        <f t="shared" si="0"/>
        <v>|empty|</v>
      </c>
      <c r="AT33" t="str">
        <f>IF(AS33="","",IFERROR(VLOOKUP(AS33,'Overview - Section A'!AF$124:AG199,2,0),VLOOKUP("|empty|",'Overview - Section A'!AF$124:AG199,2,0)))</f>
        <v>INT-257067</v>
      </c>
      <c r="AU33" s="121"/>
      <c r="AV33" s="121"/>
      <c r="AY33">
        <f t="shared" si="2"/>
        <v>2229</v>
      </c>
      <c r="AZ33">
        <f ca="1">AZ32+'update Helper'!$X$2</f>
        <v>2515</v>
      </c>
      <c r="BC33" t="str">
        <f ca="1">IF(INDIRECT("'update Helper'!S"&amp;AY33)=0,"",IFERROR(VLOOKUP(INDIRECT("'update Helper'!S"&amp;AY33),'Account Role'!A$1:B$14,2,0),IFERROR(VLOOKUP(INDIRECT("'update Helper'!I"&amp;AY33),'Overview - Section A'!J$26:P$91,7,0),"")))</f>
        <v/>
      </c>
      <c r="BD33" t="str">
        <f ca="1">IFERROR(INDEX('Overview - Section A'!A$123:A199,MATCH(INDIRECT("'update Helper'!Q"&amp;AY33),'Overview - Section A'!AQ$123:AQ199,0)),"")</f>
        <v/>
      </c>
      <c r="BE33" t="str">
        <f>IFERROR(INDEX('Overview - Section A'!O$123:O199,MATCH(AT33,'Overview - Section A'!AQ$123:AQ199,0)),"")</f>
        <v/>
      </c>
      <c r="BF33" t="str">
        <f>IFERROR(INDEX('Overview - Section A'!H$123:H199,MATCH(AT33,'Overview - Section A'!AQ$123:AQ199,0)),"")</f>
        <v/>
      </c>
    </row>
    <row r="34" spans="1:58" ht="30" customHeight="1">
      <c r="A34" s="120">
        <v>26</v>
      </c>
      <c r="B34" s="121"/>
      <c r="C34" s="121"/>
      <c r="D34" s="121"/>
      <c r="E34" s="121"/>
      <c r="F34" s="121"/>
      <c r="G34" s="122"/>
      <c r="H34" s="121"/>
      <c r="I34" s="122"/>
      <c r="J34" s="121"/>
      <c r="K34" s="121"/>
      <c r="L34" s="121"/>
      <c r="M34" s="122"/>
      <c r="N34" s="121"/>
      <c r="O34" s="121"/>
      <c r="P34" s="121"/>
      <c r="Q34" s="122"/>
      <c r="R34" s="121"/>
      <c r="S34" s="121"/>
      <c r="T34" s="122"/>
      <c r="U34" s="122"/>
      <c r="V34" s="121"/>
      <c r="W34" s="121"/>
      <c r="X34" s="122"/>
      <c r="Y34" s="122"/>
      <c r="Z34" s="121"/>
      <c r="AA34" s="121"/>
      <c r="AB34" s="122"/>
      <c r="AC34" s="122"/>
      <c r="AD34" s="121"/>
      <c r="AE34" s="121"/>
      <c r="AF34" s="122"/>
      <c r="AG34" s="122"/>
      <c r="AH34" s="121"/>
      <c r="AI34" s="121"/>
      <c r="AJ34" s="122"/>
      <c r="AK34" s="122"/>
      <c r="AL34" s="121"/>
      <c r="AM34" s="121"/>
      <c r="AN34" s="121"/>
      <c r="AO34" t="str">
        <f>IFERROR(VLOOKUP(D34,'Reference Records'!$C$213:$E$352,3,FALSE),"")</f>
        <v/>
      </c>
      <c r="AP34" t="e">
        <f>VLOOKUP(AO34,'Reference Records'!$E$213:$F$352,2,0)</f>
        <v>#N/A</v>
      </c>
      <c r="AQ34" t="e">
        <f>MATCH($AP34,'Reference Records'!$E$430:$E$653,0)+ROW(Population_by_intervention)-1</f>
        <v>#N/A</v>
      </c>
      <c r="AR34" t="e">
        <f>MATCH($AP34,'Reference Records'!$E$430:$E$653,1)+ROW(Population_by_intervention)-1</f>
        <v>#N/A</v>
      </c>
      <c r="AS34" t="str">
        <f t="shared" si="0"/>
        <v>|empty|</v>
      </c>
      <c r="AT34" t="str">
        <f>IF(AS34="","",IFERROR(VLOOKUP(AS34,'Overview - Section A'!AF$124:AG200,2,0),VLOOKUP("|empty|",'Overview - Section A'!AF$124:AG200,2,0)))</f>
        <v>INT-257067</v>
      </c>
      <c r="AU34" s="121"/>
      <c r="AV34" s="121"/>
      <c r="AY34">
        <f t="shared" si="2"/>
        <v>2230</v>
      </c>
      <c r="AZ34">
        <f ca="1">AZ33+'update Helper'!$X$2</f>
        <v>2521</v>
      </c>
      <c r="BC34" t="str">
        <f ca="1">IF(INDIRECT("'update Helper'!S"&amp;AY34)=0,"",IFERROR(VLOOKUP(INDIRECT("'update Helper'!S"&amp;AY34),'Account Role'!A$1:B$14,2,0),IFERROR(VLOOKUP(INDIRECT("'update Helper'!I"&amp;AY34),'Overview - Section A'!J$26:P$91,7,0),"")))</f>
        <v/>
      </c>
      <c r="BD34" t="str">
        <f ca="1">IFERROR(INDEX('Overview - Section A'!A$123:A200,MATCH(INDIRECT("'update Helper'!Q"&amp;AY34),'Overview - Section A'!AQ$123:AQ200,0)),"")</f>
        <v/>
      </c>
      <c r="BE34" t="str">
        <f>IFERROR(INDEX('Overview - Section A'!O$123:O200,MATCH(AT34,'Overview - Section A'!AQ$123:AQ200,0)),"")</f>
        <v/>
      </c>
      <c r="BF34" t="str">
        <f>IFERROR(INDEX('Overview - Section A'!H$123:H200,MATCH(AT34,'Overview - Section A'!AQ$123:AQ200,0)),"")</f>
        <v/>
      </c>
    </row>
    <row r="35" spans="1:58" ht="30" customHeight="1">
      <c r="A35" s="120">
        <v>27</v>
      </c>
      <c r="B35" s="121"/>
      <c r="C35" s="121"/>
      <c r="D35" s="121"/>
      <c r="E35" s="121"/>
      <c r="F35" s="121"/>
      <c r="G35" s="122"/>
      <c r="H35" s="121"/>
      <c r="I35" s="122"/>
      <c r="J35" s="121"/>
      <c r="K35" s="121"/>
      <c r="L35" s="121"/>
      <c r="M35" s="122"/>
      <c r="N35" s="121"/>
      <c r="O35" s="121"/>
      <c r="P35" s="121"/>
      <c r="Q35" s="122"/>
      <c r="R35" s="121"/>
      <c r="S35" s="121"/>
      <c r="T35" s="122"/>
      <c r="U35" s="122"/>
      <c r="V35" s="121"/>
      <c r="W35" s="121"/>
      <c r="X35" s="122"/>
      <c r="Y35" s="122"/>
      <c r="Z35" s="121"/>
      <c r="AA35" s="121"/>
      <c r="AB35" s="122"/>
      <c r="AC35" s="122"/>
      <c r="AD35" s="121"/>
      <c r="AE35" s="121"/>
      <c r="AF35" s="122"/>
      <c r="AG35" s="122"/>
      <c r="AH35" s="121"/>
      <c r="AI35" s="121"/>
      <c r="AJ35" s="122"/>
      <c r="AK35" s="122"/>
      <c r="AL35" s="121"/>
      <c r="AM35" s="121"/>
      <c r="AN35" s="121"/>
      <c r="AO35" t="str">
        <f>IFERROR(VLOOKUP(D35,'Reference Records'!$C$213:$E$352,3,FALSE),"")</f>
        <v/>
      </c>
      <c r="AP35" t="e">
        <f>VLOOKUP(AO35,'Reference Records'!$E$213:$F$352,2,0)</f>
        <v>#N/A</v>
      </c>
      <c r="AQ35" t="e">
        <f>MATCH($AP35,'Reference Records'!$E$430:$E$653,0)+ROW(Population_by_intervention)-1</f>
        <v>#N/A</v>
      </c>
      <c r="AR35" t="e">
        <f>MATCH($AP35,'Reference Records'!$E$430:$E$653,1)+ROW(Population_by_intervention)-1</f>
        <v>#N/A</v>
      </c>
      <c r="AS35" t="str">
        <f t="shared" si="0"/>
        <v>|empty|</v>
      </c>
      <c r="AT35" t="str">
        <f>IF(AS35="","",IFERROR(VLOOKUP(AS35,'Overview - Section A'!AF$124:AG201,2,0),VLOOKUP("|empty|",'Overview - Section A'!AF$124:AG201,2,0)))</f>
        <v>INT-257067</v>
      </c>
      <c r="AU35" s="121"/>
      <c r="AV35" s="121"/>
      <c r="AY35">
        <f t="shared" si="2"/>
        <v>2231</v>
      </c>
      <c r="AZ35">
        <f ca="1">AZ34+'update Helper'!$X$2</f>
        <v>2527</v>
      </c>
      <c r="BC35" t="str">
        <f ca="1">IF(INDIRECT("'update Helper'!S"&amp;AY35)=0,"",IFERROR(VLOOKUP(INDIRECT("'update Helper'!S"&amp;AY35),'Account Role'!A$1:B$14,2,0),IFERROR(VLOOKUP(INDIRECT("'update Helper'!I"&amp;AY35),'Overview - Section A'!J$26:P$91,7,0),"")))</f>
        <v/>
      </c>
      <c r="BD35" t="str">
        <f ca="1">IFERROR(INDEX('Overview - Section A'!A$123:A201,MATCH(INDIRECT("'update Helper'!Q"&amp;AY35),'Overview - Section A'!AQ$123:AQ201,0)),"")</f>
        <v/>
      </c>
      <c r="BE35" t="str">
        <f>IFERROR(INDEX('Overview - Section A'!O$123:O201,MATCH(AT35,'Overview - Section A'!AQ$123:AQ201,0)),"")</f>
        <v/>
      </c>
      <c r="BF35" t="str">
        <f>IFERROR(INDEX('Overview - Section A'!H$123:H201,MATCH(AT35,'Overview - Section A'!AQ$123:AQ201,0)),"")</f>
        <v/>
      </c>
    </row>
    <row r="36" spans="1:58" ht="30" customHeight="1">
      <c r="A36" s="120">
        <v>28</v>
      </c>
      <c r="B36" s="121"/>
      <c r="C36" s="121"/>
      <c r="D36" s="121"/>
      <c r="E36" s="121"/>
      <c r="F36" s="121"/>
      <c r="G36" s="122"/>
      <c r="H36" s="121"/>
      <c r="I36" s="122"/>
      <c r="J36" s="121"/>
      <c r="K36" s="121"/>
      <c r="L36" s="121"/>
      <c r="M36" s="122"/>
      <c r="N36" s="121"/>
      <c r="O36" s="121"/>
      <c r="P36" s="121"/>
      <c r="Q36" s="122"/>
      <c r="R36" s="121"/>
      <c r="S36" s="121"/>
      <c r="T36" s="122"/>
      <c r="U36" s="122"/>
      <c r="V36" s="121"/>
      <c r="W36" s="121"/>
      <c r="X36" s="122"/>
      <c r="Y36" s="122"/>
      <c r="Z36" s="121"/>
      <c r="AA36" s="121"/>
      <c r="AB36" s="122"/>
      <c r="AC36" s="122"/>
      <c r="AD36" s="121"/>
      <c r="AE36" s="121"/>
      <c r="AF36" s="122"/>
      <c r="AG36" s="122"/>
      <c r="AH36" s="121"/>
      <c r="AI36" s="121"/>
      <c r="AJ36" s="122"/>
      <c r="AK36" s="122"/>
      <c r="AL36" s="121"/>
      <c r="AM36" s="121"/>
      <c r="AN36" s="121"/>
      <c r="AO36" t="str">
        <f>IFERROR(VLOOKUP(D36,'Reference Records'!$C$213:$E$352,3,FALSE),"")</f>
        <v/>
      </c>
      <c r="AP36" t="e">
        <f>VLOOKUP(AO36,'Reference Records'!$E$213:$F$352,2,0)</f>
        <v>#N/A</v>
      </c>
      <c r="AQ36" t="e">
        <f>MATCH($AP36,'Reference Records'!$E$430:$E$653,0)+ROW(Population_by_intervention)-1</f>
        <v>#N/A</v>
      </c>
      <c r="AR36" t="e">
        <f>MATCH($AP36,'Reference Records'!$E$430:$E$653,1)+ROW(Population_by_intervention)-1</f>
        <v>#N/A</v>
      </c>
      <c r="AS36" t="str">
        <f t="shared" si="0"/>
        <v>|empty|</v>
      </c>
      <c r="AT36" t="str">
        <f>IF(AS36="","",IFERROR(VLOOKUP(AS36,'Overview - Section A'!AF$124:AG202,2,0),VLOOKUP("|empty|",'Overview - Section A'!AF$124:AG202,2,0)))</f>
        <v>INT-257067</v>
      </c>
      <c r="AU36" s="121"/>
      <c r="AV36" s="121"/>
      <c r="AY36">
        <f t="shared" si="2"/>
        <v>2232</v>
      </c>
      <c r="AZ36">
        <f ca="1">AZ35+'update Helper'!$X$2</f>
        <v>2533</v>
      </c>
      <c r="BC36" t="str">
        <f ca="1">IF(INDIRECT("'update Helper'!S"&amp;AY36)=0,"",IFERROR(VLOOKUP(INDIRECT("'update Helper'!S"&amp;AY36),'Account Role'!A$1:B$14,2,0),IFERROR(VLOOKUP(INDIRECT("'update Helper'!I"&amp;AY36),'Overview - Section A'!J$26:P$91,7,0),"")))</f>
        <v/>
      </c>
      <c r="BD36" t="str">
        <f ca="1">IFERROR(INDEX('Overview - Section A'!A$123:A202,MATCH(INDIRECT("'update Helper'!Q"&amp;AY36),'Overview - Section A'!AQ$123:AQ202,0)),"")</f>
        <v/>
      </c>
      <c r="BE36" t="str">
        <f>IFERROR(INDEX('Overview - Section A'!O$123:O202,MATCH(AT36,'Overview - Section A'!AQ$123:AQ202,0)),"")</f>
        <v/>
      </c>
      <c r="BF36" t="str">
        <f>IFERROR(INDEX('Overview - Section A'!H$123:H202,MATCH(AT36,'Overview - Section A'!AQ$123:AQ202,0)),"")</f>
        <v/>
      </c>
    </row>
    <row r="37" spans="1:58" ht="30" customHeight="1">
      <c r="A37" s="120">
        <v>29</v>
      </c>
      <c r="B37" s="121"/>
      <c r="C37" s="121"/>
      <c r="D37" s="121"/>
      <c r="E37" s="121"/>
      <c r="F37" s="121"/>
      <c r="G37" s="122"/>
      <c r="H37" s="121"/>
      <c r="I37" s="122"/>
      <c r="J37" s="121"/>
      <c r="K37" s="121"/>
      <c r="L37" s="121"/>
      <c r="M37" s="122"/>
      <c r="N37" s="121"/>
      <c r="O37" s="121"/>
      <c r="P37" s="121"/>
      <c r="Q37" s="122"/>
      <c r="R37" s="121"/>
      <c r="S37" s="121"/>
      <c r="T37" s="122"/>
      <c r="U37" s="122"/>
      <c r="V37" s="121"/>
      <c r="W37" s="121"/>
      <c r="X37" s="122"/>
      <c r="Y37" s="122"/>
      <c r="Z37" s="121"/>
      <c r="AA37" s="121"/>
      <c r="AB37" s="122"/>
      <c r="AC37" s="122"/>
      <c r="AD37" s="121"/>
      <c r="AE37" s="121"/>
      <c r="AF37" s="122"/>
      <c r="AG37" s="122"/>
      <c r="AH37" s="121"/>
      <c r="AI37" s="121"/>
      <c r="AJ37" s="122"/>
      <c r="AK37" s="122"/>
      <c r="AL37" s="121"/>
      <c r="AM37" s="121"/>
      <c r="AN37" s="121"/>
      <c r="AO37" t="str">
        <f>IFERROR(VLOOKUP(D37,'Reference Records'!$C$213:$E$352,3,FALSE),"")</f>
        <v/>
      </c>
      <c r="AP37" t="e">
        <f>VLOOKUP(AO37,'Reference Records'!$E$213:$F$352,2,0)</f>
        <v>#N/A</v>
      </c>
      <c r="AQ37" t="e">
        <f>MATCH($AP37,'Reference Records'!$E$430:$E$653,0)+ROW(Population_by_intervention)-1</f>
        <v>#N/A</v>
      </c>
      <c r="AR37" t="e">
        <f>MATCH($AP37,'Reference Records'!$E$430:$E$653,1)+ROW(Population_by_intervention)-1</f>
        <v>#N/A</v>
      </c>
      <c r="AS37" t="str">
        <f t="shared" si="0"/>
        <v>|empty|</v>
      </c>
      <c r="AT37" t="str">
        <f>IF(AS37="","",IFERROR(VLOOKUP(AS37,'Overview - Section A'!AF$124:AG203,2,0),VLOOKUP("|empty|",'Overview - Section A'!AF$124:AG203,2,0)))</f>
        <v>INT-257067</v>
      </c>
      <c r="AU37" s="121"/>
      <c r="AV37" s="121"/>
      <c r="AY37">
        <f t="shared" si="2"/>
        <v>2233</v>
      </c>
      <c r="AZ37">
        <f ca="1">AZ36+'update Helper'!$X$2</f>
        <v>2539</v>
      </c>
      <c r="BC37" t="str">
        <f ca="1">IF(INDIRECT("'update Helper'!S"&amp;AY37)=0,"",IFERROR(VLOOKUP(INDIRECT("'update Helper'!S"&amp;AY37),'Account Role'!A$1:B$14,2,0),IFERROR(VLOOKUP(INDIRECT("'update Helper'!I"&amp;AY37),'Overview - Section A'!J$26:P$91,7,0),"")))</f>
        <v/>
      </c>
      <c r="BD37" t="str">
        <f ca="1">IFERROR(INDEX('Overview - Section A'!A$123:A203,MATCH(INDIRECT("'update Helper'!Q"&amp;AY37),'Overview - Section A'!AQ$123:AQ203,0)),"")</f>
        <v/>
      </c>
      <c r="BE37" t="str">
        <f>IFERROR(INDEX('Overview - Section A'!O$123:O203,MATCH(AT37,'Overview - Section A'!AQ$123:AQ203,0)),"")</f>
        <v/>
      </c>
      <c r="BF37" t="str">
        <f>IFERROR(INDEX('Overview - Section A'!H$123:H203,MATCH(AT37,'Overview - Section A'!AQ$123:AQ203,0)),"")</f>
        <v/>
      </c>
    </row>
    <row r="38" spans="1:58" ht="30" customHeight="1">
      <c r="A38" s="120">
        <v>30</v>
      </c>
      <c r="B38" s="121"/>
      <c r="C38" s="121"/>
      <c r="D38" s="121"/>
      <c r="E38" s="121"/>
      <c r="F38" s="121"/>
      <c r="G38" s="122"/>
      <c r="H38" s="121"/>
      <c r="I38" s="122"/>
      <c r="J38" s="121"/>
      <c r="K38" s="121"/>
      <c r="L38" s="121"/>
      <c r="M38" s="122"/>
      <c r="N38" s="121"/>
      <c r="O38" s="121"/>
      <c r="P38" s="121"/>
      <c r="Q38" s="122"/>
      <c r="R38" s="121"/>
      <c r="S38" s="121"/>
      <c r="T38" s="122"/>
      <c r="U38" s="122"/>
      <c r="V38" s="121"/>
      <c r="W38" s="121"/>
      <c r="X38" s="122"/>
      <c r="Y38" s="122"/>
      <c r="Z38" s="121"/>
      <c r="AA38" s="121"/>
      <c r="AB38" s="122"/>
      <c r="AC38" s="122"/>
      <c r="AD38" s="121"/>
      <c r="AE38" s="121"/>
      <c r="AF38" s="122"/>
      <c r="AG38" s="122"/>
      <c r="AH38" s="121"/>
      <c r="AI38" s="121"/>
      <c r="AJ38" s="122"/>
      <c r="AK38" s="122"/>
      <c r="AL38" s="121"/>
      <c r="AM38" s="121"/>
      <c r="AN38" s="121"/>
      <c r="AO38" t="str">
        <f>IFERROR(VLOOKUP(D38,'Reference Records'!$C$213:$E$352,3,FALSE),"")</f>
        <v/>
      </c>
      <c r="AP38" t="e">
        <f>VLOOKUP(AO38,'Reference Records'!$E$213:$F$352,2,0)</f>
        <v>#N/A</v>
      </c>
      <c r="AQ38" t="e">
        <f>MATCH($AP38,'Reference Records'!$E$430:$E$653,0)+ROW(Population_by_intervention)-1</f>
        <v>#N/A</v>
      </c>
      <c r="AR38" t="e">
        <f>MATCH($AP38,'Reference Records'!$E$430:$E$653,1)+ROW(Population_by_intervention)-1</f>
        <v>#N/A</v>
      </c>
      <c r="AS38" t="str">
        <f t="shared" si="0"/>
        <v>|empty|</v>
      </c>
      <c r="AT38" t="str">
        <f>IF(AS38="","",IFERROR(VLOOKUP(AS38,'Overview - Section A'!AF$124:AG204,2,0),VLOOKUP("|empty|",'Overview - Section A'!AF$124:AG204,2,0)))</f>
        <v>INT-257067</v>
      </c>
      <c r="AU38" s="121"/>
      <c r="AV38" s="121"/>
      <c r="AY38">
        <f t="shared" si="2"/>
        <v>2234</v>
      </c>
      <c r="AZ38">
        <f ca="1">AZ37+'update Helper'!$X$2</f>
        <v>2545</v>
      </c>
      <c r="BC38" t="str">
        <f ca="1">IF(INDIRECT("'update Helper'!S"&amp;AY38)=0,"",IFERROR(VLOOKUP(INDIRECT("'update Helper'!S"&amp;AY38),'Account Role'!A$1:B$14,2,0),IFERROR(VLOOKUP(INDIRECT("'update Helper'!I"&amp;AY38),'Overview - Section A'!J$26:P$91,7,0),"")))</f>
        <v/>
      </c>
      <c r="BD38" t="str">
        <f ca="1">IFERROR(INDEX('Overview - Section A'!A$123:A204,MATCH(INDIRECT("'update Helper'!Q"&amp;AY38),'Overview - Section A'!AQ$123:AQ204,0)),"")</f>
        <v/>
      </c>
      <c r="BE38" t="str">
        <f>IFERROR(INDEX('Overview - Section A'!O$123:O204,MATCH(AT38,'Overview - Section A'!AQ$123:AQ204,0)),"")</f>
        <v/>
      </c>
      <c r="BF38" t="str">
        <f>IFERROR(INDEX('Overview - Section A'!H$123:H204,MATCH(AT38,'Overview - Section A'!AQ$123:AQ204,0)),"")</f>
        <v/>
      </c>
    </row>
    <row r="39" spans="1:58" ht="30" customHeight="1">
      <c r="A39" s="120">
        <v>31</v>
      </c>
      <c r="B39" s="121"/>
      <c r="C39" s="121"/>
      <c r="D39" s="121"/>
      <c r="E39" s="121"/>
      <c r="F39" s="121"/>
      <c r="G39" s="122"/>
      <c r="H39" s="121"/>
      <c r="I39" s="122"/>
      <c r="J39" s="121"/>
      <c r="K39" s="121"/>
      <c r="L39" s="121"/>
      <c r="M39" s="122"/>
      <c r="N39" s="121"/>
      <c r="O39" s="121"/>
      <c r="P39" s="121"/>
      <c r="Q39" s="122"/>
      <c r="R39" s="121"/>
      <c r="S39" s="121"/>
      <c r="T39" s="122"/>
      <c r="U39" s="122"/>
      <c r="V39" s="121"/>
      <c r="W39" s="121"/>
      <c r="X39" s="122"/>
      <c r="Y39" s="122"/>
      <c r="Z39" s="121"/>
      <c r="AA39" s="121"/>
      <c r="AB39" s="122"/>
      <c r="AC39" s="122"/>
      <c r="AD39" s="121"/>
      <c r="AE39" s="121"/>
      <c r="AF39" s="122"/>
      <c r="AG39" s="122"/>
      <c r="AH39" s="121"/>
      <c r="AI39" s="121"/>
      <c r="AJ39" s="122"/>
      <c r="AK39" s="122"/>
      <c r="AL39" s="121"/>
      <c r="AM39" s="121"/>
      <c r="AN39" s="121"/>
      <c r="AO39" t="str">
        <f>IFERROR(VLOOKUP(D39,'Reference Records'!$C$213:$E$352,3,FALSE),"")</f>
        <v/>
      </c>
      <c r="AP39" t="e">
        <f>VLOOKUP(AO39,'Reference Records'!$E$213:$F$352,2,0)</f>
        <v>#N/A</v>
      </c>
      <c r="AQ39" t="e">
        <f>MATCH($AP39,'Reference Records'!$E$430:$E$653,0)+ROW(Population_by_intervention)-1</f>
        <v>#N/A</v>
      </c>
      <c r="AR39" t="e">
        <f>MATCH($AP39,'Reference Records'!$E$430:$E$653,1)+ROW(Population_by_intervention)-1</f>
        <v>#N/A</v>
      </c>
      <c r="AS39" t="str">
        <f t="shared" si="0"/>
        <v>|empty|</v>
      </c>
      <c r="AT39" t="str">
        <f>IF(AS39="","",IFERROR(VLOOKUP(AS39,'Overview - Section A'!AF$124:AG205,2,0),VLOOKUP("|empty|",'Overview - Section A'!AF$124:AG205,2,0)))</f>
        <v>INT-257067</v>
      </c>
      <c r="AU39" s="121"/>
      <c r="AV39" s="121"/>
      <c r="AY39">
        <f t="shared" si="2"/>
        <v>2235</v>
      </c>
      <c r="AZ39">
        <f ca="1">AZ38+'update Helper'!$X$2</f>
        <v>2551</v>
      </c>
      <c r="BC39" t="str">
        <f ca="1">IF(INDIRECT("'update Helper'!S"&amp;AY39)=0,"",IFERROR(VLOOKUP(INDIRECT("'update Helper'!S"&amp;AY39),'Account Role'!A$1:B$14,2,0),IFERROR(VLOOKUP(INDIRECT("'update Helper'!I"&amp;AY39),'Overview - Section A'!J$26:P$91,7,0),"")))</f>
        <v/>
      </c>
      <c r="BD39" t="str">
        <f ca="1">IFERROR(INDEX('Overview - Section A'!A$123:A205,MATCH(INDIRECT("'update Helper'!Q"&amp;AY39),'Overview - Section A'!AQ$123:AQ205,0)),"")</f>
        <v/>
      </c>
      <c r="BE39" t="str">
        <f>IFERROR(INDEX('Overview - Section A'!O$123:O205,MATCH(AT39,'Overview - Section A'!AQ$123:AQ205,0)),"")</f>
        <v/>
      </c>
      <c r="BF39" t="str">
        <f>IFERROR(INDEX('Overview - Section A'!H$123:H205,MATCH(AT39,'Overview - Section A'!AQ$123:AQ205,0)),"")</f>
        <v/>
      </c>
    </row>
    <row r="40" spans="1:58" ht="30" customHeight="1">
      <c r="A40" s="120">
        <v>32</v>
      </c>
      <c r="B40" s="121"/>
      <c r="C40" s="121"/>
      <c r="D40" s="121"/>
      <c r="E40" s="121"/>
      <c r="F40" s="121"/>
      <c r="G40" s="122"/>
      <c r="H40" s="121"/>
      <c r="I40" s="122"/>
      <c r="J40" s="121"/>
      <c r="K40" s="121"/>
      <c r="L40" s="121"/>
      <c r="M40" s="122"/>
      <c r="N40" s="121"/>
      <c r="O40" s="121"/>
      <c r="P40" s="121"/>
      <c r="Q40" s="122"/>
      <c r="R40" s="121"/>
      <c r="S40" s="121"/>
      <c r="T40" s="122"/>
      <c r="U40" s="122"/>
      <c r="V40" s="121"/>
      <c r="W40" s="121"/>
      <c r="X40" s="122"/>
      <c r="Y40" s="122"/>
      <c r="Z40" s="121"/>
      <c r="AA40" s="121"/>
      <c r="AB40" s="122"/>
      <c r="AC40" s="122"/>
      <c r="AD40" s="121"/>
      <c r="AE40" s="121"/>
      <c r="AF40" s="122"/>
      <c r="AG40" s="122"/>
      <c r="AH40" s="121"/>
      <c r="AI40" s="121"/>
      <c r="AJ40" s="122"/>
      <c r="AK40" s="122"/>
      <c r="AL40" s="121"/>
      <c r="AM40" s="121"/>
      <c r="AN40" s="121"/>
      <c r="AO40" t="str">
        <f>IFERROR(VLOOKUP(D40,'Reference Records'!$C$213:$E$352,3,FALSE),"")</f>
        <v/>
      </c>
      <c r="AP40" t="e">
        <f>VLOOKUP(AO40,'Reference Records'!$E$213:$F$352,2,0)</f>
        <v>#N/A</v>
      </c>
      <c r="AQ40" t="e">
        <f>MATCH($AP40,'Reference Records'!$E$430:$E$653,0)+ROW(Population_by_intervention)-1</f>
        <v>#N/A</v>
      </c>
      <c r="AR40" t="e">
        <f>MATCH($AP40,'Reference Records'!$E$430:$E$653,1)+ROW(Population_by_intervention)-1</f>
        <v>#N/A</v>
      </c>
      <c r="AS40" t="str">
        <f t="shared" si="0"/>
        <v>|empty|</v>
      </c>
      <c r="AT40" t="str">
        <f>IF(AS40="","",IFERROR(VLOOKUP(AS40,'Overview - Section A'!AF$124:AG206,2,0),VLOOKUP("|empty|",'Overview - Section A'!AF$124:AG206,2,0)))</f>
        <v>INT-257067</v>
      </c>
      <c r="AU40" s="121"/>
      <c r="AV40" s="121"/>
      <c r="AY40">
        <f t="shared" si="2"/>
        <v>2236</v>
      </c>
      <c r="AZ40">
        <f ca="1">AZ39+'update Helper'!$X$2</f>
        <v>2557</v>
      </c>
      <c r="BC40" t="str">
        <f ca="1">IF(INDIRECT("'update Helper'!S"&amp;AY40)=0,"",IFERROR(VLOOKUP(INDIRECT("'update Helper'!S"&amp;AY40),'Account Role'!A$1:B$14,2,0),IFERROR(VLOOKUP(INDIRECT("'update Helper'!I"&amp;AY40),'Overview - Section A'!J$26:P$91,7,0),"")))</f>
        <v/>
      </c>
      <c r="BD40" t="str">
        <f ca="1">IFERROR(INDEX('Overview - Section A'!A$123:A206,MATCH(INDIRECT("'update Helper'!Q"&amp;AY40),'Overview - Section A'!AQ$123:AQ206,0)),"")</f>
        <v/>
      </c>
      <c r="BE40" t="str">
        <f>IFERROR(INDEX('Overview - Section A'!O$123:O206,MATCH(AT40,'Overview - Section A'!AQ$123:AQ206,0)),"")</f>
        <v/>
      </c>
      <c r="BF40" t="str">
        <f>IFERROR(INDEX('Overview - Section A'!H$123:H206,MATCH(AT40,'Overview - Section A'!AQ$123:AQ206,0)),"")</f>
        <v/>
      </c>
    </row>
    <row r="41" spans="1:58" ht="30" customHeight="1">
      <c r="A41" s="120">
        <v>33</v>
      </c>
      <c r="B41" s="121"/>
      <c r="C41" s="121"/>
      <c r="D41" s="121"/>
      <c r="E41" s="121"/>
      <c r="F41" s="121"/>
      <c r="G41" s="122"/>
      <c r="H41" s="121"/>
      <c r="I41" s="122"/>
      <c r="J41" s="121"/>
      <c r="K41" s="121"/>
      <c r="L41" s="121"/>
      <c r="M41" s="122"/>
      <c r="N41" s="121"/>
      <c r="O41" s="121"/>
      <c r="P41" s="121"/>
      <c r="Q41" s="122"/>
      <c r="R41" s="121"/>
      <c r="S41" s="121"/>
      <c r="T41" s="122"/>
      <c r="U41" s="122"/>
      <c r="V41" s="121"/>
      <c r="W41" s="121"/>
      <c r="X41" s="122"/>
      <c r="Y41" s="122"/>
      <c r="Z41" s="121"/>
      <c r="AA41" s="121"/>
      <c r="AB41" s="122"/>
      <c r="AC41" s="122"/>
      <c r="AD41" s="121"/>
      <c r="AE41" s="121"/>
      <c r="AF41" s="122"/>
      <c r="AG41" s="122"/>
      <c r="AH41" s="121"/>
      <c r="AI41" s="121"/>
      <c r="AJ41" s="122"/>
      <c r="AK41" s="122"/>
      <c r="AL41" s="121"/>
      <c r="AM41" s="121"/>
      <c r="AN41" s="121"/>
      <c r="AO41" t="str">
        <f>IFERROR(VLOOKUP(D41,'Reference Records'!$C$213:$E$352,3,FALSE),"")</f>
        <v/>
      </c>
      <c r="AP41" t="e">
        <f>VLOOKUP(AO41,'Reference Records'!$E$213:$F$352,2,0)</f>
        <v>#N/A</v>
      </c>
      <c r="AQ41" t="e">
        <f>MATCH($AP41,'Reference Records'!$E$430:$E$653,0)+ROW(Population_by_intervention)-1</f>
        <v>#N/A</v>
      </c>
      <c r="AR41" t="e">
        <f>MATCH($AP41,'Reference Records'!$E$430:$E$653,1)+ROW(Population_by_intervention)-1</f>
        <v>#N/A</v>
      </c>
      <c r="AS41" t="str">
        <f t="shared" si="0"/>
        <v>|empty|</v>
      </c>
      <c r="AT41" t="str">
        <f>IF(AS41="","",IFERROR(VLOOKUP(AS41,'Overview - Section A'!AF$124:AG207,2,0),VLOOKUP("|empty|",'Overview - Section A'!AF$124:AG207,2,0)))</f>
        <v>INT-257067</v>
      </c>
      <c r="AU41" s="121"/>
      <c r="AV41" s="121"/>
      <c r="AY41">
        <f t="shared" si="2"/>
        <v>2237</v>
      </c>
      <c r="AZ41">
        <f ca="1">AZ40+'update Helper'!$X$2</f>
        <v>2563</v>
      </c>
      <c r="BC41" t="str">
        <f ca="1">IF(INDIRECT("'update Helper'!S"&amp;AY41)=0,"",IFERROR(VLOOKUP(INDIRECT("'update Helper'!S"&amp;AY41),'Account Role'!A$1:B$14,2,0),IFERROR(VLOOKUP(INDIRECT("'update Helper'!I"&amp;AY41),'Overview - Section A'!J$26:P$91,7,0),"")))</f>
        <v/>
      </c>
      <c r="BD41" t="str">
        <f ca="1">IFERROR(INDEX('Overview - Section A'!A$123:A207,MATCH(INDIRECT("'update Helper'!Q"&amp;AY41),'Overview - Section A'!AQ$123:AQ207,0)),"")</f>
        <v/>
      </c>
      <c r="BE41" t="str">
        <f>IFERROR(INDEX('Overview - Section A'!O$123:O207,MATCH(AT41,'Overview - Section A'!AQ$123:AQ207,0)),"")</f>
        <v/>
      </c>
      <c r="BF41" t="str">
        <f>IFERROR(INDEX('Overview - Section A'!H$123:H207,MATCH(AT41,'Overview - Section A'!AQ$123:AQ207,0)),"")</f>
        <v/>
      </c>
    </row>
    <row r="42" spans="1:58" ht="30" customHeight="1">
      <c r="A42" s="120">
        <v>34</v>
      </c>
      <c r="B42" s="121"/>
      <c r="C42" s="121"/>
      <c r="D42" s="121"/>
      <c r="E42" s="121"/>
      <c r="F42" s="121"/>
      <c r="G42" s="122"/>
      <c r="H42" s="121"/>
      <c r="I42" s="122"/>
      <c r="J42" s="121"/>
      <c r="K42" s="121"/>
      <c r="L42" s="121"/>
      <c r="M42" s="122"/>
      <c r="N42" s="121"/>
      <c r="O42" s="121"/>
      <c r="P42" s="121"/>
      <c r="Q42" s="122"/>
      <c r="R42" s="121"/>
      <c r="S42" s="121"/>
      <c r="T42" s="122"/>
      <c r="U42" s="122"/>
      <c r="V42" s="121"/>
      <c r="W42" s="121"/>
      <c r="X42" s="122"/>
      <c r="Y42" s="122"/>
      <c r="Z42" s="121"/>
      <c r="AA42" s="121"/>
      <c r="AB42" s="122"/>
      <c r="AC42" s="122"/>
      <c r="AD42" s="121"/>
      <c r="AE42" s="121"/>
      <c r="AF42" s="122"/>
      <c r="AG42" s="122"/>
      <c r="AH42" s="121"/>
      <c r="AI42" s="121"/>
      <c r="AJ42" s="122"/>
      <c r="AK42" s="122"/>
      <c r="AL42" s="121"/>
      <c r="AM42" s="121"/>
      <c r="AN42" s="121"/>
      <c r="AO42" t="str">
        <f>IFERROR(VLOOKUP(D42,'Reference Records'!$C$213:$E$352,3,FALSE),"")</f>
        <v/>
      </c>
      <c r="AP42" t="e">
        <f>VLOOKUP(AO42,'Reference Records'!$E$213:$F$352,2,0)</f>
        <v>#N/A</v>
      </c>
      <c r="AQ42" t="e">
        <f>MATCH($AP42,'Reference Records'!$E$430:$E$653,0)+ROW(Population_by_intervention)-1</f>
        <v>#N/A</v>
      </c>
      <c r="AR42" t="e">
        <f>MATCH($AP42,'Reference Records'!$E$430:$E$653,1)+ROW(Population_by_intervention)-1</f>
        <v>#N/A</v>
      </c>
      <c r="AS42" t="str">
        <f t="shared" si="0"/>
        <v>|empty|</v>
      </c>
      <c r="AT42" t="str">
        <f>IF(AS42="","",IFERROR(VLOOKUP(AS42,'Overview - Section A'!AF$124:AG208,2,0),VLOOKUP("|empty|",'Overview - Section A'!AF$124:AG208,2,0)))</f>
        <v>INT-257067</v>
      </c>
      <c r="AU42" s="121"/>
      <c r="AV42" s="121"/>
      <c r="AY42">
        <f t="shared" si="2"/>
        <v>2238</v>
      </c>
      <c r="AZ42">
        <f ca="1">AZ41+'update Helper'!$X$2</f>
        <v>2569</v>
      </c>
      <c r="BC42" t="str">
        <f ca="1">IF(INDIRECT("'update Helper'!S"&amp;AY42)=0,"",IFERROR(VLOOKUP(INDIRECT("'update Helper'!S"&amp;AY42),'Account Role'!A$1:B$14,2,0),IFERROR(VLOOKUP(INDIRECT("'update Helper'!I"&amp;AY42),'Overview - Section A'!J$26:P$91,7,0),"")))</f>
        <v/>
      </c>
      <c r="BD42" t="str">
        <f ca="1">IFERROR(INDEX('Overview - Section A'!A$123:A208,MATCH(INDIRECT("'update Helper'!Q"&amp;AY42),'Overview - Section A'!AQ$123:AQ208,0)),"")</f>
        <v/>
      </c>
      <c r="BE42" t="str">
        <f>IFERROR(INDEX('Overview - Section A'!O$123:O208,MATCH(AT42,'Overview - Section A'!AQ$123:AQ208,0)),"")</f>
        <v/>
      </c>
      <c r="BF42" t="str">
        <f>IFERROR(INDEX('Overview - Section A'!H$123:H208,MATCH(AT42,'Overview - Section A'!AQ$123:AQ208,0)),"")</f>
        <v/>
      </c>
    </row>
    <row r="43" spans="1:58" ht="30" customHeight="1">
      <c r="A43" s="120">
        <v>35</v>
      </c>
      <c r="B43" s="121"/>
      <c r="C43" s="121"/>
      <c r="D43" s="121"/>
      <c r="E43" s="121"/>
      <c r="F43" s="121"/>
      <c r="G43" s="122"/>
      <c r="H43" s="121"/>
      <c r="I43" s="122"/>
      <c r="J43" s="121"/>
      <c r="K43" s="121"/>
      <c r="L43" s="121"/>
      <c r="M43" s="122"/>
      <c r="N43" s="121"/>
      <c r="O43" s="121"/>
      <c r="P43" s="121"/>
      <c r="Q43" s="122"/>
      <c r="R43" s="121"/>
      <c r="S43" s="121"/>
      <c r="T43" s="122"/>
      <c r="U43" s="122"/>
      <c r="V43" s="121"/>
      <c r="W43" s="121"/>
      <c r="X43" s="122"/>
      <c r="Y43" s="122"/>
      <c r="Z43" s="121"/>
      <c r="AA43" s="121"/>
      <c r="AB43" s="122"/>
      <c r="AC43" s="122"/>
      <c r="AD43" s="121"/>
      <c r="AE43" s="121"/>
      <c r="AF43" s="122"/>
      <c r="AG43" s="122"/>
      <c r="AH43" s="121"/>
      <c r="AI43" s="121"/>
      <c r="AJ43" s="122"/>
      <c r="AK43" s="122"/>
      <c r="AL43" s="121"/>
      <c r="AM43" s="121"/>
      <c r="AN43" s="121"/>
      <c r="AO43" t="str">
        <f>IFERROR(VLOOKUP(D43,'Reference Records'!$C$213:$E$352,3,FALSE),"")</f>
        <v/>
      </c>
      <c r="AP43" t="e">
        <f>VLOOKUP(AO43,'Reference Records'!$E$213:$F$352,2,0)</f>
        <v>#N/A</v>
      </c>
      <c r="AQ43" t="e">
        <f>MATCH($AP43,'Reference Records'!$E$430:$E$653,0)+ROW(Population_by_intervention)-1</f>
        <v>#N/A</v>
      </c>
      <c r="AR43" t="e">
        <f>MATCH($AP43,'Reference Records'!$E$430:$E$653,1)+ROW(Population_by_intervention)-1</f>
        <v>#N/A</v>
      </c>
      <c r="AS43" t="str">
        <f t="shared" si="0"/>
        <v>|empty|</v>
      </c>
      <c r="AT43" t="str">
        <f>IF(AS43="","",IFERROR(VLOOKUP(AS43,'Overview - Section A'!AF$124:AG209,2,0),VLOOKUP("|empty|",'Overview - Section A'!AF$124:AG209,2,0)))</f>
        <v>INT-257067</v>
      </c>
      <c r="AU43" s="121"/>
      <c r="AV43" s="121"/>
      <c r="AY43">
        <f t="shared" si="2"/>
        <v>2239</v>
      </c>
      <c r="AZ43">
        <f ca="1">AZ42+'update Helper'!$X$2</f>
        <v>2575</v>
      </c>
      <c r="BC43" t="str">
        <f ca="1">IF(INDIRECT("'update Helper'!S"&amp;AY43)=0,"",IFERROR(VLOOKUP(INDIRECT("'update Helper'!S"&amp;AY43),'Account Role'!A$1:B$14,2,0),IFERROR(VLOOKUP(INDIRECT("'update Helper'!I"&amp;AY43),'Overview - Section A'!J$26:P$91,7,0),"")))</f>
        <v/>
      </c>
      <c r="BD43" t="str">
        <f ca="1">IFERROR(INDEX('Overview - Section A'!A$123:A209,MATCH(INDIRECT("'update Helper'!Q"&amp;AY43),'Overview - Section A'!AQ$123:AQ209,0)),"")</f>
        <v/>
      </c>
      <c r="BE43" t="str">
        <f>IFERROR(INDEX('Overview - Section A'!O$123:O209,MATCH(AT43,'Overview - Section A'!AQ$123:AQ209,0)),"")</f>
        <v/>
      </c>
      <c r="BF43" t="str">
        <f>IFERROR(INDEX('Overview - Section A'!H$123:H209,MATCH(AT43,'Overview - Section A'!AQ$123:AQ209,0)),"")</f>
        <v/>
      </c>
    </row>
    <row r="44" spans="1:58" ht="30" customHeight="1">
      <c r="A44" s="120">
        <v>36</v>
      </c>
      <c r="B44" s="121"/>
      <c r="C44" s="121"/>
      <c r="D44" s="121"/>
      <c r="E44" s="121"/>
      <c r="F44" s="121"/>
      <c r="G44" s="122"/>
      <c r="H44" s="121"/>
      <c r="I44" s="122"/>
      <c r="J44" s="121"/>
      <c r="K44" s="121"/>
      <c r="L44" s="121"/>
      <c r="M44" s="122"/>
      <c r="N44" s="121"/>
      <c r="O44" s="121"/>
      <c r="P44" s="121"/>
      <c r="Q44" s="122"/>
      <c r="R44" s="121"/>
      <c r="S44" s="121"/>
      <c r="T44" s="122"/>
      <c r="U44" s="122"/>
      <c r="V44" s="121"/>
      <c r="W44" s="121"/>
      <c r="X44" s="122"/>
      <c r="Y44" s="122"/>
      <c r="Z44" s="121"/>
      <c r="AA44" s="121"/>
      <c r="AB44" s="122"/>
      <c r="AC44" s="122"/>
      <c r="AD44" s="121"/>
      <c r="AE44" s="121"/>
      <c r="AF44" s="122"/>
      <c r="AG44" s="122"/>
      <c r="AH44" s="121"/>
      <c r="AI44" s="121"/>
      <c r="AJ44" s="122"/>
      <c r="AK44" s="122"/>
      <c r="AL44" s="121"/>
      <c r="AM44" s="121"/>
      <c r="AN44" s="121"/>
      <c r="AO44" t="str">
        <f>IFERROR(VLOOKUP(D44,'Reference Records'!$C$213:$E$352,3,FALSE),"")</f>
        <v/>
      </c>
      <c r="AP44" t="e">
        <f>VLOOKUP(AO44,'Reference Records'!$E$213:$F$352,2,0)</f>
        <v>#N/A</v>
      </c>
      <c r="AQ44" t="e">
        <f>MATCH($AP44,'Reference Records'!$E$430:$E$653,0)+ROW(Population_by_intervention)-1</f>
        <v>#N/A</v>
      </c>
      <c r="AR44" t="e">
        <f>MATCH($AP44,'Reference Records'!$E$430:$E$653,1)+ROW(Population_by_intervention)-1</f>
        <v>#N/A</v>
      </c>
      <c r="AS44" t="str">
        <f t="shared" si="0"/>
        <v>|empty|</v>
      </c>
      <c r="AT44" t="str">
        <f>IF(AS44="","",IFERROR(VLOOKUP(AS44,'Overview - Section A'!AF$124:AG210,2,0),VLOOKUP("|empty|",'Overview - Section A'!AF$124:AG210,2,0)))</f>
        <v>INT-257067</v>
      </c>
      <c r="AU44" s="121"/>
      <c r="AV44" s="121"/>
      <c r="AY44">
        <f t="shared" si="2"/>
        <v>2240</v>
      </c>
      <c r="AZ44">
        <f ca="1">AZ43+'update Helper'!$X$2</f>
        <v>2581</v>
      </c>
      <c r="BC44" t="str">
        <f ca="1">IF(INDIRECT("'update Helper'!S"&amp;AY44)=0,"",IFERROR(VLOOKUP(INDIRECT("'update Helper'!S"&amp;AY44),'Account Role'!A$1:B$14,2,0),IFERROR(VLOOKUP(INDIRECT("'update Helper'!I"&amp;AY44),'Overview - Section A'!J$26:P$91,7,0),"")))</f>
        <v/>
      </c>
      <c r="BD44" t="str">
        <f ca="1">IFERROR(INDEX('Overview - Section A'!A$123:A210,MATCH(INDIRECT("'update Helper'!Q"&amp;AY44),'Overview - Section A'!AQ$123:AQ210,0)),"")</f>
        <v/>
      </c>
      <c r="BE44" t="str">
        <f>IFERROR(INDEX('Overview - Section A'!O$123:O210,MATCH(AT44,'Overview - Section A'!AQ$123:AQ210,0)),"")</f>
        <v/>
      </c>
      <c r="BF44" t="str">
        <f>IFERROR(INDEX('Overview - Section A'!H$123:H210,MATCH(AT44,'Overview - Section A'!AQ$123:AQ210,0)),"")</f>
        <v/>
      </c>
    </row>
    <row r="45" spans="1:58" ht="30" customHeight="1">
      <c r="A45" s="120">
        <v>37</v>
      </c>
      <c r="B45" s="121"/>
      <c r="C45" s="121"/>
      <c r="D45" s="121"/>
      <c r="E45" s="121"/>
      <c r="F45" s="121"/>
      <c r="G45" s="122"/>
      <c r="H45" s="121"/>
      <c r="I45" s="122"/>
      <c r="J45" s="121"/>
      <c r="K45" s="121"/>
      <c r="L45" s="121"/>
      <c r="M45" s="122"/>
      <c r="N45" s="121"/>
      <c r="O45" s="121"/>
      <c r="P45" s="121"/>
      <c r="Q45" s="122"/>
      <c r="R45" s="121"/>
      <c r="S45" s="121"/>
      <c r="T45" s="122"/>
      <c r="U45" s="122"/>
      <c r="V45" s="121"/>
      <c r="W45" s="121"/>
      <c r="X45" s="122"/>
      <c r="Y45" s="122"/>
      <c r="Z45" s="121"/>
      <c r="AA45" s="121"/>
      <c r="AB45" s="122"/>
      <c r="AC45" s="122"/>
      <c r="AD45" s="121"/>
      <c r="AE45" s="121"/>
      <c r="AF45" s="122"/>
      <c r="AG45" s="122"/>
      <c r="AH45" s="121"/>
      <c r="AI45" s="121"/>
      <c r="AJ45" s="122"/>
      <c r="AK45" s="122"/>
      <c r="AL45" s="121"/>
      <c r="AM45" s="121"/>
      <c r="AN45" s="121"/>
      <c r="AO45" t="str">
        <f>IFERROR(VLOOKUP(D45,'Reference Records'!$C$213:$E$352,3,FALSE),"")</f>
        <v/>
      </c>
      <c r="AP45" t="e">
        <f>VLOOKUP(AO45,'Reference Records'!$E$213:$F$352,2,0)</f>
        <v>#N/A</v>
      </c>
      <c r="AQ45" t="e">
        <f>MATCH($AP45,'Reference Records'!$E$430:$E$653,0)+ROW(Population_by_intervention)-1</f>
        <v>#N/A</v>
      </c>
      <c r="AR45" t="e">
        <f>MATCH($AP45,'Reference Records'!$E$430:$E$653,1)+ROW(Population_by_intervention)-1</f>
        <v>#N/A</v>
      </c>
      <c r="AS45" t="str">
        <f t="shared" si="0"/>
        <v>|empty|</v>
      </c>
      <c r="AT45" t="str">
        <f>IF(AS45="","",IFERROR(VLOOKUP(AS45,'Overview - Section A'!AF$124:AG211,2,0),VLOOKUP("|empty|",'Overview - Section A'!AF$124:AG211,2,0)))</f>
        <v>INT-257067</v>
      </c>
      <c r="AU45" s="121"/>
      <c r="AV45" s="121"/>
      <c r="AY45">
        <f t="shared" si="2"/>
        <v>2241</v>
      </c>
      <c r="AZ45">
        <f ca="1">AZ44+'update Helper'!$X$2</f>
        <v>2587</v>
      </c>
      <c r="BC45" t="str">
        <f ca="1">IF(INDIRECT("'update Helper'!S"&amp;AY45)=0,"",IFERROR(VLOOKUP(INDIRECT("'update Helper'!S"&amp;AY45),'Account Role'!A$1:B$14,2,0),IFERROR(VLOOKUP(INDIRECT("'update Helper'!I"&amp;AY45),'Overview - Section A'!J$26:P$91,7,0),"")))</f>
        <v/>
      </c>
      <c r="BD45" t="str">
        <f ca="1">IFERROR(INDEX('Overview - Section A'!A$123:A211,MATCH(INDIRECT("'update Helper'!Q"&amp;AY45),'Overview - Section A'!AQ$123:AQ211,0)),"")</f>
        <v/>
      </c>
      <c r="BE45" t="str">
        <f>IFERROR(INDEX('Overview - Section A'!O$123:O211,MATCH(AT45,'Overview - Section A'!AQ$123:AQ211,0)),"")</f>
        <v/>
      </c>
      <c r="BF45" t="str">
        <f>IFERROR(INDEX('Overview - Section A'!H$123:H211,MATCH(AT45,'Overview - Section A'!AQ$123:AQ211,0)),"")</f>
        <v/>
      </c>
    </row>
    <row r="46" spans="1:58" ht="30" customHeight="1">
      <c r="A46" s="120">
        <v>38</v>
      </c>
      <c r="B46" s="121"/>
      <c r="C46" s="121"/>
      <c r="D46" s="121"/>
      <c r="E46" s="121"/>
      <c r="F46" s="121"/>
      <c r="G46" s="122"/>
      <c r="H46" s="121"/>
      <c r="I46" s="122"/>
      <c r="J46" s="121"/>
      <c r="K46" s="121"/>
      <c r="L46" s="121"/>
      <c r="M46" s="122"/>
      <c r="N46" s="121"/>
      <c r="O46" s="121"/>
      <c r="P46" s="121"/>
      <c r="Q46" s="122"/>
      <c r="R46" s="121"/>
      <c r="S46" s="121"/>
      <c r="T46" s="122"/>
      <c r="U46" s="122"/>
      <c r="V46" s="121"/>
      <c r="W46" s="121"/>
      <c r="X46" s="122"/>
      <c r="Y46" s="122"/>
      <c r="Z46" s="121"/>
      <c r="AA46" s="121"/>
      <c r="AB46" s="122"/>
      <c r="AC46" s="122"/>
      <c r="AD46" s="121"/>
      <c r="AE46" s="121"/>
      <c r="AF46" s="122"/>
      <c r="AG46" s="122"/>
      <c r="AH46" s="121"/>
      <c r="AI46" s="121"/>
      <c r="AJ46" s="122"/>
      <c r="AK46" s="122"/>
      <c r="AL46" s="121"/>
      <c r="AM46" s="121"/>
      <c r="AN46" s="121"/>
      <c r="AO46" t="str">
        <f>IFERROR(VLOOKUP(D46,'Reference Records'!$C$213:$E$352,3,FALSE),"")</f>
        <v/>
      </c>
      <c r="AP46" t="e">
        <f>VLOOKUP(AO46,'Reference Records'!$E$213:$F$352,2,0)</f>
        <v>#N/A</v>
      </c>
      <c r="AQ46" t="e">
        <f>MATCH($AP46,'Reference Records'!$E$430:$E$653,0)+ROW(Population_by_intervention)-1</f>
        <v>#N/A</v>
      </c>
      <c r="AR46" t="e">
        <f>MATCH($AP46,'Reference Records'!$E$430:$E$653,1)+ROW(Population_by_intervention)-1</f>
        <v>#N/A</v>
      </c>
      <c r="AS46" t="str">
        <f t="shared" si="0"/>
        <v>|empty|</v>
      </c>
      <c r="AT46" t="str">
        <f>IF(AS46="","",IFERROR(VLOOKUP(AS46,'Overview - Section A'!AF$124:AG212,2,0),VLOOKUP("|empty|",'Overview - Section A'!AF$124:AG212,2,0)))</f>
        <v>INT-257067</v>
      </c>
      <c r="AU46" s="121"/>
      <c r="AV46" s="121"/>
      <c r="AY46">
        <f t="shared" si="2"/>
        <v>2242</v>
      </c>
      <c r="AZ46">
        <f ca="1">AZ45+'update Helper'!$X$2</f>
        <v>2593</v>
      </c>
      <c r="BC46" t="str">
        <f ca="1">IF(INDIRECT("'update Helper'!S"&amp;AY46)=0,"",IFERROR(VLOOKUP(INDIRECT("'update Helper'!S"&amp;AY46),'Account Role'!A$1:B$14,2,0),IFERROR(VLOOKUP(INDIRECT("'update Helper'!I"&amp;AY46),'Overview - Section A'!J$26:P$91,7,0),"")))</f>
        <v/>
      </c>
      <c r="BD46" t="str">
        <f ca="1">IFERROR(INDEX('Overview - Section A'!A$123:A212,MATCH(INDIRECT("'update Helper'!Q"&amp;AY46),'Overview - Section A'!AQ$123:AQ212,0)),"")</f>
        <v/>
      </c>
      <c r="BE46" t="str">
        <f>IFERROR(INDEX('Overview - Section A'!O$123:O212,MATCH(AT46,'Overview - Section A'!AQ$123:AQ212,0)),"")</f>
        <v/>
      </c>
      <c r="BF46" t="str">
        <f>IFERROR(INDEX('Overview - Section A'!H$123:H212,MATCH(AT46,'Overview - Section A'!AQ$123:AQ212,0)),"")</f>
        <v/>
      </c>
    </row>
    <row r="47" spans="1:58" ht="30" customHeight="1">
      <c r="A47" s="120">
        <v>39</v>
      </c>
      <c r="B47" s="121"/>
      <c r="C47" s="121"/>
      <c r="D47" s="121"/>
      <c r="E47" s="121"/>
      <c r="F47" s="121"/>
      <c r="G47" s="122"/>
      <c r="H47" s="121"/>
      <c r="I47" s="122"/>
      <c r="J47" s="121"/>
      <c r="K47" s="121"/>
      <c r="L47" s="121"/>
      <c r="M47" s="122"/>
      <c r="N47" s="121"/>
      <c r="O47" s="121"/>
      <c r="P47" s="121"/>
      <c r="Q47" s="122"/>
      <c r="R47" s="121"/>
      <c r="S47" s="121"/>
      <c r="T47" s="122"/>
      <c r="U47" s="122"/>
      <c r="V47" s="121"/>
      <c r="W47" s="121"/>
      <c r="X47" s="122"/>
      <c r="Y47" s="122"/>
      <c r="Z47" s="121"/>
      <c r="AA47" s="121"/>
      <c r="AB47" s="122"/>
      <c r="AC47" s="122"/>
      <c r="AD47" s="121"/>
      <c r="AE47" s="121"/>
      <c r="AF47" s="122"/>
      <c r="AG47" s="122"/>
      <c r="AH47" s="121"/>
      <c r="AI47" s="121"/>
      <c r="AJ47" s="122"/>
      <c r="AK47" s="122"/>
      <c r="AL47" s="121"/>
      <c r="AM47" s="121"/>
      <c r="AN47" s="121"/>
      <c r="AO47" t="str">
        <f>IFERROR(VLOOKUP(D47,'Reference Records'!$C$213:$E$352,3,FALSE),"")</f>
        <v/>
      </c>
      <c r="AP47" t="e">
        <f>VLOOKUP(AO47,'Reference Records'!$E$213:$F$352,2,0)</f>
        <v>#N/A</v>
      </c>
      <c r="AQ47" t="e">
        <f>MATCH($AP47,'Reference Records'!$E$430:$E$653,0)+ROW(Population_by_intervention)-1</f>
        <v>#N/A</v>
      </c>
      <c r="AR47" t="e">
        <f>MATCH($AP47,'Reference Records'!$E$430:$E$653,1)+ROW(Population_by_intervention)-1</f>
        <v>#N/A</v>
      </c>
      <c r="AS47" t="str">
        <f t="shared" si="0"/>
        <v>|empty|</v>
      </c>
      <c r="AT47" t="str">
        <f>IF(AS47="","",IFERROR(VLOOKUP(AS47,'Overview - Section A'!AF$124:AG213,2,0),VLOOKUP("|empty|",'Overview - Section A'!AF$124:AG213,2,0)))</f>
        <v>INT-257067</v>
      </c>
      <c r="AU47" s="121"/>
      <c r="AV47" s="121"/>
      <c r="AY47">
        <f t="shared" si="2"/>
        <v>2243</v>
      </c>
      <c r="AZ47">
        <f ca="1">AZ46+'update Helper'!$X$2</f>
        <v>2599</v>
      </c>
      <c r="BC47" t="str">
        <f ca="1">IF(INDIRECT("'update Helper'!S"&amp;AY47)=0,"",IFERROR(VLOOKUP(INDIRECT("'update Helper'!S"&amp;AY47),'Account Role'!A$1:B$14,2,0),IFERROR(VLOOKUP(INDIRECT("'update Helper'!I"&amp;AY47),'Overview - Section A'!J$26:P$91,7,0),"")))</f>
        <v/>
      </c>
      <c r="BD47" t="str">
        <f ca="1">IFERROR(INDEX('Overview - Section A'!A$123:A213,MATCH(INDIRECT("'update Helper'!Q"&amp;AY47),'Overview - Section A'!AQ$123:AQ213,0)),"")</f>
        <v/>
      </c>
      <c r="BE47" t="str">
        <f>IFERROR(INDEX('Overview - Section A'!O$123:O213,MATCH(AT47,'Overview - Section A'!AQ$123:AQ213,0)),"")</f>
        <v/>
      </c>
      <c r="BF47" t="str">
        <f>IFERROR(INDEX('Overview - Section A'!H$123:H213,MATCH(AT47,'Overview - Section A'!AQ$123:AQ213,0)),"")</f>
        <v/>
      </c>
    </row>
    <row r="48" spans="1:58" ht="30" customHeight="1">
      <c r="A48" s="120">
        <v>40</v>
      </c>
      <c r="B48" s="121"/>
      <c r="C48" s="121"/>
      <c r="D48" s="121"/>
      <c r="E48" s="121"/>
      <c r="F48" s="121"/>
      <c r="G48" s="122"/>
      <c r="H48" s="121"/>
      <c r="I48" s="122"/>
      <c r="J48" s="121"/>
      <c r="K48" s="121"/>
      <c r="L48" s="121"/>
      <c r="M48" s="122"/>
      <c r="N48" s="121"/>
      <c r="O48" s="121"/>
      <c r="P48" s="121"/>
      <c r="Q48" s="122"/>
      <c r="R48" s="121"/>
      <c r="S48" s="121"/>
      <c r="T48" s="122"/>
      <c r="U48" s="122"/>
      <c r="V48" s="121"/>
      <c r="W48" s="121"/>
      <c r="X48" s="122"/>
      <c r="Y48" s="122"/>
      <c r="Z48" s="121"/>
      <c r="AA48" s="121"/>
      <c r="AB48" s="122"/>
      <c r="AC48" s="122"/>
      <c r="AD48" s="121"/>
      <c r="AE48" s="121"/>
      <c r="AF48" s="122"/>
      <c r="AG48" s="122"/>
      <c r="AH48" s="121"/>
      <c r="AI48" s="121"/>
      <c r="AJ48" s="122"/>
      <c r="AK48" s="122"/>
      <c r="AL48" s="121"/>
      <c r="AM48" s="121"/>
      <c r="AN48" s="121"/>
      <c r="AO48" t="str">
        <f>IFERROR(VLOOKUP(D48,'Reference Records'!$C$213:$E$352,3,FALSE),"")</f>
        <v/>
      </c>
      <c r="AP48" t="e">
        <f>VLOOKUP(AO48,'Reference Records'!$E$213:$F$352,2,0)</f>
        <v>#N/A</v>
      </c>
      <c r="AQ48" t="e">
        <f>MATCH($AP48,'Reference Records'!$E$430:$E$653,0)+ROW(Population_by_intervention)-1</f>
        <v>#N/A</v>
      </c>
      <c r="AR48" t="e">
        <f>MATCH($AP48,'Reference Records'!$E$430:$E$653,1)+ROW(Population_by_intervention)-1</f>
        <v>#N/A</v>
      </c>
      <c r="AS48" t="str">
        <f t="shared" si="0"/>
        <v>|empty|</v>
      </c>
      <c r="AT48" t="str">
        <f>IF(AS48="","",IFERROR(VLOOKUP(AS48,'Overview - Section A'!AF$124:AG214,2,0),VLOOKUP("|empty|",'Overview - Section A'!AF$124:AG214,2,0)))</f>
        <v>INT-257067</v>
      </c>
      <c r="AU48" s="121"/>
      <c r="AV48" s="121"/>
      <c r="AY48">
        <f t="shared" si="2"/>
        <v>2244</v>
      </c>
      <c r="AZ48">
        <f ca="1">AZ47+'update Helper'!$X$2</f>
        <v>2605</v>
      </c>
      <c r="BC48" t="str">
        <f ca="1">IF(INDIRECT("'update Helper'!S"&amp;AY48)=0,"",IFERROR(VLOOKUP(INDIRECT("'update Helper'!S"&amp;AY48),'Account Role'!A$1:B$14,2,0),IFERROR(VLOOKUP(INDIRECT("'update Helper'!I"&amp;AY48),'Overview - Section A'!J$26:P$91,7,0),"")))</f>
        <v/>
      </c>
      <c r="BD48" t="str">
        <f ca="1">IFERROR(INDEX('Overview - Section A'!A$123:A214,MATCH(INDIRECT("'update Helper'!Q"&amp;AY48),'Overview - Section A'!AQ$123:AQ214,0)),"")</f>
        <v/>
      </c>
      <c r="BE48" t="str">
        <f>IFERROR(INDEX('Overview - Section A'!O$123:O214,MATCH(AT48,'Overview - Section A'!AQ$123:AQ214,0)),"")</f>
        <v/>
      </c>
      <c r="BF48" t="str">
        <f>IFERROR(INDEX('Overview - Section A'!H$123:H214,MATCH(AT48,'Overview - Section A'!AQ$123:AQ214,0)),"")</f>
        <v/>
      </c>
    </row>
    <row r="49" spans="1:58" ht="30" customHeight="1">
      <c r="A49" s="120">
        <v>41</v>
      </c>
      <c r="B49" s="121"/>
      <c r="C49" s="121"/>
      <c r="D49" s="121"/>
      <c r="E49" s="121"/>
      <c r="F49" s="121"/>
      <c r="G49" s="122"/>
      <c r="H49" s="121"/>
      <c r="I49" s="122"/>
      <c r="J49" s="121"/>
      <c r="K49" s="121"/>
      <c r="L49" s="121"/>
      <c r="M49" s="122"/>
      <c r="N49" s="121"/>
      <c r="O49" s="121"/>
      <c r="P49" s="121"/>
      <c r="Q49" s="122"/>
      <c r="R49" s="121"/>
      <c r="S49" s="121"/>
      <c r="T49" s="122"/>
      <c r="U49" s="122"/>
      <c r="V49" s="121"/>
      <c r="W49" s="121"/>
      <c r="X49" s="122"/>
      <c r="Y49" s="122"/>
      <c r="Z49" s="121"/>
      <c r="AA49" s="121"/>
      <c r="AB49" s="122"/>
      <c r="AC49" s="122"/>
      <c r="AD49" s="121"/>
      <c r="AE49" s="121"/>
      <c r="AF49" s="122"/>
      <c r="AG49" s="122"/>
      <c r="AH49" s="121"/>
      <c r="AI49" s="121"/>
      <c r="AJ49" s="122"/>
      <c r="AK49" s="122"/>
      <c r="AL49" s="121"/>
      <c r="AM49" s="121"/>
      <c r="AN49" s="121"/>
      <c r="AO49" t="str">
        <f>IFERROR(VLOOKUP(D49,'Reference Records'!$C$213:$E$352,3,FALSE),"")</f>
        <v/>
      </c>
      <c r="AP49" t="e">
        <f>VLOOKUP(AO49,'Reference Records'!$E$213:$F$352,2,0)</f>
        <v>#N/A</v>
      </c>
      <c r="AQ49" t="e">
        <f>MATCH($AP49,'Reference Records'!$E$430:$E$653,0)+ROW(Population_by_intervention)-1</f>
        <v>#N/A</v>
      </c>
      <c r="AR49" t="e">
        <f>MATCH($AP49,'Reference Records'!$E$430:$E$653,1)+ROW(Population_by_intervention)-1</f>
        <v>#N/A</v>
      </c>
      <c r="AS49" t="str">
        <f t="shared" si="0"/>
        <v>|empty|</v>
      </c>
      <c r="AT49" t="str">
        <f>IF(AS49="","",IFERROR(VLOOKUP(AS49,'Overview - Section A'!AF$124:AG215,2,0),VLOOKUP("|empty|",'Overview - Section A'!AF$124:AG215,2,0)))</f>
        <v>INT-257067</v>
      </c>
      <c r="AU49" s="121"/>
      <c r="AV49" s="121"/>
      <c r="AY49">
        <f t="shared" si="2"/>
        <v>2245</v>
      </c>
      <c r="AZ49">
        <f ca="1">AZ48+'update Helper'!$X$2</f>
        <v>2611</v>
      </c>
      <c r="BC49" t="str">
        <f ca="1">IF(INDIRECT("'update Helper'!S"&amp;AY49)=0,"",IFERROR(VLOOKUP(INDIRECT("'update Helper'!S"&amp;AY49),'Account Role'!A$1:B$14,2,0),IFERROR(VLOOKUP(INDIRECT("'update Helper'!I"&amp;AY49),'Overview - Section A'!J$26:P$91,7,0),"")))</f>
        <v/>
      </c>
      <c r="BD49" t="str">
        <f ca="1">IFERROR(INDEX('Overview - Section A'!A$123:A215,MATCH(INDIRECT("'update Helper'!Q"&amp;AY49),'Overview - Section A'!AQ$123:AQ215,0)),"")</f>
        <v/>
      </c>
      <c r="BE49" t="str">
        <f>IFERROR(INDEX('Overview - Section A'!O$123:O215,MATCH(AT49,'Overview - Section A'!AQ$123:AQ215,0)),"")</f>
        <v/>
      </c>
      <c r="BF49" t="str">
        <f>IFERROR(INDEX('Overview - Section A'!H$123:H215,MATCH(AT49,'Overview - Section A'!AQ$123:AQ215,0)),"")</f>
        <v/>
      </c>
    </row>
    <row r="50" spans="1:58" ht="30" customHeight="1">
      <c r="A50" s="120">
        <v>42</v>
      </c>
      <c r="B50" s="121"/>
      <c r="C50" s="121"/>
      <c r="D50" s="121"/>
      <c r="E50" s="121"/>
      <c r="F50" s="121"/>
      <c r="G50" s="122"/>
      <c r="H50" s="121"/>
      <c r="I50" s="122"/>
      <c r="J50" s="121"/>
      <c r="K50" s="121"/>
      <c r="L50" s="121"/>
      <c r="M50" s="122"/>
      <c r="N50" s="121"/>
      <c r="O50" s="121"/>
      <c r="P50" s="121"/>
      <c r="Q50" s="122"/>
      <c r="R50" s="121"/>
      <c r="S50" s="121"/>
      <c r="T50" s="122"/>
      <c r="U50" s="122"/>
      <c r="V50" s="121"/>
      <c r="W50" s="121"/>
      <c r="X50" s="122"/>
      <c r="Y50" s="122"/>
      <c r="Z50" s="121"/>
      <c r="AA50" s="121"/>
      <c r="AB50" s="122"/>
      <c r="AC50" s="122"/>
      <c r="AD50" s="121"/>
      <c r="AE50" s="121"/>
      <c r="AF50" s="122"/>
      <c r="AG50" s="122"/>
      <c r="AH50" s="121"/>
      <c r="AI50" s="121"/>
      <c r="AJ50" s="122"/>
      <c r="AK50" s="122"/>
      <c r="AL50" s="121"/>
      <c r="AM50" s="121"/>
      <c r="AN50" s="121"/>
      <c r="AO50" t="str">
        <f>IFERROR(VLOOKUP(D50,'Reference Records'!$C$213:$E$352,3,FALSE),"")</f>
        <v/>
      </c>
      <c r="AP50" t="e">
        <f>VLOOKUP(AO50,'Reference Records'!$E$213:$F$352,2,0)</f>
        <v>#N/A</v>
      </c>
      <c r="AQ50" t="e">
        <f>MATCH($AP50,'Reference Records'!$E$430:$E$653,0)+ROW(Population_by_intervention)-1</f>
        <v>#N/A</v>
      </c>
      <c r="AR50" t="e">
        <f>MATCH($AP50,'Reference Records'!$E$430:$E$653,1)+ROW(Population_by_intervention)-1</f>
        <v>#N/A</v>
      </c>
      <c r="AS50" t="str">
        <f t="shared" si="0"/>
        <v>|empty|</v>
      </c>
      <c r="AT50" t="str">
        <f>IF(AS50="","",IFERROR(VLOOKUP(AS50,'Overview - Section A'!AF$124:AG216,2,0),VLOOKUP("|empty|",'Overview - Section A'!AF$124:AG216,2,0)))</f>
        <v>INT-257067</v>
      </c>
      <c r="AU50" s="121"/>
      <c r="AV50" s="121"/>
      <c r="AY50">
        <f t="shared" si="2"/>
        <v>2246</v>
      </c>
      <c r="AZ50">
        <f ca="1">AZ49+'update Helper'!$X$2</f>
        <v>2617</v>
      </c>
      <c r="BC50" t="str">
        <f ca="1">IF(INDIRECT("'update Helper'!S"&amp;AY50)=0,"",IFERROR(VLOOKUP(INDIRECT("'update Helper'!S"&amp;AY50),'Account Role'!A$1:B$14,2,0),IFERROR(VLOOKUP(INDIRECT("'update Helper'!I"&amp;AY50),'Overview - Section A'!J$26:P$91,7,0),"")))</f>
        <v/>
      </c>
      <c r="BD50" t="str">
        <f ca="1">IFERROR(INDEX('Overview - Section A'!A$123:A216,MATCH(INDIRECT("'update Helper'!Q"&amp;AY50),'Overview - Section A'!AQ$123:AQ216,0)),"")</f>
        <v/>
      </c>
      <c r="BE50" t="str">
        <f>IFERROR(INDEX('Overview - Section A'!O$123:O216,MATCH(AT50,'Overview - Section A'!AQ$123:AQ216,0)),"")</f>
        <v/>
      </c>
      <c r="BF50" t="str">
        <f>IFERROR(INDEX('Overview - Section A'!H$123:H216,MATCH(AT50,'Overview - Section A'!AQ$123:AQ216,0)),"")</f>
        <v/>
      </c>
    </row>
    <row r="51" spans="1:58" ht="30" customHeight="1">
      <c r="A51" s="120">
        <v>43</v>
      </c>
      <c r="B51" s="121"/>
      <c r="C51" s="121"/>
      <c r="D51" s="121"/>
      <c r="E51" s="121"/>
      <c r="F51" s="121"/>
      <c r="G51" s="122"/>
      <c r="H51" s="121"/>
      <c r="I51" s="122"/>
      <c r="J51" s="121"/>
      <c r="K51" s="121"/>
      <c r="L51" s="121"/>
      <c r="M51" s="122"/>
      <c r="N51" s="121"/>
      <c r="O51" s="121"/>
      <c r="P51" s="121"/>
      <c r="Q51" s="122"/>
      <c r="R51" s="121"/>
      <c r="S51" s="121"/>
      <c r="T51" s="122"/>
      <c r="U51" s="122"/>
      <c r="V51" s="121"/>
      <c r="W51" s="121"/>
      <c r="X51" s="122"/>
      <c r="Y51" s="122"/>
      <c r="Z51" s="121"/>
      <c r="AA51" s="121"/>
      <c r="AB51" s="122"/>
      <c r="AC51" s="122"/>
      <c r="AD51" s="121"/>
      <c r="AE51" s="121"/>
      <c r="AF51" s="122"/>
      <c r="AG51" s="122"/>
      <c r="AH51" s="121"/>
      <c r="AI51" s="121"/>
      <c r="AJ51" s="122"/>
      <c r="AK51" s="122"/>
      <c r="AL51" s="121"/>
      <c r="AM51" s="121"/>
      <c r="AN51" s="121"/>
      <c r="AO51" t="str">
        <f>IFERROR(VLOOKUP(D51,'Reference Records'!$C$213:$E$352,3,FALSE),"")</f>
        <v/>
      </c>
      <c r="AP51" t="e">
        <f>VLOOKUP(AO51,'Reference Records'!$E$213:$F$352,2,0)</f>
        <v>#N/A</v>
      </c>
      <c r="AQ51" t="e">
        <f>MATCH($AP51,'Reference Records'!$E$430:$E$653,0)+ROW(Population_by_intervention)-1</f>
        <v>#N/A</v>
      </c>
      <c r="AR51" t="e">
        <f>MATCH($AP51,'Reference Records'!$E$430:$E$653,1)+ROW(Population_by_intervention)-1</f>
        <v>#N/A</v>
      </c>
      <c r="AS51" t="str">
        <f t="shared" si="0"/>
        <v>|empty|</v>
      </c>
      <c r="AT51" t="str">
        <f>IF(AS51="","",IFERROR(VLOOKUP(AS51,'Overview - Section A'!AF$124:AG217,2,0),VLOOKUP("|empty|",'Overview - Section A'!AF$124:AG217,2,0)))</f>
        <v>INT-257067</v>
      </c>
      <c r="AU51" s="121"/>
      <c r="AV51" s="121"/>
      <c r="AY51">
        <f t="shared" si="2"/>
        <v>2247</v>
      </c>
      <c r="AZ51">
        <f ca="1">AZ50+'update Helper'!$X$2</f>
        <v>2623</v>
      </c>
      <c r="BC51" t="str">
        <f ca="1">IF(INDIRECT("'update Helper'!S"&amp;AY51)=0,"",IFERROR(VLOOKUP(INDIRECT("'update Helper'!S"&amp;AY51),'Account Role'!A$1:B$14,2,0),IFERROR(VLOOKUP(INDIRECT("'update Helper'!I"&amp;AY51),'Overview - Section A'!J$26:P$91,7,0),"")))</f>
        <v/>
      </c>
      <c r="BD51" t="str">
        <f ca="1">IFERROR(INDEX('Overview - Section A'!A$123:A217,MATCH(INDIRECT("'update Helper'!Q"&amp;AY51),'Overview - Section A'!AQ$123:AQ217,0)),"")</f>
        <v/>
      </c>
      <c r="BE51" t="str">
        <f>IFERROR(INDEX('Overview - Section A'!O$123:O217,MATCH(AT51,'Overview - Section A'!AQ$123:AQ217,0)),"")</f>
        <v/>
      </c>
      <c r="BF51" t="str">
        <f>IFERROR(INDEX('Overview - Section A'!H$123:H217,MATCH(AT51,'Overview - Section A'!AQ$123:AQ217,0)),"")</f>
        <v/>
      </c>
    </row>
    <row r="52" spans="1:58" ht="30" customHeight="1">
      <c r="A52" s="120">
        <v>44</v>
      </c>
      <c r="B52" s="121"/>
      <c r="C52" s="121"/>
      <c r="D52" s="121"/>
      <c r="E52" s="121"/>
      <c r="F52" s="121"/>
      <c r="G52" s="122"/>
      <c r="H52" s="121"/>
      <c r="I52" s="122"/>
      <c r="J52" s="121"/>
      <c r="K52" s="121"/>
      <c r="L52" s="121"/>
      <c r="M52" s="122"/>
      <c r="N52" s="121"/>
      <c r="O52" s="121"/>
      <c r="P52" s="121"/>
      <c r="Q52" s="122"/>
      <c r="R52" s="121"/>
      <c r="S52" s="121"/>
      <c r="T52" s="122"/>
      <c r="U52" s="122"/>
      <c r="V52" s="121"/>
      <c r="W52" s="121"/>
      <c r="X52" s="122"/>
      <c r="Y52" s="122"/>
      <c r="Z52" s="121"/>
      <c r="AA52" s="121"/>
      <c r="AB52" s="122"/>
      <c r="AC52" s="122"/>
      <c r="AD52" s="121"/>
      <c r="AE52" s="121"/>
      <c r="AF52" s="122"/>
      <c r="AG52" s="122"/>
      <c r="AH52" s="121"/>
      <c r="AI52" s="121"/>
      <c r="AJ52" s="122"/>
      <c r="AK52" s="122"/>
      <c r="AL52" s="121"/>
      <c r="AM52" s="121"/>
      <c r="AN52" s="121"/>
      <c r="AO52" t="str">
        <f>IFERROR(VLOOKUP(D52,'Reference Records'!$C$213:$E$352,3,FALSE),"")</f>
        <v/>
      </c>
      <c r="AP52" t="e">
        <f>VLOOKUP(AO52,'Reference Records'!$E$213:$F$352,2,0)</f>
        <v>#N/A</v>
      </c>
      <c r="AQ52" t="e">
        <f>MATCH($AP52,'Reference Records'!$E$430:$E$653,0)+ROW(Population_by_intervention)-1</f>
        <v>#N/A</v>
      </c>
      <c r="AR52" t="e">
        <f>MATCH($AP52,'Reference Records'!$E$430:$E$653,1)+ROW(Population_by_intervention)-1</f>
        <v>#N/A</v>
      </c>
      <c r="AS52" t="str">
        <f t="shared" si="0"/>
        <v>|empty|</v>
      </c>
      <c r="AT52" t="str">
        <f>IF(AS52="","",IFERROR(VLOOKUP(AS52,'Overview - Section A'!AF$124:AG218,2,0),VLOOKUP("|empty|",'Overview - Section A'!AF$124:AG218,2,0)))</f>
        <v>INT-257067</v>
      </c>
      <c r="AU52" s="121"/>
      <c r="AV52" s="121"/>
      <c r="AY52">
        <f t="shared" si="2"/>
        <v>2248</v>
      </c>
      <c r="AZ52">
        <f ca="1">AZ51+'update Helper'!$X$2</f>
        <v>2629</v>
      </c>
      <c r="BC52" t="str">
        <f ca="1">IF(INDIRECT("'update Helper'!S"&amp;AY52)=0,"",IFERROR(VLOOKUP(INDIRECT("'update Helper'!S"&amp;AY52),'Account Role'!A$1:B$14,2,0),IFERROR(VLOOKUP(INDIRECT("'update Helper'!I"&amp;AY52),'Overview - Section A'!J$26:P$91,7,0),"")))</f>
        <v/>
      </c>
      <c r="BD52" t="str">
        <f ca="1">IFERROR(INDEX('Overview - Section A'!A$123:A218,MATCH(INDIRECT("'update Helper'!Q"&amp;AY52),'Overview - Section A'!AQ$123:AQ218,0)),"")</f>
        <v/>
      </c>
      <c r="BE52" t="str">
        <f>IFERROR(INDEX('Overview - Section A'!O$123:O218,MATCH(AT52,'Overview - Section A'!AQ$123:AQ218,0)),"")</f>
        <v/>
      </c>
      <c r="BF52" t="str">
        <f>IFERROR(INDEX('Overview - Section A'!H$123:H218,MATCH(AT52,'Overview - Section A'!AQ$123:AQ218,0)),"")</f>
        <v/>
      </c>
    </row>
    <row r="53" spans="1:58" ht="30" customHeight="1">
      <c r="A53" s="120">
        <v>45</v>
      </c>
      <c r="B53" s="121"/>
      <c r="C53" s="121"/>
      <c r="D53" s="121"/>
      <c r="E53" s="121"/>
      <c r="F53" s="121"/>
      <c r="G53" s="122"/>
      <c r="H53" s="121"/>
      <c r="I53" s="122"/>
      <c r="J53" s="121"/>
      <c r="K53" s="121"/>
      <c r="L53" s="121"/>
      <c r="M53" s="122"/>
      <c r="N53" s="121"/>
      <c r="O53" s="121"/>
      <c r="P53" s="121"/>
      <c r="Q53" s="122"/>
      <c r="R53" s="121"/>
      <c r="S53" s="121"/>
      <c r="T53" s="122"/>
      <c r="U53" s="122"/>
      <c r="V53" s="121"/>
      <c r="W53" s="121"/>
      <c r="X53" s="122"/>
      <c r="Y53" s="122"/>
      <c r="Z53" s="121"/>
      <c r="AA53" s="121"/>
      <c r="AB53" s="122"/>
      <c r="AC53" s="122"/>
      <c r="AD53" s="121"/>
      <c r="AE53" s="121"/>
      <c r="AF53" s="122"/>
      <c r="AG53" s="122"/>
      <c r="AH53" s="121"/>
      <c r="AI53" s="121"/>
      <c r="AJ53" s="122"/>
      <c r="AK53" s="122"/>
      <c r="AL53" s="121"/>
      <c r="AM53" s="121"/>
      <c r="AN53" s="121"/>
      <c r="AO53" t="str">
        <f>IFERROR(VLOOKUP(D53,'Reference Records'!$C$213:$E$352,3,FALSE),"")</f>
        <v/>
      </c>
      <c r="AP53" t="e">
        <f>VLOOKUP(AO53,'Reference Records'!$E$213:$F$352,2,0)</f>
        <v>#N/A</v>
      </c>
      <c r="AQ53" t="e">
        <f>MATCH($AP53,'Reference Records'!$E$430:$E$653,0)+ROW(Population_by_intervention)-1</f>
        <v>#N/A</v>
      </c>
      <c r="AR53" t="e">
        <f>MATCH($AP53,'Reference Records'!$E$430:$E$653,1)+ROW(Population_by_intervention)-1</f>
        <v>#N/A</v>
      </c>
      <c r="AS53" t="str">
        <f t="shared" si="0"/>
        <v>|empty|</v>
      </c>
      <c r="AT53" t="str">
        <f>IF(AS53="","",IFERROR(VLOOKUP(AS53,'Overview - Section A'!AF$124:AG219,2,0),VLOOKUP("|empty|",'Overview - Section A'!AF$124:AG219,2,0)))</f>
        <v>INT-257067</v>
      </c>
      <c r="AU53" s="121"/>
      <c r="AV53" s="121"/>
      <c r="AY53">
        <f t="shared" si="2"/>
        <v>2249</v>
      </c>
      <c r="AZ53">
        <f ca="1">AZ52+'update Helper'!$X$2</f>
        <v>2635</v>
      </c>
      <c r="BC53" t="str">
        <f ca="1">IF(INDIRECT("'update Helper'!S"&amp;AY53)=0,"",IFERROR(VLOOKUP(INDIRECT("'update Helper'!S"&amp;AY53),'Account Role'!A$1:B$14,2,0),IFERROR(VLOOKUP(INDIRECT("'update Helper'!I"&amp;AY53),'Overview - Section A'!J$26:P$91,7,0),"")))</f>
        <v/>
      </c>
      <c r="BD53" t="str">
        <f ca="1">IFERROR(INDEX('Overview - Section A'!A$123:A219,MATCH(INDIRECT("'update Helper'!Q"&amp;AY53),'Overview - Section A'!AQ$123:AQ219,0)),"")</f>
        <v/>
      </c>
      <c r="BE53" t="str">
        <f>IFERROR(INDEX('Overview - Section A'!O$123:O219,MATCH(AT53,'Overview - Section A'!AQ$123:AQ219,0)),"")</f>
        <v/>
      </c>
      <c r="BF53" t="str">
        <f>IFERROR(INDEX('Overview - Section A'!H$123:H219,MATCH(AT53,'Overview - Section A'!AQ$123:AQ219,0)),"")</f>
        <v/>
      </c>
    </row>
    <row r="54" spans="1:58" ht="30" customHeight="1">
      <c r="A54" s="120">
        <v>46</v>
      </c>
      <c r="B54" s="121"/>
      <c r="C54" s="121"/>
      <c r="D54" s="121"/>
      <c r="E54" s="121"/>
      <c r="F54" s="121"/>
      <c r="G54" s="122"/>
      <c r="H54" s="121"/>
      <c r="I54" s="122"/>
      <c r="J54" s="121"/>
      <c r="K54" s="121"/>
      <c r="L54" s="121"/>
      <c r="M54" s="122"/>
      <c r="N54" s="121"/>
      <c r="O54" s="121"/>
      <c r="P54" s="121"/>
      <c r="Q54" s="122"/>
      <c r="R54" s="121"/>
      <c r="S54" s="121"/>
      <c r="T54" s="122"/>
      <c r="U54" s="122"/>
      <c r="V54" s="121"/>
      <c r="W54" s="121"/>
      <c r="X54" s="122"/>
      <c r="Y54" s="122"/>
      <c r="Z54" s="121"/>
      <c r="AA54" s="121"/>
      <c r="AB54" s="122"/>
      <c r="AC54" s="122"/>
      <c r="AD54" s="121"/>
      <c r="AE54" s="121"/>
      <c r="AF54" s="122"/>
      <c r="AG54" s="122"/>
      <c r="AH54" s="121"/>
      <c r="AI54" s="121"/>
      <c r="AJ54" s="122"/>
      <c r="AK54" s="122"/>
      <c r="AL54" s="121"/>
      <c r="AM54" s="121"/>
      <c r="AN54" s="121"/>
      <c r="AO54" t="str">
        <f>IFERROR(VLOOKUP(D54,'Reference Records'!$C$213:$E$352,3,FALSE),"")</f>
        <v/>
      </c>
      <c r="AP54" t="e">
        <f>VLOOKUP(AO54,'Reference Records'!$E$213:$F$352,2,0)</f>
        <v>#N/A</v>
      </c>
      <c r="AQ54" t="e">
        <f>MATCH($AP54,'Reference Records'!$E$430:$E$653,0)+ROW(Population_by_intervention)-1</f>
        <v>#N/A</v>
      </c>
      <c r="AR54" t="e">
        <f>MATCH($AP54,'Reference Records'!$E$430:$E$653,1)+ROW(Population_by_intervention)-1</f>
        <v>#N/A</v>
      </c>
      <c r="AS54" t="str">
        <f t="shared" si="0"/>
        <v>|empty|</v>
      </c>
      <c r="AT54" t="str">
        <f>IF(AS54="","",IFERROR(VLOOKUP(AS54,'Overview - Section A'!AF$124:AG220,2,0),VLOOKUP("|empty|",'Overview - Section A'!AF$124:AG220,2,0)))</f>
        <v>INT-257067</v>
      </c>
      <c r="AU54" s="121"/>
      <c r="AV54" s="121"/>
      <c r="AY54">
        <f t="shared" si="2"/>
        <v>2250</v>
      </c>
      <c r="AZ54">
        <f ca="1">AZ53+'update Helper'!$X$2</f>
        <v>2641</v>
      </c>
      <c r="BC54" t="str">
        <f ca="1">IF(INDIRECT("'update Helper'!S"&amp;AY54)=0,"",IFERROR(VLOOKUP(INDIRECT("'update Helper'!S"&amp;AY54),'Account Role'!A$1:B$14,2,0),IFERROR(VLOOKUP(INDIRECT("'update Helper'!I"&amp;AY54),'Overview - Section A'!J$26:P$91,7,0),"")))</f>
        <v/>
      </c>
      <c r="BD54" t="str">
        <f ca="1">IFERROR(INDEX('Overview - Section A'!A$123:A220,MATCH(INDIRECT("'update Helper'!Q"&amp;AY54),'Overview - Section A'!AQ$123:AQ220,0)),"")</f>
        <v/>
      </c>
      <c r="BE54" t="str">
        <f>IFERROR(INDEX('Overview - Section A'!O$123:O220,MATCH(AT54,'Overview - Section A'!AQ$123:AQ220,0)),"")</f>
        <v/>
      </c>
      <c r="BF54" t="str">
        <f>IFERROR(INDEX('Overview - Section A'!H$123:H220,MATCH(AT54,'Overview - Section A'!AQ$123:AQ220,0)),"")</f>
        <v/>
      </c>
    </row>
    <row r="55" spans="1:58" ht="30" customHeight="1">
      <c r="A55" s="120">
        <v>47</v>
      </c>
      <c r="B55" s="121"/>
      <c r="C55" s="121"/>
      <c r="D55" s="121"/>
      <c r="E55" s="121"/>
      <c r="F55" s="121"/>
      <c r="G55" s="122"/>
      <c r="H55" s="121"/>
      <c r="I55" s="122"/>
      <c r="J55" s="121"/>
      <c r="K55" s="121"/>
      <c r="L55" s="121"/>
      <c r="M55" s="122"/>
      <c r="N55" s="121"/>
      <c r="O55" s="121"/>
      <c r="P55" s="121"/>
      <c r="Q55" s="122"/>
      <c r="R55" s="121"/>
      <c r="S55" s="121"/>
      <c r="T55" s="122"/>
      <c r="U55" s="122"/>
      <c r="V55" s="121"/>
      <c r="W55" s="121"/>
      <c r="X55" s="122"/>
      <c r="Y55" s="122"/>
      <c r="Z55" s="121"/>
      <c r="AA55" s="121"/>
      <c r="AB55" s="122"/>
      <c r="AC55" s="122"/>
      <c r="AD55" s="121"/>
      <c r="AE55" s="121"/>
      <c r="AF55" s="122"/>
      <c r="AG55" s="122"/>
      <c r="AH55" s="121"/>
      <c r="AI55" s="121"/>
      <c r="AJ55" s="122"/>
      <c r="AK55" s="122"/>
      <c r="AL55" s="121"/>
      <c r="AM55" s="121"/>
      <c r="AN55" s="121"/>
      <c r="AO55" t="str">
        <f>IFERROR(VLOOKUP(D55,'Reference Records'!$C$213:$E$352,3,FALSE),"")</f>
        <v/>
      </c>
      <c r="AP55" t="e">
        <f>VLOOKUP(AO55,'Reference Records'!$E$213:$F$352,2,0)</f>
        <v>#N/A</v>
      </c>
      <c r="AQ55" t="e">
        <f>MATCH($AP55,'Reference Records'!$E$430:$E$653,0)+ROW(Population_by_intervention)-1</f>
        <v>#N/A</v>
      </c>
      <c r="AR55" t="e">
        <f>MATCH($AP55,'Reference Records'!$E$430:$E$653,1)+ROW(Population_by_intervention)-1</f>
        <v>#N/A</v>
      </c>
      <c r="AS55" t="str">
        <f t="shared" si="0"/>
        <v>|empty|</v>
      </c>
      <c r="AT55" t="str">
        <f>IF(AS55="","",IFERROR(VLOOKUP(AS55,'Overview - Section A'!AF$124:AG221,2,0),VLOOKUP("|empty|",'Overview - Section A'!AF$124:AG221,2,0)))</f>
        <v>INT-257067</v>
      </c>
      <c r="AU55" s="121"/>
      <c r="AV55" s="121"/>
      <c r="AY55">
        <f t="shared" si="2"/>
        <v>2251</v>
      </c>
      <c r="AZ55">
        <f ca="1">AZ54+'update Helper'!$X$2</f>
        <v>2647</v>
      </c>
      <c r="BC55" t="str">
        <f ca="1">IF(INDIRECT("'update Helper'!S"&amp;AY55)=0,"",IFERROR(VLOOKUP(INDIRECT("'update Helper'!S"&amp;AY55),'Account Role'!A$1:B$14,2,0),IFERROR(VLOOKUP(INDIRECT("'update Helper'!I"&amp;AY55),'Overview - Section A'!J$26:P$91,7,0),"")))</f>
        <v/>
      </c>
      <c r="BD55" t="str">
        <f ca="1">IFERROR(INDEX('Overview - Section A'!A$123:A221,MATCH(INDIRECT("'update Helper'!Q"&amp;AY55),'Overview - Section A'!AQ$123:AQ221,0)),"")</f>
        <v/>
      </c>
      <c r="BE55" t="str">
        <f>IFERROR(INDEX('Overview - Section A'!O$123:O221,MATCH(AT55,'Overview - Section A'!AQ$123:AQ221,0)),"")</f>
        <v/>
      </c>
      <c r="BF55" t="str">
        <f>IFERROR(INDEX('Overview - Section A'!H$123:H221,MATCH(AT55,'Overview - Section A'!AQ$123:AQ221,0)),"")</f>
        <v/>
      </c>
    </row>
    <row r="56" spans="1:58" ht="30" customHeight="1">
      <c r="A56" s="120">
        <v>48</v>
      </c>
      <c r="B56" s="121"/>
      <c r="C56" s="121"/>
      <c r="D56" s="121"/>
      <c r="E56" s="121"/>
      <c r="F56" s="121"/>
      <c r="G56" s="122"/>
      <c r="H56" s="121"/>
      <c r="I56" s="122"/>
      <c r="J56" s="121"/>
      <c r="K56" s="121"/>
      <c r="L56" s="121"/>
      <c r="M56" s="122"/>
      <c r="N56" s="121"/>
      <c r="O56" s="121"/>
      <c r="P56" s="121"/>
      <c r="Q56" s="122"/>
      <c r="R56" s="121"/>
      <c r="S56" s="121"/>
      <c r="T56" s="122"/>
      <c r="U56" s="122"/>
      <c r="V56" s="121"/>
      <c r="W56" s="121"/>
      <c r="X56" s="122"/>
      <c r="Y56" s="122"/>
      <c r="Z56" s="121"/>
      <c r="AA56" s="121"/>
      <c r="AB56" s="122"/>
      <c r="AC56" s="122"/>
      <c r="AD56" s="121"/>
      <c r="AE56" s="121"/>
      <c r="AF56" s="122"/>
      <c r="AG56" s="122"/>
      <c r="AH56" s="121"/>
      <c r="AI56" s="121"/>
      <c r="AJ56" s="122"/>
      <c r="AK56" s="122"/>
      <c r="AL56" s="121"/>
      <c r="AM56" s="121"/>
      <c r="AN56" s="121"/>
      <c r="AO56" t="str">
        <f>IFERROR(VLOOKUP(D56,'Reference Records'!$C$213:$E$352,3,FALSE),"")</f>
        <v/>
      </c>
      <c r="AP56" t="e">
        <f>VLOOKUP(AO56,'Reference Records'!$E$213:$F$352,2,0)</f>
        <v>#N/A</v>
      </c>
      <c r="AQ56" t="e">
        <f>MATCH($AP56,'Reference Records'!$E$430:$E$653,0)+ROW(Population_by_intervention)-1</f>
        <v>#N/A</v>
      </c>
      <c r="AR56" t="e">
        <f>MATCH($AP56,'Reference Records'!$E$430:$E$653,1)+ROW(Population_by_intervention)-1</f>
        <v>#N/A</v>
      </c>
      <c r="AS56" t="str">
        <f t="shared" si="0"/>
        <v>|empty|</v>
      </c>
      <c r="AT56" t="str">
        <f>IF(AS56="","",IFERROR(VLOOKUP(AS56,'Overview - Section A'!AF$124:AG222,2,0),VLOOKUP("|empty|",'Overview - Section A'!AF$124:AG222,2,0)))</f>
        <v>INT-257067</v>
      </c>
      <c r="AU56" s="121"/>
      <c r="AV56" s="121"/>
      <c r="AY56">
        <f t="shared" si="2"/>
        <v>2252</v>
      </c>
      <c r="AZ56">
        <f ca="1">AZ55+'update Helper'!$X$2</f>
        <v>2653</v>
      </c>
      <c r="BC56" t="str">
        <f ca="1">IF(INDIRECT("'update Helper'!S"&amp;AY56)=0,"",IFERROR(VLOOKUP(INDIRECT("'update Helper'!S"&amp;AY56),'Account Role'!A$1:B$14,2,0),IFERROR(VLOOKUP(INDIRECT("'update Helper'!I"&amp;AY56),'Overview - Section A'!J$26:P$91,7,0),"")))</f>
        <v/>
      </c>
      <c r="BD56" t="str">
        <f ca="1">IFERROR(INDEX('Overview - Section A'!A$123:A222,MATCH(INDIRECT("'update Helper'!Q"&amp;AY56),'Overview - Section A'!AQ$123:AQ222,0)),"")</f>
        <v/>
      </c>
      <c r="BE56" t="str">
        <f>IFERROR(INDEX('Overview - Section A'!O$123:O222,MATCH(AT56,'Overview - Section A'!AQ$123:AQ222,0)),"")</f>
        <v/>
      </c>
      <c r="BF56" t="str">
        <f>IFERROR(INDEX('Overview - Section A'!H$123:H222,MATCH(AT56,'Overview - Section A'!AQ$123:AQ222,0)),"")</f>
        <v/>
      </c>
    </row>
    <row r="57" spans="1:58" ht="30" customHeight="1">
      <c r="A57" s="120">
        <v>49</v>
      </c>
      <c r="B57" s="121"/>
      <c r="C57" s="121"/>
      <c r="D57" s="121"/>
      <c r="E57" s="121"/>
      <c r="F57" s="121"/>
      <c r="G57" s="122"/>
      <c r="H57" s="121"/>
      <c r="I57" s="122"/>
      <c r="J57" s="121"/>
      <c r="K57" s="121"/>
      <c r="L57" s="121"/>
      <c r="M57" s="122"/>
      <c r="N57" s="121"/>
      <c r="O57" s="121"/>
      <c r="P57" s="121"/>
      <c r="Q57" s="122"/>
      <c r="R57" s="121"/>
      <c r="S57" s="121"/>
      <c r="T57" s="122"/>
      <c r="U57" s="122"/>
      <c r="V57" s="121"/>
      <c r="W57" s="121"/>
      <c r="X57" s="122"/>
      <c r="Y57" s="122"/>
      <c r="Z57" s="121"/>
      <c r="AA57" s="121"/>
      <c r="AB57" s="122"/>
      <c r="AC57" s="122"/>
      <c r="AD57" s="121"/>
      <c r="AE57" s="121"/>
      <c r="AF57" s="122"/>
      <c r="AG57" s="122"/>
      <c r="AH57" s="121"/>
      <c r="AI57" s="121"/>
      <c r="AJ57" s="122"/>
      <c r="AK57" s="122"/>
      <c r="AL57" s="121"/>
      <c r="AM57" s="121"/>
      <c r="AN57" s="121"/>
      <c r="AO57" t="str">
        <f>IFERROR(VLOOKUP(D57,'Reference Records'!$C$213:$E$352,3,FALSE),"")</f>
        <v/>
      </c>
      <c r="AP57" t="e">
        <f>VLOOKUP(AO57,'Reference Records'!$E$213:$F$352,2,0)</f>
        <v>#N/A</v>
      </c>
      <c r="AQ57" t="e">
        <f>MATCH($AP57,'Reference Records'!$E$430:$E$653,0)+ROW(Population_by_intervention)-1</f>
        <v>#N/A</v>
      </c>
      <c r="AR57" t="e">
        <f>MATCH($AP57,'Reference Records'!$E$430:$E$653,1)+ROW(Population_by_intervention)-1</f>
        <v>#N/A</v>
      </c>
      <c r="AS57" t="str">
        <f t="shared" si="0"/>
        <v>|empty|</v>
      </c>
      <c r="AT57" t="str">
        <f>IF(AS57="","",IFERROR(VLOOKUP(AS57,'Overview - Section A'!AF$124:AG223,2,0),VLOOKUP("|empty|",'Overview - Section A'!AF$124:AG223,2,0)))</f>
        <v>INT-257067</v>
      </c>
      <c r="AU57" s="121"/>
      <c r="AV57" s="121"/>
      <c r="AY57">
        <f t="shared" si="2"/>
        <v>2253</v>
      </c>
      <c r="AZ57">
        <f ca="1">AZ56+'update Helper'!$X$2</f>
        <v>2659</v>
      </c>
      <c r="BC57" t="str">
        <f ca="1">IF(INDIRECT("'update Helper'!S"&amp;AY57)=0,"",IFERROR(VLOOKUP(INDIRECT("'update Helper'!S"&amp;AY57),'Account Role'!A$1:B$14,2,0),IFERROR(VLOOKUP(INDIRECT("'update Helper'!I"&amp;AY57),'Overview - Section A'!J$26:P$91,7,0),"")))</f>
        <v/>
      </c>
      <c r="BD57" t="str">
        <f ca="1">IFERROR(INDEX('Overview - Section A'!A$123:A223,MATCH(INDIRECT("'update Helper'!Q"&amp;AY57),'Overview - Section A'!AQ$123:AQ223,0)),"")</f>
        <v/>
      </c>
      <c r="BE57" t="str">
        <f>IFERROR(INDEX('Overview - Section A'!O$123:O223,MATCH(AT57,'Overview - Section A'!AQ$123:AQ223,0)),"")</f>
        <v/>
      </c>
      <c r="BF57" t="str">
        <f>IFERROR(INDEX('Overview - Section A'!H$123:H223,MATCH(AT57,'Overview - Section A'!AQ$123:AQ223,0)),"")</f>
        <v/>
      </c>
    </row>
    <row r="58" spans="1:58" ht="30" customHeight="1">
      <c r="A58" s="120">
        <v>50</v>
      </c>
      <c r="B58" s="121"/>
      <c r="C58" s="121"/>
      <c r="D58" s="121"/>
      <c r="E58" s="121"/>
      <c r="F58" s="121"/>
      <c r="G58" s="122"/>
      <c r="H58" s="121"/>
      <c r="I58" s="122"/>
      <c r="J58" s="121"/>
      <c r="K58" s="121"/>
      <c r="L58" s="121"/>
      <c r="M58" s="122"/>
      <c r="N58" s="121"/>
      <c r="O58" s="121"/>
      <c r="P58" s="121"/>
      <c r="Q58" s="122"/>
      <c r="R58" s="121"/>
      <c r="S58" s="121"/>
      <c r="T58" s="122"/>
      <c r="U58" s="122"/>
      <c r="V58" s="121"/>
      <c r="W58" s="121"/>
      <c r="X58" s="122"/>
      <c r="Y58" s="122"/>
      <c r="Z58" s="121"/>
      <c r="AA58" s="121"/>
      <c r="AB58" s="122"/>
      <c r="AC58" s="122"/>
      <c r="AD58" s="121"/>
      <c r="AE58" s="121"/>
      <c r="AF58" s="122"/>
      <c r="AG58" s="122"/>
      <c r="AH58" s="121"/>
      <c r="AI58" s="121"/>
      <c r="AJ58" s="122"/>
      <c r="AK58" s="122"/>
      <c r="AL58" s="121"/>
      <c r="AM58" s="121"/>
      <c r="AN58" s="121"/>
      <c r="AO58" t="str">
        <f>IFERROR(VLOOKUP(D58,'Reference Records'!$C$213:$E$352,3,FALSE),"")</f>
        <v/>
      </c>
      <c r="AP58" t="e">
        <f>VLOOKUP(AO58,'Reference Records'!$E$213:$F$352,2,0)</f>
        <v>#N/A</v>
      </c>
      <c r="AQ58" t="e">
        <f>MATCH($AP58,'Reference Records'!$E$430:$E$653,0)+ROW(Population_by_intervention)-1</f>
        <v>#N/A</v>
      </c>
      <c r="AR58" t="e">
        <f>MATCH($AP58,'Reference Records'!$E$430:$E$653,1)+ROW(Population_by_intervention)-1</f>
        <v>#N/A</v>
      </c>
      <c r="AS58" t="str">
        <f t="shared" si="0"/>
        <v>|empty|</v>
      </c>
      <c r="AT58" t="str">
        <f>IF(AS58="","",IFERROR(VLOOKUP(AS58,'Overview - Section A'!AF$124:AG224,2,0),VLOOKUP("|empty|",'Overview - Section A'!AF$124:AG224,2,0)))</f>
        <v>INT-257067</v>
      </c>
      <c r="AU58" s="121"/>
      <c r="AV58" s="121"/>
      <c r="AY58">
        <f t="shared" si="2"/>
        <v>2254</v>
      </c>
      <c r="AZ58">
        <f ca="1">AZ57+'update Helper'!$X$2</f>
        <v>2665</v>
      </c>
      <c r="BC58" t="str">
        <f ca="1">IF(INDIRECT("'update Helper'!S"&amp;AY58)=0,"",IFERROR(VLOOKUP(INDIRECT("'update Helper'!S"&amp;AY58),'Account Role'!A$1:B$14,2,0),IFERROR(VLOOKUP(INDIRECT("'update Helper'!I"&amp;AY58),'Overview - Section A'!J$26:P$91,7,0),"")))</f>
        <v/>
      </c>
      <c r="BD58" t="str">
        <f ca="1">IFERROR(INDEX('Overview - Section A'!A$123:A224,MATCH(INDIRECT("'update Helper'!Q"&amp;AY58),'Overview - Section A'!AQ$123:AQ224,0)),"")</f>
        <v/>
      </c>
      <c r="BE58" t="str">
        <f>IFERROR(INDEX('Overview - Section A'!O$123:O224,MATCH(AT58,'Overview - Section A'!AQ$123:AQ224,0)),"")</f>
        <v/>
      </c>
      <c r="BF58" t="str">
        <f>IFERROR(INDEX('Overview - Section A'!H$123:H224,MATCH(AT58,'Overview - Section A'!AQ$123:AQ224,0)),"")</f>
        <v/>
      </c>
    </row>
    <row r="59" spans="1:58" ht="30" customHeight="1">
      <c r="A59" s="120">
        <v>51</v>
      </c>
      <c r="B59" s="121"/>
      <c r="C59" s="121"/>
      <c r="D59" s="121"/>
      <c r="E59" s="121"/>
      <c r="F59" s="121"/>
      <c r="G59" s="122"/>
      <c r="H59" s="121"/>
      <c r="I59" s="122"/>
      <c r="J59" s="121"/>
      <c r="K59" s="121"/>
      <c r="L59" s="121"/>
      <c r="M59" s="122"/>
      <c r="N59" s="121"/>
      <c r="O59" s="121"/>
      <c r="P59" s="121"/>
      <c r="Q59" s="122"/>
      <c r="R59" s="121"/>
      <c r="S59" s="121"/>
      <c r="T59" s="122"/>
      <c r="U59" s="122"/>
      <c r="V59" s="121"/>
      <c r="W59" s="121"/>
      <c r="X59" s="122"/>
      <c r="Y59" s="122"/>
      <c r="Z59" s="121"/>
      <c r="AA59" s="121"/>
      <c r="AB59" s="122"/>
      <c r="AC59" s="122"/>
      <c r="AD59" s="121"/>
      <c r="AE59" s="121"/>
      <c r="AF59" s="122"/>
      <c r="AG59" s="122"/>
      <c r="AH59" s="121"/>
      <c r="AI59" s="121"/>
      <c r="AJ59" s="122"/>
      <c r="AK59" s="122"/>
      <c r="AL59" s="121"/>
      <c r="AM59" s="121"/>
      <c r="AN59" s="121"/>
      <c r="AO59" t="str">
        <f>IFERROR(VLOOKUP(D59,'Reference Records'!$C$213:$E$352,3,FALSE),"")</f>
        <v/>
      </c>
      <c r="AP59" t="e">
        <f>VLOOKUP(AO59,'Reference Records'!$E$213:$F$352,2,0)</f>
        <v>#N/A</v>
      </c>
      <c r="AQ59" t="e">
        <f>MATCH($AP59,'Reference Records'!$E$430:$E$653,0)+ROW(Population_by_intervention)-1</f>
        <v>#N/A</v>
      </c>
      <c r="AR59" t="e">
        <f>MATCH($AP59,'Reference Records'!$E$430:$E$653,1)+ROW(Population_by_intervention)-1</f>
        <v>#N/A</v>
      </c>
      <c r="AS59" t="str">
        <f t="shared" si="0"/>
        <v>|empty|</v>
      </c>
      <c r="AT59" t="str">
        <f>IF(AS59="","",IFERROR(VLOOKUP(AS59,'Overview - Section A'!AF$124:AG225,2,0),VLOOKUP("|empty|",'Overview - Section A'!AF$124:AG225,2,0)))</f>
        <v>INT-257067</v>
      </c>
      <c r="AU59" s="121"/>
      <c r="AV59" s="121"/>
      <c r="AY59">
        <f t="shared" si="2"/>
        <v>2255</v>
      </c>
      <c r="AZ59">
        <f ca="1">AZ58+'update Helper'!$X$2</f>
        <v>2671</v>
      </c>
      <c r="BC59" t="str">
        <f ca="1">IF(INDIRECT("'update Helper'!S"&amp;AY59)=0,"",IFERROR(VLOOKUP(INDIRECT("'update Helper'!S"&amp;AY59),'Account Role'!A$1:B$14,2,0),IFERROR(VLOOKUP(INDIRECT("'update Helper'!I"&amp;AY59),'Overview - Section A'!J$26:P$91,7,0),"")))</f>
        <v/>
      </c>
      <c r="BD59" t="str">
        <f ca="1">IFERROR(INDEX('Overview - Section A'!A$123:A225,MATCH(INDIRECT("'update Helper'!Q"&amp;AY59),'Overview - Section A'!AQ$123:AQ225,0)),"")</f>
        <v/>
      </c>
      <c r="BE59" t="str">
        <f>IFERROR(INDEX('Overview - Section A'!O$123:O225,MATCH(AT59,'Overview - Section A'!AQ$123:AQ225,0)),"")</f>
        <v/>
      </c>
      <c r="BF59" t="str">
        <f>IFERROR(INDEX('Overview - Section A'!H$123:H225,MATCH(AT59,'Overview - Section A'!AQ$123:AQ225,0)),"")</f>
        <v/>
      </c>
    </row>
    <row r="60" spans="1:58" ht="30" customHeight="1">
      <c r="A60" s="120">
        <v>52</v>
      </c>
      <c r="B60" s="121"/>
      <c r="C60" s="121"/>
      <c r="D60" s="121"/>
      <c r="E60" s="121"/>
      <c r="F60" s="121"/>
      <c r="G60" s="122"/>
      <c r="H60" s="121"/>
      <c r="I60" s="122"/>
      <c r="J60" s="121"/>
      <c r="K60" s="121"/>
      <c r="L60" s="121"/>
      <c r="M60" s="122"/>
      <c r="N60" s="121"/>
      <c r="O60" s="121"/>
      <c r="P60" s="121"/>
      <c r="Q60" s="122"/>
      <c r="R60" s="121"/>
      <c r="S60" s="121"/>
      <c r="T60" s="122"/>
      <c r="U60" s="122"/>
      <c r="V60" s="121"/>
      <c r="W60" s="121"/>
      <c r="X60" s="122"/>
      <c r="Y60" s="122"/>
      <c r="Z60" s="121"/>
      <c r="AA60" s="121"/>
      <c r="AB60" s="122"/>
      <c r="AC60" s="122"/>
      <c r="AD60" s="121"/>
      <c r="AE60" s="121"/>
      <c r="AF60" s="122"/>
      <c r="AG60" s="122"/>
      <c r="AH60" s="121"/>
      <c r="AI60" s="121"/>
      <c r="AJ60" s="122"/>
      <c r="AK60" s="122"/>
      <c r="AL60" s="121"/>
      <c r="AM60" s="121"/>
      <c r="AN60" s="121"/>
      <c r="AO60" t="str">
        <f>IFERROR(VLOOKUP(D60,'Reference Records'!$C$213:$E$352,3,FALSE),"")</f>
        <v/>
      </c>
      <c r="AP60" t="e">
        <f>VLOOKUP(AO60,'Reference Records'!$E$213:$F$352,2,0)</f>
        <v>#N/A</v>
      </c>
      <c r="AQ60" t="e">
        <f>MATCH($AP60,'Reference Records'!$E$430:$E$653,0)+ROW(Population_by_intervention)-1</f>
        <v>#N/A</v>
      </c>
      <c r="AR60" t="e">
        <f>MATCH($AP60,'Reference Records'!$E$430:$E$653,1)+ROW(Population_by_intervention)-1</f>
        <v>#N/A</v>
      </c>
      <c r="AS60" t="str">
        <f t="shared" si="0"/>
        <v>|empty|</v>
      </c>
      <c r="AT60" t="str">
        <f>IF(AS60="","",IFERROR(VLOOKUP(AS60,'Overview - Section A'!AF$124:AG226,2,0),VLOOKUP("|empty|",'Overview - Section A'!AF$124:AG226,2,0)))</f>
        <v>INT-257067</v>
      </c>
      <c r="AU60" s="121"/>
      <c r="AV60" s="121"/>
      <c r="AY60">
        <f t="shared" si="2"/>
        <v>2256</v>
      </c>
      <c r="AZ60">
        <f ca="1">AZ59+'update Helper'!$X$2</f>
        <v>2677</v>
      </c>
      <c r="BC60" t="str">
        <f ca="1">IF(INDIRECT("'update Helper'!S"&amp;AY60)=0,"",IFERROR(VLOOKUP(INDIRECT("'update Helper'!S"&amp;AY60),'Account Role'!A$1:B$14,2,0),IFERROR(VLOOKUP(INDIRECT("'update Helper'!I"&amp;AY60),'Overview - Section A'!J$26:P$91,7,0),"")))</f>
        <v/>
      </c>
      <c r="BD60" t="str">
        <f ca="1">IFERROR(INDEX('Overview - Section A'!A$123:A226,MATCH(INDIRECT("'update Helper'!Q"&amp;AY60),'Overview - Section A'!AQ$123:AQ226,0)),"")</f>
        <v/>
      </c>
      <c r="BE60" t="str">
        <f>IFERROR(INDEX('Overview - Section A'!O$123:O226,MATCH(AT60,'Overview - Section A'!AQ$123:AQ226,0)),"")</f>
        <v/>
      </c>
      <c r="BF60" t="str">
        <f>IFERROR(INDEX('Overview - Section A'!H$123:H226,MATCH(AT60,'Overview - Section A'!AQ$123:AQ226,0)),"")</f>
        <v/>
      </c>
    </row>
    <row r="61" spans="1:58" ht="30" customHeight="1">
      <c r="A61" s="120">
        <v>53</v>
      </c>
      <c r="B61" s="121"/>
      <c r="C61" s="121"/>
      <c r="D61" s="121"/>
      <c r="E61" s="121"/>
      <c r="F61" s="121"/>
      <c r="G61" s="122"/>
      <c r="H61" s="121"/>
      <c r="I61" s="122"/>
      <c r="J61" s="121"/>
      <c r="K61" s="121"/>
      <c r="L61" s="121"/>
      <c r="M61" s="122"/>
      <c r="N61" s="121"/>
      <c r="O61" s="121"/>
      <c r="P61" s="121"/>
      <c r="Q61" s="122"/>
      <c r="R61" s="121"/>
      <c r="S61" s="121"/>
      <c r="T61" s="122"/>
      <c r="U61" s="122"/>
      <c r="V61" s="121"/>
      <c r="W61" s="121"/>
      <c r="X61" s="122"/>
      <c r="Y61" s="122"/>
      <c r="Z61" s="121"/>
      <c r="AA61" s="121"/>
      <c r="AB61" s="122"/>
      <c r="AC61" s="122"/>
      <c r="AD61" s="121"/>
      <c r="AE61" s="121"/>
      <c r="AF61" s="122"/>
      <c r="AG61" s="122"/>
      <c r="AH61" s="121"/>
      <c r="AI61" s="121"/>
      <c r="AJ61" s="122"/>
      <c r="AK61" s="122"/>
      <c r="AL61" s="121"/>
      <c r="AM61" s="121"/>
      <c r="AN61" s="121"/>
      <c r="AO61" t="str">
        <f>IFERROR(VLOOKUP(D61,'Reference Records'!$C$213:$E$352,3,FALSE),"")</f>
        <v/>
      </c>
      <c r="AP61" t="e">
        <f>VLOOKUP(AO61,'Reference Records'!$E$213:$F$352,2,0)</f>
        <v>#N/A</v>
      </c>
      <c r="AQ61" t="e">
        <f>MATCH($AP61,'Reference Records'!$E$430:$E$653,0)+ROW(Population_by_intervention)-1</f>
        <v>#N/A</v>
      </c>
      <c r="AR61" t="e">
        <f>MATCH($AP61,'Reference Records'!$E$430:$E$653,1)+ROW(Population_by_intervention)-1</f>
        <v>#N/A</v>
      </c>
      <c r="AS61" t="str">
        <f t="shared" si="0"/>
        <v>|empty|</v>
      </c>
      <c r="AT61" t="str">
        <f>IF(AS61="","",IFERROR(VLOOKUP(AS61,'Overview - Section A'!AF$124:AG227,2,0),VLOOKUP("|empty|",'Overview - Section A'!AF$124:AG227,2,0)))</f>
        <v>INT-257067</v>
      </c>
      <c r="AU61" s="121"/>
      <c r="AV61" s="121"/>
      <c r="AY61">
        <f t="shared" si="2"/>
        <v>2257</v>
      </c>
      <c r="AZ61">
        <f ca="1">AZ60+'update Helper'!$X$2</f>
        <v>2683</v>
      </c>
      <c r="BC61" t="str">
        <f ca="1">IF(INDIRECT("'update Helper'!S"&amp;AY61)=0,"",IFERROR(VLOOKUP(INDIRECT("'update Helper'!S"&amp;AY61),'Account Role'!A$1:B$14,2,0),IFERROR(VLOOKUP(INDIRECT("'update Helper'!I"&amp;AY61),'Overview - Section A'!J$26:P$91,7,0),"")))</f>
        <v/>
      </c>
      <c r="BD61" t="str">
        <f ca="1">IFERROR(INDEX('Overview - Section A'!A$123:A227,MATCH(INDIRECT("'update Helper'!Q"&amp;AY61),'Overview - Section A'!AQ$123:AQ227,0)),"")</f>
        <v/>
      </c>
      <c r="BE61" t="str">
        <f>IFERROR(INDEX('Overview - Section A'!O$123:O227,MATCH(AT61,'Overview - Section A'!AQ$123:AQ227,0)),"")</f>
        <v/>
      </c>
      <c r="BF61" t="str">
        <f>IFERROR(INDEX('Overview - Section A'!H$123:H227,MATCH(AT61,'Overview - Section A'!AQ$123:AQ227,0)),"")</f>
        <v/>
      </c>
    </row>
    <row r="62" spans="1:58" ht="30" customHeight="1">
      <c r="A62" s="120">
        <v>54</v>
      </c>
      <c r="B62" s="121"/>
      <c r="C62" s="121"/>
      <c r="D62" s="121"/>
      <c r="E62" s="121"/>
      <c r="F62" s="121"/>
      <c r="G62" s="122"/>
      <c r="H62" s="121"/>
      <c r="I62" s="122"/>
      <c r="J62" s="121"/>
      <c r="K62" s="121"/>
      <c r="L62" s="121"/>
      <c r="M62" s="122"/>
      <c r="N62" s="121"/>
      <c r="O62" s="121"/>
      <c r="P62" s="121"/>
      <c r="Q62" s="122"/>
      <c r="R62" s="121"/>
      <c r="S62" s="121"/>
      <c r="T62" s="122"/>
      <c r="U62" s="122"/>
      <c r="V62" s="121"/>
      <c r="W62" s="121"/>
      <c r="X62" s="122"/>
      <c r="Y62" s="122"/>
      <c r="Z62" s="121"/>
      <c r="AA62" s="121"/>
      <c r="AB62" s="122"/>
      <c r="AC62" s="122"/>
      <c r="AD62" s="121"/>
      <c r="AE62" s="121"/>
      <c r="AF62" s="122"/>
      <c r="AG62" s="122"/>
      <c r="AH62" s="121"/>
      <c r="AI62" s="121"/>
      <c r="AJ62" s="122"/>
      <c r="AK62" s="122"/>
      <c r="AL62" s="121"/>
      <c r="AM62" s="121"/>
      <c r="AN62" s="121"/>
      <c r="AO62" t="str">
        <f>IFERROR(VLOOKUP(D62,'Reference Records'!$C$213:$E$352,3,FALSE),"")</f>
        <v/>
      </c>
      <c r="AP62" t="e">
        <f>VLOOKUP(AO62,'Reference Records'!$E$213:$F$352,2,0)</f>
        <v>#N/A</v>
      </c>
      <c r="AQ62" t="e">
        <f>MATCH($AP62,'Reference Records'!$E$430:$E$653,0)+ROW(Population_by_intervention)-1</f>
        <v>#N/A</v>
      </c>
      <c r="AR62" t="e">
        <f>MATCH($AP62,'Reference Records'!$E$430:$E$653,1)+ROW(Population_by_intervention)-1</f>
        <v>#N/A</v>
      </c>
      <c r="AS62" t="str">
        <f t="shared" si="0"/>
        <v>|empty|</v>
      </c>
      <c r="AT62" t="str">
        <f>IF(AS62="","",IFERROR(VLOOKUP(AS62,'Overview - Section A'!AF$124:AG228,2,0),VLOOKUP("|empty|",'Overview - Section A'!AF$124:AG228,2,0)))</f>
        <v>INT-257067</v>
      </c>
      <c r="AU62" s="121"/>
      <c r="AV62" s="121"/>
      <c r="AY62">
        <f t="shared" si="2"/>
        <v>2258</v>
      </c>
      <c r="AZ62">
        <f ca="1">AZ61+'update Helper'!$X$2</f>
        <v>2689</v>
      </c>
      <c r="BC62" t="str">
        <f ca="1">IF(INDIRECT("'update Helper'!S"&amp;AY62)=0,"",IFERROR(VLOOKUP(INDIRECT("'update Helper'!S"&amp;AY62),'Account Role'!A$1:B$14,2,0),IFERROR(VLOOKUP(INDIRECT("'update Helper'!I"&amp;AY62),'Overview - Section A'!J$26:P$91,7,0),"")))</f>
        <v/>
      </c>
      <c r="BD62" t="str">
        <f ca="1">IFERROR(INDEX('Overview - Section A'!A$123:A228,MATCH(INDIRECT("'update Helper'!Q"&amp;AY62),'Overview - Section A'!AQ$123:AQ228,0)),"")</f>
        <v/>
      </c>
      <c r="BE62" t="str">
        <f>IFERROR(INDEX('Overview - Section A'!O$123:O228,MATCH(AT62,'Overview - Section A'!AQ$123:AQ228,0)),"")</f>
        <v/>
      </c>
      <c r="BF62" t="str">
        <f>IFERROR(INDEX('Overview - Section A'!H$123:H228,MATCH(AT62,'Overview - Section A'!AQ$123:AQ228,0)),"")</f>
        <v/>
      </c>
    </row>
    <row r="63" spans="1:58" ht="30" customHeight="1">
      <c r="A63" s="120">
        <v>55</v>
      </c>
      <c r="B63" s="121"/>
      <c r="C63" s="121"/>
      <c r="D63" s="121"/>
      <c r="E63" s="121"/>
      <c r="F63" s="121"/>
      <c r="G63" s="122"/>
      <c r="H63" s="121"/>
      <c r="I63" s="122"/>
      <c r="J63" s="121"/>
      <c r="K63" s="121"/>
      <c r="L63" s="121"/>
      <c r="M63" s="122"/>
      <c r="N63" s="121"/>
      <c r="O63" s="121"/>
      <c r="P63" s="121"/>
      <c r="Q63" s="122"/>
      <c r="R63" s="121"/>
      <c r="S63" s="121"/>
      <c r="T63" s="122"/>
      <c r="U63" s="122"/>
      <c r="V63" s="121"/>
      <c r="W63" s="121"/>
      <c r="X63" s="122"/>
      <c r="Y63" s="122"/>
      <c r="Z63" s="121"/>
      <c r="AA63" s="121"/>
      <c r="AB63" s="122"/>
      <c r="AC63" s="122"/>
      <c r="AD63" s="121"/>
      <c r="AE63" s="121"/>
      <c r="AF63" s="122"/>
      <c r="AG63" s="122"/>
      <c r="AH63" s="121"/>
      <c r="AI63" s="121"/>
      <c r="AJ63" s="122"/>
      <c r="AK63" s="122"/>
      <c r="AL63" s="121"/>
      <c r="AM63" s="121"/>
      <c r="AN63" s="121"/>
      <c r="AO63" t="str">
        <f>IFERROR(VLOOKUP(D63,'Reference Records'!$C$213:$E$352,3,FALSE),"")</f>
        <v/>
      </c>
      <c r="AP63" t="e">
        <f>VLOOKUP(AO63,'Reference Records'!$E$213:$F$352,2,0)</f>
        <v>#N/A</v>
      </c>
      <c r="AQ63" t="e">
        <f>MATCH($AP63,'Reference Records'!$E$430:$E$653,0)+ROW(Population_by_intervention)-1</f>
        <v>#N/A</v>
      </c>
      <c r="AR63" t="e">
        <f>MATCH($AP63,'Reference Records'!$E$430:$E$653,1)+ROW(Population_by_intervention)-1</f>
        <v>#N/A</v>
      </c>
      <c r="AS63" t="str">
        <f t="shared" si="0"/>
        <v>|empty|</v>
      </c>
      <c r="AT63" t="str">
        <f>IF(AS63="","",IFERROR(VLOOKUP(AS63,'Overview - Section A'!AF$124:AG229,2,0),VLOOKUP("|empty|",'Overview - Section A'!AF$124:AG229,2,0)))</f>
        <v>INT-257067</v>
      </c>
      <c r="AU63" s="121"/>
      <c r="AV63" s="121"/>
      <c r="AY63">
        <f t="shared" si="2"/>
        <v>2259</v>
      </c>
      <c r="AZ63">
        <f ca="1">AZ62+'update Helper'!$X$2</f>
        <v>2695</v>
      </c>
      <c r="BC63" t="str">
        <f ca="1">IF(INDIRECT("'update Helper'!S"&amp;AY63)=0,"",IFERROR(VLOOKUP(INDIRECT("'update Helper'!S"&amp;AY63),'Account Role'!A$1:B$14,2,0),IFERROR(VLOOKUP(INDIRECT("'update Helper'!I"&amp;AY63),'Overview - Section A'!J$26:P$91,7,0),"")))</f>
        <v/>
      </c>
      <c r="BD63" t="str">
        <f ca="1">IFERROR(INDEX('Overview - Section A'!A$123:A229,MATCH(INDIRECT("'update Helper'!Q"&amp;AY63),'Overview - Section A'!AQ$123:AQ229,0)),"")</f>
        <v/>
      </c>
      <c r="BE63" t="str">
        <f>IFERROR(INDEX('Overview - Section A'!O$123:O229,MATCH(AT63,'Overview - Section A'!AQ$123:AQ229,0)),"")</f>
        <v/>
      </c>
      <c r="BF63" t="str">
        <f>IFERROR(INDEX('Overview - Section A'!H$123:H229,MATCH(AT63,'Overview - Section A'!AQ$123:AQ229,0)),"")</f>
        <v/>
      </c>
    </row>
    <row r="64" spans="1:58" ht="30" customHeight="1">
      <c r="A64" s="120">
        <v>56</v>
      </c>
      <c r="B64" s="121"/>
      <c r="C64" s="121"/>
      <c r="D64" s="121"/>
      <c r="E64" s="121"/>
      <c r="F64" s="121"/>
      <c r="G64" s="122"/>
      <c r="H64" s="121"/>
      <c r="I64" s="122"/>
      <c r="J64" s="121"/>
      <c r="K64" s="121"/>
      <c r="L64" s="121"/>
      <c r="M64" s="122"/>
      <c r="N64" s="121"/>
      <c r="O64" s="121"/>
      <c r="P64" s="121"/>
      <c r="Q64" s="122"/>
      <c r="R64" s="121"/>
      <c r="S64" s="121"/>
      <c r="T64" s="122"/>
      <c r="U64" s="122"/>
      <c r="V64" s="121"/>
      <c r="W64" s="121"/>
      <c r="X64" s="122"/>
      <c r="Y64" s="122"/>
      <c r="Z64" s="121"/>
      <c r="AA64" s="121"/>
      <c r="AB64" s="122"/>
      <c r="AC64" s="122"/>
      <c r="AD64" s="121"/>
      <c r="AE64" s="121"/>
      <c r="AF64" s="122"/>
      <c r="AG64" s="122"/>
      <c r="AH64" s="121"/>
      <c r="AI64" s="121"/>
      <c r="AJ64" s="122"/>
      <c r="AK64" s="122"/>
      <c r="AL64" s="121"/>
      <c r="AM64" s="121"/>
      <c r="AN64" s="121"/>
      <c r="AO64" t="str">
        <f>IFERROR(VLOOKUP(D64,'Reference Records'!$C$213:$E$352,3,FALSE),"")</f>
        <v/>
      </c>
      <c r="AP64" t="e">
        <f>VLOOKUP(AO64,'Reference Records'!$E$213:$F$352,2,0)</f>
        <v>#N/A</v>
      </c>
      <c r="AQ64" t="e">
        <f>MATCH($AP64,'Reference Records'!$E$430:$E$653,0)+ROW(Population_by_intervention)-1</f>
        <v>#N/A</v>
      </c>
      <c r="AR64" t="e">
        <f>MATCH($AP64,'Reference Records'!$E$430:$E$653,1)+ROW(Population_by_intervention)-1</f>
        <v>#N/A</v>
      </c>
      <c r="AS64" t="str">
        <f t="shared" si="0"/>
        <v>|empty|</v>
      </c>
      <c r="AT64" t="str">
        <f>IF(AS64="","",IFERROR(VLOOKUP(AS64,'Overview - Section A'!AF$124:AG230,2,0),VLOOKUP("|empty|",'Overview - Section A'!AF$124:AG230,2,0)))</f>
        <v>INT-257067</v>
      </c>
      <c r="AU64" s="121"/>
      <c r="AV64" s="121"/>
      <c r="AY64">
        <f t="shared" si="2"/>
        <v>2260</v>
      </c>
      <c r="AZ64">
        <f ca="1">AZ63+'update Helper'!$X$2</f>
        <v>2701</v>
      </c>
      <c r="BC64" t="str">
        <f ca="1">IF(INDIRECT("'update Helper'!S"&amp;AY64)=0,"",IFERROR(VLOOKUP(INDIRECT("'update Helper'!S"&amp;AY64),'Account Role'!A$1:B$14,2,0),IFERROR(VLOOKUP(INDIRECT("'update Helper'!I"&amp;AY64),'Overview - Section A'!J$26:P$91,7,0),"")))</f>
        <v/>
      </c>
      <c r="BD64" t="str">
        <f ca="1">IFERROR(INDEX('Overview - Section A'!A$123:A230,MATCH(INDIRECT("'update Helper'!Q"&amp;AY64),'Overview - Section A'!AQ$123:AQ230,0)),"")</f>
        <v/>
      </c>
      <c r="BE64" t="str">
        <f>IFERROR(INDEX('Overview - Section A'!O$123:O230,MATCH(AT64,'Overview - Section A'!AQ$123:AQ230,0)),"")</f>
        <v/>
      </c>
      <c r="BF64" t="str">
        <f>IFERROR(INDEX('Overview - Section A'!H$123:H230,MATCH(AT64,'Overview - Section A'!AQ$123:AQ230,0)),"")</f>
        <v/>
      </c>
    </row>
    <row r="65" spans="1:58" ht="30" customHeight="1">
      <c r="A65" s="120">
        <v>57</v>
      </c>
      <c r="B65" s="121"/>
      <c r="C65" s="121"/>
      <c r="D65" s="121"/>
      <c r="E65" s="121"/>
      <c r="F65" s="121"/>
      <c r="G65" s="122"/>
      <c r="H65" s="121"/>
      <c r="I65" s="122"/>
      <c r="J65" s="121"/>
      <c r="K65" s="121"/>
      <c r="L65" s="121"/>
      <c r="M65" s="122"/>
      <c r="N65" s="121"/>
      <c r="O65" s="121"/>
      <c r="P65" s="121"/>
      <c r="Q65" s="122"/>
      <c r="R65" s="121"/>
      <c r="S65" s="121"/>
      <c r="T65" s="122"/>
      <c r="U65" s="122"/>
      <c r="V65" s="121"/>
      <c r="W65" s="121"/>
      <c r="X65" s="122"/>
      <c r="Y65" s="122"/>
      <c r="Z65" s="121"/>
      <c r="AA65" s="121"/>
      <c r="AB65" s="122"/>
      <c r="AC65" s="122"/>
      <c r="AD65" s="121"/>
      <c r="AE65" s="121"/>
      <c r="AF65" s="122"/>
      <c r="AG65" s="122"/>
      <c r="AH65" s="121"/>
      <c r="AI65" s="121"/>
      <c r="AJ65" s="122"/>
      <c r="AK65" s="122"/>
      <c r="AL65" s="121"/>
      <c r="AM65" s="121"/>
      <c r="AN65" s="121"/>
      <c r="AO65" t="str">
        <f>IFERROR(VLOOKUP(D65,'Reference Records'!$C$213:$E$352,3,FALSE),"")</f>
        <v/>
      </c>
      <c r="AP65" t="e">
        <f>VLOOKUP(AO65,'Reference Records'!$E$213:$F$352,2,0)</f>
        <v>#N/A</v>
      </c>
      <c r="AQ65" t="e">
        <f>MATCH($AP65,'Reference Records'!$E$430:$E$653,0)+ROW(Population_by_intervention)-1</f>
        <v>#N/A</v>
      </c>
      <c r="AR65" t="e">
        <f>MATCH($AP65,'Reference Records'!$E$430:$E$653,1)+ROW(Population_by_intervention)-1</f>
        <v>#N/A</v>
      </c>
      <c r="AS65" t="str">
        <f t="shared" si="0"/>
        <v>|empty|</v>
      </c>
      <c r="AT65" t="str">
        <f>IF(AS65="","",IFERROR(VLOOKUP(AS65,'Overview - Section A'!AF$124:AG231,2,0),VLOOKUP("|empty|",'Overview - Section A'!AF$124:AG231,2,0)))</f>
        <v>INT-257067</v>
      </c>
      <c r="AU65" s="121"/>
      <c r="AV65" s="121"/>
      <c r="AY65">
        <f t="shared" si="2"/>
        <v>2261</v>
      </c>
      <c r="AZ65">
        <f ca="1">AZ64+'update Helper'!$X$2</f>
        <v>2707</v>
      </c>
      <c r="BC65" t="str">
        <f ca="1">IF(INDIRECT("'update Helper'!S"&amp;AY65)=0,"",IFERROR(VLOOKUP(INDIRECT("'update Helper'!S"&amp;AY65),'Account Role'!A$1:B$14,2,0),IFERROR(VLOOKUP(INDIRECT("'update Helper'!I"&amp;AY65),'Overview - Section A'!J$26:P$91,7,0),"")))</f>
        <v/>
      </c>
      <c r="BD65" t="str">
        <f ca="1">IFERROR(INDEX('Overview - Section A'!A$123:A231,MATCH(INDIRECT("'update Helper'!Q"&amp;AY65),'Overview - Section A'!AQ$123:AQ231,0)),"")</f>
        <v/>
      </c>
      <c r="BE65" t="str">
        <f>IFERROR(INDEX('Overview - Section A'!O$123:O231,MATCH(AT65,'Overview - Section A'!AQ$123:AQ231,0)),"")</f>
        <v/>
      </c>
      <c r="BF65" t="str">
        <f>IFERROR(INDEX('Overview - Section A'!H$123:H231,MATCH(AT65,'Overview - Section A'!AQ$123:AQ231,0)),"")</f>
        <v/>
      </c>
    </row>
    <row r="66" spans="1:58" ht="30" customHeight="1">
      <c r="A66" s="120">
        <v>58</v>
      </c>
      <c r="B66" s="121"/>
      <c r="C66" s="121"/>
      <c r="D66" s="121"/>
      <c r="E66" s="121"/>
      <c r="F66" s="121"/>
      <c r="G66" s="122"/>
      <c r="H66" s="121"/>
      <c r="I66" s="122"/>
      <c r="J66" s="121"/>
      <c r="K66" s="121"/>
      <c r="L66" s="121"/>
      <c r="M66" s="122"/>
      <c r="N66" s="121"/>
      <c r="O66" s="121"/>
      <c r="P66" s="121"/>
      <c r="Q66" s="122"/>
      <c r="R66" s="121"/>
      <c r="S66" s="121"/>
      <c r="T66" s="122"/>
      <c r="U66" s="122"/>
      <c r="V66" s="121"/>
      <c r="W66" s="121"/>
      <c r="X66" s="122"/>
      <c r="Y66" s="122"/>
      <c r="Z66" s="121"/>
      <c r="AA66" s="121"/>
      <c r="AB66" s="122"/>
      <c r="AC66" s="122"/>
      <c r="AD66" s="121"/>
      <c r="AE66" s="121"/>
      <c r="AF66" s="122"/>
      <c r="AG66" s="122"/>
      <c r="AH66" s="121"/>
      <c r="AI66" s="121"/>
      <c r="AJ66" s="122"/>
      <c r="AK66" s="122"/>
      <c r="AL66" s="121"/>
      <c r="AM66" s="121"/>
      <c r="AN66" s="121"/>
      <c r="AO66" t="str">
        <f>IFERROR(VLOOKUP(D66,'Reference Records'!$C$213:$E$352,3,FALSE),"")</f>
        <v/>
      </c>
      <c r="AP66" t="e">
        <f>VLOOKUP(AO66,'Reference Records'!$E$213:$F$352,2,0)</f>
        <v>#N/A</v>
      </c>
      <c r="AQ66" t="e">
        <f>MATCH($AP66,'Reference Records'!$E$430:$E$653,0)+ROW(Population_by_intervention)-1</f>
        <v>#N/A</v>
      </c>
      <c r="AR66" t="e">
        <f>MATCH($AP66,'Reference Records'!$E$430:$E$653,1)+ROW(Population_by_intervention)-1</f>
        <v>#N/A</v>
      </c>
      <c r="AS66" t="str">
        <f t="shared" si="0"/>
        <v>|empty|</v>
      </c>
      <c r="AT66" t="str">
        <f>IF(AS66="","",IFERROR(VLOOKUP(AS66,'Overview - Section A'!AF$124:AG232,2,0),VLOOKUP("|empty|",'Overview - Section A'!AF$124:AG232,2,0)))</f>
        <v>INT-257067</v>
      </c>
      <c r="AU66" s="121"/>
      <c r="AV66" s="121"/>
      <c r="AY66">
        <f t="shared" si="2"/>
        <v>2262</v>
      </c>
      <c r="AZ66">
        <f ca="1">AZ65+'update Helper'!$X$2</f>
        <v>2713</v>
      </c>
      <c r="BC66" t="str">
        <f ca="1">IF(INDIRECT("'update Helper'!S"&amp;AY66)=0,"",IFERROR(VLOOKUP(INDIRECT("'update Helper'!S"&amp;AY66),'Account Role'!A$1:B$14,2,0),IFERROR(VLOOKUP(INDIRECT("'update Helper'!I"&amp;AY66),'Overview - Section A'!J$26:P$91,7,0),"")))</f>
        <v/>
      </c>
      <c r="BD66" t="str">
        <f ca="1">IFERROR(INDEX('Overview - Section A'!A$123:A232,MATCH(INDIRECT("'update Helper'!Q"&amp;AY66),'Overview - Section A'!AQ$123:AQ232,0)),"")</f>
        <v/>
      </c>
      <c r="BE66" t="str">
        <f>IFERROR(INDEX('Overview - Section A'!O$123:O232,MATCH(AT66,'Overview - Section A'!AQ$123:AQ232,0)),"")</f>
        <v/>
      </c>
      <c r="BF66" t="str">
        <f>IFERROR(INDEX('Overview - Section A'!H$123:H232,MATCH(AT66,'Overview - Section A'!AQ$123:AQ232,0)),"")</f>
        <v/>
      </c>
    </row>
    <row r="67" spans="1:58" ht="30" customHeight="1">
      <c r="A67" s="120">
        <v>59</v>
      </c>
      <c r="B67" s="121"/>
      <c r="C67" s="121"/>
      <c r="D67" s="121"/>
      <c r="E67" s="121"/>
      <c r="F67" s="121"/>
      <c r="G67" s="122"/>
      <c r="H67" s="121"/>
      <c r="I67" s="122"/>
      <c r="J67" s="121"/>
      <c r="K67" s="121"/>
      <c r="L67" s="121"/>
      <c r="M67" s="122"/>
      <c r="N67" s="121"/>
      <c r="O67" s="121"/>
      <c r="P67" s="121"/>
      <c r="Q67" s="122"/>
      <c r="R67" s="121"/>
      <c r="S67" s="121"/>
      <c r="T67" s="122"/>
      <c r="U67" s="122"/>
      <c r="V67" s="121"/>
      <c r="W67" s="121"/>
      <c r="X67" s="122"/>
      <c r="Y67" s="122"/>
      <c r="Z67" s="121"/>
      <c r="AA67" s="121"/>
      <c r="AB67" s="122"/>
      <c r="AC67" s="122"/>
      <c r="AD67" s="121"/>
      <c r="AE67" s="121"/>
      <c r="AF67" s="122"/>
      <c r="AG67" s="122"/>
      <c r="AH67" s="121"/>
      <c r="AI67" s="121"/>
      <c r="AJ67" s="122"/>
      <c r="AK67" s="122"/>
      <c r="AL67" s="121"/>
      <c r="AM67" s="121"/>
      <c r="AN67" s="121"/>
      <c r="AO67" t="str">
        <f>IFERROR(VLOOKUP(D67,'Reference Records'!$C$213:$E$352,3,FALSE),"")</f>
        <v/>
      </c>
      <c r="AP67" t="e">
        <f>VLOOKUP(AO67,'Reference Records'!$E$213:$F$352,2,0)</f>
        <v>#N/A</v>
      </c>
      <c r="AQ67" t="e">
        <f>MATCH($AP67,'Reference Records'!$E$430:$E$653,0)+ROW(Population_by_intervention)-1</f>
        <v>#N/A</v>
      </c>
      <c r="AR67" t="e">
        <f>MATCH($AP67,'Reference Records'!$E$430:$E$653,1)+ROW(Population_by_intervention)-1</f>
        <v>#N/A</v>
      </c>
      <c r="AS67" t="str">
        <f t="shared" si="0"/>
        <v>|empty|</v>
      </c>
      <c r="AT67" t="str">
        <f>IF(AS67="","",IFERROR(VLOOKUP(AS67,'Overview - Section A'!AF$124:AG233,2,0),VLOOKUP("|empty|",'Overview - Section A'!AF$124:AG233,2,0)))</f>
        <v>INT-257067</v>
      </c>
      <c r="AU67" s="121"/>
      <c r="AV67" s="121"/>
      <c r="AY67">
        <f t="shared" si="2"/>
        <v>2263</v>
      </c>
      <c r="AZ67">
        <f ca="1">AZ66+'update Helper'!$X$2</f>
        <v>2719</v>
      </c>
      <c r="BC67" t="str">
        <f ca="1">IF(INDIRECT("'update Helper'!S"&amp;AY67)=0,"",IFERROR(VLOOKUP(INDIRECT("'update Helper'!S"&amp;AY67),'Account Role'!A$1:B$14,2,0),IFERROR(VLOOKUP(INDIRECT("'update Helper'!I"&amp;AY67),'Overview - Section A'!J$26:P$91,7,0),"")))</f>
        <v/>
      </c>
      <c r="BD67" t="str">
        <f ca="1">IFERROR(INDEX('Overview - Section A'!A$123:A233,MATCH(INDIRECT("'update Helper'!Q"&amp;AY67),'Overview - Section A'!AQ$123:AQ233,0)),"")</f>
        <v/>
      </c>
      <c r="BE67" t="str">
        <f>IFERROR(INDEX('Overview - Section A'!O$123:O233,MATCH(AT67,'Overview - Section A'!AQ$123:AQ233,0)),"")</f>
        <v/>
      </c>
      <c r="BF67" t="str">
        <f>IFERROR(INDEX('Overview - Section A'!H$123:H233,MATCH(AT67,'Overview - Section A'!AQ$123:AQ233,0)),"")</f>
        <v/>
      </c>
    </row>
    <row r="68" spans="1:58" ht="30" customHeight="1">
      <c r="A68" s="120">
        <v>60</v>
      </c>
      <c r="B68" s="121"/>
      <c r="C68" s="121"/>
      <c r="D68" s="121"/>
      <c r="E68" s="121"/>
      <c r="F68" s="121"/>
      <c r="G68" s="122"/>
      <c r="H68" s="121"/>
      <c r="I68" s="122"/>
      <c r="J68" s="121"/>
      <c r="K68" s="121"/>
      <c r="L68" s="121"/>
      <c r="M68" s="122"/>
      <c r="N68" s="121"/>
      <c r="O68" s="121"/>
      <c r="P68" s="121"/>
      <c r="Q68" s="122"/>
      <c r="R68" s="121"/>
      <c r="S68" s="121"/>
      <c r="T68" s="122"/>
      <c r="U68" s="122"/>
      <c r="V68" s="121"/>
      <c r="W68" s="121"/>
      <c r="X68" s="122"/>
      <c r="Y68" s="122"/>
      <c r="Z68" s="121"/>
      <c r="AA68" s="121"/>
      <c r="AB68" s="122"/>
      <c r="AC68" s="122"/>
      <c r="AD68" s="121"/>
      <c r="AE68" s="121"/>
      <c r="AF68" s="122"/>
      <c r="AG68" s="122"/>
      <c r="AH68" s="121"/>
      <c r="AI68" s="121"/>
      <c r="AJ68" s="122"/>
      <c r="AK68" s="122"/>
      <c r="AL68" s="121"/>
      <c r="AM68" s="121"/>
      <c r="AN68" s="121"/>
      <c r="AO68" t="str">
        <f>IFERROR(VLOOKUP(D68,'Reference Records'!$C$213:$E$352,3,FALSE),"")</f>
        <v/>
      </c>
      <c r="AP68" t="e">
        <f>VLOOKUP(AO68,'Reference Records'!$E$213:$F$352,2,0)</f>
        <v>#N/A</v>
      </c>
      <c r="AQ68" t="e">
        <f>MATCH($AP68,'Reference Records'!$E$430:$E$653,0)+ROW(Population_by_intervention)-1</f>
        <v>#N/A</v>
      </c>
      <c r="AR68" t="e">
        <f>MATCH($AP68,'Reference Records'!$E$430:$E$653,1)+ROW(Population_by_intervention)-1</f>
        <v>#N/A</v>
      </c>
      <c r="AS68" t="str">
        <f t="shared" si="0"/>
        <v>|empty|</v>
      </c>
      <c r="AT68" t="str">
        <f>IF(AS68="","",IFERROR(VLOOKUP(AS68,'Overview - Section A'!AF$124:AG234,2,0),VLOOKUP("|empty|",'Overview - Section A'!AF$124:AG234,2,0)))</f>
        <v>INT-257067</v>
      </c>
      <c r="AU68" s="121"/>
      <c r="AV68" s="121"/>
      <c r="AY68">
        <f t="shared" si="2"/>
        <v>2264</v>
      </c>
      <c r="AZ68">
        <f ca="1">AZ67+'update Helper'!$X$2</f>
        <v>2725</v>
      </c>
      <c r="BC68" t="str">
        <f ca="1">IF(INDIRECT("'update Helper'!S"&amp;AY68)=0,"",IFERROR(VLOOKUP(INDIRECT("'update Helper'!S"&amp;AY68),'Account Role'!A$1:B$14,2,0),IFERROR(VLOOKUP(INDIRECT("'update Helper'!I"&amp;AY68),'Overview - Section A'!J$26:P$91,7,0),"")))</f>
        <v/>
      </c>
      <c r="BD68" t="str">
        <f ca="1">IFERROR(INDEX('Overview - Section A'!A$123:A234,MATCH(INDIRECT("'update Helper'!Q"&amp;AY68),'Overview - Section A'!AQ$123:AQ234,0)),"")</f>
        <v/>
      </c>
      <c r="BE68" t="str">
        <f>IFERROR(INDEX('Overview - Section A'!O$123:O234,MATCH(AT68,'Overview - Section A'!AQ$123:AQ234,0)),"")</f>
        <v/>
      </c>
      <c r="BF68" t="str">
        <f>IFERROR(INDEX('Overview - Section A'!H$123:H234,MATCH(AT68,'Overview - Section A'!AQ$123:AQ234,0)),"")</f>
        <v/>
      </c>
    </row>
    <row r="69" spans="1:58" ht="30" customHeight="1">
      <c r="A69" s="120">
        <v>61</v>
      </c>
      <c r="B69" s="121"/>
      <c r="C69" s="121"/>
      <c r="D69" s="121"/>
      <c r="E69" s="121"/>
      <c r="F69" s="121"/>
      <c r="G69" s="122"/>
      <c r="H69" s="121"/>
      <c r="I69" s="122"/>
      <c r="J69" s="121"/>
      <c r="K69" s="121"/>
      <c r="L69" s="121"/>
      <c r="M69" s="122"/>
      <c r="N69" s="121"/>
      <c r="O69" s="121"/>
      <c r="P69" s="121"/>
      <c r="Q69" s="122"/>
      <c r="R69" s="121"/>
      <c r="S69" s="121"/>
      <c r="T69" s="122"/>
      <c r="U69" s="122"/>
      <c r="V69" s="121"/>
      <c r="W69" s="121"/>
      <c r="X69" s="122"/>
      <c r="Y69" s="122"/>
      <c r="Z69" s="121"/>
      <c r="AA69" s="121"/>
      <c r="AB69" s="122"/>
      <c r="AC69" s="122"/>
      <c r="AD69" s="121"/>
      <c r="AE69" s="121"/>
      <c r="AF69" s="122"/>
      <c r="AG69" s="122"/>
      <c r="AH69" s="121"/>
      <c r="AI69" s="121"/>
      <c r="AJ69" s="122"/>
      <c r="AK69" s="122"/>
      <c r="AL69" s="121"/>
      <c r="AM69" s="121"/>
      <c r="AN69" s="121"/>
      <c r="AO69" t="str">
        <f>IFERROR(VLOOKUP(D69,'Reference Records'!$C$213:$E$352,3,FALSE),"")</f>
        <v/>
      </c>
      <c r="AP69" t="e">
        <f>VLOOKUP(AO69,'Reference Records'!$E$213:$F$352,2,0)</f>
        <v>#N/A</v>
      </c>
      <c r="AQ69" t="e">
        <f>MATCH($AP69,'Reference Records'!$E$430:$E$653,0)+ROW(Population_by_intervention)-1</f>
        <v>#N/A</v>
      </c>
      <c r="AR69" t="e">
        <f>MATCH($AP69,'Reference Records'!$E$430:$E$653,1)+ROW(Population_by_intervention)-1</f>
        <v>#N/A</v>
      </c>
      <c r="AS69" t="str">
        <f t="shared" si="0"/>
        <v>|empty|</v>
      </c>
      <c r="AT69" t="str">
        <f>IF(AS69="","",IFERROR(VLOOKUP(AS69,'Overview - Section A'!AF$124:AG235,2,0),VLOOKUP("|empty|",'Overview - Section A'!AF$124:AG235,2,0)))</f>
        <v>INT-257067</v>
      </c>
      <c r="AU69" s="121"/>
      <c r="AV69" s="121"/>
      <c r="AY69">
        <f t="shared" si="2"/>
        <v>2265</v>
      </c>
      <c r="AZ69">
        <f ca="1">AZ68+'update Helper'!$X$2</f>
        <v>2731</v>
      </c>
      <c r="BC69" t="str">
        <f ca="1">IF(INDIRECT("'update Helper'!S"&amp;AY69)=0,"",IFERROR(VLOOKUP(INDIRECT("'update Helper'!S"&amp;AY69),'Account Role'!A$1:B$14,2,0),IFERROR(VLOOKUP(INDIRECT("'update Helper'!I"&amp;AY69),'Overview - Section A'!J$26:P$91,7,0),"")))</f>
        <v/>
      </c>
      <c r="BD69" t="str">
        <f ca="1">IFERROR(INDEX('Overview - Section A'!A$123:A235,MATCH(INDIRECT("'update Helper'!Q"&amp;AY69),'Overview - Section A'!AQ$123:AQ235,0)),"")</f>
        <v/>
      </c>
      <c r="BE69" t="str">
        <f>IFERROR(INDEX('Overview - Section A'!O$123:O235,MATCH(AT69,'Overview - Section A'!AQ$123:AQ235,0)),"")</f>
        <v/>
      </c>
      <c r="BF69" t="str">
        <f>IFERROR(INDEX('Overview - Section A'!H$123:H235,MATCH(AT69,'Overview - Section A'!AQ$123:AQ235,0)),"")</f>
        <v/>
      </c>
    </row>
    <row r="70" spans="1:58" ht="30" customHeight="1">
      <c r="A70" s="120">
        <v>62</v>
      </c>
      <c r="B70" s="121"/>
      <c r="C70" s="121"/>
      <c r="D70" s="121"/>
      <c r="E70" s="121"/>
      <c r="F70" s="121"/>
      <c r="G70" s="122"/>
      <c r="H70" s="121"/>
      <c r="I70" s="122"/>
      <c r="J70" s="121"/>
      <c r="K70" s="121"/>
      <c r="L70" s="121"/>
      <c r="M70" s="122"/>
      <c r="N70" s="121"/>
      <c r="O70" s="121"/>
      <c r="P70" s="121"/>
      <c r="Q70" s="122"/>
      <c r="R70" s="121"/>
      <c r="S70" s="121"/>
      <c r="T70" s="122"/>
      <c r="U70" s="122"/>
      <c r="V70" s="121"/>
      <c r="W70" s="121"/>
      <c r="X70" s="122"/>
      <c r="Y70" s="122"/>
      <c r="Z70" s="121"/>
      <c r="AA70" s="121"/>
      <c r="AB70" s="122"/>
      <c r="AC70" s="122"/>
      <c r="AD70" s="121"/>
      <c r="AE70" s="121"/>
      <c r="AF70" s="122"/>
      <c r="AG70" s="122"/>
      <c r="AH70" s="121"/>
      <c r="AI70" s="121"/>
      <c r="AJ70" s="122"/>
      <c r="AK70" s="122"/>
      <c r="AL70" s="121"/>
      <c r="AM70" s="121"/>
      <c r="AN70" s="121"/>
      <c r="AO70" t="str">
        <f>IFERROR(VLOOKUP(D70,'Reference Records'!$C$213:$E$352,3,FALSE),"")</f>
        <v/>
      </c>
      <c r="AP70" t="e">
        <f>VLOOKUP(AO70,'Reference Records'!$E$213:$F$352,2,0)</f>
        <v>#N/A</v>
      </c>
      <c r="AQ70" t="e">
        <f>MATCH($AP70,'Reference Records'!$E$430:$E$653,0)+ROW(Population_by_intervention)-1</f>
        <v>#N/A</v>
      </c>
      <c r="AR70" t="e">
        <f>MATCH($AP70,'Reference Records'!$E$430:$E$653,1)+ROW(Population_by_intervention)-1</f>
        <v>#N/A</v>
      </c>
      <c r="AS70" t="str">
        <f t="shared" si="0"/>
        <v>|empty|</v>
      </c>
      <c r="AT70" t="str">
        <f>IF(AS70="","",IFERROR(VLOOKUP(AS70,'Overview - Section A'!AF$124:AG236,2,0),VLOOKUP("|empty|",'Overview - Section A'!AF$124:AG236,2,0)))</f>
        <v>INT-257067</v>
      </c>
      <c r="AU70" s="121"/>
      <c r="AV70" s="121"/>
      <c r="AY70">
        <f t="shared" si="2"/>
        <v>2266</v>
      </c>
      <c r="AZ70">
        <f ca="1">AZ69+'update Helper'!$X$2</f>
        <v>2737</v>
      </c>
      <c r="BC70" t="str">
        <f ca="1">IF(INDIRECT("'update Helper'!S"&amp;AY70)=0,"",IFERROR(VLOOKUP(INDIRECT("'update Helper'!S"&amp;AY70),'Account Role'!A$1:B$14,2,0),IFERROR(VLOOKUP(INDIRECT("'update Helper'!I"&amp;AY70),'Overview - Section A'!J$26:P$91,7,0),"")))</f>
        <v/>
      </c>
      <c r="BD70" t="str">
        <f ca="1">IFERROR(INDEX('Overview - Section A'!A$123:A236,MATCH(INDIRECT("'update Helper'!Q"&amp;AY70),'Overview - Section A'!AQ$123:AQ236,0)),"")</f>
        <v/>
      </c>
      <c r="BE70" t="str">
        <f>IFERROR(INDEX('Overview - Section A'!O$123:O236,MATCH(AT70,'Overview - Section A'!AQ$123:AQ236,0)),"")</f>
        <v/>
      </c>
      <c r="BF70" t="str">
        <f>IFERROR(INDEX('Overview - Section A'!H$123:H236,MATCH(AT70,'Overview - Section A'!AQ$123:AQ236,0)),"")</f>
        <v/>
      </c>
    </row>
    <row r="71" spans="1:58" ht="30" customHeight="1">
      <c r="A71" s="120">
        <v>63</v>
      </c>
      <c r="B71" s="121"/>
      <c r="C71" s="121"/>
      <c r="D71" s="121"/>
      <c r="E71" s="121"/>
      <c r="F71" s="121"/>
      <c r="G71" s="122"/>
      <c r="H71" s="121"/>
      <c r="I71" s="122"/>
      <c r="J71" s="121"/>
      <c r="K71" s="121"/>
      <c r="L71" s="121"/>
      <c r="M71" s="122"/>
      <c r="N71" s="121"/>
      <c r="O71" s="121"/>
      <c r="P71" s="121"/>
      <c r="Q71" s="122"/>
      <c r="R71" s="121"/>
      <c r="S71" s="121"/>
      <c r="T71" s="122"/>
      <c r="U71" s="122"/>
      <c r="V71" s="121"/>
      <c r="W71" s="121"/>
      <c r="X71" s="122"/>
      <c r="Y71" s="122"/>
      <c r="Z71" s="121"/>
      <c r="AA71" s="121"/>
      <c r="AB71" s="122"/>
      <c r="AC71" s="122"/>
      <c r="AD71" s="121"/>
      <c r="AE71" s="121"/>
      <c r="AF71" s="122"/>
      <c r="AG71" s="122"/>
      <c r="AH71" s="121"/>
      <c r="AI71" s="121"/>
      <c r="AJ71" s="122"/>
      <c r="AK71" s="122"/>
      <c r="AL71" s="121"/>
      <c r="AM71" s="121"/>
      <c r="AN71" s="121"/>
      <c r="AO71" t="str">
        <f>IFERROR(VLOOKUP(D71,'Reference Records'!$C$213:$E$352,3,FALSE),"")</f>
        <v/>
      </c>
      <c r="AP71" t="e">
        <f>VLOOKUP(AO71,'Reference Records'!$E$213:$F$352,2,0)</f>
        <v>#N/A</v>
      </c>
      <c r="AQ71" t="e">
        <f>MATCH($AP71,'Reference Records'!$E$430:$E$653,0)+ROW(Population_by_intervention)-1</f>
        <v>#N/A</v>
      </c>
      <c r="AR71" t="e">
        <f>MATCH($AP71,'Reference Records'!$E$430:$E$653,1)+ROW(Population_by_intervention)-1</f>
        <v>#N/A</v>
      </c>
      <c r="AS71" t="str">
        <f t="shared" si="0"/>
        <v>|empty|</v>
      </c>
      <c r="AT71" t="str">
        <f>IF(AS71="","",IFERROR(VLOOKUP(AS71,'Overview - Section A'!AF$124:AG237,2,0),VLOOKUP("|empty|",'Overview - Section A'!AF$124:AG237,2,0)))</f>
        <v>INT-257067</v>
      </c>
      <c r="AU71" s="121"/>
      <c r="AV71" s="121"/>
      <c r="AY71">
        <f t="shared" si="2"/>
        <v>2267</v>
      </c>
      <c r="AZ71">
        <f ca="1">AZ70+'update Helper'!$X$2</f>
        <v>2743</v>
      </c>
      <c r="BC71" t="str">
        <f ca="1">IF(INDIRECT("'update Helper'!S"&amp;AY71)=0,"",IFERROR(VLOOKUP(INDIRECT("'update Helper'!S"&amp;AY71),'Account Role'!A$1:B$14,2,0),IFERROR(VLOOKUP(INDIRECT("'update Helper'!I"&amp;AY71),'Overview - Section A'!J$26:P$91,7,0),"")))</f>
        <v/>
      </c>
      <c r="BD71" t="str">
        <f ca="1">IFERROR(INDEX('Overview - Section A'!A$123:A237,MATCH(INDIRECT("'update Helper'!Q"&amp;AY71),'Overview - Section A'!AQ$123:AQ237,0)),"")</f>
        <v/>
      </c>
      <c r="BE71" t="str">
        <f>IFERROR(INDEX('Overview - Section A'!O$123:O237,MATCH(AT71,'Overview - Section A'!AQ$123:AQ237,0)),"")</f>
        <v/>
      </c>
      <c r="BF71" t="str">
        <f>IFERROR(INDEX('Overview - Section A'!H$123:H237,MATCH(AT71,'Overview - Section A'!AQ$123:AQ237,0)),"")</f>
        <v/>
      </c>
    </row>
    <row r="72" spans="1:58" ht="30" customHeight="1">
      <c r="A72" s="120">
        <v>64</v>
      </c>
      <c r="B72" s="121"/>
      <c r="C72" s="121"/>
      <c r="D72" s="121"/>
      <c r="E72" s="121"/>
      <c r="F72" s="121"/>
      <c r="G72" s="122"/>
      <c r="H72" s="121"/>
      <c r="I72" s="122"/>
      <c r="J72" s="121"/>
      <c r="K72" s="121"/>
      <c r="L72" s="121"/>
      <c r="M72" s="122"/>
      <c r="N72" s="121"/>
      <c r="O72" s="121"/>
      <c r="P72" s="121"/>
      <c r="Q72" s="122"/>
      <c r="R72" s="121"/>
      <c r="S72" s="121"/>
      <c r="T72" s="122"/>
      <c r="U72" s="122"/>
      <c r="V72" s="121"/>
      <c r="W72" s="121"/>
      <c r="X72" s="122"/>
      <c r="Y72" s="122"/>
      <c r="Z72" s="121"/>
      <c r="AA72" s="121"/>
      <c r="AB72" s="122"/>
      <c r="AC72" s="122"/>
      <c r="AD72" s="121"/>
      <c r="AE72" s="121"/>
      <c r="AF72" s="122"/>
      <c r="AG72" s="122"/>
      <c r="AH72" s="121"/>
      <c r="AI72" s="121"/>
      <c r="AJ72" s="122"/>
      <c r="AK72" s="122"/>
      <c r="AL72" s="121"/>
      <c r="AM72" s="121"/>
      <c r="AN72" s="121"/>
      <c r="AO72" t="str">
        <f>IFERROR(VLOOKUP(D72,'Reference Records'!$C$213:$E$352,3,FALSE),"")</f>
        <v/>
      </c>
      <c r="AP72" t="e">
        <f>VLOOKUP(AO72,'Reference Records'!$E$213:$F$352,2,0)</f>
        <v>#N/A</v>
      </c>
      <c r="AQ72" t="e">
        <f>MATCH($AP72,'Reference Records'!$E$430:$E$653,0)+ROW(Population_by_intervention)-1</f>
        <v>#N/A</v>
      </c>
      <c r="AR72" t="e">
        <f>MATCH($AP72,'Reference Records'!$E$430:$E$653,1)+ROW(Population_by_intervention)-1</f>
        <v>#N/A</v>
      </c>
      <c r="AS72" t="str">
        <f t="shared" si="0"/>
        <v>|empty|</v>
      </c>
      <c r="AT72" t="str">
        <f>IF(AS72="","",IFERROR(VLOOKUP(AS72,'Overview - Section A'!AF$124:AG238,2,0),VLOOKUP("|empty|",'Overview - Section A'!AF$124:AG238,2,0)))</f>
        <v>INT-257067</v>
      </c>
      <c r="AU72" s="121"/>
      <c r="AV72" s="121"/>
      <c r="AY72">
        <f t="shared" si="2"/>
        <v>2268</v>
      </c>
      <c r="AZ72">
        <f ca="1">AZ71+'update Helper'!$X$2</f>
        <v>2749</v>
      </c>
      <c r="BC72" t="str">
        <f ca="1">IF(INDIRECT("'update Helper'!S"&amp;AY72)=0,"",IFERROR(VLOOKUP(INDIRECT("'update Helper'!S"&amp;AY72),'Account Role'!A$1:B$14,2,0),IFERROR(VLOOKUP(INDIRECT("'update Helper'!I"&amp;AY72),'Overview - Section A'!J$26:P$91,7,0),"")))</f>
        <v/>
      </c>
      <c r="BD72" t="str">
        <f ca="1">IFERROR(INDEX('Overview - Section A'!A$123:A238,MATCH(INDIRECT("'update Helper'!Q"&amp;AY72),'Overview - Section A'!AQ$123:AQ238,0)),"")</f>
        <v/>
      </c>
      <c r="BE72" t="str">
        <f>IFERROR(INDEX('Overview - Section A'!O$123:O238,MATCH(AT72,'Overview - Section A'!AQ$123:AQ238,0)),"")</f>
        <v/>
      </c>
      <c r="BF72" t="str">
        <f>IFERROR(INDEX('Overview - Section A'!H$123:H238,MATCH(AT72,'Overview - Section A'!AQ$123:AQ238,0)),"")</f>
        <v/>
      </c>
    </row>
    <row r="73" spans="1:58" ht="30" customHeight="1">
      <c r="A73" s="120">
        <v>65</v>
      </c>
      <c r="B73" s="121"/>
      <c r="C73" s="121"/>
      <c r="D73" s="121"/>
      <c r="E73" s="121"/>
      <c r="F73" s="121"/>
      <c r="G73" s="122"/>
      <c r="H73" s="121"/>
      <c r="I73" s="122"/>
      <c r="J73" s="121"/>
      <c r="K73" s="121"/>
      <c r="L73" s="121"/>
      <c r="M73" s="122"/>
      <c r="N73" s="121"/>
      <c r="O73" s="121"/>
      <c r="P73" s="121"/>
      <c r="Q73" s="122"/>
      <c r="R73" s="121"/>
      <c r="S73" s="121"/>
      <c r="T73" s="122"/>
      <c r="U73" s="122"/>
      <c r="V73" s="121"/>
      <c r="W73" s="121"/>
      <c r="X73" s="122"/>
      <c r="Y73" s="122"/>
      <c r="Z73" s="121"/>
      <c r="AA73" s="121"/>
      <c r="AB73" s="122"/>
      <c r="AC73" s="122"/>
      <c r="AD73" s="121"/>
      <c r="AE73" s="121"/>
      <c r="AF73" s="122"/>
      <c r="AG73" s="122"/>
      <c r="AH73" s="121"/>
      <c r="AI73" s="121"/>
      <c r="AJ73" s="122"/>
      <c r="AK73" s="122"/>
      <c r="AL73" s="121"/>
      <c r="AM73" s="121"/>
      <c r="AN73" s="121"/>
      <c r="AO73" t="str">
        <f>IFERROR(VLOOKUP(D73,'Reference Records'!$C$213:$E$352,3,FALSE),"")</f>
        <v/>
      </c>
      <c r="AP73" t="e">
        <f>VLOOKUP(AO73,'Reference Records'!$E$213:$F$352,2,0)</f>
        <v>#N/A</v>
      </c>
      <c r="AQ73" t="e">
        <f>MATCH($AP73,'Reference Records'!$E$430:$E$653,0)+ROW(Population_by_intervention)-1</f>
        <v>#N/A</v>
      </c>
      <c r="AR73" t="e">
        <f>MATCH($AP73,'Reference Records'!$E$430:$E$653,1)+ROW(Population_by_intervention)-1</f>
        <v>#N/A</v>
      </c>
      <c r="AS73" t="str">
        <f t="shared" si="0"/>
        <v>|empty|</v>
      </c>
      <c r="AT73" t="str">
        <f>IF(AS73="","",IFERROR(VLOOKUP(AS73,'Overview - Section A'!AF$124:AG239,2,0),VLOOKUP("|empty|",'Overview - Section A'!AF$124:AG239,2,0)))</f>
        <v>INT-257067</v>
      </c>
      <c r="AU73" s="121"/>
      <c r="AV73" s="121"/>
      <c r="AY73">
        <f t="shared" si="2"/>
        <v>2269</v>
      </c>
      <c r="AZ73">
        <f ca="1">AZ72+'update Helper'!$X$2</f>
        <v>2755</v>
      </c>
      <c r="BC73" t="str">
        <f ca="1">IF(INDIRECT("'update Helper'!S"&amp;AY73)=0,"",IFERROR(VLOOKUP(INDIRECT("'update Helper'!S"&amp;AY73),'Account Role'!A$1:B$14,2,0),IFERROR(VLOOKUP(INDIRECT("'update Helper'!I"&amp;AY73),'Overview - Section A'!J$26:P$91,7,0),"")))</f>
        <v/>
      </c>
      <c r="BD73" t="str">
        <f ca="1">IFERROR(INDEX('Overview - Section A'!A$123:A239,MATCH(INDIRECT("'update Helper'!Q"&amp;AY73),'Overview - Section A'!AQ$123:AQ239,0)),"")</f>
        <v/>
      </c>
      <c r="BE73" t="str">
        <f>IFERROR(INDEX('Overview - Section A'!O$123:O239,MATCH(AT73,'Overview - Section A'!AQ$123:AQ239,0)),"")</f>
        <v/>
      </c>
      <c r="BF73" t="str">
        <f>IFERROR(INDEX('Overview - Section A'!H$123:H239,MATCH(AT73,'Overview - Section A'!AQ$123:AQ239,0)),"")</f>
        <v/>
      </c>
    </row>
    <row r="74" spans="1:58" ht="30" customHeight="1">
      <c r="A74" s="120">
        <v>66</v>
      </c>
      <c r="B74" s="121"/>
      <c r="C74" s="121"/>
      <c r="D74" s="121"/>
      <c r="E74" s="121"/>
      <c r="F74" s="121"/>
      <c r="G74" s="122"/>
      <c r="H74" s="121"/>
      <c r="I74" s="122"/>
      <c r="J74" s="121"/>
      <c r="K74" s="121"/>
      <c r="L74" s="121"/>
      <c r="M74" s="122"/>
      <c r="N74" s="121"/>
      <c r="O74" s="121"/>
      <c r="P74" s="121"/>
      <c r="Q74" s="122"/>
      <c r="R74" s="121"/>
      <c r="S74" s="121"/>
      <c r="T74" s="122"/>
      <c r="U74" s="122"/>
      <c r="V74" s="121"/>
      <c r="W74" s="121"/>
      <c r="X74" s="122"/>
      <c r="Y74" s="122"/>
      <c r="Z74" s="121"/>
      <c r="AA74" s="121"/>
      <c r="AB74" s="122"/>
      <c r="AC74" s="122"/>
      <c r="AD74" s="121"/>
      <c r="AE74" s="121"/>
      <c r="AF74" s="122"/>
      <c r="AG74" s="122"/>
      <c r="AH74" s="121"/>
      <c r="AI74" s="121"/>
      <c r="AJ74" s="122"/>
      <c r="AK74" s="122"/>
      <c r="AL74" s="121"/>
      <c r="AM74" s="121"/>
      <c r="AN74" s="121"/>
      <c r="AO74" t="str">
        <f>IFERROR(VLOOKUP(D74,'Reference Records'!$C$213:$E$352,3,FALSE),"")</f>
        <v/>
      </c>
      <c r="AP74" t="e">
        <f>VLOOKUP(AO74,'Reference Records'!$E$213:$F$352,2,0)</f>
        <v>#N/A</v>
      </c>
      <c r="AQ74" t="e">
        <f>MATCH($AP74,'Reference Records'!$E$430:$E$653,0)+ROW(Population_by_intervention)-1</f>
        <v>#N/A</v>
      </c>
      <c r="AR74" t="e">
        <f>MATCH($AP74,'Reference Records'!$E$430:$E$653,1)+ROW(Population_by_intervention)-1</f>
        <v>#N/A</v>
      </c>
      <c r="AS74" t="str">
        <f t="shared" ref="AS74:AS88" si="3">IF(B74&amp;C74="","|empty|",B74&amp;C74&amp;D74)</f>
        <v>|empty|</v>
      </c>
      <c r="AT74" t="str">
        <f>IF(AS74="","",IFERROR(VLOOKUP(AS74,'Overview - Section A'!AF$124:AG240,2,0),VLOOKUP("|empty|",'Overview - Section A'!AF$124:AG240,2,0)))</f>
        <v>INT-257067</v>
      </c>
      <c r="AU74" s="121"/>
      <c r="AV74" s="121"/>
      <c r="AY74">
        <f t="shared" si="2"/>
        <v>2270</v>
      </c>
      <c r="AZ74">
        <f ca="1">AZ73+'update Helper'!$X$2</f>
        <v>2761</v>
      </c>
      <c r="BC74" t="str">
        <f ca="1">IF(INDIRECT("'update Helper'!S"&amp;AY74)=0,"",IFERROR(VLOOKUP(INDIRECT("'update Helper'!S"&amp;AY74),'Account Role'!A$1:B$14,2,0),IFERROR(VLOOKUP(INDIRECT("'update Helper'!I"&amp;AY74),'Overview - Section A'!J$26:P$91,7,0),"")))</f>
        <v/>
      </c>
      <c r="BD74" t="str">
        <f ca="1">IFERROR(INDEX('Overview - Section A'!A$123:A240,MATCH(INDIRECT("'update Helper'!Q"&amp;AY74),'Overview - Section A'!AQ$123:AQ240,0)),"")</f>
        <v/>
      </c>
      <c r="BE74" t="str">
        <f>IFERROR(INDEX('Overview - Section A'!O$123:O240,MATCH(AT74,'Overview - Section A'!AQ$123:AQ240,0)),"")</f>
        <v/>
      </c>
      <c r="BF74" t="str">
        <f>IFERROR(INDEX('Overview - Section A'!H$123:H240,MATCH(AT74,'Overview - Section A'!AQ$123:AQ240,0)),"")</f>
        <v/>
      </c>
    </row>
    <row r="75" spans="1:58" ht="30" customHeight="1">
      <c r="A75" s="120">
        <v>67</v>
      </c>
      <c r="B75" s="121"/>
      <c r="C75" s="121"/>
      <c r="D75" s="121"/>
      <c r="E75" s="121"/>
      <c r="F75" s="121"/>
      <c r="G75" s="122"/>
      <c r="H75" s="121"/>
      <c r="I75" s="122"/>
      <c r="J75" s="121"/>
      <c r="K75" s="121"/>
      <c r="L75" s="121"/>
      <c r="M75" s="122"/>
      <c r="N75" s="121"/>
      <c r="O75" s="121"/>
      <c r="P75" s="121"/>
      <c r="Q75" s="122"/>
      <c r="R75" s="121"/>
      <c r="S75" s="121"/>
      <c r="T75" s="122"/>
      <c r="U75" s="122"/>
      <c r="V75" s="121"/>
      <c r="W75" s="121"/>
      <c r="X75" s="122"/>
      <c r="Y75" s="122"/>
      <c r="Z75" s="121"/>
      <c r="AA75" s="121"/>
      <c r="AB75" s="122"/>
      <c r="AC75" s="122"/>
      <c r="AD75" s="121"/>
      <c r="AE75" s="121"/>
      <c r="AF75" s="122"/>
      <c r="AG75" s="122"/>
      <c r="AH75" s="121"/>
      <c r="AI75" s="121"/>
      <c r="AJ75" s="122"/>
      <c r="AK75" s="122"/>
      <c r="AL75" s="121"/>
      <c r="AM75" s="121"/>
      <c r="AN75" s="121"/>
      <c r="AO75" t="str">
        <f>IFERROR(VLOOKUP(D75,'Reference Records'!$C$213:$E$352,3,FALSE),"")</f>
        <v/>
      </c>
      <c r="AP75" t="e">
        <f>VLOOKUP(AO75,'Reference Records'!$E$213:$F$352,2,0)</f>
        <v>#N/A</v>
      </c>
      <c r="AQ75" t="e">
        <f>MATCH($AP75,'Reference Records'!$E$430:$E$653,0)+ROW(Population_by_intervention)-1</f>
        <v>#N/A</v>
      </c>
      <c r="AR75" t="e">
        <f>MATCH($AP75,'Reference Records'!$E$430:$E$653,1)+ROW(Population_by_intervention)-1</f>
        <v>#N/A</v>
      </c>
      <c r="AS75" t="str">
        <f t="shared" si="3"/>
        <v>|empty|</v>
      </c>
      <c r="AT75" t="str">
        <f>IF(AS75="","",IFERROR(VLOOKUP(AS75,'Overview - Section A'!AF$124:AG241,2,0),VLOOKUP("|empty|",'Overview - Section A'!AF$124:AG241,2,0)))</f>
        <v>INT-257067</v>
      </c>
      <c r="AU75" s="121"/>
      <c r="AV75" s="121"/>
      <c r="AY75">
        <f t="shared" ref="AY75:AY88" si="4">AY74+1</f>
        <v>2271</v>
      </c>
      <c r="AZ75">
        <f ca="1">AZ74+'update Helper'!$X$2</f>
        <v>2767</v>
      </c>
      <c r="BC75" t="str">
        <f ca="1">IF(INDIRECT("'update Helper'!S"&amp;AY75)=0,"",IFERROR(VLOOKUP(INDIRECT("'update Helper'!S"&amp;AY75),'Account Role'!A$1:B$14,2,0),IFERROR(VLOOKUP(INDIRECT("'update Helper'!I"&amp;AY75),'Overview - Section A'!J$26:P$91,7,0),"")))</f>
        <v/>
      </c>
      <c r="BD75" t="str">
        <f ca="1">IFERROR(INDEX('Overview - Section A'!A$123:A241,MATCH(INDIRECT("'update Helper'!Q"&amp;AY75),'Overview - Section A'!AQ$123:AQ241,0)),"")</f>
        <v/>
      </c>
      <c r="BE75" t="str">
        <f>IFERROR(INDEX('Overview - Section A'!O$123:O241,MATCH(AT75,'Overview - Section A'!AQ$123:AQ241,0)),"")</f>
        <v/>
      </c>
      <c r="BF75" t="str">
        <f>IFERROR(INDEX('Overview - Section A'!H$123:H241,MATCH(AT75,'Overview - Section A'!AQ$123:AQ241,0)),"")</f>
        <v/>
      </c>
    </row>
    <row r="76" spans="1:58" ht="30" customHeight="1">
      <c r="A76" s="120">
        <v>68</v>
      </c>
      <c r="B76" s="121"/>
      <c r="C76" s="121"/>
      <c r="D76" s="121"/>
      <c r="E76" s="121"/>
      <c r="F76" s="121"/>
      <c r="G76" s="122"/>
      <c r="H76" s="121"/>
      <c r="I76" s="122"/>
      <c r="J76" s="121"/>
      <c r="K76" s="121"/>
      <c r="L76" s="121"/>
      <c r="M76" s="122"/>
      <c r="N76" s="121"/>
      <c r="O76" s="121"/>
      <c r="P76" s="121"/>
      <c r="Q76" s="122"/>
      <c r="R76" s="121"/>
      <c r="S76" s="121"/>
      <c r="T76" s="122"/>
      <c r="U76" s="122"/>
      <c r="V76" s="121"/>
      <c r="W76" s="121"/>
      <c r="X76" s="122"/>
      <c r="Y76" s="122"/>
      <c r="Z76" s="121"/>
      <c r="AA76" s="121"/>
      <c r="AB76" s="122"/>
      <c r="AC76" s="122"/>
      <c r="AD76" s="121"/>
      <c r="AE76" s="121"/>
      <c r="AF76" s="122"/>
      <c r="AG76" s="122"/>
      <c r="AH76" s="121"/>
      <c r="AI76" s="121"/>
      <c r="AJ76" s="122"/>
      <c r="AK76" s="122"/>
      <c r="AL76" s="121"/>
      <c r="AM76" s="121"/>
      <c r="AN76" s="121"/>
      <c r="AO76" t="str">
        <f>IFERROR(VLOOKUP(D76,'Reference Records'!$C$213:$E$352,3,FALSE),"")</f>
        <v/>
      </c>
      <c r="AP76" t="e">
        <f>VLOOKUP(AO76,'Reference Records'!$E$213:$F$352,2,0)</f>
        <v>#N/A</v>
      </c>
      <c r="AQ76" t="e">
        <f>MATCH($AP76,'Reference Records'!$E$430:$E$653,0)+ROW(Population_by_intervention)-1</f>
        <v>#N/A</v>
      </c>
      <c r="AR76" t="e">
        <f>MATCH($AP76,'Reference Records'!$E$430:$E$653,1)+ROW(Population_by_intervention)-1</f>
        <v>#N/A</v>
      </c>
      <c r="AS76" t="str">
        <f t="shared" si="3"/>
        <v>|empty|</v>
      </c>
      <c r="AT76" t="str">
        <f>IF(AS76="","",IFERROR(VLOOKUP(AS76,'Overview - Section A'!AF$124:AG242,2,0),VLOOKUP("|empty|",'Overview - Section A'!AF$124:AG242,2,0)))</f>
        <v>INT-257067</v>
      </c>
      <c r="AU76" s="121"/>
      <c r="AV76" s="121"/>
      <c r="AY76">
        <f t="shared" si="4"/>
        <v>2272</v>
      </c>
      <c r="AZ76">
        <f ca="1">AZ75+'update Helper'!$X$2</f>
        <v>2773</v>
      </c>
      <c r="BC76" t="str">
        <f ca="1">IF(INDIRECT("'update Helper'!S"&amp;AY76)=0,"",IFERROR(VLOOKUP(INDIRECT("'update Helper'!S"&amp;AY76),'Account Role'!A$1:B$14,2,0),IFERROR(VLOOKUP(INDIRECT("'update Helper'!I"&amp;AY76),'Overview - Section A'!J$26:P$91,7,0),"")))</f>
        <v/>
      </c>
      <c r="BD76" t="str">
        <f ca="1">IFERROR(INDEX('Overview - Section A'!A$123:A242,MATCH(INDIRECT("'update Helper'!Q"&amp;AY76),'Overview - Section A'!AQ$123:AQ242,0)),"")</f>
        <v/>
      </c>
      <c r="BE76" t="str">
        <f>IFERROR(INDEX('Overview - Section A'!O$123:O242,MATCH(AT76,'Overview - Section A'!AQ$123:AQ242,0)),"")</f>
        <v/>
      </c>
      <c r="BF76" t="str">
        <f>IFERROR(INDEX('Overview - Section A'!H$123:H242,MATCH(AT76,'Overview - Section A'!AQ$123:AQ242,0)),"")</f>
        <v/>
      </c>
    </row>
    <row r="77" spans="1:58" ht="30" customHeight="1">
      <c r="A77" s="120">
        <v>69</v>
      </c>
      <c r="B77" s="121"/>
      <c r="C77" s="121"/>
      <c r="D77" s="121"/>
      <c r="E77" s="121"/>
      <c r="F77" s="121"/>
      <c r="G77" s="122"/>
      <c r="H77" s="121"/>
      <c r="I77" s="122"/>
      <c r="J77" s="121"/>
      <c r="K77" s="121"/>
      <c r="L77" s="121"/>
      <c r="M77" s="122"/>
      <c r="N77" s="121"/>
      <c r="O77" s="121"/>
      <c r="P77" s="121"/>
      <c r="Q77" s="122"/>
      <c r="R77" s="121"/>
      <c r="S77" s="121"/>
      <c r="T77" s="122"/>
      <c r="U77" s="122"/>
      <c r="V77" s="121"/>
      <c r="W77" s="121"/>
      <c r="X77" s="122"/>
      <c r="Y77" s="122"/>
      <c r="Z77" s="121"/>
      <c r="AA77" s="121"/>
      <c r="AB77" s="122"/>
      <c r="AC77" s="122"/>
      <c r="AD77" s="121"/>
      <c r="AE77" s="121"/>
      <c r="AF77" s="122"/>
      <c r="AG77" s="122"/>
      <c r="AH77" s="121"/>
      <c r="AI77" s="121"/>
      <c r="AJ77" s="122"/>
      <c r="AK77" s="122"/>
      <c r="AL77" s="121"/>
      <c r="AM77" s="121"/>
      <c r="AN77" s="121"/>
      <c r="AO77" t="str">
        <f>IFERROR(VLOOKUP(D77,'Reference Records'!$C$213:$E$352,3,FALSE),"")</f>
        <v/>
      </c>
      <c r="AP77" t="e">
        <f>VLOOKUP(AO77,'Reference Records'!$E$213:$F$352,2,0)</f>
        <v>#N/A</v>
      </c>
      <c r="AQ77" t="e">
        <f>MATCH($AP77,'Reference Records'!$E$430:$E$653,0)+ROW(Population_by_intervention)-1</f>
        <v>#N/A</v>
      </c>
      <c r="AR77" t="e">
        <f>MATCH($AP77,'Reference Records'!$E$430:$E$653,1)+ROW(Population_by_intervention)-1</f>
        <v>#N/A</v>
      </c>
      <c r="AS77" t="str">
        <f t="shared" si="3"/>
        <v>|empty|</v>
      </c>
      <c r="AT77" t="str">
        <f>IF(AS77="","",IFERROR(VLOOKUP(AS77,'Overview - Section A'!AF$124:AG243,2,0),VLOOKUP("|empty|",'Overview - Section A'!AF$124:AG243,2,0)))</f>
        <v>INT-257067</v>
      </c>
      <c r="AU77" s="121"/>
      <c r="AV77" s="121"/>
      <c r="AY77">
        <f t="shared" si="4"/>
        <v>2273</v>
      </c>
      <c r="AZ77">
        <f ca="1">AZ76+'update Helper'!$X$2</f>
        <v>2779</v>
      </c>
      <c r="BC77" t="str">
        <f ca="1">IF(INDIRECT("'update Helper'!S"&amp;AY77)=0,"",IFERROR(VLOOKUP(INDIRECT("'update Helper'!S"&amp;AY77),'Account Role'!A$1:B$14,2,0),IFERROR(VLOOKUP(INDIRECT("'update Helper'!I"&amp;AY77),'Overview - Section A'!J$26:P$91,7,0),"")))</f>
        <v/>
      </c>
      <c r="BD77" t="str">
        <f ca="1">IFERROR(INDEX('Overview - Section A'!A$123:A243,MATCH(INDIRECT("'update Helper'!Q"&amp;AY77),'Overview - Section A'!AQ$123:AQ243,0)),"")</f>
        <v/>
      </c>
      <c r="BE77" t="str">
        <f>IFERROR(INDEX('Overview - Section A'!O$123:O243,MATCH(AT77,'Overview - Section A'!AQ$123:AQ243,0)),"")</f>
        <v/>
      </c>
      <c r="BF77" t="str">
        <f>IFERROR(INDEX('Overview - Section A'!H$123:H243,MATCH(AT77,'Overview - Section A'!AQ$123:AQ243,0)),"")</f>
        <v/>
      </c>
    </row>
    <row r="78" spans="1:58" ht="30" customHeight="1">
      <c r="A78" s="120">
        <v>70</v>
      </c>
      <c r="B78" s="121"/>
      <c r="C78" s="121"/>
      <c r="D78" s="121"/>
      <c r="E78" s="121"/>
      <c r="F78" s="121"/>
      <c r="G78" s="122"/>
      <c r="H78" s="121"/>
      <c r="I78" s="122"/>
      <c r="J78" s="121"/>
      <c r="K78" s="121"/>
      <c r="L78" s="121"/>
      <c r="M78" s="122"/>
      <c r="N78" s="121"/>
      <c r="O78" s="121"/>
      <c r="P78" s="121"/>
      <c r="Q78" s="122"/>
      <c r="R78" s="121"/>
      <c r="S78" s="121"/>
      <c r="T78" s="122"/>
      <c r="U78" s="122"/>
      <c r="V78" s="121"/>
      <c r="W78" s="121"/>
      <c r="X78" s="122"/>
      <c r="Y78" s="122"/>
      <c r="Z78" s="121"/>
      <c r="AA78" s="121"/>
      <c r="AB78" s="122"/>
      <c r="AC78" s="122"/>
      <c r="AD78" s="121"/>
      <c r="AE78" s="121"/>
      <c r="AF78" s="122"/>
      <c r="AG78" s="122"/>
      <c r="AH78" s="121"/>
      <c r="AI78" s="121"/>
      <c r="AJ78" s="122"/>
      <c r="AK78" s="122"/>
      <c r="AL78" s="121"/>
      <c r="AM78" s="121"/>
      <c r="AN78" s="121"/>
      <c r="AO78" t="str">
        <f>IFERROR(VLOOKUP(D78,'Reference Records'!$C$213:$E$352,3,FALSE),"")</f>
        <v/>
      </c>
      <c r="AP78" t="e">
        <f>VLOOKUP(AO78,'Reference Records'!$E$213:$F$352,2,0)</f>
        <v>#N/A</v>
      </c>
      <c r="AQ78" t="e">
        <f>MATCH($AP78,'Reference Records'!$E$430:$E$653,0)+ROW(Population_by_intervention)-1</f>
        <v>#N/A</v>
      </c>
      <c r="AR78" t="e">
        <f>MATCH($AP78,'Reference Records'!$E$430:$E$653,1)+ROW(Population_by_intervention)-1</f>
        <v>#N/A</v>
      </c>
      <c r="AS78" t="str">
        <f t="shared" si="3"/>
        <v>|empty|</v>
      </c>
      <c r="AT78" t="str">
        <f>IF(AS78="","",IFERROR(VLOOKUP(AS78,'Overview - Section A'!AF$124:AG244,2,0),VLOOKUP("|empty|",'Overview - Section A'!AF$124:AG244,2,0)))</f>
        <v>INT-257067</v>
      </c>
      <c r="AU78" s="121"/>
      <c r="AV78" s="121"/>
      <c r="AY78">
        <f t="shared" si="4"/>
        <v>2274</v>
      </c>
      <c r="AZ78">
        <f ca="1">AZ77+'update Helper'!$X$2</f>
        <v>2785</v>
      </c>
      <c r="BC78" t="str">
        <f ca="1">IF(INDIRECT("'update Helper'!S"&amp;AY78)=0,"",IFERROR(VLOOKUP(INDIRECT("'update Helper'!S"&amp;AY78),'Account Role'!A$1:B$14,2,0),IFERROR(VLOOKUP(INDIRECT("'update Helper'!I"&amp;AY78),'Overview - Section A'!J$26:P$91,7,0),"")))</f>
        <v/>
      </c>
      <c r="BD78" t="str">
        <f ca="1">IFERROR(INDEX('Overview - Section A'!A$123:A244,MATCH(INDIRECT("'update Helper'!Q"&amp;AY78),'Overview - Section A'!AQ$123:AQ244,0)),"")</f>
        <v/>
      </c>
      <c r="BE78" t="str">
        <f>IFERROR(INDEX('Overview - Section A'!O$123:O244,MATCH(AT78,'Overview - Section A'!AQ$123:AQ244,0)),"")</f>
        <v/>
      </c>
      <c r="BF78" t="str">
        <f>IFERROR(INDEX('Overview - Section A'!H$123:H244,MATCH(AT78,'Overview - Section A'!AQ$123:AQ244,0)),"")</f>
        <v/>
      </c>
    </row>
    <row r="79" spans="1:58" ht="30" customHeight="1">
      <c r="A79" s="120">
        <v>71</v>
      </c>
      <c r="B79" s="121"/>
      <c r="C79" s="121"/>
      <c r="D79" s="121"/>
      <c r="E79" s="121"/>
      <c r="F79" s="121"/>
      <c r="G79" s="122"/>
      <c r="H79" s="121"/>
      <c r="I79" s="122"/>
      <c r="J79" s="121"/>
      <c r="K79" s="121"/>
      <c r="L79" s="121"/>
      <c r="M79" s="122"/>
      <c r="N79" s="121"/>
      <c r="O79" s="121"/>
      <c r="P79" s="121"/>
      <c r="Q79" s="122"/>
      <c r="R79" s="121"/>
      <c r="S79" s="121"/>
      <c r="T79" s="122"/>
      <c r="U79" s="122"/>
      <c r="V79" s="121"/>
      <c r="W79" s="121"/>
      <c r="X79" s="122"/>
      <c r="Y79" s="122"/>
      <c r="Z79" s="121"/>
      <c r="AA79" s="121"/>
      <c r="AB79" s="122"/>
      <c r="AC79" s="122"/>
      <c r="AD79" s="121"/>
      <c r="AE79" s="121"/>
      <c r="AF79" s="122"/>
      <c r="AG79" s="122"/>
      <c r="AH79" s="121"/>
      <c r="AI79" s="121"/>
      <c r="AJ79" s="122"/>
      <c r="AK79" s="122"/>
      <c r="AL79" s="121"/>
      <c r="AM79" s="121"/>
      <c r="AN79" s="121"/>
      <c r="AO79" t="str">
        <f>IFERROR(VLOOKUP(D79,'Reference Records'!$C$213:$E$352,3,FALSE),"")</f>
        <v/>
      </c>
      <c r="AP79" t="e">
        <f>VLOOKUP(AO79,'Reference Records'!$E$213:$F$352,2,0)</f>
        <v>#N/A</v>
      </c>
      <c r="AQ79" t="e">
        <f>MATCH($AP79,'Reference Records'!$E$430:$E$653,0)+ROW(Population_by_intervention)-1</f>
        <v>#N/A</v>
      </c>
      <c r="AR79" t="e">
        <f>MATCH($AP79,'Reference Records'!$E$430:$E$653,1)+ROW(Population_by_intervention)-1</f>
        <v>#N/A</v>
      </c>
      <c r="AS79" t="str">
        <f t="shared" si="3"/>
        <v>|empty|</v>
      </c>
      <c r="AT79" t="str">
        <f>IF(AS79="","",IFERROR(VLOOKUP(AS79,'Overview - Section A'!AF$124:AG245,2,0),VLOOKUP("|empty|",'Overview - Section A'!AF$124:AG245,2,0)))</f>
        <v>INT-257067</v>
      </c>
      <c r="AU79" s="121"/>
      <c r="AV79" s="121"/>
      <c r="AY79">
        <f t="shared" si="4"/>
        <v>2275</v>
      </c>
      <c r="AZ79">
        <f ca="1">AZ78+'update Helper'!$X$2</f>
        <v>2791</v>
      </c>
      <c r="BC79" t="str">
        <f ca="1">IF(INDIRECT("'update Helper'!S"&amp;AY79)=0,"",IFERROR(VLOOKUP(INDIRECT("'update Helper'!S"&amp;AY79),'Account Role'!A$1:B$14,2,0),IFERROR(VLOOKUP(INDIRECT("'update Helper'!I"&amp;AY79),'Overview - Section A'!J$26:P$91,7,0),"")))</f>
        <v/>
      </c>
      <c r="BD79" t="str">
        <f ca="1">IFERROR(INDEX('Overview - Section A'!A$123:A245,MATCH(INDIRECT("'update Helper'!Q"&amp;AY79),'Overview - Section A'!AQ$123:AQ245,0)),"")</f>
        <v/>
      </c>
      <c r="BE79" t="str">
        <f>IFERROR(INDEX('Overview - Section A'!O$123:O245,MATCH(AT79,'Overview - Section A'!AQ$123:AQ245,0)),"")</f>
        <v/>
      </c>
      <c r="BF79" t="str">
        <f>IFERROR(INDEX('Overview - Section A'!H$123:H245,MATCH(AT79,'Overview - Section A'!AQ$123:AQ245,0)),"")</f>
        <v/>
      </c>
    </row>
    <row r="80" spans="1:58" ht="30" customHeight="1">
      <c r="A80" s="120">
        <v>72</v>
      </c>
      <c r="B80" s="121"/>
      <c r="C80" s="121"/>
      <c r="D80" s="121"/>
      <c r="E80" s="121"/>
      <c r="F80" s="121"/>
      <c r="G80" s="122"/>
      <c r="H80" s="121"/>
      <c r="I80" s="122"/>
      <c r="J80" s="121"/>
      <c r="K80" s="121"/>
      <c r="L80" s="121"/>
      <c r="M80" s="122"/>
      <c r="N80" s="121"/>
      <c r="O80" s="121"/>
      <c r="P80" s="121"/>
      <c r="Q80" s="122"/>
      <c r="R80" s="121"/>
      <c r="S80" s="121"/>
      <c r="T80" s="122"/>
      <c r="U80" s="122"/>
      <c r="V80" s="121"/>
      <c r="W80" s="121"/>
      <c r="X80" s="122"/>
      <c r="Y80" s="122"/>
      <c r="Z80" s="121"/>
      <c r="AA80" s="121"/>
      <c r="AB80" s="122"/>
      <c r="AC80" s="122"/>
      <c r="AD80" s="121"/>
      <c r="AE80" s="121"/>
      <c r="AF80" s="122"/>
      <c r="AG80" s="122"/>
      <c r="AH80" s="121"/>
      <c r="AI80" s="121"/>
      <c r="AJ80" s="122"/>
      <c r="AK80" s="122"/>
      <c r="AL80" s="121"/>
      <c r="AM80" s="121"/>
      <c r="AN80" s="121"/>
      <c r="AO80" t="str">
        <f>IFERROR(VLOOKUP(D80,'Reference Records'!$C$213:$E$352,3,FALSE),"")</f>
        <v/>
      </c>
      <c r="AP80" t="e">
        <f>VLOOKUP(AO80,'Reference Records'!$E$213:$F$352,2,0)</f>
        <v>#N/A</v>
      </c>
      <c r="AQ80" t="e">
        <f>MATCH($AP80,'Reference Records'!$E$430:$E$653,0)+ROW(Population_by_intervention)-1</f>
        <v>#N/A</v>
      </c>
      <c r="AR80" t="e">
        <f>MATCH($AP80,'Reference Records'!$E$430:$E$653,1)+ROW(Population_by_intervention)-1</f>
        <v>#N/A</v>
      </c>
      <c r="AS80" t="str">
        <f t="shared" si="3"/>
        <v>|empty|</v>
      </c>
      <c r="AT80" t="str">
        <f>IF(AS80="","",IFERROR(VLOOKUP(AS80,'Overview - Section A'!AF$124:AG246,2,0),VLOOKUP("|empty|",'Overview - Section A'!AF$124:AG246,2,0)))</f>
        <v>INT-257067</v>
      </c>
      <c r="AU80" s="121"/>
      <c r="AV80" s="121"/>
      <c r="AY80">
        <f t="shared" si="4"/>
        <v>2276</v>
      </c>
      <c r="AZ80">
        <f ca="1">AZ79+'update Helper'!$X$2</f>
        <v>2797</v>
      </c>
      <c r="BC80" t="str">
        <f ca="1">IF(INDIRECT("'update Helper'!S"&amp;AY80)=0,"",IFERROR(VLOOKUP(INDIRECT("'update Helper'!S"&amp;AY80),'Account Role'!A$1:B$14,2,0),IFERROR(VLOOKUP(INDIRECT("'update Helper'!I"&amp;AY80),'Overview - Section A'!J$26:P$91,7,0),"")))</f>
        <v/>
      </c>
      <c r="BD80" t="str">
        <f ca="1">IFERROR(INDEX('Overview - Section A'!A$123:A246,MATCH(INDIRECT("'update Helper'!Q"&amp;AY80),'Overview - Section A'!AQ$123:AQ246,0)),"")</f>
        <v/>
      </c>
      <c r="BE80" t="str">
        <f>IFERROR(INDEX('Overview - Section A'!O$123:O246,MATCH(AT80,'Overview - Section A'!AQ$123:AQ246,0)),"")</f>
        <v/>
      </c>
      <c r="BF80" t="str">
        <f>IFERROR(INDEX('Overview - Section A'!H$123:H246,MATCH(AT80,'Overview - Section A'!AQ$123:AQ246,0)),"")</f>
        <v/>
      </c>
    </row>
    <row r="81" spans="1:58" ht="30" customHeight="1">
      <c r="A81" s="120">
        <v>73</v>
      </c>
      <c r="B81" s="121"/>
      <c r="C81" s="121"/>
      <c r="D81" s="121"/>
      <c r="E81" s="121"/>
      <c r="F81" s="121"/>
      <c r="G81" s="122"/>
      <c r="H81" s="121"/>
      <c r="I81" s="122"/>
      <c r="J81" s="121"/>
      <c r="K81" s="121"/>
      <c r="L81" s="121"/>
      <c r="M81" s="122"/>
      <c r="N81" s="121"/>
      <c r="O81" s="121"/>
      <c r="P81" s="121"/>
      <c r="Q81" s="122"/>
      <c r="R81" s="121"/>
      <c r="S81" s="121"/>
      <c r="T81" s="122"/>
      <c r="U81" s="122"/>
      <c r="V81" s="121"/>
      <c r="W81" s="121"/>
      <c r="X81" s="122"/>
      <c r="Y81" s="122"/>
      <c r="Z81" s="121"/>
      <c r="AA81" s="121"/>
      <c r="AB81" s="122"/>
      <c r="AC81" s="122"/>
      <c r="AD81" s="121"/>
      <c r="AE81" s="121"/>
      <c r="AF81" s="122"/>
      <c r="AG81" s="122"/>
      <c r="AH81" s="121"/>
      <c r="AI81" s="121"/>
      <c r="AJ81" s="122"/>
      <c r="AK81" s="122"/>
      <c r="AL81" s="121"/>
      <c r="AM81" s="121"/>
      <c r="AN81" s="121"/>
      <c r="AO81" t="str">
        <f>IFERROR(VLOOKUP(D81,'Reference Records'!$C$213:$E$352,3,FALSE),"")</f>
        <v/>
      </c>
      <c r="AP81" t="e">
        <f>VLOOKUP(AO81,'Reference Records'!$E$213:$F$352,2,0)</f>
        <v>#N/A</v>
      </c>
      <c r="AQ81" t="e">
        <f>MATCH($AP81,'Reference Records'!$E$430:$E$653,0)+ROW(Population_by_intervention)-1</f>
        <v>#N/A</v>
      </c>
      <c r="AR81" t="e">
        <f>MATCH($AP81,'Reference Records'!$E$430:$E$653,1)+ROW(Population_by_intervention)-1</f>
        <v>#N/A</v>
      </c>
      <c r="AS81" t="str">
        <f t="shared" si="3"/>
        <v>|empty|</v>
      </c>
      <c r="AT81" t="str">
        <f>IF(AS81="","",IFERROR(VLOOKUP(AS81,'Overview - Section A'!AF$124:AG247,2,0),VLOOKUP("|empty|",'Overview - Section A'!AF$124:AG247,2,0)))</f>
        <v>INT-257067</v>
      </c>
      <c r="AU81" s="121"/>
      <c r="AV81" s="121"/>
      <c r="AY81">
        <f t="shared" si="4"/>
        <v>2277</v>
      </c>
      <c r="AZ81">
        <f ca="1">AZ80+'update Helper'!$X$2</f>
        <v>2803</v>
      </c>
      <c r="BC81" t="str">
        <f ca="1">IF(INDIRECT("'update Helper'!S"&amp;AY81)=0,"",IFERROR(VLOOKUP(INDIRECT("'update Helper'!S"&amp;AY81),'Account Role'!A$1:B$14,2,0),IFERROR(VLOOKUP(INDIRECT("'update Helper'!I"&amp;AY81),'Overview - Section A'!J$26:P$91,7,0),"")))</f>
        <v/>
      </c>
      <c r="BD81" t="str">
        <f ca="1">IFERROR(INDEX('Overview - Section A'!A$123:A247,MATCH(INDIRECT("'update Helper'!Q"&amp;AY81),'Overview - Section A'!AQ$123:AQ247,0)),"")</f>
        <v/>
      </c>
      <c r="BE81" t="str">
        <f>IFERROR(INDEX('Overview - Section A'!O$123:O247,MATCH(AT81,'Overview - Section A'!AQ$123:AQ247,0)),"")</f>
        <v/>
      </c>
      <c r="BF81" t="str">
        <f>IFERROR(INDEX('Overview - Section A'!H$123:H247,MATCH(AT81,'Overview - Section A'!AQ$123:AQ247,0)),"")</f>
        <v/>
      </c>
    </row>
    <row r="82" spans="1:58" ht="30" customHeight="1">
      <c r="A82" s="120">
        <v>74</v>
      </c>
      <c r="B82" s="121"/>
      <c r="C82" s="121"/>
      <c r="D82" s="121"/>
      <c r="E82" s="121"/>
      <c r="F82" s="121"/>
      <c r="G82" s="122"/>
      <c r="H82" s="121"/>
      <c r="I82" s="122"/>
      <c r="J82" s="121"/>
      <c r="K82" s="121"/>
      <c r="L82" s="121"/>
      <c r="M82" s="122"/>
      <c r="N82" s="121"/>
      <c r="O82" s="121"/>
      <c r="P82" s="121"/>
      <c r="Q82" s="122"/>
      <c r="R82" s="121"/>
      <c r="S82" s="121"/>
      <c r="T82" s="122"/>
      <c r="U82" s="122"/>
      <c r="V82" s="121"/>
      <c r="W82" s="121"/>
      <c r="X82" s="122"/>
      <c r="Y82" s="122"/>
      <c r="Z82" s="121"/>
      <c r="AA82" s="121"/>
      <c r="AB82" s="122"/>
      <c r="AC82" s="122"/>
      <c r="AD82" s="121"/>
      <c r="AE82" s="121"/>
      <c r="AF82" s="122"/>
      <c r="AG82" s="122"/>
      <c r="AH82" s="121"/>
      <c r="AI82" s="121"/>
      <c r="AJ82" s="122"/>
      <c r="AK82" s="122"/>
      <c r="AL82" s="121"/>
      <c r="AM82" s="121"/>
      <c r="AN82" s="121"/>
      <c r="AO82" t="str">
        <f>IFERROR(VLOOKUP(D82,'Reference Records'!$C$213:$E$352,3,FALSE),"")</f>
        <v/>
      </c>
      <c r="AP82" t="e">
        <f>VLOOKUP(AO82,'Reference Records'!$E$213:$F$352,2,0)</f>
        <v>#N/A</v>
      </c>
      <c r="AQ82" t="e">
        <f>MATCH($AP82,'Reference Records'!$E$430:$E$653,0)+ROW(Population_by_intervention)-1</f>
        <v>#N/A</v>
      </c>
      <c r="AR82" t="e">
        <f>MATCH($AP82,'Reference Records'!$E$430:$E$653,1)+ROW(Population_by_intervention)-1</f>
        <v>#N/A</v>
      </c>
      <c r="AS82" t="str">
        <f t="shared" si="3"/>
        <v>|empty|</v>
      </c>
      <c r="AT82" t="str">
        <f>IF(AS82="","",IFERROR(VLOOKUP(AS82,'Overview - Section A'!AF$124:AG248,2,0),VLOOKUP("|empty|",'Overview - Section A'!AF$124:AG248,2,0)))</f>
        <v>INT-257067</v>
      </c>
      <c r="AU82" s="121"/>
      <c r="AV82" s="121"/>
      <c r="AY82">
        <f t="shared" si="4"/>
        <v>2278</v>
      </c>
      <c r="AZ82">
        <f ca="1">AZ81+'update Helper'!$X$2</f>
        <v>2809</v>
      </c>
      <c r="BC82" t="str">
        <f ca="1">IF(INDIRECT("'update Helper'!S"&amp;AY82)=0,"",IFERROR(VLOOKUP(INDIRECT("'update Helper'!S"&amp;AY82),'Account Role'!A$1:B$14,2,0),IFERROR(VLOOKUP(INDIRECT("'update Helper'!I"&amp;AY82),'Overview - Section A'!J$26:P$91,7,0),"")))</f>
        <v/>
      </c>
      <c r="BD82" t="str">
        <f ca="1">IFERROR(INDEX('Overview - Section A'!A$123:A248,MATCH(INDIRECT("'update Helper'!Q"&amp;AY82),'Overview - Section A'!AQ$123:AQ248,0)),"")</f>
        <v/>
      </c>
      <c r="BE82" t="str">
        <f>IFERROR(INDEX('Overview - Section A'!O$123:O248,MATCH(AT82,'Overview - Section A'!AQ$123:AQ248,0)),"")</f>
        <v/>
      </c>
      <c r="BF82" t="str">
        <f>IFERROR(INDEX('Overview - Section A'!H$123:H248,MATCH(AT82,'Overview - Section A'!AQ$123:AQ248,0)),"")</f>
        <v/>
      </c>
    </row>
    <row r="83" spans="1:58" ht="30" customHeight="1">
      <c r="A83" s="120">
        <v>75</v>
      </c>
      <c r="B83" s="121"/>
      <c r="C83" s="121"/>
      <c r="D83" s="121"/>
      <c r="E83" s="121"/>
      <c r="F83" s="121"/>
      <c r="G83" s="122"/>
      <c r="H83" s="121"/>
      <c r="I83" s="122"/>
      <c r="J83" s="121"/>
      <c r="K83" s="121"/>
      <c r="L83" s="121"/>
      <c r="M83" s="122"/>
      <c r="N83" s="121"/>
      <c r="O83" s="121"/>
      <c r="P83" s="121"/>
      <c r="Q83" s="122"/>
      <c r="R83" s="121"/>
      <c r="S83" s="121"/>
      <c r="T83" s="122"/>
      <c r="U83" s="122"/>
      <c r="V83" s="121"/>
      <c r="W83" s="121"/>
      <c r="X83" s="122"/>
      <c r="Y83" s="122"/>
      <c r="Z83" s="121"/>
      <c r="AA83" s="121"/>
      <c r="AB83" s="122"/>
      <c r="AC83" s="122"/>
      <c r="AD83" s="121"/>
      <c r="AE83" s="121"/>
      <c r="AF83" s="122"/>
      <c r="AG83" s="122"/>
      <c r="AH83" s="121"/>
      <c r="AI83" s="121"/>
      <c r="AJ83" s="122"/>
      <c r="AK83" s="122"/>
      <c r="AL83" s="121"/>
      <c r="AM83" s="121"/>
      <c r="AN83" s="121"/>
      <c r="AO83" t="str">
        <f>IFERROR(VLOOKUP(D83,'Reference Records'!$C$213:$E$352,3,FALSE),"")</f>
        <v/>
      </c>
      <c r="AP83" t="e">
        <f>VLOOKUP(AO83,'Reference Records'!$E$213:$F$352,2,0)</f>
        <v>#N/A</v>
      </c>
      <c r="AQ83" t="e">
        <f>MATCH($AP83,'Reference Records'!$E$430:$E$653,0)+ROW(Population_by_intervention)-1</f>
        <v>#N/A</v>
      </c>
      <c r="AR83" t="e">
        <f>MATCH($AP83,'Reference Records'!$E$430:$E$653,1)+ROW(Population_by_intervention)-1</f>
        <v>#N/A</v>
      </c>
      <c r="AS83" t="str">
        <f t="shared" si="3"/>
        <v>|empty|</v>
      </c>
      <c r="AT83" t="str">
        <f>IF(AS83="","",IFERROR(VLOOKUP(AS83,'Overview - Section A'!AF$124:AG249,2,0),VLOOKUP("|empty|",'Overview - Section A'!AF$124:AG249,2,0)))</f>
        <v>INT-257067</v>
      </c>
      <c r="AU83" s="121"/>
      <c r="AV83" s="121"/>
      <c r="AY83">
        <f t="shared" si="4"/>
        <v>2279</v>
      </c>
      <c r="AZ83">
        <f ca="1">AZ82+'update Helper'!$X$2</f>
        <v>2815</v>
      </c>
      <c r="BC83" t="str">
        <f ca="1">IF(INDIRECT("'update Helper'!S"&amp;AY83)=0,"",IFERROR(VLOOKUP(INDIRECT("'update Helper'!S"&amp;AY83),'Account Role'!A$1:B$14,2,0),IFERROR(VLOOKUP(INDIRECT("'update Helper'!I"&amp;AY83),'Overview - Section A'!J$26:P$91,7,0),"")))</f>
        <v/>
      </c>
      <c r="BD83" t="str">
        <f ca="1">IFERROR(INDEX('Overview - Section A'!A$123:A249,MATCH(INDIRECT("'update Helper'!Q"&amp;AY83),'Overview - Section A'!AQ$123:AQ249,0)),"")</f>
        <v/>
      </c>
      <c r="BE83" t="str">
        <f>IFERROR(INDEX('Overview - Section A'!O$123:O249,MATCH(AT83,'Overview - Section A'!AQ$123:AQ249,0)),"")</f>
        <v/>
      </c>
      <c r="BF83" t="str">
        <f>IFERROR(INDEX('Overview - Section A'!H$123:H249,MATCH(AT83,'Overview - Section A'!AQ$123:AQ249,0)),"")</f>
        <v/>
      </c>
    </row>
    <row r="84" spans="1:58" ht="30" customHeight="1">
      <c r="A84" s="120">
        <v>76</v>
      </c>
      <c r="B84" s="121"/>
      <c r="C84" s="121"/>
      <c r="D84" s="121"/>
      <c r="E84" s="121"/>
      <c r="F84" s="121"/>
      <c r="G84" s="122"/>
      <c r="H84" s="121"/>
      <c r="I84" s="122"/>
      <c r="J84" s="121"/>
      <c r="K84" s="121"/>
      <c r="L84" s="121"/>
      <c r="M84" s="122"/>
      <c r="N84" s="121"/>
      <c r="O84" s="121"/>
      <c r="P84" s="121"/>
      <c r="Q84" s="122"/>
      <c r="R84" s="121"/>
      <c r="S84" s="121"/>
      <c r="T84" s="122"/>
      <c r="U84" s="122"/>
      <c r="V84" s="121"/>
      <c r="W84" s="121"/>
      <c r="X84" s="122"/>
      <c r="Y84" s="122"/>
      <c r="Z84" s="121"/>
      <c r="AA84" s="121"/>
      <c r="AB84" s="122"/>
      <c r="AC84" s="122"/>
      <c r="AD84" s="121"/>
      <c r="AE84" s="121"/>
      <c r="AF84" s="122"/>
      <c r="AG84" s="122"/>
      <c r="AH84" s="121"/>
      <c r="AI84" s="121"/>
      <c r="AJ84" s="122"/>
      <c r="AK84" s="122"/>
      <c r="AL84" s="121"/>
      <c r="AM84" s="121"/>
      <c r="AN84" s="121"/>
      <c r="AO84" t="str">
        <f>IFERROR(VLOOKUP(D84,'Reference Records'!$C$213:$E$352,3,FALSE),"")</f>
        <v/>
      </c>
      <c r="AP84" t="e">
        <f>VLOOKUP(AO84,'Reference Records'!$E$213:$F$352,2,0)</f>
        <v>#N/A</v>
      </c>
      <c r="AQ84" t="e">
        <f>MATCH($AP84,'Reference Records'!$E$430:$E$653,0)+ROW(Population_by_intervention)-1</f>
        <v>#N/A</v>
      </c>
      <c r="AR84" t="e">
        <f>MATCH($AP84,'Reference Records'!$E$430:$E$653,1)+ROW(Population_by_intervention)-1</f>
        <v>#N/A</v>
      </c>
      <c r="AS84" t="str">
        <f t="shared" si="3"/>
        <v>|empty|</v>
      </c>
      <c r="AT84" t="str">
        <f>IF(AS84="","",IFERROR(VLOOKUP(AS84,'Overview - Section A'!AF$124:AG250,2,0),VLOOKUP("|empty|",'Overview - Section A'!AF$124:AG250,2,0)))</f>
        <v>INT-257067</v>
      </c>
      <c r="AU84" s="121"/>
      <c r="AV84" s="121"/>
      <c r="AY84">
        <f t="shared" si="4"/>
        <v>2280</v>
      </c>
      <c r="AZ84">
        <f ca="1">AZ83+'update Helper'!$X$2</f>
        <v>2821</v>
      </c>
      <c r="BC84" t="str">
        <f ca="1">IF(INDIRECT("'update Helper'!S"&amp;AY84)=0,"",IFERROR(VLOOKUP(INDIRECT("'update Helper'!S"&amp;AY84),'Account Role'!A$1:B$14,2,0),IFERROR(VLOOKUP(INDIRECT("'update Helper'!I"&amp;AY84),'Overview - Section A'!J$26:P$91,7,0),"")))</f>
        <v/>
      </c>
      <c r="BD84" t="str">
        <f ca="1">IFERROR(INDEX('Overview - Section A'!A$123:A250,MATCH(INDIRECT("'update Helper'!Q"&amp;AY84),'Overview - Section A'!AQ$123:AQ250,0)),"")</f>
        <v/>
      </c>
      <c r="BE84" t="str">
        <f>IFERROR(INDEX('Overview - Section A'!O$123:O250,MATCH(AT84,'Overview - Section A'!AQ$123:AQ250,0)),"")</f>
        <v/>
      </c>
      <c r="BF84" t="str">
        <f>IFERROR(INDEX('Overview - Section A'!H$123:H250,MATCH(AT84,'Overview - Section A'!AQ$123:AQ250,0)),"")</f>
        <v/>
      </c>
    </row>
    <row r="85" spans="1:58" ht="30" customHeight="1">
      <c r="A85" s="120">
        <v>77</v>
      </c>
      <c r="B85" s="121"/>
      <c r="C85" s="121"/>
      <c r="D85" s="121"/>
      <c r="E85" s="121"/>
      <c r="F85" s="121"/>
      <c r="G85" s="122"/>
      <c r="H85" s="121"/>
      <c r="I85" s="122"/>
      <c r="J85" s="121"/>
      <c r="K85" s="121"/>
      <c r="L85" s="121"/>
      <c r="M85" s="122"/>
      <c r="N85" s="121"/>
      <c r="O85" s="121"/>
      <c r="P85" s="121"/>
      <c r="Q85" s="122"/>
      <c r="R85" s="121"/>
      <c r="S85" s="121"/>
      <c r="T85" s="122"/>
      <c r="U85" s="122"/>
      <c r="V85" s="121"/>
      <c r="W85" s="121"/>
      <c r="X85" s="122"/>
      <c r="Y85" s="122"/>
      <c r="Z85" s="121"/>
      <c r="AA85" s="121"/>
      <c r="AB85" s="122"/>
      <c r="AC85" s="122"/>
      <c r="AD85" s="121"/>
      <c r="AE85" s="121"/>
      <c r="AF85" s="122"/>
      <c r="AG85" s="122"/>
      <c r="AH85" s="121"/>
      <c r="AI85" s="121"/>
      <c r="AJ85" s="122"/>
      <c r="AK85" s="122"/>
      <c r="AL85" s="121"/>
      <c r="AM85" s="121"/>
      <c r="AN85" s="121"/>
      <c r="AO85" t="str">
        <f>IFERROR(VLOOKUP(D85,'Reference Records'!$C$213:$E$352,3,FALSE),"")</f>
        <v/>
      </c>
      <c r="AP85" t="e">
        <f>VLOOKUP(AO85,'Reference Records'!$E$213:$F$352,2,0)</f>
        <v>#N/A</v>
      </c>
      <c r="AQ85" t="e">
        <f>MATCH($AP85,'Reference Records'!$E$430:$E$653,0)+ROW(Population_by_intervention)-1</f>
        <v>#N/A</v>
      </c>
      <c r="AR85" t="e">
        <f>MATCH($AP85,'Reference Records'!$E$430:$E$653,1)+ROW(Population_by_intervention)-1</f>
        <v>#N/A</v>
      </c>
      <c r="AS85" t="str">
        <f t="shared" si="3"/>
        <v>|empty|</v>
      </c>
      <c r="AT85" t="str">
        <f>IF(AS85="","",IFERROR(VLOOKUP(AS85,'Overview - Section A'!AF$124:AG251,2,0),VLOOKUP("|empty|",'Overview - Section A'!AF$124:AG251,2,0)))</f>
        <v>INT-257067</v>
      </c>
      <c r="AU85" s="121"/>
      <c r="AV85" s="121"/>
      <c r="AY85">
        <f t="shared" si="4"/>
        <v>2281</v>
      </c>
      <c r="AZ85">
        <f ca="1">AZ84+'update Helper'!$X$2</f>
        <v>2827</v>
      </c>
      <c r="BC85" t="str">
        <f ca="1">IF(INDIRECT("'update Helper'!S"&amp;AY85)=0,"",IFERROR(VLOOKUP(INDIRECT("'update Helper'!S"&amp;AY85),'Account Role'!A$1:B$14,2,0),IFERROR(VLOOKUP(INDIRECT("'update Helper'!I"&amp;AY85),'Overview - Section A'!J$26:P$91,7,0),"")))</f>
        <v/>
      </c>
      <c r="BD85" t="str">
        <f ca="1">IFERROR(INDEX('Overview - Section A'!A$123:A251,MATCH(INDIRECT("'update Helper'!Q"&amp;AY85),'Overview - Section A'!AQ$123:AQ251,0)),"")</f>
        <v/>
      </c>
      <c r="BE85" t="str">
        <f>IFERROR(INDEX('Overview - Section A'!O$123:O251,MATCH(AT85,'Overview - Section A'!AQ$123:AQ251,0)),"")</f>
        <v/>
      </c>
      <c r="BF85" t="str">
        <f>IFERROR(INDEX('Overview - Section A'!H$123:H251,MATCH(AT85,'Overview - Section A'!AQ$123:AQ251,0)),"")</f>
        <v/>
      </c>
    </row>
    <row r="86" spans="1:58" ht="30" customHeight="1">
      <c r="A86" s="120">
        <v>78</v>
      </c>
      <c r="B86" s="121"/>
      <c r="C86" s="121"/>
      <c r="D86" s="121"/>
      <c r="E86" s="121"/>
      <c r="F86" s="121"/>
      <c r="G86" s="122"/>
      <c r="H86" s="121"/>
      <c r="I86" s="122"/>
      <c r="J86" s="121"/>
      <c r="K86" s="121"/>
      <c r="L86" s="121"/>
      <c r="M86" s="122"/>
      <c r="N86" s="121"/>
      <c r="O86" s="121"/>
      <c r="P86" s="121"/>
      <c r="Q86" s="122"/>
      <c r="R86" s="121"/>
      <c r="S86" s="121"/>
      <c r="T86" s="122"/>
      <c r="U86" s="122"/>
      <c r="V86" s="121"/>
      <c r="W86" s="121"/>
      <c r="X86" s="122"/>
      <c r="Y86" s="122"/>
      <c r="Z86" s="121"/>
      <c r="AA86" s="121"/>
      <c r="AB86" s="122"/>
      <c r="AC86" s="122"/>
      <c r="AD86" s="121"/>
      <c r="AE86" s="121"/>
      <c r="AF86" s="122"/>
      <c r="AG86" s="122"/>
      <c r="AH86" s="121"/>
      <c r="AI86" s="121"/>
      <c r="AJ86" s="122"/>
      <c r="AK86" s="122"/>
      <c r="AL86" s="121"/>
      <c r="AM86" s="121"/>
      <c r="AN86" s="121"/>
      <c r="AO86" t="str">
        <f>IFERROR(VLOOKUP(D86,'Reference Records'!$C$213:$E$352,3,FALSE),"")</f>
        <v/>
      </c>
      <c r="AP86" t="e">
        <f>VLOOKUP(AO86,'Reference Records'!$E$213:$F$352,2,0)</f>
        <v>#N/A</v>
      </c>
      <c r="AQ86" t="e">
        <f>MATCH($AP86,'Reference Records'!$E$430:$E$653,0)+ROW(Population_by_intervention)-1</f>
        <v>#N/A</v>
      </c>
      <c r="AR86" t="e">
        <f>MATCH($AP86,'Reference Records'!$E$430:$E$653,1)+ROW(Population_by_intervention)-1</f>
        <v>#N/A</v>
      </c>
      <c r="AS86" t="str">
        <f t="shared" si="3"/>
        <v>|empty|</v>
      </c>
      <c r="AT86" t="str">
        <f>IF(AS86="","",IFERROR(VLOOKUP(AS86,'Overview - Section A'!AF$124:AG252,2,0),VLOOKUP("|empty|",'Overview - Section A'!AF$124:AG252,2,0)))</f>
        <v>INT-257067</v>
      </c>
      <c r="AU86" s="121"/>
      <c r="AV86" s="121"/>
      <c r="AY86">
        <f t="shared" si="4"/>
        <v>2282</v>
      </c>
      <c r="AZ86">
        <f ca="1">AZ85+'update Helper'!$X$2</f>
        <v>2833</v>
      </c>
      <c r="BC86" t="str">
        <f ca="1">IF(INDIRECT("'update Helper'!S"&amp;AY86)=0,"",IFERROR(VLOOKUP(INDIRECT("'update Helper'!S"&amp;AY86),'Account Role'!A$1:B$14,2,0),IFERROR(VLOOKUP(INDIRECT("'update Helper'!I"&amp;AY86),'Overview - Section A'!J$26:P$91,7,0),"")))</f>
        <v/>
      </c>
      <c r="BD86" t="str">
        <f ca="1">IFERROR(INDEX('Overview - Section A'!A$123:A252,MATCH(INDIRECT("'update Helper'!Q"&amp;AY86),'Overview - Section A'!AQ$123:AQ252,0)),"")</f>
        <v/>
      </c>
      <c r="BE86" t="str">
        <f>IFERROR(INDEX('Overview - Section A'!O$123:O252,MATCH(AT86,'Overview - Section A'!AQ$123:AQ252,0)),"")</f>
        <v/>
      </c>
      <c r="BF86" t="str">
        <f>IFERROR(INDEX('Overview - Section A'!H$123:H252,MATCH(AT86,'Overview - Section A'!AQ$123:AQ252,0)),"")</f>
        <v/>
      </c>
    </row>
    <row r="87" spans="1:58" ht="30" customHeight="1">
      <c r="A87" s="120">
        <v>79</v>
      </c>
      <c r="B87" s="121"/>
      <c r="C87" s="121"/>
      <c r="D87" s="121"/>
      <c r="E87" s="121"/>
      <c r="F87" s="121"/>
      <c r="G87" s="122"/>
      <c r="H87" s="121"/>
      <c r="I87" s="122"/>
      <c r="J87" s="121"/>
      <c r="K87" s="121"/>
      <c r="L87" s="121"/>
      <c r="M87" s="122"/>
      <c r="N87" s="121"/>
      <c r="O87" s="121"/>
      <c r="P87" s="121"/>
      <c r="Q87" s="122"/>
      <c r="R87" s="121"/>
      <c r="S87" s="121"/>
      <c r="T87" s="122"/>
      <c r="U87" s="122"/>
      <c r="V87" s="121"/>
      <c r="W87" s="121"/>
      <c r="X87" s="122"/>
      <c r="Y87" s="122"/>
      <c r="Z87" s="121"/>
      <c r="AA87" s="121"/>
      <c r="AB87" s="122"/>
      <c r="AC87" s="122"/>
      <c r="AD87" s="121"/>
      <c r="AE87" s="121"/>
      <c r="AF87" s="122"/>
      <c r="AG87" s="122"/>
      <c r="AH87" s="121"/>
      <c r="AI87" s="121"/>
      <c r="AJ87" s="122"/>
      <c r="AK87" s="122"/>
      <c r="AL87" s="121"/>
      <c r="AM87" s="121"/>
      <c r="AN87" s="121"/>
      <c r="AO87" t="str">
        <f>IFERROR(VLOOKUP(D87,'Reference Records'!$C$213:$E$352,3,FALSE),"")</f>
        <v/>
      </c>
      <c r="AP87" t="e">
        <f>VLOOKUP(AO87,'Reference Records'!$E$213:$F$352,2,0)</f>
        <v>#N/A</v>
      </c>
      <c r="AQ87" t="e">
        <f>MATCH($AP87,'Reference Records'!$E$430:$E$653,0)+ROW(Population_by_intervention)-1</f>
        <v>#N/A</v>
      </c>
      <c r="AR87" t="e">
        <f>MATCH($AP87,'Reference Records'!$E$430:$E$653,1)+ROW(Population_by_intervention)-1</f>
        <v>#N/A</v>
      </c>
      <c r="AS87" t="str">
        <f t="shared" si="3"/>
        <v>|empty|</v>
      </c>
      <c r="AT87" t="str">
        <f>IF(AS87="","",IFERROR(VLOOKUP(AS87,'Overview - Section A'!AF$124:AG253,2,0),VLOOKUP("|empty|",'Overview - Section A'!AF$124:AG253,2,0)))</f>
        <v>INT-257067</v>
      </c>
      <c r="AU87" s="121"/>
      <c r="AV87" s="121"/>
      <c r="AY87">
        <f t="shared" si="4"/>
        <v>2283</v>
      </c>
      <c r="AZ87">
        <f ca="1">AZ86+'update Helper'!$X$2</f>
        <v>2839</v>
      </c>
      <c r="BC87" t="str">
        <f ca="1">IF(INDIRECT("'update Helper'!S"&amp;AY87)=0,"",IFERROR(VLOOKUP(INDIRECT("'update Helper'!S"&amp;AY87),'Account Role'!A$1:B$14,2,0),IFERROR(VLOOKUP(INDIRECT("'update Helper'!I"&amp;AY87),'Overview - Section A'!J$26:P$91,7,0),"")))</f>
        <v/>
      </c>
      <c r="BD87" t="str">
        <f ca="1">IFERROR(INDEX('Overview - Section A'!A$123:A253,MATCH(INDIRECT("'update Helper'!Q"&amp;AY87),'Overview - Section A'!AQ$123:AQ253,0)),"")</f>
        <v/>
      </c>
      <c r="BE87" t="str">
        <f>IFERROR(INDEX('Overview - Section A'!O$123:O253,MATCH(AT87,'Overview - Section A'!AQ$123:AQ253,0)),"")</f>
        <v/>
      </c>
      <c r="BF87" t="str">
        <f>IFERROR(INDEX('Overview - Section A'!H$123:H253,MATCH(AT87,'Overview - Section A'!AQ$123:AQ253,0)),"")</f>
        <v/>
      </c>
    </row>
    <row r="88" spans="1:58" ht="30" customHeight="1">
      <c r="A88" s="120">
        <v>80</v>
      </c>
      <c r="B88" s="121"/>
      <c r="C88" s="121"/>
      <c r="D88" s="121"/>
      <c r="E88" s="121"/>
      <c r="F88" s="121"/>
      <c r="G88" s="122"/>
      <c r="H88" s="121"/>
      <c r="I88" s="122"/>
      <c r="J88" s="121"/>
      <c r="K88" s="121"/>
      <c r="L88" s="121"/>
      <c r="M88" s="122"/>
      <c r="N88" s="121"/>
      <c r="O88" s="121"/>
      <c r="P88" s="121"/>
      <c r="Q88" s="122"/>
      <c r="R88" s="121"/>
      <c r="S88" s="121"/>
      <c r="T88" s="122"/>
      <c r="U88" s="122"/>
      <c r="V88" s="121"/>
      <c r="W88" s="121"/>
      <c r="X88" s="122"/>
      <c r="Y88" s="122"/>
      <c r="Z88" s="121"/>
      <c r="AA88" s="121"/>
      <c r="AB88" s="122"/>
      <c r="AC88" s="122"/>
      <c r="AD88" s="121"/>
      <c r="AE88" s="121"/>
      <c r="AF88" s="122"/>
      <c r="AG88" s="122"/>
      <c r="AH88" s="121"/>
      <c r="AI88" s="121"/>
      <c r="AJ88" s="122"/>
      <c r="AK88" s="122"/>
      <c r="AL88" s="121"/>
      <c r="AM88" s="121"/>
      <c r="AN88" s="121"/>
      <c r="AO88" t="str">
        <f>IFERROR(VLOOKUP(D88,'Reference Records'!$C$213:$E$352,3,FALSE),"")</f>
        <v/>
      </c>
      <c r="AP88" t="e">
        <f>VLOOKUP(AO88,'Reference Records'!$E$213:$F$352,2,0)</f>
        <v>#N/A</v>
      </c>
      <c r="AQ88" t="e">
        <f>MATCH($AP88,'Reference Records'!$E$430:$E$653,0)+ROW(Population_by_intervention)-1</f>
        <v>#N/A</v>
      </c>
      <c r="AR88" t="e">
        <f>MATCH($AP88,'Reference Records'!$E$430:$E$653,1)+ROW(Population_by_intervention)-1</f>
        <v>#N/A</v>
      </c>
      <c r="AS88" t="str">
        <f t="shared" si="3"/>
        <v>|empty|</v>
      </c>
      <c r="AT88" t="str">
        <f>IF(AS88="","",IFERROR(VLOOKUP(AS88,'Overview - Section A'!AF$124:AG254,2,0),VLOOKUP("|empty|",'Overview - Section A'!AF$124:AG254,2,0)))</f>
        <v>INT-257067</v>
      </c>
      <c r="AU88" s="121"/>
      <c r="AV88" s="121"/>
      <c r="AY88">
        <f t="shared" si="4"/>
        <v>2284</v>
      </c>
      <c r="AZ88">
        <f ca="1">AZ87+'update Helper'!$X$2</f>
        <v>2845</v>
      </c>
      <c r="BC88" t="str">
        <f ca="1">IF(INDIRECT("'update Helper'!S"&amp;AY88)=0,"",IFERROR(VLOOKUP(INDIRECT("'update Helper'!S"&amp;AY88),'Account Role'!A$1:B$14,2,0),IFERROR(VLOOKUP(INDIRECT("'update Helper'!I"&amp;AY88),'Overview - Section A'!J$26:P$91,7,0),"")))</f>
        <v/>
      </c>
      <c r="BD88" t="str">
        <f ca="1">IFERROR(INDEX('Overview - Section A'!A$123:A254,MATCH(INDIRECT("'update Helper'!Q"&amp;AY88),'Overview - Section A'!AQ$123:AQ254,0)),"")</f>
        <v/>
      </c>
      <c r="BE88" t="str">
        <f>IFERROR(INDEX('Overview - Section A'!O$123:O254,MATCH(AT88,'Overview - Section A'!AQ$123:AQ254,0)),"")</f>
        <v/>
      </c>
      <c r="BF88" t="str">
        <f>IFERROR(INDEX('Overview - Section A'!H$123:H254,MATCH(AT88,'Overview - Section A'!AQ$123:AQ254,0)),"")</f>
        <v/>
      </c>
    </row>
    <row r="89" spans="1:58" hidden="1">
      <c r="BE89" t="str">
        <f>IFERROR(INDEX('Overview - Section A'!O$123:O255,MATCH(AT89,'Overview - Section A'!AQ$123:AQ255,0)),"")</f>
        <v/>
      </c>
      <c r="BF89" t="str">
        <f>IFERROR(INDEX('Overview - Section A'!H$123:H255,MATCH(AT89,'Overview - Section A'!AQ$123:AQ255,0)),"")</f>
        <v/>
      </c>
    </row>
    <row r="90" spans="1:58" hidden="1"/>
    <row r="91" spans="1:58" hidden="1"/>
    <row r="92" spans="1:58" hidden="1"/>
    <row r="93" spans="1:58" hidden="1"/>
    <row r="94" spans="1:58" hidden="1"/>
    <row r="95" spans="1:58" hidden="1"/>
    <row r="96" spans="1:5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sheetData>
  <sheetProtection sheet="1" objects="1" scenarios="1" formatCells="0" formatColumns="0" formatRows="0"/>
  <mergeCells count="9">
    <mergeCell ref="AF7:AI7"/>
    <mergeCell ref="AJ7:AM7"/>
    <mergeCell ref="A1:G2"/>
    <mergeCell ref="H7:K7"/>
    <mergeCell ref="L7:O7"/>
    <mergeCell ref="P7:S7"/>
    <mergeCell ref="T7:W7"/>
    <mergeCell ref="X7:AA7"/>
    <mergeCell ref="AB7:AE7"/>
  </mergeCells>
  <conditionalFormatting sqref="C9">
    <cfRule type="expression" dxfId="99" priority="80">
      <formula>AND($D9&lt;&gt;"",$C9="")</formula>
    </cfRule>
  </conditionalFormatting>
  <conditionalFormatting sqref="C10">
    <cfRule type="expression" dxfId="98" priority="79">
      <formula>AND($D10&lt;&gt;"",$C10="")</formula>
    </cfRule>
  </conditionalFormatting>
  <conditionalFormatting sqref="C11">
    <cfRule type="expression" dxfId="97" priority="78">
      <formula>AND($D11&lt;&gt;"",$C11="")</formula>
    </cfRule>
  </conditionalFormatting>
  <conditionalFormatting sqref="C12">
    <cfRule type="expression" dxfId="96" priority="77">
      <formula>AND($D12&lt;&gt;"",$C12="")</formula>
    </cfRule>
  </conditionalFormatting>
  <conditionalFormatting sqref="C13">
    <cfRule type="expression" dxfId="95" priority="76">
      <formula>AND($D13&lt;&gt;"",$C13="")</formula>
    </cfRule>
  </conditionalFormatting>
  <conditionalFormatting sqref="C14">
    <cfRule type="expression" dxfId="94" priority="75">
      <formula>AND($D14&lt;&gt;"",$C14="")</formula>
    </cfRule>
  </conditionalFormatting>
  <conditionalFormatting sqref="C15">
    <cfRule type="expression" dxfId="93" priority="74">
      <formula>AND($D15&lt;&gt;"",$C15="")</formula>
    </cfRule>
  </conditionalFormatting>
  <conditionalFormatting sqref="C16">
    <cfRule type="expression" dxfId="92" priority="73">
      <formula>AND($D16&lt;&gt;"",$C16="")</formula>
    </cfRule>
  </conditionalFormatting>
  <conditionalFormatting sqref="C17">
    <cfRule type="expression" dxfId="91" priority="72">
      <formula>AND($D17&lt;&gt;"",$C17="")</formula>
    </cfRule>
  </conditionalFormatting>
  <conditionalFormatting sqref="C18">
    <cfRule type="expression" dxfId="90" priority="71">
      <formula>AND($D18&lt;&gt;"",$C18="")</formula>
    </cfRule>
  </conditionalFormatting>
  <conditionalFormatting sqref="C19">
    <cfRule type="expression" dxfId="89" priority="70">
      <formula>AND($D19&lt;&gt;"",$C19="")</formula>
    </cfRule>
  </conditionalFormatting>
  <conditionalFormatting sqref="C20">
    <cfRule type="expression" dxfId="88" priority="69">
      <formula>AND($D20&lt;&gt;"",$C20="")</formula>
    </cfRule>
  </conditionalFormatting>
  <conditionalFormatting sqref="C21">
    <cfRule type="expression" dxfId="87" priority="68">
      <formula>AND($D21&lt;&gt;"",$C21="")</formula>
    </cfRule>
  </conditionalFormatting>
  <conditionalFormatting sqref="C22">
    <cfRule type="expression" dxfId="86" priority="67">
      <formula>AND($D22&lt;&gt;"",$C22="")</formula>
    </cfRule>
  </conditionalFormatting>
  <conditionalFormatting sqref="C23">
    <cfRule type="expression" dxfId="85" priority="66">
      <formula>AND($D23&lt;&gt;"",$C23="")</formula>
    </cfRule>
  </conditionalFormatting>
  <conditionalFormatting sqref="C24">
    <cfRule type="expression" dxfId="84" priority="65">
      <formula>AND($D24&lt;&gt;"",$C24="")</formula>
    </cfRule>
  </conditionalFormatting>
  <conditionalFormatting sqref="C25">
    <cfRule type="expression" dxfId="83" priority="64">
      <formula>AND($D25&lt;&gt;"",$C25="")</formula>
    </cfRule>
  </conditionalFormatting>
  <conditionalFormatting sqref="C26">
    <cfRule type="expression" dxfId="82" priority="63">
      <formula>AND($D26&lt;&gt;"",$C26="")</formula>
    </cfRule>
  </conditionalFormatting>
  <conditionalFormatting sqref="C27">
    <cfRule type="expression" dxfId="81" priority="62">
      <formula>AND($D27&lt;&gt;"",$C27="")</formula>
    </cfRule>
  </conditionalFormatting>
  <conditionalFormatting sqref="C28">
    <cfRule type="expression" dxfId="80" priority="61">
      <formula>AND($D28&lt;&gt;"",$C28="")</formula>
    </cfRule>
  </conditionalFormatting>
  <conditionalFormatting sqref="C29">
    <cfRule type="expression" dxfId="79" priority="60">
      <formula>AND($D29&lt;&gt;"",$C29="")</formula>
    </cfRule>
  </conditionalFormatting>
  <conditionalFormatting sqref="C30">
    <cfRule type="expression" dxfId="78" priority="59">
      <formula>AND($D30&lt;&gt;"",$C30="")</formula>
    </cfRule>
  </conditionalFormatting>
  <conditionalFormatting sqref="C31">
    <cfRule type="expression" dxfId="77" priority="58">
      <formula>AND($D31&lt;&gt;"",$C31="")</formula>
    </cfRule>
  </conditionalFormatting>
  <conditionalFormatting sqref="C32">
    <cfRule type="expression" dxfId="76" priority="57">
      <formula>AND($D32&lt;&gt;"",$C32="")</formula>
    </cfRule>
  </conditionalFormatting>
  <conditionalFormatting sqref="C33">
    <cfRule type="expression" dxfId="75" priority="56">
      <formula>AND($D33&lt;&gt;"",$C33="")</formula>
    </cfRule>
  </conditionalFormatting>
  <conditionalFormatting sqref="C34">
    <cfRule type="expression" dxfId="74" priority="55">
      <formula>AND($D34&lt;&gt;"",$C34="")</formula>
    </cfRule>
  </conditionalFormatting>
  <conditionalFormatting sqref="C35">
    <cfRule type="expression" dxfId="73" priority="54">
      <formula>AND($D35&lt;&gt;"",$C35="")</formula>
    </cfRule>
  </conditionalFormatting>
  <conditionalFormatting sqref="C36">
    <cfRule type="expression" dxfId="72" priority="53">
      <formula>AND($D36&lt;&gt;"",$C36="")</formula>
    </cfRule>
  </conditionalFormatting>
  <conditionalFormatting sqref="C37">
    <cfRule type="expression" dxfId="71" priority="52">
      <formula>AND($D37&lt;&gt;"",$C37="")</formula>
    </cfRule>
  </conditionalFormatting>
  <conditionalFormatting sqref="C38">
    <cfRule type="expression" dxfId="70" priority="51">
      <formula>AND($D38&lt;&gt;"",$C38="")</formula>
    </cfRule>
  </conditionalFormatting>
  <conditionalFormatting sqref="C39">
    <cfRule type="expression" dxfId="69" priority="50">
      <formula>AND($D39&lt;&gt;"",$C39="")</formula>
    </cfRule>
  </conditionalFormatting>
  <conditionalFormatting sqref="C40">
    <cfRule type="expression" dxfId="68" priority="49">
      <formula>AND($D40&lt;&gt;"",$C40="")</formula>
    </cfRule>
  </conditionalFormatting>
  <conditionalFormatting sqref="C41">
    <cfRule type="expression" dxfId="67" priority="48">
      <formula>AND($D41&lt;&gt;"",$C41="")</formula>
    </cfRule>
  </conditionalFormatting>
  <conditionalFormatting sqref="C42">
    <cfRule type="expression" dxfId="66" priority="47">
      <formula>AND($D42&lt;&gt;"",$C42="")</formula>
    </cfRule>
  </conditionalFormatting>
  <conditionalFormatting sqref="C43">
    <cfRule type="expression" dxfId="65" priority="46">
      <formula>AND($D43&lt;&gt;"",$C43="")</formula>
    </cfRule>
  </conditionalFormatting>
  <conditionalFormatting sqref="C44">
    <cfRule type="expression" dxfId="64" priority="45">
      <formula>AND($D44&lt;&gt;"",$C44="")</formula>
    </cfRule>
  </conditionalFormatting>
  <conditionalFormatting sqref="C45">
    <cfRule type="expression" dxfId="63" priority="44">
      <formula>AND($D45&lt;&gt;"",$C45="")</formula>
    </cfRule>
  </conditionalFormatting>
  <conditionalFormatting sqref="C46">
    <cfRule type="expression" dxfId="62" priority="43">
      <formula>AND($D46&lt;&gt;"",$C46="")</formula>
    </cfRule>
  </conditionalFormatting>
  <conditionalFormatting sqref="C47">
    <cfRule type="expression" dxfId="61" priority="42">
      <formula>AND($D47&lt;&gt;"",$C47="")</formula>
    </cfRule>
  </conditionalFormatting>
  <conditionalFormatting sqref="C48">
    <cfRule type="expression" dxfId="60" priority="41">
      <formula>AND($D48&lt;&gt;"",$C48="")</formula>
    </cfRule>
  </conditionalFormatting>
  <conditionalFormatting sqref="C49">
    <cfRule type="expression" dxfId="59" priority="40">
      <formula>AND($D49&lt;&gt;"",$C49="")</formula>
    </cfRule>
  </conditionalFormatting>
  <conditionalFormatting sqref="C50">
    <cfRule type="expression" dxfId="58" priority="39">
      <formula>AND($D50&lt;&gt;"",$C50="")</formula>
    </cfRule>
  </conditionalFormatting>
  <conditionalFormatting sqref="C51">
    <cfRule type="expression" dxfId="57" priority="38">
      <formula>AND($D51&lt;&gt;"",$C51="")</formula>
    </cfRule>
  </conditionalFormatting>
  <conditionalFormatting sqref="C52">
    <cfRule type="expression" dxfId="56" priority="37">
      <formula>AND($D52&lt;&gt;"",$C52="")</formula>
    </cfRule>
  </conditionalFormatting>
  <conditionalFormatting sqref="C53">
    <cfRule type="expression" dxfId="55" priority="36">
      <formula>AND($D53&lt;&gt;"",$C53="")</formula>
    </cfRule>
  </conditionalFormatting>
  <conditionalFormatting sqref="C54">
    <cfRule type="expression" dxfId="54" priority="35">
      <formula>AND($D54&lt;&gt;"",$C54="")</formula>
    </cfRule>
  </conditionalFormatting>
  <conditionalFormatting sqref="C55">
    <cfRule type="expression" dxfId="53" priority="34">
      <formula>AND($D55&lt;&gt;"",$C55="")</formula>
    </cfRule>
  </conditionalFormatting>
  <conditionalFormatting sqref="C56">
    <cfRule type="expression" dxfId="52" priority="33">
      <formula>AND($D56&lt;&gt;"",$C56="")</formula>
    </cfRule>
  </conditionalFormatting>
  <conditionalFormatting sqref="C57">
    <cfRule type="expression" dxfId="51" priority="32">
      <formula>AND($D57&lt;&gt;"",$C57="")</formula>
    </cfRule>
  </conditionalFormatting>
  <conditionalFormatting sqref="C58">
    <cfRule type="expression" dxfId="50" priority="31">
      <formula>AND($D58&lt;&gt;"",$C58="")</formula>
    </cfRule>
  </conditionalFormatting>
  <conditionalFormatting sqref="C59">
    <cfRule type="expression" dxfId="49" priority="30">
      <formula>AND($D59&lt;&gt;"",$C59="")</formula>
    </cfRule>
  </conditionalFormatting>
  <conditionalFormatting sqref="C60">
    <cfRule type="expression" dxfId="48" priority="29">
      <formula>AND($D60&lt;&gt;"",$C60="")</formula>
    </cfRule>
  </conditionalFormatting>
  <conditionalFormatting sqref="C61">
    <cfRule type="expression" dxfId="47" priority="28">
      <formula>AND($D61&lt;&gt;"",$C61="")</formula>
    </cfRule>
  </conditionalFormatting>
  <conditionalFormatting sqref="C62">
    <cfRule type="expression" dxfId="46" priority="27">
      <formula>AND($D62&lt;&gt;"",$C62="")</formula>
    </cfRule>
  </conditionalFormatting>
  <conditionalFormatting sqref="C63">
    <cfRule type="expression" dxfId="45" priority="26">
      <formula>AND($D63&lt;&gt;"",$C63="")</formula>
    </cfRule>
  </conditionalFormatting>
  <conditionalFormatting sqref="C64">
    <cfRule type="expression" dxfId="44" priority="25">
      <formula>AND($D64&lt;&gt;"",$C64="")</formula>
    </cfRule>
  </conditionalFormatting>
  <conditionalFormatting sqref="C65">
    <cfRule type="expression" dxfId="43" priority="24">
      <formula>AND($D65&lt;&gt;"",$C65="")</formula>
    </cfRule>
  </conditionalFormatting>
  <conditionalFormatting sqref="C66">
    <cfRule type="expression" dxfId="42" priority="23">
      <formula>AND($D66&lt;&gt;"",$C66="")</formula>
    </cfRule>
  </conditionalFormatting>
  <conditionalFormatting sqref="C67">
    <cfRule type="expression" dxfId="41" priority="22">
      <formula>AND($D67&lt;&gt;"",$C67="")</formula>
    </cfRule>
  </conditionalFormatting>
  <conditionalFormatting sqref="C68">
    <cfRule type="expression" dxfId="40" priority="21">
      <formula>AND($D68&lt;&gt;"",$C68="")</formula>
    </cfRule>
  </conditionalFormatting>
  <conditionalFormatting sqref="C69">
    <cfRule type="expression" dxfId="39" priority="20">
      <formula>AND($D69&lt;&gt;"",$C69="")</formula>
    </cfRule>
  </conditionalFormatting>
  <conditionalFormatting sqref="C70">
    <cfRule type="expression" dxfId="38" priority="19">
      <formula>AND($D70&lt;&gt;"",$C70="")</formula>
    </cfRule>
  </conditionalFormatting>
  <conditionalFormatting sqref="C71">
    <cfRule type="expression" dxfId="37" priority="18">
      <formula>AND($D71&lt;&gt;"",$C71="")</formula>
    </cfRule>
  </conditionalFormatting>
  <conditionalFormatting sqref="C72">
    <cfRule type="expression" dxfId="36" priority="17">
      <formula>AND($D72&lt;&gt;"",$C72="")</formula>
    </cfRule>
  </conditionalFormatting>
  <conditionalFormatting sqref="C73">
    <cfRule type="expression" dxfId="35" priority="16">
      <formula>AND($D73&lt;&gt;"",$C73="")</formula>
    </cfRule>
  </conditionalFormatting>
  <conditionalFormatting sqref="C74">
    <cfRule type="expression" dxfId="34" priority="15">
      <formula>AND($D74&lt;&gt;"",$C74="")</formula>
    </cfRule>
  </conditionalFormatting>
  <conditionalFormatting sqref="C75">
    <cfRule type="expression" dxfId="33" priority="14">
      <formula>AND($D75&lt;&gt;"",$C75="")</formula>
    </cfRule>
  </conditionalFormatting>
  <conditionalFormatting sqref="C76">
    <cfRule type="expression" dxfId="32" priority="13">
      <formula>AND($D76&lt;&gt;"",$C76="")</formula>
    </cfRule>
  </conditionalFormatting>
  <conditionalFormatting sqref="C77">
    <cfRule type="expression" dxfId="31" priority="12">
      <formula>AND($D77&lt;&gt;"",$C77="")</formula>
    </cfRule>
  </conditionalFormatting>
  <conditionalFormatting sqref="C78">
    <cfRule type="expression" dxfId="30" priority="11">
      <formula>AND($D78&lt;&gt;"",$C78="")</formula>
    </cfRule>
  </conditionalFormatting>
  <conditionalFormatting sqref="C79">
    <cfRule type="expression" dxfId="29" priority="10">
      <formula>AND($D79&lt;&gt;"",$C79="")</formula>
    </cfRule>
  </conditionalFormatting>
  <conditionalFormatting sqref="C80">
    <cfRule type="expression" dxfId="28" priority="9">
      <formula>AND($D80&lt;&gt;"",$C80="")</formula>
    </cfRule>
  </conditionalFormatting>
  <conditionalFormatting sqref="C81">
    <cfRule type="expression" dxfId="27" priority="8">
      <formula>AND($D81&lt;&gt;"",$C81="")</formula>
    </cfRule>
  </conditionalFormatting>
  <conditionalFormatting sqref="C82">
    <cfRule type="expression" dxfId="26" priority="7">
      <formula>AND($D82&lt;&gt;"",$C82="")</formula>
    </cfRule>
  </conditionalFormatting>
  <conditionalFormatting sqref="C83">
    <cfRule type="expression" dxfId="25" priority="6">
      <formula>AND($D83&lt;&gt;"",$C83="")</formula>
    </cfRule>
  </conditionalFormatting>
  <conditionalFormatting sqref="C84">
    <cfRule type="expression" dxfId="24" priority="5">
      <formula>AND($D84&lt;&gt;"",$C84="")</formula>
    </cfRule>
  </conditionalFormatting>
  <conditionalFormatting sqref="C85">
    <cfRule type="expression" dxfId="23" priority="4">
      <formula>AND($D85&lt;&gt;"",$C85="")</formula>
    </cfRule>
  </conditionalFormatting>
  <conditionalFormatting sqref="C86">
    <cfRule type="expression" dxfId="22" priority="3">
      <formula>AND($D86&lt;&gt;"",$C86="")</formula>
    </cfRule>
  </conditionalFormatting>
  <conditionalFormatting sqref="C87">
    <cfRule type="expression" dxfId="21" priority="2">
      <formula>AND($D87&lt;&gt;"",$C87="")</formula>
    </cfRule>
  </conditionalFormatting>
  <conditionalFormatting sqref="C88">
    <cfRule type="expression" dxfId="20" priority="1">
      <formula>AND($D88&lt;&gt;"",$C88="")</formula>
    </cfRule>
  </conditionalFormatting>
  <dataValidations count="3">
    <dataValidation type="list" allowBlank="1" showInputMessage="1" showErrorMessage="1" sqref="B9:B88" xr:uid="{00000000-0002-0000-0C00-000000000000}">
      <formula1>Coverage_Module</formula1>
    </dataValidation>
    <dataValidation type="list" allowBlank="1" showInputMessage="1" showErrorMessage="1" sqref="G9:G88" xr:uid="{00000000-0002-0000-0C00-000001000000}">
      <formula1>Country</formula1>
    </dataValidation>
    <dataValidation type="list" allowBlank="1" showInputMessage="1" showErrorMessage="1" sqref="F9:F88" xr:uid="{00000000-0002-0000-0C00-000002000000}">
      <formula1>MergedAndDistinctPR</formula1>
    </dataValidation>
  </dataValidations>
  <hyperlinks>
    <hyperlink ref="B5" location="'Instructions-FR'!InstructionsSectionF" display="=Translations!A48"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H373"/>
  <sheetViews>
    <sheetView view="pageBreakPreview" zoomScale="42" zoomScaleNormal="25" zoomScaleSheetLayoutView="42" workbookViewId="0">
      <selection activeCell="L27" sqref="L27"/>
    </sheetView>
  </sheetViews>
  <sheetFormatPr defaultColWidth="9" defaultRowHeight="15.75"/>
  <cols>
    <col min="1" max="1" width="11.125" style="17" customWidth="1"/>
    <col min="2" max="2" width="41.125" style="17" customWidth="1"/>
    <col min="3" max="3" width="62.75" style="17" customWidth="1"/>
    <col min="4" max="4" width="42.125" style="17" customWidth="1"/>
    <col min="5" max="5" width="30.125" style="17" customWidth="1"/>
    <col min="6" max="6" width="31.25" style="17" customWidth="1"/>
    <col min="7" max="7" width="37.625" style="17" customWidth="1"/>
    <col min="8" max="8" width="25.125" style="17" customWidth="1"/>
    <col min="9" max="9" width="32.625" style="17" customWidth="1"/>
    <col min="10" max="10" width="46.125" style="17" customWidth="1"/>
    <col min="11" max="11" width="36.125" style="17" customWidth="1"/>
    <col min="12" max="12" width="27.625" style="17" customWidth="1"/>
    <col min="13" max="13" width="29.75" style="17" customWidth="1"/>
    <col min="14" max="14" width="26" style="17" customWidth="1"/>
    <col min="15" max="18" width="26.125" style="17" customWidth="1"/>
    <col min="19" max="20" width="25.125" style="17" customWidth="1"/>
    <col min="21" max="21" width="28.25" style="17" customWidth="1"/>
    <col min="22" max="22" width="20.625" style="17" customWidth="1"/>
    <col min="23" max="23" width="28.625" style="17" customWidth="1"/>
    <col min="24" max="24" width="22.625" style="17" customWidth="1"/>
    <col min="25" max="25" width="28.25" style="17" customWidth="1"/>
    <col min="26" max="26" width="29.625" style="17" customWidth="1"/>
    <col min="27" max="27" width="23.5" style="17" customWidth="1"/>
    <col min="28" max="28" width="22.625" style="17" customWidth="1"/>
    <col min="29" max="29" width="30.25" style="17" customWidth="1"/>
    <col min="30" max="30" width="29.125" style="17" customWidth="1"/>
    <col min="31" max="31" width="23.5" style="17" customWidth="1"/>
    <col min="32" max="32" width="31.125" style="17" customWidth="1"/>
    <col min="33" max="34" width="19.625" style="17" customWidth="1"/>
    <col min="35" max="35" width="29.625" style="17" customWidth="1"/>
    <col min="36" max="36" width="28.625" style="17" customWidth="1"/>
    <col min="37" max="37" width="30.625" style="17" customWidth="1"/>
    <col min="38" max="38" width="30.125" style="17" customWidth="1"/>
    <col min="39" max="39" width="19.625" style="17" customWidth="1"/>
    <col min="40" max="40" width="56.25" style="17" customWidth="1"/>
    <col min="41" max="41" width="130" style="17" customWidth="1"/>
    <col min="42" max="42" width="46.625" style="13" customWidth="1"/>
    <col min="43" max="43" width="33.625" style="17" customWidth="1"/>
    <col min="44" max="44" width="35.125" style="17" customWidth="1"/>
    <col min="45" max="45" width="44" style="17" customWidth="1"/>
    <col min="46" max="46" width="9" style="19" customWidth="1"/>
    <col min="47" max="50" width="9" style="20" hidden="1" customWidth="1"/>
    <col min="51" max="51" width="9.125" style="20" hidden="1" customWidth="1"/>
    <col min="52" max="53" width="9" style="20" hidden="1" customWidth="1"/>
    <col min="54" max="55" width="9" style="20"/>
    <col min="56" max="16384" width="9" style="17"/>
  </cols>
  <sheetData>
    <row r="1" spans="1:55" ht="36">
      <c r="A1" s="722" t="str">
        <f ca="1">Translations!A88</f>
        <v>Marco de desempeño</v>
      </c>
      <c r="B1" s="723"/>
      <c r="C1" s="723"/>
      <c r="D1" s="723"/>
      <c r="E1" s="723"/>
      <c r="F1" s="723"/>
      <c r="G1" s="723"/>
      <c r="H1" s="723"/>
      <c r="I1" s="723"/>
      <c r="J1" s="723"/>
      <c r="K1" s="723"/>
      <c r="L1" s="723"/>
      <c r="M1" s="723"/>
      <c r="N1" s="723"/>
      <c r="O1" s="723"/>
      <c r="P1" s="723"/>
      <c r="Q1" s="723"/>
      <c r="R1" s="723"/>
      <c r="S1" s="723"/>
      <c r="T1" s="46"/>
      <c r="U1" s="21"/>
      <c r="V1" s="21"/>
      <c r="W1" s="21"/>
      <c r="X1" s="21"/>
      <c r="Y1" s="21"/>
      <c r="Z1" s="21"/>
      <c r="AA1" s="21"/>
      <c r="AB1" s="21"/>
      <c r="AC1" s="21"/>
      <c r="AD1" s="21"/>
      <c r="AE1" s="21"/>
      <c r="AF1" s="21"/>
      <c r="AG1" s="21"/>
      <c r="AH1" s="21"/>
      <c r="AI1" s="21"/>
      <c r="AJ1" s="21"/>
      <c r="AK1" s="21"/>
      <c r="AL1" s="21"/>
      <c r="AM1" s="21"/>
      <c r="AN1" s="21"/>
      <c r="AO1" s="21"/>
      <c r="AQ1" s="13"/>
      <c r="AR1" s="13"/>
      <c r="AS1" s="13"/>
    </row>
    <row r="2" spans="1:55" ht="27">
      <c r="A2" s="724"/>
      <c r="B2" s="725"/>
      <c r="C2" s="725"/>
      <c r="D2" s="725"/>
      <c r="E2" s="724"/>
      <c r="F2" s="725"/>
      <c r="G2" s="725"/>
      <c r="H2" s="725"/>
      <c r="I2" s="724"/>
      <c r="J2" s="725"/>
      <c r="K2" s="725"/>
      <c r="L2" s="725"/>
      <c r="M2" s="724"/>
      <c r="N2" s="725"/>
      <c r="O2" s="725"/>
      <c r="P2" s="725"/>
      <c r="Q2" s="724"/>
      <c r="R2" s="725"/>
      <c r="S2" s="725"/>
      <c r="T2" s="47"/>
      <c r="U2" s="21"/>
      <c r="V2" s="21"/>
      <c r="W2" s="21"/>
      <c r="X2" s="21"/>
      <c r="Y2" s="21"/>
      <c r="Z2" s="21"/>
      <c r="AA2" s="21"/>
      <c r="AB2" s="21"/>
      <c r="AC2" s="21"/>
      <c r="AD2" s="21"/>
      <c r="AE2" s="21"/>
      <c r="AF2" s="21"/>
      <c r="AG2" s="21"/>
      <c r="AH2" s="21"/>
      <c r="AI2" s="21"/>
      <c r="AJ2" s="21"/>
      <c r="AK2" s="21"/>
      <c r="AL2" s="21"/>
      <c r="AM2" s="21"/>
      <c r="AN2" s="21"/>
      <c r="AO2" s="21"/>
      <c r="AQ2" s="13"/>
      <c r="AR2" s="13"/>
      <c r="AS2" s="13"/>
    </row>
    <row r="3" spans="1:55" s="13" customFormat="1" ht="27">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T3" s="22"/>
      <c r="AU3" s="54"/>
      <c r="AV3" s="54"/>
      <c r="AW3" s="54"/>
      <c r="AX3" s="54"/>
      <c r="AY3" s="54"/>
      <c r="AZ3" s="54"/>
      <c r="BA3" s="54"/>
      <c r="BB3" s="54"/>
      <c r="BC3" s="54"/>
    </row>
    <row r="4" spans="1:55" s="13" customFormat="1" ht="27">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T4" s="22"/>
      <c r="AU4" s="54"/>
      <c r="AV4" s="54"/>
      <c r="AW4" s="54"/>
      <c r="AX4" s="54"/>
      <c r="AY4" s="54"/>
      <c r="AZ4" s="54"/>
      <c r="BA4" s="54"/>
      <c r="BB4" s="54"/>
      <c r="BC4" s="54"/>
    </row>
    <row r="5" spans="1:55" s="13" customFormat="1" ht="27">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T5" s="22"/>
      <c r="AU5" s="54"/>
      <c r="AV5" s="54"/>
      <c r="AW5" s="54"/>
      <c r="AX5" s="54"/>
      <c r="AY5" s="54"/>
      <c r="AZ5" s="54"/>
      <c r="BA5" s="54"/>
      <c r="BB5" s="54"/>
      <c r="BC5" s="54"/>
    </row>
    <row r="6" spans="1:55" s="13" customFormat="1" ht="27">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T6" s="22"/>
      <c r="AU6" s="54"/>
      <c r="AV6" s="54"/>
      <c r="AW6" s="54"/>
      <c r="AX6" s="54"/>
      <c r="AY6" s="54"/>
      <c r="AZ6" s="54"/>
      <c r="BA6" s="54"/>
      <c r="BB6" s="54"/>
      <c r="BC6" s="54"/>
    </row>
    <row r="7" spans="1:55" s="13" customFormat="1" ht="27">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T7" s="22"/>
      <c r="AU7" s="54"/>
      <c r="AV7" s="54"/>
      <c r="AW7" s="54"/>
      <c r="AX7" s="54"/>
      <c r="AY7" s="54"/>
      <c r="AZ7" s="54"/>
      <c r="BA7" s="54"/>
      <c r="BB7" s="54"/>
      <c r="BC7" s="54"/>
    </row>
    <row r="8" spans="1:55" s="13" customFormat="1" ht="27">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T8" s="22"/>
      <c r="AU8" s="54"/>
      <c r="AV8" s="54"/>
      <c r="AW8" s="54"/>
      <c r="AX8" s="54"/>
      <c r="AY8" s="54"/>
      <c r="AZ8" s="54"/>
      <c r="BA8" s="54"/>
      <c r="BB8" s="54"/>
      <c r="BC8" s="54"/>
    </row>
    <row r="9" spans="1:55">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Q9" s="13"/>
      <c r="AR9" s="13"/>
      <c r="AS9" s="13"/>
    </row>
    <row r="10" spans="1:55" ht="77.650000000000006" customHeight="1">
      <c r="A10" s="726" t="str">
        <f ca="1">Translations!A5</f>
        <v>País / Solicitante:</v>
      </c>
      <c r="B10" s="727"/>
      <c r="C10" s="728"/>
      <c r="D10" s="717" t="str">
        <f>'Overview - Section A'!E5</f>
        <v>Bolivia (Plurinational State)</v>
      </c>
      <c r="E10" s="718"/>
      <c r="F10" s="13"/>
      <c r="G10" s="729" t="str">
        <f ca="1">Translations!A15</f>
        <v>Nombre del Receptor Principal</v>
      </c>
      <c r="H10" s="730"/>
      <c r="I10" s="730"/>
      <c r="J10" s="731"/>
      <c r="K10" s="21"/>
      <c r="L10" s="21"/>
      <c r="M10" s="21"/>
      <c r="N10" s="21"/>
      <c r="O10" s="21"/>
      <c r="P10" s="21"/>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Q10" s="13"/>
      <c r="AR10" s="13"/>
      <c r="AS10" s="13"/>
    </row>
    <row r="11" spans="1:55" ht="69.75" customHeight="1">
      <c r="A11" s="709" t="str">
        <f ca="1">Translations!A6</f>
        <v>Nombre de la Subvención/Nombre de la solicitud de financiamiento</v>
      </c>
      <c r="B11" s="710"/>
      <c r="C11" s="711"/>
      <c r="D11" s="717" t="str">
        <f>'Overview - Section A'!E6</f>
        <v>FR1213-BOL-C</v>
      </c>
      <c r="E11" s="718"/>
      <c r="F11" s="22">
        <v>1</v>
      </c>
      <c r="G11" s="714" t="str">
        <f ca="1">Setup!I15</f>
        <v>United Nations Development Programme</v>
      </c>
      <c r="H11" s="715"/>
      <c r="I11" s="715"/>
      <c r="J11" s="716"/>
      <c r="K11" s="21"/>
      <c r="L11" s="21"/>
      <c r="M11" s="21"/>
      <c r="N11" s="21"/>
      <c r="O11" s="21"/>
      <c r="P11" s="21"/>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Q11" s="13"/>
      <c r="AR11" s="13"/>
      <c r="AS11" s="13"/>
    </row>
    <row r="12" spans="1:55" ht="30" customHeight="1">
      <c r="A12" s="709" t="str">
        <f ca="1">Translations!A7</f>
        <v>Fecha de inicio del programa</v>
      </c>
      <c r="B12" s="710"/>
      <c r="C12" s="711"/>
      <c r="D12" s="717">
        <f>'Overview - Section A'!E7</f>
        <v>44927</v>
      </c>
      <c r="E12" s="718"/>
      <c r="F12" s="22">
        <v>2</v>
      </c>
      <c r="G12" s="714" t="str">
        <f ca="1">Setup!I16</f>
        <v/>
      </c>
      <c r="H12" s="715"/>
      <c r="I12" s="715"/>
      <c r="J12" s="716"/>
      <c r="K12" s="21"/>
      <c r="L12" s="21"/>
      <c r="M12" s="21"/>
      <c r="N12" s="21"/>
      <c r="O12" s="21"/>
      <c r="P12" s="21"/>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Q12" s="13"/>
      <c r="AR12" s="13"/>
      <c r="AS12" s="13"/>
    </row>
    <row r="13" spans="1:55" ht="45" customHeight="1">
      <c r="A13" s="709" t="str">
        <f ca="1">Translations!A8</f>
        <v>Fecha final del programa</v>
      </c>
      <c r="B13" s="710"/>
      <c r="C13" s="711"/>
      <c r="D13" s="717">
        <f>'Overview - Section A'!E8</f>
        <v>46022</v>
      </c>
      <c r="E13" s="718"/>
      <c r="F13" s="22">
        <v>3</v>
      </c>
      <c r="G13" s="714" t="str">
        <f ca="1">Setup!I17</f>
        <v/>
      </c>
      <c r="H13" s="715"/>
      <c r="I13" s="715"/>
      <c r="J13" s="716"/>
      <c r="K13" s="21"/>
      <c r="L13" s="21"/>
      <c r="M13" s="21"/>
      <c r="N13" s="21"/>
      <c r="O13" s="21"/>
      <c r="P13" s="21"/>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Q13" s="13"/>
      <c r="AR13" s="13"/>
      <c r="AS13" s="13"/>
    </row>
    <row r="14" spans="1:55" ht="30" customHeight="1">
      <c r="A14" s="709" t="str">
        <f ca="1">Translations!A9</f>
        <v>Frecuencia del período de reporte programático</v>
      </c>
      <c r="B14" s="710"/>
      <c r="C14" s="711"/>
      <c r="D14" s="712">
        <f>'Overview - Section A'!E9</f>
        <v>12</v>
      </c>
      <c r="E14" s="713"/>
      <c r="F14" s="22">
        <v>4</v>
      </c>
      <c r="G14" s="714" t="str">
        <f ca="1">Setup!I18</f>
        <v/>
      </c>
      <c r="H14" s="715"/>
      <c r="I14" s="715"/>
      <c r="J14" s="716"/>
      <c r="K14" s="21"/>
      <c r="L14" s="21"/>
      <c r="M14" s="21"/>
      <c r="N14" s="21"/>
      <c r="O14" s="21"/>
      <c r="P14" s="21"/>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Q14" s="13"/>
      <c r="AR14" s="13"/>
      <c r="AS14" s="13"/>
    </row>
    <row r="15" spans="1:55" ht="30" customHeight="1">
      <c r="A15" s="709" t="str">
        <f ca="1">Translations!A10</f>
        <v>Fecha de inicio del período de uso de la asignación</v>
      </c>
      <c r="B15" s="710"/>
      <c r="C15" s="711"/>
      <c r="D15" s="717">
        <f>IF('Overview - Section A'!E10&lt;&gt;"",'Overview - Section A'!E10,"")</f>
        <v>44927</v>
      </c>
      <c r="E15" s="718"/>
      <c r="F15" s="22">
        <v>5</v>
      </c>
      <c r="G15" s="714" t="str">
        <f ca="1">Setup!I19</f>
        <v/>
      </c>
      <c r="H15" s="715"/>
      <c r="I15" s="715"/>
      <c r="J15" s="716"/>
      <c r="K15" s="21"/>
      <c r="L15" s="21"/>
      <c r="M15" s="21"/>
      <c r="N15" s="21"/>
      <c r="O15" s="21"/>
      <c r="P15" s="21"/>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Q15" s="13"/>
      <c r="AR15" s="13"/>
      <c r="AS15" s="13"/>
    </row>
    <row r="16" spans="1:55" ht="30" customHeight="1">
      <c r="A16" s="719" t="str">
        <f ca="1">Translations!A11</f>
        <v xml:space="preserve">Fecha de término del período de uso de la asignación </v>
      </c>
      <c r="B16" s="720"/>
      <c r="C16" s="721"/>
      <c r="D16" s="717">
        <f>IF('Overview - Section A'!E11&lt;&gt;"",'Overview - Section A'!E11,"")</f>
        <v>46022</v>
      </c>
      <c r="E16" s="718"/>
      <c r="F16" s="22">
        <v>6</v>
      </c>
      <c r="G16" s="714" t="str">
        <f ca="1">Setup!I20</f>
        <v/>
      </c>
      <c r="H16" s="715"/>
      <c r="I16" s="715"/>
      <c r="J16" s="716"/>
      <c r="K16" s="21"/>
      <c r="L16" s="21"/>
      <c r="M16" s="21"/>
      <c r="N16" s="21"/>
      <c r="O16" s="21"/>
      <c r="P16" s="21"/>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Q16" s="13"/>
      <c r="AR16" s="13"/>
      <c r="AS16" s="13"/>
    </row>
    <row r="17" spans="1:45" ht="27" customHeight="1">
      <c r="A17" s="13"/>
      <c r="B17" s="13"/>
      <c r="C17" s="13"/>
      <c r="D17" s="13"/>
      <c r="E17" s="13"/>
      <c r="F17" s="13"/>
      <c r="G17" s="13"/>
      <c r="H17" s="13"/>
      <c r="I17" s="13"/>
      <c r="J17" s="13"/>
      <c r="K17" s="21"/>
      <c r="L17" s="21"/>
      <c r="M17" s="21"/>
      <c r="N17" s="21"/>
      <c r="O17" s="21"/>
      <c r="P17" s="21"/>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Q17" s="13"/>
      <c r="AR17" s="13"/>
      <c r="AS17" s="13"/>
    </row>
    <row r="18" spans="1:45" ht="27" customHeight="1">
      <c r="A18" s="13"/>
      <c r="B18" s="13"/>
      <c r="C18" s="13"/>
      <c r="D18" s="13"/>
      <c r="E18" s="13"/>
      <c r="F18" s="13"/>
      <c r="G18" s="13"/>
      <c r="H18" s="13"/>
      <c r="I18" s="13"/>
      <c r="J18" s="13"/>
      <c r="K18" s="21"/>
      <c r="L18" s="21"/>
      <c r="M18" s="21"/>
      <c r="N18" s="21"/>
      <c r="O18" s="21"/>
      <c r="P18" s="21"/>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Q18" s="13"/>
      <c r="AR18" s="13"/>
      <c r="AS18" s="13"/>
    </row>
    <row r="19" spans="1:45" ht="27" customHeight="1">
      <c r="A19" s="13"/>
      <c r="B19" s="13"/>
      <c r="C19" s="13"/>
      <c r="D19" s="13"/>
      <c r="E19" s="13"/>
      <c r="F19" s="13"/>
      <c r="G19" s="13"/>
      <c r="H19" s="13"/>
      <c r="I19" s="13"/>
      <c r="J19" s="13"/>
      <c r="K19" s="21"/>
      <c r="L19" s="21"/>
      <c r="M19" s="21"/>
      <c r="N19" s="21"/>
      <c r="O19" s="21"/>
      <c r="P19" s="21"/>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Q19" s="13"/>
      <c r="AR19" s="13"/>
      <c r="AS19" s="13"/>
    </row>
    <row r="20" spans="1:45" ht="27">
      <c r="A20" s="13"/>
      <c r="B20" s="13"/>
      <c r="C20" s="13"/>
      <c r="D20" s="13"/>
      <c r="E20" s="13"/>
      <c r="F20" s="13"/>
      <c r="G20" s="13"/>
      <c r="H20" s="13"/>
      <c r="I20" s="13"/>
      <c r="J20" s="13"/>
      <c r="K20" s="21"/>
      <c r="L20" s="21"/>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Q20" s="13"/>
      <c r="AR20" s="13"/>
      <c r="AS20" s="13"/>
    </row>
    <row r="21" spans="1:45" ht="138" customHeight="1">
      <c r="A21" s="706" t="str">
        <f ca="1">Translations!A17</f>
        <v>Período de reporte</v>
      </c>
      <c r="B21" s="705"/>
      <c r="C21" s="705"/>
      <c r="D21" s="2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Q21" s="13"/>
      <c r="AR21" s="13"/>
      <c r="AS21" s="13"/>
    </row>
    <row r="22" spans="1:45" ht="27">
      <c r="A22" s="707" t="s">
        <v>5549</v>
      </c>
      <c r="B22" s="708"/>
      <c r="C22" s="24" t="s">
        <v>5550</v>
      </c>
      <c r="D22" s="25"/>
      <c r="E22" s="22"/>
      <c r="F22" s="22"/>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Q22" s="13"/>
      <c r="AR22" s="13"/>
      <c r="AS22" s="13"/>
    </row>
    <row r="23" spans="1:45" ht="27" customHeight="1">
      <c r="A23" s="703">
        <f ca="1">IFERROR(IF(INDEX('Overview - Section A'!A$46:A$54,MATCH($D23,'Overview - Section A'!$B$46:$B$54,0))&lt;&gt;0,(INDEX('Overview - Section A'!A$46:A$54,MATCH($D23,'Overview - Section A'!$B$46:$B$54,0))),""),"")</f>
        <v>44927</v>
      </c>
      <c r="B23" s="704"/>
      <c r="C23" s="24">
        <f ca="1">IFERROR(IF(INDEX('Overview - Section A'!E$46:E$54,MATCH($D23,'Overview - Section A'!$B$46:$B$54,0))&lt;&gt;0,(INDEX('Overview - Section A'!E$46:E$54,MATCH($D23,'Overview - Section A'!$B$46:$B$54,0))),""),"")</f>
        <v>45291</v>
      </c>
      <c r="D23" s="25">
        <v>2</v>
      </c>
      <c r="E23" s="22"/>
      <c r="F23" s="22"/>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Q23" s="13"/>
      <c r="AR23" s="13"/>
      <c r="AS23" s="13"/>
    </row>
    <row r="24" spans="1:45" ht="27" customHeight="1">
      <c r="A24" s="703">
        <f ca="1">IFERROR(IF(INDEX('Overview - Section A'!A$46:A$54,MATCH($D24,'Overview - Section A'!$B$46:$B$54,0))&lt;&gt;0,(INDEX('Overview - Section A'!A$46:A$54,MATCH($D24,'Overview - Section A'!$B$46:$B$54,0))),""),"")</f>
        <v>45292</v>
      </c>
      <c r="B24" s="704"/>
      <c r="C24" s="24">
        <f ca="1">IFERROR(IF(INDEX('Overview - Section A'!E$46:E$54,MATCH($D24,'Overview - Section A'!$B$46:$B$54,0))&lt;&gt;0,(INDEX('Overview - Section A'!E$46:E$54,MATCH($D24,'Overview - Section A'!$B$46:$B$54,0))),""),"")</f>
        <v>45657</v>
      </c>
      <c r="D24" s="25">
        <v>3</v>
      </c>
      <c r="E24" s="22"/>
      <c r="F24" s="22"/>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Q24" s="13"/>
      <c r="AR24" s="13"/>
      <c r="AS24" s="13"/>
    </row>
    <row r="25" spans="1:45" ht="27" customHeight="1">
      <c r="A25" s="703">
        <f ca="1">IFERROR(IF(INDEX('Overview - Section A'!A$46:A$54,MATCH($D25,'Overview - Section A'!$B$46:$B$54,0))&lt;&gt;0,(INDEX('Overview - Section A'!A$46:A$54,MATCH($D25,'Overview - Section A'!$B$46:$B$54,0))),""),"")</f>
        <v>45658</v>
      </c>
      <c r="B25" s="704"/>
      <c r="C25" s="24">
        <f ca="1">IFERROR(IF(INDEX('Overview - Section A'!E$46:E$54,MATCH($D25,'Overview - Section A'!$B$46:$B$54,0))&lt;&gt;0,(INDEX('Overview - Section A'!E$46:E$54,MATCH($D25,'Overview - Section A'!$B$46:$B$54,0))),""),"")</f>
        <v>46022</v>
      </c>
      <c r="D25" s="25">
        <v>4</v>
      </c>
      <c r="E25" s="22"/>
      <c r="F25" s="22"/>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Q25" s="13"/>
      <c r="AR25" s="13"/>
      <c r="AS25" s="13"/>
    </row>
    <row r="26" spans="1:45" ht="27" customHeight="1">
      <c r="A26" s="703">
        <f ca="1">IFERROR(IF(INDEX('Overview - Section A'!A$46:A$54,MATCH($D26,'Overview - Section A'!$B$46:$B$54,0))&lt;&gt;0,(INDEX('Overview - Section A'!A$46:A$54,MATCH($D26,'Overview - Section A'!$B$46:$B$54,0))),""),"")</f>
        <v>46023</v>
      </c>
      <c r="B26" s="704"/>
      <c r="C26" s="24">
        <f ca="1">IFERROR(IF(INDEX('Overview - Section A'!E$46:E$54,MATCH($D26,'Overview - Section A'!$B$46:$B$54,0))&lt;&gt;0,(INDEX('Overview - Section A'!E$46:E$54,MATCH($D26,'Overview - Section A'!$B$46:$B$54,0))),""),"")</f>
        <v>46387</v>
      </c>
      <c r="D26" s="25">
        <v>5</v>
      </c>
      <c r="E26" s="22"/>
      <c r="F26" s="22"/>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Q26" s="13"/>
      <c r="AR26" s="13"/>
      <c r="AS26" s="13"/>
    </row>
    <row r="27" spans="1:45" ht="27" customHeight="1">
      <c r="A27" s="703">
        <f ca="1">IFERROR(IF(INDEX('Overview - Section A'!A$46:A$54,MATCH($D27,'Overview - Section A'!$B$46:$B$54,0))&lt;&gt;0,(INDEX('Overview - Section A'!A$46:A$54,MATCH($D27,'Overview - Section A'!$B$46:$B$54,0))),""),"")</f>
        <v>46388</v>
      </c>
      <c r="B27" s="704"/>
      <c r="C27" s="24">
        <f ca="1">IFERROR(IF(INDEX('Overview - Section A'!E$46:E$54,MATCH($D27,'Overview - Section A'!$B$46:$B$54,0))&lt;&gt;0,(INDEX('Overview - Section A'!E$46:E$54,MATCH($D27,'Overview - Section A'!$B$46:$B$54,0))),""),"")</f>
        <v>46752</v>
      </c>
      <c r="D27" s="25">
        <v>6</v>
      </c>
      <c r="E27" s="22"/>
      <c r="F27" s="22"/>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Q27" s="13"/>
      <c r="AR27" s="13"/>
      <c r="AS27" s="13"/>
    </row>
    <row r="28" spans="1:45" ht="27" customHeight="1">
      <c r="A28" s="703">
        <f ca="1">IFERROR(IF(INDEX('Overview - Section A'!A$46:A$54,MATCH($D28,'Overview - Section A'!$B$46:$B$54,0))&lt;&gt;0,(INDEX('Overview - Section A'!A$46:A$54,MATCH($D28,'Overview - Section A'!$B$46:$B$54,0))),""),"")</f>
        <v>46753</v>
      </c>
      <c r="B28" s="704"/>
      <c r="C28" s="24">
        <f ca="1">IFERROR(IF(INDEX('Overview - Section A'!E$46:E$54,MATCH($D28,'Overview - Section A'!$B$46:$B$54,0))&lt;&gt;0,(INDEX('Overview - Section A'!E$46:E$54,MATCH($D28,'Overview - Section A'!$B$46:$B$54,0))),""),"")</f>
        <v>47118</v>
      </c>
      <c r="D28" s="25">
        <v>7</v>
      </c>
      <c r="E28" s="22"/>
      <c r="F28" s="22"/>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Q28" s="13"/>
      <c r="AR28" s="13"/>
      <c r="AS28" s="13"/>
    </row>
    <row r="29" spans="1:45" ht="27" customHeight="1">
      <c r="A29" s="703" t="str">
        <f ca="1">IFERROR(IF(INDEX('Overview - Section A'!A$46:A$54,MATCH($D29,'Overview - Section A'!$B$46:$B$54,0))&lt;&gt;0,(INDEX('Overview - Section A'!A$46:A$54,MATCH($D29,'Overview - Section A'!$B$46:$B$54,0))),""),"")</f>
        <v/>
      </c>
      <c r="B29" s="704"/>
      <c r="C29" s="24" t="str">
        <f ca="1">IFERROR(IF(INDEX('Overview - Section A'!E$46:E$54,MATCH($D29,'Overview - Section A'!$B$46:$B$54,0))&lt;&gt;0,(INDEX('Overview - Section A'!E$46:E$54,MATCH($D29,'Overview - Section A'!$B$46:$B$54,0))),""),"")</f>
        <v/>
      </c>
      <c r="D29" s="25">
        <v>8</v>
      </c>
      <c r="E29" s="22"/>
      <c r="F29" s="22"/>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Q29" s="13"/>
      <c r="AR29" s="13"/>
      <c r="AS29" s="13"/>
    </row>
    <row r="30" spans="1:45" ht="27" customHeight="1">
      <c r="A30" s="703" t="str">
        <f ca="1">IFERROR(IF(INDEX('Overview - Section A'!A$46:A$54,MATCH($D30,'Overview - Section A'!$B$46:$B$54,0))&lt;&gt;0,(INDEX('Overview - Section A'!A$46:A$54,MATCH($D30,'Overview - Section A'!$B$46:$B$54,0))),""),"")</f>
        <v/>
      </c>
      <c r="B30" s="704"/>
      <c r="C30" s="24" t="str">
        <f ca="1">IFERROR(IF(INDEX('Overview - Section A'!E$46:E$54,MATCH($D30,'Overview - Section A'!$B$46:$B$54,0))&lt;&gt;0,(INDEX('Overview - Section A'!E$46:E$54,MATCH($D30,'Overview - Section A'!$B$46:$B$54,0))),""),"")</f>
        <v/>
      </c>
      <c r="D30" s="25">
        <v>9</v>
      </c>
      <c r="E30" s="22"/>
      <c r="F30" s="22"/>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Q30" s="13"/>
      <c r="AR30" s="13"/>
      <c r="AS30" s="13"/>
    </row>
    <row r="31" spans="1:45" ht="23.25">
      <c r="A31" s="23"/>
      <c r="B31" s="26"/>
      <c r="C31" s="26"/>
      <c r="D31" s="26"/>
      <c r="E31" s="27"/>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Q31" s="13"/>
      <c r="AR31" s="13"/>
      <c r="AS31" s="13"/>
    </row>
    <row r="32" spans="1:45" ht="55.3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Q32" s="13"/>
      <c r="AR32" s="13"/>
      <c r="AS32" s="13"/>
    </row>
    <row r="33" spans="1:45" ht="46.5" customHeight="1">
      <c r="A33" s="705" t="str">
        <f ca="1">Translations!A22</f>
        <v xml:space="preserve">Metas </v>
      </c>
      <c r="B33" s="705"/>
      <c r="C33" s="705"/>
      <c r="D33" s="705"/>
      <c r="E33" s="705"/>
      <c r="F33" s="705"/>
      <c r="G33" s="705"/>
      <c r="H33" s="705"/>
      <c r="I33" s="705"/>
      <c r="J33" s="705"/>
      <c r="K33" s="705"/>
      <c r="L33" s="705"/>
      <c r="M33" s="705"/>
      <c r="N33" s="705"/>
      <c r="O33" s="705"/>
      <c r="P33" s="705"/>
      <c r="Q33" s="705"/>
      <c r="R33" s="705"/>
      <c r="S33" s="705"/>
      <c r="T33" s="47"/>
      <c r="U33" s="13"/>
      <c r="V33" s="13"/>
      <c r="W33" s="13"/>
      <c r="X33" s="13"/>
      <c r="Y33" s="13"/>
      <c r="Z33" s="13"/>
      <c r="AA33" s="13"/>
      <c r="AB33" s="13"/>
      <c r="AC33" s="13"/>
      <c r="AD33" s="13"/>
      <c r="AE33" s="13"/>
      <c r="AF33" s="13"/>
      <c r="AG33" s="13"/>
      <c r="AH33" s="13"/>
      <c r="AI33" s="13"/>
      <c r="AJ33" s="13"/>
      <c r="AK33" s="13"/>
      <c r="AL33" s="13"/>
      <c r="AM33" s="13"/>
      <c r="AN33" s="13"/>
      <c r="AO33" s="13"/>
      <c r="AQ33" s="13"/>
      <c r="AR33" s="13"/>
      <c r="AS33" s="13"/>
    </row>
    <row r="34" spans="1:45" ht="49.5" customHeight="1">
      <c r="A34" s="28">
        <v>1</v>
      </c>
      <c r="B34" s="691" t="str">
        <f ca="1">IFERROR(IF(INDEX('Overview - Section A'!$E$59:$E$73,MATCH($A34,'Overview - Section A'!$A$59:$A$73,0))&lt;&gt;0,INDEX('Overview - Section A'!$E$59:$E$73,MATCH($A34,'Overview - Section A'!$A$59:$A$73,0)),""),"")</f>
        <v>Contribuir con la reducción de nuevos casos de VIH/SIDA manteniendo la prevalencia por debajo de 0.30%, con enfoque en las poblaciones clave de mayor prevalencia en Bolivia</v>
      </c>
      <c r="C34" s="692"/>
      <c r="D34" s="692"/>
      <c r="E34" s="692"/>
      <c r="F34" s="692"/>
      <c r="G34" s="692"/>
      <c r="H34" s="692"/>
      <c r="I34" s="692"/>
      <c r="J34" s="692"/>
      <c r="K34" s="692"/>
      <c r="L34" s="692"/>
      <c r="M34" s="692"/>
      <c r="N34" s="692"/>
      <c r="O34" s="692"/>
      <c r="P34" s="692"/>
      <c r="Q34" s="692"/>
      <c r="R34" s="692"/>
      <c r="S34" s="693"/>
      <c r="T34" s="48"/>
      <c r="U34" s="13"/>
      <c r="V34" s="13"/>
      <c r="W34" s="13"/>
      <c r="X34" s="13"/>
      <c r="Y34" s="13"/>
      <c r="Z34" s="13"/>
      <c r="AA34" s="13"/>
      <c r="AB34" s="13"/>
      <c r="AC34" s="13"/>
      <c r="AD34" s="13"/>
      <c r="AE34" s="13"/>
      <c r="AF34" s="13"/>
      <c r="AG34" s="13"/>
      <c r="AH34" s="13"/>
      <c r="AI34" s="13"/>
      <c r="AJ34" s="13"/>
      <c r="AK34" s="13"/>
      <c r="AL34" s="13"/>
      <c r="AM34" s="13"/>
      <c r="AN34" s="13"/>
      <c r="AO34" s="13"/>
      <c r="AQ34" s="13"/>
      <c r="AR34" s="13"/>
      <c r="AS34" s="13"/>
    </row>
    <row r="35" spans="1:45" ht="49.5" customHeight="1">
      <c r="A35" s="28">
        <v>2</v>
      </c>
      <c r="B35" s="691" t="str">
        <f ca="1">IFERROR(IF(INDEX('Overview - Section A'!$E$59:$E$73,MATCH($A35,'Overview - Section A'!$A$59:$A$73,0))&lt;&gt;0,INDEX('Overview - Section A'!$E$59:$E$73,MATCH($A35,'Overview - Section A'!$A$59:$A$73,0)),""),"")</f>
        <v>Reducir la incidencia de la tuberculosis en todas sus formas en 1,5% al 2025.</v>
      </c>
      <c r="C35" s="692"/>
      <c r="D35" s="692"/>
      <c r="E35" s="692"/>
      <c r="F35" s="692"/>
      <c r="G35" s="692"/>
      <c r="H35" s="692"/>
      <c r="I35" s="692"/>
      <c r="J35" s="692"/>
      <c r="K35" s="692"/>
      <c r="L35" s="692"/>
      <c r="M35" s="692"/>
      <c r="N35" s="692"/>
      <c r="O35" s="692"/>
      <c r="P35" s="692"/>
      <c r="Q35" s="692"/>
      <c r="R35" s="692"/>
      <c r="S35" s="693"/>
      <c r="T35" s="48"/>
      <c r="U35" s="13"/>
      <c r="V35" s="13"/>
      <c r="W35" s="13"/>
      <c r="X35" s="13"/>
      <c r="Y35" s="13"/>
      <c r="Z35" s="13"/>
      <c r="AA35" s="13"/>
      <c r="AB35" s="13"/>
      <c r="AC35" s="13"/>
      <c r="AD35" s="13"/>
      <c r="AE35" s="13"/>
      <c r="AF35" s="13"/>
      <c r="AG35" s="13"/>
      <c r="AH35" s="13"/>
      <c r="AI35" s="13"/>
      <c r="AJ35" s="13"/>
      <c r="AK35" s="13"/>
      <c r="AL35" s="13"/>
      <c r="AM35" s="13"/>
      <c r="AN35" s="13"/>
      <c r="AO35" s="13"/>
      <c r="AQ35" s="13"/>
      <c r="AR35" s="13"/>
      <c r="AS35" s="13"/>
    </row>
    <row r="36" spans="1:45" ht="49.5" customHeight="1">
      <c r="A36" s="28">
        <v>3</v>
      </c>
      <c r="B36" s="691" t="str">
        <f ca="1">IFERROR(IF(INDEX('Overview - Section A'!$E$59:$E$73,MATCH($A36,'Overview - Section A'!$A$59:$A$73,0))&lt;&gt;0,INDEX('Overview - Section A'!$E$59:$E$73,MATCH($A36,'Overview - Section A'!$A$59:$A$73,0)),""),"")</f>
        <v/>
      </c>
      <c r="C36" s="692"/>
      <c r="D36" s="692"/>
      <c r="E36" s="692"/>
      <c r="F36" s="692"/>
      <c r="G36" s="692"/>
      <c r="H36" s="692"/>
      <c r="I36" s="692"/>
      <c r="J36" s="692"/>
      <c r="K36" s="692"/>
      <c r="L36" s="692"/>
      <c r="M36" s="692"/>
      <c r="N36" s="692"/>
      <c r="O36" s="692"/>
      <c r="P36" s="692"/>
      <c r="Q36" s="692"/>
      <c r="R36" s="692"/>
      <c r="S36" s="693"/>
      <c r="T36" s="48"/>
      <c r="U36" s="13"/>
      <c r="V36" s="13"/>
      <c r="W36" s="13"/>
      <c r="X36" s="13"/>
      <c r="Y36" s="13"/>
      <c r="Z36" s="13"/>
      <c r="AA36" s="13"/>
      <c r="AB36" s="13"/>
      <c r="AC36" s="13"/>
      <c r="AD36" s="13"/>
      <c r="AE36" s="13"/>
      <c r="AF36" s="13"/>
      <c r="AG36" s="13"/>
      <c r="AH36" s="13"/>
      <c r="AI36" s="13"/>
      <c r="AJ36" s="13"/>
      <c r="AK36" s="13"/>
      <c r="AL36" s="13"/>
      <c r="AM36" s="13"/>
      <c r="AN36" s="13"/>
      <c r="AO36" s="13"/>
      <c r="AQ36" s="13"/>
      <c r="AR36" s="13"/>
      <c r="AS36" s="13"/>
    </row>
    <row r="37" spans="1:45" ht="49.5" customHeight="1">
      <c r="A37" s="28">
        <v>4</v>
      </c>
      <c r="B37" s="691" t="str">
        <f ca="1">IFERROR(IF(INDEX('Overview - Section A'!$E$59:$E$73,MATCH($A37,'Overview - Section A'!$A$59:$A$73,0))&lt;&gt;0,INDEX('Overview - Section A'!$E$59:$E$73,MATCH($A37,'Overview - Section A'!$A$59:$A$73,0)),""),"")</f>
        <v/>
      </c>
      <c r="C37" s="692"/>
      <c r="D37" s="692"/>
      <c r="E37" s="692"/>
      <c r="F37" s="692"/>
      <c r="G37" s="692"/>
      <c r="H37" s="692"/>
      <c r="I37" s="692"/>
      <c r="J37" s="692"/>
      <c r="K37" s="692"/>
      <c r="L37" s="692"/>
      <c r="M37" s="692"/>
      <c r="N37" s="692"/>
      <c r="O37" s="692"/>
      <c r="P37" s="692"/>
      <c r="Q37" s="692"/>
      <c r="R37" s="692"/>
      <c r="S37" s="693"/>
      <c r="T37" s="48"/>
      <c r="U37" s="13"/>
      <c r="V37" s="13"/>
      <c r="W37" s="13"/>
      <c r="X37" s="13"/>
      <c r="Y37" s="13"/>
      <c r="Z37" s="13"/>
      <c r="AA37" s="13"/>
      <c r="AB37" s="13"/>
      <c r="AC37" s="13"/>
      <c r="AD37" s="13"/>
      <c r="AE37" s="13"/>
      <c r="AF37" s="13"/>
      <c r="AG37" s="13"/>
      <c r="AH37" s="13"/>
      <c r="AI37" s="13"/>
      <c r="AJ37" s="13"/>
      <c r="AK37" s="13"/>
      <c r="AL37" s="13"/>
      <c r="AM37" s="13"/>
      <c r="AN37" s="13"/>
      <c r="AO37" s="13"/>
      <c r="AQ37" s="13"/>
      <c r="AR37" s="13"/>
      <c r="AS37" s="13"/>
    </row>
    <row r="38" spans="1:45" ht="49.5" customHeight="1">
      <c r="A38" s="28">
        <v>5</v>
      </c>
      <c r="B38" s="691" t="str">
        <f ca="1">IFERROR(IF(INDEX('Overview - Section A'!$E$59:$E$73,MATCH($A38,'Overview - Section A'!$A$59:$A$73,0))&lt;&gt;0,INDEX('Overview - Section A'!$E$59:$E$73,MATCH($A38,'Overview - Section A'!$A$59:$A$73,0)),""),"")</f>
        <v/>
      </c>
      <c r="C38" s="692"/>
      <c r="D38" s="692"/>
      <c r="E38" s="692"/>
      <c r="F38" s="692"/>
      <c r="G38" s="692"/>
      <c r="H38" s="692"/>
      <c r="I38" s="692"/>
      <c r="J38" s="692"/>
      <c r="K38" s="692"/>
      <c r="L38" s="692"/>
      <c r="M38" s="692"/>
      <c r="N38" s="692"/>
      <c r="O38" s="692"/>
      <c r="P38" s="692"/>
      <c r="Q38" s="692"/>
      <c r="R38" s="692"/>
      <c r="S38" s="693"/>
      <c r="T38" s="48"/>
      <c r="U38" s="13"/>
      <c r="V38" s="13"/>
      <c r="W38" s="13"/>
      <c r="X38" s="13"/>
      <c r="Y38" s="13"/>
      <c r="Z38" s="13"/>
      <c r="AA38" s="13"/>
      <c r="AB38" s="13"/>
      <c r="AC38" s="13"/>
      <c r="AD38" s="13"/>
      <c r="AE38" s="13"/>
      <c r="AF38" s="13"/>
      <c r="AG38" s="13"/>
      <c r="AH38" s="13"/>
      <c r="AI38" s="13"/>
      <c r="AJ38" s="13"/>
      <c r="AK38" s="13"/>
      <c r="AL38" s="13"/>
      <c r="AM38" s="13"/>
      <c r="AN38" s="13"/>
      <c r="AO38" s="13"/>
      <c r="AQ38" s="13"/>
      <c r="AR38" s="13"/>
      <c r="AS38" s="13"/>
    </row>
    <row r="39" spans="1:45" ht="49.5" customHeight="1">
      <c r="A39" s="28">
        <v>6</v>
      </c>
      <c r="B39" s="691" t="str">
        <f ca="1">IFERROR(IF(INDEX('Overview - Section A'!$E$59:$E$73,MATCH($A39,'Overview - Section A'!$A$59:$A$73,0))&lt;&gt;0,INDEX('Overview - Section A'!$E$59:$E$73,MATCH($A39,'Overview - Section A'!$A$59:$A$73,0)),""),"")</f>
        <v/>
      </c>
      <c r="C39" s="692"/>
      <c r="D39" s="692"/>
      <c r="E39" s="692"/>
      <c r="F39" s="692"/>
      <c r="G39" s="692"/>
      <c r="H39" s="692"/>
      <c r="I39" s="692"/>
      <c r="J39" s="692"/>
      <c r="K39" s="692"/>
      <c r="L39" s="692"/>
      <c r="M39" s="692"/>
      <c r="N39" s="692"/>
      <c r="O39" s="692"/>
      <c r="P39" s="692"/>
      <c r="Q39" s="692"/>
      <c r="R39" s="692"/>
      <c r="S39" s="693"/>
      <c r="T39" s="48"/>
      <c r="U39" s="13"/>
      <c r="V39" s="13"/>
      <c r="W39" s="13"/>
      <c r="X39" s="13"/>
      <c r="Y39" s="13"/>
      <c r="Z39" s="13"/>
      <c r="AA39" s="13"/>
      <c r="AB39" s="13"/>
      <c r="AC39" s="13"/>
      <c r="AD39" s="13"/>
      <c r="AE39" s="13"/>
      <c r="AF39" s="13"/>
      <c r="AG39" s="13"/>
      <c r="AH39" s="13"/>
      <c r="AI39" s="13"/>
      <c r="AJ39" s="13"/>
      <c r="AK39" s="13"/>
      <c r="AL39" s="13"/>
      <c r="AM39" s="13"/>
      <c r="AN39" s="13"/>
      <c r="AO39" s="13"/>
      <c r="AQ39" s="13"/>
      <c r="AR39" s="13"/>
      <c r="AS39" s="13"/>
    </row>
    <row r="40" spans="1:45" ht="49.5" customHeight="1">
      <c r="A40" s="28">
        <v>7</v>
      </c>
      <c r="B40" s="691" t="str">
        <f ca="1">IFERROR(IF(INDEX('Overview - Section A'!$E$59:$E$73,MATCH($A40,'Overview - Section A'!$A$59:$A$73,0))&lt;&gt;0,INDEX('Overview - Section A'!$E$59:$E$73,MATCH($A40,'Overview - Section A'!$A$59:$A$73,0)),""),"")</f>
        <v/>
      </c>
      <c r="C40" s="692"/>
      <c r="D40" s="692"/>
      <c r="E40" s="692"/>
      <c r="F40" s="692"/>
      <c r="G40" s="692"/>
      <c r="H40" s="692"/>
      <c r="I40" s="692"/>
      <c r="J40" s="692"/>
      <c r="K40" s="692"/>
      <c r="L40" s="692"/>
      <c r="M40" s="692"/>
      <c r="N40" s="692"/>
      <c r="O40" s="692"/>
      <c r="P40" s="692"/>
      <c r="Q40" s="692"/>
      <c r="R40" s="692"/>
      <c r="S40" s="693"/>
      <c r="T40" s="48"/>
      <c r="U40" s="13"/>
      <c r="V40" s="13"/>
      <c r="W40" s="13"/>
      <c r="X40" s="13"/>
      <c r="Y40" s="13"/>
      <c r="Z40" s="13"/>
      <c r="AA40" s="13"/>
      <c r="AB40" s="13"/>
      <c r="AC40" s="13"/>
      <c r="AD40" s="13"/>
      <c r="AE40" s="13"/>
      <c r="AF40" s="13"/>
      <c r="AG40" s="13"/>
      <c r="AH40" s="13"/>
      <c r="AI40" s="13"/>
      <c r="AJ40" s="13"/>
      <c r="AK40" s="13"/>
      <c r="AL40" s="13"/>
      <c r="AM40" s="13"/>
      <c r="AN40" s="13"/>
      <c r="AO40" s="13"/>
      <c r="AQ40" s="13"/>
      <c r="AR40" s="13"/>
      <c r="AS40" s="13"/>
    </row>
    <row r="41" spans="1:45" ht="49.5" customHeight="1">
      <c r="A41" s="28">
        <v>8</v>
      </c>
      <c r="B41" s="691" t="str">
        <f ca="1">IFERROR(IF(INDEX('Overview - Section A'!$E$59:$E$73,MATCH($A41,'Overview - Section A'!$A$59:$A$73,0))&lt;&gt;0,INDEX('Overview - Section A'!$E$59:$E$73,MATCH($A41,'Overview - Section A'!$A$59:$A$73,0)),""),"")</f>
        <v/>
      </c>
      <c r="C41" s="692"/>
      <c r="D41" s="692"/>
      <c r="E41" s="692"/>
      <c r="F41" s="692"/>
      <c r="G41" s="692"/>
      <c r="H41" s="692"/>
      <c r="I41" s="692"/>
      <c r="J41" s="692"/>
      <c r="K41" s="692"/>
      <c r="L41" s="692"/>
      <c r="M41" s="692"/>
      <c r="N41" s="692"/>
      <c r="O41" s="692"/>
      <c r="P41" s="692"/>
      <c r="Q41" s="692"/>
      <c r="R41" s="692"/>
      <c r="S41" s="693"/>
      <c r="T41" s="48"/>
      <c r="U41" s="13"/>
      <c r="V41" s="13"/>
      <c r="W41" s="13"/>
      <c r="X41" s="13"/>
      <c r="Y41" s="13"/>
      <c r="Z41" s="13"/>
      <c r="AA41" s="13"/>
      <c r="AB41" s="13"/>
      <c r="AC41" s="13"/>
      <c r="AD41" s="13"/>
      <c r="AE41" s="13"/>
      <c r="AF41" s="13"/>
      <c r="AG41" s="13"/>
      <c r="AH41" s="13"/>
      <c r="AI41" s="13"/>
      <c r="AJ41" s="13"/>
      <c r="AK41" s="13"/>
      <c r="AL41" s="13"/>
      <c r="AM41" s="13"/>
      <c r="AN41" s="13"/>
      <c r="AO41" s="13"/>
      <c r="AQ41" s="13"/>
      <c r="AR41" s="13"/>
      <c r="AS41" s="13"/>
    </row>
    <row r="42" spans="1:45" ht="49.5" customHeight="1">
      <c r="A42" s="28">
        <v>9</v>
      </c>
      <c r="B42" s="691" t="str">
        <f ca="1">IFERROR(IF(INDEX('Overview - Section A'!$E$59:$E$73,MATCH($A42,'Overview - Section A'!$A$59:$A$73,0))&lt;&gt;0,INDEX('Overview - Section A'!$E$59:$E$73,MATCH($A42,'Overview - Section A'!$A$59:$A$73,0)),""),"")</f>
        <v/>
      </c>
      <c r="C42" s="692"/>
      <c r="D42" s="692"/>
      <c r="E42" s="692"/>
      <c r="F42" s="692"/>
      <c r="G42" s="692"/>
      <c r="H42" s="692"/>
      <c r="I42" s="692"/>
      <c r="J42" s="692"/>
      <c r="K42" s="692"/>
      <c r="L42" s="692"/>
      <c r="M42" s="692"/>
      <c r="N42" s="692"/>
      <c r="O42" s="692"/>
      <c r="P42" s="692"/>
      <c r="Q42" s="692"/>
      <c r="R42" s="692"/>
      <c r="S42" s="693"/>
      <c r="T42" s="48"/>
      <c r="U42" s="13"/>
      <c r="V42" s="13"/>
      <c r="W42" s="13"/>
      <c r="X42" s="13"/>
      <c r="Y42" s="13"/>
      <c r="Z42" s="13"/>
      <c r="AA42" s="13"/>
      <c r="AB42" s="13"/>
      <c r="AC42" s="13"/>
      <c r="AD42" s="13"/>
      <c r="AE42" s="13"/>
      <c r="AF42" s="13"/>
      <c r="AG42" s="13"/>
      <c r="AH42" s="13"/>
      <c r="AI42" s="13"/>
      <c r="AJ42" s="13"/>
      <c r="AK42" s="13"/>
      <c r="AL42" s="13"/>
      <c r="AM42" s="13"/>
      <c r="AN42" s="13"/>
      <c r="AO42" s="13"/>
      <c r="AQ42" s="13"/>
      <c r="AR42" s="13"/>
      <c r="AS42" s="13"/>
    </row>
    <row r="43" spans="1:45" ht="49.5" customHeight="1">
      <c r="A43" s="28">
        <v>10</v>
      </c>
      <c r="B43" s="691" t="str">
        <f ca="1">IFERROR(IF(INDEX('Overview - Section A'!$E$59:$E$73,MATCH($A43,'Overview - Section A'!$A$59:$A$73,0))&lt;&gt;0,INDEX('Overview - Section A'!$E$59:$E$73,MATCH($A43,'Overview - Section A'!$A$59:$A$73,0)),""),"")</f>
        <v/>
      </c>
      <c r="C43" s="692"/>
      <c r="D43" s="692"/>
      <c r="E43" s="692"/>
      <c r="F43" s="692"/>
      <c r="G43" s="692"/>
      <c r="H43" s="692"/>
      <c r="I43" s="692"/>
      <c r="J43" s="692"/>
      <c r="K43" s="692"/>
      <c r="L43" s="692"/>
      <c r="M43" s="692"/>
      <c r="N43" s="692"/>
      <c r="O43" s="692"/>
      <c r="P43" s="692"/>
      <c r="Q43" s="692"/>
      <c r="R43" s="692"/>
      <c r="S43" s="693"/>
      <c r="T43" s="48"/>
      <c r="U43" s="13"/>
      <c r="V43" s="13"/>
      <c r="W43" s="13"/>
      <c r="X43" s="13"/>
      <c r="Y43" s="13"/>
      <c r="Z43" s="13"/>
      <c r="AA43" s="13"/>
      <c r="AB43" s="13"/>
      <c r="AC43" s="13"/>
      <c r="AD43" s="13"/>
      <c r="AE43" s="13"/>
      <c r="AF43" s="13"/>
      <c r="AG43" s="13"/>
      <c r="AH43" s="13"/>
      <c r="AI43" s="13"/>
      <c r="AJ43" s="13"/>
      <c r="AK43" s="13"/>
      <c r="AL43" s="13"/>
      <c r="AM43" s="13"/>
      <c r="AN43" s="13"/>
      <c r="AO43" s="13"/>
      <c r="AQ43" s="13"/>
      <c r="AR43" s="13"/>
      <c r="AS43" s="13"/>
    </row>
    <row r="44" spans="1:45" ht="49.5" customHeight="1">
      <c r="A44" s="28">
        <v>11</v>
      </c>
      <c r="B44" s="691" t="str">
        <f ca="1">IFERROR(IF(INDEX('Overview - Section A'!$E$59:$E$73,MATCH($A44,'Overview - Section A'!$A$59:$A$73,0))&lt;&gt;0,INDEX('Overview - Section A'!$E$59:$E$73,MATCH($A44,'Overview - Section A'!$A$59:$A$73,0)),""),"")</f>
        <v/>
      </c>
      <c r="C44" s="692"/>
      <c r="D44" s="692"/>
      <c r="E44" s="692"/>
      <c r="F44" s="692"/>
      <c r="G44" s="692"/>
      <c r="H44" s="692"/>
      <c r="I44" s="692"/>
      <c r="J44" s="692"/>
      <c r="K44" s="692"/>
      <c r="L44" s="692"/>
      <c r="M44" s="692"/>
      <c r="N44" s="692"/>
      <c r="O44" s="692"/>
      <c r="P44" s="692"/>
      <c r="Q44" s="692"/>
      <c r="R44" s="692"/>
      <c r="S44" s="693"/>
      <c r="T44" s="48"/>
      <c r="U44" s="13"/>
      <c r="V44" s="13"/>
      <c r="W44" s="13"/>
      <c r="X44" s="13"/>
      <c r="Y44" s="13"/>
      <c r="Z44" s="13"/>
      <c r="AA44" s="13"/>
      <c r="AB44" s="13"/>
      <c r="AC44" s="13"/>
      <c r="AD44" s="13"/>
      <c r="AE44" s="13"/>
      <c r="AF44" s="13"/>
      <c r="AG44" s="13"/>
      <c r="AH44" s="13"/>
      <c r="AI44" s="13"/>
      <c r="AJ44" s="13"/>
      <c r="AK44" s="13"/>
      <c r="AL44" s="13"/>
      <c r="AM44" s="13"/>
      <c r="AN44" s="13"/>
      <c r="AO44" s="13"/>
      <c r="AQ44" s="13"/>
      <c r="AR44" s="13"/>
      <c r="AS44" s="13"/>
    </row>
    <row r="45" spans="1:45" ht="49.5" customHeight="1">
      <c r="A45" s="28">
        <v>12</v>
      </c>
      <c r="B45" s="691" t="str">
        <f ca="1">IFERROR(IF(INDEX('Overview - Section A'!$E$59:$E$73,MATCH($A45,'Overview - Section A'!$A$59:$A$73,0))&lt;&gt;0,INDEX('Overview - Section A'!$E$59:$E$73,MATCH($A45,'Overview - Section A'!$A$59:$A$73,0)),""),"")</f>
        <v/>
      </c>
      <c r="C45" s="692"/>
      <c r="D45" s="692"/>
      <c r="E45" s="692"/>
      <c r="F45" s="692"/>
      <c r="G45" s="692"/>
      <c r="H45" s="692"/>
      <c r="I45" s="692"/>
      <c r="J45" s="692"/>
      <c r="K45" s="692"/>
      <c r="L45" s="692"/>
      <c r="M45" s="692"/>
      <c r="N45" s="692"/>
      <c r="O45" s="692"/>
      <c r="P45" s="692"/>
      <c r="Q45" s="692"/>
      <c r="R45" s="692"/>
      <c r="S45" s="693"/>
      <c r="T45" s="48"/>
      <c r="U45" s="13"/>
      <c r="V45" s="13"/>
      <c r="W45" s="13"/>
      <c r="X45" s="13"/>
      <c r="Y45" s="13"/>
      <c r="Z45" s="13"/>
      <c r="AA45" s="13"/>
      <c r="AB45" s="13"/>
      <c r="AC45" s="13"/>
      <c r="AD45" s="13"/>
      <c r="AE45" s="13"/>
      <c r="AF45" s="13"/>
      <c r="AG45" s="13"/>
      <c r="AH45" s="13"/>
      <c r="AI45" s="13"/>
      <c r="AJ45" s="13"/>
      <c r="AK45" s="13"/>
      <c r="AL45" s="13"/>
      <c r="AM45" s="13"/>
      <c r="AN45" s="13"/>
      <c r="AO45" s="13"/>
      <c r="AQ45" s="13"/>
      <c r="AR45" s="13"/>
      <c r="AS45" s="13"/>
    </row>
    <row r="46" spans="1:4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Q46" s="13"/>
      <c r="AR46" s="13"/>
      <c r="AS46" s="13"/>
    </row>
    <row r="47" spans="1:4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Q47" s="13"/>
      <c r="AR47" s="13"/>
      <c r="AS47" s="13"/>
    </row>
    <row r="48" spans="1:4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Q48" s="13"/>
      <c r="AR48" s="13"/>
      <c r="AS48" s="13"/>
    </row>
    <row r="49" spans="1:5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Q49" s="13"/>
      <c r="AR49" s="13"/>
      <c r="AS49" s="13"/>
    </row>
    <row r="50" spans="1:55" ht="47.25" customHeight="1">
      <c r="A50" s="658" t="str">
        <f ca="1">Translations!A90</f>
        <v>Indicadores de impacto</v>
      </c>
      <c r="B50" s="659"/>
      <c r="C50" s="659"/>
      <c r="D50" s="659"/>
      <c r="E50" s="659"/>
      <c r="F50" s="659"/>
      <c r="G50" s="659"/>
      <c r="H50" s="659"/>
      <c r="I50" s="659"/>
      <c r="J50" s="659"/>
      <c r="K50" s="659"/>
      <c r="L50" s="659"/>
      <c r="M50" s="659"/>
      <c r="N50" s="659"/>
      <c r="O50" s="659"/>
      <c r="P50" s="659"/>
      <c r="Q50" s="659"/>
      <c r="R50" s="659"/>
      <c r="S50" s="659"/>
      <c r="T50" s="29"/>
      <c r="U50" s="13"/>
      <c r="V50" s="13"/>
      <c r="W50" s="13"/>
      <c r="X50" s="13"/>
      <c r="Y50" s="13"/>
      <c r="Z50" s="13"/>
      <c r="AA50" s="13"/>
      <c r="AB50" s="13"/>
      <c r="AC50" s="13"/>
      <c r="AD50" s="13"/>
      <c r="AE50" s="13"/>
      <c r="AF50" s="13"/>
      <c r="AG50" s="13"/>
      <c r="AH50" s="13"/>
      <c r="AI50" s="13"/>
      <c r="AJ50" s="13"/>
      <c r="AK50" s="13"/>
      <c r="AL50" s="13"/>
      <c r="AM50" s="13"/>
      <c r="AN50" s="13"/>
      <c r="AO50" s="13"/>
      <c r="AQ50" s="13"/>
      <c r="AR50" s="13"/>
      <c r="AS50" s="13"/>
    </row>
    <row r="51" spans="1:5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Q51" s="13"/>
      <c r="AR51" s="13"/>
      <c r="AS51" s="13"/>
    </row>
    <row r="52" spans="1:55" ht="32.1" customHeight="1">
      <c r="A52" s="30"/>
      <c r="B52" s="31"/>
      <c r="C52" s="31"/>
      <c r="D52" s="31"/>
      <c r="E52" s="31"/>
      <c r="F52" s="31"/>
      <c r="G52" s="31"/>
      <c r="H52" s="31"/>
      <c r="I52" s="31"/>
      <c r="J52" s="31"/>
      <c r="K52" s="31"/>
      <c r="L52" s="31"/>
      <c r="M52" s="31"/>
      <c r="N52" s="31"/>
      <c r="O52" s="36"/>
      <c r="P52" s="37">
        <f ca="1">IFERROR(IF(YEAR(INDEX('Overview - Section A'!$A$47:$A$54,MATCH(D23,'Overview - Section A'!$B$47:$B$54,0)))&lt;=YEAR('Overview - Section A'!$E$11),YEAR(INDEX('Overview - Section A'!$A$47:$A$54,MATCH($D$23,'Overview - Section A'!$B$47:$B$54,0))),""),"")</f>
        <v>2023</v>
      </c>
      <c r="Q52" s="37">
        <f ca="1">IFERROR(IF(P52+1&lt;=YEAR('Overview - Section A'!$E$11),P52+1,""),"")</f>
        <v>2024</v>
      </c>
      <c r="R52" s="37">
        <f ca="1">IFERROR(IF(Q52+1&lt;=YEAR('Overview - Section A'!$E$11),Q52+1,""),"")</f>
        <v>2025</v>
      </c>
      <c r="S52" s="37" t="str">
        <f ca="1">IFERROR(IF(R52+1&lt;=YEAR('Overview - Section A'!$E$11),R52+1,""),"")</f>
        <v/>
      </c>
      <c r="T52" s="49"/>
      <c r="U52" s="13"/>
      <c r="V52" s="13"/>
      <c r="W52" s="13"/>
      <c r="X52" s="13"/>
      <c r="Y52" s="13"/>
      <c r="Z52" s="13"/>
      <c r="AA52" s="13"/>
      <c r="AB52" s="13"/>
      <c r="AC52" s="13"/>
      <c r="AD52" s="13"/>
      <c r="AE52" s="13"/>
      <c r="AF52" s="13"/>
      <c r="AG52" s="13"/>
      <c r="AH52" s="13"/>
      <c r="AI52" s="13"/>
      <c r="AJ52" s="13"/>
      <c r="AK52" s="13"/>
      <c r="AL52" s="13"/>
      <c r="AM52" s="13"/>
      <c r="AN52" s="13"/>
      <c r="AO52" s="13"/>
      <c r="AQ52" s="13"/>
      <c r="AR52" s="13"/>
      <c r="AS52" s="13"/>
      <c r="AT52" s="13"/>
      <c r="AU52" s="13"/>
      <c r="AV52" s="13"/>
      <c r="AW52" s="13"/>
      <c r="AX52" s="13"/>
      <c r="AY52" s="13"/>
      <c r="AZ52" s="13"/>
      <c r="BA52" s="13"/>
      <c r="BB52" s="13"/>
      <c r="BC52" s="13"/>
    </row>
    <row r="53" spans="1:55" ht="100.35" customHeight="1">
      <c r="A53" s="32" t="str">
        <f ca="1">Translations!$A$91</f>
        <v>No.</v>
      </c>
      <c r="B53" s="694" t="str">
        <f ca="1">Translations!A38</f>
        <v xml:space="preserve">Indicador estándar </v>
      </c>
      <c r="C53" s="695"/>
      <c r="D53" s="696"/>
      <c r="E53" s="697" t="str">
        <f ca="1">Translations!A92</f>
        <v>Indicador de impacto personalizado</v>
      </c>
      <c r="F53" s="698"/>
      <c r="G53" s="699"/>
      <c r="H53" s="33" t="str">
        <f ca="1">Translations!A93</f>
        <v>Valor de línea de base</v>
      </c>
      <c r="I53" s="38" t="str">
        <f ca="1">Translations!A94</f>
        <v>Año y fuente de la línea de base</v>
      </c>
      <c r="J53" s="700" t="str">
        <f ca="1">Translations!A51</f>
        <v>Desagregación requerida</v>
      </c>
      <c r="K53" s="701"/>
      <c r="L53" s="701"/>
      <c r="M53" s="702"/>
      <c r="N53" s="38" t="str">
        <f ca="1">Translations!A52</f>
        <v>Receptor principal responsible</v>
      </c>
      <c r="O53" s="39" t="str">
        <f ca="1">Translations!A53</f>
        <v>País</v>
      </c>
      <c r="P53" s="39" t="str">
        <f ca="1">Translations!$A$95</f>
        <v>Valor de la meta</v>
      </c>
      <c r="Q53" s="39" t="str">
        <f ca="1">Translations!$A$95</f>
        <v>Valor de la meta</v>
      </c>
      <c r="R53" s="39" t="str">
        <f ca="1">Translations!$A$95</f>
        <v>Valor de la meta</v>
      </c>
      <c r="S53" s="39" t="str">
        <f ca="1">Translations!$A$95</f>
        <v>Valor de la meta</v>
      </c>
      <c r="T53" s="50"/>
      <c r="U53" s="13"/>
      <c r="V53" s="13"/>
      <c r="W53" s="13"/>
      <c r="X53" s="13"/>
      <c r="Y53" s="13"/>
      <c r="Z53" s="13"/>
      <c r="AA53" s="13"/>
      <c r="AB53" s="13"/>
      <c r="AC53" s="13"/>
      <c r="AD53" s="13"/>
      <c r="AE53" s="13"/>
      <c r="AF53" s="13"/>
      <c r="AG53" s="13"/>
      <c r="AH53" s="13"/>
      <c r="AI53" s="13"/>
      <c r="AJ53" s="13"/>
      <c r="AK53" s="13"/>
      <c r="AL53" s="13"/>
      <c r="AM53" s="13"/>
      <c r="AN53" s="13"/>
      <c r="AO53" s="13"/>
      <c r="AQ53" s="13"/>
      <c r="AR53" s="13"/>
      <c r="AS53" s="13"/>
      <c r="AT53" s="13"/>
      <c r="AU53" s="13"/>
      <c r="AV53" s="13"/>
      <c r="AW53" s="13"/>
      <c r="AX53" s="13"/>
      <c r="AY53" s="13"/>
      <c r="AZ53" s="13"/>
      <c r="BA53" s="13"/>
      <c r="BB53" s="13"/>
      <c r="BC53" s="13"/>
    </row>
    <row r="54" spans="1:55" s="14" customFormat="1" ht="145.35" customHeight="1">
      <c r="A54" s="618">
        <v>1</v>
      </c>
      <c r="B54" s="634" t="str">
        <f ca="1">IFERROR(IF(INDEX('Impact Indicators - Section B '!B$1:B$82,MATCH($A54,'Impact Indicators - Section B '!$A$1:$A$82,0))&lt;&gt;0,INDEX('Impact Indicators - Section B '!B$1:B$82,MATCH($A54,'Impact Indicators - Section B '!$A$1:$A$82,0)),""),"")</f>
        <v>HIV I-9a⁽ᴹ⁾ Porcentaje de HSH y viven con el VIH</v>
      </c>
      <c r="C54" s="635"/>
      <c r="D54" s="636"/>
      <c r="E54" s="634" t="str">
        <f ca="1">IFERROR(IF(INDEX('Impact Indicators - Section B '!C$1:C$82,MATCH($A54,'Impact Indicators - Section B '!$A$1:$A$82,0))&lt;&gt;0,INDEX('Impact Indicators - Section B '!C$1:C$82,MATCH($A54,'Impact Indicators - Section B '!$A$1:$A$82,0)),""),"")</f>
        <v/>
      </c>
      <c r="F54" s="635"/>
      <c r="G54" s="636"/>
      <c r="H54" s="34" t="str">
        <f ca="1">IFERROR(IF(INDEX('Impact Indicators - Section B '!D$1:D$82,MATCH($A54,'Impact Indicators - Section B '!$A$1:$A$82,0))&lt;&gt;"",FIXED(INDEX('Impact Indicators - Section B '!D$1:D$82,MATCH($A54,'Impact Indicators - Section B '!$A$1:$A$82,0)),4),""),"")&amp;"/"&amp;IFERROR(IF(INDEX('Impact Indicators - Section B '!D$1:D$82,MATCH($A54,'Impact Indicators - Section B '!$A$1:$A$82,0)+1)&lt;&gt;"",FIXED(INDEX('Impact Indicators - Section B '!D$1:D$82,MATCH($A54,'Impact Indicators - Section B '!$A$1:$A$82,0)+1),2),""),"")&amp;CHAR(10)&amp;IFERROR(IF(INDEX('Impact Indicators - Section B '!E$1:E$82,MATCH($A54,'Impact Indicators - Section B '!$A$1:$A$82,0))&lt;&gt;"",FIXED(INDEX('Impact Indicators - Section B '!E$1:E$82,MATCH($A54,'Impact Indicators - Section B '!$A$1:$A$82,0))*100,2)&amp;"%",""),"")</f>
        <v>/
25.70%</v>
      </c>
      <c r="I54" s="40" t="str">
        <f ca="1">IFERROR(IF(INDEX('Impact Indicators - Section B '!F$1:F$82,MATCH($A54,'Impact Indicators - Section B '!$A$1:$A$82,0))&lt;&gt;0,INDEX('Impact Indicators - Section B '!F$1:F$82,MATCH($A54,'Impact Indicators - Section B '!$A$1:$A$82,0)),""),"")&amp;CHAR(10)&amp;IFERROR(IF(INDEX('Impact Indicators - Section B '!G$1:G$82,MATCH($A54,'Impact Indicators - Section B '!$A$1:$A$82,0))&lt;&gt;0,INDEX('Impact Indicators - Section B '!G$1:G$82,MATCH($A54,'Impact Indicators - Section B '!$A$1:$A$82,0)),""),"")</f>
        <v>2021
Resultados del Estudio bioconductual en población HSH en 2021</v>
      </c>
      <c r="J54" s="688" t="str">
        <f ca="1">IFERROR(IF(INDEX('Impact Indicators - Section B '!H$1:H$82,MATCH($A54,'Impact Indicators - Section B '!$A$1:$A$82,0))&lt;&gt;0,INDEX('Impact Indicators - Section B '!H$1:H$82,MATCH($A54,'Impact Indicators - Section B '!$A$1:$A$82,0)),""),"")</f>
        <v>Edad</v>
      </c>
      <c r="K54" s="689"/>
      <c r="L54" s="689"/>
      <c r="M54" s="690"/>
      <c r="N54" s="41" t="str">
        <f ca="1">IFERROR(IF(AND('Overview - Section A'!AN$5="Grant Making",OR(B54&lt;&gt;"",E54&lt;&gt;"")),Setup!I15,IF(INDEX('Impact Indicators - Section B '!I$1:I$82,MATCH($A54,'Impact Indicators - Section B '!$A$1:$A$82,0))&lt;&gt;0,INDEX('Impact Indicators - Section B '!I$1:I$82,MATCH($A54,'Impact Indicators - Section B '!$A$1:$A$82,0)),"")),"")</f>
        <v>United Nations Development Programme</v>
      </c>
      <c r="O54" s="40" t="str">
        <f ca="1">IFERROR(IF(INDEX('Impact Indicators - Section B '!J$1:J$82,MATCH($A54,'Impact Indicators - Section B '!$A$1:$A$82,0))&lt;&gt;0,INDEX('Impact Indicators - Section B '!J$1:J$82,MATCH($A54,'Impact Indicators - Section B '!$A$1:$A$82,0)),""),"")</f>
        <v>Bolivia (Plurinational State)</v>
      </c>
      <c r="P54" s="42" t="str">
        <f ca="1">IFERROR(IF(INDEX('Impact Indicators - Section B '!K$1:K$82,MATCH($A54,'Impact Indicators - Section B '!$A$1:$A$82,0))&lt;&gt;"",FIXED(INDEX('Impact Indicators - Section B '!K$1:K$82,MATCH($A54,'Impact Indicators - Section B '!$A$1:$A$82,0)),4),""),"")&amp;"/"&amp;IFERROR(IF(INDEX('Impact Indicators - Section B '!K$1:K$82,MATCH($A54,'Impact Indicators - Section B '!$A$1:$A$82,0)+1)&lt;&gt;"",FIXED(INDEX('Impact Indicators - Section B '!K$1:K$82,MATCH($A54,'Impact Indicators - Section B '!$A$1:$A$82,0)+1),2),""),"")&amp;CHAR(10)&amp;IFERROR(IF(INDEX('Impact Indicators - Section B '!L$1:L$82,MATCH($A54,'Impact Indicators - Section B '!$A$1:$A$82,0))&lt;&gt;"",FIXED(INDEX('Impact Indicators - Section B '!L$1:L$82,MATCH($A54,'Impact Indicators - Section B '!$A$1:$A$82,0))*100,2)&amp;"%",""),"")&amp;CHAR(10)&amp;IFERROR(IF(INDEX('Impact Indicators - Section B '!N$1:N$82,MATCH($A54,'Impact Indicators - Section B '!$A$1:$A$82,0))&lt;&gt;"",INDEX('Impact Indicators - Section B '!N$1:N$82,MATCH($A54,'Impact Indicators - Section B '!$A$1:$A$82,0)),""),"")&amp;CHAR(10)&amp;IFERROR(IF(INDEX('Impact Indicators - Section B '!M$1:M$82,MATCH($A54,'Impact Indicators - Section B '!$A$1:$A$82,0))&lt;&gt;"",TEXT(INDEX('Impact Indicators - Section B '!M$1:M$82,MATCH($A54,'Impact Indicators - Section B '!$A$1:$A$82,0)),Setup!$A$33),""),"")</f>
        <v xml:space="preserve">/
</v>
      </c>
      <c r="Q54" s="42" t="str">
        <f ca="1">IFERROR(IF(INDEX('Impact Indicators - Section B '!O$1:O$82,MATCH($A54,'Impact Indicators - Section B '!$A$1:$A$82,0))&lt;&gt;"",FIXED(INDEX('Impact Indicators - Section B '!O$1:O$82,MATCH($A54,'Impact Indicators - Section B '!$A$1:$A$82,0)),4),""),"")&amp;"/"&amp;IFERROR(IF(INDEX('Impact Indicators - Section B '!O$1:O$82,MATCH($A54,'Impact Indicators - Section B '!$A$1:$A$82,0)+1)&lt;&gt;"",FIXED(INDEX('Impact Indicators - Section B '!O$1:O$82,MATCH($A54,'Impact Indicators - Section B '!$A$1:$A$82,0)+1),2),""),"")&amp;CHAR(10)&amp;IFERROR(IF(INDEX('Impact Indicators - Section B '!P$1:P$82,MATCH($A54,'Impact Indicators - Section B '!$A$1:$A$82,0))&lt;&gt;"",FIXED(INDEX('Impact Indicators - Section B '!P$1:P$82,MATCH($A54,'Impact Indicators - Section B '!$A$1:$A$82,0))*100,2)&amp;"%",""),"")&amp;CHAR(10)&amp;IFERROR(IF(INDEX('Impact Indicators - Section B '!R$1:R$82,MATCH($A54,'Impact Indicators - Section B '!$A$1:$A$82,0))&lt;&gt;"",INDEX('Impact Indicators - Section B '!R$1:R$82,MATCH($A54,'Impact Indicators - Section B '!$A$1:$A$82,0)),""),"")&amp;CHAR(10)&amp;IFERROR(IF(INDEX('Impact Indicators - Section B '!Q$1:Q$82,MATCH($A54,'Impact Indicators - Section B '!$A$1:$A$82,0))&lt;&gt;"",TEXT(INDEX('Impact Indicators - Section B '!Q$1:Q$82,MATCH($A54,'Impact Indicators - Section B '!$A$1:$A$82,0)),Setup!$A$33),""),"")</f>
        <v xml:space="preserve">/
</v>
      </c>
      <c r="R54" s="42" t="str">
        <f ca="1">IFERROR(IF(INDEX('Impact Indicators - Section B '!S$1:S$82,MATCH($A54,'Impact Indicators - Section B '!$A$1:$A$82,0))&lt;&gt;"",FIXED(INDEX('Impact Indicators - Section B '!S$1:S$82,MATCH($A54,'Impact Indicators - Section B '!$A$1:$A$82,0)),4),""),"")&amp;"/"&amp;IFERROR(IF(INDEX('Impact Indicators - Section B '!S$1:S$82,MATCH($A54,'Impact Indicators - Section B '!$A$1:$A$82,0)+1)&lt;&gt;"",FIXED(INDEX('Impact Indicators - Section B '!S$1:S$82,MATCH($A54,'Impact Indicators - Section B '!$A$1:$A$82,0)+1),2),""),"")&amp;CHAR(10)&amp;IFERROR(IF(INDEX('Impact Indicators - Section B '!T$1:T$82,MATCH($A54,'Impact Indicators - Section B '!$A$1:$A$82,0))&lt;&gt;"",FIXED(INDEX('Impact Indicators - Section B '!T$1:T$82,MATCH($A54,'Impact Indicators - Section B '!$A$1:$A$82,0))*100,2)&amp;"%",""),"")&amp;CHAR(10)&amp;IFERROR(IF(INDEX('Impact Indicators - Section B '!V$1:V$82,MATCH($A54,'Impact Indicators - Section B '!$A$1:$A$82,0))&lt;&gt;"",INDEX('Impact Indicators - Section B '!V$1:V$82,MATCH($A54,'Impact Indicators - Section B '!$A$1:$A$82,0)),""),"")&amp;CHAR(10)&amp;IFERROR(IF(INDEX('Impact Indicators - Section B '!U$1:U$82,MATCH($A54,'Impact Indicators - Section B '!$A$1:$A$82,0))&lt;&gt;"",TEXT(INDEX('Impact Indicators - Section B '!U$1:U$82,MATCH($A54,'Impact Indicators - Section B '!$A$1:$A$82,0)),Setup!$A$33),""),"")</f>
        <v>492.0000/1,650.00
29.82%
31-Dec-25</v>
      </c>
      <c r="S54" s="42" t="str">
        <f ca="1">IFERROR(IF(INDEX('Impact Indicators - Section B '!W$1:W$82,MATCH($A54,'Impact Indicators - Section B '!$A$1:$A$82,0))&lt;&gt;"",FIXED(INDEX('Impact Indicators - Section B '!W$1:W$82,MATCH($A54,'Impact Indicators - Section B '!$A$1:$A$82,0)),4),""),"")&amp;"/"&amp;IFERROR(IF(INDEX('Impact Indicators - Section B '!W$1:W$82,MATCH($A54,'Impact Indicators - Section B '!$A$1:$A$82,0)+1)&lt;&gt;"",FIXED(INDEX('Impact Indicators - Section B '!W$1:W$82,MATCH($A54,'Impact Indicators - Section B '!$A$1:$A$82,0)+1),2),""),"")&amp;CHAR(10)&amp;IFERROR(IF(INDEX('Impact Indicators - Section B '!X$1:X$82,MATCH($A54,'Impact Indicators - Section B '!$A$1:$A$82,0))&lt;&gt;"",FIXED(INDEX('Impact Indicators - Section B '!X$1:X$82,MATCH($A54,'Impact Indicators - Section B '!$A$1:$A$82,0))*100,2)&amp;"%",""),"")&amp;CHAR(10)&amp;IFERROR(IF(INDEX('Impact Indicators - Section B '!Z$1:Z$82,MATCH($A54,'Impact Indicators - Section B '!$A$1:$A$82,0))&lt;&gt;"",INDEX('Impact Indicators - Section B '!Z$1:Z$82,MATCH($A54,'Impact Indicators - Section B '!$A$1:$A$82,0)),""),"")&amp;CHAR(10)&amp;IFERROR(IF(INDEX('Impact Indicators - Section B '!Y$1:Y$82,MATCH($A54,'Impact Indicators - Section B '!$A$1:$A$82,0))&lt;&gt;"",TEXT(INDEX('Impact Indicators - Section B '!Y$1:Y$82,MATCH($A54,'Impact Indicators - Section B '!$A$1:$A$82,0)),Setup!$A$33),""),"")</f>
        <v xml:space="preserve">/
</v>
      </c>
      <c r="T54" s="51"/>
      <c r="U54" s="13"/>
      <c r="V54" s="13"/>
      <c r="W54" s="13"/>
      <c r="X54" s="13"/>
      <c r="Y54" s="13"/>
      <c r="Z54" s="13"/>
      <c r="AA54" s="13"/>
      <c r="AB54" s="13"/>
      <c r="AC54" s="13"/>
      <c r="AD54" s="13"/>
      <c r="AE54" s="13"/>
      <c r="AF54" s="13"/>
      <c r="AG54" s="13"/>
      <c r="AH54" s="13"/>
      <c r="AI54" s="13"/>
      <c r="AJ54" s="13"/>
      <c r="AK54" s="13"/>
      <c r="AL54" s="13"/>
      <c r="AM54" s="13"/>
      <c r="AN54" s="13"/>
      <c r="AO54" s="13" t="str">
        <f ca="1">IFERROR(IF(INDEX('Impact Indicators - Section B '!AA$1:AA$82,MATCH($A54,'Impact Indicators - Section B '!$A$1:$A$82,0))&lt;&gt;0,INDEX('Impact Indicators - Section B '!AA$1:AA$82,MATCH($A54,'Impact Indicators - Section B '!$A$1:$A$82,0)),""),"")</f>
        <v>Línea de Base. Resultados del estudio bio conductual en población HSH en 2021 en Bolivia. (25,7%)
Fuente de información: Informe resultados del estudio bio conductual en población HSH que se realizara la gestión 2025.
Numerador: Número de HSH que dieron positivo en la prueba del VIH.
Denominador: Número de HSH examinados para el VIH.
Método de medición: Estudio bio conductual en población HSH a realizarse la gestión 2025.  
Comentario. La estimación de prevalencia se ha realizado extrapolando la tendencia observada entre los años 2008, 2014, 2017 y 2021. Meta prepuesta 29,82%, se consideró que el estudio alcanzar a 1,650 HSH en el estudio bio conductual. Se reportará este indicador una vez se concluya el mencionado estudio la gestión 2025.</v>
      </c>
      <c r="AP54" s="13"/>
      <c r="AQ54" s="13"/>
      <c r="AR54" s="13"/>
      <c r="AS54" s="13"/>
      <c r="AT54" s="13" t="str">
        <f>CONCATENATE($A54,J$52)</f>
        <v>1</v>
      </c>
      <c r="AU54" s="13" t="str">
        <f>CONCATENATE($A54,O$52)</f>
        <v>1</v>
      </c>
      <c r="AV54" s="13"/>
      <c r="AW54" s="13" t="str">
        <f>CONCATENATE($A54,X$52)</f>
        <v>1</v>
      </c>
      <c r="AX54" s="13" t="str">
        <f>CONCATENATE($A54,AB$52)</f>
        <v>1</v>
      </c>
      <c r="AY54" s="13"/>
      <c r="AZ54" s="13"/>
      <c r="BA54" s="13"/>
      <c r="BB54" s="13"/>
      <c r="BC54" s="55"/>
    </row>
    <row r="55" spans="1:55" s="14" customFormat="1" ht="100.35" customHeight="1">
      <c r="A55" s="618"/>
      <c r="B55" s="666" t="str">
        <f ca="1">IFERROR(IF(INDEX('Impact Indicators - Section B '!AA$1:AA$82,MATCH($A54,'Impact Indicators - Section B '!$A$1:$A$82,0))&lt;&gt;0,INDEX('Impact Indicators - Section B '!AA$1:AA$82,MATCH($A54,'Impact Indicators - Section B '!$A$1:$A$82,0)),""),"")</f>
        <v>Línea de Base. Resultados del estudio bio conductual en población HSH en 2021 en Bolivia. (25,7%)
Fuente de información: Informe resultados del estudio bio conductual en población HSH que se realizara la gestión 2025.
Numerador: Número de HSH que dieron positivo en la prueba del VIH.
Denominador: Número de HSH examinados para el VIH.
Método de medición: Estudio bio conductual en población HSH a realizarse la gestión 2025.  
Comentario. La estimación de prevalencia se ha realizado extrapolando la tendencia observada entre los años 2008, 2014, 2017 y 2021. Meta prepuesta 29,82%, se consideró que el estudio alcanzar a 1,650 HSH en el estudio bio conductual. Se reportará este indicador una vez se concluya el mencionado estudio la gestión 2025.</v>
      </c>
      <c r="C55" s="667"/>
      <c r="D55" s="667"/>
      <c r="E55" s="667"/>
      <c r="F55" s="667"/>
      <c r="G55" s="667"/>
      <c r="H55" s="667"/>
      <c r="I55" s="667"/>
      <c r="J55" s="667"/>
      <c r="K55" s="667"/>
      <c r="L55" s="667"/>
      <c r="M55" s="667"/>
      <c r="N55" s="667"/>
      <c r="O55" s="667"/>
      <c r="P55" s="667"/>
      <c r="Q55" s="667"/>
      <c r="R55" s="667"/>
      <c r="S55" s="668"/>
      <c r="T55" s="52"/>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55"/>
    </row>
    <row r="56" spans="1:55" s="15" customFormat="1" ht="145.35" customHeight="1">
      <c r="A56" s="619">
        <v>2</v>
      </c>
      <c r="B56" s="627" t="str">
        <f ca="1">IFERROR(IF(INDEX('Impact Indicators - Section B '!B$1:B$82,MATCH($A56,'Impact Indicators - Section B '!$A$1:$A$82,0))&lt;&gt;0,INDEX('Impact Indicators - Section B '!B$1:B$82,MATCH($A56,'Impact Indicators - Section B '!$A$1:$A$82,0)),""),"")</f>
        <v>HIV I-9b⁽ᴹ⁾ Porcentaje de personas transgénero que viven con el VIH</v>
      </c>
      <c r="C56" s="628"/>
      <c r="D56" s="629"/>
      <c r="E56" s="627" t="str">
        <f ca="1">IFERROR(IF(INDEX('Impact Indicators - Section B '!C$1:C$82,MATCH($A56,'Impact Indicators - Section B '!$A$1:$A$82,0))&lt;&gt;0,INDEX('Impact Indicators - Section B '!C$1:C$82,MATCH($A56,'Impact Indicators - Section B '!$A$1:$A$82,0)),""),"")</f>
        <v/>
      </c>
      <c r="F56" s="628"/>
      <c r="G56" s="629"/>
      <c r="H56" s="35" t="str">
        <f ca="1">IFERROR(IF(INDEX('Impact Indicators - Section B '!D$1:D$82,MATCH($A56,'Impact Indicators - Section B '!$A$1:$A$82,0))&lt;&gt;"",FIXED(INDEX('Impact Indicators - Section B '!D$1:D$82,MATCH($A56,'Impact Indicators - Section B '!$A$1:$A$82,0)),4),""),"")&amp;"/"&amp;IFERROR(IF(INDEX('Impact Indicators - Section B '!D$1:D$82,MATCH($A56,'Impact Indicators - Section B '!$A$1:$A$82,0)+1)&lt;&gt;"",FIXED(INDEX('Impact Indicators - Section B '!D$1:D$82,MATCH($A56,'Impact Indicators - Section B '!$A$1:$A$82,0)+1),2),""),"")&amp;CHAR(10)&amp;IFERROR(IF(INDEX('Impact Indicators - Section B '!E$1:E$82,MATCH($A56,'Impact Indicators - Section B '!$A$1:$A$82,0))&lt;&gt;"",FIXED(INDEX('Impact Indicators - Section B '!E$1:E$82,MATCH($A56,'Impact Indicators - Section B '!$A$1:$A$82,0))*100,2)&amp;"%",""),"")</f>
        <v>30.8000/
30.80%</v>
      </c>
      <c r="I56" s="43" t="str">
        <f ca="1">IFERROR(IF(INDEX('Impact Indicators - Section B '!F$1:F$82,MATCH($A56,'Impact Indicators - Section B '!$A$1:$A$82,0))&lt;&gt;0,INDEX('Impact Indicators - Section B '!F$1:F$82,MATCH($A56,'Impact Indicators - Section B '!$A$1:$A$82,0)),""),"")&amp;CHAR(10)&amp;IFERROR(IF(INDEX('Impact Indicators - Section B '!G$1:G$82,MATCH($A56,'Impact Indicators - Section B '!$A$1:$A$82,0))&lt;&gt;0,INDEX('Impact Indicators - Section B '!G$1:G$82,MATCH($A56,'Impact Indicators - Section B '!$A$1:$A$82,0)),""),"")</f>
        <v>2021
Resultados del Estudio bioconductual en población TRANS en 2021</v>
      </c>
      <c r="J56" s="627" t="str">
        <f ca="1">IFERROR(IF(INDEX('Impact Indicators - Section B '!H$1:H$82,MATCH($A56,'Impact Indicators - Section B '!$A$1:$A$82,0))&lt;&gt;0,INDEX('Impact Indicators - Section B '!H$1:H$82,MATCH($A56,'Impact Indicators - Section B '!$A$1:$A$82,0)),""),"")</f>
        <v>Edad</v>
      </c>
      <c r="K56" s="628"/>
      <c r="L56" s="628"/>
      <c r="M56" s="629"/>
      <c r="N56" s="44" t="str">
        <f ca="1">IFERROR(IF(AND('Overview - Section A'!AN$5="Grant Making",OR(B56&lt;&gt;"",E56&lt;&gt;"")),Setup!I15,IF(INDEX('Impact Indicators - Section B '!I$1:I$82,MATCH($A56,'Impact Indicators - Section B '!$A$1:$A$82,0))&lt;&gt;0,INDEX('Impact Indicators - Section B '!I$1:I$82,MATCH($A56,'Impact Indicators - Section B '!$A$1:$A$82,0)),"")),"")</f>
        <v>United Nations Development Programme</v>
      </c>
      <c r="O56" s="43" t="str">
        <f ca="1">IFERROR(IF(INDEX('Impact Indicators - Section B '!J$1:J$82,MATCH($A56,'Impact Indicators - Section B '!$A$1:$A$82,0))&lt;&gt;0,INDEX('Impact Indicators - Section B '!J$1:J$82,MATCH($A56,'Impact Indicators - Section B '!$A$1:$A$82,0)),""),"")</f>
        <v>Bolivia (Plurinational State)</v>
      </c>
      <c r="P56" s="45" t="str">
        <f ca="1">IFERROR(IF(INDEX('Impact Indicators - Section B '!K$1:K$82,MATCH($A56,'Impact Indicators - Section B '!$A$1:$A$82,0))&lt;&gt;"",FIXED(INDEX('Impact Indicators - Section B '!K$1:K$82,MATCH($A56,'Impact Indicators - Section B '!$A$1:$A$82,0)),4),""),"")&amp;"/"&amp;IFERROR(IF(INDEX('Impact Indicators - Section B '!K$1:K$82,MATCH($A56,'Impact Indicators - Section B '!$A$1:$A$82,0)+1)&lt;&gt;"",FIXED(INDEX('Impact Indicators - Section B '!K$1:K$82,MATCH($A56,'Impact Indicators - Section B '!$A$1:$A$82,0)+1),2),""),"")&amp;CHAR(10)&amp;IFERROR(IF(INDEX('Impact Indicators - Section B '!L$1:L$82,MATCH($A56,'Impact Indicators - Section B '!$A$1:$A$82,0))&lt;&gt;"",FIXED(INDEX('Impact Indicators - Section B '!L$1:L$82,MATCH($A56,'Impact Indicators - Section B '!$A$1:$A$82,0))*100,2)&amp;"%",""),"")&amp;CHAR(10)&amp;IFERROR(IF(INDEX('Impact Indicators - Section B '!N$1:N$82,MATCH($A56,'Impact Indicators - Section B '!$A$1:$A$82,0))&lt;&gt;"",INDEX('Impact Indicators - Section B '!N$1:N$82,MATCH($A56,'Impact Indicators - Section B '!$A$1:$A$82,0)),""),"")&amp;CHAR(10)&amp;IFERROR(IF(INDEX('Impact Indicators - Section B '!M$1:M$82,MATCH($A56,'Impact Indicators - Section B '!$A$1:$A$82,0))&lt;&gt;"",TEXT(INDEX('Impact Indicators - Section B '!M$1:M$82,MATCH($A56,'Impact Indicators - Section B '!$A$1:$A$82,0)),Setup!$A$33),""),"")</f>
        <v xml:space="preserve">/
</v>
      </c>
      <c r="Q56" s="45" t="str">
        <f ca="1">IFERROR(IF(INDEX('Impact Indicators - Section B '!O$1:O$82,MATCH($A56,'Impact Indicators - Section B '!$A$1:$A$82,0))&lt;&gt;"",FIXED(INDEX('Impact Indicators - Section B '!O$1:O$82,MATCH($A56,'Impact Indicators - Section B '!$A$1:$A$82,0)),4),""),"")&amp;"/"&amp;IFERROR(IF(INDEX('Impact Indicators - Section B '!O$1:O$82,MATCH($A56,'Impact Indicators - Section B '!$A$1:$A$82,0)+1)&lt;&gt;"",FIXED(INDEX('Impact Indicators - Section B '!O$1:O$82,MATCH($A56,'Impact Indicators - Section B '!$A$1:$A$82,0)+1),2),""),"")&amp;CHAR(10)&amp;IFERROR(IF(INDEX('Impact Indicators - Section B '!P$1:P$82,MATCH($A56,'Impact Indicators - Section B '!$A$1:$A$82,0))&lt;&gt;"",FIXED(INDEX('Impact Indicators - Section B '!P$1:P$82,MATCH($A56,'Impact Indicators - Section B '!$A$1:$A$82,0))*100,2)&amp;"%",""),"")&amp;CHAR(10)&amp;IFERROR(IF(INDEX('Impact Indicators - Section B '!R$1:R$82,MATCH($A56,'Impact Indicators - Section B '!$A$1:$A$82,0))&lt;&gt;"",INDEX('Impact Indicators - Section B '!R$1:R$82,MATCH($A56,'Impact Indicators - Section B '!$A$1:$A$82,0)),""),"")&amp;CHAR(10)&amp;IFERROR(IF(INDEX('Impact Indicators - Section B '!Q$1:Q$82,MATCH($A56,'Impact Indicators - Section B '!$A$1:$A$82,0))&lt;&gt;"",TEXT(INDEX('Impact Indicators - Section B '!Q$1:Q$82,MATCH($A56,'Impact Indicators - Section B '!$A$1:$A$82,0)),Setup!$A$33),""),"")</f>
        <v xml:space="preserve">/
</v>
      </c>
      <c r="R56" s="45" t="str">
        <f ca="1">IFERROR(IF(INDEX('Impact Indicators - Section B '!S$1:S$82,MATCH($A56,'Impact Indicators - Section B '!$A$1:$A$82,0))&lt;&gt;"",FIXED(INDEX('Impact Indicators - Section B '!S$1:S$82,MATCH($A56,'Impact Indicators - Section B '!$A$1:$A$82,0)),4),""),"")&amp;"/"&amp;IFERROR(IF(INDEX('Impact Indicators - Section B '!S$1:S$82,MATCH($A56,'Impact Indicators - Section B '!$A$1:$A$82,0)+1)&lt;&gt;"",FIXED(INDEX('Impact Indicators - Section B '!S$1:S$82,MATCH($A56,'Impact Indicators - Section B '!$A$1:$A$82,0)+1),2),""),"")&amp;CHAR(10)&amp;IFERROR(IF(INDEX('Impact Indicators - Section B '!T$1:T$82,MATCH($A56,'Impact Indicators - Section B '!$A$1:$A$82,0))&lt;&gt;"",FIXED(INDEX('Impact Indicators - Section B '!T$1:T$82,MATCH($A56,'Impact Indicators - Section B '!$A$1:$A$82,0))*100,2)&amp;"%",""),"")&amp;CHAR(10)&amp;IFERROR(IF(INDEX('Impact Indicators - Section B '!V$1:V$82,MATCH($A56,'Impact Indicators - Section B '!$A$1:$A$82,0))&lt;&gt;"",INDEX('Impact Indicators - Section B '!V$1:V$82,MATCH($A56,'Impact Indicators - Section B '!$A$1:$A$82,0)),""),"")&amp;CHAR(10)&amp;IFERROR(IF(INDEX('Impact Indicators - Section B '!U$1:U$82,MATCH($A56,'Impact Indicators - Section B '!$A$1:$A$82,0))&lt;&gt;"",TEXT(INDEX('Impact Indicators - Section B '!U$1:U$82,MATCH($A56,'Impact Indicators - Section B '!$A$1:$A$82,0)),Setup!$A$33),""),"")</f>
        <v>180.0000/520.00
34.62%
31-Dec-25</v>
      </c>
      <c r="S56" s="45" t="str">
        <f ca="1">IFERROR(IF(INDEX('Impact Indicators - Section B '!W$1:W$82,MATCH($A56,'Impact Indicators - Section B '!$A$1:$A$82,0))&lt;&gt;"",FIXED(INDEX('Impact Indicators - Section B '!W$1:W$82,MATCH($A56,'Impact Indicators - Section B '!$A$1:$A$82,0)),4),""),"")&amp;"/"&amp;IFERROR(IF(INDEX('Impact Indicators - Section B '!W$1:W$82,MATCH($A56,'Impact Indicators - Section B '!$A$1:$A$82,0)+1)&lt;&gt;"",FIXED(INDEX('Impact Indicators - Section B '!W$1:W$82,MATCH($A56,'Impact Indicators - Section B '!$A$1:$A$82,0)+1),2),""),"")&amp;CHAR(10)&amp;IFERROR(IF(INDEX('Impact Indicators - Section B '!X$1:X$82,MATCH($A56,'Impact Indicators - Section B '!$A$1:$A$82,0))&lt;&gt;"",FIXED(INDEX('Impact Indicators - Section B '!X$1:X$82,MATCH($A56,'Impact Indicators - Section B '!$A$1:$A$82,0))*100,2)&amp;"%",""),"")&amp;CHAR(10)&amp;IFERROR(IF(INDEX('Impact Indicators - Section B '!Z$1:Z$82,MATCH($A56,'Impact Indicators - Section B '!$A$1:$A$82,0))&lt;&gt;"",INDEX('Impact Indicators - Section B '!Z$1:Z$82,MATCH($A56,'Impact Indicators - Section B '!$A$1:$A$82,0)),""),"")&amp;CHAR(10)&amp;IFERROR(IF(INDEX('Impact Indicators - Section B '!Y$1:Y$82,MATCH($A56,'Impact Indicators - Section B '!$A$1:$A$82,0))&lt;&gt;"",TEXT(INDEX('Impact Indicators - Section B '!Y$1:Y$82,MATCH($A56,'Impact Indicators - Section B '!$A$1:$A$82,0)),Setup!$A$33),""),"")</f>
        <v xml:space="preserve">/
</v>
      </c>
      <c r="T56" s="53"/>
      <c r="U56" s="13"/>
      <c r="V56" s="13"/>
      <c r="W56" s="13"/>
      <c r="X56" s="13"/>
      <c r="Y56" s="13"/>
      <c r="Z56" s="13"/>
      <c r="AA56" s="13"/>
      <c r="AB56" s="13"/>
      <c r="AC56" s="13"/>
      <c r="AD56" s="13"/>
      <c r="AE56" s="13"/>
      <c r="AF56" s="13"/>
      <c r="AG56" s="13"/>
      <c r="AH56" s="13"/>
      <c r="AI56" s="13"/>
      <c r="AJ56" s="13"/>
      <c r="AK56" s="13"/>
      <c r="AL56" s="13"/>
      <c r="AM56" s="13"/>
      <c r="AN56" s="13"/>
      <c r="AO56" s="13" t="str">
        <f ca="1">IFERROR(IF(INDEX('Impact Indicators - Section B '!AA$1:AA$82,MATCH($A56,'Impact Indicators - Section B '!$A$1:$A$82,0))&lt;&gt;0,INDEX('Impact Indicators - Section B '!AA$1:AA$82,MATCH($A56,'Impact Indicators - Section B '!$A$1:$A$82,0)),""),"")</f>
        <v>Línea de Base. Resultados del estudio bio conductual en población Trans en 2021 en Bolivia. (30,8%)
Fuente de información: Informe resultados del estudio bio conductual en población Trans que se realizará la gestión 2025.
Método de medición: Estudio bio conductual en población trans realizarse la gestión 2025.  
Numerador: Número de Trans que dieron positivo en la prueba del VIH.
Denominador: Número de Trans examinados para el VIH.
Comentario. La estimación de prevalencia se ha realizado extrapolando la tendencia observada entre los años 2012, 2017 y 2021. Meta propuesta 34.62 %. Se consideró que el estudio alcanzará a 520 Trans en el estudio bio conductual. Se espera reportar el dato una vez se concluya el mencionado estudio.</v>
      </c>
      <c r="AP56" s="13"/>
      <c r="AQ56" s="13"/>
      <c r="AR56" s="13"/>
      <c r="AS56" s="13"/>
      <c r="AT56" s="13" t="str">
        <f>CONCATENATE($A56,J$52)</f>
        <v>2</v>
      </c>
      <c r="AU56" s="13" t="str">
        <f>CONCATENATE($A56,O$52)</f>
        <v>2</v>
      </c>
      <c r="AV56" s="13"/>
      <c r="AW56" s="13" t="str">
        <f>CONCATENATE($A56,X$52)</f>
        <v>2</v>
      </c>
      <c r="AX56" s="13" t="str">
        <f>CONCATENATE($A56,AB$52)</f>
        <v>2</v>
      </c>
      <c r="AY56" s="13"/>
      <c r="AZ56" s="13"/>
      <c r="BA56" s="13"/>
      <c r="BB56" s="13"/>
      <c r="BC56" s="56"/>
    </row>
    <row r="57" spans="1:55" s="15" customFormat="1" ht="100.35" customHeight="1">
      <c r="A57" s="619"/>
      <c r="B57" s="630" t="str">
        <f ca="1">IFERROR(IF(INDEX('Impact Indicators - Section B '!AA$1:AA$82,MATCH($A56,'Impact Indicators - Section B '!$A$1:$A$82,0))&lt;&gt;0,INDEX('Impact Indicators - Section B '!AA$1:AA$82,MATCH($A56,'Impact Indicators - Section B '!$A$1:$A$82,0)),""),"")</f>
        <v>Línea de Base. Resultados del estudio bio conductual en población Trans en 2021 en Bolivia. (30,8%)
Fuente de información: Informe resultados del estudio bio conductual en población Trans que se realizará la gestión 2025.
Método de medición: Estudio bio conductual en población trans realizarse la gestión 2025.  
Numerador: Número de Trans que dieron positivo en la prueba del VIH.
Denominador: Número de Trans examinados para el VIH.
Comentario. La estimación de prevalencia se ha realizado extrapolando la tendencia observada entre los años 2012, 2017 y 2021. Meta propuesta 34.62 %. Se consideró que el estudio alcanzará a 520 Trans en el estudio bio conductual. Se espera reportar el dato una vez se concluya el mencionado estudio.</v>
      </c>
      <c r="C57" s="631"/>
      <c r="D57" s="631"/>
      <c r="E57" s="631"/>
      <c r="F57" s="631"/>
      <c r="G57" s="631"/>
      <c r="H57" s="631"/>
      <c r="I57" s="632"/>
      <c r="J57" s="632"/>
      <c r="K57" s="632"/>
      <c r="L57" s="632"/>
      <c r="M57" s="632"/>
      <c r="N57" s="632"/>
      <c r="O57" s="632"/>
      <c r="P57" s="632"/>
      <c r="Q57" s="632"/>
      <c r="R57" s="632"/>
      <c r="S57" s="633"/>
      <c r="T57" s="52"/>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56"/>
    </row>
    <row r="58" spans="1:55" s="14" customFormat="1" ht="145.35" customHeight="1">
      <c r="A58" s="618">
        <v>3</v>
      </c>
      <c r="B58" s="634" t="str">
        <f ca="1">IFERROR(IF(INDEX('Impact Indicators - Section B '!B$1:B$82,MATCH($A58,'Impact Indicators - Section B '!$A$1:$A$82,0))&lt;&gt;0,INDEX('Impact Indicators - Section B '!B$1:B$82,MATCH($A58,'Impact Indicators - Section B '!$A$1:$A$82,0)),""),"")</f>
        <v>TB I-2 Tasa de incidencia de la tuberculosis por 100.000 habitantes.</v>
      </c>
      <c r="C58" s="635"/>
      <c r="D58" s="636"/>
      <c r="E58" s="634" t="str">
        <f ca="1">IFERROR(IF(INDEX('Impact Indicators - Section B '!C$1:C$82,MATCH($A58,'Impact Indicators - Section B '!$A$1:$A$82,0))&lt;&gt;0,INDEX('Impact Indicators - Section B '!C$1:C$82,MATCH($A58,'Impact Indicators - Section B '!$A$1:$A$82,0)),""),"")</f>
        <v/>
      </c>
      <c r="F58" s="635"/>
      <c r="G58" s="636"/>
      <c r="H58" s="34" t="str">
        <f ca="1">IFERROR(IF(INDEX('Impact Indicators - Section B '!D$1:D$82,MATCH($A58,'Impact Indicators - Section B '!$A$1:$A$82,0))&lt;&gt;"",FIXED(INDEX('Impact Indicators - Section B '!D$1:D$82,MATCH($A58,'Impact Indicators - Section B '!$A$1:$A$82,0)),4),""),"")&amp;"/"&amp;IFERROR(IF(INDEX('Impact Indicators - Section B '!D$1:D$82,MATCH($A58,'Impact Indicators - Section B '!$A$1:$A$82,0)+1)&lt;&gt;"",FIXED(INDEX('Impact Indicators - Section B '!D$1:D$82,MATCH($A58,'Impact Indicators - Section B '!$A$1:$A$82,0)+1),2),""),"")&amp;CHAR(10)&amp;IFERROR(IF(INDEX('Impact Indicators - Section B '!E$1:E$82,MATCH($A58,'Impact Indicators - Section B '!$A$1:$A$82,0))&lt;&gt;"",FIXED(INDEX('Impact Indicators - Section B '!E$1:E$82,MATCH($A58,'Impact Indicators - Section B '!$A$1:$A$82,0))*100,2)&amp;"%",""),"")</f>
        <v>7,071.0000/11,841,955.00
5,971.14%</v>
      </c>
      <c r="I58" s="40" t="str">
        <f ca="1">IFERROR(IF(INDEX('Impact Indicators - Section B '!F$1:F$82,MATCH($A58,'Impact Indicators - Section B '!$A$1:$A$82,0))&lt;&gt;0,INDEX('Impact Indicators - Section B '!F$1:F$82,MATCH($A58,'Impact Indicators - Section B '!$A$1:$A$82,0)),""),"")&amp;CHAR(10)&amp;IFERROR(IF(INDEX('Impact Indicators - Section B '!G$1:G$82,MATCH($A58,'Impact Indicators - Section B '!$A$1:$A$82,0))&lt;&gt;0,INDEX('Impact Indicators - Section B '!G$1:G$82,MATCH($A58,'Impact Indicators - Section B '!$A$1:$A$82,0)),""),"")</f>
        <v>2021
Reporte de la Unidad de Vigilancia Epidemiológica - Componente de Tuberculosis - Sistema de R&amp;R TB - Ministerio de Salud y Deportes.</v>
      </c>
      <c r="J58" s="634" t="str">
        <f ca="1">IFERROR(IF(INDEX('Impact Indicators - Section B '!H$1:H$82,MATCH($A58,'Impact Indicators - Section B '!$A$1:$A$82,0))&lt;&gt;0,INDEX('Impact Indicators - Section B '!H$1:H$82,MATCH($A58,'Impact Indicators - Section B '!$A$1:$A$82,0)),""),"")</f>
        <v/>
      </c>
      <c r="K58" s="635"/>
      <c r="L58" s="635"/>
      <c r="M58" s="636"/>
      <c r="N58" s="41" t="str">
        <f ca="1">IFERROR(IF(AND('Overview - Section A'!AN$5="Grant Making",OR(B58&lt;&gt;"",E58&lt;&gt;"")),Setup!I15,IF(INDEX('Impact Indicators - Section B '!I$1:I$82,MATCH($A58,'Impact Indicators - Section B '!$A$1:$A$82,0))&lt;&gt;0,INDEX('Impact Indicators - Section B '!I$1:I$82,MATCH($A58,'Impact Indicators - Section B '!$A$1:$A$82,0)),"")),"")</f>
        <v>United Nations Development Programme</v>
      </c>
      <c r="O58" s="40" t="str">
        <f ca="1">IFERROR(IF(INDEX('Impact Indicators - Section B '!J$1:J$82,MATCH($A58,'Impact Indicators - Section B '!$A$1:$A$82,0))&lt;&gt;0,INDEX('Impact Indicators - Section B '!J$1:J$82,MATCH($A58,'Impact Indicators - Section B '!$A$1:$A$82,0)),""),"")</f>
        <v>Bolivia (Plurinational State)</v>
      </c>
      <c r="P58" s="42" t="str">
        <f ca="1">IFERROR(IF(INDEX('Impact Indicators - Section B '!K$1:K$82,MATCH($A58,'Impact Indicators - Section B '!$A$1:$A$82,0))&lt;&gt;"",FIXED(INDEX('Impact Indicators - Section B '!K$1:K$82,MATCH($A58,'Impact Indicators - Section B '!$A$1:$A$82,0)),4),""),"")&amp;"/"&amp;IFERROR(IF(INDEX('Impact Indicators - Section B '!K$1:K$82,MATCH($A58,'Impact Indicators - Section B '!$A$1:$A$82,0)+1)&lt;&gt;"",FIXED(INDEX('Impact Indicators - Section B '!K$1:K$82,MATCH($A58,'Impact Indicators - Section B '!$A$1:$A$82,0)+1),2),""),"")&amp;CHAR(10)&amp;IFERROR(IF(INDEX('Impact Indicators - Section B '!L$1:L$82,MATCH($A58,'Impact Indicators - Section B '!$A$1:$A$82,0))&lt;&gt;"",FIXED(INDEX('Impact Indicators - Section B '!L$1:L$82,MATCH($A58,'Impact Indicators - Section B '!$A$1:$A$82,0))*100,2)&amp;"%",""),"")&amp;CHAR(10)&amp;IFERROR(IF(INDEX('Impact Indicators - Section B '!N$1:N$82,MATCH($A58,'Impact Indicators - Section B '!$A$1:$A$82,0))&lt;&gt;"",INDEX('Impact Indicators - Section B '!N$1:N$82,MATCH($A58,'Impact Indicators - Section B '!$A$1:$A$82,0)),""),"")&amp;CHAR(10)&amp;IFERROR(IF(INDEX('Impact Indicators - Section B '!M$1:M$82,MATCH($A58,'Impact Indicators - Section B '!$A$1:$A$82,0))&lt;&gt;"",TEXT(INDEX('Impact Indicators - Section B '!M$1:M$82,MATCH($A58,'Impact Indicators - Section B '!$A$1:$A$82,0)),Setup!$A$33),""),"")</f>
        <v>7,800.0000/12,168,501.00
6,409.99%
1-Mar-24</v>
      </c>
      <c r="Q58" s="42" t="str">
        <f ca="1">IFERROR(IF(INDEX('Impact Indicators - Section B '!O$1:O$82,MATCH($A58,'Impact Indicators - Section B '!$A$1:$A$82,0))&lt;&gt;"",FIXED(INDEX('Impact Indicators - Section B '!O$1:O$82,MATCH($A58,'Impact Indicators - Section B '!$A$1:$A$82,0)),4),""),"")&amp;"/"&amp;IFERROR(IF(INDEX('Impact Indicators - Section B '!O$1:O$82,MATCH($A58,'Impact Indicators - Section B '!$A$1:$A$82,0)+1)&lt;&gt;"",FIXED(INDEX('Impact Indicators - Section B '!O$1:O$82,MATCH($A58,'Impact Indicators - Section B '!$A$1:$A$82,0)+1),2),""),"")&amp;CHAR(10)&amp;IFERROR(IF(INDEX('Impact Indicators - Section B '!P$1:P$82,MATCH($A58,'Impact Indicators - Section B '!$A$1:$A$82,0))&lt;&gt;"",FIXED(INDEX('Impact Indicators - Section B '!P$1:P$82,MATCH($A58,'Impact Indicators - Section B '!$A$1:$A$82,0))*100,2)&amp;"%",""),"")&amp;CHAR(10)&amp;IFERROR(IF(INDEX('Impact Indicators - Section B '!R$1:R$82,MATCH($A58,'Impact Indicators - Section B '!$A$1:$A$82,0))&lt;&gt;"",INDEX('Impact Indicators - Section B '!R$1:R$82,MATCH($A58,'Impact Indicators - Section B '!$A$1:$A$82,0)),""),"")&amp;CHAR(10)&amp;IFERROR(IF(INDEX('Impact Indicators - Section B '!Q$1:Q$82,MATCH($A58,'Impact Indicators - Section B '!$A$1:$A$82,0))&lt;&gt;"",TEXT(INDEX('Impact Indicators - Section B '!Q$1:Q$82,MATCH($A58,'Impact Indicators - Section B '!$A$1:$A$82,0)),Setup!$A$33),""),"")</f>
        <v>8,400.0000/12,332,252.00
6,811.41%
1-Mar-25</v>
      </c>
      <c r="R58" s="42" t="str">
        <f ca="1">IFERROR(IF(INDEX('Impact Indicators - Section B '!S$1:S$82,MATCH($A58,'Impact Indicators - Section B '!$A$1:$A$82,0))&lt;&gt;"",FIXED(INDEX('Impact Indicators - Section B '!S$1:S$82,MATCH($A58,'Impact Indicators - Section B '!$A$1:$A$82,0)),4),""),"")&amp;"/"&amp;IFERROR(IF(INDEX('Impact Indicators - Section B '!S$1:S$82,MATCH($A58,'Impact Indicators - Section B '!$A$1:$A$82,0)+1)&lt;&gt;"",FIXED(INDEX('Impact Indicators - Section B '!S$1:S$82,MATCH($A58,'Impact Indicators - Section B '!$A$1:$A$82,0)+1),2),""),"")&amp;CHAR(10)&amp;IFERROR(IF(INDEX('Impact Indicators - Section B '!T$1:T$82,MATCH($A58,'Impact Indicators - Section B '!$A$1:$A$82,0))&lt;&gt;"",FIXED(INDEX('Impact Indicators - Section B '!T$1:T$82,MATCH($A58,'Impact Indicators - Section B '!$A$1:$A$82,0))*100,2)&amp;"%",""),"")&amp;CHAR(10)&amp;IFERROR(IF(INDEX('Impact Indicators - Section B '!V$1:V$82,MATCH($A58,'Impact Indicators - Section B '!$A$1:$A$82,0))&lt;&gt;"",INDEX('Impact Indicators - Section B '!V$1:V$82,MATCH($A58,'Impact Indicators - Section B '!$A$1:$A$82,0)),""),"")&amp;CHAR(10)&amp;IFERROR(IF(INDEX('Impact Indicators - Section B '!U$1:U$82,MATCH($A58,'Impact Indicators - Section B '!$A$1:$A$82,0))&lt;&gt;"",TEXT(INDEX('Impact Indicators - Section B '!U$1:U$82,MATCH($A58,'Impact Indicators - Section B '!$A$1:$A$82,0)),Setup!$A$33),""),"")</f>
        <v>9,000.0000/12,494,191.00
7,203.35%
1-Mar-26</v>
      </c>
      <c r="S58" s="42" t="str">
        <f ca="1">IFERROR(IF(INDEX('Impact Indicators - Section B '!W$1:W$82,MATCH($A58,'Impact Indicators - Section B '!$A$1:$A$82,0))&lt;&gt;"",FIXED(INDEX('Impact Indicators - Section B '!W$1:W$82,MATCH($A58,'Impact Indicators - Section B '!$A$1:$A$82,0)),4),""),"")&amp;"/"&amp;IFERROR(IF(INDEX('Impact Indicators - Section B '!W$1:W$82,MATCH($A58,'Impact Indicators - Section B '!$A$1:$A$82,0)+1)&lt;&gt;"",FIXED(INDEX('Impact Indicators - Section B '!W$1:W$82,MATCH($A58,'Impact Indicators - Section B '!$A$1:$A$82,0)+1),2),""),"")&amp;CHAR(10)&amp;IFERROR(IF(INDEX('Impact Indicators - Section B '!X$1:X$82,MATCH($A58,'Impact Indicators - Section B '!$A$1:$A$82,0))&lt;&gt;"",FIXED(INDEX('Impact Indicators - Section B '!X$1:X$82,MATCH($A58,'Impact Indicators - Section B '!$A$1:$A$82,0))*100,2)&amp;"%",""),"")&amp;CHAR(10)&amp;IFERROR(IF(INDEX('Impact Indicators - Section B '!Z$1:Z$82,MATCH($A58,'Impact Indicators - Section B '!$A$1:$A$82,0))&lt;&gt;"",INDEX('Impact Indicators - Section B '!Z$1:Z$82,MATCH($A58,'Impact Indicators - Section B '!$A$1:$A$82,0)),""),"")&amp;CHAR(10)&amp;IFERROR(IF(INDEX('Impact Indicators - Section B '!Y$1:Y$82,MATCH($A58,'Impact Indicators - Section B '!$A$1:$A$82,0))&lt;&gt;"",TEXT(INDEX('Impact Indicators - Section B '!Y$1:Y$82,MATCH($A58,'Impact Indicators - Section B '!$A$1:$A$82,0)),Setup!$A$33),""),"")</f>
        <v xml:space="preserve">/
</v>
      </c>
      <c r="T58" s="51"/>
      <c r="U58" s="13"/>
      <c r="V58" s="13"/>
      <c r="W58" s="13"/>
      <c r="X58" s="13"/>
      <c r="Y58" s="13"/>
      <c r="Z58" s="13"/>
      <c r="AA58" s="13"/>
      <c r="AB58" s="13"/>
      <c r="AC58" s="13"/>
      <c r="AD58" s="13"/>
      <c r="AE58" s="13"/>
      <c r="AF58" s="13"/>
      <c r="AG58" s="13"/>
      <c r="AH58" s="13"/>
      <c r="AI58" s="13"/>
      <c r="AJ58" s="13"/>
      <c r="AK58" s="13"/>
      <c r="AL58" s="13"/>
      <c r="AM58" s="13"/>
      <c r="AN58" s="13"/>
      <c r="AO58" s="13" t="str">
        <f ca="1">IFERROR(IF(INDEX('Impact Indicators - Section B '!AA$1:AA$82,MATCH($A58,'Impact Indicators - Section B '!$A$1:$A$82,0))&lt;&gt;0,INDEX('Impact Indicators - Section B '!AA$1:AA$82,MATCH($A58,'Impact Indicators - Section B '!$A$1:$A$82,0)),""),"")</f>
        <v>Línea de Base. Gestión 2021 Tasa de Incidencia 60 x 100,000 habitantes (7,071/11,841.955x 100,000) 
Fuente de información: Reporte de la Unidad de Vigilancia Epidemiológica - Componente de Tuberculosis - Sistema de R&amp;R TB - Ministerio de Salud y Deportes.
Método de medición: La construcción de este indicador esta con relación a los casos nuevos y recaídas de cada gestión:
Numerador: Número de casos de TB nuevos y recaídas ocurridos durante el año
Denominador: Número de personas en la población x 100.000 
Dato de Población INE (Instituto Nacional de Estadistica)
Metas: Tasa de Incidencia esperada de acuerdo a la Estrategia Nacional 
Año 2023:  64 x 100,000: 7,800 / 12.169.501 hab x 100,000 
Año 2024: 68 x 100,000:  8,400 / 12.332.252 hab. X 100,000  
Año 2025: 72 x 100,000: 9,000/ 12.494.181 hab x 100,000                                                                                                                                                 
Comentario: Las metas estan basadas en las acciones que se llevaran adelante como la universalizacion gradual del diagnostico por GeneXpert MTB/RIF a todo caso SR o  con TB presuntiva, la utilizacion de cartuchos de GeneXpert MTB/RIF Ultra a nivel nacional, asi como la incorporación de nuevos equipos de GeneXpert MTB/RIF en ciudades intermedias priorizadas. Se adjunta un archivo auxiliar de la estimacion de incidencia para el 2023 - 2025. El país considera mantener la proyección de casos estimada por el País ya que las estimaciones de la OMS no son reales al histórico de captación del país. Este indicador fue excluido del Marco de Desempeño por el FM en consenso con PNUD y MSyD ya que la fuente de verificación es el reporte de la OMS emitido en septiembre del siguiente año y en subvenciones anteriores nunca se pudo reportar en las fechas del PUDR. Por esta razón consideramos mantener este indicador de incidencia TB I-2 y no incluir el de mortalidad (TB I-3(M)), aun siendo éste en principio obligatorio.</v>
      </c>
      <c r="AP58" s="13"/>
      <c r="AQ58" s="13"/>
      <c r="AR58" s="13"/>
      <c r="AS58" s="13"/>
      <c r="AT58" s="13" t="str">
        <f>CONCATENATE($A58,J$52)</f>
        <v>3</v>
      </c>
      <c r="AU58" s="13" t="str">
        <f>CONCATENATE($A58,O$52)</f>
        <v>3</v>
      </c>
      <c r="AV58" s="13"/>
      <c r="AW58" s="13" t="str">
        <f>CONCATENATE($A58,X$52)</f>
        <v>3</v>
      </c>
      <c r="AX58" s="13" t="str">
        <f>CONCATENATE($A58,AB$52)</f>
        <v>3</v>
      </c>
      <c r="AY58" s="13"/>
      <c r="AZ58" s="13"/>
      <c r="BA58" s="13"/>
      <c r="BB58" s="13"/>
      <c r="BC58" s="55"/>
    </row>
    <row r="59" spans="1:55" s="14" customFormat="1" ht="100.35" customHeight="1">
      <c r="A59" s="618"/>
      <c r="B59" s="666" t="str">
        <f ca="1">IFERROR(IF(INDEX('Impact Indicators - Section B '!AA$1:AA$82,MATCH($A58,'Impact Indicators - Section B '!$A$1:$A$82,0))&lt;&gt;0,INDEX('Impact Indicators - Section B '!AA$1:AA$82,MATCH($A58,'Impact Indicators - Section B '!$A$1:$A$82,0)),""),"")</f>
        <v>Línea de Base. Gestión 2021 Tasa de Incidencia 60 x 100,000 habitantes (7,071/11,841.955x 100,000) 
Fuente de información: Reporte de la Unidad de Vigilancia Epidemiológica - Componente de Tuberculosis - Sistema de R&amp;R TB - Ministerio de Salud y Deportes.
Método de medición: La construcción de este indicador esta con relación a los casos nuevos y recaídas de cada gestión:
Numerador: Número de casos de TB nuevos y recaídas ocurridos durante el año
Denominador: Número de personas en la población x 100.000 
Dato de Población INE (Instituto Nacional de Estadistica)
Metas: Tasa de Incidencia esperada de acuerdo a la Estrategia Nacional 
Año 2023:  64 x 100,000: 7,800 / 12.169.501 hab x 100,000 
Año 2024: 68 x 100,000:  8,400 / 12.332.252 hab. X 100,000  
Año 2025: 72 x 100,000: 9,000/ 12.494.181 hab x 100,000                                                                                                                                                 
Comentario: Las metas estan basadas en las acciones que se llevaran adelante como la universalizacion gradual del diagnostico por GeneXpert MTB/RIF a todo caso SR o  con TB presuntiva, la utilizacion de cartuchos de GeneXpert MTB/RIF Ultra a nivel nacional, asi como la incorporación de nuevos equipos de GeneXpert MTB/RIF en ciudades intermedias priorizadas. Se adjunta un archivo auxiliar de la estimacion de incidencia para el 2023 - 2025. El país considera mantener la proyección de casos estimada por el País ya que las estimaciones de la OMS no son reales al histórico de captación del país. Este indicador fue excluido del Marco de Desempeño por el FM en consenso con PNUD y MSyD ya que la fuente de verificación es el reporte de la OMS emitido en septiembre del siguiente año y en subvenciones anteriores nunca se pudo reportar en las fechas del PUDR. Por esta razón consideramos mantener este indicador de incidencia TB I-2 y no incluir el de mortalidad (TB I-3(M)), aun siendo éste en principio obligatorio.</v>
      </c>
      <c r="C59" s="667"/>
      <c r="D59" s="667"/>
      <c r="E59" s="667"/>
      <c r="F59" s="667"/>
      <c r="G59" s="667"/>
      <c r="H59" s="667"/>
      <c r="I59" s="667"/>
      <c r="J59" s="667"/>
      <c r="K59" s="667"/>
      <c r="L59" s="667"/>
      <c r="M59" s="667"/>
      <c r="N59" s="667"/>
      <c r="O59" s="667"/>
      <c r="P59" s="667"/>
      <c r="Q59" s="667"/>
      <c r="R59" s="667"/>
      <c r="S59" s="668"/>
      <c r="T59" s="52"/>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55"/>
    </row>
    <row r="60" spans="1:55" s="15" customFormat="1" ht="145.35" customHeight="1">
      <c r="A60" s="619">
        <v>4</v>
      </c>
      <c r="B60" s="627" t="str">
        <f ca="1">IFERROR(IF(INDEX('Impact Indicators - Section B '!B$1:B$82,MATCH($A60,'Impact Indicators - Section B '!$A$1:$A$82,0))&lt;&gt;0,INDEX('Impact Indicators - Section B '!B$1:B$82,MATCH($A60,'Impact Indicators - Section B '!$A$1:$A$82,0)),""),"")</f>
        <v>HIV I-10⁽ᴹ⁾ Porcentaje de trabajadores sexuales que viven con el VIH</v>
      </c>
      <c r="C60" s="628"/>
      <c r="D60" s="629"/>
      <c r="E60" s="627" t="str">
        <f ca="1">IFERROR(IF(INDEX('Impact Indicators - Section B '!C$1:C$82,MATCH($A60,'Impact Indicators - Section B '!$A$1:$A$82,0))&lt;&gt;0,INDEX('Impact Indicators - Section B '!C$1:C$82,MATCH($A60,'Impact Indicators - Section B '!$A$1:$A$82,0)),""),"")</f>
        <v/>
      </c>
      <c r="F60" s="628"/>
      <c r="G60" s="629"/>
      <c r="H60" s="35" t="str">
        <f ca="1">IFERROR(IF(INDEX('Impact Indicators - Section B '!D$1:D$82,MATCH($A60,'Impact Indicators - Section B '!$A$1:$A$82,0))&lt;&gt;"",FIXED(INDEX('Impact Indicators - Section B '!D$1:D$82,MATCH($A60,'Impact Indicators - Section B '!$A$1:$A$82,0)),4),""),"")&amp;"/"&amp;IFERROR(IF(INDEX('Impact Indicators - Section B '!D$1:D$82,MATCH($A60,'Impact Indicators - Section B '!$A$1:$A$82,0)+1)&lt;&gt;"",FIXED(INDEX('Impact Indicators - Section B '!D$1:D$82,MATCH($A60,'Impact Indicators - Section B '!$A$1:$A$82,0)+1),2),""),"")&amp;CHAR(10)&amp;IFERROR(IF(INDEX('Impact Indicators - Section B '!E$1:E$82,MATCH($A60,'Impact Indicators - Section B '!$A$1:$A$82,0))&lt;&gt;"",FIXED(INDEX('Impact Indicators - Section B '!E$1:E$82,MATCH($A60,'Impact Indicators - Section B '!$A$1:$A$82,0))*100,2)&amp;"%",""),"")</f>
        <v>/
0.56%</v>
      </c>
      <c r="I60" s="43" t="str">
        <f ca="1">IFERROR(IF(INDEX('Impact Indicators - Section B '!F$1:F$82,MATCH($A60,'Impact Indicators - Section B '!$A$1:$A$82,0))&lt;&gt;0,INDEX('Impact Indicators - Section B '!F$1:F$82,MATCH($A60,'Impact Indicators - Section B '!$A$1:$A$82,0)),""),"")&amp;CHAR(10)&amp;IFERROR(IF(INDEX('Impact Indicators - Section B '!G$1:G$82,MATCH($A60,'Impact Indicators - Section B '!$A$1:$A$82,0))&lt;&gt;0,INDEX('Impact Indicators - Section B '!G$1:G$82,MATCH($A60,'Impact Indicators - Section B '!$A$1:$A$82,0)),""),"")</f>
        <v xml:space="preserve">2010
Resultados del último estudio realizado en mujeres trabajadorase sexuales. Bolivia 2010 </v>
      </c>
      <c r="J60" s="627" t="str">
        <f ca="1">IFERROR(IF(INDEX('Impact Indicators - Section B '!H$1:H$82,MATCH($A60,'Impact Indicators - Section B '!$A$1:$A$82,0))&lt;&gt;0,INDEX('Impact Indicators - Section B '!H$1:H$82,MATCH($A60,'Impact Indicators - Section B '!$A$1:$A$82,0)),""),"")</f>
        <v>Género,Edad</v>
      </c>
      <c r="K60" s="628"/>
      <c r="L60" s="628"/>
      <c r="M60" s="629"/>
      <c r="N60" s="44" t="str">
        <f ca="1">IFERROR(IF(AND('Overview - Section A'!AN$5="Grant Making",OR(B60&lt;&gt;"",E60&lt;&gt;"")),Setup!I15,IF(INDEX('Impact Indicators - Section B '!I$1:I$82,MATCH($A60,'Impact Indicators - Section B '!$A$1:$A$82,0))&lt;&gt;0,INDEX('Impact Indicators - Section B '!I$1:I$82,MATCH($A60,'Impact Indicators - Section B '!$A$1:$A$82,0)),"")),"")</f>
        <v>United Nations Development Programme</v>
      </c>
      <c r="O60" s="43" t="str">
        <f ca="1">IFERROR(IF(INDEX('Impact Indicators - Section B '!J$1:J$82,MATCH($A60,'Impact Indicators - Section B '!$A$1:$A$82,0))&lt;&gt;0,INDEX('Impact Indicators - Section B '!J$1:J$82,MATCH($A60,'Impact Indicators - Section B '!$A$1:$A$82,0)),""),"")</f>
        <v>Bolivia (Plurinational State)</v>
      </c>
      <c r="P60" s="45" t="str">
        <f ca="1">IFERROR(IF(INDEX('Impact Indicators - Section B '!K$1:K$82,MATCH($A60,'Impact Indicators - Section B '!$A$1:$A$82,0))&lt;&gt;"",FIXED(INDEX('Impact Indicators - Section B '!K$1:K$82,MATCH($A60,'Impact Indicators - Section B '!$A$1:$A$82,0)),4),""),"")&amp;"/"&amp;IFERROR(IF(INDEX('Impact Indicators - Section B '!K$1:K$82,MATCH($A60,'Impact Indicators - Section B '!$A$1:$A$82,0)+1)&lt;&gt;"",FIXED(INDEX('Impact Indicators - Section B '!K$1:K$82,MATCH($A60,'Impact Indicators - Section B '!$A$1:$A$82,0)+1),2),""),"")&amp;CHAR(10)&amp;IFERROR(IF(INDEX('Impact Indicators - Section B '!L$1:L$82,MATCH($A60,'Impact Indicators - Section B '!$A$1:$A$82,0))&lt;&gt;"",FIXED(INDEX('Impact Indicators - Section B '!L$1:L$82,MATCH($A60,'Impact Indicators - Section B '!$A$1:$A$82,0))*100,2)&amp;"%",""),"")&amp;CHAR(10)&amp;IFERROR(IF(INDEX('Impact Indicators - Section B '!N$1:N$82,MATCH($A60,'Impact Indicators - Section B '!$A$1:$A$82,0))&lt;&gt;"",INDEX('Impact Indicators - Section B '!N$1:N$82,MATCH($A60,'Impact Indicators - Section B '!$A$1:$A$82,0)),""),"")&amp;CHAR(10)&amp;IFERROR(IF(INDEX('Impact Indicators - Section B '!M$1:M$82,MATCH($A60,'Impact Indicators - Section B '!$A$1:$A$82,0))&lt;&gt;"",TEXT(INDEX('Impact Indicators - Section B '!M$1:M$82,MATCH($A60,'Impact Indicators - Section B '!$A$1:$A$82,0)),Setup!$A$33),""),"")</f>
        <v>20.0000/2,000.00
1.00%
1-Mar-24</v>
      </c>
      <c r="Q60" s="45" t="str">
        <f ca="1">IFERROR(IF(INDEX('Impact Indicators - Section B '!O$1:O$82,MATCH($A60,'Impact Indicators - Section B '!$A$1:$A$82,0))&lt;&gt;"",FIXED(INDEX('Impact Indicators - Section B '!O$1:O$82,MATCH($A60,'Impact Indicators - Section B '!$A$1:$A$82,0)),4),""),"")&amp;"/"&amp;IFERROR(IF(INDEX('Impact Indicators - Section B '!O$1:O$82,MATCH($A60,'Impact Indicators - Section B '!$A$1:$A$82,0)+1)&lt;&gt;"",FIXED(INDEX('Impact Indicators - Section B '!O$1:O$82,MATCH($A60,'Impact Indicators - Section B '!$A$1:$A$82,0)+1),2),""),"")&amp;CHAR(10)&amp;IFERROR(IF(INDEX('Impact Indicators - Section B '!P$1:P$82,MATCH($A60,'Impact Indicators - Section B '!$A$1:$A$82,0))&lt;&gt;"",FIXED(INDEX('Impact Indicators - Section B '!P$1:P$82,MATCH($A60,'Impact Indicators - Section B '!$A$1:$A$82,0))*100,2)&amp;"%",""),"")&amp;CHAR(10)&amp;IFERROR(IF(INDEX('Impact Indicators - Section B '!R$1:R$82,MATCH($A60,'Impact Indicators - Section B '!$A$1:$A$82,0))&lt;&gt;"",INDEX('Impact Indicators - Section B '!R$1:R$82,MATCH($A60,'Impact Indicators - Section B '!$A$1:$A$82,0)),""),"")&amp;CHAR(10)&amp;IFERROR(IF(INDEX('Impact Indicators - Section B '!Q$1:Q$82,MATCH($A60,'Impact Indicators - Section B '!$A$1:$A$82,0))&lt;&gt;"",TEXT(INDEX('Impact Indicators - Section B '!Q$1:Q$82,MATCH($A60,'Impact Indicators - Section B '!$A$1:$A$82,0)),Setup!$A$33),""),"")</f>
        <v xml:space="preserve">/
</v>
      </c>
      <c r="R60" s="45" t="str">
        <f ca="1">IFERROR(IF(INDEX('Impact Indicators - Section B '!S$1:S$82,MATCH($A60,'Impact Indicators - Section B '!$A$1:$A$82,0))&lt;&gt;"",FIXED(INDEX('Impact Indicators - Section B '!S$1:S$82,MATCH($A60,'Impact Indicators - Section B '!$A$1:$A$82,0)),4),""),"")&amp;"/"&amp;IFERROR(IF(INDEX('Impact Indicators - Section B '!S$1:S$82,MATCH($A60,'Impact Indicators - Section B '!$A$1:$A$82,0)+1)&lt;&gt;"",FIXED(INDEX('Impact Indicators - Section B '!S$1:S$82,MATCH($A60,'Impact Indicators - Section B '!$A$1:$A$82,0)+1),2),""),"")&amp;CHAR(10)&amp;IFERROR(IF(INDEX('Impact Indicators - Section B '!T$1:T$82,MATCH($A60,'Impact Indicators - Section B '!$A$1:$A$82,0))&lt;&gt;"",FIXED(INDEX('Impact Indicators - Section B '!T$1:T$82,MATCH($A60,'Impact Indicators - Section B '!$A$1:$A$82,0))*100,2)&amp;"%",""),"")&amp;CHAR(10)&amp;IFERROR(IF(INDEX('Impact Indicators - Section B '!V$1:V$82,MATCH($A60,'Impact Indicators - Section B '!$A$1:$A$82,0))&lt;&gt;"",INDEX('Impact Indicators - Section B '!V$1:V$82,MATCH($A60,'Impact Indicators - Section B '!$A$1:$A$82,0)),""),"")&amp;CHAR(10)&amp;IFERROR(IF(INDEX('Impact Indicators - Section B '!U$1:U$82,MATCH($A60,'Impact Indicators - Section B '!$A$1:$A$82,0))&lt;&gt;"",TEXT(INDEX('Impact Indicators - Section B '!U$1:U$82,MATCH($A60,'Impact Indicators - Section B '!$A$1:$A$82,0)),Setup!$A$33),""),"")</f>
        <v xml:space="preserve">/
</v>
      </c>
      <c r="S60" s="45" t="str">
        <f ca="1">IFERROR(IF(INDEX('Impact Indicators - Section B '!W$1:W$82,MATCH($A60,'Impact Indicators - Section B '!$A$1:$A$82,0))&lt;&gt;"",FIXED(INDEX('Impact Indicators - Section B '!W$1:W$82,MATCH($A60,'Impact Indicators - Section B '!$A$1:$A$82,0)),4),""),"")&amp;"/"&amp;IFERROR(IF(INDEX('Impact Indicators - Section B '!W$1:W$82,MATCH($A60,'Impact Indicators - Section B '!$A$1:$A$82,0)+1)&lt;&gt;"",FIXED(INDEX('Impact Indicators - Section B '!W$1:W$82,MATCH($A60,'Impact Indicators - Section B '!$A$1:$A$82,0)+1),2),""),"")&amp;CHAR(10)&amp;IFERROR(IF(INDEX('Impact Indicators - Section B '!X$1:X$82,MATCH($A60,'Impact Indicators - Section B '!$A$1:$A$82,0))&lt;&gt;"",FIXED(INDEX('Impact Indicators - Section B '!X$1:X$82,MATCH($A60,'Impact Indicators - Section B '!$A$1:$A$82,0))*100,2)&amp;"%",""),"")&amp;CHAR(10)&amp;IFERROR(IF(INDEX('Impact Indicators - Section B '!Z$1:Z$82,MATCH($A60,'Impact Indicators - Section B '!$A$1:$A$82,0))&lt;&gt;"",INDEX('Impact Indicators - Section B '!Z$1:Z$82,MATCH($A60,'Impact Indicators - Section B '!$A$1:$A$82,0)),""),"")&amp;CHAR(10)&amp;IFERROR(IF(INDEX('Impact Indicators - Section B '!Y$1:Y$82,MATCH($A60,'Impact Indicators - Section B '!$A$1:$A$82,0))&lt;&gt;"",TEXT(INDEX('Impact Indicators - Section B '!Y$1:Y$82,MATCH($A60,'Impact Indicators - Section B '!$A$1:$A$82,0)),Setup!$A$33),""),"")</f>
        <v xml:space="preserve">/
</v>
      </c>
      <c r="T60" s="53"/>
      <c r="U60" s="13"/>
      <c r="V60" s="13"/>
      <c r="W60" s="13"/>
      <c r="X60" s="13"/>
      <c r="Y60" s="13"/>
      <c r="Z60" s="13"/>
      <c r="AA60" s="13"/>
      <c r="AB60" s="13"/>
      <c r="AC60" s="13"/>
      <c r="AD60" s="13"/>
      <c r="AE60" s="13"/>
      <c r="AF60" s="13"/>
      <c r="AG60" s="13"/>
      <c r="AH60" s="13"/>
      <c r="AI60" s="13"/>
      <c r="AJ60" s="13"/>
      <c r="AK60" s="13"/>
      <c r="AL60" s="13"/>
      <c r="AM60" s="13"/>
      <c r="AN60" s="13"/>
      <c r="AO60" s="13" t="str">
        <f ca="1">IFERROR(IF(INDEX('Impact Indicators - Section B '!AA$1:AA$82,MATCH($A60,'Impact Indicators - Section B '!$A$1:$A$82,0))&lt;&gt;0,INDEX('Impact Indicators - Section B '!AA$1:AA$82,MATCH($A60,'Impact Indicators - Section B '!$A$1:$A$82,0)),""),"")</f>
        <v>Línea de Base. Resultados del último estudio realizado en mujeres trabajadora se sexuales en Bolivia 2010 (0,56%).
Fuente de información: Informe resultados del estudio bio conductual en población de Trabajadoras Sexuales Comerciales que se realizara la gestión 2023.
Numerador: Número de TSC que dieron positivo en la prueba del VIH.
Denominador: Número de TSC examinadas para el VIH.
Método de medición: Estudio bio conductual en población de trabajadoras sexuales comerciales a realizarse la gestión 2023. incluyen tanto trabajadoras sexuales registradas (con carnet sanitario) como las no registradas (sin carnet sanitario).   
Comentario. Según las estimaciones la prevalencia estimada es inferior al 1% por lo que la meta es mantenerse en ese nivel. Se consideró que el estudio alcanzará a 2,000 TSC en el estudio bio conductual. Se espera reportar el dato una vez se concluya el mencionado estudio.</v>
      </c>
      <c r="AP60" s="13"/>
      <c r="AQ60" s="13"/>
      <c r="AR60" s="13"/>
      <c r="AS60" s="13"/>
      <c r="AT60" s="13" t="str">
        <f>CONCATENATE($A60,J$52)</f>
        <v>4</v>
      </c>
      <c r="AU60" s="13" t="str">
        <f>CONCATENATE($A60,O$52)</f>
        <v>4</v>
      </c>
      <c r="AV60" s="13"/>
      <c r="AW60" s="13" t="str">
        <f>CONCATENATE($A60,X$52)</f>
        <v>4</v>
      </c>
      <c r="AX60" s="13" t="str">
        <f>CONCATENATE($A60,AB$52)</f>
        <v>4</v>
      </c>
      <c r="AY60" s="13"/>
      <c r="AZ60" s="13"/>
      <c r="BA60" s="13"/>
      <c r="BB60" s="13"/>
      <c r="BC60" s="56"/>
    </row>
    <row r="61" spans="1:55" s="15" customFormat="1" ht="100.35" customHeight="1">
      <c r="A61" s="619"/>
      <c r="B61" s="630" t="str">
        <f ca="1">IFERROR(IF(INDEX('Impact Indicators - Section B '!AA$1:AA$82,MATCH($A60,'Impact Indicators - Section B '!$A$1:$A$82,0))&lt;&gt;0,INDEX('Impact Indicators - Section B '!AA$1:AA$82,MATCH($A60,'Impact Indicators - Section B '!$A$1:$A$82,0)),""),"")</f>
        <v>Línea de Base. Resultados del último estudio realizado en mujeres trabajadora se sexuales en Bolivia 2010 (0,56%).
Fuente de información: Informe resultados del estudio bio conductual en población de Trabajadoras Sexuales Comerciales que se realizara la gestión 2023.
Numerador: Número de TSC que dieron positivo en la prueba del VIH.
Denominador: Número de TSC examinadas para el VIH.
Método de medición: Estudio bio conductual en población de trabajadoras sexuales comerciales a realizarse la gestión 2023. incluyen tanto trabajadoras sexuales registradas (con carnet sanitario) como las no registradas (sin carnet sanitario).   
Comentario. Según las estimaciones la prevalencia estimada es inferior al 1% por lo que la meta es mantenerse en ese nivel. Se consideró que el estudio alcanzará a 2,000 TSC en el estudio bio conductual. Se espera reportar el dato una vez se concluya el mencionado estudio.</v>
      </c>
      <c r="C61" s="631"/>
      <c r="D61" s="631"/>
      <c r="E61" s="631"/>
      <c r="F61" s="631"/>
      <c r="G61" s="631"/>
      <c r="H61" s="631"/>
      <c r="I61" s="632"/>
      <c r="J61" s="632"/>
      <c r="K61" s="632"/>
      <c r="L61" s="632"/>
      <c r="M61" s="632"/>
      <c r="N61" s="632"/>
      <c r="O61" s="632"/>
      <c r="P61" s="632"/>
      <c r="Q61" s="632"/>
      <c r="R61" s="632"/>
      <c r="S61" s="633"/>
      <c r="T61" s="52"/>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56"/>
    </row>
    <row r="62" spans="1:55" s="14" customFormat="1" ht="145.35" customHeight="1">
      <c r="A62" s="618">
        <v>5</v>
      </c>
      <c r="B62" s="634" t="str">
        <f ca="1">IFERROR(IF(INDEX('Impact Indicators - Section B '!B$1:B$82,MATCH($A62,'Impact Indicators - Section B '!$A$1:$A$82,0))&lt;&gt;0,INDEX('Impact Indicators - Section B '!B$1:B$82,MATCH($A62,'Impact Indicators - Section B '!$A$1:$A$82,0)),""),"")</f>
        <v/>
      </c>
      <c r="C62" s="635"/>
      <c r="D62" s="636"/>
      <c r="E62" s="634" t="str">
        <f ca="1">IFERROR(IF(INDEX('Impact Indicators - Section B '!C$1:C$82,MATCH($A62,'Impact Indicators - Section B '!$A$1:$A$82,0))&lt;&gt;0,INDEX('Impact Indicators - Section B '!C$1:C$82,MATCH($A62,'Impact Indicators - Section B '!$A$1:$A$82,0)),""),"")</f>
        <v/>
      </c>
      <c r="F62" s="635"/>
      <c r="G62" s="636"/>
      <c r="H62" s="34" t="str">
        <f ca="1">IFERROR(IF(INDEX('Impact Indicators - Section B '!D$1:D$82,MATCH($A62,'Impact Indicators - Section B '!$A$1:$A$82,0))&lt;&gt;"",FIXED(INDEX('Impact Indicators - Section B '!D$1:D$82,MATCH($A62,'Impact Indicators - Section B '!$A$1:$A$82,0)),4),""),"")&amp;"/"&amp;IFERROR(IF(INDEX('Impact Indicators - Section B '!D$1:D$82,MATCH($A62,'Impact Indicators - Section B '!$A$1:$A$82,0)+1)&lt;&gt;"",FIXED(INDEX('Impact Indicators - Section B '!D$1:D$82,MATCH($A62,'Impact Indicators - Section B '!$A$1:$A$82,0)+1),2),""),"")&amp;CHAR(10)&amp;IFERROR(IF(INDEX('Impact Indicators - Section B '!E$1:E$82,MATCH($A62,'Impact Indicators - Section B '!$A$1:$A$82,0))&lt;&gt;"",FIXED(INDEX('Impact Indicators - Section B '!E$1:E$82,MATCH($A62,'Impact Indicators - Section B '!$A$1:$A$82,0))*100,2)&amp;"%",""),"")</f>
        <v xml:space="preserve">/
</v>
      </c>
      <c r="I62" s="40" t="str">
        <f ca="1">IFERROR(IF(INDEX('Impact Indicators - Section B '!F$1:F$82,MATCH($A62,'Impact Indicators - Section B '!$A$1:$A$82,0))&lt;&gt;0,INDEX('Impact Indicators - Section B '!F$1:F$82,MATCH($A62,'Impact Indicators - Section B '!$A$1:$A$82,0)),""),"")&amp;CHAR(10)&amp;IFERROR(IF(INDEX('Impact Indicators - Section B '!G$1:G$82,MATCH($A62,'Impact Indicators - Section B '!$A$1:$A$82,0))&lt;&gt;0,INDEX('Impact Indicators - Section B '!G$1:G$82,MATCH($A62,'Impact Indicators - Section B '!$A$1:$A$82,0)),""),"")</f>
        <v xml:space="preserve">
</v>
      </c>
      <c r="J62" s="634" t="str">
        <f ca="1">IFERROR(IF(INDEX('Impact Indicators - Section B '!H$1:H$82,MATCH($A62,'Impact Indicators - Section B '!$A$1:$A$82,0))&lt;&gt;0,INDEX('Impact Indicators - Section B '!H$1:H$82,MATCH($A62,'Impact Indicators - Section B '!$A$1:$A$82,0)),""),"")</f>
        <v/>
      </c>
      <c r="K62" s="635"/>
      <c r="L62" s="635"/>
      <c r="M62" s="636"/>
      <c r="N62" s="41" t="str">
        <f ca="1">IFERROR(IF(AND('Overview - Section A'!AN$5="Grant Making",OR(B62&lt;&gt;"",E62&lt;&gt;"")),Setup!I15,IF(INDEX('Impact Indicators - Section B '!I$1:I$82,MATCH($A62,'Impact Indicators - Section B '!$A$1:$A$82,0))&lt;&gt;0,INDEX('Impact Indicators - Section B '!I$1:I$82,MATCH($A62,'Impact Indicators - Section B '!$A$1:$A$82,0)),"")),"")</f>
        <v/>
      </c>
      <c r="O62" s="40" t="str">
        <f ca="1">IFERROR(IF(INDEX('Impact Indicators - Section B '!J$1:J$82,MATCH($A62,'Impact Indicators - Section B '!$A$1:$A$82,0))&lt;&gt;0,INDEX('Impact Indicators - Section B '!J$1:J$82,MATCH($A62,'Impact Indicators - Section B '!$A$1:$A$82,0)),""),"")</f>
        <v/>
      </c>
      <c r="P62" s="42" t="str">
        <f ca="1">IFERROR(IF(INDEX('Impact Indicators - Section B '!K$1:K$82,MATCH($A62,'Impact Indicators - Section B '!$A$1:$A$82,0))&lt;&gt;"",FIXED(INDEX('Impact Indicators - Section B '!K$1:K$82,MATCH($A62,'Impact Indicators - Section B '!$A$1:$A$82,0)),4),""),"")&amp;"/"&amp;IFERROR(IF(INDEX('Impact Indicators - Section B '!K$1:K$82,MATCH($A62,'Impact Indicators - Section B '!$A$1:$A$82,0)+1)&lt;&gt;"",FIXED(INDEX('Impact Indicators - Section B '!K$1:K$82,MATCH($A62,'Impact Indicators - Section B '!$A$1:$A$82,0)+1),2),""),"")&amp;CHAR(10)&amp;IFERROR(IF(INDEX('Impact Indicators - Section B '!L$1:L$82,MATCH($A62,'Impact Indicators - Section B '!$A$1:$A$82,0))&lt;&gt;"",FIXED(INDEX('Impact Indicators - Section B '!L$1:L$82,MATCH($A62,'Impact Indicators - Section B '!$A$1:$A$82,0))*100,2)&amp;"%",""),"")&amp;CHAR(10)&amp;IFERROR(IF(INDEX('Impact Indicators - Section B '!N$1:N$82,MATCH($A62,'Impact Indicators - Section B '!$A$1:$A$82,0))&lt;&gt;"",INDEX('Impact Indicators - Section B '!N$1:N$82,MATCH($A62,'Impact Indicators - Section B '!$A$1:$A$82,0)),""),"")&amp;CHAR(10)&amp;IFERROR(IF(INDEX('Impact Indicators - Section B '!M$1:M$82,MATCH($A62,'Impact Indicators - Section B '!$A$1:$A$82,0))&lt;&gt;"",TEXT(INDEX('Impact Indicators - Section B '!M$1:M$82,MATCH($A62,'Impact Indicators - Section B '!$A$1:$A$82,0)),Setup!$A$33),""),"")</f>
        <v xml:space="preserve">/
</v>
      </c>
      <c r="Q62" s="42" t="str">
        <f ca="1">IFERROR(IF(INDEX('Impact Indicators - Section B '!O$1:O$82,MATCH($A62,'Impact Indicators - Section B '!$A$1:$A$82,0))&lt;&gt;"",FIXED(INDEX('Impact Indicators - Section B '!O$1:O$82,MATCH($A62,'Impact Indicators - Section B '!$A$1:$A$82,0)),4),""),"")&amp;"/"&amp;IFERROR(IF(INDEX('Impact Indicators - Section B '!O$1:O$82,MATCH($A62,'Impact Indicators - Section B '!$A$1:$A$82,0)+1)&lt;&gt;"",FIXED(INDEX('Impact Indicators - Section B '!O$1:O$82,MATCH($A62,'Impact Indicators - Section B '!$A$1:$A$82,0)+1),2),""),"")&amp;CHAR(10)&amp;IFERROR(IF(INDEX('Impact Indicators - Section B '!P$1:P$82,MATCH($A62,'Impact Indicators - Section B '!$A$1:$A$82,0))&lt;&gt;"",FIXED(INDEX('Impact Indicators - Section B '!P$1:P$82,MATCH($A62,'Impact Indicators - Section B '!$A$1:$A$82,0))*100,2)&amp;"%",""),"")&amp;CHAR(10)&amp;IFERROR(IF(INDEX('Impact Indicators - Section B '!R$1:R$82,MATCH($A62,'Impact Indicators - Section B '!$A$1:$A$82,0))&lt;&gt;"",INDEX('Impact Indicators - Section B '!R$1:R$82,MATCH($A62,'Impact Indicators - Section B '!$A$1:$A$82,0)),""),"")&amp;CHAR(10)&amp;IFERROR(IF(INDEX('Impact Indicators - Section B '!Q$1:Q$82,MATCH($A62,'Impact Indicators - Section B '!$A$1:$A$82,0))&lt;&gt;"",TEXT(INDEX('Impact Indicators - Section B '!Q$1:Q$82,MATCH($A62,'Impact Indicators - Section B '!$A$1:$A$82,0)),Setup!$A$33),""),"")</f>
        <v xml:space="preserve">/
</v>
      </c>
      <c r="R62" s="42" t="str">
        <f ca="1">IFERROR(IF(INDEX('Impact Indicators - Section B '!S$1:S$82,MATCH($A62,'Impact Indicators - Section B '!$A$1:$A$82,0))&lt;&gt;"",FIXED(INDEX('Impact Indicators - Section B '!S$1:S$82,MATCH($A62,'Impact Indicators - Section B '!$A$1:$A$82,0)),4),""),"")&amp;"/"&amp;IFERROR(IF(INDEX('Impact Indicators - Section B '!S$1:S$82,MATCH($A62,'Impact Indicators - Section B '!$A$1:$A$82,0)+1)&lt;&gt;"",FIXED(INDEX('Impact Indicators - Section B '!S$1:S$82,MATCH($A62,'Impact Indicators - Section B '!$A$1:$A$82,0)+1),2),""),"")&amp;CHAR(10)&amp;IFERROR(IF(INDEX('Impact Indicators - Section B '!T$1:T$82,MATCH($A62,'Impact Indicators - Section B '!$A$1:$A$82,0))&lt;&gt;"",FIXED(INDEX('Impact Indicators - Section B '!T$1:T$82,MATCH($A62,'Impact Indicators - Section B '!$A$1:$A$82,0))*100,2)&amp;"%",""),"")&amp;CHAR(10)&amp;IFERROR(IF(INDEX('Impact Indicators - Section B '!V$1:V$82,MATCH($A62,'Impact Indicators - Section B '!$A$1:$A$82,0))&lt;&gt;"",INDEX('Impact Indicators - Section B '!V$1:V$82,MATCH($A62,'Impact Indicators - Section B '!$A$1:$A$82,0)),""),"")&amp;CHAR(10)&amp;IFERROR(IF(INDEX('Impact Indicators - Section B '!U$1:U$82,MATCH($A62,'Impact Indicators - Section B '!$A$1:$A$82,0))&lt;&gt;"",TEXT(INDEX('Impact Indicators - Section B '!U$1:U$82,MATCH($A62,'Impact Indicators - Section B '!$A$1:$A$82,0)),Setup!$A$33),""),"")</f>
        <v xml:space="preserve">/
</v>
      </c>
      <c r="S62" s="42" t="str">
        <f ca="1">IFERROR(IF(INDEX('Impact Indicators - Section B '!W$1:W$82,MATCH($A62,'Impact Indicators - Section B '!$A$1:$A$82,0))&lt;&gt;"",FIXED(INDEX('Impact Indicators - Section B '!W$1:W$82,MATCH($A62,'Impact Indicators - Section B '!$A$1:$A$82,0)),4),""),"")&amp;"/"&amp;IFERROR(IF(INDEX('Impact Indicators - Section B '!W$1:W$82,MATCH($A62,'Impact Indicators - Section B '!$A$1:$A$82,0)+1)&lt;&gt;"",FIXED(INDEX('Impact Indicators - Section B '!W$1:W$82,MATCH($A62,'Impact Indicators - Section B '!$A$1:$A$82,0)+1),2),""),"")&amp;CHAR(10)&amp;IFERROR(IF(INDEX('Impact Indicators - Section B '!X$1:X$82,MATCH($A62,'Impact Indicators - Section B '!$A$1:$A$82,0))&lt;&gt;"",FIXED(INDEX('Impact Indicators - Section B '!X$1:X$82,MATCH($A62,'Impact Indicators - Section B '!$A$1:$A$82,0))*100,2)&amp;"%",""),"")&amp;CHAR(10)&amp;IFERROR(IF(INDEX('Impact Indicators - Section B '!Z$1:Z$82,MATCH($A62,'Impact Indicators - Section B '!$A$1:$A$82,0))&lt;&gt;"",INDEX('Impact Indicators - Section B '!Z$1:Z$82,MATCH($A62,'Impact Indicators - Section B '!$A$1:$A$82,0)),""),"")&amp;CHAR(10)&amp;IFERROR(IF(INDEX('Impact Indicators - Section B '!Y$1:Y$82,MATCH($A62,'Impact Indicators - Section B '!$A$1:$A$82,0))&lt;&gt;"",TEXT(INDEX('Impact Indicators - Section B '!Y$1:Y$82,MATCH($A62,'Impact Indicators - Section B '!$A$1:$A$82,0)),Setup!$A$33),""),"")</f>
        <v xml:space="preserve">/
</v>
      </c>
      <c r="T62" s="51"/>
      <c r="U62" s="13"/>
      <c r="V62" s="13"/>
      <c r="W62" s="13"/>
      <c r="X62" s="13"/>
      <c r="Y62" s="13"/>
      <c r="Z62" s="13"/>
      <c r="AA62" s="13"/>
      <c r="AB62" s="13"/>
      <c r="AC62" s="13"/>
      <c r="AD62" s="13"/>
      <c r="AE62" s="13"/>
      <c r="AF62" s="13"/>
      <c r="AG62" s="13"/>
      <c r="AH62" s="13"/>
      <c r="AI62" s="13"/>
      <c r="AJ62" s="13"/>
      <c r="AK62" s="13"/>
      <c r="AL62" s="13"/>
      <c r="AM62" s="13"/>
      <c r="AN62" s="13"/>
      <c r="AO62" s="13" t="str">
        <f ca="1">IFERROR(IF(INDEX('Impact Indicators - Section B '!AA$1:AA$82,MATCH($A62,'Impact Indicators - Section B '!$A$1:$A$82,0))&lt;&gt;0,INDEX('Impact Indicators - Section B '!AA$1:AA$82,MATCH($A62,'Impact Indicators - Section B '!$A$1:$A$82,0)),""),"")</f>
        <v/>
      </c>
      <c r="AP62" s="13"/>
      <c r="AQ62" s="13"/>
      <c r="AR62" s="13"/>
      <c r="AS62" s="13"/>
      <c r="AT62" s="13" t="str">
        <f>CONCATENATE($A62,J$52)</f>
        <v>5</v>
      </c>
      <c r="AU62" s="13" t="str">
        <f>CONCATENATE($A62,O$52)</f>
        <v>5</v>
      </c>
      <c r="AV62" s="13"/>
      <c r="AW62" s="13" t="str">
        <f>CONCATENATE($A62,X$52)</f>
        <v>5</v>
      </c>
      <c r="AX62" s="13" t="str">
        <f>CONCATENATE($A62,AB$52)</f>
        <v>5</v>
      </c>
      <c r="AY62" s="13"/>
      <c r="AZ62" s="13"/>
      <c r="BA62" s="13"/>
      <c r="BB62" s="13"/>
      <c r="BC62" s="55"/>
    </row>
    <row r="63" spans="1:55" s="14" customFormat="1" ht="100.35" customHeight="1">
      <c r="A63" s="618"/>
      <c r="B63" s="624" t="str">
        <f ca="1">IFERROR(IF(INDEX('Impact Indicators - Section B '!AA$1:AA$82,MATCH($A62,'Impact Indicators - Section B '!$A$1:$A$82,0))&lt;&gt;0,INDEX('Impact Indicators - Section B '!AA$1:AA$82,MATCH($A62,'Impact Indicators - Section B '!$A$1:$A$82,0)),""),"")</f>
        <v/>
      </c>
      <c r="C63" s="625"/>
      <c r="D63" s="625"/>
      <c r="E63" s="625"/>
      <c r="F63" s="625"/>
      <c r="G63" s="625"/>
      <c r="H63" s="625"/>
      <c r="I63" s="625"/>
      <c r="J63" s="625"/>
      <c r="K63" s="625"/>
      <c r="L63" s="625"/>
      <c r="M63" s="625"/>
      <c r="N63" s="625"/>
      <c r="O63" s="625"/>
      <c r="P63" s="625"/>
      <c r="Q63" s="625"/>
      <c r="R63" s="625"/>
      <c r="S63" s="626"/>
      <c r="T63" s="52"/>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55"/>
    </row>
    <row r="64" spans="1:55" s="15" customFormat="1" ht="145.35" customHeight="1">
      <c r="A64" s="619">
        <v>6</v>
      </c>
      <c r="B64" s="627" t="str">
        <f ca="1">IFERROR(IF(INDEX('Impact Indicators - Section B '!B$1:B$82,MATCH($A64,'Impact Indicators - Section B '!$A$1:$A$82,0))&lt;&gt;0,INDEX('Impact Indicators - Section B '!B$1:B$82,MATCH($A64,'Impact Indicators - Section B '!$A$1:$A$82,0)),""),"")</f>
        <v/>
      </c>
      <c r="C64" s="628"/>
      <c r="D64" s="629"/>
      <c r="E64" s="627" t="str">
        <f ca="1">IFERROR(IF(INDEX('Impact Indicators - Section B '!C$1:C$82,MATCH($A64,'Impact Indicators - Section B '!$A$1:$A$82,0))&lt;&gt;0,INDEX('Impact Indicators - Section B '!C$1:C$82,MATCH($A64,'Impact Indicators - Section B '!$A$1:$A$82,0)),""),"")</f>
        <v/>
      </c>
      <c r="F64" s="628"/>
      <c r="G64" s="629"/>
      <c r="H64" s="35" t="str">
        <f ca="1">IFERROR(IF(INDEX('Impact Indicators - Section B '!D$1:D$82,MATCH($A64,'Impact Indicators - Section B '!$A$1:$A$82,0))&lt;&gt;"",FIXED(INDEX('Impact Indicators - Section B '!D$1:D$82,MATCH($A64,'Impact Indicators - Section B '!$A$1:$A$82,0)),4),""),"")&amp;"/"&amp;IFERROR(IF(INDEX('Impact Indicators - Section B '!D$1:D$82,MATCH($A64,'Impact Indicators - Section B '!$A$1:$A$82,0)+1)&lt;&gt;"",FIXED(INDEX('Impact Indicators - Section B '!D$1:D$82,MATCH($A64,'Impact Indicators - Section B '!$A$1:$A$82,0)+1),2),""),"")&amp;CHAR(10)&amp;IFERROR(IF(INDEX('Impact Indicators - Section B '!E$1:E$82,MATCH($A64,'Impact Indicators - Section B '!$A$1:$A$82,0))&lt;&gt;"",FIXED(INDEX('Impact Indicators - Section B '!E$1:E$82,MATCH($A64,'Impact Indicators - Section B '!$A$1:$A$82,0))*100,2)&amp;"%",""),"")</f>
        <v xml:space="preserve">/
</v>
      </c>
      <c r="I64" s="43" t="str">
        <f ca="1">IFERROR(IF(INDEX('Impact Indicators - Section B '!F$1:F$82,MATCH($A64,'Impact Indicators - Section B '!$A$1:$A$82,0))&lt;&gt;0,INDEX('Impact Indicators - Section B '!F$1:F$82,MATCH($A64,'Impact Indicators - Section B '!$A$1:$A$82,0)),""),"")&amp;CHAR(10)&amp;IFERROR(IF(INDEX('Impact Indicators - Section B '!G$1:G$82,MATCH($A64,'Impact Indicators - Section B '!$A$1:$A$82,0))&lt;&gt;0,INDEX('Impact Indicators - Section B '!G$1:G$82,MATCH($A64,'Impact Indicators - Section B '!$A$1:$A$82,0)),""),"")</f>
        <v xml:space="preserve">
</v>
      </c>
      <c r="J64" s="627" t="str">
        <f ca="1">IFERROR(IF(INDEX('Impact Indicators - Section B '!H$1:H$82,MATCH($A64,'Impact Indicators - Section B '!$A$1:$A$82,0))&lt;&gt;0,INDEX('Impact Indicators - Section B '!H$1:H$82,MATCH($A64,'Impact Indicators - Section B '!$A$1:$A$82,0)),""),"")</f>
        <v/>
      </c>
      <c r="K64" s="628"/>
      <c r="L64" s="628"/>
      <c r="M64" s="629"/>
      <c r="N64" s="44" t="str">
        <f ca="1">IFERROR(IF(AND('Overview - Section A'!AN$5="Grant Making",OR(B64&lt;&gt;"",E64&lt;&gt;"")),Setup!I15,IF(INDEX('Impact Indicators - Section B '!I$1:I$82,MATCH($A64,'Impact Indicators - Section B '!$A$1:$A$82,0))&lt;&gt;0,INDEX('Impact Indicators - Section B '!I$1:I$82,MATCH($A64,'Impact Indicators - Section B '!$A$1:$A$82,0)),"")),"")</f>
        <v/>
      </c>
      <c r="O64" s="43" t="str">
        <f ca="1">IFERROR(IF(INDEX('Impact Indicators - Section B '!J$1:J$82,MATCH($A64,'Impact Indicators - Section B '!$A$1:$A$82,0))&lt;&gt;0,INDEX('Impact Indicators - Section B '!J$1:J$82,MATCH($A64,'Impact Indicators - Section B '!$A$1:$A$82,0)),""),"")</f>
        <v/>
      </c>
      <c r="P64" s="45" t="str">
        <f ca="1">IFERROR(IF(INDEX('Impact Indicators - Section B '!K$1:K$82,MATCH($A64,'Impact Indicators - Section B '!$A$1:$A$82,0))&lt;&gt;"",FIXED(INDEX('Impact Indicators - Section B '!K$1:K$82,MATCH($A64,'Impact Indicators - Section B '!$A$1:$A$82,0)),4),""),"")&amp;"/"&amp;IFERROR(IF(INDEX('Impact Indicators - Section B '!K$1:K$82,MATCH($A64,'Impact Indicators - Section B '!$A$1:$A$82,0)+1)&lt;&gt;"",FIXED(INDEX('Impact Indicators - Section B '!K$1:K$82,MATCH($A64,'Impact Indicators - Section B '!$A$1:$A$82,0)+1),2),""),"")&amp;CHAR(10)&amp;IFERROR(IF(INDEX('Impact Indicators - Section B '!L$1:L$82,MATCH($A64,'Impact Indicators - Section B '!$A$1:$A$82,0))&lt;&gt;"",FIXED(INDEX('Impact Indicators - Section B '!L$1:L$82,MATCH($A64,'Impact Indicators - Section B '!$A$1:$A$82,0))*100,2)&amp;"%",""),"")&amp;CHAR(10)&amp;IFERROR(IF(INDEX('Impact Indicators - Section B '!N$1:N$82,MATCH($A64,'Impact Indicators - Section B '!$A$1:$A$82,0))&lt;&gt;"",INDEX('Impact Indicators - Section B '!N$1:N$82,MATCH($A64,'Impact Indicators - Section B '!$A$1:$A$82,0)),""),"")&amp;CHAR(10)&amp;IFERROR(IF(INDEX('Impact Indicators - Section B '!M$1:M$82,MATCH($A64,'Impact Indicators - Section B '!$A$1:$A$82,0))&lt;&gt;"",TEXT(INDEX('Impact Indicators - Section B '!M$1:M$82,MATCH($A64,'Impact Indicators - Section B '!$A$1:$A$82,0)),Setup!$A$33),""),"")</f>
        <v xml:space="preserve">/
</v>
      </c>
      <c r="Q64" s="45" t="str">
        <f ca="1">IFERROR(IF(INDEX('Impact Indicators - Section B '!O$1:O$82,MATCH($A64,'Impact Indicators - Section B '!$A$1:$A$82,0))&lt;&gt;"",FIXED(INDEX('Impact Indicators - Section B '!O$1:O$82,MATCH($A64,'Impact Indicators - Section B '!$A$1:$A$82,0)),4),""),"")&amp;"/"&amp;IFERROR(IF(INDEX('Impact Indicators - Section B '!O$1:O$82,MATCH($A64,'Impact Indicators - Section B '!$A$1:$A$82,0)+1)&lt;&gt;"",FIXED(INDEX('Impact Indicators - Section B '!O$1:O$82,MATCH($A64,'Impact Indicators - Section B '!$A$1:$A$82,0)+1),2),""),"")&amp;CHAR(10)&amp;IFERROR(IF(INDEX('Impact Indicators - Section B '!P$1:P$82,MATCH($A64,'Impact Indicators - Section B '!$A$1:$A$82,0))&lt;&gt;"",FIXED(INDEX('Impact Indicators - Section B '!P$1:P$82,MATCH($A64,'Impact Indicators - Section B '!$A$1:$A$82,0))*100,2)&amp;"%",""),"")&amp;CHAR(10)&amp;IFERROR(IF(INDEX('Impact Indicators - Section B '!R$1:R$82,MATCH($A64,'Impact Indicators - Section B '!$A$1:$A$82,0))&lt;&gt;"",INDEX('Impact Indicators - Section B '!R$1:R$82,MATCH($A64,'Impact Indicators - Section B '!$A$1:$A$82,0)),""),"")&amp;CHAR(10)&amp;IFERROR(IF(INDEX('Impact Indicators - Section B '!Q$1:Q$82,MATCH($A64,'Impact Indicators - Section B '!$A$1:$A$82,0))&lt;&gt;"",TEXT(INDEX('Impact Indicators - Section B '!Q$1:Q$82,MATCH($A64,'Impact Indicators - Section B '!$A$1:$A$82,0)),Setup!$A$33),""),"")</f>
        <v xml:space="preserve">/
</v>
      </c>
      <c r="R64" s="45" t="str">
        <f ca="1">IFERROR(IF(INDEX('Impact Indicators - Section B '!S$1:S$82,MATCH($A64,'Impact Indicators - Section B '!$A$1:$A$82,0))&lt;&gt;"",FIXED(INDEX('Impact Indicators - Section B '!S$1:S$82,MATCH($A64,'Impact Indicators - Section B '!$A$1:$A$82,0)),4),""),"")&amp;"/"&amp;IFERROR(IF(INDEX('Impact Indicators - Section B '!S$1:S$82,MATCH($A64,'Impact Indicators - Section B '!$A$1:$A$82,0)+1)&lt;&gt;"",FIXED(INDEX('Impact Indicators - Section B '!S$1:S$82,MATCH($A64,'Impact Indicators - Section B '!$A$1:$A$82,0)+1),2),""),"")&amp;CHAR(10)&amp;IFERROR(IF(INDEX('Impact Indicators - Section B '!T$1:T$82,MATCH($A64,'Impact Indicators - Section B '!$A$1:$A$82,0))&lt;&gt;"",FIXED(INDEX('Impact Indicators - Section B '!T$1:T$82,MATCH($A64,'Impact Indicators - Section B '!$A$1:$A$82,0))*100,2)&amp;"%",""),"")&amp;CHAR(10)&amp;IFERROR(IF(INDEX('Impact Indicators - Section B '!V$1:V$82,MATCH($A64,'Impact Indicators - Section B '!$A$1:$A$82,0))&lt;&gt;"",INDEX('Impact Indicators - Section B '!V$1:V$82,MATCH($A64,'Impact Indicators - Section B '!$A$1:$A$82,0)),""),"")&amp;CHAR(10)&amp;IFERROR(IF(INDEX('Impact Indicators - Section B '!U$1:U$82,MATCH($A64,'Impact Indicators - Section B '!$A$1:$A$82,0))&lt;&gt;"",TEXT(INDEX('Impact Indicators - Section B '!U$1:U$82,MATCH($A64,'Impact Indicators - Section B '!$A$1:$A$82,0)),Setup!$A$33),""),"")</f>
        <v xml:space="preserve">/
</v>
      </c>
      <c r="S64" s="45" t="str">
        <f ca="1">IFERROR(IF(INDEX('Impact Indicators - Section B '!W$1:W$82,MATCH($A64,'Impact Indicators - Section B '!$A$1:$A$82,0))&lt;&gt;"",FIXED(INDEX('Impact Indicators - Section B '!W$1:W$82,MATCH($A64,'Impact Indicators - Section B '!$A$1:$A$82,0)),4),""),"")&amp;"/"&amp;IFERROR(IF(INDEX('Impact Indicators - Section B '!W$1:W$82,MATCH($A64,'Impact Indicators - Section B '!$A$1:$A$82,0)+1)&lt;&gt;"",FIXED(INDEX('Impact Indicators - Section B '!W$1:W$82,MATCH($A64,'Impact Indicators - Section B '!$A$1:$A$82,0)+1),2),""),"")&amp;CHAR(10)&amp;IFERROR(IF(INDEX('Impact Indicators - Section B '!X$1:X$82,MATCH($A64,'Impact Indicators - Section B '!$A$1:$A$82,0))&lt;&gt;"",FIXED(INDEX('Impact Indicators - Section B '!X$1:X$82,MATCH($A64,'Impact Indicators - Section B '!$A$1:$A$82,0))*100,2)&amp;"%",""),"")&amp;CHAR(10)&amp;IFERROR(IF(INDEX('Impact Indicators - Section B '!Z$1:Z$82,MATCH($A64,'Impact Indicators - Section B '!$A$1:$A$82,0))&lt;&gt;"",INDEX('Impact Indicators - Section B '!Z$1:Z$82,MATCH($A64,'Impact Indicators - Section B '!$A$1:$A$82,0)),""),"")&amp;CHAR(10)&amp;IFERROR(IF(INDEX('Impact Indicators - Section B '!Y$1:Y$82,MATCH($A64,'Impact Indicators - Section B '!$A$1:$A$82,0))&lt;&gt;"",TEXT(INDEX('Impact Indicators - Section B '!Y$1:Y$82,MATCH($A64,'Impact Indicators - Section B '!$A$1:$A$82,0)),Setup!$A$33),""),"")</f>
        <v xml:space="preserve">/
</v>
      </c>
      <c r="T64" s="53"/>
      <c r="U64" s="13"/>
      <c r="V64" s="13"/>
      <c r="W64" s="13"/>
      <c r="X64" s="13"/>
      <c r="Y64" s="13"/>
      <c r="Z64" s="13"/>
      <c r="AA64" s="13"/>
      <c r="AB64" s="13"/>
      <c r="AC64" s="13"/>
      <c r="AD64" s="13"/>
      <c r="AE64" s="13"/>
      <c r="AF64" s="13"/>
      <c r="AG64" s="13"/>
      <c r="AH64" s="13"/>
      <c r="AI64" s="13"/>
      <c r="AJ64" s="13"/>
      <c r="AK64" s="13"/>
      <c r="AL64" s="13"/>
      <c r="AM64" s="13"/>
      <c r="AN64" s="13"/>
      <c r="AO64" s="13" t="str">
        <f ca="1">IFERROR(IF(INDEX('Impact Indicators - Section B '!AA$1:AA$82,MATCH($A64,'Impact Indicators - Section B '!$A$1:$A$82,0))&lt;&gt;0,INDEX('Impact Indicators - Section B '!AA$1:AA$82,MATCH($A64,'Impact Indicators - Section B '!$A$1:$A$82,0)),""),"")</f>
        <v/>
      </c>
      <c r="AP64" s="13"/>
      <c r="AQ64" s="13"/>
      <c r="AR64" s="13"/>
      <c r="AS64" s="13"/>
      <c r="AT64" s="13" t="str">
        <f>CONCATENATE($A64,J$52)</f>
        <v>6</v>
      </c>
      <c r="AU64" s="13" t="str">
        <f>CONCATENATE($A64,O$52)</f>
        <v>6</v>
      </c>
      <c r="AV64" s="13"/>
      <c r="AW64" s="13" t="str">
        <f>CONCATENATE($A64,X$52)</f>
        <v>6</v>
      </c>
      <c r="AX64" s="13" t="str">
        <f>CONCATENATE($A64,AB$52)</f>
        <v>6</v>
      </c>
      <c r="AY64" s="13"/>
      <c r="AZ64" s="13"/>
      <c r="BA64" s="13"/>
      <c r="BB64" s="13"/>
      <c r="BC64" s="56"/>
    </row>
    <row r="65" spans="1:55" s="15" customFormat="1" ht="100.35" customHeight="1">
      <c r="A65" s="619"/>
      <c r="B65" s="630" t="str">
        <f ca="1">IFERROR(IF(INDEX('Impact Indicators - Section B '!AA$1:AA$82,MATCH($A64,'Impact Indicators - Section B '!$A$1:$A$82,0))&lt;&gt;0,INDEX('Impact Indicators - Section B '!AA$1:AA$82,MATCH($A64,'Impact Indicators - Section B '!$A$1:$A$82,0)),""),"")</f>
        <v/>
      </c>
      <c r="C65" s="631"/>
      <c r="D65" s="631"/>
      <c r="E65" s="631"/>
      <c r="F65" s="631"/>
      <c r="G65" s="631"/>
      <c r="H65" s="631"/>
      <c r="I65" s="632"/>
      <c r="J65" s="632"/>
      <c r="K65" s="632"/>
      <c r="L65" s="632"/>
      <c r="M65" s="632"/>
      <c r="N65" s="632"/>
      <c r="O65" s="632"/>
      <c r="P65" s="632"/>
      <c r="Q65" s="632"/>
      <c r="R65" s="632"/>
      <c r="S65" s="633"/>
      <c r="T65" s="52"/>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56"/>
    </row>
    <row r="66" spans="1:55" s="14" customFormat="1" ht="145.35" customHeight="1">
      <c r="A66" s="618">
        <v>7</v>
      </c>
      <c r="B66" s="634" t="str">
        <f ca="1">IFERROR(IF(INDEX('Impact Indicators - Section B '!B$1:B$82,MATCH($A66,'Impact Indicators - Section B '!$A$1:$A$82,0))&lt;&gt;0,INDEX('Impact Indicators - Section B '!B$1:B$82,MATCH($A66,'Impact Indicators - Section B '!$A$1:$A$82,0)),""),"")</f>
        <v/>
      </c>
      <c r="C66" s="635"/>
      <c r="D66" s="636"/>
      <c r="E66" s="634" t="str">
        <f ca="1">IFERROR(IF(INDEX('Impact Indicators - Section B '!C$1:C$82,MATCH($A66,'Impact Indicators - Section B '!$A$1:$A$82,0))&lt;&gt;0,INDEX('Impact Indicators - Section B '!C$1:C$82,MATCH($A66,'Impact Indicators - Section B '!$A$1:$A$82,0)),""),"")</f>
        <v/>
      </c>
      <c r="F66" s="635"/>
      <c r="G66" s="636"/>
      <c r="H66" s="34" t="str">
        <f ca="1">IFERROR(IF(INDEX('Impact Indicators - Section B '!D$1:D$82,MATCH($A66,'Impact Indicators - Section B '!$A$1:$A$82,0))&lt;&gt;"",FIXED(INDEX('Impact Indicators - Section B '!D$1:D$82,MATCH($A66,'Impact Indicators - Section B '!$A$1:$A$82,0)),4),""),"")&amp;"/"&amp;IFERROR(IF(INDEX('Impact Indicators - Section B '!D$1:D$82,MATCH($A66,'Impact Indicators - Section B '!$A$1:$A$82,0)+1)&lt;&gt;"",FIXED(INDEX('Impact Indicators - Section B '!D$1:D$82,MATCH($A66,'Impact Indicators - Section B '!$A$1:$A$82,0)+1),2),""),"")&amp;CHAR(10)&amp;IFERROR(IF(INDEX('Impact Indicators - Section B '!E$1:E$82,MATCH($A66,'Impact Indicators - Section B '!$A$1:$A$82,0))&lt;&gt;"",FIXED(INDEX('Impact Indicators - Section B '!E$1:E$82,MATCH($A66,'Impact Indicators - Section B '!$A$1:$A$82,0))*100,2)&amp;"%",""),"")</f>
        <v xml:space="preserve">/
</v>
      </c>
      <c r="I66" s="40" t="str">
        <f ca="1">IFERROR(IF(INDEX('Impact Indicators - Section B '!F$1:F$82,MATCH($A66,'Impact Indicators - Section B '!$A$1:$A$82,0))&lt;&gt;0,INDEX('Impact Indicators - Section B '!F$1:F$82,MATCH($A66,'Impact Indicators - Section B '!$A$1:$A$82,0)),""),"")&amp;CHAR(10)&amp;IFERROR(IF(INDEX('Impact Indicators - Section B '!G$1:G$82,MATCH($A66,'Impact Indicators - Section B '!$A$1:$A$82,0))&lt;&gt;0,INDEX('Impact Indicators - Section B '!G$1:G$82,MATCH($A66,'Impact Indicators - Section B '!$A$1:$A$82,0)),""),"")</f>
        <v xml:space="preserve">
</v>
      </c>
      <c r="J66" s="634" t="str">
        <f ca="1">IFERROR(IF(INDEX('Impact Indicators - Section B '!H$1:H$82,MATCH($A66,'Impact Indicators - Section B '!$A$1:$A$82,0))&lt;&gt;0,INDEX('Impact Indicators - Section B '!H$1:H$82,MATCH($A66,'Impact Indicators - Section B '!$A$1:$A$82,0)),""),"")</f>
        <v/>
      </c>
      <c r="K66" s="635"/>
      <c r="L66" s="635"/>
      <c r="M66" s="636"/>
      <c r="N66" s="41" t="str">
        <f ca="1">IFERROR(IF(AND('Overview - Section A'!AN$5="Grant Making",OR(B66&lt;&gt;"",E66&lt;&gt;"")),Setup!I15,IF(INDEX('Impact Indicators - Section B '!I$1:I$82,MATCH($A66,'Impact Indicators - Section B '!$A$1:$A$82,0))&lt;&gt;0,INDEX('Impact Indicators - Section B '!I$1:I$82,MATCH($A66,'Impact Indicators - Section B '!$A$1:$A$82,0)),"")),"")</f>
        <v/>
      </c>
      <c r="O66" s="40" t="str">
        <f ca="1">IFERROR(IF(INDEX('Impact Indicators - Section B '!J$1:J$82,MATCH($A66,'Impact Indicators - Section B '!$A$1:$A$82,0))&lt;&gt;0,INDEX('Impact Indicators - Section B '!J$1:J$82,MATCH($A66,'Impact Indicators - Section B '!$A$1:$A$82,0)),""),"")</f>
        <v/>
      </c>
      <c r="P66" s="42" t="str">
        <f ca="1">IFERROR(IF(INDEX('Impact Indicators - Section B '!K$1:K$82,MATCH($A66,'Impact Indicators - Section B '!$A$1:$A$82,0))&lt;&gt;"",FIXED(INDEX('Impact Indicators - Section B '!K$1:K$82,MATCH($A66,'Impact Indicators - Section B '!$A$1:$A$82,0)),4),""),"")&amp;"/"&amp;IFERROR(IF(INDEX('Impact Indicators - Section B '!K$1:K$82,MATCH($A66,'Impact Indicators - Section B '!$A$1:$A$82,0)+1)&lt;&gt;"",FIXED(INDEX('Impact Indicators - Section B '!K$1:K$82,MATCH($A66,'Impact Indicators - Section B '!$A$1:$A$82,0)+1),2),""),"")&amp;CHAR(10)&amp;IFERROR(IF(INDEX('Impact Indicators - Section B '!L$1:L$82,MATCH($A66,'Impact Indicators - Section B '!$A$1:$A$82,0))&lt;&gt;"",FIXED(INDEX('Impact Indicators - Section B '!L$1:L$82,MATCH($A66,'Impact Indicators - Section B '!$A$1:$A$82,0))*100,2)&amp;"%",""),"")&amp;CHAR(10)&amp;IFERROR(IF(INDEX('Impact Indicators - Section B '!N$1:N$82,MATCH($A66,'Impact Indicators - Section B '!$A$1:$A$82,0))&lt;&gt;"",INDEX('Impact Indicators - Section B '!N$1:N$82,MATCH($A66,'Impact Indicators - Section B '!$A$1:$A$82,0)),""),"")&amp;CHAR(10)&amp;IFERROR(IF(INDEX('Impact Indicators - Section B '!M$1:M$82,MATCH($A66,'Impact Indicators - Section B '!$A$1:$A$82,0))&lt;&gt;"",TEXT(INDEX('Impact Indicators - Section B '!M$1:M$82,MATCH($A66,'Impact Indicators - Section B '!$A$1:$A$82,0)),Setup!$A$33),""),"")</f>
        <v xml:space="preserve">/
</v>
      </c>
      <c r="Q66" s="42" t="str">
        <f ca="1">IFERROR(IF(INDEX('Impact Indicators - Section B '!O$1:O$82,MATCH($A66,'Impact Indicators - Section B '!$A$1:$A$82,0))&lt;&gt;"",FIXED(INDEX('Impact Indicators - Section B '!O$1:O$82,MATCH($A66,'Impact Indicators - Section B '!$A$1:$A$82,0)),4),""),"")&amp;"/"&amp;IFERROR(IF(INDEX('Impact Indicators - Section B '!O$1:O$82,MATCH($A66,'Impact Indicators - Section B '!$A$1:$A$82,0)+1)&lt;&gt;"",FIXED(INDEX('Impact Indicators - Section B '!O$1:O$82,MATCH($A66,'Impact Indicators - Section B '!$A$1:$A$82,0)+1),2),""),"")&amp;CHAR(10)&amp;IFERROR(IF(INDEX('Impact Indicators - Section B '!P$1:P$82,MATCH($A66,'Impact Indicators - Section B '!$A$1:$A$82,0))&lt;&gt;"",FIXED(INDEX('Impact Indicators - Section B '!P$1:P$82,MATCH($A66,'Impact Indicators - Section B '!$A$1:$A$82,0))*100,2)&amp;"%",""),"")&amp;CHAR(10)&amp;IFERROR(IF(INDEX('Impact Indicators - Section B '!R$1:R$82,MATCH($A66,'Impact Indicators - Section B '!$A$1:$A$82,0))&lt;&gt;"",INDEX('Impact Indicators - Section B '!R$1:R$82,MATCH($A66,'Impact Indicators - Section B '!$A$1:$A$82,0)),""),"")&amp;CHAR(10)&amp;IFERROR(IF(INDEX('Impact Indicators - Section B '!Q$1:Q$82,MATCH($A66,'Impact Indicators - Section B '!$A$1:$A$82,0))&lt;&gt;"",TEXT(INDEX('Impact Indicators - Section B '!Q$1:Q$82,MATCH($A66,'Impact Indicators - Section B '!$A$1:$A$82,0)),Setup!$A$33),""),"")</f>
        <v xml:space="preserve">/
</v>
      </c>
      <c r="R66" s="42" t="str">
        <f ca="1">IFERROR(IF(INDEX('Impact Indicators - Section B '!S$1:S$82,MATCH($A66,'Impact Indicators - Section B '!$A$1:$A$82,0))&lt;&gt;"",FIXED(INDEX('Impact Indicators - Section B '!S$1:S$82,MATCH($A66,'Impact Indicators - Section B '!$A$1:$A$82,0)),4),""),"")&amp;"/"&amp;IFERROR(IF(INDEX('Impact Indicators - Section B '!S$1:S$82,MATCH($A66,'Impact Indicators - Section B '!$A$1:$A$82,0)+1)&lt;&gt;"",FIXED(INDEX('Impact Indicators - Section B '!S$1:S$82,MATCH($A66,'Impact Indicators - Section B '!$A$1:$A$82,0)+1),2),""),"")&amp;CHAR(10)&amp;IFERROR(IF(INDEX('Impact Indicators - Section B '!T$1:T$82,MATCH($A66,'Impact Indicators - Section B '!$A$1:$A$82,0))&lt;&gt;"",FIXED(INDEX('Impact Indicators - Section B '!T$1:T$82,MATCH($A66,'Impact Indicators - Section B '!$A$1:$A$82,0))*100,2)&amp;"%",""),"")&amp;CHAR(10)&amp;IFERROR(IF(INDEX('Impact Indicators - Section B '!V$1:V$82,MATCH($A66,'Impact Indicators - Section B '!$A$1:$A$82,0))&lt;&gt;"",INDEX('Impact Indicators - Section B '!V$1:V$82,MATCH($A66,'Impact Indicators - Section B '!$A$1:$A$82,0)),""),"")&amp;CHAR(10)&amp;IFERROR(IF(INDEX('Impact Indicators - Section B '!U$1:U$82,MATCH($A66,'Impact Indicators - Section B '!$A$1:$A$82,0))&lt;&gt;"",TEXT(INDEX('Impact Indicators - Section B '!U$1:U$82,MATCH($A66,'Impact Indicators - Section B '!$A$1:$A$82,0)),Setup!$A$33),""),"")</f>
        <v xml:space="preserve">/
</v>
      </c>
      <c r="S66" s="42" t="str">
        <f ca="1">IFERROR(IF(INDEX('Impact Indicators - Section B '!W$1:W$82,MATCH($A66,'Impact Indicators - Section B '!$A$1:$A$82,0))&lt;&gt;"",FIXED(INDEX('Impact Indicators - Section B '!W$1:W$82,MATCH($A66,'Impact Indicators - Section B '!$A$1:$A$82,0)),4),""),"")&amp;"/"&amp;IFERROR(IF(INDEX('Impact Indicators - Section B '!W$1:W$82,MATCH($A66,'Impact Indicators - Section B '!$A$1:$A$82,0)+1)&lt;&gt;"",FIXED(INDEX('Impact Indicators - Section B '!W$1:W$82,MATCH($A66,'Impact Indicators - Section B '!$A$1:$A$82,0)+1),2),""),"")&amp;CHAR(10)&amp;IFERROR(IF(INDEX('Impact Indicators - Section B '!X$1:X$82,MATCH($A66,'Impact Indicators - Section B '!$A$1:$A$82,0))&lt;&gt;"",FIXED(INDEX('Impact Indicators - Section B '!X$1:X$82,MATCH($A66,'Impact Indicators - Section B '!$A$1:$A$82,0))*100,2)&amp;"%",""),"")&amp;CHAR(10)&amp;IFERROR(IF(INDEX('Impact Indicators - Section B '!Z$1:Z$82,MATCH($A66,'Impact Indicators - Section B '!$A$1:$A$82,0))&lt;&gt;"",INDEX('Impact Indicators - Section B '!Z$1:Z$82,MATCH($A66,'Impact Indicators - Section B '!$A$1:$A$82,0)),""),"")&amp;CHAR(10)&amp;IFERROR(IF(INDEX('Impact Indicators - Section B '!Y$1:Y$82,MATCH($A66,'Impact Indicators - Section B '!$A$1:$A$82,0))&lt;&gt;"",TEXT(INDEX('Impact Indicators - Section B '!Y$1:Y$82,MATCH($A66,'Impact Indicators - Section B '!$A$1:$A$82,0)),Setup!$A$33),""),"")</f>
        <v xml:space="preserve">/
</v>
      </c>
      <c r="T66" s="51"/>
      <c r="U66" s="13"/>
      <c r="V66" s="13"/>
      <c r="W66" s="13"/>
      <c r="X66" s="13"/>
      <c r="Y66" s="13"/>
      <c r="Z66" s="13"/>
      <c r="AA66" s="13"/>
      <c r="AB66" s="13"/>
      <c r="AC66" s="13"/>
      <c r="AD66" s="13"/>
      <c r="AE66" s="13"/>
      <c r="AF66" s="13"/>
      <c r="AG66" s="13"/>
      <c r="AH66" s="13"/>
      <c r="AI66" s="13"/>
      <c r="AJ66" s="13"/>
      <c r="AK66" s="13"/>
      <c r="AL66" s="13"/>
      <c r="AM66" s="13"/>
      <c r="AN66" s="13"/>
      <c r="AO66" s="13" t="str">
        <f ca="1">IFERROR(IF(INDEX('Impact Indicators - Section B '!AA$1:AA$82,MATCH($A66,'Impact Indicators - Section B '!$A$1:$A$82,0))&lt;&gt;0,INDEX('Impact Indicators - Section B '!AA$1:AA$82,MATCH($A66,'Impact Indicators - Section B '!$A$1:$A$82,0)),""),"")</f>
        <v/>
      </c>
      <c r="AP66" s="13"/>
      <c r="AQ66" s="13"/>
      <c r="AR66" s="13"/>
      <c r="AS66" s="13"/>
      <c r="AT66" s="13" t="str">
        <f>CONCATENATE($A66,J$52)</f>
        <v>7</v>
      </c>
      <c r="AU66" s="13" t="str">
        <f>CONCATENATE($A66,O$52)</f>
        <v>7</v>
      </c>
      <c r="AV66" s="13"/>
      <c r="AW66" s="13" t="str">
        <f>CONCATENATE($A66,X$52)</f>
        <v>7</v>
      </c>
      <c r="AX66" s="13" t="str">
        <f>CONCATENATE($A66,AB$52)</f>
        <v>7</v>
      </c>
      <c r="AY66" s="13"/>
      <c r="AZ66" s="13"/>
      <c r="BA66" s="13"/>
      <c r="BB66" s="13"/>
      <c r="BC66" s="55"/>
    </row>
    <row r="67" spans="1:55" s="14" customFormat="1" ht="100.35" customHeight="1">
      <c r="A67" s="618"/>
      <c r="B67" s="624" t="str">
        <f ca="1">IFERROR(IF(INDEX('Impact Indicators - Section B '!AA$1:AA$82,MATCH($A66,'Impact Indicators - Section B '!$A$1:$A$82,0))&lt;&gt;0,INDEX('Impact Indicators - Section B '!AA$1:AA$82,MATCH($A66,'Impact Indicators - Section B '!$A$1:$A$82,0)),""),"")</f>
        <v/>
      </c>
      <c r="C67" s="625"/>
      <c r="D67" s="625"/>
      <c r="E67" s="625"/>
      <c r="F67" s="625"/>
      <c r="G67" s="625"/>
      <c r="H67" s="625"/>
      <c r="I67" s="625"/>
      <c r="J67" s="625"/>
      <c r="K67" s="625"/>
      <c r="L67" s="625"/>
      <c r="M67" s="625"/>
      <c r="N67" s="625"/>
      <c r="O67" s="625"/>
      <c r="P67" s="625"/>
      <c r="Q67" s="625"/>
      <c r="R67" s="625"/>
      <c r="S67" s="626"/>
      <c r="T67" s="52"/>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55"/>
    </row>
    <row r="68" spans="1:55" s="15" customFormat="1" ht="145.35" customHeight="1">
      <c r="A68" s="619">
        <v>8</v>
      </c>
      <c r="B68" s="627" t="str">
        <f ca="1">IFERROR(IF(INDEX('Impact Indicators - Section B '!B$1:B$82,MATCH($A68,'Impact Indicators - Section B '!$A$1:$A$82,0))&lt;&gt;0,INDEX('Impact Indicators - Section B '!B$1:B$82,MATCH($A68,'Impact Indicators - Section B '!$A$1:$A$82,0)),""),"")</f>
        <v/>
      </c>
      <c r="C68" s="628"/>
      <c r="D68" s="629"/>
      <c r="E68" s="627" t="str">
        <f ca="1">IFERROR(IF(INDEX('Impact Indicators - Section B '!C$1:C$82,MATCH($A68,'Impact Indicators - Section B '!$A$1:$A$82,0))&lt;&gt;0,INDEX('Impact Indicators - Section B '!C$1:C$82,MATCH($A68,'Impact Indicators - Section B '!$A$1:$A$82,0)),""),"")</f>
        <v/>
      </c>
      <c r="F68" s="628"/>
      <c r="G68" s="629"/>
      <c r="H68" s="35" t="str">
        <f ca="1">IFERROR(IF(INDEX('Impact Indicators - Section B '!D$1:D$82,MATCH($A68,'Impact Indicators - Section B '!$A$1:$A$82,0))&lt;&gt;"",FIXED(INDEX('Impact Indicators - Section B '!D$1:D$82,MATCH($A68,'Impact Indicators - Section B '!$A$1:$A$82,0)),4),""),"")&amp;"/"&amp;IFERROR(IF(INDEX('Impact Indicators - Section B '!D$1:D$82,MATCH($A68,'Impact Indicators - Section B '!$A$1:$A$82,0)+1)&lt;&gt;"",FIXED(INDEX('Impact Indicators - Section B '!D$1:D$82,MATCH($A68,'Impact Indicators - Section B '!$A$1:$A$82,0)+1),2),""),"")&amp;CHAR(10)&amp;IFERROR(IF(INDEX('Impact Indicators - Section B '!E$1:E$82,MATCH($A68,'Impact Indicators - Section B '!$A$1:$A$82,0))&lt;&gt;"",FIXED(INDEX('Impact Indicators - Section B '!E$1:E$82,MATCH($A68,'Impact Indicators - Section B '!$A$1:$A$82,0))*100,2)&amp;"%",""),"")</f>
        <v xml:space="preserve">/
</v>
      </c>
      <c r="I68" s="43" t="str">
        <f ca="1">IFERROR(IF(INDEX('Impact Indicators - Section B '!F$1:F$82,MATCH($A68,'Impact Indicators - Section B '!$A$1:$A$82,0))&lt;&gt;0,INDEX('Impact Indicators - Section B '!F$1:F$82,MATCH($A68,'Impact Indicators - Section B '!$A$1:$A$82,0)),""),"")&amp;CHAR(10)&amp;IFERROR(IF(INDEX('Impact Indicators - Section B '!G$1:G$82,MATCH($A68,'Impact Indicators - Section B '!$A$1:$A$82,0))&lt;&gt;0,INDEX('Impact Indicators - Section B '!G$1:G$82,MATCH($A68,'Impact Indicators - Section B '!$A$1:$A$82,0)),""),"")</f>
        <v xml:space="preserve">
</v>
      </c>
      <c r="J68" s="627" t="str">
        <f ca="1">IFERROR(IF(INDEX('Impact Indicators - Section B '!H$1:H$82,MATCH($A68,'Impact Indicators - Section B '!$A$1:$A$82,0))&lt;&gt;0,INDEX('Impact Indicators - Section B '!H$1:H$82,MATCH($A68,'Impact Indicators - Section B '!$A$1:$A$82,0)),""),"")</f>
        <v/>
      </c>
      <c r="K68" s="628"/>
      <c r="L68" s="628"/>
      <c r="M68" s="629"/>
      <c r="N68" s="44" t="str">
        <f ca="1">IFERROR(IF(AND('Overview - Section A'!AN$5="Grant Making",OR(B68&lt;&gt;"",E68&lt;&gt;"")),Setup!I15,IF(INDEX('Impact Indicators - Section B '!I$1:I$82,MATCH($A68,'Impact Indicators - Section B '!$A$1:$A$82,0))&lt;&gt;0,INDEX('Impact Indicators - Section B '!I$1:I$82,MATCH($A68,'Impact Indicators - Section B '!$A$1:$A$82,0)),"")),"")</f>
        <v/>
      </c>
      <c r="O68" s="43" t="str">
        <f ca="1">IFERROR(IF(INDEX('Impact Indicators - Section B '!J$1:J$82,MATCH($A68,'Impact Indicators - Section B '!$A$1:$A$82,0))&lt;&gt;0,INDEX('Impact Indicators - Section B '!J$1:J$82,MATCH($A68,'Impact Indicators - Section B '!$A$1:$A$82,0)),""),"")</f>
        <v/>
      </c>
      <c r="P68" s="45" t="str">
        <f ca="1">IFERROR(IF(INDEX('Impact Indicators - Section B '!K$1:K$82,MATCH($A68,'Impact Indicators - Section B '!$A$1:$A$82,0))&lt;&gt;"",FIXED(INDEX('Impact Indicators - Section B '!K$1:K$82,MATCH($A68,'Impact Indicators - Section B '!$A$1:$A$82,0)),4),""),"")&amp;"/"&amp;IFERROR(IF(INDEX('Impact Indicators - Section B '!K$1:K$82,MATCH($A68,'Impact Indicators - Section B '!$A$1:$A$82,0)+1)&lt;&gt;"",FIXED(INDEX('Impact Indicators - Section B '!K$1:K$82,MATCH($A68,'Impact Indicators - Section B '!$A$1:$A$82,0)+1),2),""),"")&amp;CHAR(10)&amp;IFERROR(IF(INDEX('Impact Indicators - Section B '!L$1:L$82,MATCH($A68,'Impact Indicators - Section B '!$A$1:$A$82,0))&lt;&gt;"",FIXED(INDEX('Impact Indicators - Section B '!L$1:L$82,MATCH($A68,'Impact Indicators - Section B '!$A$1:$A$82,0))*100,2)&amp;"%",""),"")&amp;CHAR(10)&amp;IFERROR(IF(INDEX('Impact Indicators - Section B '!N$1:N$82,MATCH($A68,'Impact Indicators - Section B '!$A$1:$A$82,0))&lt;&gt;"",INDEX('Impact Indicators - Section B '!N$1:N$82,MATCH($A68,'Impact Indicators - Section B '!$A$1:$A$82,0)),""),"")&amp;CHAR(10)&amp;IFERROR(IF(INDEX('Impact Indicators - Section B '!M$1:M$82,MATCH($A68,'Impact Indicators - Section B '!$A$1:$A$82,0))&lt;&gt;"",TEXT(INDEX('Impact Indicators - Section B '!M$1:M$82,MATCH($A68,'Impact Indicators - Section B '!$A$1:$A$82,0)),Setup!$A$33),""),"")</f>
        <v xml:space="preserve">/
</v>
      </c>
      <c r="Q68" s="45" t="str">
        <f ca="1">IFERROR(IF(INDEX('Impact Indicators - Section B '!O$1:O$82,MATCH($A68,'Impact Indicators - Section B '!$A$1:$A$82,0))&lt;&gt;"",FIXED(INDEX('Impact Indicators - Section B '!O$1:O$82,MATCH($A68,'Impact Indicators - Section B '!$A$1:$A$82,0)),4),""),"")&amp;"/"&amp;IFERROR(IF(INDEX('Impact Indicators - Section B '!O$1:O$82,MATCH($A68,'Impact Indicators - Section B '!$A$1:$A$82,0)+1)&lt;&gt;"",FIXED(INDEX('Impact Indicators - Section B '!O$1:O$82,MATCH($A68,'Impact Indicators - Section B '!$A$1:$A$82,0)+1),2),""),"")&amp;CHAR(10)&amp;IFERROR(IF(INDEX('Impact Indicators - Section B '!P$1:P$82,MATCH($A68,'Impact Indicators - Section B '!$A$1:$A$82,0))&lt;&gt;"",FIXED(INDEX('Impact Indicators - Section B '!P$1:P$82,MATCH($A68,'Impact Indicators - Section B '!$A$1:$A$82,0))*100,2)&amp;"%",""),"")&amp;CHAR(10)&amp;IFERROR(IF(INDEX('Impact Indicators - Section B '!R$1:R$82,MATCH($A68,'Impact Indicators - Section B '!$A$1:$A$82,0))&lt;&gt;"",INDEX('Impact Indicators - Section B '!R$1:R$82,MATCH($A68,'Impact Indicators - Section B '!$A$1:$A$82,0)),""),"")&amp;CHAR(10)&amp;IFERROR(IF(INDEX('Impact Indicators - Section B '!Q$1:Q$82,MATCH($A68,'Impact Indicators - Section B '!$A$1:$A$82,0))&lt;&gt;"",TEXT(INDEX('Impact Indicators - Section B '!Q$1:Q$82,MATCH($A68,'Impact Indicators - Section B '!$A$1:$A$82,0)),Setup!$A$33),""),"")</f>
        <v xml:space="preserve">/
</v>
      </c>
      <c r="R68" s="45" t="str">
        <f ca="1">IFERROR(IF(INDEX('Impact Indicators - Section B '!S$1:S$82,MATCH($A68,'Impact Indicators - Section B '!$A$1:$A$82,0))&lt;&gt;"",FIXED(INDEX('Impact Indicators - Section B '!S$1:S$82,MATCH($A68,'Impact Indicators - Section B '!$A$1:$A$82,0)),4),""),"")&amp;"/"&amp;IFERROR(IF(INDEX('Impact Indicators - Section B '!S$1:S$82,MATCH($A68,'Impact Indicators - Section B '!$A$1:$A$82,0)+1)&lt;&gt;"",FIXED(INDEX('Impact Indicators - Section B '!S$1:S$82,MATCH($A68,'Impact Indicators - Section B '!$A$1:$A$82,0)+1),2),""),"")&amp;CHAR(10)&amp;IFERROR(IF(INDEX('Impact Indicators - Section B '!T$1:T$82,MATCH($A68,'Impact Indicators - Section B '!$A$1:$A$82,0))&lt;&gt;"",FIXED(INDEX('Impact Indicators - Section B '!T$1:T$82,MATCH($A68,'Impact Indicators - Section B '!$A$1:$A$82,0))*100,2)&amp;"%",""),"")&amp;CHAR(10)&amp;IFERROR(IF(INDEX('Impact Indicators - Section B '!V$1:V$82,MATCH($A68,'Impact Indicators - Section B '!$A$1:$A$82,0))&lt;&gt;"",INDEX('Impact Indicators - Section B '!V$1:V$82,MATCH($A68,'Impact Indicators - Section B '!$A$1:$A$82,0)),""),"")&amp;CHAR(10)&amp;IFERROR(IF(INDEX('Impact Indicators - Section B '!U$1:U$82,MATCH($A68,'Impact Indicators - Section B '!$A$1:$A$82,0))&lt;&gt;"",TEXT(INDEX('Impact Indicators - Section B '!U$1:U$82,MATCH($A68,'Impact Indicators - Section B '!$A$1:$A$82,0)),Setup!$A$33),""),"")</f>
        <v xml:space="preserve">/
</v>
      </c>
      <c r="S68" s="45" t="str">
        <f ca="1">IFERROR(IF(INDEX('Impact Indicators - Section B '!W$1:W$82,MATCH($A68,'Impact Indicators - Section B '!$A$1:$A$82,0))&lt;&gt;"",FIXED(INDEX('Impact Indicators - Section B '!W$1:W$82,MATCH($A68,'Impact Indicators - Section B '!$A$1:$A$82,0)),4),""),"")&amp;"/"&amp;IFERROR(IF(INDEX('Impact Indicators - Section B '!W$1:W$82,MATCH($A68,'Impact Indicators - Section B '!$A$1:$A$82,0)+1)&lt;&gt;"",FIXED(INDEX('Impact Indicators - Section B '!W$1:W$82,MATCH($A68,'Impact Indicators - Section B '!$A$1:$A$82,0)+1),2),""),"")&amp;CHAR(10)&amp;IFERROR(IF(INDEX('Impact Indicators - Section B '!X$1:X$82,MATCH($A68,'Impact Indicators - Section B '!$A$1:$A$82,0))&lt;&gt;"",FIXED(INDEX('Impact Indicators - Section B '!X$1:X$82,MATCH($A68,'Impact Indicators - Section B '!$A$1:$A$82,0))*100,2)&amp;"%",""),"")&amp;CHAR(10)&amp;IFERROR(IF(INDEX('Impact Indicators - Section B '!Z$1:Z$82,MATCH($A68,'Impact Indicators - Section B '!$A$1:$A$82,0))&lt;&gt;"",INDEX('Impact Indicators - Section B '!Z$1:Z$82,MATCH($A68,'Impact Indicators - Section B '!$A$1:$A$82,0)),""),"")&amp;CHAR(10)&amp;IFERROR(IF(INDEX('Impact Indicators - Section B '!Y$1:Y$82,MATCH($A68,'Impact Indicators - Section B '!$A$1:$A$82,0))&lt;&gt;"",TEXT(INDEX('Impact Indicators - Section B '!Y$1:Y$82,MATCH($A68,'Impact Indicators - Section B '!$A$1:$A$82,0)),Setup!$A$33),""),"")</f>
        <v xml:space="preserve">/
</v>
      </c>
      <c r="T68" s="53"/>
      <c r="U68" s="13"/>
      <c r="V68" s="13"/>
      <c r="W68" s="13"/>
      <c r="X68" s="13"/>
      <c r="Y68" s="13"/>
      <c r="Z68" s="13"/>
      <c r="AA68" s="13"/>
      <c r="AB68" s="13"/>
      <c r="AC68" s="13"/>
      <c r="AD68" s="13"/>
      <c r="AE68" s="13"/>
      <c r="AF68" s="13"/>
      <c r="AG68" s="13"/>
      <c r="AH68" s="13"/>
      <c r="AI68" s="13"/>
      <c r="AJ68" s="13"/>
      <c r="AK68" s="13"/>
      <c r="AL68" s="13"/>
      <c r="AM68" s="13"/>
      <c r="AN68" s="13"/>
      <c r="AO68" s="13" t="str">
        <f ca="1">IFERROR(IF(INDEX('Impact Indicators - Section B '!AA$1:AA$82,MATCH($A68,'Impact Indicators - Section B '!$A$1:$A$82,0))&lt;&gt;0,INDEX('Impact Indicators - Section B '!AA$1:AA$82,MATCH($A68,'Impact Indicators - Section B '!$A$1:$A$82,0)),""),"")</f>
        <v/>
      </c>
      <c r="AP68" s="13"/>
      <c r="AQ68" s="13"/>
      <c r="AR68" s="13"/>
      <c r="AS68" s="13"/>
      <c r="AT68" s="13" t="str">
        <f>CONCATENATE($A68,J$52)</f>
        <v>8</v>
      </c>
      <c r="AU68" s="13" t="str">
        <f>CONCATENATE($A68,O$52)</f>
        <v>8</v>
      </c>
      <c r="AV68" s="13"/>
      <c r="AW68" s="13" t="str">
        <f>CONCATENATE($A68,X$52)</f>
        <v>8</v>
      </c>
      <c r="AX68" s="13" t="str">
        <f>CONCATENATE($A68,AB$52)</f>
        <v>8</v>
      </c>
      <c r="AY68" s="13"/>
      <c r="AZ68" s="13"/>
      <c r="BA68" s="13"/>
      <c r="BB68" s="13"/>
      <c r="BC68" s="56"/>
    </row>
    <row r="69" spans="1:55" s="15" customFormat="1" ht="100.35" customHeight="1">
      <c r="A69" s="619"/>
      <c r="B69" s="630" t="str">
        <f ca="1">IFERROR(IF(INDEX('Impact Indicators - Section B '!AA$1:AA$82,MATCH($A68,'Impact Indicators - Section B '!$A$1:$A$82,0))&lt;&gt;0,INDEX('Impact Indicators - Section B '!AA$1:AA$82,MATCH($A68,'Impact Indicators - Section B '!$A$1:$A$82,0)),""),"")</f>
        <v/>
      </c>
      <c r="C69" s="631"/>
      <c r="D69" s="631"/>
      <c r="E69" s="631"/>
      <c r="F69" s="631"/>
      <c r="G69" s="631"/>
      <c r="H69" s="631"/>
      <c r="I69" s="632"/>
      <c r="J69" s="632"/>
      <c r="K69" s="632"/>
      <c r="L69" s="632"/>
      <c r="M69" s="632"/>
      <c r="N69" s="632"/>
      <c r="O69" s="632"/>
      <c r="P69" s="632"/>
      <c r="Q69" s="632"/>
      <c r="R69" s="632"/>
      <c r="S69" s="633"/>
      <c r="T69" s="52"/>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56"/>
    </row>
    <row r="70" spans="1:55" s="14" customFormat="1" ht="145.35" customHeight="1">
      <c r="A70" s="618">
        <v>9</v>
      </c>
      <c r="B70" s="634" t="str">
        <f ca="1">IFERROR(IF(INDEX('Impact Indicators - Section B '!B$1:B$82,MATCH($A70,'Impact Indicators - Section B '!$A$1:$A$82,0))&lt;&gt;0,INDEX('Impact Indicators - Section B '!B$1:B$82,MATCH($A70,'Impact Indicators - Section B '!$A$1:$A$82,0)),""),"")</f>
        <v/>
      </c>
      <c r="C70" s="635"/>
      <c r="D70" s="636"/>
      <c r="E70" s="634" t="str">
        <f ca="1">IFERROR(IF(INDEX('Impact Indicators - Section B '!C$1:C$82,MATCH($A70,'Impact Indicators - Section B '!$A$1:$A$82,0))&lt;&gt;0,INDEX('Impact Indicators - Section B '!C$1:C$82,MATCH($A70,'Impact Indicators - Section B '!$A$1:$A$82,0)),""),"")</f>
        <v/>
      </c>
      <c r="F70" s="635"/>
      <c r="G70" s="636"/>
      <c r="H70" s="34" t="str">
        <f ca="1">IFERROR(IF(INDEX('Impact Indicators - Section B '!D$1:D$82,MATCH($A70,'Impact Indicators - Section B '!$A$1:$A$82,0))&lt;&gt;"",FIXED(INDEX('Impact Indicators - Section B '!D$1:D$82,MATCH($A70,'Impact Indicators - Section B '!$A$1:$A$82,0)),4),""),"")&amp;"/"&amp;IFERROR(IF(INDEX('Impact Indicators - Section B '!D$1:D$82,MATCH($A70,'Impact Indicators - Section B '!$A$1:$A$82,0)+1)&lt;&gt;"",FIXED(INDEX('Impact Indicators - Section B '!D$1:D$82,MATCH($A70,'Impact Indicators - Section B '!$A$1:$A$82,0)+1),2),""),"")&amp;CHAR(10)&amp;IFERROR(IF(INDEX('Impact Indicators - Section B '!E$1:E$82,MATCH($A70,'Impact Indicators - Section B '!$A$1:$A$82,0))&lt;&gt;"",FIXED(INDEX('Impact Indicators - Section B '!E$1:E$82,MATCH($A70,'Impact Indicators - Section B '!$A$1:$A$82,0))*100,2)&amp;"%",""),"")</f>
        <v xml:space="preserve">/
</v>
      </c>
      <c r="I70" s="40" t="str">
        <f ca="1">IFERROR(IF(INDEX('Impact Indicators - Section B '!F$1:F$82,MATCH($A70,'Impact Indicators - Section B '!$A$1:$A$82,0))&lt;&gt;0,INDEX('Impact Indicators - Section B '!F$1:F$82,MATCH($A70,'Impact Indicators - Section B '!$A$1:$A$82,0)),""),"")&amp;CHAR(10)&amp;IFERROR(IF(INDEX('Impact Indicators - Section B '!G$1:G$82,MATCH($A70,'Impact Indicators - Section B '!$A$1:$A$82,0))&lt;&gt;0,INDEX('Impact Indicators - Section B '!G$1:G$82,MATCH($A70,'Impact Indicators - Section B '!$A$1:$A$82,0)),""),"")</f>
        <v xml:space="preserve">
</v>
      </c>
      <c r="J70" s="634" t="str">
        <f ca="1">IFERROR(IF(INDEX('Impact Indicators - Section B '!H$1:H$82,MATCH($A70,'Impact Indicators - Section B '!$A$1:$A$82,0))&lt;&gt;0,INDEX('Impact Indicators - Section B '!H$1:H$82,MATCH($A70,'Impact Indicators - Section B '!$A$1:$A$82,0)),""),"")</f>
        <v/>
      </c>
      <c r="K70" s="635"/>
      <c r="L70" s="635"/>
      <c r="M70" s="636"/>
      <c r="N70" s="41" t="str">
        <f ca="1">IFERROR(IF(AND('Overview - Section A'!AN$5="Grant Making",OR(B70&lt;&gt;"",E70&lt;&gt;"")),Setup!I15,IF(INDEX('Impact Indicators - Section B '!I$1:I$82,MATCH($A70,'Impact Indicators - Section B '!$A$1:$A$82,0))&lt;&gt;0,INDEX('Impact Indicators - Section B '!I$1:I$82,MATCH($A70,'Impact Indicators - Section B '!$A$1:$A$82,0)),"")),"")</f>
        <v/>
      </c>
      <c r="O70" s="40" t="str">
        <f ca="1">IFERROR(IF(INDEX('Impact Indicators - Section B '!J$1:J$82,MATCH($A70,'Impact Indicators - Section B '!$A$1:$A$82,0))&lt;&gt;0,INDEX('Impact Indicators - Section B '!J$1:J$82,MATCH($A70,'Impact Indicators - Section B '!$A$1:$A$82,0)),""),"")</f>
        <v/>
      </c>
      <c r="P70" s="42" t="str">
        <f ca="1">IFERROR(IF(INDEX('Impact Indicators - Section B '!K$1:K$82,MATCH($A70,'Impact Indicators - Section B '!$A$1:$A$82,0))&lt;&gt;"",FIXED(INDEX('Impact Indicators - Section B '!K$1:K$82,MATCH($A70,'Impact Indicators - Section B '!$A$1:$A$82,0)),4),""),"")&amp;"/"&amp;IFERROR(IF(INDEX('Impact Indicators - Section B '!K$1:K$82,MATCH($A70,'Impact Indicators - Section B '!$A$1:$A$82,0)+1)&lt;&gt;"",FIXED(INDEX('Impact Indicators - Section B '!K$1:K$82,MATCH($A70,'Impact Indicators - Section B '!$A$1:$A$82,0)+1),2),""),"")&amp;CHAR(10)&amp;IFERROR(IF(INDEX('Impact Indicators - Section B '!L$1:L$82,MATCH($A70,'Impact Indicators - Section B '!$A$1:$A$82,0))&lt;&gt;"",FIXED(INDEX('Impact Indicators - Section B '!L$1:L$82,MATCH($A70,'Impact Indicators - Section B '!$A$1:$A$82,0))*100,2)&amp;"%",""),"")&amp;CHAR(10)&amp;IFERROR(IF(INDEX('Impact Indicators - Section B '!N$1:N$82,MATCH($A70,'Impact Indicators - Section B '!$A$1:$A$82,0))&lt;&gt;"",INDEX('Impact Indicators - Section B '!N$1:N$82,MATCH($A70,'Impact Indicators - Section B '!$A$1:$A$82,0)),""),"")&amp;CHAR(10)&amp;IFERROR(IF(INDEX('Impact Indicators - Section B '!M$1:M$82,MATCH($A70,'Impact Indicators - Section B '!$A$1:$A$82,0))&lt;&gt;"",TEXT(INDEX('Impact Indicators - Section B '!M$1:M$82,MATCH($A70,'Impact Indicators - Section B '!$A$1:$A$82,0)),Setup!$A$33),""),"")</f>
        <v xml:space="preserve">/
</v>
      </c>
      <c r="Q70" s="42" t="str">
        <f ca="1">IFERROR(IF(INDEX('Impact Indicators - Section B '!O$1:O$82,MATCH($A70,'Impact Indicators - Section B '!$A$1:$A$82,0))&lt;&gt;"",FIXED(INDEX('Impact Indicators - Section B '!O$1:O$82,MATCH($A70,'Impact Indicators - Section B '!$A$1:$A$82,0)),4),""),"")&amp;"/"&amp;IFERROR(IF(INDEX('Impact Indicators - Section B '!O$1:O$82,MATCH($A70,'Impact Indicators - Section B '!$A$1:$A$82,0)+1)&lt;&gt;"",FIXED(INDEX('Impact Indicators - Section B '!O$1:O$82,MATCH($A70,'Impact Indicators - Section B '!$A$1:$A$82,0)+1),2),""),"")&amp;CHAR(10)&amp;IFERROR(IF(INDEX('Impact Indicators - Section B '!P$1:P$82,MATCH($A70,'Impact Indicators - Section B '!$A$1:$A$82,0))&lt;&gt;"",FIXED(INDEX('Impact Indicators - Section B '!P$1:P$82,MATCH($A70,'Impact Indicators - Section B '!$A$1:$A$82,0))*100,2)&amp;"%",""),"")&amp;CHAR(10)&amp;IFERROR(IF(INDEX('Impact Indicators - Section B '!R$1:R$82,MATCH($A70,'Impact Indicators - Section B '!$A$1:$A$82,0))&lt;&gt;"",INDEX('Impact Indicators - Section B '!R$1:R$82,MATCH($A70,'Impact Indicators - Section B '!$A$1:$A$82,0)),""),"")&amp;CHAR(10)&amp;IFERROR(IF(INDEX('Impact Indicators - Section B '!Q$1:Q$82,MATCH($A70,'Impact Indicators - Section B '!$A$1:$A$82,0))&lt;&gt;"",TEXT(INDEX('Impact Indicators - Section B '!Q$1:Q$82,MATCH($A70,'Impact Indicators - Section B '!$A$1:$A$82,0)),Setup!$A$33),""),"")</f>
        <v xml:space="preserve">/
</v>
      </c>
      <c r="R70" s="42" t="str">
        <f ca="1">IFERROR(IF(INDEX('Impact Indicators - Section B '!S$1:S$82,MATCH($A70,'Impact Indicators - Section B '!$A$1:$A$82,0))&lt;&gt;"",FIXED(INDEX('Impact Indicators - Section B '!S$1:S$82,MATCH($A70,'Impact Indicators - Section B '!$A$1:$A$82,0)),4),""),"")&amp;"/"&amp;IFERROR(IF(INDEX('Impact Indicators - Section B '!S$1:S$82,MATCH($A70,'Impact Indicators - Section B '!$A$1:$A$82,0)+1)&lt;&gt;"",FIXED(INDEX('Impact Indicators - Section B '!S$1:S$82,MATCH($A70,'Impact Indicators - Section B '!$A$1:$A$82,0)+1),2),""),"")&amp;CHAR(10)&amp;IFERROR(IF(INDEX('Impact Indicators - Section B '!T$1:T$82,MATCH($A70,'Impact Indicators - Section B '!$A$1:$A$82,0))&lt;&gt;"",FIXED(INDEX('Impact Indicators - Section B '!T$1:T$82,MATCH($A70,'Impact Indicators - Section B '!$A$1:$A$82,0))*100,2)&amp;"%",""),"")&amp;CHAR(10)&amp;IFERROR(IF(INDEX('Impact Indicators - Section B '!V$1:V$82,MATCH($A70,'Impact Indicators - Section B '!$A$1:$A$82,0))&lt;&gt;"",INDEX('Impact Indicators - Section B '!V$1:V$82,MATCH($A70,'Impact Indicators - Section B '!$A$1:$A$82,0)),""),"")&amp;CHAR(10)&amp;IFERROR(IF(INDEX('Impact Indicators - Section B '!U$1:U$82,MATCH($A70,'Impact Indicators - Section B '!$A$1:$A$82,0))&lt;&gt;"",TEXT(INDEX('Impact Indicators - Section B '!U$1:U$82,MATCH($A70,'Impact Indicators - Section B '!$A$1:$A$82,0)),Setup!$A$33),""),"")</f>
        <v xml:space="preserve">/
</v>
      </c>
      <c r="S70" s="42" t="str">
        <f ca="1">IFERROR(IF(INDEX('Impact Indicators - Section B '!W$1:W$82,MATCH($A70,'Impact Indicators - Section B '!$A$1:$A$82,0))&lt;&gt;"",FIXED(INDEX('Impact Indicators - Section B '!W$1:W$82,MATCH($A70,'Impact Indicators - Section B '!$A$1:$A$82,0)),4),""),"")&amp;"/"&amp;IFERROR(IF(INDEX('Impact Indicators - Section B '!W$1:W$82,MATCH($A70,'Impact Indicators - Section B '!$A$1:$A$82,0)+1)&lt;&gt;"",FIXED(INDEX('Impact Indicators - Section B '!W$1:W$82,MATCH($A70,'Impact Indicators - Section B '!$A$1:$A$82,0)+1),2),""),"")&amp;CHAR(10)&amp;IFERROR(IF(INDEX('Impact Indicators - Section B '!X$1:X$82,MATCH($A70,'Impact Indicators - Section B '!$A$1:$A$82,0))&lt;&gt;"",FIXED(INDEX('Impact Indicators - Section B '!X$1:X$82,MATCH($A70,'Impact Indicators - Section B '!$A$1:$A$82,0))*100,2)&amp;"%",""),"")&amp;CHAR(10)&amp;IFERROR(IF(INDEX('Impact Indicators - Section B '!Z$1:Z$82,MATCH($A70,'Impact Indicators - Section B '!$A$1:$A$82,0))&lt;&gt;"",INDEX('Impact Indicators - Section B '!Z$1:Z$82,MATCH($A70,'Impact Indicators - Section B '!$A$1:$A$82,0)),""),"")&amp;CHAR(10)&amp;IFERROR(IF(INDEX('Impact Indicators - Section B '!Y$1:Y$82,MATCH($A70,'Impact Indicators - Section B '!$A$1:$A$82,0))&lt;&gt;"",TEXT(INDEX('Impact Indicators - Section B '!Y$1:Y$82,MATCH($A70,'Impact Indicators - Section B '!$A$1:$A$82,0)),Setup!$A$33),""),"")</f>
        <v xml:space="preserve">/
</v>
      </c>
      <c r="T70" s="51"/>
      <c r="U70" s="13"/>
      <c r="V70" s="13"/>
      <c r="W70" s="13"/>
      <c r="X70" s="13"/>
      <c r="Y70" s="13"/>
      <c r="Z70" s="13"/>
      <c r="AA70" s="13"/>
      <c r="AB70" s="13"/>
      <c r="AC70" s="13"/>
      <c r="AD70" s="13"/>
      <c r="AE70" s="13"/>
      <c r="AF70" s="13"/>
      <c r="AG70" s="13"/>
      <c r="AH70" s="13"/>
      <c r="AI70" s="13"/>
      <c r="AJ70" s="13"/>
      <c r="AK70" s="13"/>
      <c r="AL70" s="13"/>
      <c r="AM70" s="13"/>
      <c r="AN70" s="13"/>
      <c r="AO70" s="13" t="str">
        <f ca="1">IFERROR(IF(INDEX('Impact Indicators - Section B '!AA$1:AA$82,MATCH($A70,'Impact Indicators - Section B '!$A$1:$A$82,0))&lt;&gt;0,INDEX('Impact Indicators - Section B '!AA$1:AA$82,MATCH($A70,'Impact Indicators - Section B '!$A$1:$A$82,0)),""),"")</f>
        <v/>
      </c>
      <c r="AP70" s="13"/>
      <c r="AQ70" s="13"/>
      <c r="AR70" s="13"/>
      <c r="AS70" s="13"/>
      <c r="AT70" s="13" t="str">
        <f>CONCATENATE($A70,J$52)</f>
        <v>9</v>
      </c>
      <c r="AU70" s="13" t="str">
        <f>CONCATENATE($A70,O$52)</f>
        <v>9</v>
      </c>
      <c r="AV70" s="13"/>
      <c r="AW70" s="13" t="str">
        <f>CONCATENATE($A70,X$52)</f>
        <v>9</v>
      </c>
      <c r="AX70" s="13" t="str">
        <f>CONCATENATE($A70,AB$52)</f>
        <v>9</v>
      </c>
      <c r="AY70" s="13"/>
      <c r="AZ70" s="13"/>
      <c r="BA70" s="13"/>
      <c r="BB70" s="13"/>
      <c r="BC70" s="55"/>
    </row>
    <row r="71" spans="1:55" s="14" customFormat="1" ht="100.35" customHeight="1">
      <c r="A71" s="618"/>
      <c r="B71" s="624" t="str">
        <f ca="1">IFERROR(IF(INDEX('Impact Indicators - Section B '!AA$1:AA$82,MATCH($A70,'Impact Indicators - Section B '!$A$1:$A$82,0))&lt;&gt;0,INDEX('Impact Indicators - Section B '!AA$1:AA$82,MATCH($A70,'Impact Indicators - Section B '!$A$1:$A$82,0)),""),"")</f>
        <v/>
      </c>
      <c r="C71" s="625"/>
      <c r="D71" s="625"/>
      <c r="E71" s="625"/>
      <c r="F71" s="625"/>
      <c r="G71" s="625"/>
      <c r="H71" s="625"/>
      <c r="I71" s="625"/>
      <c r="J71" s="625"/>
      <c r="K71" s="625"/>
      <c r="L71" s="625"/>
      <c r="M71" s="625"/>
      <c r="N71" s="625"/>
      <c r="O71" s="625"/>
      <c r="P71" s="625"/>
      <c r="Q71" s="625"/>
      <c r="R71" s="625"/>
      <c r="S71" s="626"/>
      <c r="T71" s="52"/>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55"/>
    </row>
    <row r="72" spans="1:55" s="15" customFormat="1" ht="145.35" customHeight="1">
      <c r="A72" s="619">
        <v>10</v>
      </c>
      <c r="B72" s="627" t="str">
        <f ca="1">IFERROR(IF(INDEX('Impact Indicators - Section B '!B$1:B$82,MATCH($A72,'Impact Indicators - Section B '!$A$1:$A$82,0))&lt;&gt;0,INDEX('Impact Indicators - Section B '!B$1:B$82,MATCH($A72,'Impact Indicators - Section B '!$A$1:$A$82,0)),""),"")</f>
        <v/>
      </c>
      <c r="C72" s="628"/>
      <c r="D72" s="629"/>
      <c r="E72" s="627" t="str">
        <f ca="1">IFERROR(IF(INDEX('Impact Indicators - Section B '!C$1:C$82,MATCH($A72,'Impact Indicators - Section B '!$A$1:$A$82,0))&lt;&gt;0,INDEX('Impact Indicators - Section B '!C$1:C$82,MATCH($A72,'Impact Indicators - Section B '!$A$1:$A$82,0)),""),"")</f>
        <v/>
      </c>
      <c r="F72" s="628"/>
      <c r="G72" s="629"/>
      <c r="H72" s="35" t="str">
        <f ca="1">IFERROR(IF(INDEX('Impact Indicators - Section B '!D$1:D$82,MATCH($A72,'Impact Indicators - Section B '!$A$1:$A$82,0))&lt;&gt;"",FIXED(INDEX('Impact Indicators - Section B '!D$1:D$82,MATCH($A72,'Impact Indicators - Section B '!$A$1:$A$82,0)),4),""),"")&amp;"/"&amp;IFERROR(IF(INDEX('Impact Indicators - Section B '!D$1:D$82,MATCH($A72,'Impact Indicators - Section B '!$A$1:$A$82,0)+1)&lt;&gt;"",FIXED(INDEX('Impact Indicators - Section B '!D$1:D$82,MATCH($A72,'Impact Indicators - Section B '!$A$1:$A$82,0)+1),2),""),"")&amp;CHAR(10)&amp;IFERROR(IF(INDEX('Impact Indicators - Section B '!E$1:E$82,MATCH($A72,'Impact Indicators - Section B '!$A$1:$A$82,0))&lt;&gt;"",FIXED(INDEX('Impact Indicators - Section B '!E$1:E$82,MATCH($A72,'Impact Indicators - Section B '!$A$1:$A$82,0))*100,2)&amp;"%",""),"")</f>
        <v xml:space="preserve">/
</v>
      </c>
      <c r="I72" s="43" t="str">
        <f ca="1">IFERROR(IF(INDEX('Impact Indicators - Section B '!F$1:F$82,MATCH($A72,'Impact Indicators - Section B '!$A$1:$A$82,0))&lt;&gt;0,INDEX('Impact Indicators - Section B '!F$1:F$82,MATCH($A72,'Impact Indicators - Section B '!$A$1:$A$82,0)),""),"")&amp;CHAR(10)&amp;IFERROR(IF(INDEX('Impact Indicators - Section B '!G$1:G$82,MATCH($A72,'Impact Indicators - Section B '!$A$1:$A$82,0))&lt;&gt;0,INDEX('Impact Indicators - Section B '!G$1:G$82,MATCH($A72,'Impact Indicators - Section B '!$A$1:$A$82,0)),""),"")</f>
        <v xml:space="preserve">
</v>
      </c>
      <c r="J72" s="627" t="str">
        <f ca="1">IFERROR(IF(INDEX('Impact Indicators - Section B '!H$1:H$82,MATCH($A72,'Impact Indicators - Section B '!$A$1:$A$82,0))&lt;&gt;0,INDEX('Impact Indicators - Section B '!H$1:H$82,MATCH($A72,'Impact Indicators - Section B '!$A$1:$A$82,0)),""),"")</f>
        <v/>
      </c>
      <c r="K72" s="628"/>
      <c r="L72" s="628"/>
      <c r="M72" s="629"/>
      <c r="N72" s="44" t="str">
        <f ca="1">IFERROR(IF(AND('Overview - Section A'!AN$5="Grant Making",OR(B72&lt;&gt;"",E72&lt;&gt;"")),Setup!I15,IF(INDEX('Impact Indicators - Section B '!I$1:I$82,MATCH($A72,'Impact Indicators - Section B '!$A$1:$A$82,0))&lt;&gt;0,INDEX('Impact Indicators - Section B '!I$1:I$82,MATCH($A72,'Impact Indicators - Section B '!$A$1:$A$82,0)),"")),"")</f>
        <v/>
      </c>
      <c r="O72" s="43" t="str">
        <f ca="1">IFERROR(IF(INDEX('Impact Indicators - Section B '!J$1:J$82,MATCH($A72,'Impact Indicators - Section B '!$A$1:$A$82,0))&lt;&gt;0,INDEX('Impact Indicators - Section B '!J$1:J$82,MATCH($A72,'Impact Indicators - Section B '!$A$1:$A$82,0)),""),"")</f>
        <v/>
      </c>
      <c r="P72" s="45" t="str">
        <f ca="1">IFERROR(IF(INDEX('Impact Indicators - Section B '!K$1:K$82,MATCH($A72,'Impact Indicators - Section B '!$A$1:$A$82,0))&lt;&gt;"",FIXED(INDEX('Impact Indicators - Section B '!K$1:K$82,MATCH($A72,'Impact Indicators - Section B '!$A$1:$A$82,0)),4),""),"")&amp;"/"&amp;IFERROR(IF(INDEX('Impact Indicators - Section B '!K$1:K$82,MATCH($A72,'Impact Indicators - Section B '!$A$1:$A$82,0)+1)&lt;&gt;"",FIXED(INDEX('Impact Indicators - Section B '!K$1:K$82,MATCH($A72,'Impact Indicators - Section B '!$A$1:$A$82,0)+1),2),""),"")&amp;CHAR(10)&amp;IFERROR(IF(INDEX('Impact Indicators - Section B '!L$1:L$82,MATCH($A72,'Impact Indicators - Section B '!$A$1:$A$82,0))&lt;&gt;"",FIXED(INDEX('Impact Indicators - Section B '!L$1:L$82,MATCH($A72,'Impact Indicators - Section B '!$A$1:$A$82,0))*100,2)&amp;"%",""),"")&amp;CHAR(10)&amp;IFERROR(IF(INDEX('Impact Indicators - Section B '!N$1:N$82,MATCH($A72,'Impact Indicators - Section B '!$A$1:$A$82,0))&lt;&gt;"",INDEX('Impact Indicators - Section B '!N$1:N$82,MATCH($A72,'Impact Indicators - Section B '!$A$1:$A$82,0)),""),"")&amp;CHAR(10)&amp;IFERROR(IF(INDEX('Impact Indicators - Section B '!M$1:M$82,MATCH($A72,'Impact Indicators - Section B '!$A$1:$A$82,0))&lt;&gt;"",TEXT(INDEX('Impact Indicators - Section B '!M$1:M$82,MATCH($A72,'Impact Indicators - Section B '!$A$1:$A$82,0)),Setup!$A$33),""),"")</f>
        <v xml:space="preserve">/
</v>
      </c>
      <c r="Q72" s="45" t="str">
        <f ca="1">IFERROR(IF(INDEX('Impact Indicators - Section B '!O$1:O$82,MATCH($A72,'Impact Indicators - Section B '!$A$1:$A$82,0))&lt;&gt;"",FIXED(INDEX('Impact Indicators - Section B '!O$1:O$82,MATCH($A72,'Impact Indicators - Section B '!$A$1:$A$82,0)),4),""),"")&amp;"/"&amp;IFERROR(IF(INDEX('Impact Indicators - Section B '!O$1:O$82,MATCH($A72,'Impact Indicators - Section B '!$A$1:$A$82,0)+1)&lt;&gt;"",FIXED(INDEX('Impact Indicators - Section B '!O$1:O$82,MATCH($A72,'Impact Indicators - Section B '!$A$1:$A$82,0)+1),2),""),"")&amp;CHAR(10)&amp;IFERROR(IF(INDEX('Impact Indicators - Section B '!P$1:P$82,MATCH($A72,'Impact Indicators - Section B '!$A$1:$A$82,0))&lt;&gt;"",FIXED(INDEX('Impact Indicators - Section B '!P$1:P$82,MATCH($A72,'Impact Indicators - Section B '!$A$1:$A$82,0))*100,2)&amp;"%",""),"")&amp;CHAR(10)&amp;IFERROR(IF(INDEX('Impact Indicators - Section B '!R$1:R$82,MATCH($A72,'Impact Indicators - Section B '!$A$1:$A$82,0))&lt;&gt;"",INDEX('Impact Indicators - Section B '!R$1:R$82,MATCH($A72,'Impact Indicators - Section B '!$A$1:$A$82,0)),""),"")&amp;CHAR(10)&amp;IFERROR(IF(INDEX('Impact Indicators - Section B '!Q$1:Q$82,MATCH($A72,'Impact Indicators - Section B '!$A$1:$A$82,0))&lt;&gt;"",TEXT(INDEX('Impact Indicators - Section B '!Q$1:Q$82,MATCH($A72,'Impact Indicators - Section B '!$A$1:$A$82,0)),Setup!$A$33),""),"")</f>
        <v xml:space="preserve">/
</v>
      </c>
      <c r="R72" s="45" t="str">
        <f ca="1">IFERROR(IF(INDEX('Impact Indicators - Section B '!S$1:S$82,MATCH($A72,'Impact Indicators - Section B '!$A$1:$A$82,0))&lt;&gt;"",FIXED(INDEX('Impact Indicators - Section B '!S$1:S$82,MATCH($A72,'Impact Indicators - Section B '!$A$1:$A$82,0)),4),""),"")&amp;"/"&amp;IFERROR(IF(INDEX('Impact Indicators - Section B '!S$1:S$82,MATCH($A72,'Impact Indicators - Section B '!$A$1:$A$82,0)+1)&lt;&gt;"",FIXED(INDEX('Impact Indicators - Section B '!S$1:S$82,MATCH($A72,'Impact Indicators - Section B '!$A$1:$A$82,0)+1),2),""),"")&amp;CHAR(10)&amp;IFERROR(IF(INDEX('Impact Indicators - Section B '!T$1:T$82,MATCH($A72,'Impact Indicators - Section B '!$A$1:$A$82,0))&lt;&gt;"",FIXED(INDEX('Impact Indicators - Section B '!T$1:T$82,MATCH($A72,'Impact Indicators - Section B '!$A$1:$A$82,0))*100,2)&amp;"%",""),"")&amp;CHAR(10)&amp;IFERROR(IF(INDEX('Impact Indicators - Section B '!V$1:V$82,MATCH($A72,'Impact Indicators - Section B '!$A$1:$A$82,0))&lt;&gt;"",INDEX('Impact Indicators - Section B '!V$1:V$82,MATCH($A72,'Impact Indicators - Section B '!$A$1:$A$82,0)),""),"")&amp;CHAR(10)&amp;IFERROR(IF(INDEX('Impact Indicators - Section B '!U$1:U$82,MATCH($A72,'Impact Indicators - Section B '!$A$1:$A$82,0))&lt;&gt;"",TEXT(INDEX('Impact Indicators - Section B '!U$1:U$82,MATCH($A72,'Impact Indicators - Section B '!$A$1:$A$82,0)),Setup!$A$33),""),"")</f>
        <v xml:space="preserve">/
</v>
      </c>
      <c r="S72" s="45" t="str">
        <f ca="1">IFERROR(IF(INDEX('Impact Indicators - Section B '!W$1:W$82,MATCH($A72,'Impact Indicators - Section B '!$A$1:$A$82,0))&lt;&gt;"",FIXED(INDEX('Impact Indicators - Section B '!W$1:W$82,MATCH($A72,'Impact Indicators - Section B '!$A$1:$A$82,0)),4),""),"")&amp;"/"&amp;IFERROR(IF(INDEX('Impact Indicators - Section B '!W$1:W$82,MATCH($A72,'Impact Indicators - Section B '!$A$1:$A$82,0)+1)&lt;&gt;"",FIXED(INDEX('Impact Indicators - Section B '!W$1:W$82,MATCH($A72,'Impact Indicators - Section B '!$A$1:$A$82,0)+1),2),""),"")&amp;CHAR(10)&amp;IFERROR(IF(INDEX('Impact Indicators - Section B '!X$1:X$82,MATCH($A72,'Impact Indicators - Section B '!$A$1:$A$82,0))&lt;&gt;"",FIXED(INDEX('Impact Indicators - Section B '!X$1:X$82,MATCH($A72,'Impact Indicators - Section B '!$A$1:$A$82,0))*100,2)&amp;"%",""),"")&amp;CHAR(10)&amp;IFERROR(IF(INDEX('Impact Indicators - Section B '!Z$1:Z$82,MATCH($A72,'Impact Indicators - Section B '!$A$1:$A$82,0))&lt;&gt;"",INDEX('Impact Indicators - Section B '!Z$1:Z$82,MATCH($A72,'Impact Indicators - Section B '!$A$1:$A$82,0)),""),"")&amp;CHAR(10)&amp;IFERROR(IF(INDEX('Impact Indicators - Section B '!Y$1:Y$82,MATCH($A72,'Impact Indicators - Section B '!$A$1:$A$82,0))&lt;&gt;"",TEXT(INDEX('Impact Indicators - Section B '!Y$1:Y$82,MATCH($A72,'Impact Indicators - Section B '!$A$1:$A$82,0)),Setup!$A$33),""),"")</f>
        <v xml:space="preserve">/
</v>
      </c>
      <c r="T72" s="53"/>
      <c r="U72" s="13"/>
      <c r="V72" s="13"/>
      <c r="W72" s="13"/>
      <c r="X72" s="13"/>
      <c r="Y72" s="13"/>
      <c r="Z72" s="13"/>
      <c r="AA72" s="13"/>
      <c r="AB72" s="13"/>
      <c r="AC72" s="13"/>
      <c r="AD72" s="13"/>
      <c r="AE72" s="13"/>
      <c r="AF72" s="13"/>
      <c r="AG72" s="13"/>
      <c r="AH72" s="13"/>
      <c r="AI72" s="13"/>
      <c r="AJ72" s="13"/>
      <c r="AK72" s="13"/>
      <c r="AL72" s="13"/>
      <c r="AM72" s="13"/>
      <c r="AN72" s="13"/>
      <c r="AO72" s="13" t="str">
        <f ca="1">IFERROR(IF(INDEX('Impact Indicators - Section B '!AA$1:AA$82,MATCH($A72,'Impact Indicators - Section B '!$A$1:$A$82,0))&lt;&gt;0,INDEX('Impact Indicators - Section B '!AA$1:AA$82,MATCH($A72,'Impact Indicators - Section B '!$A$1:$A$82,0)),""),"")</f>
        <v/>
      </c>
      <c r="AP72" s="13"/>
      <c r="AQ72" s="13"/>
      <c r="AR72" s="13"/>
      <c r="AS72" s="13"/>
      <c r="AT72" s="13" t="str">
        <f>CONCATENATE($A72,J$52)</f>
        <v>10</v>
      </c>
      <c r="AU72" s="13" t="str">
        <f>CONCATENATE($A72,O$52)</f>
        <v>10</v>
      </c>
      <c r="AV72" s="13"/>
      <c r="AW72" s="13" t="str">
        <f>CONCATENATE($A72,X$52)</f>
        <v>10</v>
      </c>
      <c r="AX72" s="13" t="str">
        <f>CONCATENATE($A72,AB$52)</f>
        <v>10</v>
      </c>
      <c r="AY72" s="13"/>
      <c r="AZ72" s="13"/>
      <c r="BA72" s="13"/>
      <c r="BB72" s="13"/>
      <c r="BC72" s="56"/>
    </row>
    <row r="73" spans="1:55" s="15" customFormat="1" ht="100.35" customHeight="1">
      <c r="A73" s="619"/>
      <c r="B73" s="630" t="str">
        <f ca="1">IFERROR(IF(INDEX('Impact Indicators - Section B '!AA$1:AA$82,MATCH($A72,'Impact Indicators - Section B '!$A$1:$A$82,0))&lt;&gt;0,INDEX('Impact Indicators - Section B '!AA$1:AA$82,MATCH($A72,'Impact Indicators - Section B '!$A$1:$A$82,0)),""),"")</f>
        <v/>
      </c>
      <c r="C73" s="631"/>
      <c r="D73" s="631"/>
      <c r="E73" s="631"/>
      <c r="F73" s="631"/>
      <c r="G73" s="631"/>
      <c r="H73" s="631"/>
      <c r="I73" s="632"/>
      <c r="J73" s="632"/>
      <c r="K73" s="632"/>
      <c r="L73" s="632"/>
      <c r="M73" s="632"/>
      <c r="N73" s="632"/>
      <c r="O73" s="632"/>
      <c r="P73" s="632"/>
      <c r="Q73" s="632"/>
      <c r="R73" s="632"/>
      <c r="S73" s="633"/>
      <c r="T73" s="52"/>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56"/>
    </row>
    <row r="74" spans="1:55" s="14" customFormat="1" ht="145.35" customHeight="1">
      <c r="A74" s="618">
        <v>11</v>
      </c>
      <c r="B74" s="634" t="str">
        <f ca="1">IFERROR(IF(INDEX('Impact Indicators - Section B '!B$1:B$82,MATCH($A74,'Impact Indicators - Section B '!$A$1:$A$82,0))&lt;&gt;0,INDEX('Impact Indicators - Section B '!B$1:B$82,MATCH($A74,'Impact Indicators - Section B '!$A$1:$A$82,0)),""),"")</f>
        <v/>
      </c>
      <c r="C74" s="635"/>
      <c r="D74" s="636"/>
      <c r="E74" s="634" t="str">
        <f ca="1">IFERROR(IF(INDEX('Impact Indicators - Section B '!C$1:C$82,MATCH($A74,'Impact Indicators - Section B '!$A$1:$A$82,0))&lt;&gt;0,INDEX('Impact Indicators - Section B '!C$1:C$82,MATCH($A74,'Impact Indicators - Section B '!$A$1:$A$82,0)),""),"")</f>
        <v/>
      </c>
      <c r="F74" s="635"/>
      <c r="G74" s="636"/>
      <c r="H74" s="34" t="str">
        <f ca="1">IFERROR(IF(INDEX('Impact Indicators - Section B '!D$1:D$82,MATCH($A74,'Impact Indicators - Section B '!$A$1:$A$82,0))&lt;&gt;"",FIXED(INDEX('Impact Indicators - Section B '!D$1:D$82,MATCH($A74,'Impact Indicators - Section B '!$A$1:$A$82,0)),4),""),"")&amp;"/"&amp;IFERROR(IF(INDEX('Impact Indicators - Section B '!D$1:D$82,MATCH($A74,'Impact Indicators - Section B '!$A$1:$A$82,0)+1)&lt;&gt;"",FIXED(INDEX('Impact Indicators - Section B '!D$1:D$82,MATCH($A74,'Impact Indicators - Section B '!$A$1:$A$82,0)+1),2),""),"")&amp;CHAR(10)&amp;IFERROR(IF(INDEX('Impact Indicators - Section B '!E$1:E$82,MATCH($A74,'Impact Indicators - Section B '!$A$1:$A$82,0))&lt;&gt;"",FIXED(INDEX('Impact Indicators - Section B '!E$1:E$82,MATCH($A74,'Impact Indicators - Section B '!$A$1:$A$82,0))*100,2)&amp;"%",""),"")</f>
        <v xml:space="preserve">/
</v>
      </c>
      <c r="I74" s="40" t="str">
        <f ca="1">IFERROR(IF(INDEX('Impact Indicators - Section B '!F$1:F$82,MATCH($A74,'Impact Indicators - Section B '!$A$1:$A$82,0))&lt;&gt;0,INDEX('Impact Indicators - Section B '!F$1:F$82,MATCH($A74,'Impact Indicators - Section B '!$A$1:$A$82,0)),""),"")&amp;CHAR(10)&amp;IFERROR(IF(INDEX('Impact Indicators - Section B '!G$1:G$82,MATCH($A74,'Impact Indicators - Section B '!$A$1:$A$82,0))&lt;&gt;0,INDEX('Impact Indicators - Section B '!G$1:G$82,MATCH($A74,'Impact Indicators - Section B '!$A$1:$A$82,0)),""),"")</f>
        <v xml:space="preserve">
</v>
      </c>
      <c r="J74" s="634" t="str">
        <f ca="1">IFERROR(IF(INDEX('Impact Indicators - Section B '!H$1:H$82,MATCH($A74,'Impact Indicators - Section B '!$A$1:$A$82,0))&lt;&gt;0,INDEX('Impact Indicators - Section B '!H$1:H$82,MATCH($A74,'Impact Indicators - Section B '!$A$1:$A$82,0)),""),"")</f>
        <v/>
      </c>
      <c r="K74" s="635"/>
      <c r="L74" s="635"/>
      <c r="M74" s="636"/>
      <c r="N74" s="41" t="str">
        <f ca="1">IFERROR(IF(AND('Overview - Section A'!AN$5="Grant Making",OR(B74&lt;&gt;"",E74&lt;&gt;"")),Setup!I15,IF(INDEX('Impact Indicators - Section B '!I$1:I$82,MATCH($A74,'Impact Indicators - Section B '!$A$1:$A$82,0))&lt;&gt;0,INDEX('Impact Indicators - Section B '!I$1:I$82,MATCH($A74,'Impact Indicators - Section B '!$A$1:$A$82,0)),"")),"")</f>
        <v/>
      </c>
      <c r="O74" s="40" t="str">
        <f ca="1">IFERROR(IF(INDEX('Impact Indicators - Section B '!J$1:J$82,MATCH($A74,'Impact Indicators - Section B '!$A$1:$A$82,0))&lt;&gt;0,INDEX('Impact Indicators - Section B '!J$1:J$82,MATCH($A74,'Impact Indicators - Section B '!$A$1:$A$82,0)),""),"")</f>
        <v/>
      </c>
      <c r="P74" s="42" t="str">
        <f ca="1">IFERROR(IF(INDEX('Impact Indicators - Section B '!K$1:K$82,MATCH($A74,'Impact Indicators - Section B '!$A$1:$A$82,0))&lt;&gt;"",FIXED(INDEX('Impact Indicators - Section B '!K$1:K$82,MATCH($A74,'Impact Indicators - Section B '!$A$1:$A$82,0)),4),""),"")&amp;"/"&amp;IFERROR(IF(INDEX('Impact Indicators - Section B '!K$1:K$82,MATCH($A74,'Impact Indicators - Section B '!$A$1:$A$82,0)+1)&lt;&gt;"",FIXED(INDEX('Impact Indicators - Section B '!K$1:K$82,MATCH($A74,'Impact Indicators - Section B '!$A$1:$A$82,0)+1),2),""),"")&amp;CHAR(10)&amp;IFERROR(IF(INDEX('Impact Indicators - Section B '!L$1:L$82,MATCH($A74,'Impact Indicators - Section B '!$A$1:$A$82,0))&lt;&gt;"",FIXED(INDEX('Impact Indicators - Section B '!L$1:L$82,MATCH($A74,'Impact Indicators - Section B '!$A$1:$A$82,0))*100,2)&amp;"%",""),"")&amp;CHAR(10)&amp;IFERROR(IF(INDEX('Impact Indicators - Section B '!N$1:N$82,MATCH($A74,'Impact Indicators - Section B '!$A$1:$A$82,0))&lt;&gt;"",INDEX('Impact Indicators - Section B '!N$1:N$82,MATCH($A74,'Impact Indicators - Section B '!$A$1:$A$82,0)),""),"")&amp;CHAR(10)&amp;IFERROR(IF(INDEX('Impact Indicators - Section B '!M$1:M$82,MATCH($A74,'Impact Indicators - Section B '!$A$1:$A$82,0))&lt;&gt;"",TEXT(INDEX('Impact Indicators - Section B '!M$1:M$82,MATCH($A74,'Impact Indicators - Section B '!$A$1:$A$82,0)),Setup!$A$33),""),"")</f>
        <v xml:space="preserve">/
</v>
      </c>
      <c r="Q74" s="42" t="str">
        <f ca="1">IFERROR(IF(INDEX('Impact Indicators - Section B '!O$1:O$82,MATCH($A74,'Impact Indicators - Section B '!$A$1:$A$82,0))&lt;&gt;"",FIXED(INDEX('Impact Indicators - Section B '!O$1:O$82,MATCH($A74,'Impact Indicators - Section B '!$A$1:$A$82,0)),4),""),"")&amp;"/"&amp;IFERROR(IF(INDEX('Impact Indicators - Section B '!O$1:O$82,MATCH($A74,'Impact Indicators - Section B '!$A$1:$A$82,0)+1)&lt;&gt;"",FIXED(INDEX('Impact Indicators - Section B '!O$1:O$82,MATCH($A74,'Impact Indicators - Section B '!$A$1:$A$82,0)+1),2),""),"")&amp;CHAR(10)&amp;IFERROR(IF(INDEX('Impact Indicators - Section B '!P$1:P$82,MATCH($A74,'Impact Indicators - Section B '!$A$1:$A$82,0))&lt;&gt;"",FIXED(INDEX('Impact Indicators - Section B '!P$1:P$82,MATCH($A74,'Impact Indicators - Section B '!$A$1:$A$82,0))*100,2)&amp;"%",""),"")&amp;CHAR(10)&amp;IFERROR(IF(INDEX('Impact Indicators - Section B '!R$1:R$82,MATCH($A74,'Impact Indicators - Section B '!$A$1:$A$82,0))&lt;&gt;"",INDEX('Impact Indicators - Section B '!R$1:R$82,MATCH($A74,'Impact Indicators - Section B '!$A$1:$A$82,0)),""),"")&amp;CHAR(10)&amp;IFERROR(IF(INDEX('Impact Indicators - Section B '!Q$1:Q$82,MATCH($A74,'Impact Indicators - Section B '!$A$1:$A$82,0))&lt;&gt;"",TEXT(INDEX('Impact Indicators - Section B '!Q$1:Q$82,MATCH($A74,'Impact Indicators - Section B '!$A$1:$A$82,0)),Setup!$A$33),""),"")</f>
        <v xml:space="preserve">/
</v>
      </c>
      <c r="R74" s="42" t="str">
        <f ca="1">IFERROR(IF(INDEX('Impact Indicators - Section B '!S$1:S$82,MATCH($A74,'Impact Indicators - Section B '!$A$1:$A$82,0))&lt;&gt;"",FIXED(INDEX('Impact Indicators - Section B '!S$1:S$82,MATCH($A74,'Impact Indicators - Section B '!$A$1:$A$82,0)),4),""),"")&amp;"/"&amp;IFERROR(IF(INDEX('Impact Indicators - Section B '!S$1:S$82,MATCH($A74,'Impact Indicators - Section B '!$A$1:$A$82,0)+1)&lt;&gt;"",FIXED(INDEX('Impact Indicators - Section B '!S$1:S$82,MATCH($A74,'Impact Indicators - Section B '!$A$1:$A$82,0)+1),2),""),"")&amp;CHAR(10)&amp;IFERROR(IF(INDEX('Impact Indicators - Section B '!T$1:T$82,MATCH($A74,'Impact Indicators - Section B '!$A$1:$A$82,0))&lt;&gt;"",FIXED(INDEX('Impact Indicators - Section B '!T$1:T$82,MATCH($A74,'Impact Indicators - Section B '!$A$1:$A$82,0))*100,2)&amp;"%",""),"")&amp;CHAR(10)&amp;IFERROR(IF(INDEX('Impact Indicators - Section B '!V$1:V$82,MATCH($A74,'Impact Indicators - Section B '!$A$1:$A$82,0))&lt;&gt;"",INDEX('Impact Indicators - Section B '!V$1:V$82,MATCH($A74,'Impact Indicators - Section B '!$A$1:$A$82,0)),""),"")&amp;CHAR(10)&amp;IFERROR(IF(INDEX('Impact Indicators - Section B '!U$1:U$82,MATCH($A74,'Impact Indicators - Section B '!$A$1:$A$82,0))&lt;&gt;"",TEXT(INDEX('Impact Indicators - Section B '!U$1:U$82,MATCH($A74,'Impact Indicators - Section B '!$A$1:$A$82,0)),Setup!$A$33),""),"")</f>
        <v xml:space="preserve">/
</v>
      </c>
      <c r="S74" s="42" t="str">
        <f ca="1">IFERROR(IF(INDEX('Impact Indicators - Section B '!W$1:W$82,MATCH($A74,'Impact Indicators - Section B '!$A$1:$A$82,0))&lt;&gt;"",FIXED(INDEX('Impact Indicators - Section B '!W$1:W$82,MATCH($A74,'Impact Indicators - Section B '!$A$1:$A$82,0)),4),""),"")&amp;"/"&amp;IFERROR(IF(INDEX('Impact Indicators - Section B '!W$1:W$82,MATCH($A74,'Impact Indicators - Section B '!$A$1:$A$82,0)+1)&lt;&gt;"",FIXED(INDEX('Impact Indicators - Section B '!W$1:W$82,MATCH($A74,'Impact Indicators - Section B '!$A$1:$A$82,0)+1),2),""),"")&amp;CHAR(10)&amp;IFERROR(IF(INDEX('Impact Indicators - Section B '!X$1:X$82,MATCH($A74,'Impact Indicators - Section B '!$A$1:$A$82,0))&lt;&gt;"",FIXED(INDEX('Impact Indicators - Section B '!X$1:X$82,MATCH($A74,'Impact Indicators - Section B '!$A$1:$A$82,0))*100,2)&amp;"%",""),"")&amp;CHAR(10)&amp;IFERROR(IF(INDEX('Impact Indicators - Section B '!Z$1:Z$82,MATCH($A74,'Impact Indicators - Section B '!$A$1:$A$82,0))&lt;&gt;"",INDEX('Impact Indicators - Section B '!Z$1:Z$82,MATCH($A74,'Impact Indicators - Section B '!$A$1:$A$82,0)),""),"")&amp;CHAR(10)&amp;IFERROR(IF(INDEX('Impact Indicators - Section B '!Y$1:Y$82,MATCH($A74,'Impact Indicators - Section B '!$A$1:$A$82,0))&lt;&gt;"",TEXT(INDEX('Impact Indicators - Section B '!Y$1:Y$82,MATCH($A74,'Impact Indicators - Section B '!$A$1:$A$82,0)),Setup!$A$33),""),"")</f>
        <v xml:space="preserve">/
</v>
      </c>
      <c r="T74" s="51"/>
      <c r="U74" s="13"/>
      <c r="V74" s="13"/>
      <c r="W74" s="13"/>
      <c r="X74" s="13"/>
      <c r="Y74" s="13"/>
      <c r="Z74" s="13"/>
      <c r="AA74" s="13"/>
      <c r="AB74" s="13"/>
      <c r="AC74" s="13"/>
      <c r="AD74" s="13"/>
      <c r="AE74" s="13"/>
      <c r="AF74" s="13"/>
      <c r="AG74" s="13"/>
      <c r="AH74" s="13"/>
      <c r="AI74" s="13"/>
      <c r="AJ74" s="13"/>
      <c r="AK74" s="13"/>
      <c r="AL74" s="13"/>
      <c r="AM74" s="13"/>
      <c r="AN74" s="13"/>
      <c r="AO74" s="13" t="str">
        <f ca="1">IFERROR(IF(INDEX('Impact Indicators - Section B '!AA$1:AA$82,MATCH($A74,'Impact Indicators - Section B '!$A$1:$A$82,0))&lt;&gt;0,INDEX('Impact Indicators - Section B '!AA$1:AA$82,MATCH($A74,'Impact Indicators - Section B '!$A$1:$A$82,0)),""),"")</f>
        <v/>
      </c>
      <c r="AP74" s="13"/>
      <c r="AQ74" s="13"/>
      <c r="AR74" s="13"/>
      <c r="AS74" s="13"/>
      <c r="AT74" s="13" t="str">
        <f>CONCATENATE($A74,J$52)</f>
        <v>11</v>
      </c>
      <c r="AU74" s="13" t="str">
        <f>CONCATENATE($A74,O$52)</f>
        <v>11</v>
      </c>
      <c r="AV74" s="13"/>
      <c r="AW74" s="13" t="str">
        <f>CONCATENATE($A74,X$52)</f>
        <v>11</v>
      </c>
      <c r="AX74" s="13" t="str">
        <f>CONCATENATE($A74,AB$52)</f>
        <v>11</v>
      </c>
      <c r="AY74" s="13"/>
      <c r="AZ74" s="13"/>
      <c r="BA74" s="13"/>
      <c r="BB74" s="13"/>
      <c r="BC74" s="55"/>
    </row>
    <row r="75" spans="1:55" s="14" customFormat="1" ht="100.35" customHeight="1">
      <c r="A75" s="618"/>
      <c r="B75" s="624" t="str">
        <f ca="1">IFERROR(IF(INDEX('Impact Indicators - Section B '!AA$1:AA$82,MATCH($A74,'Impact Indicators - Section B '!$A$1:$A$82,0))&lt;&gt;0,INDEX('Impact Indicators - Section B '!AA$1:AA$82,MATCH($A74,'Impact Indicators - Section B '!$A$1:$A$82,0)),""),"")</f>
        <v/>
      </c>
      <c r="C75" s="625"/>
      <c r="D75" s="625"/>
      <c r="E75" s="625"/>
      <c r="F75" s="625"/>
      <c r="G75" s="625"/>
      <c r="H75" s="625"/>
      <c r="I75" s="625"/>
      <c r="J75" s="625"/>
      <c r="K75" s="625"/>
      <c r="L75" s="625"/>
      <c r="M75" s="625"/>
      <c r="N75" s="625"/>
      <c r="O75" s="625"/>
      <c r="P75" s="625"/>
      <c r="Q75" s="625"/>
      <c r="R75" s="625"/>
      <c r="S75" s="626"/>
      <c r="T75" s="52"/>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55"/>
    </row>
    <row r="76" spans="1:55" s="15" customFormat="1" ht="145.35" customHeight="1">
      <c r="A76" s="619">
        <v>12</v>
      </c>
      <c r="B76" s="627" t="str">
        <f ca="1">IFERROR(IF(INDEX('Impact Indicators - Section B '!B$1:B$82,MATCH($A76,'Impact Indicators - Section B '!$A$1:$A$82,0))&lt;&gt;0,INDEX('Impact Indicators - Section B '!B$1:B$82,MATCH($A76,'Impact Indicators - Section B '!$A$1:$A$82,0)),""),"")</f>
        <v/>
      </c>
      <c r="C76" s="628"/>
      <c r="D76" s="629"/>
      <c r="E76" s="627" t="str">
        <f ca="1">IFERROR(IF(INDEX('Impact Indicators - Section B '!C$1:C$82,MATCH($A76,'Impact Indicators - Section B '!$A$1:$A$82,0))&lt;&gt;0,INDEX('Impact Indicators - Section B '!C$1:C$82,MATCH($A76,'Impact Indicators - Section B '!$A$1:$A$82,0)),""),"")</f>
        <v/>
      </c>
      <c r="F76" s="628"/>
      <c r="G76" s="629"/>
      <c r="H76" s="35" t="str">
        <f ca="1">IFERROR(IF(INDEX('Impact Indicators - Section B '!D$1:D$82,MATCH($A76,'Impact Indicators - Section B '!$A$1:$A$82,0))&lt;&gt;"",FIXED(INDEX('Impact Indicators - Section B '!D$1:D$82,MATCH($A76,'Impact Indicators - Section B '!$A$1:$A$82,0)),4),""),"")&amp;"/"&amp;IFERROR(IF(INDEX('Impact Indicators - Section B '!D$1:D$82,MATCH($A76,'Impact Indicators - Section B '!$A$1:$A$82,0)+1)&lt;&gt;"",FIXED(INDEX('Impact Indicators - Section B '!D$1:D$82,MATCH($A76,'Impact Indicators - Section B '!$A$1:$A$82,0)+1),2),""),"")&amp;CHAR(10)&amp;IFERROR(IF(INDEX('Impact Indicators - Section B '!E$1:E$82,MATCH($A76,'Impact Indicators - Section B '!$A$1:$A$82,0))&lt;&gt;"",FIXED(INDEX('Impact Indicators - Section B '!E$1:E$82,MATCH($A76,'Impact Indicators - Section B '!$A$1:$A$82,0))*100,2)&amp;"%",""),"")</f>
        <v xml:space="preserve">/
</v>
      </c>
      <c r="I76" s="43" t="str">
        <f ca="1">IFERROR(IF(INDEX('Impact Indicators - Section B '!F$1:F$82,MATCH($A76,'Impact Indicators - Section B '!$A$1:$A$82,0))&lt;&gt;0,INDEX('Impact Indicators - Section B '!F$1:F$82,MATCH($A76,'Impact Indicators - Section B '!$A$1:$A$82,0)),""),"")&amp;CHAR(10)&amp;IFERROR(IF(INDEX('Impact Indicators - Section B '!G$1:G$82,MATCH($A76,'Impact Indicators - Section B '!$A$1:$A$82,0))&lt;&gt;0,INDEX('Impact Indicators - Section B '!G$1:G$82,MATCH($A76,'Impact Indicators - Section B '!$A$1:$A$82,0)),""),"")</f>
        <v xml:space="preserve">
</v>
      </c>
      <c r="J76" s="627" t="str">
        <f ca="1">IFERROR(IF(INDEX('Impact Indicators - Section B '!H$1:H$82,MATCH($A76,'Impact Indicators - Section B '!$A$1:$A$82,0))&lt;&gt;0,INDEX('Impact Indicators - Section B '!H$1:H$82,MATCH($A76,'Impact Indicators - Section B '!$A$1:$A$82,0)),""),"")</f>
        <v/>
      </c>
      <c r="K76" s="628"/>
      <c r="L76" s="628"/>
      <c r="M76" s="629"/>
      <c r="N76" s="44" t="str">
        <f ca="1">IFERROR(IF(AND('Overview - Section A'!AN$5="Grant Making",OR(B76&lt;&gt;"",E76&lt;&gt;"")),Setup!I15,IF(INDEX('Impact Indicators - Section B '!I$1:I$82,MATCH($A76,'Impact Indicators - Section B '!$A$1:$A$82,0))&lt;&gt;0,INDEX('Impact Indicators - Section B '!I$1:I$82,MATCH($A76,'Impact Indicators - Section B '!$A$1:$A$82,0)),"")),"")</f>
        <v/>
      </c>
      <c r="O76" s="43" t="str">
        <f ca="1">IFERROR(IF(INDEX('Impact Indicators - Section B '!J$1:J$82,MATCH($A76,'Impact Indicators - Section B '!$A$1:$A$82,0))&lt;&gt;0,INDEX('Impact Indicators - Section B '!J$1:J$82,MATCH($A76,'Impact Indicators - Section B '!$A$1:$A$82,0)),""),"")</f>
        <v/>
      </c>
      <c r="P76" s="45" t="str">
        <f ca="1">IFERROR(IF(INDEX('Impact Indicators - Section B '!K$1:K$82,MATCH($A76,'Impact Indicators - Section B '!$A$1:$A$82,0))&lt;&gt;"",FIXED(INDEX('Impact Indicators - Section B '!K$1:K$82,MATCH($A76,'Impact Indicators - Section B '!$A$1:$A$82,0)),4),""),"")&amp;"/"&amp;IFERROR(IF(INDEX('Impact Indicators - Section B '!K$1:K$82,MATCH($A76,'Impact Indicators - Section B '!$A$1:$A$82,0)+1)&lt;&gt;"",FIXED(INDEX('Impact Indicators - Section B '!K$1:K$82,MATCH($A76,'Impact Indicators - Section B '!$A$1:$A$82,0)+1),2),""),"")&amp;CHAR(10)&amp;IFERROR(IF(INDEX('Impact Indicators - Section B '!L$1:L$82,MATCH($A76,'Impact Indicators - Section B '!$A$1:$A$82,0))&lt;&gt;"",FIXED(INDEX('Impact Indicators - Section B '!L$1:L$82,MATCH($A76,'Impact Indicators - Section B '!$A$1:$A$82,0))*100,2)&amp;"%",""),"")&amp;CHAR(10)&amp;IFERROR(IF(INDEX('Impact Indicators - Section B '!N$1:N$82,MATCH($A76,'Impact Indicators - Section B '!$A$1:$A$82,0))&lt;&gt;"",INDEX('Impact Indicators - Section B '!N$1:N$82,MATCH($A76,'Impact Indicators - Section B '!$A$1:$A$82,0)),""),"")&amp;CHAR(10)&amp;IFERROR(IF(INDEX('Impact Indicators - Section B '!M$1:M$82,MATCH($A76,'Impact Indicators - Section B '!$A$1:$A$82,0))&lt;&gt;"",TEXT(INDEX('Impact Indicators - Section B '!M$1:M$82,MATCH($A76,'Impact Indicators - Section B '!$A$1:$A$82,0)),Setup!$A$33),""),"")</f>
        <v xml:space="preserve">/
</v>
      </c>
      <c r="Q76" s="45" t="str">
        <f ca="1">IFERROR(IF(INDEX('Impact Indicators - Section B '!O$1:O$82,MATCH($A76,'Impact Indicators - Section B '!$A$1:$A$82,0))&lt;&gt;"",FIXED(INDEX('Impact Indicators - Section B '!O$1:O$82,MATCH($A76,'Impact Indicators - Section B '!$A$1:$A$82,0)),4),""),"")&amp;"/"&amp;IFERROR(IF(INDEX('Impact Indicators - Section B '!O$1:O$82,MATCH($A76,'Impact Indicators - Section B '!$A$1:$A$82,0)+1)&lt;&gt;"",FIXED(INDEX('Impact Indicators - Section B '!O$1:O$82,MATCH($A76,'Impact Indicators - Section B '!$A$1:$A$82,0)+1),2),""),"")&amp;CHAR(10)&amp;IFERROR(IF(INDEX('Impact Indicators - Section B '!P$1:P$82,MATCH($A76,'Impact Indicators - Section B '!$A$1:$A$82,0))&lt;&gt;"",FIXED(INDEX('Impact Indicators - Section B '!P$1:P$82,MATCH($A76,'Impact Indicators - Section B '!$A$1:$A$82,0))*100,2)&amp;"%",""),"")&amp;CHAR(10)&amp;IFERROR(IF(INDEX('Impact Indicators - Section B '!R$1:R$82,MATCH($A76,'Impact Indicators - Section B '!$A$1:$A$82,0))&lt;&gt;"",INDEX('Impact Indicators - Section B '!R$1:R$82,MATCH($A76,'Impact Indicators - Section B '!$A$1:$A$82,0)),""),"")&amp;CHAR(10)&amp;IFERROR(IF(INDEX('Impact Indicators - Section B '!Q$1:Q$82,MATCH($A76,'Impact Indicators - Section B '!$A$1:$A$82,0))&lt;&gt;"",TEXT(INDEX('Impact Indicators - Section B '!Q$1:Q$82,MATCH($A76,'Impact Indicators - Section B '!$A$1:$A$82,0)),Setup!$A$33),""),"")</f>
        <v xml:space="preserve">/
</v>
      </c>
      <c r="R76" s="45" t="str">
        <f ca="1">IFERROR(IF(INDEX('Impact Indicators - Section B '!S$1:S$82,MATCH($A76,'Impact Indicators - Section B '!$A$1:$A$82,0))&lt;&gt;"",FIXED(INDEX('Impact Indicators - Section B '!S$1:S$82,MATCH($A76,'Impact Indicators - Section B '!$A$1:$A$82,0)),4),""),"")&amp;"/"&amp;IFERROR(IF(INDEX('Impact Indicators - Section B '!S$1:S$82,MATCH($A76,'Impact Indicators - Section B '!$A$1:$A$82,0)+1)&lt;&gt;"",FIXED(INDEX('Impact Indicators - Section B '!S$1:S$82,MATCH($A76,'Impact Indicators - Section B '!$A$1:$A$82,0)+1),2),""),"")&amp;CHAR(10)&amp;IFERROR(IF(INDEX('Impact Indicators - Section B '!T$1:T$82,MATCH($A76,'Impact Indicators - Section B '!$A$1:$A$82,0))&lt;&gt;"",FIXED(INDEX('Impact Indicators - Section B '!T$1:T$82,MATCH($A76,'Impact Indicators - Section B '!$A$1:$A$82,0))*100,2)&amp;"%",""),"")&amp;CHAR(10)&amp;IFERROR(IF(INDEX('Impact Indicators - Section B '!V$1:V$82,MATCH($A76,'Impact Indicators - Section B '!$A$1:$A$82,0))&lt;&gt;"",INDEX('Impact Indicators - Section B '!V$1:V$82,MATCH($A76,'Impact Indicators - Section B '!$A$1:$A$82,0)),""),"")&amp;CHAR(10)&amp;IFERROR(IF(INDEX('Impact Indicators - Section B '!U$1:U$82,MATCH($A76,'Impact Indicators - Section B '!$A$1:$A$82,0))&lt;&gt;"",TEXT(INDEX('Impact Indicators - Section B '!U$1:U$82,MATCH($A76,'Impact Indicators - Section B '!$A$1:$A$82,0)),Setup!$A$33),""),"")</f>
        <v xml:space="preserve">/
</v>
      </c>
      <c r="S76" s="45" t="str">
        <f ca="1">IFERROR(IF(INDEX('Impact Indicators - Section B '!W$1:W$82,MATCH($A76,'Impact Indicators - Section B '!$A$1:$A$82,0))&lt;&gt;"",FIXED(INDEX('Impact Indicators - Section B '!W$1:W$82,MATCH($A76,'Impact Indicators - Section B '!$A$1:$A$82,0)),4),""),"")&amp;"/"&amp;IFERROR(IF(INDEX('Impact Indicators - Section B '!W$1:W$82,MATCH($A76,'Impact Indicators - Section B '!$A$1:$A$82,0)+1)&lt;&gt;"",FIXED(INDEX('Impact Indicators - Section B '!W$1:W$82,MATCH($A76,'Impact Indicators - Section B '!$A$1:$A$82,0)+1),2),""),"")&amp;CHAR(10)&amp;IFERROR(IF(INDEX('Impact Indicators - Section B '!X$1:X$82,MATCH($A76,'Impact Indicators - Section B '!$A$1:$A$82,0))&lt;&gt;"",FIXED(INDEX('Impact Indicators - Section B '!X$1:X$82,MATCH($A76,'Impact Indicators - Section B '!$A$1:$A$82,0))*100,2)&amp;"%",""),"")&amp;CHAR(10)&amp;IFERROR(IF(INDEX('Impact Indicators - Section B '!Z$1:Z$82,MATCH($A76,'Impact Indicators - Section B '!$A$1:$A$82,0))&lt;&gt;"",INDEX('Impact Indicators - Section B '!Z$1:Z$82,MATCH($A76,'Impact Indicators - Section B '!$A$1:$A$82,0)),""),"")&amp;CHAR(10)&amp;IFERROR(IF(INDEX('Impact Indicators - Section B '!Y$1:Y$82,MATCH($A76,'Impact Indicators - Section B '!$A$1:$A$82,0))&lt;&gt;"",TEXT(INDEX('Impact Indicators - Section B '!Y$1:Y$82,MATCH($A76,'Impact Indicators - Section B '!$A$1:$A$82,0)),Setup!$A$33),""),"")</f>
        <v xml:space="preserve">/
</v>
      </c>
      <c r="T76" s="53"/>
      <c r="U76" s="13"/>
      <c r="V76" s="13"/>
      <c r="W76" s="13"/>
      <c r="X76" s="13"/>
      <c r="Y76" s="13"/>
      <c r="Z76" s="13"/>
      <c r="AA76" s="13"/>
      <c r="AB76" s="13"/>
      <c r="AC76" s="13"/>
      <c r="AD76" s="13"/>
      <c r="AE76" s="13"/>
      <c r="AF76" s="13"/>
      <c r="AG76" s="13"/>
      <c r="AH76" s="13"/>
      <c r="AI76" s="13"/>
      <c r="AJ76" s="13"/>
      <c r="AK76" s="13"/>
      <c r="AL76" s="13"/>
      <c r="AM76" s="13"/>
      <c r="AN76" s="13"/>
      <c r="AO76" s="13" t="str">
        <f ca="1">IFERROR(IF(INDEX('Impact Indicators - Section B '!AA$1:AA$82,MATCH($A76,'Impact Indicators - Section B '!$A$1:$A$82,0))&lt;&gt;0,INDEX('Impact Indicators - Section B '!AA$1:AA$82,MATCH($A76,'Impact Indicators - Section B '!$A$1:$A$82,0)),""),"")</f>
        <v/>
      </c>
      <c r="AP76" s="13"/>
      <c r="AQ76" s="13"/>
      <c r="AR76" s="13"/>
      <c r="AS76" s="13"/>
      <c r="AT76" s="13" t="str">
        <f>CONCATENATE($A76,J$52)</f>
        <v>12</v>
      </c>
      <c r="AU76" s="13" t="str">
        <f>CONCATENATE($A76,O$52)</f>
        <v>12</v>
      </c>
      <c r="AV76" s="13"/>
      <c r="AW76" s="13" t="str">
        <f>CONCATENATE($A76,X$52)</f>
        <v>12</v>
      </c>
      <c r="AX76" s="13" t="str">
        <f>CONCATENATE($A76,AB$52)</f>
        <v>12</v>
      </c>
      <c r="AY76" s="13"/>
      <c r="AZ76" s="13"/>
      <c r="BA76" s="13"/>
      <c r="BB76" s="13"/>
      <c r="BC76" s="56"/>
    </row>
    <row r="77" spans="1:55" s="15" customFormat="1" ht="100.35" customHeight="1">
      <c r="A77" s="619"/>
      <c r="B77" s="630" t="str">
        <f ca="1">IFERROR(IF(INDEX('Impact Indicators - Section B '!AA$1:AA$82,MATCH($A76,'Impact Indicators - Section B '!$A$1:$A$82,0))&lt;&gt;0,INDEX('Impact Indicators - Section B '!AA$1:AA$82,MATCH($A76,'Impact Indicators - Section B '!$A$1:$A$82,0)),""),"")</f>
        <v/>
      </c>
      <c r="C77" s="631"/>
      <c r="D77" s="631"/>
      <c r="E77" s="631"/>
      <c r="F77" s="631"/>
      <c r="G77" s="631"/>
      <c r="H77" s="631"/>
      <c r="I77" s="632"/>
      <c r="J77" s="632"/>
      <c r="K77" s="632"/>
      <c r="L77" s="632"/>
      <c r="M77" s="632"/>
      <c r="N77" s="632"/>
      <c r="O77" s="632"/>
      <c r="P77" s="632"/>
      <c r="Q77" s="632"/>
      <c r="R77" s="632"/>
      <c r="S77" s="633"/>
      <c r="T77" s="52"/>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56"/>
    </row>
    <row r="78" spans="1:55" s="14" customFormat="1" ht="145.35" customHeight="1">
      <c r="A78" s="618">
        <v>13</v>
      </c>
      <c r="B78" s="634" t="str">
        <f ca="1">IFERROR(IF(INDEX('Impact Indicators - Section B '!B$1:B$82,MATCH($A78,'Impact Indicators - Section B '!$A$1:$A$82,0))&lt;&gt;0,INDEX('Impact Indicators - Section B '!B$1:B$82,MATCH($A78,'Impact Indicators - Section B '!$A$1:$A$82,0)),""),"")</f>
        <v/>
      </c>
      <c r="C78" s="635"/>
      <c r="D78" s="636"/>
      <c r="E78" s="634" t="str">
        <f ca="1">IFERROR(IF(INDEX('Impact Indicators - Section B '!C$1:C$82,MATCH($A78,'Impact Indicators - Section B '!$A$1:$A$82,0))&lt;&gt;0,INDEX('Impact Indicators - Section B '!C$1:C$82,MATCH($A78,'Impact Indicators - Section B '!$A$1:$A$82,0)),""),"")</f>
        <v/>
      </c>
      <c r="F78" s="635"/>
      <c r="G78" s="636"/>
      <c r="H78" s="34" t="str">
        <f ca="1">IFERROR(IF(INDEX('Impact Indicators - Section B '!D$1:D$82,MATCH($A78,'Impact Indicators - Section B '!$A$1:$A$82,0))&lt;&gt;"",FIXED(INDEX('Impact Indicators - Section B '!D$1:D$82,MATCH($A78,'Impact Indicators - Section B '!$A$1:$A$82,0)),4),""),"")&amp;"/"&amp;IFERROR(IF(INDEX('Impact Indicators - Section B '!D$1:D$82,MATCH($A78,'Impact Indicators - Section B '!$A$1:$A$82,0)+1)&lt;&gt;"",FIXED(INDEX('Impact Indicators - Section B '!D$1:D$82,MATCH($A78,'Impact Indicators - Section B '!$A$1:$A$82,0)+1),2),""),"")&amp;CHAR(10)&amp;IFERROR(IF(INDEX('Impact Indicators - Section B '!E$1:E$82,MATCH($A78,'Impact Indicators - Section B '!$A$1:$A$82,0))&lt;&gt;"",FIXED(INDEX('Impact Indicators - Section B '!E$1:E$82,MATCH($A78,'Impact Indicators - Section B '!$A$1:$A$82,0))*100,2)&amp;"%",""),"")</f>
        <v xml:space="preserve">/
</v>
      </c>
      <c r="I78" s="40" t="str">
        <f ca="1">IFERROR(IF(INDEX('Impact Indicators - Section B '!F$1:F$82,MATCH($A78,'Impact Indicators - Section B '!$A$1:$A$82,0))&lt;&gt;0,INDEX('Impact Indicators - Section B '!F$1:F$82,MATCH($A78,'Impact Indicators - Section B '!$A$1:$A$82,0)),""),"")&amp;CHAR(10)&amp;IFERROR(IF(INDEX('Impact Indicators - Section B '!G$1:G$82,MATCH($A78,'Impact Indicators - Section B '!$A$1:$A$82,0))&lt;&gt;0,INDEX('Impact Indicators - Section B '!G$1:G$82,MATCH($A78,'Impact Indicators - Section B '!$A$1:$A$82,0)),""),"")</f>
        <v xml:space="preserve">
</v>
      </c>
      <c r="J78" s="634" t="str">
        <f ca="1">IFERROR(IF(INDEX('Impact Indicators - Section B '!H$1:H$82,MATCH($A78,'Impact Indicators - Section B '!$A$1:$A$82,0))&lt;&gt;0,INDEX('Impact Indicators - Section B '!H$1:H$82,MATCH($A78,'Impact Indicators - Section B '!$A$1:$A$82,0)),""),"")</f>
        <v/>
      </c>
      <c r="K78" s="635"/>
      <c r="L78" s="635"/>
      <c r="M78" s="636"/>
      <c r="N78" s="41" t="str">
        <f ca="1">IFERROR(IF(AND('Overview - Section A'!AN$5="Grant Making",OR(B78&lt;&gt;"",E78&lt;&gt;"")),Setup!I15,IF(INDEX('Impact Indicators - Section B '!I$1:I$82,MATCH($A78,'Impact Indicators - Section B '!$A$1:$A$82,0))&lt;&gt;0,INDEX('Impact Indicators - Section B '!I$1:I$82,MATCH($A78,'Impact Indicators - Section B '!$A$1:$A$82,0)),"")),"")</f>
        <v/>
      </c>
      <c r="O78" s="40" t="str">
        <f ca="1">IFERROR(IF(INDEX('Impact Indicators - Section B '!J$1:J$82,MATCH($A78,'Impact Indicators - Section B '!$A$1:$A$82,0))&lt;&gt;0,INDEX('Impact Indicators - Section B '!J$1:J$82,MATCH($A78,'Impact Indicators - Section B '!$A$1:$A$82,0)),""),"")</f>
        <v/>
      </c>
      <c r="P78" s="42" t="str">
        <f ca="1">IFERROR(IF(INDEX('Impact Indicators - Section B '!K$1:K$82,MATCH($A78,'Impact Indicators - Section B '!$A$1:$A$82,0))&lt;&gt;"",FIXED(INDEX('Impact Indicators - Section B '!K$1:K$82,MATCH($A78,'Impact Indicators - Section B '!$A$1:$A$82,0)),4),""),"")&amp;"/"&amp;IFERROR(IF(INDEX('Impact Indicators - Section B '!K$1:K$82,MATCH($A78,'Impact Indicators - Section B '!$A$1:$A$82,0)+1)&lt;&gt;"",FIXED(INDEX('Impact Indicators - Section B '!K$1:K$82,MATCH($A78,'Impact Indicators - Section B '!$A$1:$A$82,0)+1),2),""),"")&amp;CHAR(10)&amp;IFERROR(IF(INDEX('Impact Indicators - Section B '!L$1:L$82,MATCH($A78,'Impact Indicators - Section B '!$A$1:$A$82,0))&lt;&gt;"",FIXED(INDEX('Impact Indicators - Section B '!L$1:L$82,MATCH($A78,'Impact Indicators - Section B '!$A$1:$A$82,0))*100,2)&amp;"%",""),"")&amp;CHAR(10)&amp;IFERROR(IF(INDEX('Impact Indicators - Section B '!N$1:N$82,MATCH($A78,'Impact Indicators - Section B '!$A$1:$A$82,0))&lt;&gt;"",INDEX('Impact Indicators - Section B '!N$1:N$82,MATCH($A78,'Impact Indicators - Section B '!$A$1:$A$82,0)),""),"")&amp;CHAR(10)&amp;IFERROR(IF(INDEX('Impact Indicators - Section B '!M$1:M$82,MATCH($A78,'Impact Indicators - Section B '!$A$1:$A$82,0))&lt;&gt;"",TEXT(INDEX('Impact Indicators - Section B '!M$1:M$82,MATCH($A78,'Impact Indicators - Section B '!$A$1:$A$82,0)),Setup!$A$33),""),"")</f>
        <v xml:space="preserve">/
</v>
      </c>
      <c r="Q78" s="42" t="str">
        <f ca="1">IFERROR(IF(INDEX('Impact Indicators - Section B '!O$1:O$82,MATCH($A78,'Impact Indicators - Section B '!$A$1:$A$82,0))&lt;&gt;"",FIXED(INDEX('Impact Indicators - Section B '!O$1:O$82,MATCH($A78,'Impact Indicators - Section B '!$A$1:$A$82,0)),4),""),"")&amp;"/"&amp;IFERROR(IF(INDEX('Impact Indicators - Section B '!O$1:O$82,MATCH($A78,'Impact Indicators - Section B '!$A$1:$A$82,0)+1)&lt;&gt;"",FIXED(INDEX('Impact Indicators - Section B '!O$1:O$82,MATCH($A78,'Impact Indicators - Section B '!$A$1:$A$82,0)+1),2),""),"")&amp;CHAR(10)&amp;IFERROR(IF(INDEX('Impact Indicators - Section B '!P$1:P$82,MATCH($A78,'Impact Indicators - Section B '!$A$1:$A$82,0))&lt;&gt;"",FIXED(INDEX('Impact Indicators - Section B '!P$1:P$82,MATCH($A78,'Impact Indicators - Section B '!$A$1:$A$82,0))*100,2)&amp;"%",""),"")&amp;CHAR(10)&amp;IFERROR(IF(INDEX('Impact Indicators - Section B '!R$1:R$82,MATCH($A78,'Impact Indicators - Section B '!$A$1:$A$82,0))&lt;&gt;"",INDEX('Impact Indicators - Section B '!R$1:R$82,MATCH($A78,'Impact Indicators - Section B '!$A$1:$A$82,0)),""),"")&amp;CHAR(10)&amp;IFERROR(IF(INDEX('Impact Indicators - Section B '!Q$1:Q$82,MATCH($A78,'Impact Indicators - Section B '!$A$1:$A$82,0))&lt;&gt;"",TEXT(INDEX('Impact Indicators - Section B '!Q$1:Q$82,MATCH($A78,'Impact Indicators - Section B '!$A$1:$A$82,0)),Setup!$A$33),""),"")</f>
        <v xml:space="preserve">/
</v>
      </c>
      <c r="R78" s="42" t="str">
        <f ca="1">IFERROR(IF(INDEX('Impact Indicators - Section B '!S$1:S$82,MATCH($A78,'Impact Indicators - Section B '!$A$1:$A$82,0))&lt;&gt;"",FIXED(INDEX('Impact Indicators - Section B '!S$1:S$82,MATCH($A78,'Impact Indicators - Section B '!$A$1:$A$82,0)),4),""),"")&amp;"/"&amp;IFERROR(IF(INDEX('Impact Indicators - Section B '!S$1:S$82,MATCH($A78,'Impact Indicators - Section B '!$A$1:$A$82,0)+1)&lt;&gt;"",FIXED(INDEX('Impact Indicators - Section B '!S$1:S$82,MATCH($A78,'Impact Indicators - Section B '!$A$1:$A$82,0)+1),2),""),"")&amp;CHAR(10)&amp;IFERROR(IF(INDEX('Impact Indicators - Section B '!T$1:T$82,MATCH($A78,'Impact Indicators - Section B '!$A$1:$A$82,0))&lt;&gt;"",FIXED(INDEX('Impact Indicators - Section B '!T$1:T$82,MATCH($A78,'Impact Indicators - Section B '!$A$1:$A$82,0))*100,2)&amp;"%",""),"")&amp;CHAR(10)&amp;IFERROR(IF(INDEX('Impact Indicators - Section B '!V$1:V$82,MATCH($A78,'Impact Indicators - Section B '!$A$1:$A$82,0))&lt;&gt;"",INDEX('Impact Indicators - Section B '!V$1:V$82,MATCH($A78,'Impact Indicators - Section B '!$A$1:$A$82,0)),""),"")&amp;CHAR(10)&amp;IFERROR(IF(INDEX('Impact Indicators - Section B '!U$1:U$82,MATCH($A78,'Impact Indicators - Section B '!$A$1:$A$82,0))&lt;&gt;"",TEXT(INDEX('Impact Indicators - Section B '!U$1:U$82,MATCH($A78,'Impact Indicators - Section B '!$A$1:$A$82,0)),Setup!$A$33),""),"")</f>
        <v xml:space="preserve">/
</v>
      </c>
      <c r="S78" s="42" t="str">
        <f ca="1">IFERROR(IF(INDEX('Impact Indicators - Section B '!W$1:W$82,MATCH($A78,'Impact Indicators - Section B '!$A$1:$A$82,0))&lt;&gt;"",FIXED(INDEX('Impact Indicators - Section B '!W$1:W$82,MATCH($A78,'Impact Indicators - Section B '!$A$1:$A$82,0)),4),""),"")&amp;"/"&amp;IFERROR(IF(INDEX('Impact Indicators - Section B '!W$1:W$82,MATCH($A78,'Impact Indicators - Section B '!$A$1:$A$82,0)+1)&lt;&gt;"",FIXED(INDEX('Impact Indicators - Section B '!W$1:W$82,MATCH($A78,'Impact Indicators - Section B '!$A$1:$A$82,0)+1),2),""),"")&amp;CHAR(10)&amp;IFERROR(IF(INDEX('Impact Indicators - Section B '!X$1:X$82,MATCH($A78,'Impact Indicators - Section B '!$A$1:$A$82,0))&lt;&gt;"",FIXED(INDEX('Impact Indicators - Section B '!X$1:X$82,MATCH($A78,'Impact Indicators - Section B '!$A$1:$A$82,0))*100,2)&amp;"%",""),"")&amp;CHAR(10)&amp;IFERROR(IF(INDEX('Impact Indicators - Section B '!Z$1:Z$82,MATCH($A78,'Impact Indicators - Section B '!$A$1:$A$82,0))&lt;&gt;"",INDEX('Impact Indicators - Section B '!Z$1:Z$82,MATCH($A78,'Impact Indicators - Section B '!$A$1:$A$82,0)),""),"")&amp;CHAR(10)&amp;IFERROR(IF(INDEX('Impact Indicators - Section B '!Y$1:Y$82,MATCH($A78,'Impact Indicators - Section B '!$A$1:$A$82,0))&lt;&gt;"",TEXT(INDEX('Impact Indicators - Section B '!Y$1:Y$82,MATCH($A78,'Impact Indicators - Section B '!$A$1:$A$82,0)),Setup!$A$33),""),"")</f>
        <v xml:space="preserve">/
</v>
      </c>
      <c r="T78" s="51"/>
      <c r="U78" s="13"/>
      <c r="V78" s="13"/>
      <c r="W78" s="13"/>
      <c r="X78" s="13"/>
      <c r="Y78" s="13"/>
      <c r="Z78" s="13"/>
      <c r="AA78" s="13"/>
      <c r="AB78" s="13"/>
      <c r="AC78" s="13"/>
      <c r="AD78" s="13"/>
      <c r="AE78" s="13"/>
      <c r="AF78" s="13"/>
      <c r="AG78" s="13"/>
      <c r="AH78" s="13"/>
      <c r="AI78" s="13"/>
      <c r="AJ78" s="13"/>
      <c r="AK78" s="13"/>
      <c r="AL78" s="13"/>
      <c r="AM78" s="13"/>
      <c r="AN78" s="13"/>
      <c r="AO78" s="13" t="str">
        <f ca="1">IFERROR(IF(INDEX('Impact Indicators - Section B '!AA$1:AA$82,MATCH($A78,'Impact Indicators - Section B '!$A$1:$A$82,0))&lt;&gt;0,INDEX('Impact Indicators - Section B '!AA$1:AA$82,MATCH($A78,'Impact Indicators - Section B '!$A$1:$A$82,0)),""),"")</f>
        <v/>
      </c>
      <c r="AP78" s="13"/>
      <c r="AQ78" s="13"/>
      <c r="AR78" s="13"/>
      <c r="AS78" s="13"/>
      <c r="AT78" s="13" t="str">
        <f>CONCATENATE($A78,J$52)</f>
        <v>13</v>
      </c>
      <c r="AU78" s="13" t="str">
        <f>CONCATENATE($A78,O$52)</f>
        <v>13</v>
      </c>
      <c r="AV78" s="13"/>
      <c r="AW78" s="13" t="str">
        <f>CONCATENATE($A78,X$52)</f>
        <v>13</v>
      </c>
      <c r="AX78" s="13" t="str">
        <f>CONCATENATE($A78,AB$52)</f>
        <v>13</v>
      </c>
      <c r="AY78" s="13"/>
      <c r="AZ78" s="13"/>
      <c r="BA78" s="13"/>
      <c r="BB78" s="13"/>
      <c r="BC78" s="55"/>
    </row>
    <row r="79" spans="1:55" s="14" customFormat="1" ht="100.35" customHeight="1">
      <c r="A79" s="618"/>
      <c r="B79" s="624" t="str">
        <f ca="1">IFERROR(IF(INDEX('Impact Indicators - Section B '!AA$1:AA$82,MATCH($A78,'Impact Indicators - Section B '!$A$1:$A$82,0))&lt;&gt;0,INDEX('Impact Indicators - Section B '!AA$1:AA$82,MATCH($A78,'Impact Indicators - Section B '!$A$1:$A$82,0)),""),"")</f>
        <v/>
      </c>
      <c r="C79" s="625"/>
      <c r="D79" s="625"/>
      <c r="E79" s="625"/>
      <c r="F79" s="625"/>
      <c r="G79" s="625"/>
      <c r="H79" s="625"/>
      <c r="I79" s="625"/>
      <c r="J79" s="625"/>
      <c r="K79" s="625"/>
      <c r="L79" s="625"/>
      <c r="M79" s="625"/>
      <c r="N79" s="625"/>
      <c r="O79" s="625"/>
      <c r="P79" s="625"/>
      <c r="Q79" s="625"/>
      <c r="R79" s="625"/>
      <c r="S79" s="626"/>
      <c r="T79" s="52"/>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55"/>
    </row>
    <row r="80" spans="1:55" s="15" customFormat="1" ht="145.35" customHeight="1">
      <c r="A80" s="619">
        <v>14</v>
      </c>
      <c r="B80" s="627" t="str">
        <f ca="1">IFERROR(IF(INDEX('Impact Indicators - Section B '!B$1:B$82,MATCH($A80,'Impact Indicators - Section B '!$A$1:$A$82,0))&lt;&gt;0,INDEX('Impact Indicators - Section B '!B$1:B$82,MATCH($A80,'Impact Indicators - Section B '!$A$1:$A$82,0)),""),"")</f>
        <v/>
      </c>
      <c r="C80" s="628"/>
      <c r="D80" s="629"/>
      <c r="E80" s="627" t="str">
        <f ca="1">IFERROR(IF(INDEX('Impact Indicators - Section B '!C$1:C$82,MATCH($A80,'Impact Indicators - Section B '!$A$1:$A$82,0))&lt;&gt;0,INDEX('Impact Indicators - Section B '!C$1:C$82,MATCH($A80,'Impact Indicators - Section B '!$A$1:$A$82,0)),""),"")</f>
        <v/>
      </c>
      <c r="F80" s="628"/>
      <c r="G80" s="629"/>
      <c r="H80" s="35" t="str">
        <f ca="1">IFERROR(IF(INDEX('Impact Indicators - Section B '!D$1:D$82,MATCH($A80,'Impact Indicators - Section B '!$A$1:$A$82,0))&lt;&gt;"",FIXED(INDEX('Impact Indicators - Section B '!D$1:D$82,MATCH($A80,'Impact Indicators - Section B '!$A$1:$A$82,0)),4),""),"")&amp;"/"&amp;IFERROR(IF(INDEX('Impact Indicators - Section B '!D$1:D$82,MATCH($A80,'Impact Indicators - Section B '!$A$1:$A$82,0)+1)&lt;&gt;"",FIXED(INDEX('Impact Indicators - Section B '!D$1:D$82,MATCH($A80,'Impact Indicators - Section B '!$A$1:$A$82,0)+1),2),""),"")&amp;CHAR(10)&amp;IFERROR(IF(INDEX('Impact Indicators - Section B '!E$1:E$82,MATCH($A80,'Impact Indicators - Section B '!$A$1:$A$82,0))&lt;&gt;"",FIXED(INDEX('Impact Indicators - Section B '!E$1:E$82,MATCH($A80,'Impact Indicators - Section B '!$A$1:$A$82,0))*100,2)&amp;"%",""),"")</f>
        <v xml:space="preserve">/
</v>
      </c>
      <c r="I80" s="43" t="str">
        <f ca="1">IFERROR(IF(INDEX('Impact Indicators - Section B '!F$1:F$82,MATCH($A80,'Impact Indicators - Section B '!$A$1:$A$82,0))&lt;&gt;0,INDEX('Impact Indicators - Section B '!F$1:F$82,MATCH($A80,'Impact Indicators - Section B '!$A$1:$A$82,0)),""),"")&amp;CHAR(10)&amp;IFERROR(IF(INDEX('Impact Indicators - Section B '!G$1:G$82,MATCH($A80,'Impact Indicators - Section B '!$A$1:$A$82,0))&lt;&gt;0,INDEX('Impact Indicators - Section B '!G$1:G$82,MATCH($A80,'Impact Indicators - Section B '!$A$1:$A$82,0)),""),"")</f>
        <v xml:space="preserve">
</v>
      </c>
      <c r="J80" s="627" t="str">
        <f ca="1">IFERROR(IF(INDEX('Impact Indicators - Section B '!H$1:H$82,MATCH($A80,'Impact Indicators - Section B '!$A$1:$A$82,0))&lt;&gt;0,INDEX('Impact Indicators - Section B '!H$1:H$82,MATCH($A80,'Impact Indicators - Section B '!$A$1:$A$82,0)),""),"")</f>
        <v/>
      </c>
      <c r="K80" s="628"/>
      <c r="L80" s="628"/>
      <c r="M80" s="629"/>
      <c r="N80" s="44" t="str">
        <f ca="1">IFERROR(IF(AND('Overview - Section A'!AN$5="Grant Making",OR(B80&lt;&gt;"",E80&lt;&gt;"")),Setup!I15,IF(INDEX('Impact Indicators - Section B '!I$1:I$82,MATCH($A80,'Impact Indicators - Section B '!$A$1:$A$82,0))&lt;&gt;0,INDEX('Impact Indicators - Section B '!I$1:I$82,MATCH($A80,'Impact Indicators - Section B '!$A$1:$A$82,0)),"")),"")</f>
        <v/>
      </c>
      <c r="O80" s="43" t="str">
        <f ca="1">IFERROR(IF(INDEX('Impact Indicators - Section B '!J$1:J$82,MATCH($A80,'Impact Indicators - Section B '!$A$1:$A$82,0))&lt;&gt;0,INDEX('Impact Indicators - Section B '!J$1:J$82,MATCH($A80,'Impact Indicators - Section B '!$A$1:$A$82,0)),""),"")</f>
        <v/>
      </c>
      <c r="P80" s="45" t="str">
        <f ca="1">IFERROR(IF(INDEX('Impact Indicators - Section B '!K$1:K$82,MATCH($A80,'Impact Indicators - Section B '!$A$1:$A$82,0))&lt;&gt;"",FIXED(INDEX('Impact Indicators - Section B '!K$1:K$82,MATCH($A80,'Impact Indicators - Section B '!$A$1:$A$82,0)),4),""),"")&amp;"/"&amp;IFERROR(IF(INDEX('Impact Indicators - Section B '!K$1:K$82,MATCH($A80,'Impact Indicators - Section B '!$A$1:$A$82,0)+1)&lt;&gt;"",FIXED(INDEX('Impact Indicators - Section B '!K$1:K$82,MATCH($A80,'Impact Indicators - Section B '!$A$1:$A$82,0)+1),2),""),"")&amp;CHAR(10)&amp;IFERROR(IF(INDEX('Impact Indicators - Section B '!L$1:L$82,MATCH($A80,'Impact Indicators - Section B '!$A$1:$A$82,0))&lt;&gt;"",FIXED(INDEX('Impact Indicators - Section B '!L$1:L$82,MATCH($A80,'Impact Indicators - Section B '!$A$1:$A$82,0))*100,2)&amp;"%",""),"")&amp;CHAR(10)&amp;IFERROR(IF(INDEX('Impact Indicators - Section B '!N$1:N$82,MATCH($A80,'Impact Indicators - Section B '!$A$1:$A$82,0))&lt;&gt;"",INDEX('Impact Indicators - Section B '!N$1:N$82,MATCH($A80,'Impact Indicators - Section B '!$A$1:$A$82,0)),""),"")&amp;CHAR(10)&amp;IFERROR(IF(INDEX('Impact Indicators - Section B '!M$1:M$82,MATCH($A80,'Impact Indicators - Section B '!$A$1:$A$82,0))&lt;&gt;"",TEXT(INDEX('Impact Indicators - Section B '!M$1:M$82,MATCH($A80,'Impact Indicators - Section B '!$A$1:$A$82,0)),Setup!$A$33),""),"")</f>
        <v xml:space="preserve">/
</v>
      </c>
      <c r="Q80" s="45" t="str">
        <f ca="1">IFERROR(IF(INDEX('Impact Indicators - Section B '!O$1:O$82,MATCH($A80,'Impact Indicators - Section B '!$A$1:$A$82,0))&lt;&gt;"",FIXED(INDEX('Impact Indicators - Section B '!O$1:O$82,MATCH($A80,'Impact Indicators - Section B '!$A$1:$A$82,0)),4),""),"")&amp;"/"&amp;IFERROR(IF(INDEX('Impact Indicators - Section B '!O$1:O$82,MATCH($A80,'Impact Indicators - Section B '!$A$1:$A$82,0)+1)&lt;&gt;"",FIXED(INDEX('Impact Indicators - Section B '!O$1:O$82,MATCH($A80,'Impact Indicators - Section B '!$A$1:$A$82,0)+1),2),""),"")&amp;CHAR(10)&amp;IFERROR(IF(INDEX('Impact Indicators - Section B '!P$1:P$82,MATCH($A80,'Impact Indicators - Section B '!$A$1:$A$82,0))&lt;&gt;"",FIXED(INDEX('Impact Indicators - Section B '!P$1:P$82,MATCH($A80,'Impact Indicators - Section B '!$A$1:$A$82,0))*100,2)&amp;"%",""),"")&amp;CHAR(10)&amp;IFERROR(IF(INDEX('Impact Indicators - Section B '!R$1:R$82,MATCH($A80,'Impact Indicators - Section B '!$A$1:$A$82,0))&lt;&gt;"",INDEX('Impact Indicators - Section B '!R$1:R$82,MATCH($A80,'Impact Indicators - Section B '!$A$1:$A$82,0)),""),"")&amp;CHAR(10)&amp;IFERROR(IF(INDEX('Impact Indicators - Section B '!Q$1:Q$82,MATCH($A80,'Impact Indicators - Section B '!$A$1:$A$82,0))&lt;&gt;"",TEXT(INDEX('Impact Indicators - Section B '!Q$1:Q$82,MATCH($A80,'Impact Indicators - Section B '!$A$1:$A$82,0)),Setup!$A$33),""),"")</f>
        <v xml:space="preserve">/
</v>
      </c>
      <c r="R80" s="45" t="str">
        <f ca="1">IFERROR(IF(INDEX('Impact Indicators - Section B '!S$1:S$82,MATCH($A80,'Impact Indicators - Section B '!$A$1:$A$82,0))&lt;&gt;"",FIXED(INDEX('Impact Indicators - Section B '!S$1:S$82,MATCH($A80,'Impact Indicators - Section B '!$A$1:$A$82,0)),4),""),"")&amp;"/"&amp;IFERROR(IF(INDEX('Impact Indicators - Section B '!S$1:S$82,MATCH($A80,'Impact Indicators - Section B '!$A$1:$A$82,0)+1)&lt;&gt;"",FIXED(INDEX('Impact Indicators - Section B '!S$1:S$82,MATCH($A80,'Impact Indicators - Section B '!$A$1:$A$82,0)+1),2),""),"")&amp;CHAR(10)&amp;IFERROR(IF(INDEX('Impact Indicators - Section B '!T$1:T$82,MATCH($A80,'Impact Indicators - Section B '!$A$1:$A$82,0))&lt;&gt;"",FIXED(INDEX('Impact Indicators - Section B '!T$1:T$82,MATCH($A80,'Impact Indicators - Section B '!$A$1:$A$82,0))*100,2)&amp;"%",""),"")&amp;CHAR(10)&amp;IFERROR(IF(INDEX('Impact Indicators - Section B '!V$1:V$82,MATCH($A80,'Impact Indicators - Section B '!$A$1:$A$82,0))&lt;&gt;"",INDEX('Impact Indicators - Section B '!V$1:V$82,MATCH($A80,'Impact Indicators - Section B '!$A$1:$A$82,0)),""),"")&amp;CHAR(10)&amp;IFERROR(IF(INDEX('Impact Indicators - Section B '!U$1:U$82,MATCH($A80,'Impact Indicators - Section B '!$A$1:$A$82,0))&lt;&gt;"",TEXT(INDEX('Impact Indicators - Section B '!U$1:U$82,MATCH($A80,'Impact Indicators - Section B '!$A$1:$A$82,0)),Setup!$A$33),""),"")</f>
        <v xml:space="preserve">/
</v>
      </c>
      <c r="S80" s="45" t="str">
        <f ca="1">IFERROR(IF(INDEX('Impact Indicators - Section B '!W$1:W$82,MATCH($A80,'Impact Indicators - Section B '!$A$1:$A$82,0))&lt;&gt;"",FIXED(INDEX('Impact Indicators - Section B '!W$1:W$82,MATCH($A80,'Impact Indicators - Section B '!$A$1:$A$82,0)),4),""),"")&amp;"/"&amp;IFERROR(IF(INDEX('Impact Indicators - Section B '!W$1:W$82,MATCH($A80,'Impact Indicators - Section B '!$A$1:$A$82,0)+1)&lt;&gt;"",FIXED(INDEX('Impact Indicators - Section B '!W$1:W$82,MATCH($A80,'Impact Indicators - Section B '!$A$1:$A$82,0)+1),2),""),"")&amp;CHAR(10)&amp;IFERROR(IF(INDEX('Impact Indicators - Section B '!X$1:X$82,MATCH($A80,'Impact Indicators - Section B '!$A$1:$A$82,0))&lt;&gt;"",FIXED(INDEX('Impact Indicators - Section B '!X$1:X$82,MATCH($A80,'Impact Indicators - Section B '!$A$1:$A$82,0))*100,2)&amp;"%",""),"")&amp;CHAR(10)&amp;IFERROR(IF(INDEX('Impact Indicators - Section B '!Z$1:Z$82,MATCH($A80,'Impact Indicators - Section B '!$A$1:$A$82,0))&lt;&gt;"",INDEX('Impact Indicators - Section B '!Z$1:Z$82,MATCH($A80,'Impact Indicators - Section B '!$A$1:$A$82,0)),""),"")&amp;CHAR(10)&amp;IFERROR(IF(INDEX('Impact Indicators - Section B '!Y$1:Y$82,MATCH($A80,'Impact Indicators - Section B '!$A$1:$A$82,0))&lt;&gt;"",TEXT(INDEX('Impact Indicators - Section B '!Y$1:Y$82,MATCH($A80,'Impact Indicators - Section B '!$A$1:$A$82,0)),Setup!$A$33),""),"")</f>
        <v xml:space="preserve">/
</v>
      </c>
      <c r="T80" s="53"/>
      <c r="U80" s="13"/>
      <c r="V80" s="13"/>
      <c r="W80" s="13"/>
      <c r="X80" s="13"/>
      <c r="Y80" s="13"/>
      <c r="Z80" s="13"/>
      <c r="AA80" s="13"/>
      <c r="AB80" s="13"/>
      <c r="AC80" s="13"/>
      <c r="AD80" s="13"/>
      <c r="AE80" s="13"/>
      <c r="AF80" s="13"/>
      <c r="AG80" s="13"/>
      <c r="AH80" s="13"/>
      <c r="AI80" s="13"/>
      <c r="AJ80" s="13"/>
      <c r="AK80" s="13"/>
      <c r="AL80" s="13"/>
      <c r="AM80" s="13"/>
      <c r="AN80" s="13"/>
      <c r="AO80" s="13" t="str">
        <f ca="1">IFERROR(IF(INDEX('Impact Indicators - Section B '!AA$1:AA$82,MATCH($A80,'Impact Indicators - Section B '!$A$1:$A$82,0))&lt;&gt;0,INDEX('Impact Indicators - Section B '!AA$1:AA$82,MATCH($A80,'Impact Indicators - Section B '!$A$1:$A$82,0)),""),"")</f>
        <v/>
      </c>
      <c r="AP80" s="13"/>
      <c r="AQ80" s="13"/>
      <c r="AR80" s="13"/>
      <c r="AS80" s="13"/>
      <c r="AT80" s="13" t="str">
        <f>CONCATENATE($A80,J$52)</f>
        <v>14</v>
      </c>
      <c r="AU80" s="13" t="str">
        <f>CONCATENATE($A80,O$52)</f>
        <v>14</v>
      </c>
      <c r="AV80" s="13"/>
      <c r="AW80" s="13" t="str">
        <f>CONCATENATE($A80,X$52)</f>
        <v>14</v>
      </c>
      <c r="AX80" s="13" t="str">
        <f>CONCATENATE($A80,AB$52)</f>
        <v>14</v>
      </c>
      <c r="AY80" s="13"/>
      <c r="AZ80" s="13"/>
      <c r="BA80" s="13"/>
      <c r="BB80" s="13"/>
      <c r="BC80" s="56"/>
    </row>
    <row r="81" spans="1:55" s="15" customFormat="1" ht="100.35" customHeight="1">
      <c r="A81" s="619"/>
      <c r="B81" s="630" t="str">
        <f ca="1">IFERROR(IF(INDEX('Impact Indicators - Section B '!AA$1:AA$82,MATCH($A80,'Impact Indicators - Section B '!$A$1:$A$82,0))&lt;&gt;0,INDEX('Impact Indicators - Section B '!AA$1:AA$82,MATCH($A80,'Impact Indicators - Section B '!$A$1:$A$82,0)),""),"")</f>
        <v/>
      </c>
      <c r="C81" s="631"/>
      <c r="D81" s="631"/>
      <c r="E81" s="631"/>
      <c r="F81" s="631"/>
      <c r="G81" s="631"/>
      <c r="H81" s="631"/>
      <c r="I81" s="632"/>
      <c r="J81" s="632"/>
      <c r="K81" s="632"/>
      <c r="L81" s="632"/>
      <c r="M81" s="632"/>
      <c r="N81" s="632"/>
      <c r="O81" s="632"/>
      <c r="P81" s="632"/>
      <c r="Q81" s="632"/>
      <c r="R81" s="632"/>
      <c r="S81" s="633"/>
      <c r="T81" s="52"/>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56"/>
    </row>
    <row r="82" spans="1:55" s="14" customFormat="1" ht="145.35" customHeight="1">
      <c r="A82" s="618">
        <v>15</v>
      </c>
      <c r="B82" s="634" t="str">
        <f ca="1">IFERROR(IF(INDEX('Impact Indicators - Section B '!B$1:B$82,MATCH($A82,'Impact Indicators - Section B '!$A$1:$A$82,0))&lt;&gt;0,INDEX('Impact Indicators - Section B '!B$1:B$82,MATCH($A82,'Impact Indicators - Section B '!$A$1:$A$82,0)),""),"")</f>
        <v/>
      </c>
      <c r="C82" s="635"/>
      <c r="D82" s="636"/>
      <c r="E82" s="634" t="str">
        <f ca="1">IFERROR(IF(INDEX('Impact Indicators - Section B '!C$1:C$82,MATCH($A82,'Impact Indicators - Section B '!$A$1:$A$82,0))&lt;&gt;0,INDEX('Impact Indicators - Section B '!C$1:C$82,MATCH($A82,'Impact Indicators - Section B '!$A$1:$A$82,0)),""),"")</f>
        <v/>
      </c>
      <c r="F82" s="635"/>
      <c r="G82" s="636"/>
      <c r="H82" s="34" t="str">
        <f ca="1">IFERROR(IF(INDEX('Impact Indicators - Section B '!D$1:D$82,MATCH($A82,'Impact Indicators - Section B '!$A$1:$A$82,0))&lt;&gt;"",FIXED(INDEX('Impact Indicators - Section B '!D$1:D$82,MATCH($A82,'Impact Indicators - Section B '!$A$1:$A$82,0)),4),""),"")&amp;"/"&amp;IFERROR(IF(INDEX('Impact Indicators - Section B '!D$1:D$82,MATCH($A82,'Impact Indicators - Section B '!$A$1:$A$82,0)+1)&lt;&gt;"",FIXED(INDEX('Impact Indicators - Section B '!D$1:D$82,MATCH($A82,'Impact Indicators - Section B '!$A$1:$A$82,0)+1),2),""),"")&amp;CHAR(10)&amp;IFERROR(IF(INDEX('Impact Indicators - Section B '!E$1:E$82,MATCH($A82,'Impact Indicators - Section B '!$A$1:$A$82,0))&lt;&gt;"",FIXED(INDEX('Impact Indicators - Section B '!E$1:E$82,MATCH($A82,'Impact Indicators - Section B '!$A$1:$A$82,0))*100,2)&amp;"%",""),"")</f>
        <v xml:space="preserve">/
</v>
      </c>
      <c r="I82" s="40" t="str">
        <f ca="1">IFERROR(IF(INDEX('Impact Indicators - Section B '!F$1:F$82,MATCH($A82,'Impact Indicators - Section B '!$A$1:$A$82,0))&lt;&gt;0,INDEX('Impact Indicators - Section B '!F$1:F$82,MATCH($A82,'Impact Indicators - Section B '!$A$1:$A$82,0)),""),"")&amp;CHAR(10)&amp;IFERROR(IF(INDEX('Impact Indicators - Section B '!G$1:G$82,MATCH($A82,'Impact Indicators - Section B '!$A$1:$A$82,0))&lt;&gt;0,INDEX('Impact Indicators - Section B '!G$1:G$82,MATCH($A82,'Impact Indicators - Section B '!$A$1:$A$82,0)),""),"")</f>
        <v xml:space="preserve">
</v>
      </c>
      <c r="J82" s="634" t="str">
        <f ca="1">IFERROR(IF(INDEX('Impact Indicators - Section B '!H$1:H$82,MATCH($A82,'Impact Indicators - Section B '!$A$1:$A$82,0))&lt;&gt;0,INDEX('Impact Indicators - Section B '!H$1:H$82,MATCH($A82,'Impact Indicators - Section B '!$A$1:$A$82,0)),""),"")</f>
        <v/>
      </c>
      <c r="K82" s="635"/>
      <c r="L82" s="635"/>
      <c r="M82" s="636"/>
      <c r="N82" s="41" t="str">
        <f ca="1">IFERROR(IF(AND('Overview - Section A'!AN$5="Grant Making",OR(B82&lt;&gt;"",E82&lt;&gt;"")),Setup!I15,IF(INDEX('Impact Indicators - Section B '!I$1:I$82,MATCH($A82,'Impact Indicators - Section B '!$A$1:$A$82,0))&lt;&gt;0,INDEX('Impact Indicators - Section B '!I$1:I$82,MATCH($A82,'Impact Indicators - Section B '!$A$1:$A$82,0)),"")),"")</f>
        <v/>
      </c>
      <c r="O82" s="40" t="str">
        <f ca="1">IFERROR(IF(INDEX('Impact Indicators - Section B '!J$1:J$82,MATCH($A82,'Impact Indicators - Section B '!$A$1:$A$82,0))&lt;&gt;0,INDEX('Impact Indicators - Section B '!J$1:J$82,MATCH($A82,'Impact Indicators - Section B '!$A$1:$A$82,0)),""),"")</f>
        <v/>
      </c>
      <c r="P82" s="42" t="str">
        <f ca="1">IFERROR(IF(INDEX('Impact Indicators - Section B '!K$1:K$82,MATCH($A82,'Impact Indicators - Section B '!$A$1:$A$82,0))&lt;&gt;"",FIXED(INDEX('Impact Indicators - Section B '!K$1:K$82,MATCH($A82,'Impact Indicators - Section B '!$A$1:$A$82,0)),4),""),"")&amp;"/"&amp;IFERROR(IF(INDEX('Impact Indicators - Section B '!K$1:K$82,MATCH($A82,'Impact Indicators - Section B '!$A$1:$A$82,0)+1)&lt;&gt;"",FIXED(INDEX('Impact Indicators - Section B '!K$1:K$82,MATCH($A82,'Impact Indicators - Section B '!$A$1:$A$82,0)+1),2),""),"")&amp;CHAR(10)&amp;IFERROR(IF(INDEX('Impact Indicators - Section B '!L$1:L$82,MATCH($A82,'Impact Indicators - Section B '!$A$1:$A$82,0))&lt;&gt;"",FIXED(INDEX('Impact Indicators - Section B '!L$1:L$82,MATCH($A82,'Impact Indicators - Section B '!$A$1:$A$82,0))*100,2)&amp;"%",""),"")&amp;CHAR(10)&amp;IFERROR(IF(INDEX('Impact Indicators - Section B '!N$1:N$82,MATCH($A82,'Impact Indicators - Section B '!$A$1:$A$82,0))&lt;&gt;"",INDEX('Impact Indicators - Section B '!N$1:N$82,MATCH($A82,'Impact Indicators - Section B '!$A$1:$A$82,0)),""),"")&amp;CHAR(10)&amp;IFERROR(IF(INDEX('Impact Indicators - Section B '!M$1:M$82,MATCH($A82,'Impact Indicators - Section B '!$A$1:$A$82,0))&lt;&gt;"",TEXT(INDEX('Impact Indicators - Section B '!M$1:M$82,MATCH($A82,'Impact Indicators - Section B '!$A$1:$A$82,0)),Setup!$A$33),""),"")</f>
        <v xml:space="preserve">/
</v>
      </c>
      <c r="Q82" s="42" t="str">
        <f ca="1">IFERROR(IF(INDEX('Impact Indicators - Section B '!O$1:O$82,MATCH($A82,'Impact Indicators - Section B '!$A$1:$A$82,0))&lt;&gt;"",FIXED(INDEX('Impact Indicators - Section B '!O$1:O$82,MATCH($A82,'Impact Indicators - Section B '!$A$1:$A$82,0)),4),""),"")&amp;"/"&amp;IFERROR(IF(INDEX('Impact Indicators - Section B '!O$1:O$82,MATCH($A82,'Impact Indicators - Section B '!$A$1:$A$82,0)+1)&lt;&gt;"",FIXED(INDEX('Impact Indicators - Section B '!O$1:O$82,MATCH($A82,'Impact Indicators - Section B '!$A$1:$A$82,0)+1),2),""),"")&amp;CHAR(10)&amp;IFERROR(IF(INDEX('Impact Indicators - Section B '!P$1:P$82,MATCH($A82,'Impact Indicators - Section B '!$A$1:$A$82,0))&lt;&gt;"",FIXED(INDEX('Impact Indicators - Section B '!P$1:P$82,MATCH($A82,'Impact Indicators - Section B '!$A$1:$A$82,0))*100,2)&amp;"%",""),"")&amp;CHAR(10)&amp;IFERROR(IF(INDEX('Impact Indicators - Section B '!R$1:R$82,MATCH($A82,'Impact Indicators - Section B '!$A$1:$A$82,0))&lt;&gt;"",INDEX('Impact Indicators - Section B '!R$1:R$82,MATCH($A82,'Impact Indicators - Section B '!$A$1:$A$82,0)),""),"")&amp;CHAR(10)&amp;IFERROR(IF(INDEX('Impact Indicators - Section B '!Q$1:Q$82,MATCH($A82,'Impact Indicators - Section B '!$A$1:$A$82,0))&lt;&gt;"",TEXT(INDEX('Impact Indicators - Section B '!Q$1:Q$82,MATCH($A82,'Impact Indicators - Section B '!$A$1:$A$82,0)),Setup!$A$33),""),"")</f>
        <v xml:space="preserve">/
</v>
      </c>
      <c r="R82" s="42" t="str">
        <f ca="1">IFERROR(IF(INDEX('Impact Indicators - Section B '!S$1:S$82,MATCH($A82,'Impact Indicators - Section B '!$A$1:$A$82,0))&lt;&gt;"",FIXED(INDEX('Impact Indicators - Section B '!S$1:S$82,MATCH($A82,'Impact Indicators - Section B '!$A$1:$A$82,0)),4),""),"")&amp;"/"&amp;IFERROR(IF(INDEX('Impact Indicators - Section B '!S$1:S$82,MATCH($A82,'Impact Indicators - Section B '!$A$1:$A$82,0)+1)&lt;&gt;"",FIXED(INDEX('Impact Indicators - Section B '!S$1:S$82,MATCH($A82,'Impact Indicators - Section B '!$A$1:$A$82,0)+1),2),""),"")&amp;CHAR(10)&amp;IFERROR(IF(INDEX('Impact Indicators - Section B '!T$1:T$82,MATCH($A82,'Impact Indicators - Section B '!$A$1:$A$82,0))&lt;&gt;"",FIXED(INDEX('Impact Indicators - Section B '!T$1:T$82,MATCH($A82,'Impact Indicators - Section B '!$A$1:$A$82,0))*100,2)&amp;"%",""),"")&amp;CHAR(10)&amp;IFERROR(IF(INDEX('Impact Indicators - Section B '!V$1:V$82,MATCH($A82,'Impact Indicators - Section B '!$A$1:$A$82,0))&lt;&gt;"",INDEX('Impact Indicators - Section B '!V$1:V$82,MATCH($A82,'Impact Indicators - Section B '!$A$1:$A$82,0)),""),"")&amp;CHAR(10)&amp;IFERROR(IF(INDEX('Impact Indicators - Section B '!U$1:U$82,MATCH($A82,'Impact Indicators - Section B '!$A$1:$A$82,0))&lt;&gt;"",TEXT(INDEX('Impact Indicators - Section B '!U$1:U$82,MATCH($A82,'Impact Indicators - Section B '!$A$1:$A$82,0)),Setup!$A$33),""),"")</f>
        <v xml:space="preserve">/
</v>
      </c>
      <c r="S82" s="42" t="str">
        <f ca="1">IFERROR(IF(INDEX('Impact Indicators - Section B '!W$1:W$82,MATCH($A82,'Impact Indicators - Section B '!$A$1:$A$82,0))&lt;&gt;"",FIXED(INDEX('Impact Indicators - Section B '!W$1:W$82,MATCH($A82,'Impact Indicators - Section B '!$A$1:$A$82,0)),4),""),"")&amp;"/"&amp;IFERROR(IF(INDEX('Impact Indicators - Section B '!W$1:W$82,MATCH($A82,'Impact Indicators - Section B '!$A$1:$A$82,0)+1)&lt;&gt;"",FIXED(INDEX('Impact Indicators - Section B '!W$1:W$82,MATCH($A82,'Impact Indicators - Section B '!$A$1:$A$82,0)+1),2),""),"")&amp;CHAR(10)&amp;IFERROR(IF(INDEX('Impact Indicators - Section B '!X$1:X$82,MATCH($A82,'Impact Indicators - Section B '!$A$1:$A$82,0))&lt;&gt;"",FIXED(INDEX('Impact Indicators - Section B '!X$1:X$82,MATCH($A82,'Impact Indicators - Section B '!$A$1:$A$82,0))*100,2)&amp;"%",""),"")&amp;CHAR(10)&amp;IFERROR(IF(INDEX('Impact Indicators - Section B '!Z$1:Z$82,MATCH($A82,'Impact Indicators - Section B '!$A$1:$A$82,0))&lt;&gt;"",INDEX('Impact Indicators - Section B '!Z$1:Z$82,MATCH($A82,'Impact Indicators - Section B '!$A$1:$A$82,0)),""),"")&amp;CHAR(10)&amp;IFERROR(IF(INDEX('Impact Indicators - Section B '!Y$1:Y$82,MATCH($A82,'Impact Indicators - Section B '!$A$1:$A$82,0))&lt;&gt;"",TEXT(INDEX('Impact Indicators - Section B '!Y$1:Y$82,MATCH($A82,'Impact Indicators - Section B '!$A$1:$A$82,0)),Setup!$A$33),""),"")</f>
        <v xml:space="preserve">/
</v>
      </c>
      <c r="T82" s="51"/>
      <c r="U82" s="13"/>
      <c r="V82" s="13"/>
      <c r="W82" s="13"/>
      <c r="X82" s="13"/>
      <c r="Y82" s="13"/>
      <c r="Z82" s="13"/>
      <c r="AA82" s="13"/>
      <c r="AB82" s="13"/>
      <c r="AC82" s="13"/>
      <c r="AD82" s="13"/>
      <c r="AE82" s="13"/>
      <c r="AF82" s="13"/>
      <c r="AG82" s="13"/>
      <c r="AH82" s="13"/>
      <c r="AI82" s="13"/>
      <c r="AJ82" s="13"/>
      <c r="AK82" s="13"/>
      <c r="AL82" s="13"/>
      <c r="AM82" s="13"/>
      <c r="AN82" s="13"/>
      <c r="AO82" s="13" t="str">
        <f ca="1">IFERROR(IF(INDEX('Impact Indicators - Section B '!AA$1:AA$82,MATCH($A82,'Impact Indicators - Section B '!$A$1:$A$82,0))&lt;&gt;0,INDEX('Impact Indicators - Section B '!AA$1:AA$82,MATCH($A82,'Impact Indicators - Section B '!$A$1:$A$82,0)),""),"")</f>
        <v/>
      </c>
      <c r="AP82" s="13"/>
      <c r="AQ82" s="13"/>
      <c r="AR82" s="13"/>
      <c r="AS82" s="13"/>
      <c r="AT82" s="13" t="str">
        <f>CONCATENATE($A82,J$52)</f>
        <v>15</v>
      </c>
      <c r="AU82" s="13" t="str">
        <f>CONCATENATE($A82,O$52)</f>
        <v>15</v>
      </c>
      <c r="AV82" s="13"/>
      <c r="AW82" s="13" t="str">
        <f>CONCATENATE($A82,X$52)</f>
        <v>15</v>
      </c>
      <c r="AX82" s="13" t="str">
        <f>CONCATENATE($A82,AB$52)</f>
        <v>15</v>
      </c>
      <c r="AY82" s="13"/>
      <c r="AZ82" s="13"/>
      <c r="BA82" s="13"/>
      <c r="BB82" s="13"/>
      <c r="BC82" s="55"/>
    </row>
    <row r="83" spans="1:55" s="14" customFormat="1" ht="100.35" customHeight="1">
      <c r="A83" s="618"/>
      <c r="B83" s="666" t="str">
        <f ca="1">IFERROR(IF(INDEX('Impact Indicators - Section B '!AA$1:AA$82,MATCH($A82,'Impact Indicators - Section B '!$A$1:$A$82,0))&lt;&gt;0,INDEX('Impact Indicators - Section B '!AA$1:AA$82,MATCH($A82,'Impact Indicators - Section B '!$A$1:$A$82,0)),""),"")</f>
        <v/>
      </c>
      <c r="C83" s="667"/>
      <c r="D83" s="667"/>
      <c r="E83" s="667"/>
      <c r="F83" s="667"/>
      <c r="G83" s="667"/>
      <c r="H83" s="667"/>
      <c r="I83" s="667"/>
      <c r="J83" s="667"/>
      <c r="K83" s="667"/>
      <c r="L83" s="667"/>
      <c r="M83" s="667"/>
      <c r="N83" s="667"/>
      <c r="O83" s="667"/>
      <c r="P83" s="667"/>
      <c r="Q83" s="667"/>
      <c r="R83" s="667"/>
      <c r="S83" s="668"/>
      <c r="T83" s="52"/>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55"/>
    </row>
    <row r="84" spans="1:55">
      <c r="A84" s="57"/>
      <c r="B84" s="57"/>
      <c r="C84" s="57"/>
      <c r="D84" s="57"/>
      <c r="E84" s="57"/>
      <c r="F84" s="57"/>
      <c r="G84" s="57"/>
      <c r="H84" s="57"/>
      <c r="I84" s="57"/>
      <c r="J84" s="57"/>
      <c r="K84" s="57"/>
      <c r="L84" s="57"/>
      <c r="M84" s="57"/>
      <c r="N84" s="65"/>
      <c r="O84" s="57"/>
      <c r="P84" s="57"/>
      <c r="Q84" s="57"/>
      <c r="R84" s="57"/>
      <c r="S84" s="57"/>
      <c r="T84" s="57"/>
      <c r="U84" s="13"/>
      <c r="V84" s="13"/>
      <c r="W84" s="13"/>
      <c r="X84" s="13"/>
      <c r="Y84" s="13"/>
      <c r="Z84" s="13"/>
      <c r="AA84" s="13"/>
      <c r="AB84" s="13"/>
      <c r="AC84" s="13"/>
      <c r="AD84" s="13"/>
      <c r="AE84" s="13"/>
      <c r="AF84" s="13"/>
      <c r="AG84" s="13"/>
      <c r="AH84" s="13"/>
      <c r="AI84" s="13"/>
      <c r="AJ84" s="13"/>
      <c r="AK84" s="13"/>
      <c r="AL84" s="13"/>
      <c r="AM84" s="13"/>
      <c r="AN84" s="13"/>
      <c r="AO84" s="13"/>
      <c r="AQ84" s="13"/>
      <c r="AR84" s="13"/>
      <c r="AS84" s="13"/>
      <c r="AT84" s="13"/>
      <c r="AU84" s="13"/>
      <c r="AV84" s="13"/>
      <c r="AW84" s="13"/>
      <c r="AX84" s="13"/>
      <c r="AY84" s="13"/>
      <c r="AZ84" s="13"/>
      <c r="BA84" s="13"/>
      <c r="BB84" s="13"/>
    </row>
    <row r="85" spans="1:55">
      <c r="A85" s="57"/>
      <c r="B85" s="57"/>
      <c r="C85" s="57"/>
      <c r="D85" s="57"/>
      <c r="E85" s="57"/>
      <c r="F85" s="57"/>
      <c r="G85" s="57"/>
      <c r="H85" s="57"/>
      <c r="I85" s="57"/>
      <c r="J85" s="57"/>
      <c r="K85" s="57"/>
      <c r="L85" s="57"/>
      <c r="M85" s="57"/>
      <c r="N85" s="65"/>
      <c r="O85" s="57"/>
      <c r="P85" s="57"/>
      <c r="Q85" s="57"/>
      <c r="R85" s="57"/>
      <c r="S85" s="57"/>
      <c r="T85" s="57"/>
      <c r="U85" s="13"/>
      <c r="V85" s="13"/>
      <c r="W85" s="13"/>
      <c r="X85" s="13"/>
      <c r="Y85" s="13"/>
      <c r="Z85" s="13"/>
      <c r="AA85" s="13"/>
      <c r="AB85" s="13"/>
      <c r="AC85" s="13"/>
      <c r="AD85" s="13"/>
      <c r="AE85" s="13"/>
      <c r="AF85" s="13"/>
      <c r="AG85" s="13"/>
      <c r="AH85" s="13"/>
      <c r="AI85" s="13"/>
      <c r="AJ85" s="13"/>
      <c r="AK85" s="13"/>
      <c r="AL85" s="13"/>
      <c r="AM85" s="13"/>
      <c r="AN85" s="13"/>
      <c r="AO85" s="13"/>
      <c r="AQ85" s="13"/>
      <c r="AR85" s="13"/>
      <c r="AS85" s="13"/>
      <c r="AT85" s="13"/>
      <c r="AU85" s="13"/>
      <c r="AV85" s="13"/>
      <c r="AW85" s="13"/>
      <c r="AX85" s="13"/>
      <c r="AY85" s="13"/>
      <c r="AZ85" s="13"/>
      <c r="BA85" s="13"/>
      <c r="BB85" s="13"/>
    </row>
    <row r="86" spans="1:55">
      <c r="A86" s="57"/>
      <c r="B86" s="57"/>
      <c r="C86" s="57"/>
      <c r="D86" s="57"/>
      <c r="E86" s="57"/>
      <c r="F86" s="57"/>
      <c r="G86" s="57"/>
      <c r="H86" s="57"/>
      <c r="I86" s="57"/>
      <c r="J86" s="57"/>
      <c r="K86" s="57"/>
      <c r="L86" s="57"/>
      <c r="M86" s="57"/>
      <c r="N86" s="65"/>
      <c r="O86" s="57"/>
      <c r="P86" s="57"/>
      <c r="Q86" s="57"/>
      <c r="R86" s="57"/>
      <c r="S86" s="57"/>
      <c r="T86" s="57"/>
      <c r="U86" s="13"/>
      <c r="V86" s="13"/>
      <c r="W86" s="13"/>
      <c r="X86" s="13"/>
      <c r="Y86" s="13"/>
      <c r="Z86" s="13"/>
      <c r="AA86" s="13"/>
      <c r="AB86" s="13"/>
      <c r="AC86" s="13"/>
      <c r="AD86" s="13"/>
      <c r="AE86" s="13"/>
      <c r="AF86" s="13"/>
      <c r="AG86" s="13"/>
      <c r="AH86" s="13"/>
      <c r="AI86" s="13"/>
      <c r="AJ86" s="13"/>
      <c r="AK86" s="13"/>
      <c r="AL86" s="13"/>
      <c r="AM86" s="13"/>
      <c r="AN86" s="13"/>
      <c r="AO86" s="13"/>
      <c r="AQ86" s="13"/>
      <c r="AR86" s="13"/>
      <c r="AS86" s="13"/>
      <c r="AT86" s="13"/>
      <c r="AU86" s="13"/>
      <c r="AV86" s="13"/>
      <c r="AW86" s="13"/>
      <c r="AX86" s="13"/>
      <c r="AY86" s="13"/>
      <c r="AZ86" s="13"/>
      <c r="BA86" s="13"/>
      <c r="BB86" s="13"/>
    </row>
    <row r="87" spans="1:55" ht="27.6" customHeight="1">
      <c r="A87" s="620" t="str">
        <f ca="1">Translations!A25</f>
        <v>Objetivos</v>
      </c>
      <c r="B87" s="621"/>
      <c r="C87" s="621"/>
      <c r="D87" s="621"/>
      <c r="E87" s="621"/>
      <c r="F87" s="621"/>
      <c r="G87" s="621"/>
      <c r="H87" s="621"/>
      <c r="I87" s="621"/>
      <c r="J87" s="621"/>
      <c r="K87" s="621"/>
      <c r="L87" s="621"/>
      <c r="M87" s="621"/>
      <c r="N87" s="621"/>
      <c r="O87" s="621"/>
      <c r="P87" s="621"/>
      <c r="Q87" s="621"/>
      <c r="R87" s="621"/>
      <c r="S87" s="621"/>
      <c r="T87" s="71"/>
      <c r="U87" s="13"/>
      <c r="V87" s="13"/>
      <c r="W87" s="13"/>
      <c r="X87" s="13"/>
      <c r="Y87" s="13"/>
      <c r="Z87" s="13"/>
      <c r="AA87" s="13"/>
      <c r="AB87" s="13"/>
      <c r="AC87" s="13"/>
      <c r="AD87" s="13"/>
      <c r="AE87" s="13"/>
      <c r="AF87" s="13"/>
      <c r="AG87" s="13"/>
      <c r="AH87" s="13"/>
      <c r="AI87" s="13"/>
      <c r="AJ87" s="13"/>
      <c r="AK87" s="13"/>
      <c r="AL87" s="13"/>
      <c r="AM87" s="13"/>
      <c r="AN87" s="13"/>
      <c r="AO87" s="13"/>
      <c r="AQ87" s="13"/>
      <c r="AR87" s="13"/>
      <c r="AS87" s="13"/>
      <c r="AT87" s="13"/>
      <c r="AU87" s="13"/>
      <c r="AV87" s="13"/>
      <c r="AW87" s="13"/>
      <c r="AX87" s="13"/>
      <c r="AY87" s="13"/>
      <c r="AZ87" s="13"/>
      <c r="BA87" s="13"/>
      <c r="BB87" s="13"/>
    </row>
    <row r="88" spans="1:55" ht="28.5">
      <c r="A88" s="58">
        <v>1</v>
      </c>
      <c r="B88" s="622" t="str">
        <f ca="1">IFERROR(IF(INDEX('Overview - Section A'!$E$77:$E$91,MATCH($A88,'Overview - Section A'!$A$77:$A$91,0))&lt;&gt;0,INDEX('Overview - Section A'!$E$77:$E$91,MATCH($A88,'Overview - Section A'!$A$77:$A$91,0)),""),"")</f>
        <v>Mejorar el acceso de los gays, bisexuales y otros hombres que tienen sexo con hombres, mujeres trans y Trabajadoras sexuales a los servicios de prevención y diagnóstico del VIH.</v>
      </c>
      <c r="C88" s="623"/>
      <c r="D88" s="623"/>
      <c r="E88" s="623"/>
      <c r="F88" s="623"/>
      <c r="G88" s="623"/>
      <c r="H88" s="623"/>
      <c r="I88" s="623"/>
      <c r="J88" s="623"/>
      <c r="K88" s="623"/>
      <c r="L88" s="623"/>
      <c r="M88" s="623"/>
      <c r="N88" s="623"/>
      <c r="O88" s="623"/>
      <c r="P88" s="623"/>
      <c r="Q88" s="623"/>
      <c r="R88" s="623"/>
      <c r="S88" s="623"/>
      <c r="T88" s="72"/>
      <c r="U88" s="13"/>
      <c r="V88" s="13"/>
      <c r="W88" s="13"/>
      <c r="X88" s="13"/>
      <c r="Y88" s="13"/>
      <c r="Z88" s="13"/>
      <c r="AA88" s="13"/>
      <c r="AB88" s="13"/>
      <c r="AC88" s="13"/>
      <c r="AD88" s="13"/>
      <c r="AE88" s="13"/>
      <c r="AF88" s="13"/>
      <c r="AG88" s="13"/>
      <c r="AH88" s="13"/>
      <c r="AI88" s="13"/>
      <c r="AJ88" s="13"/>
      <c r="AK88" s="13"/>
      <c r="AL88" s="13"/>
      <c r="AM88" s="13"/>
      <c r="AN88" s="13"/>
      <c r="AO88" s="13"/>
      <c r="AQ88" s="13"/>
      <c r="AR88" s="13"/>
      <c r="AS88" s="13"/>
      <c r="AT88" s="13"/>
      <c r="AU88" s="13"/>
      <c r="AV88" s="13"/>
      <c r="AW88" s="13"/>
      <c r="AX88" s="13"/>
      <c r="AY88" s="13"/>
      <c r="AZ88" s="13"/>
      <c r="BA88" s="13"/>
      <c r="BB88" s="13"/>
    </row>
    <row r="89" spans="1:55" ht="28.5">
      <c r="A89" s="58">
        <v>2</v>
      </c>
      <c r="B89" s="622" t="str">
        <f ca="1">IFERROR(IF(INDEX('Overview - Section A'!$E$77:$E$91,MATCH($A89,'Overview - Section A'!$A$77:$A$91,0))&lt;&gt;0,INDEX('Overview - Section A'!$E$77:$E$91,MATCH($A89,'Overview - Section A'!$A$77:$A$91,0)),""),"")</f>
        <v>Fortalecer la vinculación, retención, acceso a tratamiento ARV y supresión de la carga viral de las personas viviendo con VIH.</v>
      </c>
      <c r="C89" s="623"/>
      <c r="D89" s="623"/>
      <c r="E89" s="623"/>
      <c r="F89" s="623"/>
      <c r="G89" s="623"/>
      <c r="H89" s="623"/>
      <c r="I89" s="623"/>
      <c r="J89" s="623"/>
      <c r="K89" s="623"/>
      <c r="L89" s="623"/>
      <c r="M89" s="623"/>
      <c r="N89" s="623"/>
      <c r="O89" s="623"/>
      <c r="P89" s="623"/>
      <c r="Q89" s="623"/>
      <c r="R89" s="623"/>
      <c r="S89" s="623"/>
      <c r="T89" s="72"/>
      <c r="U89" s="13"/>
      <c r="V89" s="13"/>
      <c r="W89" s="13"/>
      <c r="X89" s="13"/>
      <c r="Y89" s="13"/>
      <c r="Z89" s="13"/>
      <c r="AA89" s="13"/>
      <c r="AB89" s="13"/>
      <c r="AC89" s="13"/>
      <c r="AD89" s="13"/>
      <c r="AE89" s="13"/>
      <c r="AF89" s="13"/>
      <c r="AG89" s="13"/>
      <c r="AH89" s="13"/>
      <c r="AI89" s="13"/>
      <c r="AJ89" s="13"/>
      <c r="AK89" s="13"/>
      <c r="AL89" s="13"/>
      <c r="AM89" s="13"/>
      <c r="AN89" s="13"/>
      <c r="AO89" s="13"/>
      <c r="AQ89" s="13"/>
      <c r="AR89" s="13"/>
      <c r="AS89" s="13"/>
    </row>
    <row r="90" spans="1:55" ht="28.5">
      <c r="A90" s="58">
        <v>3</v>
      </c>
      <c r="B90" s="622" t="str">
        <f ca="1">IFERROR(IF(INDEX('Overview - Section A'!$E$77:$E$91,MATCH($A90,'Overview - Section A'!$A$77:$A$91,0))&lt;&gt;0,INDEX('Overview - Section A'!$E$77:$E$91,MATCH($A90,'Overview - Section A'!$A$77:$A$91,0)),""),"")</f>
        <v>Ofertar servicios de atención, detección de casos, diagnóstico y tratamiento de la Tuberculosis, para reducir la carga de Tuberculosis en todas sus formas.</v>
      </c>
      <c r="C90" s="623"/>
      <c r="D90" s="623"/>
      <c r="E90" s="623"/>
      <c r="F90" s="623"/>
      <c r="G90" s="623"/>
      <c r="H90" s="623"/>
      <c r="I90" s="623"/>
      <c r="J90" s="623"/>
      <c r="K90" s="623"/>
      <c r="L90" s="623"/>
      <c r="M90" s="623"/>
      <c r="N90" s="623"/>
      <c r="O90" s="623"/>
      <c r="P90" s="623"/>
      <c r="Q90" s="623"/>
      <c r="R90" s="623"/>
      <c r="S90" s="623"/>
      <c r="T90" s="72"/>
      <c r="U90" s="13"/>
      <c r="V90" s="13"/>
      <c r="W90" s="13"/>
      <c r="X90" s="13"/>
      <c r="Y90" s="13"/>
      <c r="Z90" s="13"/>
      <c r="AA90" s="13"/>
      <c r="AB90" s="13"/>
      <c r="AC90" s="13"/>
      <c r="AD90" s="13"/>
      <c r="AE90" s="13"/>
      <c r="AF90" s="13"/>
      <c r="AG90" s="13"/>
      <c r="AH90" s="13"/>
      <c r="AI90" s="13"/>
      <c r="AJ90" s="13"/>
      <c r="AK90" s="13"/>
      <c r="AL90" s="13"/>
      <c r="AM90" s="13"/>
      <c r="AN90" s="13"/>
      <c r="AO90" s="13"/>
      <c r="AQ90" s="13"/>
      <c r="AR90" s="13"/>
      <c r="AS90" s="13"/>
    </row>
    <row r="91" spans="1:55" ht="28.5">
      <c r="A91" s="58">
        <v>4</v>
      </c>
      <c r="B91" s="622" t="str">
        <f ca="1">IFERROR(IF(INDEX('Overview - Section A'!$E$77:$E$91,MATCH($A91,'Overview - Section A'!$A$77:$A$91,0))&lt;&gt;0,INDEX('Overview - Section A'!$E$77:$E$91,MATCH($A91,'Overview - Section A'!$A$77:$A$91,0)),""),"")</f>
        <v>Fortalecer la oferta de servicios de atención TB MDR, con el diagnóstico temprano, detección de casos, garantizando tratamiento y seguimiento; para reducir la carga de TB MDR.</v>
      </c>
      <c r="C91" s="623"/>
      <c r="D91" s="623"/>
      <c r="E91" s="623"/>
      <c r="F91" s="623"/>
      <c r="G91" s="623"/>
      <c r="H91" s="623"/>
      <c r="I91" s="623"/>
      <c r="J91" s="623"/>
      <c r="K91" s="623"/>
      <c r="L91" s="623"/>
      <c r="M91" s="623"/>
      <c r="N91" s="623"/>
      <c r="O91" s="623"/>
      <c r="P91" s="623"/>
      <c r="Q91" s="623"/>
      <c r="R91" s="623"/>
      <c r="S91" s="623"/>
      <c r="T91" s="72"/>
      <c r="U91" s="13"/>
      <c r="V91" s="13"/>
      <c r="W91" s="13"/>
      <c r="X91" s="13"/>
      <c r="Y91" s="13"/>
      <c r="Z91" s="13"/>
      <c r="AA91" s="13"/>
      <c r="AB91" s="13"/>
      <c r="AC91" s="13"/>
      <c r="AD91" s="13"/>
      <c r="AE91" s="13"/>
      <c r="AF91" s="13"/>
      <c r="AG91" s="13"/>
      <c r="AH91" s="13"/>
      <c r="AI91" s="13"/>
      <c r="AJ91" s="13"/>
      <c r="AK91" s="13"/>
      <c r="AL91" s="13"/>
      <c r="AM91" s="13"/>
      <c r="AN91" s="13"/>
      <c r="AO91" s="13"/>
      <c r="AQ91" s="13"/>
      <c r="AR91" s="13"/>
      <c r="AS91" s="13"/>
    </row>
    <row r="92" spans="1:55" ht="28.5">
      <c r="A92" s="58">
        <v>5</v>
      </c>
      <c r="B92" s="622" t="str">
        <f ca="1">IFERROR(IF(INDEX('Overview - Section A'!$E$77:$E$91,MATCH($A92,'Overview - Section A'!$A$77:$A$91,0))&lt;&gt;0,INDEX('Overview - Section A'!$E$77:$E$91,MATCH($A92,'Overview - Section A'!$A$77:$A$91,0)),""),"")</f>
        <v/>
      </c>
      <c r="C92" s="623"/>
      <c r="D92" s="623"/>
      <c r="E92" s="623"/>
      <c r="F92" s="623"/>
      <c r="G92" s="623"/>
      <c r="H92" s="623"/>
      <c r="I92" s="623"/>
      <c r="J92" s="623"/>
      <c r="K92" s="623"/>
      <c r="L92" s="623"/>
      <c r="M92" s="623"/>
      <c r="N92" s="623"/>
      <c r="O92" s="623"/>
      <c r="P92" s="623"/>
      <c r="Q92" s="623"/>
      <c r="R92" s="623"/>
      <c r="S92" s="623"/>
      <c r="T92" s="72"/>
      <c r="U92" s="13"/>
      <c r="V92" s="13"/>
      <c r="W92" s="13"/>
      <c r="X92" s="13"/>
      <c r="Y92" s="13"/>
      <c r="Z92" s="13"/>
      <c r="AA92" s="13"/>
      <c r="AB92" s="13"/>
      <c r="AC92" s="13"/>
      <c r="AD92" s="13"/>
      <c r="AE92" s="13"/>
      <c r="AF92" s="13"/>
      <c r="AG92" s="13"/>
      <c r="AH92" s="13"/>
      <c r="AI92" s="13"/>
      <c r="AJ92" s="13"/>
      <c r="AK92" s="13"/>
      <c r="AL92" s="13"/>
      <c r="AM92" s="13"/>
      <c r="AN92" s="13"/>
      <c r="AO92" s="13"/>
      <c r="AQ92" s="13"/>
      <c r="AR92" s="13"/>
      <c r="AS92" s="13"/>
    </row>
    <row r="93" spans="1:55" ht="28.5">
      <c r="A93" s="58">
        <v>6</v>
      </c>
      <c r="B93" s="622" t="str">
        <f ca="1">IFERROR(IF(INDEX('Overview - Section A'!$E$77:$E$91,MATCH($A93,'Overview - Section A'!$A$77:$A$91,0))&lt;&gt;0,INDEX('Overview - Section A'!$E$77:$E$91,MATCH($A93,'Overview - Section A'!$A$77:$A$91,0)),""),"")</f>
        <v/>
      </c>
      <c r="C93" s="623"/>
      <c r="D93" s="623"/>
      <c r="E93" s="623"/>
      <c r="F93" s="623"/>
      <c r="G93" s="623"/>
      <c r="H93" s="623"/>
      <c r="I93" s="623"/>
      <c r="J93" s="623"/>
      <c r="K93" s="623"/>
      <c r="L93" s="623"/>
      <c r="M93" s="623"/>
      <c r="N93" s="623"/>
      <c r="O93" s="623"/>
      <c r="P93" s="623"/>
      <c r="Q93" s="623"/>
      <c r="R93" s="623"/>
      <c r="S93" s="623"/>
      <c r="T93" s="72"/>
      <c r="U93" s="13"/>
      <c r="V93" s="13"/>
      <c r="W93" s="13"/>
      <c r="X93" s="13"/>
      <c r="Y93" s="13"/>
      <c r="Z93" s="13"/>
      <c r="AA93" s="13"/>
      <c r="AB93" s="13"/>
      <c r="AC93" s="13"/>
      <c r="AD93" s="13"/>
      <c r="AE93" s="13"/>
      <c r="AF93" s="13"/>
      <c r="AG93" s="13"/>
      <c r="AH93" s="13"/>
      <c r="AI93" s="13"/>
      <c r="AJ93" s="13"/>
      <c r="AK93" s="13"/>
      <c r="AL93" s="13"/>
      <c r="AM93" s="13"/>
      <c r="AN93" s="13"/>
      <c r="AO93" s="13"/>
      <c r="AQ93" s="13"/>
      <c r="AR93" s="13"/>
      <c r="AS93" s="13"/>
    </row>
    <row r="94" spans="1:55" ht="28.5">
      <c r="A94" s="58">
        <v>7</v>
      </c>
      <c r="B94" s="622" t="str">
        <f ca="1">IFERROR(IF(INDEX('Overview - Section A'!$E$77:$E$91,MATCH($A94,'Overview - Section A'!$A$77:$A$91,0))&lt;&gt;0,INDEX('Overview - Section A'!$E$77:$E$91,MATCH($A94,'Overview - Section A'!$A$77:$A$91,0)),""),"")</f>
        <v/>
      </c>
      <c r="C94" s="623"/>
      <c r="D94" s="623"/>
      <c r="E94" s="623"/>
      <c r="F94" s="623"/>
      <c r="G94" s="623"/>
      <c r="H94" s="623"/>
      <c r="I94" s="623"/>
      <c r="J94" s="623"/>
      <c r="K94" s="623"/>
      <c r="L94" s="623"/>
      <c r="M94" s="623"/>
      <c r="N94" s="623"/>
      <c r="O94" s="623"/>
      <c r="P94" s="623"/>
      <c r="Q94" s="623"/>
      <c r="R94" s="623"/>
      <c r="S94" s="623"/>
      <c r="T94" s="72"/>
      <c r="U94" s="13"/>
      <c r="V94" s="13"/>
      <c r="W94" s="13"/>
      <c r="X94" s="13"/>
      <c r="Y94" s="13"/>
      <c r="Z94" s="13"/>
      <c r="AA94" s="13"/>
      <c r="AB94" s="13"/>
      <c r="AC94" s="13"/>
      <c r="AD94" s="13"/>
      <c r="AE94" s="13"/>
      <c r="AF94" s="13"/>
      <c r="AG94" s="13"/>
      <c r="AH94" s="13"/>
      <c r="AI94" s="13"/>
      <c r="AJ94" s="13"/>
      <c r="AK94" s="13"/>
      <c r="AL94" s="13"/>
      <c r="AM94" s="13"/>
      <c r="AN94" s="13"/>
      <c r="AO94" s="13"/>
      <c r="AQ94" s="13"/>
      <c r="AR94" s="13"/>
      <c r="AS94" s="13"/>
    </row>
    <row r="95" spans="1:55" ht="28.5">
      <c r="A95" s="58">
        <v>8</v>
      </c>
      <c r="B95" s="622" t="str">
        <f ca="1">IFERROR(IF(INDEX('Overview - Section A'!$E$77:$E$91,MATCH($A95,'Overview - Section A'!$A$77:$A$91,0))&lt;&gt;0,INDEX('Overview - Section A'!$E$77:$E$91,MATCH($A95,'Overview - Section A'!$A$77:$A$91,0)),""),"")</f>
        <v/>
      </c>
      <c r="C95" s="623"/>
      <c r="D95" s="623"/>
      <c r="E95" s="623"/>
      <c r="F95" s="623"/>
      <c r="G95" s="623"/>
      <c r="H95" s="623"/>
      <c r="I95" s="623"/>
      <c r="J95" s="623"/>
      <c r="K95" s="623"/>
      <c r="L95" s="623"/>
      <c r="M95" s="623"/>
      <c r="N95" s="623"/>
      <c r="O95" s="623"/>
      <c r="P95" s="623"/>
      <c r="Q95" s="623"/>
      <c r="R95" s="623"/>
      <c r="S95" s="623"/>
      <c r="T95" s="72"/>
      <c r="U95" s="13"/>
      <c r="V95" s="13"/>
      <c r="W95" s="13"/>
      <c r="X95" s="13"/>
      <c r="Y95" s="13"/>
      <c r="Z95" s="13"/>
      <c r="AA95" s="13"/>
      <c r="AB95" s="13"/>
      <c r="AC95" s="13"/>
      <c r="AD95" s="13"/>
      <c r="AE95" s="13"/>
      <c r="AF95" s="13"/>
      <c r="AG95" s="13"/>
      <c r="AH95" s="13"/>
      <c r="AI95" s="13"/>
      <c r="AJ95" s="13"/>
      <c r="AK95" s="13"/>
      <c r="AL95" s="13"/>
      <c r="AM95" s="13"/>
      <c r="AN95" s="13"/>
      <c r="AO95" s="13"/>
      <c r="AQ95" s="13"/>
      <c r="AR95" s="13"/>
      <c r="AS95" s="13"/>
    </row>
    <row r="96" spans="1:55" ht="28.5">
      <c r="A96" s="58">
        <v>9</v>
      </c>
      <c r="B96" s="622" t="str">
        <f ca="1">IFERROR(IF(INDEX('Overview - Section A'!$E$77:$E$91,MATCH($A96,'Overview - Section A'!$A$77:$A$91,0))&lt;&gt;0,INDEX('Overview - Section A'!$E$77:$E$91,MATCH($A96,'Overview - Section A'!$A$77:$A$91,0)),""),"")</f>
        <v/>
      </c>
      <c r="C96" s="623"/>
      <c r="D96" s="623"/>
      <c r="E96" s="623"/>
      <c r="F96" s="623"/>
      <c r="G96" s="623"/>
      <c r="H96" s="623"/>
      <c r="I96" s="623"/>
      <c r="J96" s="623"/>
      <c r="K96" s="623"/>
      <c r="L96" s="623"/>
      <c r="M96" s="623"/>
      <c r="N96" s="623"/>
      <c r="O96" s="623"/>
      <c r="P96" s="623"/>
      <c r="Q96" s="623"/>
      <c r="R96" s="623"/>
      <c r="S96" s="623"/>
      <c r="T96" s="72"/>
      <c r="U96" s="13"/>
      <c r="V96" s="13"/>
      <c r="W96" s="13"/>
      <c r="X96" s="13"/>
      <c r="Y96" s="13"/>
      <c r="Z96" s="13"/>
      <c r="AA96" s="13"/>
      <c r="AB96" s="13"/>
      <c r="AC96" s="13"/>
      <c r="AD96" s="13"/>
      <c r="AE96" s="13"/>
      <c r="AF96" s="13"/>
      <c r="AG96" s="13"/>
      <c r="AH96" s="13"/>
      <c r="AI96" s="13"/>
      <c r="AJ96" s="13"/>
      <c r="AK96" s="13"/>
      <c r="AL96" s="13"/>
      <c r="AM96" s="13"/>
      <c r="AN96" s="13"/>
      <c r="AO96" s="13"/>
      <c r="AQ96" s="13"/>
      <c r="AR96" s="13"/>
      <c r="AS96" s="13"/>
    </row>
    <row r="97" spans="1:55" ht="28.5">
      <c r="A97" s="58">
        <v>10</v>
      </c>
      <c r="B97" s="622" t="str">
        <f ca="1">IFERROR(IF(INDEX('Overview - Section A'!$E$77:$E$91,MATCH($A97,'Overview - Section A'!$A$77:$A$91,0))&lt;&gt;0,INDEX('Overview - Section A'!$E$77:$E$91,MATCH($A97,'Overview - Section A'!$A$77:$A$91,0)),""),"")</f>
        <v/>
      </c>
      <c r="C97" s="623"/>
      <c r="D97" s="623"/>
      <c r="E97" s="623"/>
      <c r="F97" s="623"/>
      <c r="G97" s="623"/>
      <c r="H97" s="623"/>
      <c r="I97" s="623"/>
      <c r="J97" s="623"/>
      <c r="K97" s="623"/>
      <c r="L97" s="623"/>
      <c r="M97" s="623"/>
      <c r="N97" s="623"/>
      <c r="O97" s="623"/>
      <c r="P97" s="623"/>
      <c r="Q97" s="623"/>
      <c r="R97" s="623"/>
      <c r="S97" s="623"/>
      <c r="T97" s="72"/>
      <c r="U97" s="13"/>
      <c r="V97" s="13"/>
      <c r="W97" s="13"/>
      <c r="X97" s="13"/>
      <c r="Y97" s="13"/>
      <c r="Z97" s="13"/>
      <c r="AA97" s="13"/>
      <c r="AB97" s="13"/>
      <c r="AC97" s="13"/>
      <c r="AD97" s="13"/>
      <c r="AE97" s="13"/>
      <c r="AF97" s="13"/>
      <c r="AG97" s="13"/>
      <c r="AH97" s="13"/>
      <c r="AI97" s="13"/>
      <c r="AJ97" s="13"/>
      <c r="AK97" s="13"/>
      <c r="AL97" s="13"/>
      <c r="AM97" s="13"/>
      <c r="AN97" s="13"/>
      <c r="AO97" s="13"/>
      <c r="AQ97" s="13"/>
      <c r="AR97" s="13"/>
      <c r="AS97" s="13"/>
    </row>
    <row r="98" spans="1:55" ht="28.5">
      <c r="A98" s="58">
        <v>11</v>
      </c>
      <c r="B98" s="622" t="str">
        <f ca="1">IFERROR(IF(INDEX('Overview - Section A'!$E$77:$E$91,MATCH($A98,'Overview - Section A'!$A$77:$A$91,0))&lt;&gt;0,INDEX('Overview - Section A'!$E$77:$E$91,MATCH($A98,'Overview - Section A'!$A$77:$A$91,0)),""),"")</f>
        <v/>
      </c>
      <c r="C98" s="623"/>
      <c r="D98" s="623"/>
      <c r="E98" s="623"/>
      <c r="F98" s="623"/>
      <c r="G98" s="623"/>
      <c r="H98" s="623"/>
      <c r="I98" s="623"/>
      <c r="J98" s="623"/>
      <c r="K98" s="623"/>
      <c r="L98" s="623"/>
      <c r="M98" s="623"/>
      <c r="N98" s="623"/>
      <c r="O98" s="623"/>
      <c r="P98" s="623"/>
      <c r="Q98" s="623"/>
      <c r="R98" s="623"/>
      <c r="S98" s="623"/>
      <c r="T98" s="72"/>
      <c r="U98" s="13"/>
      <c r="V98" s="13"/>
      <c r="W98" s="13"/>
      <c r="X98" s="13"/>
      <c r="Y98" s="13"/>
      <c r="Z98" s="13"/>
      <c r="AA98" s="13"/>
      <c r="AB98" s="13"/>
      <c r="AC98" s="13"/>
      <c r="AD98" s="13"/>
      <c r="AE98" s="13"/>
      <c r="AF98" s="13"/>
      <c r="AG98" s="13"/>
      <c r="AH98" s="13"/>
      <c r="AI98" s="13"/>
      <c r="AJ98" s="13"/>
      <c r="AK98" s="13"/>
      <c r="AL98" s="13"/>
      <c r="AM98" s="13"/>
      <c r="AN98" s="13"/>
      <c r="AO98" s="13"/>
      <c r="AQ98" s="13"/>
      <c r="AR98" s="13"/>
      <c r="AS98" s="13"/>
    </row>
    <row r="99" spans="1:55" ht="28.5">
      <c r="A99" s="58">
        <v>12</v>
      </c>
      <c r="B99" s="622" t="str">
        <f ca="1">IFERROR(IF(INDEX('Overview - Section A'!$E$77:$E$91,MATCH($A99,'Overview - Section A'!$A$77:$A$91,0))&lt;&gt;0,INDEX('Overview - Section A'!$E$77:$E$91,MATCH($A99,'Overview - Section A'!$A$77:$A$91,0)),""),"")</f>
        <v/>
      </c>
      <c r="C99" s="623"/>
      <c r="D99" s="623"/>
      <c r="E99" s="623"/>
      <c r="F99" s="623"/>
      <c r="G99" s="623"/>
      <c r="H99" s="623"/>
      <c r="I99" s="623"/>
      <c r="J99" s="623"/>
      <c r="K99" s="623"/>
      <c r="L99" s="623"/>
      <c r="M99" s="623"/>
      <c r="N99" s="623"/>
      <c r="O99" s="623"/>
      <c r="P99" s="623"/>
      <c r="Q99" s="623"/>
      <c r="R99" s="623"/>
      <c r="S99" s="623"/>
      <c r="T99" s="72"/>
      <c r="U99" s="13"/>
      <c r="V99" s="13"/>
      <c r="W99" s="13"/>
      <c r="X99" s="13"/>
      <c r="Y99" s="13"/>
      <c r="Z99" s="13"/>
      <c r="AA99" s="13"/>
      <c r="AB99" s="13"/>
      <c r="AC99" s="13"/>
      <c r="AD99" s="13"/>
      <c r="AE99" s="13"/>
      <c r="AF99" s="13"/>
      <c r="AG99" s="13"/>
      <c r="AH99" s="13"/>
      <c r="AI99" s="13"/>
      <c r="AJ99" s="13"/>
      <c r="AK99" s="13"/>
      <c r="AL99" s="13"/>
      <c r="AM99" s="13"/>
      <c r="AN99" s="13"/>
      <c r="AO99" s="13"/>
      <c r="AQ99" s="13"/>
      <c r="AR99" s="13"/>
      <c r="AS99" s="13"/>
    </row>
    <row r="100" spans="1:55">
      <c r="A100" s="57"/>
      <c r="B100" s="57"/>
      <c r="C100" s="57"/>
      <c r="D100" s="57"/>
      <c r="E100" s="57"/>
      <c r="F100" s="57"/>
      <c r="G100" s="57"/>
      <c r="H100" s="57"/>
      <c r="I100" s="57"/>
      <c r="J100" s="57"/>
      <c r="K100" s="57"/>
      <c r="L100" s="57"/>
      <c r="M100" s="57"/>
      <c r="N100" s="65"/>
      <c r="O100" s="57"/>
      <c r="P100" s="57"/>
      <c r="Q100" s="57"/>
      <c r="R100" s="57"/>
      <c r="S100" s="57"/>
      <c r="T100" s="57"/>
      <c r="U100" s="13"/>
      <c r="V100" s="13"/>
      <c r="W100" s="13"/>
      <c r="X100" s="13"/>
      <c r="Y100" s="13"/>
      <c r="Z100" s="13"/>
      <c r="AA100" s="13"/>
      <c r="AB100" s="13"/>
      <c r="AC100" s="13"/>
      <c r="AD100" s="13"/>
      <c r="AE100" s="13"/>
      <c r="AF100" s="13"/>
      <c r="AG100" s="13"/>
      <c r="AH100" s="13"/>
      <c r="AI100" s="13"/>
      <c r="AJ100" s="13"/>
      <c r="AK100" s="13"/>
      <c r="AL100" s="13"/>
      <c r="AM100" s="13"/>
      <c r="AN100" s="13"/>
      <c r="AO100" s="13"/>
      <c r="AQ100" s="13"/>
      <c r="AR100" s="13"/>
      <c r="AS100" s="13"/>
    </row>
    <row r="101" spans="1:55">
      <c r="A101" s="57"/>
      <c r="B101" s="57"/>
      <c r="C101" s="57"/>
      <c r="D101" s="57"/>
      <c r="E101" s="57"/>
      <c r="F101" s="57"/>
      <c r="G101" s="57"/>
      <c r="H101" s="57"/>
      <c r="I101" s="57"/>
      <c r="J101" s="57"/>
      <c r="K101" s="57"/>
      <c r="L101" s="57"/>
      <c r="M101" s="57"/>
      <c r="N101" s="65"/>
      <c r="O101" s="57"/>
      <c r="P101" s="57"/>
      <c r="Q101" s="57"/>
      <c r="R101" s="57"/>
      <c r="S101" s="57"/>
      <c r="T101" s="57"/>
      <c r="U101" s="13"/>
      <c r="V101" s="13"/>
      <c r="W101" s="13"/>
      <c r="X101" s="13"/>
      <c r="Y101" s="13"/>
      <c r="Z101" s="13"/>
      <c r="AA101" s="13"/>
      <c r="AB101" s="13"/>
      <c r="AC101" s="13"/>
      <c r="AD101" s="13"/>
      <c r="AE101" s="13"/>
      <c r="AF101" s="13"/>
      <c r="AG101" s="13"/>
      <c r="AH101" s="13"/>
      <c r="AI101" s="13"/>
      <c r="AJ101" s="13"/>
      <c r="AK101" s="13"/>
      <c r="AL101" s="13"/>
      <c r="AM101" s="13"/>
      <c r="AN101" s="13"/>
      <c r="AO101" s="13"/>
      <c r="AQ101" s="13"/>
      <c r="AR101" s="13"/>
      <c r="AS101" s="13"/>
    </row>
    <row r="102" spans="1:55" ht="8.65" customHeight="1">
      <c r="A102" s="57"/>
      <c r="B102" s="57"/>
      <c r="C102" s="57"/>
      <c r="D102" s="57"/>
      <c r="E102" s="57"/>
      <c r="F102" s="57"/>
      <c r="G102" s="57"/>
      <c r="H102" s="57"/>
      <c r="I102" s="57"/>
      <c r="J102" s="57"/>
      <c r="K102" s="57"/>
      <c r="L102" s="57"/>
      <c r="M102" s="57"/>
      <c r="N102" s="65"/>
      <c r="O102" s="57"/>
      <c r="P102" s="57"/>
      <c r="Q102" s="57"/>
      <c r="R102" s="57"/>
      <c r="S102" s="57"/>
      <c r="T102" s="57"/>
      <c r="U102" s="13"/>
      <c r="V102" s="13"/>
      <c r="W102" s="13"/>
      <c r="X102" s="13"/>
      <c r="Y102" s="13"/>
      <c r="Z102" s="13"/>
      <c r="AA102" s="13"/>
      <c r="AB102" s="13"/>
      <c r="AC102" s="13"/>
      <c r="AD102" s="13"/>
      <c r="AE102" s="13"/>
      <c r="AF102" s="13"/>
      <c r="AG102" s="13"/>
      <c r="AH102" s="13"/>
      <c r="AI102" s="13"/>
      <c r="AJ102" s="13"/>
      <c r="AK102" s="13"/>
      <c r="AL102" s="13"/>
      <c r="AM102" s="13"/>
      <c r="AN102" s="13"/>
      <c r="AO102" s="13"/>
      <c r="AQ102" s="13"/>
      <c r="AR102" s="13"/>
      <c r="AS102" s="13"/>
    </row>
    <row r="103" spans="1:55">
      <c r="A103" s="57"/>
      <c r="B103" s="57"/>
      <c r="C103" s="57"/>
      <c r="D103" s="57"/>
      <c r="E103" s="57"/>
      <c r="F103" s="57"/>
      <c r="G103" s="57"/>
      <c r="H103" s="57"/>
      <c r="I103" s="57"/>
      <c r="J103" s="57"/>
      <c r="K103" s="57"/>
      <c r="L103" s="57"/>
      <c r="M103" s="57"/>
      <c r="N103" s="65"/>
      <c r="O103" s="57"/>
      <c r="P103" s="57"/>
      <c r="Q103" s="57"/>
      <c r="R103" s="57"/>
      <c r="S103" s="57"/>
      <c r="T103" s="57"/>
      <c r="U103" s="13"/>
      <c r="V103" s="13"/>
      <c r="W103" s="13"/>
      <c r="X103" s="13"/>
      <c r="Y103" s="13"/>
      <c r="Z103" s="13"/>
      <c r="AA103" s="13"/>
      <c r="AB103" s="13"/>
      <c r="AC103" s="13"/>
      <c r="AD103" s="13"/>
      <c r="AE103" s="13"/>
      <c r="AF103" s="13"/>
      <c r="AG103" s="13"/>
      <c r="AH103" s="13"/>
      <c r="AI103" s="13"/>
      <c r="AJ103" s="13"/>
      <c r="AK103" s="13"/>
      <c r="AL103" s="13"/>
      <c r="AM103" s="13"/>
      <c r="AN103" s="13"/>
      <c r="AO103" s="13"/>
      <c r="AQ103" s="13"/>
      <c r="AR103" s="13"/>
      <c r="AS103" s="13"/>
    </row>
    <row r="104" spans="1:55" ht="47.25" customHeight="1">
      <c r="A104" s="649" t="str">
        <f ca="1">Translations!A96</f>
        <v xml:space="preserve">Indicadores de resultados </v>
      </c>
      <c r="B104" s="650"/>
      <c r="C104" s="650"/>
      <c r="D104" s="650"/>
      <c r="E104" s="650"/>
      <c r="F104" s="650"/>
      <c r="G104" s="650"/>
      <c r="H104" s="650"/>
      <c r="I104" s="650"/>
      <c r="J104" s="650"/>
      <c r="K104" s="650"/>
      <c r="L104" s="650"/>
      <c r="M104" s="650"/>
      <c r="N104" s="650"/>
      <c r="O104" s="650"/>
      <c r="P104" s="650"/>
      <c r="Q104" s="650"/>
      <c r="R104" s="650"/>
      <c r="S104" s="650"/>
      <c r="T104" s="59"/>
      <c r="U104" s="13"/>
      <c r="V104" s="13"/>
      <c r="W104" s="13"/>
      <c r="X104" s="13"/>
      <c r="Y104" s="13"/>
      <c r="Z104" s="13"/>
      <c r="AA104" s="13"/>
      <c r="AB104" s="13"/>
      <c r="AC104" s="13"/>
      <c r="AD104" s="13"/>
      <c r="AE104" s="13"/>
      <c r="AF104" s="13"/>
      <c r="AG104" s="13"/>
      <c r="AH104" s="13"/>
      <c r="AI104" s="13"/>
      <c r="AJ104" s="13"/>
      <c r="AK104" s="13"/>
      <c r="AL104" s="13"/>
      <c r="AM104" s="13"/>
      <c r="AN104" s="13"/>
      <c r="AO104" s="13"/>
      <c r="AQ104" s="13"/>
      <c r="AR104" s="13"/>
      <c r="AS104" s="13"/>
    </row>
    <row r="105" spans="1:55">
      <c r="A105" s="57"/>
      <c r="B105" s="57"/>
      <c r="C105" s="57"/>
      <c r="D105" s="57"/>
      <c r="E105" s="57"/>
      <c r="F105" s="57"/>
      <c r="G105" s="57"/>
      <c r="H105" s="57"/>
      <c r="I105" s="57"/>
      <c r="J105" s="57"/>
      <c r="K105" s="57"/>
      <c r="L105" s="57"/>
      <c r="M105" s="57"/>
      <c r="N105" s="65"/>
      <c r="O105" s="57"/>
      <c r="P105" s="57"/>
      <c r="Q105" s="57"/>
      <c r="R105" s="57"/>
      <c r="S105" s="57"/>
      <c r="T105" s="57"/>
      <c r="U105" s="13"/>
      <c r="V105" s="13"/>
      <c r="W105" s="13"/>
      <c r="X105" s="13"/>
      <c r="Y105" s="13"/>
      <c r="Z105" s="13"/>
      <c r="AA105" s="13"/>
      <c r="AB105" s="13"/>
      <c r="AC105" s="13"/>
      <c r="AD105" s="13"/>
      <c r="AE105" s="13"/>
      <c r="AF105" s="13"/>
      <c r="AG105" s="13"/>
      <c r="AH105" s="13"/>
      <c r="AI105" s="13"/>
      <c r="AJ105" s="13"/>
      <c r="AK105" s="13"/>
      <c r="AL105" s="13"/>
      <c r="AM105" s="13"/>
      <c r="AN105" s="13"/>
      <c r="AO105" s="13"/>
      <c r="AQ105" s="13"/>
      <c r="AR105" s="13"/>
      <c r="AS105" s="13"/>
    </row>
    <row r="106" spans="1:55" ht="32.1" customHeight="1">
      <c r="A106" s="30"/>
      <c r="B106" s="31"/>
      <c r="C106" s="31"/>
      <c r="D106" s="31"/>
      <c r="E106" s="31"/>
      <c r="F106" s="31"/>
      <c r="G106" s="31"/>
      <c r="H106" s="31"/>
      <c r="I106" s="31"/>
      <c r="J106" s="31"/>
      <c r="K106" s="31"/>
      <c r="L106" s="31"/>
      <c r="M106" s="31"/>
      <c r="N106" s="31"/>
      <c r="O106" s="31"/>
      <c r="P106" s="37">
        <f ca="1">P52</f>
        <v>2023</v>
      </c>
      <c r="Q106" s="37">
        <f ca="1">Q52</f>
        <v>2024</v>
      </c>
      <c r="R106" s="37">
        <f ca="1">R52</f>
        <v>2025</v>
      </c>
      <c r="S106" s="37" t="str">
        <f ca="1">S52</f>
        <v/>
      </c>
      <c r="T106" s="49"/>
      <c r="U106" s="13"/>
      <c r="V106" s="13"/>
      <c r="W106" s="13"/>
      <c r="X106" s="13"/>
      <c r="Y106" s="13"/>
      <c r="Z106" s="13"/>
      <c r="AA106" s="13"/>
      <c r="AB106" s="13"/>
      <c r="AC106" s="13"/>
      <c r="AD106" s="13"/>
      <c r="AE106" s="13"/>
      <c r="AF106" s="13"/>
      <c r="AG106" s="13"/>
      <c r="AH106" s="13"/>
      <c r="AI106" s="13"/>
      <c r="AJ106" s="13"/>
      <c r="AK106" s="13"/>
      <c r="AL106" s="13"/>
      <c r="AM106" s="13"/>
      <c r="AN106" s="13"/>
      <c r="AO106" s="13"/>
      <c r="AQ106" s="13"/>
      <c r="AR106" s="13"/>
      <c r="AS106" s="13"/>
      <c r="AT106" s="13"/>
    </row>
    <row r="107" spans="1:55" ht="148.5" customHeight="1">
      <c r="A107" s="60" t="str">
        <f ca="1">Translations!$A$91</f>
        <v>No.</v>
      </c>
      <c r="B107" s="679" t="str">
        <f ca="1">Translations!A38</f>
        <v xml:space="preserve">Indicador estándar </v>
      </c>
      <c r="C107" s="680"/>
      <c r="D107" s="681"/>
      <c r="E107" s="682" t="str">
        <f ca="1">Translations!A92</f>
        <v>Indicador de impacto personalizado</v>
      </c>
      <c r="F107" s="683"/>
      <c r="G107" s="684"/>
      <c r="H107" s="61" t="str">
        <f ca="1">Translations!A93</f>
        <v>Valor de línea de base</v>
      </c>
      <c r="I107" s="66" t="str">
        <f ca="1">Translations!A94</f>
        <v>Año y fuente de la línea de base</v>
      </c>
      <c r="J107" s="685" t="str">
        <f ca="1">Translations!A51</f>
        <v>Desagregación requerida</v>
      </c>
      <c r="K107" s="686"/>
      <c r="L107" s="686"/>
      <c r="M107" s="687"/>
      <c r="N107" s="66" t="str">
        <f ca="1">Translations!A52</f>
        <v>Receptor principal responsible</v>
      </c>
      <c r="O107" s="67" t="str">
        <f ca="1">Translations!A53</f>
        <v>País</v>
      </c>
      <c r="P107" s="60" t="str">
        <f ca="1">Translations!$A$95</f>
        <v>Valor de la meta</v>
      </c>
      <c r="Q107" s="60" t="str">
        <f ca="1">Translations!$A$95</f>
        <v>Valor de la meta</v>
      </c>
      <c r="R107" s="60" t="str">
        <f ca="1">Translations!$A$95</f>
        <v>Valor de la meta</v>
      </c>
      <c r="S107" s="60" t="str">
        <f ca="1">Translations!$A$95</f>
        <v>Valor de la meta</v>
      </c>
      <c r="T107" s="50"/>
      <c r="U107" s="13"/>
      <c r="V107" s="13"/>
      <c r="W107" s="13"/>
      <c r="X107" s="13"/>
      <c r="Y107" s="13"/>
      <c r="Z107" s="13"/>
      <c r="AA107" s="13"/>
      <c r="AB107" s="13"/>
      <c r="AC107" s="13"/>
      <c r="AD107" s="13"/>
      <c r="AE107" s="13"/>
      <c r="AF107" s="13"/>
      <c r="AG107" s="13"/>
      <c r="AH107" s="13"/>
      <c r="AI107" s="13"/>
      <c r="AJ107" s="13"/>
      <c r="AK107" s="13"/>
      <c r="AL107" s="13"/>
      <c r="AM107" s="13"/>
      <c r="AN107" s="13"/>
      <c r="AO107" s="13"/>
      <c r="AQ107" s="13"/>
      <c r="AR107" s="13"/>
      <c r="AS107" s="13"/>
      <c r="AT107" s="13"/>
    </row>
    <row r="108" spans="1:55" ht="172.35" customHeight="1">
      <c r="A108" s="678">
        <v>1</v>
      </c>
      <c r="B108" s="672" t="str">
        <f ca="1">IFERROR(IF(INDEX('Outcome Indicators - Section C '!B$1:B$98,MATCH($A108,'Outcome Indicators - Section C '!$A$1:$A$98,0))&lt;&gt;0,INDEX('Outcome Indicators - Section C '!B$1:B$98,MATCH($A108,'Outcome Indicators - Section C '!$A$1:$A$98,0)),""),"")</f>
        <v>HIV O-4a⁽ᴹ⁾ Porcentaje de hombres que afirman haber utilizado preservativo en su última relación de sexo anal con una pareja masculina no regular</v>
      </c>
      <c r="C108" s="673"/>
      <c r="D108" s="674"/>
      <c r="E108" s="675" t="str">
        <f ca="1">IFERROR(IF(INDEX('Outcome Indicators - Section C '!C$1:C$98,MATCH($A108,'Outcome Indicators - Section C '!$A$1:$A$98,0))&lt;&gt;0,INDEX('Outcome Indicators - Section C '!C$1:C$98,MATCH($A108,'Outcome Indicators - Section C '!$A$1:$A$98,0)),""),"")</f>
        <v/>
      </c>
      <c r="F108" s="676"/>
      <c r="G108" s="677"/>
      <c r="H108" s="62" t="str">
        <f ca="1">IFERROR(IF(INDEX('Outcome Indicators - Section C '!D$1:D$98,MATCH($A108,'Outcome Indicators - Section C '!$A$1:$A$98,0))&lt;&gt;"",FIXED(INDEX('Outcome Indicators - Section C '!D$1:D$98,MATCH($A108,'Outcome Indicators - Section C '!$A$1:$A$98,0)),4),""),"")&amp;"/"&amp;IFERROR(IF(INDEX('Outcome Indicators - Section C '!D$1:D$98,MATCH($A108,'Outcome Indicators - Section C '!$A$1:$A$98,0)+1)&lt;&gt;"",FIXED(INDEX('Outcome Indicators - Section C '!D$1:D$98,MATCH($A108,'Outcome Indicators - Section C '!$A$1:$A$98,0)+1),2),""),"")&amp;CHAR(10)&amp;IFERROR(IF(INDEX('Outcome Indicators - Section C '!E$1:E$98,MATCH($A108,'Outcome Indicators - Section C '!$A$1:$A$98,0))&lt;&gt;"",FIXED(INDEX('Outcome Indicators - Section C '!E$1:E$98,MATCH($A108,'Outcome Indicators - Section C '!$A$1:$A$98,0))*100,2)&amp;"%",""),"")</f>
        <v>/
75.40%</v>
      </c>
      <c r="I108" s="62" t="str">
        <f ca="1">IFERROR(IF(INDEX('Outcome Indicators - Section C '!F$1:F$98,MATCH($A108,'Outcome Indicators - Section C '!$A$1:$A$98,0))&lt;&gt;0,INDEX('Outcome Indicators - Section C '!F$1:F$98,MATCH($A108,'Outcome Indicators - Section C '!$A$1:$A$98,0)),""),"")&amp;CHAR(10)&amp;IFERROR(IF(INDEX('Outcome Indicators - Section C '!G$1:G$98,MATCH($A108,'Outcome Indicators - Section C '!$A$1:$A$98,0))&lt;&gt;0,INDEX('Outcome Indicators - Section C '!G$1:G$98,MATCH($A108,'Outcome Indicators - Section C '!$A$1:$A$98,0)),""),"")</f>
        <v xml:space="preserve">2021
Estudio de Vigilancia Bioconductual 2021
</v>
      </c>
      <c r="J108" s="672" t="str">
        <f ca="1">IFERROR(IF(INDEX('Outcome Indicators - Section C '!H$1:H$98,MATCH($A108,'Outcome Indicators - Section C '!$A$1:$A$98,0))&lt;&gt;0,INDEX('Outcome Indicators - Section C '!H$1:H$98,MATCH($A108,'Outcome Indicators - Section C '!$A$1:$A$98,0)),""),"")</f>
        <v>Edad</v>
      </c>
      <c r="K108" s="673"/>
      <c r="L108" s="673"/>
      <c r="M108" s="674"/>
      <c r="N108" s="68" t="str">
        <f ca="1">IFERROR(IF(AND('Overview - Section A'!AN$5="Grant Making",OR(B108&lt;&gt;"",E108&lt;&gt;"")),Setup!I15,IF(INDEX('Outcome Indicators - Section C '!I$1:I$98,MATCH($A108,'Outcome Indicators - Section C '!$A$1:$A$98,0))&lt;&gt;0,INDEX('Outcome Indicators - Section C '!I$1:I$98,MATCH($A108,'Outcome Indicators - Section C '!$A$1:$A$98,0)),"")),"")</f>
        <v>United Nations Development Programme</v>
      </c>
      <c r="O108" s="68" t="str">
        <f>IFERROR(IF(INDEX('Outcome Indicators - Section C '!J$9:J$36,MATCH($A108,'Outcome Indicators - Section C '!$A$9:$A$36,0))&lt;&gt;0,INDEX('Outcome Indicators - Section C '!J$9:J$36,MATCH($A108,'Outcome Indicators - Section C '!$A$9:$A$36,0)),""),"")</f>
        <v>Bolivia (Plurinational State)</v>
      </c>
      <c r="P108" s="69" t="str">
        <f ca="1">IFERROR(IF(INDEX('Outcome Indicators - Section C '!K$1:K$98,MATCH($A108,'Outcome Indicators - Section C '!$A$1:$A$98,0))&lt;&gt;"",FIXED(INDEX('Outcome Indicators - Section C '!K$1:K$98,MATCH($A108,'Outcome Indicators - Section C '!$A$1:$A$98,0)),4),""),"")&amp;"/"&amp;IFERROR(IF(INDEX('Outcome Indicators - Section C '!K$1:K$98,MATCH($A108,'Outcome Indicators - Section C '!$A$1:$A$98,0)+1)&lt;&gt;"",FIXED(INDEX('Outcome Indicators - Section C '!K$1:K$98,MATCH($A108,'Outcome Indicators - Section C '!$A$1:$A$98,0)+1),2),""),"")&amp;CHAR(10)&amp;IFERROR(IF(INDEX('Outcome Indicators - Section C '!L$1:L$98,MATCH($A108,'Outcome Indicators - Section C '!$A$1:$A$98,0))&lt;&gt;"",FIXED(INDEX('Outcome Indicators - Section C '!L$1:L$98,MATCH($A108,'Outcome Indicators - Section C '!$A$1:$A$98,0))*100,2)&amp;"%",""),"")&amp;CHAR(10)&amp;IFERROR(IF(INDEX('Outcome Indicators - Section C '!N$1:N$98,MATCH($A108,'Outcome Indicators - Section C '!$A$1:$A$98,0))&lt;&gt;"",INDEX('Outcome Indicators - Section C '!N$1:N$98,MATCH($A108,'Outcome Indicators - Section C '!$A$1:$A$98,0)),""),"")&amp;CHAR(10)&amp;IFERROR(IF(INDEX('Outcome Indicators - Section C '!M$1:M$98,MATCH($A108,'Outcome Indicators - Section C '!$A$1:$A$98,0))&lt;&gt;"",TEXT(INDEX('Outcome Indicators - Section C '!M$1:M$98,MATCH($A108,'Outcome Indicators - Section C '!$A$1:$A$98,0)),Setup!$A$33),""),"")</f>
        <v xml:space="preserve">/
</v>
      </c>
      <c r="Q108" s="62" t="str">
        <f ca="1">IFERROR(IF(INDEX('Outcome Indicators - Section C '!O$1:O$36,MATCH($A108,'Outcome Indicators - Section C '!$A$1:$A$36,0))&lt;&gt;"",FIXED(INDEX('Outcome Indicators - Section C '!O$1:O$36,MATCH($A108,'Outcome Indicators - Section C '!$A$1:$A$36,0)),4),""),"")&amp;"/"&amp;IFERROR(IF(INDEX('Outcome Indicators - Section C '!O$1:O$36,MATCH($A108,'Outcome Indicators - Section C '!$A$1:$A$36,0)+1)&lt;&gt;"",FIXED(INDEX('Outcome Indicators - Section C '!O$1:O$36,MATCH($A108,'Outcome Indicators - Section C '!$A$1:$A$36,0)+1),2),""),"")&amp;CHAR(10)&amp;IFERROR(IF(INDEX('Outcome Indicators - Section C '!P$1:P$36,MATCH($A108,'Outcome Indicators - Section C '!$A$1:$A$36,0))&lt;&gt;"",FIXED(INDEX('Outcome Indicators - Section C '!P$1:P$36,MATCH($A108,'Outcome Indicators - Section C '!$A$1:$A$36,0))*100,2)&amp;"%",""),"")&amp;CHAR(10)&amp;IFERROR(IF(INDEX('Outcome Indicators - Section C '!R$1:R$36,MATCH($A108,'Outcome Indicators - Section C '!$A$1:$A$36,0))&lt;&gt;"",INDEX('Outcome Indicators - Section C '!R$1:R$36,MATCH($A108,'Outcome Indicators - Section C '!$A$1:$A$36,0)),""),"")&amp;CHAR(10)&amp;IFERROR(IF(INDEX('Outcome Indicators - Section C '!Q$1:Q$36,MATCH($A108,'Outcome Indicators - Section C '!$A$1:$A$36,0))&lt;&gt;"",TEXT(INDEX('Outcome Indicators - Section C '!Q$1:Q$36,MATCH($A108,'Outcome Indicators - Section C '!$A$1:$A$36,0)),Setup!$A$33),""),"")</f>
        <v xml:space="preserve">/
</v>
      </c>
      <c r="R108" s="62" t="str">
        <f ca="1">IFERROR(IF(INDEX('Outcome Indicators - Section C '!S$1:S$36,MATCH($A108,'Outcome Indicators - Section C '!$A$1:$A$36,0))&lt;&gt;"",FIXED(INDEX('Outcome Indicators - Section C '!S$1:S$36,MATCH($A108,'Outcome Indicators - Section C '!$A$1:$A$36,0)),4),""),"")&amp;"/"&amp;IFERROR(IF(INDEX('Outcome Indicators - Section C '!S$1:S$36,MATCH($A108,'Outcome Indicators - Section C '!$A$1:$A$36,0)+1)&lt;&gt;"",FIXED(INDEX('Outcome Indicators - Section C '!S$1:S$36,MATCH($A108,'Outcome Indicators - Section C '!$A$1:$A$36,0)+1),2),""),"")&amp;CHAR(10)&amp;IFERROR(IF(INDEX('Outcome Indicators - Section C '!T$1:T$36,MATCH($A108,'Outcome Indicators - Section C '!$A$1:$A$36,0))&lt;&gt;"",FIXED(INDEX('Outcome Indicators - Section C '!T$1:T$36,MATCH($A108,'Outcome Indicators - Section C '!$A$1:$A$36,0))*100,2)&amp;"%",""),"")&amp;CHAR(10)&amp;IFERROR(IF(INDEX('Outcome Indicators - Section C '!V$1:V$36,MATCH($A108,'Outcome Indicators - Section C '!$A$1:$A$36,0))&lt;&gt;"",INDEX('Outcome Indicators - Section C '!V$1:V$36,MATCH($A108,'Outcome Indicators - Section C '!$A$1:$A$36,0)),""),"")&amp;CHAR(10)&amp;IFERROR(IF(INDEX('Outcome Indicators - Section C '!U$1:U$36,MATCH($A108,'Outcome Indicators - Section C '!$A$1:$A$36,0))&lt;&gt;"",TEXT(INDEX('Outcome Indicators - Section C '!U$1:U$36,MATCH($A108,'Outcome Indicators - Section C '!$A$1:$A$36,0)),Setup!$A$33),""),"")</f>
        <v>/
80.00%
31-Oct-25</v>
      </c>
      <c r="S108" s="62" t="str">
        <f ca="1">IFERROR(IF(INDEX('Outcome Indicators - Section C '!W$9:W$36,MATCH($A108,'Outcome Indicators - Section C '!$A$9:$A$36,0))&lt;&gt;"",FIXED(INDEX('Outcome Indicators - Section C '!W$9:W$36,MATCH($A108,'Outcome Indicators - Section C '!$A$9:$A$36,0)),4),""),"")&amp;"/"&amp;IFERROR(IF(INDEX('Outcome Indicators - Section C '!W$9:W$36,MATCH($A108,'Outcome Indicators - Section C '!$A$9:$A$36,0)+1)&lt;&gt;"",FIXED(INDEX('Outcome Indicators - Section C '!W$9:W$36,MATCH($A108,'Outcome Indicators - Section C '!$A$9:$A$36,0)+1),2),""),"")&amp;CHAR(10)&amp;IFERROR(IF(INDEX('Outcome Indicators - Section C '!X$9:X$36,MATCH($A108,'Outcome Indicators - Section C '!$A$9:$A$36,0))&lt;&gt;"",FIXED(INDEX('Outcome Indicators - Section C '!X$9:X$36,MATCH($A108,'Outcome Indicators - Section C '!$A$9:$A$36,0))*100,2)&amp;"%",""),"")&amp;CHAR(10)&amp;IFERROR(IF(INDEX('Outcome Indicators - Section C '!Z$9:Z$36,MATCH($A108,'Outcome Indicators - Section C '!$A$9:$A$36,0))&lt;&gt;"",INDEX('Outcome Indicators - Section C '!Z$9:Z$36,MATCH($A108,'Outcome Indicators - Section C '!$A$9:$A$36,0)),""),"")&amp;CHAR(10)&amp;IFERROR(IF(INDEX('Outcome Indicators - Section C '!Y$9:Y$36,MATCH($A108,'Outcome Indicators - Section C '!$A$9:$A$36,0))&lt;&gt;"",TEXT(INDEX('Outcome Indicators - Section C '!Y$9:Y$36,MATCH($A108,'Outcome Indicators - Section C '!$A$9:$A$36,0)),Setup!$A$33),""),"")</f>
        <v xml:space="preserve">/
</v>
      </c>
      <c r="T108" s="73"/>
      <c r="U108" s="13"/>
      <c r="V108" s="13"/>
      <c r="W108" s="13"/>
      <c r="X108" s="13"/>
      <c r="Y108" s="13"/>
      <c r="Z108" s="13"/>
      <c r="AA108" s="13"/>
      <c r="AB108" s="13"/>
      <c r="AC108" s="13"/>
      <c r="AD108" s="13"/>
      <c r="AE108" s="13"/>
      <c r="AF108" s="13"/>
      <c r="AG108" s="13"/>
      <c r="AH108" s="13"/>
      <c r="AI108" s="13"/>
      <c r="AJ108" s="13"/>
      <c r="AK108" s="13"/>
      <c r="AL108" s="13"/>
      <c r="AM108" s="13"/>
      <c r="AN108" s="13"/>
      <c r="AO108" s="13"/>
      <c r="AQ108" s="13"/>
      <c r="AR108" s="13"/>
      <c r="AS108" s="13"/>
      <c r="AT108" s="13"/>
      <c r="AU108" s="576"/>
      <c r="AV108" s="576"/>
      <c r="AW108" s="576"/>
      <c r="AX108" s="576"/>
    </row>
    <row r="109" spans="1:55" ht="96" customHeight="1">
      <c r="A109" s="678">
        <v>2</v>
      </c>
      <c r="B109" s="630" t="str">
        <f ca="1">IFERROR(IF(INDEX('Outcome Indicators - Section C '!AA$1:AA$98,MATCH($A108,'Outcome Indicators - Section C '!$A$1:$A$98,0))&lt;&gt;0,INDEX('Outcome Indicators - Section C '!AA$1:AA$98,MATCH($A108,'Outcome Indicators - Section C '!$A$1:$A$98,0)),""),"")</f>
        <v xml:space="preserve">Línea de base: Resultados del estudio Bioconductual en población Gay, Bisexuales y otros hombres que tienen sexo con hombres (GB-HSH) realizado en 2021, desarrollado en las ciudades de La Paz, El Alto, Cochabamba y Santa Cruz. Incluye solo personas que tuvieron relaciones con parejas ocasionales.
Método de Medición: La fuente de información es un “Estudio de Prevalencia de ITS/VIH y Hepatitis B en población GB-HSH” a realizarse al finalizar la subvención. </v>
      </c>
      <c r="C109" s="631"/>
      <c r="D109" s="631"/>
      <c r="E109" s="631"/>
      <c r="F109" s="631"/>
      <c r="G109" s="631"/>
      <c r="H109" s="631"/>
      <c r="I109" s="632"/>
      <c r="J109" s="632"/>
      <c r="K109" s="632"/>
      <c r="L109" s="632"/>
      <c r="M109" s="632"/>
      <c r="N109" s="632"/>
      <c r="O109" s="632"/>
      <c r="P109" s="632"/>
      <c r="Q109" s="632"/>
      <c r="R109" s="632"/>
      <c r="S109" s="633"/>
      <c r="T109" s="53"/>
      <c r="U109" s="13"/>
      <c r="V109" s="13"/>
      <c r="W109" s="13"/>
      <c r="X109" s="13"/>
      <c r="Y109" s="13"/>
      <c r="Z109" s="13"/>
      <c r="AA109" s="13"/>
      <c r="AB109" s="13"/>
      <c r="AC109" s="13"/>
      <c r="AD109" s="13"/>
      <c r="AE109" s="13"/>
      <c r="AF109" s="13"/>
      <c r="AG109" s="13"/>
      <c r="AH109" s="13"/>
      <c r="AI109" s="13"/>
      <c r="AJ109" s="13"/>
      <c r="AK109" s="13"/>
      <c r="AL109" s="13"/>
      <c r="AM109" s="13"/>
      <c r="AN109" s="13"/>
      <c r="AO109" s="13"/>
      <c r="AQ109" s="13"/>
      <c r="AR109" s="13"/>
      <c r="AS109" s="13"/>
      <c r="AT109" s="13"/>
      <c r="AU109" s="576"/>
      <c r="AV109" s="576"/>
      <c r="AW109" s="576"/>
      <c r="AX109" s="576"/>
    </row>
    <row r="110" spans="1:55" s="13" customFormat="1" ht="172.35" customHeight="1">
      <c r="A110" s="614">
        <v>2</v>
      </c>
      <c r="B110" s="663" t="str">
        <f ca="1">IFERROR(IF(INDEX('Outcome Indicators - Section C '!B$1:B$98,MATCH($A110,'Outcome Indicators - Section C '!$A$1:$A$98,0))&lt;&gt;0,INDEX('Outcome Indicators - Section C '!B$1:B$98,MATCH($A110,'Outcome Indicators - Section C '!$A$1:$A$98,0)),""),"")</f>
        <v>HIV O-4.1b⁽ᴹ⁾ Porcentaje de personas transgénero que afirman haber utilizado preservativo en su último encuentro sexual o relación de sexo anal con una pareja masculina no regular</v>
      </c>
      <c r="C110" s="664"/>
      <c r="D110" s="665"/>
      <c r="E110" s="663" t="str">
        <f ca="1">IFERROR(IF(INDEX('Outcome Indicators - Section C '!C$1:C$98,MATCH($A110,'Outcome Indicators - Section C '!$A$1:$A$98,0))&lt;&gt;0,INDEX('Outcome Indicators - Section C '!C$1:C$98,MATCH($A110,'Outcome Indicators - Section C '!$A$1:$A$98,0)),""),"")</f>
        <v/>
      </c>
      <c r="F110" s="664"/>
      <c r="G110" s="665"/>
      <c r="H110" s="64" t="str">
        <f ca="1">IFERROR(IF(INDEX('Outcome Indicators - Section C '!D$1:D$98,MATCH($A110,'Outcome Indicators - Section C '!$A$1:$A$98,0))&lt;&gt;"",FIXED(INDEX('Outcome Indicators - Section C '!D$1:D$98,MATCH($A110,'Outcome Indicators - Section C '!$A$1:$A$98,0)),4),""),"")&amp;"/"&amp;IFERROR(IF(INDEX('Outcome Indicators - Section C '!D$1:D$98,MATCH($A110,'Outcome Indicators - Section C '!$A$1:$A$98,0)+1)&lt;&gt;"",FIXED(INDEX('Outcome Indicators - Section C '!D$1:D$98,MATCH($A110,'Outcome Indicators - Section C '!$A$1:$A$98,0)+1),2),""),"")&amp;CHAR(10)&amp;IFERROR(IF(INDEX('Outcome Indicators - Section C '!E$1:E$98,MATCH($A110,'Outcome Indicators - Section C '!$A$1:$A$98,0))&lt;&gt;"",FIXED(INDEX('Outcome Indicators - Section C '!E$1:E$98,MATCH($A110,'Outcome Indicators - Section C '!$A$1:$A$98,0))*100,2)&amp;"%",""),"")</f>
        <v>/
87.30%</v>
      </c>
      <c r="I110" s="64" t="str">
        <f ca="1">IFERROR(IF(INDEX('Outcome Indicators - Section C '!F$1:F$98,MATCH($A110,'Outcome Indicators - Section C '!$A$1:$A$98,0))&lt;&gt;0,INDEX('Outcome Indicators - Section C '!F$1:F$98,MATCH($A110,'Outcome Indicators - Section C '!$A$1:$A$98,0)),""),"")&amp;CHAR(10)&amp;IFERROR(IF(INDEX('Outcome Indicators - Section C '!G$1:G$98,MATCH($A110,'Outcome Indicators - Section C '!$A$1:$A$98,0))&lt;&gt;0,INDEX('Outcome Indicators - Section C '!G$1:G$98,MATCH($A110,'Outcome Indicators - Section C '!$A$1:$A$98,0)),""),"")</f>
        <v xml:space="preserve">2021
Estudio de Vigilancia Bioconductual 2021
</v>
      </c>
      <c r="J110" s="663" t="str">
        <f ca="1">IFERROR(IF(INDEX('Outcome Indicators - Section C '!H$1:H$98,MATCH($A110,'Outcome Indicators - Section C '!$A$1:$A$98,0))&lt;&gt;0,INDEX('Outcome Indicators - Section C '!H$1:H$98,MATCH($A110,'Outcome Indicators - Section C '!$A$1:$A$98,0)),""),"")</f>
        <v>Edad</v>
      </c>
      <c r="K110" s="664"/>
      <c r="L110" s="664"/>
      <c r="M110" s="665"/>
      <c r="N110" s="70" t="str">
        <f ca="1">IFERROR(IF(AND('Overview - Section A'!AN$5="Grant Making",OR(B110&lt;&gt;"",E110&lt;&gt;"")),Setup!I15,IF(INDEX('Outcome Indicators - Section C '!I$1:I$98,MATCH($A110,'Outcome Indicators - Section C '!$A$1:$A$98,0))&lt;&gt;0,INDEX('Outcome Indicators - Section C '!I$1:I$98,MATCH($A110,'Outcome Indicators - Section C '!$A$1:$A$98,0)),"")),"")</f>
        <v>United Nations Development Programme</v>
      </c>
      <c r="O110" s="70" t="str">
        <f>IFERROR(IF(INDEX('Outcome Indicators - Section C '!J$9:J$36,MATCH($A110,'Outcome Indicators - Section C '!$A$9:$A$36,0))&lt;&gt;0,INDEX('Outcome Indicators - Section C '!J$9:J$36,MATCH($A110,'Outcome Indicators - Section C '!$A$9:$A$36,0)),""),"")</f>
        <v>Bolivia (Plurinational State)</v>
      </c>
      <c r="P110" s="63" t="str">
        <f ca="1">IFERROR(IF(INDEX('Outcome Indicators - Section C '!K$1:K$98,MATCH($A110,'Outcome Indicators - Section C '!$A$1:$A$98,0))&lt;&gt;"",FIXED(INDEX('Outcome Indicators - Section C '!K$1:K$98,MATCH($A110,'Outcome Indicators - Section C '!$A$1:$A$98,0)),4),""),"")&amp;"/"&amp;IFERROR(IF(INDEX('Outcome Indicators - Section C '!K$1:K$98,MATCH($A110,'Outcome Indicators - Section C '!$A$1:$A$98,0)+1)&lt;&gt;"",FIXED(INDEX('Outcome Indicators - Section C '!K$1:K$98,MATCH($A110,'Outcome Indicators - Section C '!$A$1:$A$98,0)+1),2),""),"")&amp;CHAR(10)&amp;IFERROR(IF(INDEX('Outcome Indicators - Section C '!L$1:L$98,MATCH($A110,'Outcome Indicators - Section C '!$A$1:$A$98,0))&lt;&gt;"",FIXED(INDEX('Outcome Indicators - Section C '!L$1:L$98,MATCH($A110,'Outcome Indicators - Section C '!$A$1:$A$98,0))*100,2)&amp;"%",""),"")&amp;CHAR(10)&amp;IFERROR(IF(INDEX('Outcome Indicators - Section C '!N$1:N$98,MATCH($A110,'Outcome Indicators - Section C '!$A$1:$A$98,0))&lt;&gt;"",INDEX('Outcome Indicators - Section C '!N$1:N$98,MATCH($A110,'Outcome Indicators - Section C '!$A$1:$A$98,0)),""),"")&amp;CHAR(10)&amp;IFERROR(IF(INDEX('Outcome Indicators - Section C '!M$1:M$98,MATCH($A110,'Outcome Indicators - Section C '!$A$1:$A$98,0))&lt;&gt;"",TEXT(INDEX('Outcome Indicators - Section C '!M$1:M$98,MATCH($A110,'Outcome Indicators - Section C '!$A$1:$A$98,0)),Setup!$A$33),""),"")</f>
        <v xml:space="preserve">/
</v>
      </c>
      <c r="Q110" s="64" t="str">
        <f ca="1">IFERROR(IF(INDEX('Outcome Indicators - Section C '!O$1:O$36,MATCH($A110,'Outcome Indicators - Section C '!$A$1:$A$36,0))&lt;&gt;"",FIXED(INDEX('Outcome Indicators - Section C '!O$1:O$36,MATCH($A110,'Outcome Indicators - Section C '!$A$1:$A$36,0)),4),""),"")&amp;"/"&amp;IFERROR(IF(INDEX('Outcome Indicators - Section C '!O$1:O$36,MATCH($A110,'Outcome Indicators - Section C '!$A$1:$A$36,0)+1)&lt;&gt;"",FIXED(INDEX('Outcome Indicators - Section C '!O$1:O$36,MATCH($A110,'Outcome Indicators - Section C '!$A$1:$A$36,0)+1),2),""),"")&amp;CHAR(10)&amp;IFERROR(IF(INDEX('Outcome Indicators - Section C '!P$1:P$36,MATCH($A110,'Outcome Indicators - Section C '!$A$1:$A$36,0))&lt;&gt;"",FIXED(INDEX('Outcome Indicators - Section C '!P$1:P$36,MATCH($A110,'Outcome Indicators - Section C '!$A$1:$A$36,0))*100,2)&amp;"%",""),"")&amp;CHAR(10)&amp;IFERROR(IF(INDEX('Outcome Indicators - Section C '!R$1:R$36,MATCH($A110,'Outcome Indicators - Section C '!$A$1:$A$36,0))&lt;&gt;"",INDEX('Outcome Indicators - Section C '!R$1:R$36,MATCH($A110,'Outcome Indicators - Section C '!$A$1:$A$36,0)),""),"")&amp;CHAR(10)&amp;IFERROR(IF(INDEX('Outcome Indicators - Section C '!Q$1:Q$36,MATCH($A110,'Outcome Indicators - Section C '!$A$1:$A$36,0))&lt;&gt;"",TEXT(INDEX('Outcome Indicators - Section C '!Q$1:Q$36,MATCH($A110,'Outcome Indicators - Section C '!$A$1:$A$36,0)),Setup!$A$33),""),"")</f>
        <v xml:space="preserve">/
</v>
      </c>
      <c r="R110" s="64" t="str">
        <f ca="1">IFERROR(IF(INDEX('Outcome Indicators - Section C '!S$1:S$36,MATCH($A110,'Outcome Indicators - Section C '!$A$1:$A$36,0))&lt;&gt;"",FIXED(INDEX('Outcome Indicators - Section C '!S$1:S$36,MATCH($A110,'Outcome Indicators - Section C '!$A$1:$A$36,0)),4),""),"")&amp;"/"&amp;IFERROR(IF(INDEX('Outcome Indicators - Section C '!S$1:S$36,MATCH($A110,'Outcome Indicators - Section C '!$A$1:$A$36,0)+1)&lt;&gt;"",FIXED(INDEX('Outcome Indicators - Section C '!S$1:S$36,MATCH($A110,'Outcome Indicators - Section C '!$A$1:$A$36,0)+1),2),""),"")&amp;CHAR(10)&amp;IFERROR(IF(INDEX('Outcome Indicators - Section C '!T$1:T$36,MATCH($A110,'Outcome Indicators - Section C '!$A$1:$A$36,0))&lt;&gt;"",FIXED(INDEX('Outcome Indicators - Section C '!T$1:T$36,MATCH($A110,'Outcome Indicators - Section C '!$A$1:$A$36,0))*100,2)&amp;"%",""),"")&amp;CHAR(10)&amp;IFERROR(IF(INDEX('Outcome Indicators - Section C '!V$1:V$36,MATCH($A110,'Outcome Indicators - Section C '!$A$1:$A$36,0))&lt;&gt;"",INDEX('Outcome Indicators - Section C '!V$1:V$36,MATCH($A110,'Outcome Indicators - Section C '!$A$1:$A$36,0)),""),"")&amp;CHAR(10)&amp;IFERROR(IF(INDEX('Outcome Indicators - Section C '!U$1:U$36,MATCH($A110,'Outcome Indicators - Section C '!$A$1:$A$36,0))&lt;&gt;"",TEXT(INDEX('Outcome Indicators - Section C '!U$1:U$36,MATCH($A110,'Outcome Indicators - Section C '!$A$1:$A$36,0)),Setup!$A$33),""),"")</f>
        <v>/
98.00%
31-Oct-25</v>
      </c>
      <c r="S110" s="64" t="str">
        <f ca="1">IFERROR(IF(INDEX('Outcome Indicators - Section C '!W$9:W$36,MATCH($A110,'Outcome Indicators - Section C '!$A$9:$A$36,0))&lt;&gt;"",FIXED(INDEX('Outcome Indicators - Section C '!W$9:W$36,MATCH($A110,'Outcome Indicators - Section C '!$A$9:$A$36,0)),4),""),"")&amp;"/"&amp;IFERROR(IF(INDEX('Outcome Indicators - Section C '!W$9:W$36,MATCH($A110,'Outcome Indicators - Section C '!$A$9:$A$36,0)+1)&lt;&gt;"",FIXED(INDEX('Outcome Indicators - Section C '!W$9:W$36,MATCH($A110,'Outcome Indicators - Section C '!$A$9:$A$36,0)+1),2),""),"")&amp;CHAR(10)&amp;IFERROR(IF(INDEX('Outcome Indicators - Section C '!X$9:X$36,MATCH($A110,'Outcome Indicators - Section C '!$A$9:$A$36,0))&lt;&gt;"",FIXED(INDEX('Outcome Indicators - Section C '!X$9:X$36,MATCH($A110,'Outcome Indicators - Section C '!$A$9:$A$36,0))*100,2)&amp;"%",""),"")&amp;CHAR(10)&amp;IFERROR(IF(INDEX('Outcome Indicators - Section C '!Z$9:Z$36,MATCH($A110,'Outcome Indicators - Section C '!$A$9:$A$36,0))&lt;&gt;"",INDEX('Outcome Indicators - Section C '!Z$9:Z$36,MATCH($A110,'Outcome Indicators - Section C '!$A$9:$A$36,0)),""),"")&amp;CHAR(10)&amp;IFERROR(IF(INDEX('Outcome Indicators - Section C '!Y$9:Y$36,MATCH($A110,'Outcome Indicators - Section C '!$A$9:$A$36,0))&lt;&gt;"",TEXT(INDEX('Outcome Indicators - Section C '!Y$9:Y$36,MATCH($A110,'Outcome Indicators - Section C '!$A$9:$A$36,0)),Setup!$A$33),""),"")</f>
        <v xml:space="preserve">/
</v>
      </c>
      <c r="T110" s="51"/>
      <c r="AU110" s="575"/>
      <c r="AV110" s="575"/>
      <c r="AW110" s="575"/>
      <c r="AX110" s="575"/>
      <c r="AY110" s="54"/>
      <c r="AZ110" s="54"/>
      <c r="BA110" s="54"/>
      <c r="BB110" s="54"/>
      <c r="BC110" s="54"/>
    </row>
    <row r="111" spans="1:55" s="13" customFormat="1" ht="96" customHeight="1">
      <c r="A111" s="615">
        <v>4</v>
      </c>
      <c r="B111" s="666" t="str">
        <f ca="1">IFERROR(IF(INDEX('Outcome Indicators - Section C '!AA$1:AA$98,MATCH($A110,'Outcome Indicators - Section C '!$A$1:$A$98,0))&lt;&gt;0,INDEX('Outcome Indicators - Section C '!AA$1:AA$98,MATCH($A110,'Outcome Indicators - Section C '!$A$1:$A$98,0)),""),"")</f>
        <v>Línea de base: Resultados del estudio Bioconductual en población de mujeres transgénero, realizado en 2021, desarrollado en las ciudades de La Paz, El Alto, Cochabamba, Santa Cruz y Trinidad.  Incluye solo personas que tuvieron relaciones con parejas comerciales
Método de Medición: La fuente de información es un “Estudio de Prevalencia de ITS/VIH y Hepatitis B en población Transgénero” a realizarse al finalizar la subvención.</v>
      </c>
      <c r="C111" s="667"/>
      <c r="D111" s="667"/>
      <c r="E111" s="667"/>
      <c r="F111" s="667"/>
      <c r="G111" s="667"/>
      <c r="H111" s="667"/>
      <c r="I111" s="667"/>
      <c r="J111" s="667"/>
      <c r="K111" s="667"/>
      <c r="L111" s="667"/>
      <c r="M111" s="667"/>
      <c r="N111" s="667"/>
      <c r="O111" s="667"/>
      <c r="P111" s="667"/>
      <c r="Q111" s="667"/>
      <c r="R111" s="667"/>
      <c r="S111" s="668"/>
      <c r="T111" s="52"/>
      <c r="AU111" s="575"/>
      <c r="AV111" s="575"/>
      <c r="AW111" s="575"/>
      <c r="AX111" s="575"/>
      <c r="AY111" s="54"/>
      <c r="AZ111" s="54"/>
      <c r="BA111" s="54"/>
      <c r="BB111" s="54"/>
      <c r="BC111" s="54"/>
    </row>
    <row r="112" spans="1:55" ht="172.35" customHeight="1">
      <c r="A112" s="616">
        <v>3</v>
      </c>
      <c r="B112" s="660" t="str">
        <f ca="1">IFERROR(IF(INDEX('Outcome Indicators - Section C '!B$1:B$98,MATCH($A112,'Outcome Indicators - Section C '!$A$1:$A$98,0))&lt;&gt;0,INDEX('Outcome Indicators - Section C '!B$1:B$98,MATCH($A112,'Outcome Indicators - Section C '!$A$1:$A$98,0)),""),"")</f>
        <v>HIV O-5⁽ᴹ⁾ Porcentaje de trabajadores sexuales que afirman haber utilizado preservativo con su último cliente</v>
      </c>
      <c r="C112" s="661"/>
      <c r="D112" s="662"/>
      <c r="E112" s="660" t="str">
        <f ca="1">IFERROR(IF(INDEX('Outcome Indicators - Section C '!C$1:C$98,MATCH($A112,'Outcome Indicators - Section C '!$A$1:$A$98,0))&lt;&gt;0,INDEX('Outcome Indicators - Section C '!C$1:C$98,MATCH($A112,'Outcome Indicators - Section C '!$A$1:$A$98,0)),""),"")</f>
        <v/>
      </c>
      <c r="F112" s="661"/>
      <c r="G112" s="662"/>
      <c r="H112" s="62" t="str">
        <f ca="1">IFERROR(IF(INDEX('Outcome Indicators - Section C '!D$1:D$98,MATCH($A112,'Outcome Indicators - Section C '!$A$1:$A$98,0))&lt;&gt;"",FIXED(INDEX('Outcome Indicators - Section C '!D$1:D$98,MATCH($A112,'Outcome Indicators - Section C '!$A$1:$A$98,0)),4),""),"")&amp;"/"&amp;IFERROR(IF(INDEX('Outcome Indicators - Section C '!D$1:D$98,MATCH($A112,'Outcome Indicators - Section C '!$A$1:$A$98,0)+1)&lt;&gt;"",FIXED(INDEX('Outcome Indicators - Section C '!D$1:D$98,MATCH($A112,'Outcome Indicators - Section C '!$A$1:$A$98,0)+1),2),""),"")&amp;CHAR(10)&amp;IFERROR(IF(INDEX('Outcome Indicators - Section C '!E$1:E$98,MATCH($A112,'Outcome Indicators - Section C '!$A$1:$A$98,0))&lt;&gt;"",FIXED(INDEX('Outcome Indicators - Section C '!E$1:E$98,MATCH($A112,'Outcome Indicators - Section C '!$A$1:$A$98,0))*100,2)&amp;"%",""),"")</f>
        <v>1,904.0000/1,944.00
97.94%</v>
      </c>
      <c r="I112" s="62" t="str">
        <f ca="1">IFERROR(IF(INDEX('Outcome Indicators - Section C '!F$1:F$98,MATCH($A112,'Outcome Indicators - Section C '!$A$1:$A$98,0))&lt;&gt;0,INDEX('Outcome Indicators - Section C '!F$1:F$98,MATCH($A112,'Outcome Indicators - Section C '!$A$1:$A$98,0)),""),"")&amp;CHAR(10)&amp;IFERROR(IF(INDEX('Outcome Indicators - Section C '!G$1:G$98,MATCH($A112,'Outcome Indicators - Section C '!$A$1:$A$98,0))&lt;&gt;0,INDEX('Outcome Indicators - Section C '!G$1:G$98,MATCH($A112,'Outcome Indicators - Section C '!$A$1:$A$98,0)),""),"")</f>
        <v>2010
Estudio de Vigilancia de Segunda Generación realizado en 2010</v>
      </c>
      <c r="J112" s="660" t="str">
        <f ca="1">IFERROR(IF(INDEX('Outcome Indicators - Section C '!H$1:H$98,MATCH($A112,'Outcome Indicators - Section C '!$A$1:$A$98,0))&lt;&gt;0,INDEX('Outcome Indicators - Section C '!H$1:H$98,MATCH($A112,'Outcome Indicators - Section C '!$A$1:$A$98,0)),""),"")</f>
        <v>Género,Edad</v>
      </c>
      <c r="K112" s="661"/>
      <c r="L112" s="661"/>
      <c r="M112" s="662"/>
      <c r="N112" s="68" t="str">
        <f ca="1">IFERROR(IF(AND('Overview - Section A'!AN$5="Grant Making",OR(B112&lt;&gt;"",E112&lt;&gt;"")),Setup!I15,IF(INDEX('Outcome Indicators - Section C '!I$1:I$98,MATCH($A112,'Outcome Indicators - Section C '!$A$1:$A$98,0))&lt;&gt;0,INDEX('Outcome Indicators - Section C '!I$1:I$98,MATCH($A112,'Outcome Indicators - Section C '!$A$1:$A$98,0)),"")),"")</f>
        <v>United Nations Development Programme</v>
      </c>
      <c r="O112" s="68" t="str">
        <f>IFERROR(IF(INDEX('Outcome Indicators - Section C '!J$9:J$36,MATCH($A112,'Outcome Indicators - Section C '!$A$9:$A$36,0))&lt;&gt;0,INDEX('Outcome Indicators - Section C '!J$9:J$36,MATCH($A112,'Outcome Indicators - Section C '!$A$9:$A$36,0)),""),"")</f>
        <v>Bolivia (Plurinational State)</v>
      </c>
      <c r="P112" s="69" t="str">
        <f ca="1">IFERROR(IF(INDEX('Outcome Indicators - Section C '!K$1:K$98,MATCH($A112,'Outcome Indicators - Section C '!$A$1:$A$98,0))&lt;&gt;"",FIXED(INDEX('Outcome Indicators - Section C '!K$1:K$98,MATCH($A112,'Outcome Indicators - Section C '!$A$1:$A$98,0)),4),""),"")&amp;"/"&amp;IFERROR(IF(INDEX('Outcome Indicators - Section C '!K$1:K$98,MATCH($A112,'Outcome Indicators - Section C '!$A$1:$A$98,0)+1)&lt;&gt;"",FIXED(INDEX('Outcome Indicators - Section C '!K$1:K$98,MATCH($A112,'Outcome Indicators - Section C '!$A$1:$A$98,0)+1),2),""),"")&amp;CHAR(10)&amp;IFERROR(IF(INDEX('Outcome Indicators - Section C '!L$1:L$98,MATCH($A112,'Outcome Indicators - Section C '!$A$1:$A$98,0))&lt;&gt;"",FIXED(INDEX('Outcome Indicators - Section C '!L$1:L$98,MATCH($A112,'Outcome Indicators - Section C '!$A$1:$A$98,0))*100,2)&amp;"%",""),"")&amp;CHAR(10)&amp;IFERROR(IF(INDEX('Outcome Indicators - Section C '!N$1:N$98,MATCH($A112,'Outcome Indicators - Section C '!$A$1:$A$98,0))&lt;&gt;"",INDEX('Outcome Indicators - Section C '!N$1:N$98,MATCH($A112,'Outcome Indicators - Section C '!$A$1:$A$98,0)),""),"")&amp;CHAR(10)&amp;IFERROR(IF(INDEX('Outcome Indicators - Section C '!M$1:M$98,MATCH($A112,'Outcome Indicators - Section C '!$A$1:$A$98,0))&lt;&gt;"",TEXT(INDEX('Outcome Indicators - Section C '!M$1:M$98,MATCH($A112,'Outcome Indicators - Section C '!$A$1:$A$98,0)),Setup!$A$33),""),"")</f>
        <v xml:space="preserve">/
</v>
      </c>
      <c r="Q112" s="62" t="str">
        <f ca="1">IFERROR(IF(INDEX('Outcome Indicators - Section C '!O$1:O$36,MATCH($A112,'Outcome Indicators - Section C '!$A$1:$A$36,0))&lt;&gt;"",FIXED(INDEX('Outcome Indicators - Section C '!O$1:O$36,MATCH($A112,'Outcome Indicators - Section C '!$A$1:$A$36,0)),4),""),"")&amp;"/"&amp;IFERROR(IF(INDEX('Outcome Indicators - Section C '!O$1:O$36,MATCH($A112,'Outcome Indicators - Section C '!$A$1:$A$36,0)+1)&lt;&gt;"",FIXED(INDEX('Outcome Indicators - Section C '!O$1:O$36,MATCH($A112,'Outcome Indicators - Section C '!$A$1:$A$36,0)+1),2),""),"")&amp;CHAR(10)&amp;IFERROR(IF(INDEX('Outcome Indicators - Section C '!P$1:P$36,MATCH($A112,'Outcome Indicators - Section C '!$A$1:$A$36,0))&lt;&gt;"",FIXED(INDEX('Outcome Indicators - Section C '!P$1:P$36,MATCH($A112,'Outcome Indicators - Section C '!$A$1:$A$36,0))*100,2)&amp;"%",""),"")&amp;CHAR(10)&amp;IFERROR(IF(INDEX('Outcome Indicators - Section C '!R$1:R$36,MATCH($A112,'Outcome Indicators - Section C '!$A$1:$A$36,0))&lt;&gt;"",INDEX('Outcome Indicators - Section C '!R$1:R$36,MATCH($A112,'Outcome Indicators - Section C '!$A$1:$A$36,0)),""),"")&amp;CHAR(10)&amp;IFERROR(IF(INDEX('Outcome Indicators - Section C '!Q$1:Q$36,MATCH($A112,'Outcome Indicators - Section C '!$A$1:$A$36,0))&lt;&gt;"",TEXT(INDEX('Outcome Indicators - Section C '!Q$1:Q$36,MATCH($A112,'Outcome Indicators - Section C '!$A$1:$A$36,0)),Setup!$A$33),""),"")</f>
        <v xml:space="preserve">/
</v>
      </c>
      <c r="R112" s="62" t="str">
        <f ca="1">IFERROR(IF(INDEX('Outcome Indicators - Section C '!S$1:S$36,MATCH($A112,'Outcome Indicators - Section C '!$A$1:$A$36,0))&lt;&gt;"",FIXED(INDEX('Outcome Indicators - Section C '!S$1:S$36,MATCH($A112,'Outcome Indicators - Section C '!$A$1:$A$36,0)),4),""),"")&amp;"/"&amp;IFERROR(IF(INDEX('Outcome Indicators - Section C '!S$1:S$36,MATCH($A112,'Outcome Indicators - Section C '!$A$1:$A$36,0)+1)&lt;&gt;"",FIXED(INDEX('Outcome Indicators - Section C '!S$1:S$36,MATCH($A112,'Outcome Indicators - Section C '!$A$1:$A$36,0)+1),2),""),"")&amp;CHAR(10)&amp;IFERROR(IF(INDEX('Outcome Indicators - Section C '!T$1:T$36,MATCH($A112,'Outcome Indicators - Section C '!$A$1:$A$36,0))&lt;&gt;"",FIXED(INDEX('Outcome Indicators - Section C '!T$1:T$36,MATCH($A112,'Outcome Indicators - Section C '!$A$1:$A$36,0))*100,2)&amp;"%",""),"")&amp;CHAR(10)&amp;IFERROR(IF(INDEX('Outcome Indicators - Section C '!V$1:V$36,MATCH($A112,'Outcome Indicators - Section C '!$A$1:$A$36,0))&lt;&gt;"",INDEX('Outcome Indicators - Section C '!V$1:V$36,MATCH($A112,'Outcome Indicators - Section C '!$A$1:$A$36,0)),""),"")&amp;CHAR(10)&amp;IFERROR(IF(INDEX('Outcome Indicators - Section C '!U$1:U$36,MATCH($A112,'Outcome Indicators - Section C '!$A$1:$A$36,0))&lt;&gt;"",TEXT(INDEX('Outcome Indicators - Section C '!U$1:U$36,MATCH($A112,'Outcome Indicators - Section C '!$A$1:$A$36,0)),Setup!$A$33),""),"")</f>
        <v>/
98.00%
31-Oct-25</v>
      </c>
      <c r="S112" s="62" t="str">
        <f ca="1">IFERROR(IF(INDEX('Outcome Indicators - Section C '!W$9:W$36,MATCH($A112,'Outcome Indicators - Section C '!$A$9:$A$36,0))&lt;&gt;"",FIXED(INDEX('Outcome Indicators - Section C '!W$9:W$36,MATCH($A112,'Outcome Indicators - Section C '!$A$9:$A$36,0)),4),""),"")&amp;"/"&amp;IFERROR(IF(INDEX('Outcome Indicators - Section C '!W$9:W$36,MATCH($A112,'Outcome Indicators - Section C '!$A$9:$A$36,0)+1)&lt;&gt;"",FIXED(INDEX('Outcome Indicators - Section C '!W$9:W$36,MATCH($A112,'Outcome Indicators - Section C '!$A$9:$A$36,0)+1),2),""),"")&amp;CHAR(10)&amp;IFERROR(IF(INDEX('Outcome Indicators - Section C '!X$9:X$36,MATCH($A112,'Outcome Indicators - Section C '!$A$9:$A$36,0))&lt;&gt;"",FIXED(INDEX('Outcome Indicators - Section C '!X$9:X$36,MATCH($A112,'Outcome Indicators - Section C '!$A$9:$A$36,0))*100,2)&amp;"%",""),"")&amp;CHAR(10)&amp;IFERROR(IF(INDEX('Outcome Indicators - Section C '!Z$9:Z$36,MATCH($A112,'Outcome Indicators - Section C '!$A$9:$A$36,0))&lt;&gt;"",INDEX('Outcome Indicators - Section C '!Z$9:Z$36,MATCH($A112,'Outcome Indicators - Section C '!$A$9:$A$36,0)),""),"")&amp;CHAR(10)&amp;IFERROR(IF(INDEX('Outcome Indicators - Section C '!Y$9:Y$36,MATCH($A112,'Outcome Indicators - Section C '!$A$9:$A$36,0))&lt;&gt;"",TEXT(INDEX('Outcome Indicators - Section C '!Y$9:Y$36,MATCH($A112,'Outcome Indicators - Section C '!$A$9:$A$36,0)),Setup!$A$33),""),"")</f>
        <v xml:space="preserve">/
</v>
      </c>
      <c r="T112" s="73"/>
      <c r="U112" s="13"/>
      <c r="V112" s="13"/>
      <c r="W112" s="13"/>
      <c r="X112" s="13"/>
      <c r="Y112" s="13"/>
      <c r="Z112" s="13"/>
      <c r="AA112" s="13"/>
      <c r="AB112" s="13"/>
      <c r="AC112" s="13"/>
      <c r="AD112" s="13"/>
      <c r="AE112" s="13"/>
      <c r="AF112" s="13"/>
      <c r="AG112" s="13"/>
      <c r="AH112" s="13"/>
      <c r="AI112" s="13"/>
      <c r="AJ112" s="13"/>
      <c r="AK112" s="13"/>
      <c r="AL112" s="13"/>
      <c r="AM112" s="13"/>
      <c r="AN112" s="13"/>
      <c r="AO112" s="13"/>
      <c r="AQ112" s="13"/>
      <c r="AR112" s="13"/>
      <c r="AS112" s="13"/>
      <c r="AT112" s="13"/>
      <c r="AU112" s="576"/>
      <c r="AV112" s="576"/>
      <c r="AW112" s="576"/>
      <c r="AX112" s="576"/>
    </row>
    <row r="113" spans="1:55" ht="96" customHeight="1">
      <c r="A113" s="617">
        <v>6</v>
      </c>
      <c r="B113" s="630" t="str">
        <f ca="1">IFERROR(IF(INDEX('Outcome Indicators - Section C '!AA$1:AA$98,MATCH($A112,'Outcome Indicators - Section C '!$A$1:$A$98,0))&lt;&gt;0,INDEX('Outcome Indicators - Section C '!AA$1:AA$98,MATCH($A112,'Outcome Indicators - Section C '!$A$1:$A$98,0)),""),"")</f>
        <v xml:space="preserve">Línea de base: La cifra está basada en el Estudio de Vigilancia de Segunda Generación realizado en 2010 desarrollado en las ciudades de La Paz, El Alto, Cochabamba y Santa Cruz
Método de Medición: La fuente de información es un “Estudio de Prevalencia de ITS/VIH y Hepatitis B en población de Trabajadoras Sexuales” a realizarse al finalizar la subvención, con recursos por encima de lo asignado y/o con eficiencias de la subvención. </v>
      </c>
      <c r="C113" s="631"/>
      <c r="D113" s="631"/>
      <c r="E113" s="631"/>
      <c r="F113" s="631"/>
      <c r="G113" s="631"/>
      <c r="H113" s="631"/>
      <c r="I113" s="632"/>
      <c r="J113" s="632"/>
      <c r="K113" s="632"/>
      <c r="L113" s="632"/>
      <c r="M113" s="632"/>
      <c r="N113" s="632"/>
      <c r="O113" s="632"/>
      <c r="P113" s="632"/>
      <c r="Q113" s="632"/>
      <c r="R113" s="632"/>
      <c r="S113" s="633"/>
      <c r="T113" s="53"/>
      <c r="U113" s="13"/>
      <c r="V113" s="13"/>
      <c r="W113" s="13"/>
      <c r="X113" s="13"/>
      <c r="Y113" s="13"/>
      <c r="Z113" s="13"/>
      <c r="AA113" s="13"/>
      <c r="AB113" s="13"/>
      <c r="AC113" s="13"/>
      <c r="AD113" s="13"/>
      <c r="AE113" s="13"/>
      <c r="AF113" s="13"/>
      <c r="AG113" s="13"/>
      <c r="AH113" s="13"/>
      <c r="AI113" s="13"/>
      <c r="AJ113" s="13"/>
      <c r="AK113" s="13"/>
      <c r="AL113" s="13"/>
      <c r="AM113" s="13"/>
      <c r="AN113" s="13"/>
      <c r="AO113" s="13"/>
      <c r="AQ113" s="13"/>
      <c r="AR113" s="13"/>
      <c r="AS113" s="13"/>
      <c r="AT113" s="13"/>
      <c r="AU113" s="576"/>
      <c r="AV113" s="576"/>
      <c r="AW113" s="576"/>
      <c r="AX113" s="576"/>
    </row>
    <row r="114" spans="1:55" s="13" customFormat="1" ht="172.35" customHeight="1">
      <c r="A114" s="614">
        <v>4</v>
      </c>
      <c r="B114" s="663" t="str">
        <f ca="1">IFERROR(IF(INDEX('Outcome Indicators - Section C '!B$1:B$98,MATCH($A114,'Outcome Indicators - Section C '!$A$1:$A$98,0))&lt;&gt;0,INDEX('Outcome Indicators - Section C '!B$1:B$98,MATCH($A114,'Outcome Indicators - Section C '!$A$1:$A$98,0)),""),"")</f>
        <v>HIV O-12 Porcentaje de personas que viven con VIH que reciben tratamiento antirretroviral y tienen carga viral suprimida</v>
      </c>
      <c r="C114" s="664"/>
      <c r="D114" s="665"/>
      <c r="E114" s="663" t="str">
        <f ca="1">IFERROR(IF(INDEX('Outcome Indicators - Section C '!C$1:C$98,MATCH($A114,'Outcome Indicators - Section C '!$A$1:$A$98,0))&lt;&gt;0,INDEX('Outcome Indicators - Section C '!C$1:C$98,MATCH($A114,'Outcome Indicators - Section C '!$A$1:$A$98,0)),""),"")</f>
        <v/>
      </c>
      <c r="F114" s="664"/>
      <c r="G114" s="665"/>
      <c r="H114" s="64" t="str">
        <f ca="1">IFERROR(IF(INDEX('Outcome Indicators - Section C '!D$1:D$98,MATCH($A114,'Outcome Indicators - Section C '!$A$1:$A$98,0))&lt;&gt;"",FIXED(INDEX('Outcome Indicators - Section C '!D$1:D$98,MATCH($A114,'Outcome Indicators - Section C '!$A$1:$A$98,0)),4),""),"")&amp;"/"&amp;IFERROR(IF(INDEX('Outcome Indicators - Section C '!D$1:D$98,MATCH($A114,'Outcome Indicators - Section C '!$A$1:$A$98,0)+1)&lt;&gt;"",FIXED(INDEX('Outcome Indicators - Section C '!D$1:D$98,MATCH($A114,'Outcome Indicators - Section C '!$A$1:$A$98,0)+1),2),""),"")&amp;CHAR(10)&amp;IFERROR(IF(INDEX('Outcome Indicators - Section C '!E$1:E$98,MATCH($A114,'Outcome Indicators - Section C '!$A$1:$A$98,0))&lt;&gt;"",FIXED(INDEX('Outcome Indicators - Section C '!E$1:E$98,MATCH($A114,'Outcome Indicators - Section C '!$A$1:$A$98,0))*100,2)&amp;"%",""),"")</f>
        <v>9,378.0000/10,523.00
89.12%</v>
      </c>
      <c r="I114" s="64" t="str">
        <f ca="1">IFERROR(IF(INDEX('Outcome Indicators - Section C '!F$1:F$98,MATCH($A114,'Outcome Indicators - Section C '!$A$1:$A$98,0))&lt;&gt;0,INDEX('Outcome Indicators - Section C '!F$1:F$98,MATCH($A114,'Outcome Indicators - Section C '!$A$1:$A$98,0)),""),"")&amp;CHAR(10)&amp;IFERROR(IF(INDEX('Outcome Indicators - Section C '!G$1:G$98,MATCH($A114,'Outcome Indicators - Section C '!$A$1:$A$98,0))&lt;&gt;0,INDEX('Outcome Indicators - Section C '!G$1:G$98,MATCH($A114,'Outcome Indicators - Section C '!$A$1:$A$98,0)),""),"")</f>
        <v>2021
Reporte de la Unidad de Vigilancia Epidemiologica - Componente VIH - SIMONE</v>
      </c>
      <c r="J114" s="663" t="str">
        <f ca="1">IFERROR(IF(INDEX('Outcome Indicators - Section C '!H$1:H$98,MATCH($A114,'Outcome Indicators - Section C '!$A$1:$A$98,0))&lt;&gt;0,INDEX('Outcome Indicators - Section C '!H$1:H$98,MATCH($A114,'Outcome Indicators - Section C '!$A$1:$A$98,0)),""),"")</f>
        <v>Género</v>
      </c>
      <c r="K114" s="664"/>
      <c r="L114" s="664"/>
      <c r="M114" s="665"/>
      <c r="N114" s="70" t="str">
        <f ca="1">IFERROR(IF(AND('Overview - Section A'!AN$5="Grant Making",OR(B114&lt;&gt;"",E114&lt;&gt;"")),Setup!I15,IF(INDEX('Outcome Indicators - Section C '!I$1:I$98,MATCH($A114,'Outcome Indicators - Section C '!$A$1:$A$98,0))&lt;&gt;0,INDEX('Outcome Indicators - Section C '!I$1:I$98,MATCH($A114,'Outcome Indicators - Section C '!$A$1:$A$98,0)),"")),"")</f>
        <v>United Nations Development Programme</v>
      </c>
      <c r="O114" s="70" t="str">
        <f>IFERROR(IF(INDEX('Outcome Indicators - Section C '!J$9:J$36,MATCH($A114,'Outcome Indicators - Section C '!$A$9:$A$36,0))&lt;&gt;0,INDEX('Outcome Indicators - Section C '!J$9:J$36,MATCH($A114,'Outcome Indicators - Section C '!$A$9:$A$36,0)),""),"")</f>
        <v>Bolivia (Plurinational State)</v>
      </c>
      <c r="P114" s="63" t="str">
        <f ca="1">IFERROR(IF(INDEX('Outcome Indicators - Section C '!K$1:K$98,MATCH($A114,'Outcome Indicators - Section C '!$A$1:$A$98,0))&lt;&gt;"",FIXED(INDEX('Outcome Indicators - Section C '!K$1:K$98,MATCH($A114,'Outcome Indicators - Section C '!$A$1:$A$98,0)),4),""),"")&amp;"/"&amp;IFERROR(IF(INDEX('Outcome Indicators - Section C '!K$1:K$98,MATCH($A114,'Outcome Indicators - Section C '!$A$1:$A$98,0)+1)&lt;&gt;"",FIXED(INDEX('Outcome Indicators - Section C '!K$1:K$98,MATCH($A114,'Outcome Indicators - Section C '!$A$1:$A$98,0)+1),2),""),"")&amp;CHAR(10)&amp;IFERROR(IF(INDEX('Outcome Indicators - Section C '!L$1:L$98,MATCH($A114,'Outcome Indicators - Section C '!$A$1:$A$98,0))&lt;&gt;"",FIXED(INDEX('Outcome Indicators - Section C '!L$1:L$98,MATCH($A114,'Outcome Indicators - Section C '!$A$1:$A$98,0))*100,2)&amp;"%",""),"")&amp;CHAR(10)&amp;IFERROR(IF(INDEX('Outcome Indicators - Section C '!N$1:N$98,MATCH($A114,'Outcome Indicators - Section C '!$A$1:$A$98,0))&lt;&gt;"",INDEX('Outcome Indicators - Section C '!N$1:N$98,MATCH($A114,'Outcome Indicators - Section C '!$A$1:$A$98,0)),""),"")&amp;CHAR(10)&amp;IFERROR(IF(INDEX('Outcome Indicators - Section C '!M$1:M$98,MATCH($A114,'Outcome Indicators - Section C '!$A$1:$A$98,0))&lt;&gt;"",TEXT(INDEX('Outcome Indicators - Section C '!M$1:M$98,MATCH($A114,'Outcome Indicators - Section C '!$A$1:$A$98,0)),Setup!$A$33),""),"")</f>
        <v>11,714.0000/12,872.00
91.00%
28-Feb-24</v>
      </c>
      <c r="Q114" s="64" t="str">
        <f ca="1">IFERROR(IF(INDEX('Outcome Indicators - Section C '!O$1:O$36,MATCH($A114,'Outcome Indicators - Section C '!$A$1:$A$36,0))&lt;&gt;"",FIXED(INDEX('Outcome Indicators - Section C '!O$1:O$36,MATCH($A114,'Outcome Indicators - Section C '!$A$1:$A$36,0)),4),""),"")&amp;"/"&amp;IFERROR(IF(INDEX('Outcome Indicators - Section C '!O$1:O$36,MATCH($A114,'Outcome Indicators - Section C '!$A$1:$A$36,0)+1)&lt;&gt;"",FIXED(INDEX('Outcome Indicators - Section C '!O$1:O$36,MATCH($A114,'Outcome Indicators - Section C '!$A$1:$A$36,0)+1),2),""),"")&amp;CHAR(10)&amp;IFERROR(IF(INDEX('Outcome Indicators - Section C '!P$1:P$36,MATCH($A114,'Outcome Indicators - Section C '!$A$1:$A$36,0))&lt;&gt;"",FIXED(INDEX('Outcome Indicators - Section C '!P$1:P$36,MATCH($A114,'Outcome Indicators - Section C '!$A$1:$A$36,0))*100,2)&amp;"%",""),"")&amp;CHAR(10)&amp;IFERROR(IF(INDEX('Outcome Indicators - Section C '!R$1:R$36,MATCH($A114,'Outcome Indicators - Section C '!$A$1:$A$36,0))&lt;&gt;"",INDEX('Outcome Indicators - Section C '!R$1:R$36,MATCH($A114,'Outcome Indicators - Section C '!$A$1:$A$36,0)),""),"")&amp;CHAR(10)&amp;IFERROR(IF(INDEX('Outcome Indicators - Section C '!Q$1:Q$36,MATCH($A114,'Outcome Indicators - Section C '!$A$1:$A$36,0))&lt;&gt;"",TEXT(INDEX('Outcome Indicators - Section C '!Q$1:Q$36,MATCH($A114,'Outcome Indicators - Section C '!$A$1:$A$36,0)),Setup!$A$33),""),"")</f>
        <v>12,926.0000/14,050.00
92.00%
28-Feb-25</v>
      </c>
      <c r="R114" s="64" t="str">
        <f ca="1">IFERROR(IF(INDEX('Outcome Indicators - Section C '!S$1:S$36,MATCH($A114,'Outcome Indicators - Section C '!$A$1:$A$36,0))&lt;&gt;"",FIXED(INDEX('Outcome Indicators - Section C '!S$1:S$36,MATCH($A114,'Outcome Indicators - Section C '!$A$1:$A$36,0)),4),""),"")&amp;"/"&amp;IFERROR(IF(INDEX('Outcome Indicators - Section C '!S$1:S$36,MATCH($A114,'Outcome Indicators - Section C '!$A$1:$A$36,0)+1)&lt;&gt;"",FIXED(INDEX('Outcome Indicators - Section C '!S$1:S$36,MATCH($A114,'Outcome Indicators - Section C '!$A$1:$A$36,0)+1),2),""),"")&amp;CHAR(10)&amp;IFERROR(IF(INDEX('Outcome Indicators - Section C '!T$1:T$36,MATCH($A114,'Outcome Indicators - Section C '!$A$1:$A$36,0))&lt;&gt;"",FIXED(INDEX('Outcome Indicators - Section C '!T$1:T$36,MATCH($A114,'Outcome Indicators - Section C '!$A$1:$A$36,0))*100,2)&amp;"%",""),"")&amp;CHAR(10)&amp;IFERROR(IF(INDEX('Outcome Indicators - Section C '!V$1:V$36,MATCH($A114,'Outcome Indicators - Section C '!$A$1:$A$36,0))&lt;&gt;"",INDEX('Outcome Indicators - Section C '!V$1:V$36,MATCH($A114,'Outcome Indicators - Section C '!$A$1:$A$36,0)),""),"")&amp;CHAR(10)&amp;IFERROR(IF(INDEX('Outcome Indicators - Section C '!U$1:U$36,MATCH($A114,'Outcome Indicators - Section C '!$A$1:$A$36,0))&lt;&gt;"",TEXT(INDEX('Outcome Indicators - Section C '!U$1:U$36,MATCH($A114,'Outcome Indicators - Section C '!$A$1:$A$36,0)),Setup!$A$33),""),"")</f>
        <v>14,194.0000/15,263.00
93.00%
28-Feb-26</v>
      </c>
      <c r="S114" s="64" t="str">
        <f ca="1">IFERROR(IF(INDEX('Outcome Indicators - Section C '!W$9:W$36,MATCH($A114,'Outcome Indicators - Section C '!$A$9:$A$36,0))&lt;&gt;"",FIXED(INDEX('Outcome Indicators - Section C '!W$9:W$36,MATCH($A114,'Outcome Indicators - Section C '!$A$9:$A$36,0)),4),""),"")&amp;"/"&amp;IFERROR(IF(INDEX('Outcome Indicators - Section C '!W$9:W$36,MATCH($A114,'Outcome Indicators - Section C '!$A$9:$A$36,0)+1)&lt;&gt;"",FIXED(INDEX('Outcome Indicators - Section C '!W$9:W$36,MATCH($A114,'Outcome Indicators - Section C '!$A$9:$A$36,0)+1),2),""),"")&amp;CHAR(10)&amp;IFERROR(IF(INDEX('Outcome Indicators - Section C '!X$9:X$36,MATCH($A114,'Outcome Indicators - Section C '!$A$9:$A$36,0))&lt;&gt;"",FIXED(INDEX('Outcome Indicators - Section C '!X$9:X$36,MATCH($A114,'Outcome Indicators - Section C '!$A$9:$A$36,0))*100,2)&amp;"%",""),"")&amp;CHAR(10)&amp;IFERROR(IF(INDEX('Outcome Indicators - Section C '!Z$9:Z$36,MATCH($A114,'Outcome Indicators - Section C '!$A$9:$A$36,0))&lt;&gt;"",INDEX('Outcome Indicators - Section C '!Z$9:Z$36,MATCH($A114,'Outcome Indicators - Section C '!$A$9:$A$36,0)),""),"")&amp;CHAR(10)&amp;IFERROR(IF(INDEX('Outcome Indicators - Section C '!Y$9:Y$36,MATCH($A114,'Outcome Indicators - Section C '!$A$9:$A$36,0))&lt;&gt;"",TEXT(INDEX('Outcome Indicators - Section C '!Y$9:Y$36,MATCH($A114,'Outcome Indicators - Section C '!$A$9:$A$36,0)),Setup!$A$33),""),"")</f>
        <v xml:space="preserve">/
</v>
      </c>
      <c r="T114" s="51"/>
      <c r="AU114" s="575"/>
      <c r="AV114" s="575"/>
      <c r="AW114" s="575"/>
      <c r="AX114" s="575"/>
      <c r="AY114" s="54"/>
      <c r="AZ114" s="54"/>
      <c r="BA114" s="54"/>
      <c r="BB114" s="54"/>
      <c r="BC114" s="54"/>
    </row>
    <row r="115" spans="1:55" s="13" customFormat="1" ht="96" customHeight="1">
      <c r="A115" s="615">
        <v>8</v>
      </c>
      <c r="B115" s="666" t="str">
        <f ca="1">IFERROR(IF(INDEX('Outcome Indicators - Section C '!AA$1:AA$98,MATCH($A114,'Outcome Indicators - Section C '!$A$1:$A$98,0))&lt;&gt;0,INDEX('Outcome Indicators - Section C '!AA$1:AA$98,MATCH($A114,'Outcome Indicators - Section C '!$A$1:$A$98,0)),""),"")</f>
        <v xml:space="preserve">Línea de Base: La línea de base corresponde al análisis de la cascada de atención de VIH del año 2021 (pilar de Carga Viral y pilar CV Suprimida) a las que se excluyó las PVV con inicio de TARGA reciente (&lt; de 6 meses).                                                                                                                                                                     Método de Medición: La fuente de información serán los reportes nominales de TARGA y Laboratorio de seguimiento del sistema de información de VIH (SIMONE).  </v>
      </c>
      <c r="C115" s="667"/>
      <c r="D115" s="667"/>
      <c r="E115" s="667"/>
      <c r="F115" s="667"/>
      <c r="G115" s="667"/>
      <c r="H115" s="667"/>
      <c r="I115" s="667"/>
      <c r="J115" s="667"/>
      <c r="K115" s="667"/>
      <c r="L115" s="667"/>
      <c r="M115" s="667"/>
      <c r="N115" s="667"/>
      <c r="O115" s="667"/>
      <c r="P115" s="667"/>
      <c r="Q115" s="667"/>
      <c r="R115" s="667"/>
      <c r="S115" s="668"/>
      <c r="T115" s="52"/>
      <c r="AU115" s="575"/>
      <c r="AV115" s="575"/>
      <c r="AW115" s="575"/>
      <c r="AX115" s="575"/>
      <c r="AY115" s="54"/>
      <c r="AZ115" s="54"/>
      <c r="BA115" s="54"/>
      <c r="BB115" s="54"/>
      <c r="BC115" s="54"/>
    </row>
    <row r="116" spans="1:55" ht="172.35" customHeight="1">
      <c r="A116" s="616">
        <v>5</v>
      </c>
      <c r="B116" s="660" t="str">
        <f ca="1">IFERROR(IF(INDEX('Outcome Indicators - Section C '!B$1:B$98,MATCH($A116,'Outcome Indicators - Section C '!$A$1:$A$98,0))&lt;&gt;0,INDEX('Outcome Indicators - Section C '!B$1:B$98,MATCH($A116,'Outcome Indicators - Section C '!$A$1:$A$98,0)),""),"")</f>
        <v>TB O-4⁽ᴹ⁾ Tasa de éxito del tratamiento de los casos de tuberculosis resistente a la rifampicina y/o tuberculosis multirresistente: Porcentaje de casos de tuberculosis resistente a la rifampicina y/o tuberculosis multirresistente tratados con éxito.</v>
      </c>
      <c r="C116" s="661"/>
      <c r="D116" s="662"/>
      <c r="E116" s="660" t="str">
        <f ca="1">IFERROR(IF(INDEX('Outcome Indicators - Section C '!C$1:C$98,MATCH($A116,'Outcome Indicators - Section C '!$A$1:$A$98,0))&lt;&gt;0,INDEX('Outcome Indicators - Section C '!C$1:C$98,MATCH($A116,'Outcome Indicators - Section C '!$A$1:$A$98,0)),""),"")</f>
        <v/>
      </c>
      <c r="F116" s="661"/>
      <c r="G116" s="662"/>
      <c r="H116" s="62" t="str">
        <f ca="1">IFERROR(IF(INDEX('Outcome Indicators - Section C '!D$1:D$98,MATCH($A116,'Outcome Indicators - Section C '!$A$1:$A$98,0))&lt;&gt;"",FIXED(INDEX('Outcome Indicators - Section C '!D$1:D$98,MATCH($A116,'Outcome Indicators - Section C '!$A$1:$A$98,0)),4),""),"")&amp;"/"&amp;IFERROR(IF(INDEX('Outcome Indicators - Section C '!D$1:D$98,MATCH($A116,'Outcome Indicators - Section C '!$A$1:$A$98,0)+1)&lt;&gt;"",FIXED(INDEX('Outcome Indicators - Section C '!D$1:D$98,MATCH($A116,'Outcome Indicators - Section C '!$A$1:$A$98,0)+1),2),""),"")&amp;CHAR(10)&amp;IFERROR(IF(INDEX('Outcome Indicators - Section C '!E$1:E$98,MATCH($A116,'Outcome Indicators - Section C '!$A$1:$A$98,0))&lt;&gt;"",FIXED(INDEX('Outcome Indicators - Section C '!E$1:E$98,MATCH($A116,'Outcome Indicators - Section C '!$A$1:$A$98,0))*100,2)&amp;"%",""),"")</f>
        <v>61.0000/87.00
70.11%</v>
      </c>
      <c r="I116" s="62" t="str">
        <f ca="1">IFERROR(IF(INDEX('Outcome Indicators - Section C '!F$1:F$98,MATCH($A116,'Outcome Indicators - Section C '!$A$1:$A$98,0))&lt;&gt;0,INDEX('Outcome Indicators - Section C '!F$1:F$98,MATCH($A116,'Outcome Indicators - Section C '!$A$1:$A$98,0)),""),"")&amp;CHAR(10)&amp;IFERROR(IF(INDEX('Outcome Indicators - Section C '!G$1:G$98,MATCH($A116,'Outcome Indicators - Section C '!$A$1:$A$98,0))&lt;&gt;0,INDEX('Outcome Indicators - Section C '!G$1:G$98,MATCH($A116,'Outcome Indicators - Section C '!$A$1:$A$98,0)),""),"")</f>
        <v>2018
Reporte de la Unidad de Vigilancia Epidemiológica - Componente de Tuberculosis - Sistema de R&amp;R TB - Ministerio de Salud y Deportes.</v>
      </c>
      <c r="J116" s="660" t="str">
        <f ca="1">IFERROR(IF(INDEX('Outcome Indicators - Section C '!H$1:H$98,MATCH($A116,'Outcome Indicators - Section C '!$A$1:$A$98,0))&lt;&gt;0,INDEX('Outcome Indicators - Section C '!H$1:H$98,MATCH($A116,'Outcome Indicators - Section C '!$A$1:$A$98,0)),""),"")</f>
        <v/>
      </c>
      <c r="K116" s="661"/>
      <c r="L116" s="661"/>
      <c r="M116" s="662"/>
      <c r="N116" s="68" t="str">
        <f ca="1">IFERROR(IF(AND('Overview - Section A'!AN$5="Grant Making",OR(B116&lt;&gt;"",E116&lt;&gt;"")),Setup!I15,IF(INDEX('Outcome Indicators - Section C '!I$1:I$98,MATCH($A116,'Outcome Indicators - Section C '!$A$1:$A$98,0))&lt;&gt;0,INDEX('Outcome Indicators - Section C '!I$1:I$98,MATCH($A116,'Outcome Indicators - Section C '!$A$1:$A$98,0)),"")),"")</f>
        <v>United Nations Development Programme</v>
      </c>
      <c r="O116" s="68" t="str">
        <f>IFERROR(IF(INDEX('Outcome Indicators - Section C '!J$9:J$36,MATCH($A116,'Outcome Indicators - Section C '!$A$9:$A$36,0))&lt;&gt;0,INDEX('Outcome Indicators - Section C '!J$9:J$36,MATCH($A116,'Outcome Indicators - Section C '!$A$9:$A$36,0)),""),"")</f>
        <v>Bolivia (Plurinational State)</v>
      </c>
      <c r="P116" s="69" t="str">
        <f ca="1">IFERROR(IF(INDEX('Outcome Indicators - Section C '!K$1:K$98,MATCH($A116,'Outcome Indicators - Section C '!$A$1:$A$98,0))&lt;&gt;"",FIXED(INDEX('Outcome Indicators - Section C '!K$1:K$98,MATCH($A116,'Outcome Indicators - Section C '!$A$1:$A$98,0)),4),""),"")&amp;"/"&amp;IFERROR(IF(INDEX('Outcome Indicators - Section C '!K$1:K$98,MATCH($A116,'Outcome Indicators - Section C '!$A$1:$A$98,0)+1)&lt;&gt;"",FIXED(INDEX('Outcome Indicators - Section C '!K$1:K$98,MATCH($A116,'Outcome Indicators - Section C '!$A$1:$A$98,0)+1),2),""),"")&amp;CHAR(10)&amp;IFERROR(IF(INDEX('Outcome Indicators - Section C '!L$1:L$98,MATCH($A116,'Outcome Indicators - Section C '!$A$1:$A$98,0))&lt;&gt;"",FIXED(INDEX('Outcome Indicators - Section C '!L$1:L$98,MATCH($A116,'Outcome Indicators - Section C '!$A$1:$A$98,0))*100,2)&amp;"%",""),"")&amp;CHAR(10)&amp;IFERROR(IF(INDEX('Outcome Indicators - Section C '!N$1:N$98,MATCH($A116,'Outcome Indicators - Section C '!$A$1:$A$98,0))&lt;&gt;"",INDEX('Outcome Indicators - Section C '!N$1:N$98,MATCH($A116,'Outcome Indicators - Section C '!$A$1:$A$98,0)),""),"")&amp;CHAR(10)&amp;IFERROR(IF(INDEX('Outcome Indicators - Section C '!M$1:M$98,MATCH($A116,'Outcome Indicators - Section C '!$A$1:$A$98,0))&lt;&gt;"",TEXT(INDEX('Outcome Indicators - Section C '!M$1:M$98,MATCH($A116,'Outcome Indicators - Section C '!$A$1:$A$98,0)),Setup!$A$33),""),"")</f>
        <v>77.0000/90.00
85.56%
15-Feb-24</v>
      </c>
      <c r="Q116" s="62" t="str">
        <f ca="1">IFERROR(IF(INDEX('Outcome Indicators - Section C '!O$1:O$36,MATCH($A116,'Outcome Indicators - Section C '!$A$1:$A$36,0))&lt;&gt;"",FIXED(INDEX('Outcome Indicators - Section C '!O$1:O$36,MATCH($A116,'Outcome Indicators - Section C '!$A$1:$A$36,0)),4),""),"")&amp;"/"&amp;IFERROR(IF(INDEX('Outcome Indicators - Section C '!O$1:O$36,MATCH($A116,'Outcome Indicators - Section C '!$A$1:$A$36,0)+1)&lt;&gt;"",FIXED(INDEX('Outcome Indicators - Section C '!O$1:O$36,MATCH($A116,'Outcome Indicators - Section C '!$A$1:$A$36,0)+1),2),""),"")&amp;CHAR(10)&amp;IFERROR(IF(INDEX('Outcome Indicators - Section C '!P$1:P$36,MATCH($A116,'Outcome Indicators - Section C '!$A$1:$A$36,0))&lt;&gt;"",FIXED(INDEX('Outcome Indicators - Section C '!P$1:P$36,MATCH($A116,'Outcome Indicators - Section C '!$A$1:$A$36,0))*100,2)&amp;"%",""),"")&amp;CHAR(10)&amp;IFERROR(IF(INDEX('Outcome Indicators - Section C '!R$1:R$36,MATCH($A116,'Outcome Indicators - Section C '!$A$1:$A$36,0))&lt;&gt;"",INDEX('Outcome Indicators - Section C '!R$1:R$36,MATCH($A116,'Outcome Indicators - Section C '!$A$1:$A$36,0)),""),"")&amp;CHAR(10)&amp;IFERROR(IF(INDEX('Outcome Indicators - Section C '!Q$1:Q$36,MATCH($A116,'Outcome Indicators - Section C '!$A$1:$A$36,0))&lt;&gt;"",TEXT(INDEX('Outcome Indicators - Section C '!Q$1:Q$36,MATCH($A116,'Outcome Indicators - Section C '!$A$1:$A$36,0)),Setup!$A$33),""),"")</f>
        <v>107.0000/126.00
84.92%
15-Feb-25</v>
      </c>
      <c r="R116" s="62" t="str">
        <f ca="1">IFERROR(IF(INDEX('Outcome Indicators - Section C '!S$1:S$36,MATCH($A116,'Outcome Indicators - Section C '!$A$1:$A$36,0))&lt;&gt;"",FIXED(INDEX('Outcome Indicators - Section C '!S$1:S$36,MATCH($A116,'Outcome Indicators - Section C '!$A$1:$A$36,0)),4),""),"")&amp;"/"&amp;IFERROR(IF(INDEX('Outcome Indicators - Section C '!S$1:S$36,MATCH($A116,'Outcome Indicators - Section C '!$A$1:$A$36,0)+1)&lt;&gt;"",FIXED(INDEX('Outcome Indicators - Section C '!S$1:S$36,MATCH($A116,'Outcome Indicators - Section C '!$A$1:$A$36,0)+1),2),""),"")&amp;CHAR(10)&amp;IFERROR(IF(INDEX('Outcome Indicators - Section C '!T$1:T$36,MATCH($A116,'Outcome Indicators - Section C '!$A$1:$A$36,0))&lt;&gt;"",FIXED(INDEX('Outcome Indicators - Section C '!T$1:T$36,MATCH($A116,'Outcome Indicators - Section C '!$A$1:$A$36,0))*100,2)&amp;"%",""),"")&amp;CHAR(10)&amp;IFERROR(IF(INDEX('Outcome Indicators - Section C '!V$1:V$36,MATCH($A116,'Outcome Indicators - Section C '!$A$1:$A$36,0))&lt;&gt;"",INDEX('Outcome Indicators - Section C '!V$1:V$36,MATCH($A116,'Outcome Indicators - Section C '!$A$1:$A$36,0)),""),"")&amp;CHAR(10)&amp;IFERROR(IF(INDEX('Outcome Indicators - Section C '!U$1:U$36,MATCH($A116,'Outcome Indicators - Section C '!$A$1:$A$36,0))&lt;&gt;"",TEXT(INDEX('Outcome Indicators - Section C '!U$1:U$36,MATCH($A116,'Outcome Indicators - Section C '!$A$1:$A$36,0)),Setup!$A$33),""),"")</f>
        <v>131.0000/154.00
85.06%
15-Feb-26</v>
      </c>
      <c r="S116" s="62" t="str">
        <f ca="1">IFERROR(IF(INDEX('Outcome Indicators - Section C '!W$9:W$36,MATCH($A116,'Outcome Indicators - Section C '!$A$9:$A$36,0))&lt;&gt;"",FIXED(INDEX('Outcome Indicators - Section C '!W$9:W$36,MATCH($A116,'Outcome Indicators - Section C '!$A$9:$A$36,0)),4),""),"")&amp;"/"&amp;IFERROR(IF(INDEX('Outcome Indicators - Section C '!W$9:W$36,MATCH($A116,'Outcome Indicators - Section C '!$A$9:$A$36,0)+1)&lt;&gt;"",FIXED(INDEX('Outcome Indicators - Section C '!W$9:W$36,MATCH($A116,'Outcome Indicators - Section C '!$A$9:$A$36,0)+1),2),""),"")&amp;CHAR(10)&amp;IFERROR(IF(INDEX('Outcome Indicators - Section C '!X$9:X$36,MATCH($A116,'Outcome Indicators - Section C '!$A$9:$A$36,0))&lt;&gt;"",FIXED(INDEX('Outcome Indicators - Section C '!X$9:X$36,MATCH($A116,'Outcome Indicators - Section C '!$A$9:$A$36,0))*100,2)&amp;"%",""),"")&amp;CHAR(10)&amp;IFERROR(IF(INDEX('Outcome Indicators - Section C '!Z$9:Z$36,MATCH($A116,'Outcome Indicators - Section C '!$A$9:$A$36,0))&lt;&gt;"",INDEX('Outcome Indicators - Section C '!Z$9:Z$36,MATCH($A116,'Outcome Indicators - Section C '!$A$9:$A$36,0)),""),"")&amp;CHAR(10)&amp;IFERROR(IF(INDEX('Outcome Indicators - Section C '!Y$9:Y$36,MATCH($A116,'Outcome Indicators - Section C '!$A$9:$A$36,0))&lt;&gt;"",TEXT(INDEX('Outcome Indicators - Section C '!Y$9:Y$36,MATCH($A116,'Outcome Indicators - Section C '!$A$9:$A$36,0)),Setup!$A$33),""),"")</f>
        <v xml:space="preserve">/
</v>
      </c>
      <c r="T116" s="73"/>
      <c r="U116" s="13"/>
      <c r="V116" s="13"/>
      <c r="W116" s="13"/>
      <c r="X116" s="13"/>
      <c r="Y116" s="13"/>
      <c r="Z116" s="13"/>
      <c r="AA116" s="13"/>
      <c r="AB116" s="13"/>
      <c r="AC116" s="13"/>
      <c r="AD116" s="13"/>
      <c r="AE116" s="13"/>
      <c r="AF116" s="13"/>
      <c r="AG116" s="13"/>
      <c r="AH116" s="13"/>
      <c r="AI116" s="13"/>
      <c r="AJ116" s="13"/>
      <c r="AK116" s="13"/>
      <c r="AL116" s="13"/>
      <c r="AM116" s="13"/>
      <c r="AN116" s="13"/>
      <c r="AO116" s="13"/>
      <c r="AQ116" s="13"/>
      <c r="AR116" s="13"/>
      <c r="AS116" s="13"/>
      <c r="AT116" s="13"/>
      <c r="AU116" s="576"/>
      <c r="AV116" s="576"/>
      <c r="AW116" s="576"/>
      <c r="AX116" s="576"/>
    </row>
    <row r="117" spans="1:55" ht="96" customHeight="1">
      <c r="A117" s="617">
        <v>9.8000000000000007</v>
      </c>
      <c r="B117" s="630" t="str">
        <f ca="1">IFERROR(IF(INDEX('Outcome Indicators - Section C '!AA$1:AA$98,MATCH($A116,'Outcome Indicators - Section C '!$A$1:$A$98,0))&lt;&gt;0,INDEX('Outcome Indicators - Section C '!AA$1:AA$98,MATCH($A116,'Outcome Indicators - Section C '!$A$1:$A$98,0)),""),"")</f>
        <v xml:space="preserve">Línea de Base. Tasa de Éxito Tratamiento: 70.11% (61/87) Gestión 2018. 
Fuente de información: Reporte de la Unidad de Vigilancia Epidemiológica - Componente de Tuberculosis - Sistema de R&amp;R TB - Ministerio de Salud y Deportes.
Método de medición: 
Numerador: Casos de TB RR-MDR que finalizar su tratamiento con resultado de diagnostico negativo.
Denominador: Numero de Casos RR-MDR que iniciaron tratamiento.
Comentario: Los posibles limitantes en el éxito de tratamiento en pacientes TB RR-MDR son las siguientes:
- Las personas identificadas como TB-RR/TB-MDR son pacientes con dificultades en el inicio de tratamiento y la adherencia al tratamiento, dadas las condiciones de base de estas personas (extrema pobreza, situación de calle, PPL drogodependientes, TB-VIH, etc)
- Antes del inicio de tratamiento se deben realizar exámenes complementarios para inicio de tratamiento TB-RR.
La implementación del esquema oral en los pacientes TB-DR a partir de la gestion 2022, ayudara a la adherencia del tratamiento y el éxito del mismo en los pacientes al ser un tratamiento menos agresivo para el paciente.
Se espera incrementar el éxito de tratamiento al 85% y mantener en cada gestión. 
</v>
      </c>
      <c r="C117" s="631"/>
      <c r="D117" s="631"/>
      <c r="E117" s="631"/>
      <c r="F117" s="631"/>
      <c r="G117" s="631"/>
      <c r="H117" s="631"/>
      <c r="I117" s="632"/>
      <c r="J117" s="632"/>
      <c r="K117" s="632"/>
      <c r="L117" s="632"/>
      <c r="M117" s="632"/>
      <c r="N117" s="632"/>
      <c r="O117" s="632"/>
      <c r="P117" s="632"/>
      <c r="Q117" s="632"/>
      <c r="R117" s="632"/>
      <c r="S117" s="633"/>
      <c r="T117" s="53"/>
      <c r="U117" s="13"/>
      <c r="V117" s="13"/>
      <c r="W117" s="13"/>
      <c r="X117" s="13"/>
      <c r="Y117" s="13"/>
      <c r="Z117" s="13"/>
      <c r="AA117" s="13"/>
      <c r="AB117" s="13"/>
      <c r="AC117" s="13"/>
      <c r="AD117" s="13"/>
      <c r="AE117" s="13"/>
      <c r="AF117" s="13"/>
      <c r="AG117" s="13"/>
      <c r="AH117" s="13"/>
      <c r="AI117" s="13"/>
      <c r="AJ117" s="13"/>
      <c r="AK117" s="13"/>
      <c r="AL117" s="13"/>
      <c r="AM117" s="13"/>
      <c r="AN117" s="13"/>
      <c r="AO117" s="13"/>
      <c r="AQ117" s="13"/>
      <c r="AR117" s="13"/>
      <c r="AS117" s="13"/>
      <c r="AT117" s="13"/>
      <c r="AU117" s="576"/>
      <c r="AV117" s="576"/>
      <c r="AW117" s="576"/>
      <c r="AX117" s="576"/>
    </row>
    <row r="118" spans="1:55" s="13" customFormat="1" ht="172.35" customHeight="1">
      <c r="A118" s="614">
        <v>6</v>
      </c>
      <c r="B118" s="663" t="str">
        <f ca="1">IFERROR(IF(INDEX('Outcome Indicators - Section C '!B$1:B$98,MATCH($A118,'Outcome Indicators - Section C '!$A$1:$A$98,0))&lt;&gt;0,INDEX('Outcome Indicators - Section C '!B$1:B$98,MATCH($A118,'Outcome Indicators - Section C '!$A$1:$A$98,0)),""),"")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C118" s="664"/>
      <c r="D118" s="665"/>
      <c r="E118" s="663" t="str">
        <f ca="1">IFERROR(IF(INDEX('Outcome Indicators - Section C '!C$1:C$98,MATCH($A118,'Outcome Indicators - Section C '!$A$1:$A$98,0))&lt;&gt;0,INDEX('Outcome Indicators - Section C '!C$1:C$98,MATCH($A118,'Outcome Indicators - Section C '!$A$1:$A$98,0)),""),"")</f>
        <v/>
      </c>
      <c r="F118" s="664"/>
      <c r="G118" s="665"/>
      <c r="H118" s="64" t="str">
        <f ca="1">IFERROR(IF(INDEX('Outcome Indicators - Section C '!D$1:D$98,MATCH($A118,'Outcome Indicators - Section C '!$A$1:$A$98,0))&lt;&gt;"",FIXED(INDEX('Outcome Indicators - Section C '!D$1:D$98,MATCH($A118,'Outcome Indicators - Section C '!$A$1:$A$98,0)),4),""),"")&amp;"/"&amp;IFERROR(IF(INDEX('Outcome Indicators - Section C '!D$1:D$98,MATCH($A118,'Outcome Indicators - Section C '!$A$1:$A$98,0)+1)&lt;&gt;"",FIXED(INDEX('Outcome Indicators - Section C '!D$1:D$98,MATCH($A118,'Outcome Indicators - Section C '!$A$1:$A$98,0)+1),2),""),"")&amp;CHAR(10)&amp;IFERROR(IF(INDEX('Outcome Indicators - Section C '!E$1:E$98,MATCH($A118,'Outcome Indicators - Section C '!$A$1:$A$98,0))&lt;&gt;"",FIXED(INDEX('Outcome Indicators - Section C '!E$1:E$98,MATCH($A118,'Outcome Indicators - Section C '!$A$1:$A$98,0))*100,2)&amp;"%",""),"")</f>
        <v>6,016.0000/12,000.00
50.13%</v>
      </c>
      <c r="I118" s="64" t="str">
        <f ca="1">IFERROR(IF(INDEX('Outcome Indicators - Section C '!F$1:F$98,MATCH($A118,'Outcome Indicators - Section C '!$A$1:$A$98,0))&lt;&gt;0,INDEX('Outcome Indicators - Section C '!F$1:F$98,MATCH($A118,'Outcome Indicators - Section C '!$A$1:$A$98,0)),""),"")&amp;CHAR(10)&amp;IFERROR(IF(INDEX('Outcome Indicators - Section C '!G$1:G$98,MATCH($A118,'Outcome Indicators - Section C '!$A$1:$A$98,0))&lt;&gt;0,INDEX('Outcome Indicators - Section C '!G$1:G$98,MATCH($A118,'Outcome Indicators - Section C '!$A$1:$A$98,0)),""),"")</f>
        <v>2021
Reporte de la Unidad de Vigilancia Epidemiológica - Componente de Tuberculosis - Sistema de R&amp;R TB - Ministerio de Salud y Deportes.</v>
      </c>
      <c r="J118" s="663" t="str">
        <f ca="1">IFERROR(IF(INDEX('Outcome Indicators - Section C '!H$1:H$98,MATCH($A118,'Outcome Indicators - Section C '!$A$1:$A$98,0))&lt;&gt;0,INDEX('Outcome Indicators - Section C '!H$1:H$98,MATCH($A118,'Outcome Indicators - Section C '!$A$1:$A$98,0)),""),"")</f>
        <v/>
      </c>
      <c r="K118" s="664"/>
      <c r="L118" s="664"/>
      <c r="M118" s="665"/>
      <c r="N118" s="70" t="str">
        <f ca="1">IFERROR(IF(AND('Overview - Section A'!AN$5="Grant Making",OR(B118&lt;&gt;"",E118&lt;&gt;"")),Setup!I15,IF(INDEX('Outcome Indicators - Section C '!I$1:I$98,MATCH($A118,'Outcome Indicators - Section C '!$A$1:$A$98,0))&lt;&gt;0,INDEX('Outcome Indicators - Section C '!I$1:I$98,MATCH($A118,'Outcome Indicators - Section C '!$A$1:$A$98,0)),"")),"")</f>
        <v>United Nations Development Programme</v>
      </c>
      <c r="O118" s="70" t="str">
        <f>IFERROR(IF(INDEX('Outcome Indicators - Section C '!J$9:J$36,MATCH($A118,'Outcome Indicators - Section C '!$A$9:$A$36,0))&lt;&gt;0,INDEX('Outcome Indicators - Section C '!J$9:J$36,MATCH($A118,'Outcome Indicators - Section C '!$A$9:$A$36,0)),""),"")</f>
        <v>Bolivia (Plurinational State)</v>
      </c>
      <c r="P118" s="63" t="str">
        <f ca="1">IFERROR(IF(INDEX('Outcome Indicators - Section C '!K$1:K$98,MATCH($A118,'Outcome Indicators - Section C '!$A$1:$A$98,0))&lt;&gt;"",FIXED(INDEX('Outcome Indicators - Section C '!K$1:K$98,MATCH($A118,'Outcome Indicators - Section C '!$A$1:$A$98,0)),4),""),"")&amp;"/"&amp;IFERROR(IF(INDEX('Outcome Indicators - Section C '!K$1:K$98,MATCH($A118,'Outcome Indicators - Section C '!$A$1:$A$98,0)+1)&lt;&gt;"",FIXED(INDEX('Outcome Indicators - Section C '!K$1:K$98,MATCH($A118,'Outcome Indicators - Section C '!$A$1:$A$98,0)+1),2),""),"")&amp;CHAR(10)&amp;IFERROR(IF(INDEX('Outcome Indicators - Section C '!L$1:L$98,MATCH($A118,'Outcome Indicators - Section C '!$A$1:$A$98,0))&lt;&gt;"",FIXED(INDEX('Outcome Indicators - Section C '!L$1:L$98,MATCH($A118,'Outcome Indicators - Section C '!$A$1:$A$98,0))*100,2)&amp;"%",""),"")&amp;CHAR(10)&amp;IFERROR(IF(INDEX('Outcome Indicators - Section C '!N$1:N$98,MATCH($A118,'Outcome Indicators - Section C '!$A$1:$A$98,0))&lt;&gt;"",INDEX('Outcome Indicators - Section C '!N$1:N$98,MATCH($A118,'Outcome Indicators - Section C '!$A$1:$A$98,0)),""),"")&amp;CHAR(10)&amp;IFERROR(IF(INDEX('Outcome Indicators - Section C '!M$1:M$98,MATCH($A118,'Outcome Indicators - Section C '!$A$1:$A$98,0))&lt;&gt;"",TEXT(INDEX('Outcome Indicators - Section C '!M$1:M$98,MATCH($A118,'Outcome Indicators - Section C '!$A$1:$A$98,0)),Setup!$A$33),""),"")</f>
        <v>7,800.0000/12,000.00
65.00%
30-Nov-24</v>
      </c>
      <c r="Q118" s="64" t="str">
        <f ca="1">IFERROR(IF(INDEX('Outcome Indicators - Section C '!O$1:O$36,MATCH($A118,'Outcome Indicators - Section C '!$A$1:$A$36,0))&lt;&gt;"",FIXED(INDEX('Outcome Indicators - Section C '!O$1:O$36,MATCH($A118,'Outcome Indicators - Section C '!$A$1:$A$36,0)),4),""),"")&amp;"/"&amp;IFERROR(IF(INDEX('Outcome Indicators - Section C '!O$1:O$36,MATCH($A118,'Outcome Indicators - Section C '!$A$1:$A$36,0)+1)&lt;&gt;"",FIXED(INDEX('Outcome Indicators - Section C '!O$1:O$36,MATCH($A118,'Outcome Indicators - Section C '!$A$1:$A$36,0)+1),2),""),"")&amp;CHAR(10)&amp;IFERROR(IF(INDEX('Outcome Indicators - Section C '!P$1:P$36,MATCH($A118,'Outcome Indicators - Section C '!$A$1:$A$36,0))&lt;&gt;"",FIXED(INDEX('Outcome Indicators - Section C '!P$1:P$36,MATCH($A118,'Outcome Indicators - Section C '!$A$1:$A$36,0))*100,2)&amp;"%",""),"")&amp;CHAR(10)&amp;IFERROR(IF(INDEX('Outcome Indicators - Section C '!R$1:R$36,MATCH($A118,'Outcome Indicators - Section C '!$A$1:$A$36,0))&lt;&gt;"",INDEX('Outcome Indicators - Section C '!R$1:R$36,MATCH($A118,'Outcome Indicators - Section C '!$A$1:$A$36,0)),""),"")&amp;CHAR(10)&amp;IFERROR(IF(INDEX('Outcome Indicators - Section C '!Q$1:Q$36,MATCH($A118,'Outcome Indicators - Section C '!$A$1:$A$36,0))&lt;&gt;"",TEXT(INDEX('Outcome Indicators - Section C '!Q$1:Q$36,MATCH($A118,'Outcome Indicators - Section C '!$A$1:$A$36,0)),Setup!$A$33),""),"")</f>
        <v>8,400.0000/12,000.00
70.00%
30-Nov-25</v>
      </c>
      <c r="R118" s="64" t="str">
        <f ca="1">IFERROR(IF(INDEX('Outcome Indicators - Section C '!S$1:S$36,MATCH($A118,'Outcome Indicators - Section C '!$A$1:$A$36,0))&lt;&gt;"",FIXED(INDEX('Outcome Indicators - Section C '!S$1:S$36,MATCH($A118,'Outcome Indicators - Section C '!$A$1:$A$36,0)),4),""),"")&amp;"/"&amp;IFERROR(IF(INDEX('Outcome Indicators - Section C '!S$1:S$36,MATCH($A118,'Outcome Indicators - Section C '!$A$1:$A$36,0)+1)&lt;&gt;"",FIXED(INDEX('Outcome Indicators - Section C '!S$1:S$36,MATCH($A118,'Outcome Indicators - Section C '!$A$1:$A$36,0)+1),2),""),"")&amp;CHAR(10)&amp;IFERROR(IF(INDEX('Outcome Indicators - Section C '!T$1:T$36,MATCH($A118,'Outcome Indicators - Section C '!$A$1:$A$36,0))&lt;&gt;"",FIXED(INDEX('Outcome Indicators - Section C '!T$1:T$36,MATCH($A118,'Outcome Indicators - Section C '!$A$1:$A$36,0))*100,2)&amp;"%",""),"")&amp;CHAR(10)&amp;IFERROR(IF(INDEX('Outcome Indicators - Section C '!V$1:V$36,MATCH($A118,'Outcome Indicators - Section C '!$A$1:$A$36,0))&lt;&gt;"",INDEX('Outcome Indicators - Section C '!V$1:V$36,MATCH($A118,'Outcome Indicators - Section C '!$A$1:$A$36,0)),""),"")&amp;CHAR(10)&amp;IFERROR(IF(INDEX('Outcome Indicators - Section C '!U$1:U$36,MATCH($A118,'Outcome Indicators - Section C '!$A$1:$A$36,0))&lt;&gt;"",TEXT(INDEX('Outcome Indicators - Section C '!U$1:U$36,MATCH($A118,'Outcome Indicators - Section C '!$A$1:$A$36,0)),Setup!$A$33),""),"")</f>
        <v>9,000.0000/12,000.00
75.00%
30-Nov-26</v>
      </c>
      <c r="S118" s="64" t="str">
        <f ca="1">IFERROR(IF(INDEX('Outcome Indicators - Section C '!W$9:W$36,MATCH($A118,'Outcome Indicators - Section C '!$A$9:$A$36,0))&lt;&gt;"",FIXED(INDEX('Outcome Indicators - Section C '!W$9:W$36,MATCH($A118,'Outcome Indicators - Section C '!$A$9:$A$36,0)),4),""),"")&amp;"/"&amp;IFERROR(IF(INDEX('Outcome Indicators - Section C '!W$9:W$36,MATCH($A118,'Outcome Indicators - Section C '!$A$9:$A$36,0)+1)&lt;&gt;"",FIXED(INDEX('Outcome Indicators - Section C '!W$9:W$36,MATCH($A118,'Outcome Indicators - Section C '!$A$9:$A$36,0)+1),2),""),"")&amp;CHAR(10)&amp;IFERROR(IF(INDEX('Outcome Indicators - Section C '!X$9:X$36,MATCH($A118,'Outcome Indicators - Section C '!$A$9:$A$36,0))&lt;&gt;"",FIXED(INDEX('Outcome Indicators - Section C '!X$9:X$36,MATCH($A118,'Outcome Indicators - Section C '!$A$9:$A$36,0))*100,2)&amp;"%",""),"")&amp;CHAR(10)&amp;IFERROR(IF(INDEX('Outcome Indicators - Section C '!Z$9:Z$36,MATCH($A118,'Outcome Indicators - Section C '!$A$9:$A$36,0))&lt;&gt;"",INDEX('Outcome Indicators - Section C '!Z$9:Z$36,MATCH($A118,'Outcome Indicators - Section C '!$A$9:$A$36,0)),""),"")&amp;CHAR(10)&amp;IFERROR(IF(INDEX('Outcome Indicators - Section C '!Y$9:Y$36,MATCH($A118,'Outcome Indicators - Section C '!$A$9:$A$36,0))&lt;&gt;"",TEXT(INDEX('Outcome Indicators - Section C '!Y$9:Y$36,MATCH($A118,'Outcome Indicators - Section C '!$A$9:$A$36,0)),Setup!$A$33),""),"")</f>
        <v xml:space="preserve">/
</v>
      </c>
      <c r="T118" s="51"/>
      <c r="AU118" s="575"/>
      <c r="AV118" s="575"/>
      <c r="AW118" s="575"/>
      <c r="AX118" s="575"/>
      <c r="AY118" s="54"/>
      <c r="AZ118" s="54"/>
      <c r="BA118" s="54"/>
      <c r="BB118" s="54"/>
      <c r="BC118" s="54"/>
    </row>
    <row r="119" spans="1:55" s="13" customFormat="1" ht="96" customHeight="1">
      <c r="A119" s="615">
        <v>9.9999999999999893</v>
      </c>
      <c r="B119" s="666" t="str">
        <f ca="1">IFERROR(IF(INDEX('Outcome Indicators - Section C '!AA$1:AA$98,MATCH($A118,'Outcome Indicators - Section C '!$A$1:$A$98,0))&lt;&gt;0,INDEX('Outcome Indicators - Section C '!AA$1:AA$98,MATCH($A118,'Outcome Indicators - Section C '!$A$1:$A$98,0)),""),"")</f>
        <v>Línea de Base. Inicio de tratamiento esta con relación a la estimación de casos de la OMS 50.13% (6016/12000)  
Fuente de información: Reporte de la Unidad de Vigilancia Epidemiológica - Componente de Tuberculosis - Sistema de R&amp;R TB - Ministerio de Salud y Deportes.
Método de medición: 
Numerador: Número de casos nuevos y recaídas que iniciaron tratamiento de TB
Denominador:  Número de Casos estimados nuevos y recaídas por la OMS. 
Comentario: Las metas están alineadas al PEN y son acordes a la proyección de captación histórica del país
Se utiliza como denominador los casos nuevos y recaídas captados por el país y no así las estimaciones de la OMS ya que no son reales bajo el comportamiento histórico del país.</v>
      </c>
      <c r="C119" s="667"/>
      <c r="D119" s="667"/>
      <c r="E119" s="667"/>
      <c r="F119" s="667"/>
      <c r="G119" s="667"/>
      <c r="H119" s="667"/>
      <c r="I119" s="667"/>
      <c r="J119" s="667"/>
      <c r="K119" s="667"/>
      <c r="L119" s="667"/>
      <c r="M119" s="667"/>
      <c r="N119" s="667"/>
      <c r="O119" s="667"/>
      <c r="P119" s="667"/>
      <c r="Q119" s="667"/>
      <c r="R119" s="667"/>
      <c r="S119" s="668"/>
      <c r="T119" s="52"/>
      <c r="AU119" s="575"/>
      <c r="AV119" s="575"/>
      <c r="AW119" s="575"/>
      <c r="AX119" s="575"/>
      <c r="AY119" s="54"/>
      <c r="AZ119" s="54"/>
      <c r="BA119" s="54"/>
      <c r="BB119" s="54"/>
      <c r="BC119" s="54"/>
    </row>
    <row r="120" spans="1:55" ht="172.35" customHeight="1">
      <c r="A120" s="616">
        <v>7</v>
      </c>
      <c r="B120" s="660" t="str">
        <f ca="1">IFERROR(IF(INDEX('Outcome Indicators - Section C '!B$1:B$98,MATCH($A120,'Outcome Indicators - Section C '!$A$1:$A$98,0))&lt;&gt;0,INDEX('Outcome Indicators - Section C '!B$1:B$98,MATCH($A120,'Outcome Indicators - Section C '!$A$1:$A$98,0)),""),"")</f>
        <v/>
      </c>
      <c r="C120" s="661"/>
      <c r="D120" s="662"/>
      <c r="E120" s="660" t="str">
        <f ca="1">IFERROR(IF(INDEX('Outcome Indicators - Section C '!C$1:C$98,MATCH($A120,'Outcome Indicators - Section C '!$A$1:$A$98,0))&lt;&gt;0,INDEX('Outcome Indicators - Section C '!C$1:C$98,MATCH($A120,'Outcome Indicators - Section C '!$A$1:$A$98,0)),""),"")</f>
        <v/>
      </c>
      <c r="F120" s="661"/>
      <c r="G120" s="662"/>
      <c r="H120" s="62" t="str">
        <f ca="1">IFERROR(IF(INDEX('Outcome Indicators - Section C '!D$1:D$98,MATCH($A120,'Outcome Indicators - Section C '!$A$1:$A$98,0))&lt;&gt;"",FIXED(INDEX('Outcome Indicators - Section C '!D$1:D$98,MATCH($A120,'Outcome Indicators - Section C '!$A$1:$A$98,0)),4),""),"")&amp;"/"&amp;IFERROR(IF(INDEX('Outcome Indicators - Section C '!D$1:D$98,MATCH($A120,'Outcome Indicators - Section C '!$A$1:$A$98,0)+1)&lt;&gt;"",FIXED(INDEX('Outcome Indicators - Section C '!D$1:D$98,MATCH($A120,'Outcome Indicators - Section C '!$A$1:$A$98,0)+1),2),""),"")&amp;CHAR(10)&amp;IFERROR(IF(INDEX('Outcome Indicators - Section C '!E$1:E$98,MATCH($A120,'Outcome Indicators - Section C '!$A$1:$A$98,0))&lt;&gt;"",FIXED(INDEX('Outcome Indicators - Section C '!E$1:E$98,MATCH($A120,'Outcome Indicators - Section C '!$A$1:$A$98,0))*100,2)&amp;"%",""),"")</f>
        <v xml:space="preserve">/
</v>
      </c>
      <c r="I120" s="62" t="str">
        <f ca="1">IFERROR(IF(INDEX('Outcome Indicators - Section C '!F$1:F$98,MATCH($A120,'Outcome Indicators - Section C '!$A$1:$A$98,0))&lt;&gt;0,INDEX('Outcome Indicators - Section C '!F$1:F$98,MATCH($A120,'Outcome Indicators - Section C '!$A$1:$A$98,0)),""),"")&amp;CHAR(10)&amp;IFERROR(IF(INDEX('Outcome Indicators - Section C '!G$1:G$98,MATCH($A120,'Outcome Indicators - Section C '!$A$1:$A$98,0))&lt;&gt;0,INDEX('Outcome Indicators - Section C '!G$1:G$98,MATCH($A120,'Outcome Indicators - Section C '!$A$1:$A$98,0)),""),"")</f>
        <v xml:space="preserve">
</v>
      </c>
      <c r="J120" s="660" t="str">
        <f ca="1">IFERROR(IF(INDEX('Outcome Indicators - Section C '!H$1:H$98,MATCH($A120,'Outcome Indicators - Section C '!$A$1:$A$98,0))&lt;&gt;0,INDEX('Outcome Indicators - Section C '!H$1:H$98,MATCH($A120,'Outcome Indicators - Section C '!$A$1:$A$98,0)),""),"")</f>
        <v/>
      </c>
      <c r="K120" s="661"/>
      <c r="L120" s="661"/>
      <c r="M120" s="662"/>
      <c r="N120" s="68" t="str">
        <f ca="1">IFERROR(IF(AND('Overview - Section A'!AN$5="Grant Making",OR(B120&lt;&gt;"",E120&lt;&gt;"")),Setup!I15,IF(INDEX('Outcome Indicators - Section C '!I$1:I$98,MATCH($A120,'Outcome Indicators - Section C '!$A$1:$A$98,0))&lt;&gt;0,INDEX('Outcome Indicators - Section C '!I$1:I$98,MATCH($A120,'Outcome Indicators - Section C '!$A$1:$A$98,0)),"")),"")</f>
        <v/>
      </c>
      <c r="O120" s="68" t="str">
        <f>IFERROR(IF(INDEX('Outcome Indicators - Section C '!J$9:J$36,MATCH($A120,'Outcome Indicators - Section C '!$A$9:$A$36,0))&lt;&gt;0,INDEX('Outcome Indicators - Section C '!J$9:J$36,MATCH($A120,'Outcome Indicators - Section C '!$A$9:$A$36,0)),""),"")</f>
        <v/>
      </c>
      <c r="P120" s="69" t="str">
        <f ca="1">IFERROR(IF(INDEX('Outcome Indicators - Section C '!K$1:K$98,MATCH($A120,'Outcome Indicators - Section C '!$A$1:$A$98,0))&lt;&gt;"",FIXED(INDEX('Outcome Indicators - Section C '!K$1:K$98,MATCH($A120,'Outcome Indicators - Section C '!$A$1:$A$98,0)),4),""),"")&amp;"/"&amp;IFERROR(IF(INDEX('Outcome Indicators - Section C '!K$1:K$98,MATCH($A120,'Outcome Indicators - Section C '!$A$1:$A$98,0)+1)&lt;&gt;"",FIXED(INDEX('Outcome Indicators - Section C '!K$1:K$98,MATCH($A120,'Outcome Indicators - Section C '!$A$1:$A$98,0)+1),2),""),"")&amp;CHAR(10)&amp;IFERROR(IF(INDEX('Outcome Indicators - Section C '!L$1:L$98,MATCH($A120,'Outcome Indicators - Section C '!$A$1:$A$98,0))&lt;&gt;"",FIXED(INDEX('Outcome Indicators - Section C '!L$1:L$98,MATCH($A120,'Outcome Indicators - Section C '!$A$1:$A$98,0))*100,2)&amp;"%",""),"")&amp;CHAR(10)&amp;IFERROR(IF(INDEX('Outcome Indicators - Section C '!N$1:N$98,MATCH($A120,'Outcome Indicators - Section C '!$A$1:$A$98,0))&lt;&gt;"",INDEX('Outcome Indicators - Section C '!N$1:N$98,MATCH($A120,'Outcome Indicators - Section C '!$A$1:$A$98,0)),""),"")&amp;CHAR(10)&amp;IFERROR(IF(INDEX('Outcome Indicators - Section C '!M$1:M$98,MATCH($A120,'Outcome Indicators - Section C '!$A$1:$A$98,0))&lt;&gt;"",TEXT(INDEX('Outcome Indicators - Section C '!M$1:M$98,MATCH($A120,'Outcome Indicators - Section C '!$A$1:$A$98,0)),Setup!$A$33),""),"")</f>
        <v xml:space="preserve">/
</v>
      </c>
      <c r="Q120" s="62" t="str">
        <f ca="1">IFERROR(IF(INDEX('Outcome Indicators - Section C '!O$1:O$36,MATCH($A120,'Outcome Indicators - Section C '!$A$1:$A$36,0))&lt;&gt;"",FIXED(INDEX('Outcome Indicators - Section C '!O$1:O$36,MATCH($A120,'Outcome Indicators - Section C '!$A$1:$A$36,0)),4),""),"")&amp;"/"&amp;IFERROR(IF(INDEX('Outcome Indicators - Section C '!O$1:O$36,MATCH($A120,'Outcome Indicators - Section C '!$A$1:$A$36,0)+1)&lt;&gt;"",FIXED(INDEX('Outcome Indicators - Section C '!O$1:O$36,MATCH($A120,'Outcome Indicators - Section C '!$A$1:$A$36,0)+1),2),""),"")&amp;CHAR(10)&amp;IFERROR(IF(INDEX('Outcome Indicators - Section C '!P$1:P$36,MATCH($A120,'Outcome Indicators - Section C '!$A$1:$A$36,0))&lt;&gt;"",FIXED(INDEX('Outcome Indicators - Section C '!P$1:P$36,MATCH($A120,'Outcome Indicators - Section C '!$A$1:$A$36,0))*100,2)&amp;"%",""),"")&amp;CHAR(10)&amp;IFERROR(IF(INDEX('Outcome Indicators - Section C '!R$1:R$36,MATCH($A120,'Outcome Indicators - Section C '!$A$1:$A$36,0))&lt;&gt;"",INDEX('Outcome Indicators - Section C '!R$1:R$36,MATCH($A120,'Outcome Indicators - Section C '!$A$1:$A$36,0)),""),"")&amp;CHAR(10)&amp;IFERROR(IF(INDEX('Outcome Indicators - Section C '!Q$1:Q$36,MATCH($A120,'Outcome Indicators - Section C '!$A$1:$A$36,0))&lt;&gt;"",TEXT(INDEX('Outcome Indicators - Section C '!Q$1:Q$36,MATCH($A120,'Outcome Indicators - Section C '!$A$1:$A$36,0)),Setup!$A$33),""),"")</f>
        <v xml:space="preserve">/
</v>
      </c>
      <c r="R120" s="62" t="str">
        <f ca="1">IFERROR(IF(INDEX('Outcome Indicators - Section C '!S$1:S$36,MATCH($A120,'Outcome Indicators - Section C '!$A$1:$A$36,0))&lt;&gt;"",FIXED(INDEX('Outcome Indicators - Section C '!S$1:S$36,MATCH($A120,'Outcome Indicators - Section C '!$A$1:$A$36,0)),4),""),"")&amp;"/"&amp;IFERROR(IF(INDEX('Outcome Indicators - Section C '!S$1:S$36,MATCH($A120,'Outcome Indicators - Section C '!$A$1:$A$36,0)+1)&lt;&gt;"",FIXED(INDEX('Outcome Indicators - Section C '!S$1:S$36,MATCH($A120,'Outcome Indicators - Section C '!$A$1:$A$36,0)+1),2),""),"")&amp;CHAR(10)&amp;IFERROR(IF(INDEX('Outcome Indicators - Section C '!T$1:T$36,MATCH($A120,'Outcome Indicators - Section C '!$A$1:$A$36,0))&lt;&gt;"",FIXED(INDEX('Outcome Indicators - Section C '!T$1:T$36,MATCH($A120,'Outcome Indicators - Section C '!$A$1:$A$36,0))*100,2)&amp;"%",""),"")&amp;CHAR(10)&amp;IFERROR(IF(INDEX('Outcome Indicators - Section C '!V$1:V$36,MATCH($A120,'Outcome Indicators - Section C '!$A$1:$A$36,0))&lt;&gt;"",INDEX('Outcome Indicators - Section C '!V$1:V$36,MATCH($A120,'Outcome Indicators - Section C '!$A$1:$A$36,0)),""),"")&amp;CHAR(10)&amp;IFERROR(IF(INDEX('Outcome Indicators - Section C '!U$1:U$36,MATCH($A120,'Outcome Indicators - Section C '!$A$1:$A$36,0))&lt;&gt;"",TEXT(INDEX('Outcome Indicators - Section C '!U$1:U$36,MATCH($A120,'Outcome Indicators - Section C '!$A$1:$A$36,0)),Setup!$A$33),""),"")</f>
        <v xml:space="preserve">/
</v>
      </c>
      <c r="S120" s="62" t="str">
        <f ca="1">IFERROR(IF(INDEX('Outcome Indicators - Section C '!W$9:W$36,MATCH($A120,'Outcome Indicators - Section C '!$A$9:$A$36,0))&lt;&gt;"",FIXED(INDEX('Outcome Indicators - Section C '!W$9:W$36,MATCH($A120,'Outcome Indicators - Section C '!$A$9:$A$36,0)),4),""),"")&amp;"/"&amp;IFERROR(IF(INDEX('Outcome Indicators - Section C '!W$9:W$36,MATCH($A120,'Outcome Indicators - Section C '!$A$9:$A$36,0)+1)&lt;&gt;"",FIXED(INDEX('Outcome Indicators - Section C '!W$9:W$36,MATCH($A120,'Outcome Indicators - Section C '!$A$9:$A$36,0)+1),2),""),"")&amp;CHAR(10)&amp;IFERROR(IF(INDEX('Outcome Indicators - Section C '!X$9:X$36,MATCH($A120,'Outcome Indicators - Section C '!$A$9:$A$36,0))&lt;&gt;"",FIXED(INDEX('Outcome Indicators - Section C '!X$9:X$36,MATCH($A120,'Outcome Indicators - Section C '!$A$9:$A$36,0))*100,2)&amp;"%",""),"")&amp;CHAR(10)&amp;IFERROR(IF(INDEX('Outcome Indicators - Section C '!Z$9:Z$36,MATCH($A120,'Outcome Indicators - Section C '!$A$9:$A$36,0))&lt;&gt;"",INDEX('Outcome Indicators - Section C '!Z$9:Z$36,MATCH($A120,'Outcome Indicators - Section C '!$A$9:$A$36,0)),""),"")&amp;CHAR(10)&amp;IFERROR(IF(INDEX('Outcome Indicators - Section C '!Y$9:Y$36,MATCH($A120,'Outcome Indicators - Section C '!$A$9:$A$36,0))&lt;&gt;"",TEXT(INDEX('Outcome Indicators - Section C '!Y$9:Y$36,MATCH($A120,'Outcome Indicators - Section C '!$A$9:$A$36,0)),Setup!$A$33),""),"")</f>
        <v xml:space="preserve">/
</v>
      </c>
      <c r="T120" s="73"/>
      <c r="U120" s="13"/>
      <c r="V120" s="13"/>
      <c r="W120" s="13"/>
      <c r="X120" s="13"/>
      <c r="Y120" s="13"/>
      <c r="Z120" s="13"/>
      <c r="AA120" s="13"/>
      <c r="AB120" s="13"/>
      <c r="AC120" s="13"/>
      <c r="AD120" s="13"/>
      <c r="AE120" s="13"/>
      <c r="AF120" s="13"/>
      <c r="AG120" s="13"/>
      <c r="AH120" s="13"/>
      <c r="AI120" s="13"/>
      <c r="AJ120" s="13"/>
      <c r="AK120" s="13"/>
      <c r="AL120" s="13"/>
      <c r="AM120" s="13"/>
      <c r="AN120" s="13"/>
      <c r="AO120" s="13"/>
      <c r="AQ120" s="13"/>
      <c r="AR120" s="13"/>
      <c r="AS120" s="13"/>
      <c r="AT120" s="13"/>
      <c r="AU120" s="576"/>
      <c r="AV120" s="576"/>
      <c r="AW120" s="576"/>
      <c r="AX120" s="576"/>
    </row>
    <row r="121" spans="1:55" ht="96" customHeight="1">
      <c r="A121" s="617">
        <v>11.6666666666666</v>
      </c>
      <c r="B121" s="630" t="str">
        <f ca="1">IFERROR(IF(INDEX('Outcome Indicators - Section C '!AA$1:AA$98,MATCH($A120,'Outcome Indicators - Section C '!$A$1:$A$98,0))&lt;&gt;0,INDEX('Outcome Indicators - Section C '!AA$1:AA$98,MATCH($A120,'Outcome Indicators - Section C '!$A$1:$A$98,0)),""),"")</f>
        <v/>
      </c>
      <c r="C121" s="631"/>
      <c r="D121" s="631"/>
      <c r="E121" s="631"/>
      <c r="F121" s="631"/>
      <c r="G121" s="631"/>
      <c r="H121" s="631"/>
      <c r="I121" s="632"/>
      <c r="J121" s="632"/>
      <c r="K121" s="632"/>
      <c r="L121" s="632"/>
      <c r="M121" s="632"/>
      <c r="N121" s="632"/>
      <c r="O121" s="632"/>
      <c r="P121" s="632"/>
      <c r="Q121" s="632"/>
      <c r="R121" s="632"/>
      <c r="S121" s="633"/>
      <c r="T121" s="53"/>
      <c r="U121" s="13"/>
      <c r="V121" s="13"/>
      <c r="W121" s="13"/>
      <c r="X121" s="13"/>
      <c r="Y121" s="13"/>
      <c r="Z121" s="13"/>
      <c r="AA121" s="13"/>
      <c r="AB121" s="13"/>
      <c r="AC121" s="13"/>
      <c r="AD121" s="13"/>
      <c r="AE121" s="13"/>
      <c r="AF121" s="13"/>
      <c r="AG121" s="13"/>
      <c r="AH121" s="13"/>
      <c r="AI121" s="13"/>
      <c r="AJ121" s="13"/>
      <c r="AK121" s="13"/>
      <c r="AL121" s="13"/>
      <c r="AM121" s="13"/>
      <c r="AN121" s="13"/>
      <c r="AO121" s="13"/>
      <c r="AQ121" s="13"/>
      <c r="AR121" s="13"/>
      <c r="AS121" s="13"/>
      <c r="AT121" s="13"/>
      <c r="AU121" s="576"/>
      <c r="AV121" s="576"/>
      <c r="AW121" s="576"/>
      <c r="AX121" s="576"/>
    </row>
    <row r="122" spans="1:55" s="13" customFormat="1" ht="172.35" customHeight="1">
      <c r="A122" s="614">
        <v>8</v>
      </c>
      <c r="B122" s="663" t="str">
        <f ca="1">IFERROR(IF(INDEX('Outcome Indicators - Section C '!B$1:B$98,MATCH($A122,'Outcome Indicators - Section C '!$A$1:$A$98,0))&lt;&gt;0,INDEX('Outcome Indicators - Section C '!B$1:B$98,MATCH($A122,'Outcome Indicators - Section C '!$A$1:$A$98,0)),""),"")</f>
        <v/>
      </c>
      <c r="C122" s="664"/>
      <c r="D122" s="665"/>
      <c r="E122" s="663" t="str">
        <f ca="1">IFERROR(IF(INDEX('Outcome Indicators - Section C '!C$1:C$98,MATCH($A122,'Outcome Indicators - Section C '!$A$1:$A$98,0))&lt;&gt;0,INDEX('Outcome Indicators - Section C '!C$1:C$98,MATCH($A122,'Outcome Indicators - Section C '!$A$1:$A$98,0)),""),"")</f>
        <v/>
      </c>
      <c r="F122" s="664"/>
      <c r="G122" s="665"/>
      <c r="H122" s="64" t="str">
        <f ca="1">IFERROR(IF(INDEX('Outcome Indicators - Section C '!D$1:D$98,MATCH($A122,'Outcome Indicators - Section C '!$A$1:$A$98,0))&lt;&gt;"",FIXED(INDEX('Outcome Indicators - Section C '!D$1:D$98,MATCH($A122,'Outcome Indicators - Section C '!$A$1:$A$98,0)),4),""),"")&amp;"/"&amp;IFERROR(IF(INDEX('Outcome Indicators - Section C '!D$1:D$98,MATCH($A122,'Outcome Indicators - Section C '!$A$1:$A$98,0)+1)&lt;&gt;"",FIXED(INDEX('Outcome Indicators - Section C '!D$1:D$98,MATCH($A122,'Outcome Indicators - Section C '!$A$1:$A$98,0)+1),2),""),"")&amp;CHAR(10)&amp;IFERROR(IF(INDEX('Outcome Indicators - Section C '!E$1:E$98,MATCH($A122,'Outcome Indicators - Section C '!$A$1:$A$98,0))&lt;&gt;"",FIXED(INDEX('Outcome Indicators - Section C '!E$1:E$98,MATCH($A122,'Outcome Indicators - Section C '!$A$1:$A$98,0))*100,2)&amp;"%",""),"")</f>
        <v xml:space="preserve">/
</v>
      </c>
      <c r="I122" s="64" t="str">
        <f ca="1">IFERROR(IF(INDEX('Outcome Indicators - Section C '!F$1:F$98,MATCH($A122,'Outcome Indicators - Section C '!$A$1:$A$98,0))&lt;&gt;0,INDEX('Outcome Indicators - Section C '!F$1:F$98,MATCH($A122,'Outcome Indicators - Section C '!$A$1:$A$98,0)),""),"")&amp;CHAR(10)&amp;IFERROR(IF(INDEX('Outcome Indicators - Section C '!G$1:G$98,MATCH($A122,'Outcome Indicators - Section C '!$A$1:$A$98,0))&lt;&gt;0,INDEX('Outcome Indicators - Section C '!G$1:G$98,MATCH($A122,'Outcome Indicators - Section C '!$A$1:$A$98,0)),""),"")</f>
        <v xml:space="preserve">
</v>
      </c>
      <c r="J122" s="663" t="str">
        <f ca="1">IFERROR(IF(INDEX('Outcome Indicators - Section C '!H$1:H$98,MATCH($A122,'Outcome Indicators - Section C '!$A$1:$A$98,0))&lt;&gt;0,INDEX('Outcome Indicators - Section C '!H$1:H$98,MATCH($A122,'Outcome Indicators - Section C '!$A$1:$A$98,0)),""),"")</f>
        <v/>
      </c>
      <c r="K122" s="664"/>
      <c r="L122" s="664"/>
      <c r="M122" s="665"/>
      <c r="N122" s="70" t="str">
        <f ca="1">IFERROR(IF(AND('Overview - Section A'!AN$5="Grant Making",OR(B122&lt;&gt;"",E122&lt;&gt;"")),Setup!I15,IF(INDEX('Outcome Indicators - Section C '!I$1:I$98,MATCH($A122,'Outcome Indicators - Section C '!$A$1:$A$98,0))&lt;&gt;0,INDEX('Outcome Indicators - Section C '!I$1:I$98,MATCH($A122,'Outcome Indicators - Section C '!$A$1:$A$98,0)),"")),"")</f>
        <v/>
      </c>
      <c r="O122" s="70" t="str">
        <f>IFERROR(IF(INDEX('Outcome Indicators - Section C '!J$9:J$36,MATCH($A122,'Outcome Indicators - Section C '!$A$9:$A$36,0))&lt;&gt;0,INDEX('Outcome Indicators - Section C '!J$9:J$36,MATCH($A122,'Outcome Indicators - Section C '!$A$9:$A$36,0)),""),"")</f>
        <v/>
      </c>
      <c r="P122" s="63" t="str">
        <f ca="1">IFERROR(IF(INDEX('Outcome Indicators - Section C '!K$1:K$98,MATCH($A122,'Outcome Indicators - Section C '!$A$1:$A$98,0))&lt;&gt;"",FIXED(INDEX('Outcome Indicators - Section C '!K$1:K$98,MATCH($A122,'Outcome Indicators - Section C '!$A$1:$A$98,0)),4),""),"")&amp;"/"&amp;IFERROR(IF(INDEX('Outcome Indicators - Section C '!K$1:K$98,MATCH($A122,'Outcome Indicators - Section C '!$A$1:$A$98,0)+1)&lt;&gt;"",FIXED(INDEX('Outcome Indicators - Section C '!K$1:K$98,MATCH($A122,'Outcome Indicators - Section C '!$A$1:$A$98,0)+1),2),""),"")&amp;CHAR(10)&amp;IFERROR(IF(INDEX('Outcome Indicators - Section C '!L$1:L$98,MATCH($A122,'Outcome Indicators - Section C '!$A$1:$A$98,0))&lt;&gt;"",FIXED(INDEX('Outcome Indicators - Section C '!L$1:L$98,MATCH($A122,'Outcome Indicators - Section C '!$A$1:$A$98,0))*100,2)&amp;"%",""),"")&amp;CHAR(10)&amp;IFERROR(IF(INDEX('Outcome Indicators - Section C '!N$1:N$98,MATCH($A122,'Outcome Indicators - Section C '!$A$1:$A$98,0))&lt;&gt;"",INDEX('Outcome Indicators - Section C '!N$1:N$98,MATCH($A122,'Outcome Indicators - Section C '!$A$1:$A$98,0)),""),"")&amp;CHAR(10)&amp;IFERROR(IF(INDEX('Outcome Indicators - Section C '!M$1:M$98,MATCH($A122,'Outcome Indicators - Section C '!$A$1:$A$98,0))&lt;&gt;"",TEXT(INDEX('Outcome Indicators - Section C '!M$1:M$98,MATCH($A122,'Outcome Indicators - Section C '!$A$1:$A$98,0)),Setup!$A$33),""),"")</f>
        <v xml:space="preserve">/
</v>
      </c>
      <c r="Q122" s="64" t="str">
        <f ca="1">IFERROR(IF(INDEX('Outcome Indicators - Section C '!O$1:O$36,MATCH($A122,'Outcome Indicators - Section C '!$A$1:$A$36,0))&lt;&gt;"",FIXED(INDEX('Outcome Indicators - Section C '!O$1:O$36,MATCH($A122,'Outcome Indicators - Section C '!$A$1:$A$36,0)),4),""),"")&amp;"/"&amp;IFERROR(IF(INDEX('Outcome Indicators - Section C '!O$1:O$36,MATCH($A122,'Outcome Indicators - Section C '!$A$1:$A$36,0)+1)&lt;&gt;"",FIXED(INDEX('Outcome Indicators - Section C '!O$1:O$36,MATCH($A122,'Outcome Indicators - Section C '!$A$1:$A$36,0)+1),2),""),"")&amp;CHAR(10)&amp;IFERROR(IF(INDEX('Outcome Indicators - Section C '!P$1:P$36,MATCH($A122,'Outcome Indicators - Section C '!$A$1:$A$36,0))&lt;&gt;"",FIXED(INDEX('Outcome Indicators - Section C '!P$1:P$36,MATCH($A122,'Outcome Indicators - Section C '!$A$1:$A$36,0))*100,2)&amp;"%",""),"")&amp;CHAR(10)&amp;IFERROR(IF(INDEX('Outcome Indicators - Section C '!R$1:R$36,MATCH($A122,'Outcome Indicators - Section C '!$A$1:$A$36,0))&lt;&gt;"",INDEX('Outcome Indicators - Section C '!R$1:R$36,MATCH($A122,'Outcome Indicators - Section C '!$A$1:$A$36,0)),""),"")&amp;CHAR(10)&amp;IFERROR(IF(INDEX('Outcome Indicators - Section C '!Q$1:Q$36,MATCH($A122,'Outcome Indicators - Section C '!$A$1:$A$36,0))&lt;&gt;"",TEXT(INDEX('Outcome Indicators - Section C '!Q$1:Q$36,MATCH($A122,'Outcome Indicators - Section C '!$A$1:$A$36,0)),Setup!$A$33),""),"")</f>
        <v xml:space="preserve">/
</v>
      </c>
      <c r="R122" s="64" t="str">
        <f ca="1">IFERROR(IF(INDEX('Outcome Indicators - Section C '!S$1:S$36,MATCH($A122,'Outcome Indicators - Section C '!$A$1:$A$36,0))&lt;&gt;"",FIXED(INDEX('Outcome Indicators - Section C '!S$1:S$36,MATCH($A122,'Outcome Indicators - Section C '!$A$1:$A$36,0)),4),""),"")&amp;"/"&amp;IFERROR(IF(INDEX('Outcome Indicators - Section C '!S$1:S$36,MATCH($A122,'Outcome Indicators - Section C '!$A$1:$A$36,0)+1)&lt;&gt;"",FIXED(INDEX('Outcome Indicators - Section C '!S$1:S$36,MATCH($A122,'Outcome Indicators - Section C '!$A$1:$A$36,0)+1),2),""),"")&amp;CHAR(10)&amp;IFERROR(IF(INDEX('Outcome Indicators - Section C '!T$1:T$36,MATCH($A122,'Outcome Indicators - Section C '!$A$1:$A$36,0))&lt;&gt;"",FIXED(INDEX('Outcome Indicators - Section C '!T$1:T$36,MATCH($A122,'Outcome Indicators - Section C '!$A$1:$A$36,0))*100,2)&amp;"%",""),"")&amp;CHAR(10)&amp;IFERROR(IF(INDEX('Outcome Indicators - Section C '!V$1:V$36,MATCH($A122,'Outcome Indicators - Section C '!$A$1:$A$36,0))&lt;&gt;"",INDEX('Outcome Indicators - Section C '!V$1:V$36,MATCH($A122,'Outcome Indicators - Section C '!$A$1:$A$36,0)),""),"")&amp;CHAR(10)&amp;IFERROR(IF(INDEX('Outcome Indicators - Section C '!U$1:U$36,MATCH($A122,'Outcome Indicators - Section C '!$A$1:$A$36,0))&lt;&gt;"",TEXT(INDEX('Outcome Indicators - Section C '!U$1:U$36,MATCH($A122,'Outcome Indicators - Section C '!$A$1:$A$36,0)),Setup!$A$33),""),"")</f>
        <v xml:space="preserve">/
</v>
      </c>
      <c r="S122" s="64" t="str">
        <f ca="1">IFERROR(IF(INDEX('Outcome Indicators - Section C '!W$9:W$36,MATCH($A122,'Outcome Indicators - Section C '!$A$9:$A$36,0))&lt;&gt;"",FIXED(INDEX('Outcome Indicators - Section C '!W$9:W$36,MATCH($A122,'Outcome Indicators - Section C '!$A$9:$A$36,0)),4),""),"")&amp;"/"&amp;IFERROR(IF(INDEX('Outcome Indicators - Section C '!W$9:W$36,MATCH($A122,'Outcome Indicators - Section C '!$A$9:$A$36,0)+1)&lt;&gt;"",FIXED(INDEX('Outcome Indicators - Section C '!W$9:W$36,MATCH($A122,'Outcome Indicators - Section C '!$A$9:$A$36,0)+1),2),""),"")&amp;CHAR(10)&amp;IFERROR(IF(INDEX('Outcome Indicators - Section C '!X$9:X$36,MATCH($A122,'Outcome Indicators - Section C '!$A$9:$A$36,0))&lt;&gt;"",FIXED(INDEX('Outcome Indicators - Section C '!X$9:X$36,MATCH($A122,'Outcome Indicators - Section C '!$A$9:$A$36,0))*100,2)&amp;"%",""),"")&amp;CHAR(10)&amp;IFERROR(IF(INDEX('Outcome Indicators - Section C '!Z$9:Z$36,MATCH($A122,'Outcome Indicators - Section C '!$A$9:$A$36,0))&lt;&gt;"",INDEX('Outcome Indicators - Section C '!Z$9:Z$36,MATCH($A122,'Outcome Indicators - Section C '!$A$9:$A$36,0)),""),"")&amp;CHAR(10)&amp;IFERROR(IF(INDEX('Outcome Indicators - Section C '!Y$9:Y$36,MATCH($A122,'Outcome Indicators - Section C '!$A$9:$A$36,0))&lt;&gt;"",TEXT(INDEX('Outcome Indicators - Section C '!Y$9:Y$36,MATCH($A122,'Outcome Indicators - Section C '!$A$9:$A$36,0)),Setup!$A$33),""),"")</f>
        <v xml:space="preserve">/
</v>
      </c>
      <c r="T122" s="51"/>
      <c r="AU122" s="575"/>
      <c r="AV122" s="575"/>
      <c r="AW122" s="575"/>
      <c r="AX122" s="575"/>
      <c r="AY122" s="54"/>
      <c r="AZ122" s="54"/>
      <c r="BA122" s="54"/>
      <c r="BB122" s="54"/>
      <c r="BC122" s="54"/>
    </row>
    <row r="123" spans="1:55" s="13" customFormat="1" ht="96" customHeight="1">
      <c r="A123" s="615"/>
      <c r="B123" s="666" t="str">
        <f ca="1">IFERROR(IF(INDEX('Outcome Indicators - Section C '!AA$1:AA$98,MATCH($A122,'Outcome Indicators - Section C '!$A$1:$A$98,0))&lt;&gt;0,INDEX('Outcome Indicators - Section C '!AA$1:AA$98,MATCH($A122,'Outcome Indicators - Section C '!$A$1:$A$98,0)),""),"")</f>
        <v/>
      </c>
      <c r="C123" s="667"/>
      <c r="D123" s="667"/>
      <c r="E123" s="667"/>
      <c r="F123" s="667"/>
      <c r="G123" s="667"/>
      <c r="H123" s="667"/>
      <c r="I123" s="667"/>
      <c r="J123" s="667"/>
      <c r="K123" s="667"/>
      <c r="L123" s="667"/>
      <c r="M123" s="667"/>
      <c r="N123" s="667"/>
      <c r="O123" s="667"/>
      <c r="P123" s="667"/>
      <c r="Q123" s="667"/>
      <c r="R123" s="667"/>
      <c r="S123" s="668"/>
      <c r="T123" s="52"/>
      <c r="AU123" s="575"/>
      <c r="AV123" s="575"/>
      <c r="AW123" s="575"/>
      <c r="AX123" s="575"/>
      <c r="AY123" s="54"/>
      <c r="AZ123" s="54"/>
      <c r="BA123" s="54"/>
      <c r="BB123" s="54"/>
      <c r="BC123" s="54"/>
    </row>
    <row r="124" spans="1:55" ht="172.35" customHeight="1">
      <c r="A124" s="616">
        <v>9</v>
      </c>
      <c r="B124" s="660" t="str">
        <f ca="1">IFERROR(IF(INDEX('Outcome Indicators - Section C '!B$1:B$98,MATCH($A124,'Outcome Indicators - Section C '!$A$1:$A$98,0))&lt;&gt;0,INDEX('Outcome Indicators - Section C '!B$1:B$98,MATCH($A124,'Outcome Indicators - Section C '!$A$1:$A$98,0)),""),"")</f>
        <v/>
      </c>
      <c r="C124" s="661"/>
      <c r="D124" s="662"/>
      <c r="E124" s="660" t="str">
        <f ca="1">IFERROR(IF(INDEX('Outcome Indicators - Section C '!C$1:C$98,MATCH($A124,'Outcome Indicators - Section C '!$A$1:$A$98,0))&lt;&gt;0,INDEX('Outcome Indicators - Section C '!C$1:C$98,MATCH($A124,'Outcome Indicators - Section C '!$A$1:$A$98,0)),""),"")</f>
        <v/>
      </c>
      <c r="F124" s="661"/>
      <c r="G124" s="662"/>
      <c r="H124" s="62" t="str">
        <f ca="1">IFERROR(IF(INDEX('Outcome Indicators - Section C '!D$1:D$98,MATCH($A124,'Outcome Indicators - Section C '!$A$1:$A$98,0))&lt;&gt;"",FIXED(INDEX('Outcome Indicators - Section C '!D$1:D$98,MATCH($A124,'Outcome Indicators - Section C '!$A$1:$A$98,0)),4),""),"")&amp;"/"&amp;IFERROR(IF(INDEX('Outcome Indicators - Section C '!D$1:D$98,MATCH($A124,'Outcome Indicators - Section C '!$A$1:$A$98,0)+1)&lt;&gt;"",FIXED(INDEX('Outcome Indicators - Section C '!D$1:D$98,MATCH($A124,'Outcome Indicators - Section C '!$A$1:$A$98,0)+1),2),""),"")&amp;CHAR(10)&amp;IFERROR(IF(INDEX('Outcome Indicators - Section C '!E$1:E$98,MATCH($A124,'Outcome Indicators - Section C '!$A$1:$A$98,0))&lt;&gt;"",FIXED(INDEX('Outcome Indicators - Section C '!E$1:E$98,MATCH($A124,'Outcome Indicators - Section C '!$A$1:$A$98,0))*100,2)&amp;"%",""),"")</f>
        <v xml:space="preserve">/
</v>
      </c>
      <c r="I124" s="62" t="str">
        <f ca="1">IFERROR(IF(INDEX('Outcome Indicators - Section C '!F$1:F$98,MATCH($A124,'Outcome Indicators - Section C '!$A$1:$A$98,0))&lt;&gt;0,INDEX('Outcome Indicators - Section C '!F$1:F$98,MATCH($A124,'Outcome Indicators - Section C '!$A$1:$A$98,0)),""),"")&amp;CHAR(10)&amp;IFERROR(IF(INDEX('Outcome Indicators - Section C '!G$1:G$98,MATCH($A124,'Outcome Indicators - Section C '!$A$1:$A$98,0))&lt;&gt;0,INDEX('Outcome Indicators - Section C '!G$1:G$98,MATCH($A124,'Outcome Indicators - Section C '!$A$1:$A$98,0)),""),"")</f>
        <v xml:space="preserve">
</v>
      </c>
      <c r="J124" s="660" t="str">
        <f ca="1">IFERROR(IF(INDEX('Outcome Indicators - Section C '!H$1:H$98,MATCH($A124,'Outcome Indicators - Section C '!$A$1:$A$98,0))&lt;&gt;0,INDEX('Outcome Indicators - Section C '!H$1:H$98,MATCH($A124,'Outcome Indicators - Section C '!$A$1:$A$98,0)),""),"")</f>
        <v/>
      </c>
      <c r="K124" s="661"/>
      <c r="L124" s="661"/>
      <c r="M124" s="662"/>
      <c r="N124" s="68" t="str">
        <f ca="1">IFERROR(IF(AND('Overview - Section A'!AN$5="Grant Making",OR(B124&lt;&gt;"",E124&lt;&gt;"")),Setup!I15,IF(INDEX('Outcome Indicators - Section C '!I$1:I$98,MATCH($A124,'Outcome Indicators - Section C '!$A$1:$A$98,0))&lt;&gt;0,INDEX('Outcome Indicators - Section C '!I$1:I$98,MATCH($A124,'Outcome Indicators - Section C '!$A$1:$A$98,0)),"")),"")</f>
        <v/>
      </c>
      <c r="O124" s="68" t="str">
        <f>IFERROR(IF(INDEX('Outcome Indicators - Section C '!J$9:J$36,MATCH($A124,'Outcome Indicators - Section C '!$A$9:$A$36,0))&lt;&gt;0,INDEX('Outcome Indicators - Section C '!J$9:J$36,MATCH($A124,'Outcome Indicators - Section C '!$A$9:$A$36,0)),""),"")</f>
        <v/>
      </c>
      <c r="P124" s="69" t="str">
        <f ca="1">IFERROR(IF(INDEX('Outcome Indicators - Section C '!K$1:K$98,MATCH($A124,'Outcome Indicators - Section C '!$A$1:$A$98,0))&lt;&gt;"",FIXED(INDEX('Outcome Indicators - Section C '!K$1:K$98,MATCH($A124,'Outcome Indicators - Section C '!$A$1:$A$98,0)),4),""),"")&amp;"/"&amp;IFERROR(IF(INDEX('Outcome Indicators - Section C '!K$1:K$98,MATCH($A124,'Outcome Indicators - Section C '!$A$1:$A$98,0)+1)&lt;&gt;"",FIXED(INDEX('Outcome Indicators - Section C '!K$1:K$98,MATCH($A124,'Outcome Indicators - Section C '!$A$1:$A$98,0)+1),2),""),"")&amp;CHAR(10)&amp;IFERROR(IF(INDEX('Outcome Indicators - Section C '!L$1:L$98,MATCH($A124,'Outcome Indicators - Section C '!$A$1:$A$98,0))&lt;&gt;"",FIXED(INDEX('Outcome Indicators - Section C '!L$1:L$98,MATCH($A124,'Outcome Indicators - Section C '!$A$1:$A$98,0))*100,2)&amp;"%",""),"")&amp;CHAR(10)&amp;IFERROR(IF(INDEX('Outcome Indicators - Section C '!N$1:N$98,MATCH($A124,'Outcome Indicators - Section C '!$A$1:$A$98,0))&lt;&gt;"",INDEX('Outcome Indicators - Section C '!N$1:N$98,MATCH($A124,'Outcome Indicators - Section C '!$A$1:$A$98,0)),""),"")&amp;CHAR(10)&amp;IFERROR(IF(INDEX('Outcome Indicators - Section C '!M$1:M$98,MATCH($A124,'Outcome Indicators - Section C '!$A$1:$A$98,0))&lt;&gt;"",TEXT(INDEX('Outcome Indicators - Section C '!M$1:M$98,MATCH($A124,'Outcome Indicators - Section C '!$A$1:$A$98,0)),Setup!$A$33),""),"")</f>
        <v xml:space="preserve">/
</v>
      </c>
      <c r="Q124" s="62" t="str">
        <f ca="1">IFERROR(IF(INDEX('Outcome Indicators - Section C '!O$1:O$36,MATCH($A124,'Outcome Indicators - Section C '!$A$1:$A$36,0))&lt;&gt;"",FIXED(INDEX('Outcome Indicators - Section C '!O$1:O$36,MATCH($A124,'Outcome Indicators - Section C '!$A$1:$A$36,0)),4),""),"")&amp;"/"&amp;IFERROR(IF(INDEX('Outcome Indicators - Section C '!O$1:O$36,MATCH($A124,'Outcome Indicators - Section C '!$A$1:$A$36,0)+1)&lt;&gt;"",FIXED(INDEX('Outcome Indicators - Section C '!O$1:O$36,MATCH($A124,'Outcome Indicators - Section C '!$A$1:$A$36,0)+1),2),""),"")&amp;CHAR(10)&amp;IFERROR(IF(INDEX('Outcome Indicators - Section C '!P$1:P$36,MATCH($A124,'Outcome Indicators - Section C '!$A$1:$A$36,0))&lt;&gt;"",FIXED(INDEX('Outcome Indicators - Section C '!P$1:P$36,MATCH($A124,'Outcome Indicators - Section C '!$A$1:$A$36,0))*100,2)&amp;"%",""),"")&amp;CHAR(10)&amp;IFERROR(IF(INDEX('Outcome Indicators - Section C '!R$1:R$36,MATCH($A124,'Outcome Indicators - Section C '!$A$1:$A$36,0))&lt;&gt;"",INDEX('Outcome Indicators - Section C '!R$1:R$36,MATCH($A124,'Outcome Indicators - Section C '!$A$1:$A$36,0)),""),"")&amp;CHAR(10)&amp;IFERROR(IF(INDEX('Outcome Indicators - Section C '!Q$1:Q$36,MATCH($A124,'Outcome Indicators - Section C '!$A$1:$A$36,0))&lt;&gt;"",TEXT(INDEX('Outcome Indicators - Section C '!Q$1:Q$36,MATCH($A124,'Outcome Indicators - Section C '!$A$1:$A$36,0)),Setup!$A$33),""),"")</f>
        <v xml:space="preserve">/
</v>
      </c>
      <c r="R124" s="62" t="str">
        <f ca="1">IFERROR(IF(INDEX('Outcome Indicators - Section C '!S$1:S$36,MATCH($A124,'Outcome Indicators - Section C '!$A$1:$A$36,0))&lt;&gt;"",FIXED(INDEX('Outcome Indicators - Section C '!S$1:S$36,MATCH($A124,'Outcome Indicators - Section C '!$A$1:$A$36,0)),4),""),"")&amp;"/"&amp;IFERROR(IF(INDEX('Outcome Indicators - Section C '!S$1:S$36,MATCH($A124,'Outcome Indicators - Section C '!$A$1:$A$36,0)+1)&lt;&gt;"",FIXED(INDEX('Outcome Indicators - Section C '!S$1:S$36,MATCH($A124,'Outcome Indicators - Section C '!$A$1:$A$36,0)+1),2),""),"")&amp;CHAR(10)&amp;IFERROR(IF(INDEX('Outcome Indicators - Section C '!T$1:T$36,MATCH($A124,'Outcome Indicators - Section C '!$A$1:$A$36,0))&lt;&gt;"",FIXED(INDEX('Outcome Indicators - Section C '!T$1:T$36,MATCH($A124,'Outcome Indicators - Section C '!$A$1:$A$36,0))*100,2)&amp;"%",""),"")&amp;CHAR(10)&amp;IFERROR(IF(INDEX('Outcome Indicators - Section C '!V$1:V$36,MATCH($A124,'Outcome Indicators - Section C '!$A$1:$A$36,0))&lt;&gt;"",INDEX('Outcome Indicators - Section C '!V$1:V$36,MATCH($A124,'Outcome Indicators - Section C '!$A$1:$A$36,0)),""),"")&amp;CHAR(10)&amp;IFERROR(IF(INDEX('Outcome Indicators - Section C '!U$1:U$36,MATCH($A124,'Outcome Indicators - Section C '!$A$1:$A$36,0))&lt;&gt;"",TEXT(INDEX('Outcome Indicators - Section C '!U$1:U$36,MATCH($A124,'Outcome Indicators - Section C '!$A$1:$A$36,0)),Setup!$A$33),""),"")</f>
        <v xml:space="preserve">/
</v>
      </c>
      <c r="S124" s="62" t="str">
        <f ca="1">IFERROR(IF(INDEX('Outcome Indicators - Section C '!W$9:W$36,MATCH($A124,'Outcome Indicators - Section C '!$A$9:$A$36,0))&lt;&gt;"",FIXED(INDEX('Outcome Indicators - Section C '!W$9:W$36,MATCH($A124,'Outcome Indicators - Section C '!$A$9:$A$36,0)),4),""),"")&amp;"/"&amp;IFERROR(IF(INDEX('Outcome Indicators - Section C '!W$9:W$36,MATCH($A124,'Outcome Indicators - Section C '!$A$9:$A$36,0)+1)&lt;&gt;"",FIXED(INDEX('Outcome Indicators - Section C '!W$9:W$36,MATCH($A124,'Outcome Indicators - Section C '!$A$9:$A$36,0)+1),2),""),"")&amp;CHAR(10)&amp;IFERROR(IF(INDEX('Outcome Indicators - Section C '!X$9:X$36,MATCH($A124,'Outcome Indicators - Section C '!$A$9:$A$36,0))&lt;&gt;"",FIXED(INDEX('Outcome Indicators - Section C '!X$9:X$36,MATCH($A124,'Outcome Indicators - Section C '!$A$9:$A$36,0))*100,2)&amp;"%",""),"")&amp;CHAR(10)&amp;IFERROR(IF(INDEX('Outcome Indicators - Section C '!Z$9:Z$36,MATCH($A124,'Outcome Indicators - Section C '!$A$9:$A$36,0))&lt;&gt;"",INDEX('Outcome Indicators - Section C '!Z$9:Z$36,MATCH($A124,'Outcome Indicators - Section C '!$A$9:$A$36,0)),""),"")&amp;CHAR(10)&amp;IFERROR(IF(INDEX('Outcome Indicators - Section C '!Y$9:Y$36,MATCH($A124,'Outcome Indicators - Section C '!$A$9:$A$36,0))&lt;&gt;"",TEXT(INDEX('Outcome Indicators - Section C '!Y$9:Y$36,MATCH($A124,'Outcome Indicators - Section C '!$A$9:$A$36,0)),Setup!$A$33),""),"")</f>
        <v xml:space="preserve">/
</v>
      </c>
      <c r="T124" s="73"/>
      <c r="U124" s="13"/>
      <c r="V124" s="13"/>
      <c r="W124" s="13"/>
      <c r="X124" s="13"/>
      <c r="Y124" s="13"/>
      <c r="Z124" s="13"/>
      <c r="AA124" s="13"/>
      <c r="AB124" s="13"/>
      <c r="AC124" s="13"/>
      <c r="AD124" s="13"/>
      <c r="AE124" s="13"/>
      <c r="AF124" s="13"/>
      <c r="AG124" s="13"/>
      <c r="AH124" s="13"/>
      <c r="AI124" s="13"/>
      <c r="AJ124" s="13"/>
      <c r="AK124" s="13"/>
      <c r="AL124" s="13"/>
      <c r="AM124" s="13"/>
      <c r="AN124" s="13"/>
      <c r="AO124" s="13"/>
      <c r="AQ124" s="13"/>
      <c r="AR124" s="13"/>
      <c r="AS124" s="13"/>
      <c r="AT124" s="13"/>
      <c r="AU124" s="576"/>
      <c r="AV124" s="576"/>
      <c r="AW124" s="576"/>
      <c r="AX124" s="576"/>
    </row>
    <row r="125" spans="1:55" ht="96" customHeight="1">
      <c r="A125" s="617"/>
      <c r="B125" s="630" t="str">
        <f ca="1">IFERROR(IF(INDEX('Outcome Indicators - Section C '!AA$1:AA$98,MATCH($A124,'Outcome Indicators - Section C '!$A$1:$A$98,0))&lt;&gt;0,INDEX('Outcome Indicators - Section C '!AA$1:AA$98,MATCH($A124,'Outcome Indicators - Section C '!$A$1:$A$98,0)),""),"")</f>
        <v/>
      </c>
      <c r="C125" s="631"/>
      <c r="D125" s="631"/>
      <c r="E125" s="631"/>
      <c r="F125" s="631"/>
      <c r="G125" s="631"/>
      <c r="H125" s="631"/>
      <c r="I125" s="632"/>
      <c r="J125" s="632"/>
      <c r="K125" s="632"/>
      <c r="L125" s="632"/>
      <c r="M125" s="632"/>
      <c r="N125" s="632"/>
      <c r="O125" s="632"/>
      <c r="P125" s="632"/>
      <c r="Q125" s="632"/>
      <c r="R125" s="632"/>
      <c r="S125" s="633"/>
      <c r="T125" s="53"/>
      <c r="U125" s="13"/>
      <c r="V125" s="13"/>
      <c r="W125" s="13"/>
      <c r="X125" s="13"/>
      <c r="Y125" s="13"/>
      <c r="Z125" s="13"/>
      <c r="AA125" s="13"/>
      <c r="AB125" s="13"/>
      <c r="AC125" s="13"/>
      <c r="AD125" s="13"/>
      <c r="AE125" s="13"/>
      <c r="AF125" s="13"/>
      <c r="AG125" s="13"/>
      <c r="AH125" s="13"/>
      <c r="AI125" s="13"/>
      <c r="AJ125" s="13"/>
      <c r="AK125" s="13"/>
      <c r="AL125" s="13"/>
      <c r="AM125" s="13"/>
      <c r="AN125" s="13"/>
      <c r="AO125" s="13"/>
      <c r="AQ125" s="13"/>
      <c r="AR125" s="13"/>
      <c r="AS125" s="13"/>
      <c r="AT125" s="13"/>
      <c r="AU125" s="576"/>
      <c r="AV125" s="576"/>
      <c r="AW125" s="576"/>
      <c r="AX125" s="576"/>
    </row>
    <row r="126" spans="1:55" s="13" customFormat="1" ht="172.35" customHeight="1">
      <c r="A126" s="614">
        <v>10</v>
      </c>
      <c r="B126" s="669" t="str">
        <f ca="1">IFERROR(IF(INDEX('Outcome Indicators - Section C '!B$1:B$98,MATCH($A126,'Outcome Indicators - Section C '!$A$1:$A$98,0))&lt;&gt;0,INDEX('Outcome Indicators - Section C '!B$1:B$98,MATCH($A126,'Outcome Indicators - Section C '!$A$1:$A$98,0)),""),"")</f>
        <v/>
      </c>
      <c r="C126" s="670"/>
      <c r="D126" s="671"/>
      <c r="E126" s="669" t="str">
        <f ca="1">IFERROR(IF(INDEX('Outcome Indicators - Section C '!C$1:C$98,MATCH($A126,'Outcome Indicators - Section C '!$A$1:$A$98,0))&lt;&gt;0,INDEX('Outcome Indicators - Section C '!C$1:C$98,MATCH($A126,'Outcome Indicators - Section C '!$A$1:$A$98,0)),""),"")</f>
        <v/>
      </c>
      <c r="F126" s="670"/>
      <c r="G126" s="671"/>
      <c r="H126" s="64" t="str">
        <f ca="1">IFERROR(IF(INDEX('Outcome Indicators - Section C '!D$1:D$98,MATCH($A126,'Outcome Indicators - Section C '!$A$1:$A$98,0))&lt;&gt;"",FIXED(INDEX('Outcome Indicators - Section C '!D$1:D$98,MATCH($A126,'Outcome Indicators - Section C '!$A$1:$A$98,0)),4),""),"")&amp;"/"&amp;IFERROR(IF(INDEX('Outcome Indicators - Section C '!D$1:D$98,MATCH($A126,'Outcome Indicators - Section C '!$A$1:$A$98,0)+1)&lt;&gt;"",FIXED(INDEX('Outcome Indicators - Section C '!D$1:D$98,MATCH($A126,'Outcome Indicators - Section C '!$A$1:$A$98,0)+1),2),""),"")&amp;CHAR(10)&amp;IFERROR(IF(INDEX('Outcome Indicators - Section C '!E$1:E$98,MATCH($A126,'Outcome Indicators - Section C '!$A$1:$A$98,0))&lt;&gt;"",FIXED(INDEX('Outcome Indicators - Section C '!E$1:E$98,MATCH($A126,'Outcome Indicators - Section C '!$A$1:$A$98,0))*100,2)&amp;"%",""),"")</f>
        <v xml:space="preserve">/
</v>
      </c>
      <c r="I126" s="64" t="str">
        <f ca="1">IFERROR(IF(INDEX('Outcome Indicators - Section C '!F$1:F$98,MATCH($A126,'Outcome Indicators - Section C '!$A$1:$A$98,0))&lt;&gt;0,INDEX('Outcome Indicators - Section C '!F$1:F$98,MATCH($A126,'Outcome Indicators - Section C '!$A$1:$A$98,0)),""),"")&amp;CHAR(10)&amp;IFERROR(IF(INDEX('Outcome Indicators - Section C '!G$1:G$98,MATCH($A126,'Outcome Indicators - Section C '!$A$1:$A$98,0))&lt;&gt;0,INDEX('Outcome Indicators - Section C '!G$1:G$98,MATCH($A126,'Outcome Indicators - Section C '!$A$1:$A$98,0)),""),"")</f>
        <v xml:space="preserve">
</v>
      </c>
      <c r="J126" s="663" t="str">
        <f ca="1">IFERROR(IF(INDEX('Outcome Indicators - Section C '!H$1:H$98,MATCH($A126,'Outcome Indicators - Section C '!$A$1:$A$98,0))&lt;&gt;0,INDEX('Outcome Indicators - Section C '!H$1:H$98,MATCH($A126,'Outcome Indicators - Section C '!$A$1:$A$98,0)),""),"")</f>
        <v/>
      </c>
      <c r="K126" s="664"/>
      <c r="L126" s="664"/>
      <c r="M126" s="665"/>
      <c r="N126" s="70" t="str">
        <f ca="1">IFERROR(IF(AND('Overview - Section A'!AN$5="Grant Making",OR(B126&lt;&gt;"",E126&lt;&gt;"")),Setup!I15,IF(INDEX('Outcome Indicators - Section C '!I$1:I$98,MATCH($A126,'Outcome Indicators - Section C '!$A$1:$A$98,0))&lt;&gt;0,INDEX('Outcome Indicators - Section C '!I$1:I$98,MATCH($A126,'Outcome Indicators - Section C '!$A$1:$A$98,0)),"")),"")</f>
        <v/>
      </c>
      <c r="O126" s="70" t="str">
        <f>IFERROR(IF(INDEX('Outcome Indicators - Section C '!J$9:J$36,MATCH($A126,'Outcome Indicators - Section C '!$A$9:$A$36,0))&lt;&gt;0,INDEX('Outcome Indicators - Section C '!J$9:J$36,MATCH($A126,'Outcome Indicators - Section C '!$A$9:$A$36,0)),""),"")</f>
        <v/>
      </c>
      <c r="P126" s="63" t="str">
        <f ca="1">IFERROR(IF(INDEX('Outcome Indicators - Section C '!K$1:K$98,MATCH($A126,'Outcome Indicators - Section C '!$A$1:$A$98,0))&lt;&gt;"",FIXED(INDEX('Outcome Indicators - Section C '!K$1:K$98,MATCH($A126,'Outcome Indicators - Section C '!$A$1:$A$98,0)),4),""),"")&amp;"/"&amp;IFERROR(IF(INDEX('Outcome Indicators - Section C '!K$1:K$98,MATCH($A126,'Outcome Indicators - Section C '!$A$1:$A$98,0)+1)&lt;&gt;"",FIXED(INDEX('Outcome Indicators - Section C '!K$1:K$98,MATCH($A126,'Outcome Indicators - Section C '!$A$1:$A$98,0)+1),2),""),"")&amp;CHAR(10)&amp;IFERROR(IF(INDEX('Outcome Indicators - Section C '!L$1:L$98,MATCH($A126,'Outcome Indicators - Section C '!$A$1:$A$98,0))&lt;&gt;"",FIXED(INDEX('Outcome Indicators - Section C '!L$1:L$98,MATCH($A126,'Outcome Indicators - Section C '!$A$1:$A$98,0))*100,2)&amp;"%",""),"")&amp;CHAR(10)&amp;IFERROR(IF(INDEX('Outcome Indicators - Section C '!N$1:N$98,MATCH($A126,'Outcome Indicators - Section C '!$A$1:$A$98,0))&lt;&gt;"",INDEX('Outcome Indicators - Section C '!N$1:N$98,MATCH($A126,'Outcome Indicators - Section C '!$A$1:$A$98,0)),""),"")&amp;CHAR(10)&amp;IFERROR(IF(INDEX('Outcome Indicators - Section C '!M$1:M$98,MATCH($A126,'Outcome Indicators - Section C '!$A$1:$A$98,0))&lt;&gt;"",TEXT(INDEX('Outcome Indicators - Section C '!M$1:M$98,MATCH($A126,'Outcome Indicators - Section C '!$A$1:$A$98,0)),Setup!$A$33),""),"")</f>
        <v xml:space="preserve">/
</v>
      </c>
      <c r="Q126" s="64" t="str">
        <f ca="1">IFERROR(IF(INDEX('Outcome Indicators - Section C '!O$1:O$36,MATCH($A126,'Outcome Indicators - Section C '!$A$1:$A$36,0))&lt;&gt;"",FIXED(INDEX('Outcome Indicators - Section C '!O$1:O$36,MATCH($A126,'Outcome Indicators - Section C '!$A$1:$A$36,0)),4),""),"")&amp;"/"&amp;IFERROR(IF(INDEX('Outcome Indicators - Section C '!O$1:O$36,MATCH($A126,'Outcome Indicators - Section C '!$A$1:$A$36,0)+1)&lt;&gt;"",FIXED(INDEX('Outcome Indicators - Section C '!O$1:O$36,MATCH($A126,'Outcome Indicators - Section C '!$A$1:$A$36,0)+1),2),""),"")&amp;CHAR(10)&amp;IFERROR(IF(INDEX('Outcome Indicators - Section C '!P$1:P$36,MATCH($A126,'Outcome Indicators - Section C '!$A$1:$A$36,0))&lt;&gt;"",FIXED(INDEX('Outcome Indicators - Section C '!P$1:P$36,MATCH($A126,'Outcome Indicators - Section C '!$A$1:$A$36,0))*100,2)&amp;"%",""),"")&amp;CHAR(10)&amp;IFERROR(IF(INDEX('Outcome Indicators - Section C '!R$1:R$36,MATCH($A126,'Outcome Indicators - Section C '!$A$1:$A$36,0))&lt;&gt;"",INDEX('Outcome Indicators - Section C '!R$1:R$36,MATCH($A126,'Outcome Indicators - Section C '!$A$1:$A$36,0)),""),"")&amp;CHAR(10)&amp;IFERROR(IF(INDEX('Outcome Indicators - Section C '!Q$1:Q$36,MATCH($A126,'Outcome Indicators - Section C '!$A$1:$A$36,0))&lt;&gt;"",TEXT(INDEX('Outcome Indicators - Section C '!Q$1:Q$36,MATCH($A126,'Outcome Indicators - Section C '!$A$1:$A$36,0)),Setup!$A$33),""),"")</f>
        <v xml:space="preserve">/
</v>
      </c>
      <c r="R126" s="64" t="str">
        <f ca="1">IFERROR(IF(INDEX('Outcome Indicators - Section C '!S$1:S$36,MATCH($A126,'Outcome Indicators - Section C '!$A$1:$A$36,0))&lt;&gt;"",FIXED(INDEX('Outcome Indicators - Section C '!S$1:S$36,MATCH($A126,'Outcome Indicators - Section C '!$A$1:$A$36,0)),4),""),"")&amp;"/"&amp;IFERROR(IF(INDEX('Outcome Indicators - Section C '!S$1:S$36,MATCH($A126,'Outcome Indicators - Section C '!$A$1:$A$36,0)+1)&lt;&gt;"",FIXED(INDEX('Outcome Indicators - Section C '!S$1:S$36,MATCH($A126,'Outcome Indicators - Section C '!$A$1:$A$36,0)+1),2),""),"")&amp;CHAR(10)&amp;IFERROR(IF(INDEX('Outcome Indicators - Section C '!T$1:T$36,MATCH($A126,'Outcome Indicators - Section C '!$A$1:$A$36,0))&lt;&gt;"",FIXED(INDEX('Outcome Indicators - Section C '!T$1:T$36,MATCH($A126,'Outcome Indicators - Section C '!$A$1:$A$36,0))*100,2)&amp;"%",""),"")&amp;CHAR(10)&amp;IFERROR(IF(INDEX('Outcome Indicators - Section C '!V$1:V$36,MATCH($A126,'Outcome Indicators - Section C '!$A$1:$A$36,0))&lt;&gt;"",INDEX('Outcome Indicators - Section C '!V$1:V$36,MATCH($A126,'Outcome Indicators - Section C '!$A$1:$A$36,0)),""),"")&amp;CHAR(10)&amp;IFERROR(IF(INDEX('Outcome Indicators - Section C '!U$1:U$36,MATCH($A126,'Outcome Indicators - Section C '!$A$1:$A$36,0))&lt;&gt;"",TEXT(INDEX('Outcome Indicators - Section C '!U$1:U$36,MATCH($A126,'Outcome Indicators - Section C '!$A$1:$A$36,0)),Setup!$A$33),""),"")</f>
        <v xml:space="preserve">/
</v>
      </c>
      <c r="S126" s="64" t="str">
        <f ca="1">IFERROR(IF(INDEX('Outcome Indicators - Section C '!W$9:W$36,MATCH($A126,'Outcome Indicators - Section C '!$A$9:$A$36,0))&lt;&gt;"",FIXED(INDEX('Outcome Indicators - Section C '!W$9:W$36,MATCH($A126,'Outcome Indicators - Section C '!$A$9:$A$36,0)),4),""),"")&amp;"/"&amp;IFERROR(IF(INDEX('Outcome Indicators - Section C '!W$9:W$36,MATCH($A126,'Outcome Indicators - Section C '!$A$9:$A$36,0)+1)&lt;&gt;"",FIXED(INDEX('Outcome Indicators - Section C '!W$9:W$36,MATCH($A126,'Outcome Indicators - Section C '!$A$9:$A$36,0)+1),2),""),"")&amp;CHAR(10)&amp;IFERROR(IF(INDEX('Outcome Indicators - Section C '!X$9:X$36,MATCH($A126,'Outcome Indicators - Section C '!$A$9:$A$36,0))&lt;&gt;"",FIXED(INDEX('Outcome Indicators - Section C '!X$9:X$36,MATCH($A126,'Outcome Indicators - Section C '!$A$9:$A$36,0))*100,2)&amp;"%",""),"")&amp;CHAR(10)&amp;IFERROR(IF(INDEX('Outcome Indicators - Section C '!Z$9:Z$36,MATCH($A126,'Outcome Indicators - Section C '!$A$9:$A$36,0))&lt;&gt;"",INDEX('Outcome Indicators - Section C '!Z$9:Z$36,MATCH($A126,'Outcome Indicators - Section C '!$A$9:$A$36,0)),""),"")&amp;CHAR(10)&amp;IFERROR(IF(INDEX('Outcome Indicators - Section C '!Y$9:Y$36,MATCH($A126,'Outcome Indicators - Section C '!$A$9:$A$36,0))&lt;&gt;"",TEXT(INDEX('Outcome Indicators - Section C '!Y$9:Y$36,MATCH($A126,'Outcome Indicators - Section C '!$A$9:$A$36,0)),Setup!$A$33),""),"")</f>
        <v xml:space="preserve">/
</v>
      </c>
      <c r="T126" s="51"/>
      <c r="AU126" s="575"/>
      <c r="AV126" s="575"/>
      <c r="AW126" s="575"/>
      <c r="AX126" s="575"/>
      <c r="AY126" s="54"/>
      <c r="AZ126" s="54"/>
      <c r="BA126" s="54"/>
      <c r="BB126" s="54"/>
      <c r="BC126" s="54"/>
    </row>
    <row r="127" spans="1:55" s="13" customFormat="1" ht="96" customHeight="1">
      <c r="A127" s="615"/>
      <c r="B127" s="666" t="str">
        <f ca="1">IFERROR(IF(INDEX('Outcome Indicators - Section C '!AA$1:AA$98,MATCH($A126,'Outcome Indicators - Section C '!$A$1:$A$98,0))&lt;&gt;0,INDEX('Outcome Indicators - Section C '!AA$1:AA$98,MATCH($A126,'Outcome Indicators - Section C '!$A$1:$A$98,0)),""),"")</f>
        <v/>
      </c>
      <c r="C127" s="667"/>
      <c r="D127" s="667"/>
      <c r="E127" s="667"/>
      <c r="F127" s="667"/>
      <c r="G127" s="667"/>
      <c r="H127" s="667"/>
      <c r="I127" s="667"/>
      <c r="J127" s="667"/>
      <c r="K127" s="667"/>
      <c r="L127" s="667"/>
      <c r="M127" s="667"/>
      <c r="N127" s="667"/>
      <c r="O127" s="667"/>
      <c r="P127" s="667"/>
      <c r="Q127" s="667"/>
      <c r="R127" s="667"/>
      <c r="S127" s="668"/>
      <c r="T127" s="52"/>
      <c r="AU127" s="575"/>
      <c r="AV127" s="575"/>
      <c r="AW127" s="575"/>
      <c r="AX127" s="575"/>
      <c r="AY127" s="54"/>
      <c r="AZ127" s="54"/>
      <c r="BA127" s="54"/>
      <c r="BB127" s="54"/>
      <c r="BC127" s="54"/>
    </row>
    <row r="128" spans="1:55" ht="172.35" customHeight="1">
      <c r="A128" s="616">
        <v>11</v>
      </c>
      <c r="B128" s="660" t="str">
        <f ca="1">IFERROR(IF(INDEX('Outcome Indicators - Section C '!B$1:B$98,MATCH($A128,'Outcome Indicators - Section C '!$A$1:$A$98,0))&lt;&gt;0,INDEX('Outcome Indicators - Section C '!B$1:B$98,MATCH($A128,'Outcome Indicators - Section C '!$A$1:$A$98,0)),""),"")</f>
        <v/>
      </c>
      <c r="C128" s="661"/>
      <c r="D128" s="662"/>
      <c r="E128" s="660" t="str">
        <f ca="1">IFERROR(IF(INDEX('Outcome Indicators - Section C '!C$1:C$98,MATCH($A128,'Outcome Indicators - Section C '!$A$1:$A$98,0))&lt;&gt;0,INDEX('Outcome Indicators - Section C '!C$1:C$98,MATCH($A128,'Outcome Indicators - Section C '!$A$1:$A$98,0)),""),"")</f>
        <v/>
      </c>
      <c r="F128" s="661"/>
      <c r="G128" s="662"/>
      <c r="H128" s="62" t="str">
        <f ca="1">IFERROR(IF(INDEX('Outcome Indicators - Section C '!D$1:D$98,MATCH($A128,'Outcome Indicators - Section C '!$A$1:$A$98,0))&lt;&gt;"",FIXED(INDEX('Outcome Indicators - Section C '!D$1:D$98,MATCH($A128,'Outcome Indicators - Section C '!$A$1:$A$98,0)),4),""),"")&amp;"/"&amp;IFERROR(IF(INDEX('Outcome Indicators - Section C '!D$1:D$98,MATCH($A128,'Outcome Indicators - Section C '!$A$1:$A$98,0)+1)&lt;&gt;"",FIXED(INDEX('Outcome Indicators - Section C '!D$1:D$98,MATCH($A128,'Outcome Indicators - Section C '!$A$1:$A$98,0)+1),2),""),"")&amp;CHAR(10)&amp;IFERROR(IF(INDEX('Outcome Indicators - Section C '!E$1:E$98,MATCH($A128,'Outcome Indicators - Section C '!$A$1:$A$98,0))&lt;&gt;"",FIXED(INDEX('Outcome Indicators - Section C '!E$1:E$98,MATCH($A128,'Outcome Indicators - Section C '!$A$1:$A$98,0))*100,2)&amp;"%",""),"")</f>
        <v xml:space="preserve">/
</v>
      </c>
      <c r="I128" s="62" t="str">
        <f ca="1">IFERROR(IF(INDEX('Outcome Indicators - Section C '!F$1:F$98,MATCH($A128,'Outcome Indicators - Section C '!$A$1:$A$98,0))&lt;&gt;0,INDEX('Outcome Indicators - Section C '!F$1:F$98,MATCH($A128,'Outcome Indicators - Section C '!$A$1:$A$98,0)),""),"")&amp;CHAR(10)&amp;IFERROR(IF(INDEX('Outcome Indicators - Section C '!G$1:G$98,MATCH($A128,'Outcome Indicators - Section C '!$A$1:$A$98,0))&lt;&gt;0,INDEX('Outcome Indicators - Section C '!G$1:G$98,MATCH($A128,'Outcome Indicators - Section C '!$A$1:$A$98,0)),""),"")</f>
        <v xml:space="preserve">
</v>
      </c>
      <c r="J128" s="660" t="str">
        <f ca="1">IFERROR(IF(INDEX('Outcome Indicators - Section C '!H$1:H$98,MATCH($A128,'Outcome Indicators - Section C '!$A$1:$A$98,0))&lt;&gt;0,INDEX('Outcome Indicators - Section C '!H$1:H$98,MATCH($A128,'Outcome Indicators - Section C '!$A$1:$A$98,0)),""),"")</f>
        <v/>
      </c>
      <c r="K128" s="661"/>
      <c r="L128" s="661"/>
      <c r="M128" s="662"/>
      <c r="N128" s="68" t="str">
        <f ca="1">IFERROR(IF(AND('Overview - Section A'!AN$5="Grant Making",OR(B128&lt;&gt;"",E128&lt;&gt;"")),Setup!I15,IF(INDEX('Outcome Indicators - Section C '!I$1:I$98,MATCH($A128,'Outcome Indicators - Section C '!$A$1:$A$98,0))&lt;&gt;0,INDEX('Outcome Indicators - Section C '!I$1:I$98,MATCH($A128,'Outcome Indicators - Section C '!$A$1:$A$98,0)),"")),"")</f>
        <v/>
      </c>
      <c r="O128" s="68" t="str">
        <f>IFERROR(IF(INDEX('Outcome Indicators - Section C '!J$9:J$36,MATCH($A128,'Outcome Indicators - Section C '!$A$9:$A$36,0))&lt;&gt;0,INDEX('Outcome Indicators - Section C '!J$9:J$36,MATCH($A128,'Outcome Indicators - Section C '!$A$9:$A$36,0)),""),"")</f>
        <v/>
      </c>
      <c r="P128" s="69" t="str">
        <f ca="1">IFERROR(IF(INDEX('Outcome Indicators - Section C '!K$1:K$98,MATCH($A128,'Outcome Indicators - Section C '!$A$1:$A$98,0))&lt;&gt;"",FIXED(INDEX('Outcome Indicators - Section C '!K$1:K$98,MATCH($A128,'Outcome Indicators - Section C '!$A$1:$A$98,0)),4),""),"")&amp;"/"&amp;IFERROR(IF(INDEX('Outcome Indicators - Section C '!K$1:K$98,MATCH($A128,'Outcome Indicators - Section C '!$A$1:$A$98,0)+1)&lt;&gt;"",FIXED(INDEX('Outcome Indicators - Section C '!K$1:K$98,MATCH($A128,'Outcome Indicators - Section C '!$A$1:$A$98,0)+1),2),""),"")&amp;CHAR(10)&amp;IFERROR(IF(INDEX('Outcome Indicators - Section C '!L$1:L$98,MATCH($A128,'Outcome Indicators - Section C '!$A$1:$A$98,0))&lt;&gt;"",FIXED(INDEX('Outcome Indicators - Section C '!L$1:L$98,MATCH($A128,'Outcome Indicators - Section C '!$A$1:$A$98,0))*100,2)&amp;"%",""),"")&amp;CHAR(10)&amp;IFERROR(IF(INDEX('Outcome Indicators - Section C '!N$1:N$98,MATCH($A128,'Outcome Indicators - Section C '!$A$1:$A$98,0))&lt;&gt;"",INDEX('Outcome Indicators - Section C '!N$1:N$98,MATCH($A128,'Outcome Indicators - Section C '!$A$1:$A$98,0)),""),"")&amp;CHAR(10)&amp;IFERROR(IF(INDEX('Outcome Indicators - Section C '!M$1:M$98,MATCH($A128,'Outcome Indicators - Section C '!$A$1:$A$98,0))&lt;&gt;"",TEXT(INDEX('Outcome Indicators - Section C '!M$1:M$98,MATCH($A128,'Outcome Indicators - Section C '!$A$1:$A$98,0)),Setup!$A$33),""),"")</f>
        <v xml:space="preserve">/
</v>
      </c>
      <c r="Q128" s="62" t="str">
        <f ca="1">IFERROR(IF(INDEX('Outcome Indicators - Section C '!O$1:O$36,MATCH($A128,'Outcome Indicators - Section C '!$A$1:$A$36,0))&lt;&gt;"",FIXED(INDEX('Outcome Indicators - Section C '!O$1:O$36,MATCH($A128,'Outcome Indicators - Section C '!$A$1:$A$36,0)),4),""),"")&amp;"/"&amp;IFERROR(IF(INDEX('Outcome Indicators - Section C '!O$1:O$36,MATCH($A128,'Outcome Indicators - Section C '!$A$1:$A$36,0)+1)&lt;&gt;"",FIXED(INDEX('Outcome Indicators - Section C '!O$1:O$36,MATCH($A128,'Outcome Indicators - Section C '!$A$1:$A$36,0)+1),2),""),"")&amp;CHAR(10)&amp;IFERROR(IF(INDEX('Outcome Indicators - Section C '!P$1:P$36,MATCH($A128,'Outcome Indicators - Section C '!$A$1:$A$36,0))&lt;&gt;"",FIXED(INDEX('Outcome Indicators - Section C '!P$1:P$36,MATCH($A128,'Outcome Indicators - Section C '!$A$1:$A$36,0))*100,2)&amp;"%",""),"")&amp;CHAR(10)&amp;IFERROR(IF(INDEX('Outcome Indicators - Section C '!R$1:R$36,MATCH($A128,'Outcome Indicators - Section C '!$A$1:$A$36,0))&lt;&gt;"",INDEX('Outcome Indicators - Section C '!R$1:R$36,MATCH($A128,'Outcome Indicators - Section C '!$A$1:$A$36,0)),""),"")&amp;CHAR(10)&amp;IFERROR(IF(INDEX('Outcome Indicators - Section C '!Q$1:Q$36,MATCH($A128,'Outcome Indicators - Section C '!$A$1:$A$36,0))&lt;&gt;"",TEXT(INDEX('Outcome Indicators - Section C '!Q$1:Q$36,MATCH($A128,'Outcome Indicators - Section C '!$A$1:$A$36,0)),Setup!$A$33),""),"")</f>
        <v xml:space="preserve">/
</v>
      </c>
      <c r="R128" s="62" t="str">
        <f ca="1">IFERROR(IF(INDEX('Outcome Indicators - Section C '!S$1:S$36,MATCH($A128,'Outcome Indicators - Section C '!$A$1:$A$36,0))&lt;&gt;"",FIXED(INDEX('Outcome Indicators - Section C '!S$1:S$36,MATCH($A128,'Outcome Indicators - Section C '!$A$1:$A$36,0)),4),""),"")&amp;"/"&amp;IFERROR(IF(INDEX('Outcome Indicators - Section C '!S$1:S$36,MATCH($A128,'Outcome Indicators - Section C '!$A$1:$A$36,0)+1)&lt;&gt;"",FIXED(INDEX('Outcome Indicators - Section C '!S$1:S$36,MATCH($A128,'Outcome Indicators - Section C '!$A$1:$A$36,0)+1),2),""),"")&amp;CHAR(10)&amp;IFERROR(IF(INDEX('Outcome Indicators - Section C '!T$1:T$36,MATCH($A128,'Outcome Indicators - Section C '!$A$1:$A$36,0))&lt;&gt;"",FIXED(INDEX('Outcome Indicators - Section C '!T$1:T$36,MATCH($A128,'Outcome Indicators - Section C '!$A$1:$A$36,0))*100,2)&amp;"%",""),"")&amp;CHAR(10)&amp;IFERROR(IF(INDEX('Outcome Indicators - Section C '!V$1:V$36,MATCH($A128,'Outcome Indicators - Section C '!$A$1:$A$36,0))&lt;&gt;"",INDEX('Outcome Indicators - Section C '!V$1:V$36,MATCH($A128,'Outcome Indicators - Section C '!$A$1:$A$36,0)),""),"")&amp;CHAR(10)&amp;IFERROR(IF(INDEX('Outcome Indicators - Section C '!U$1:U$36,MATCH($A128,'Outcome Indicators - Section C '!$A$1:$A$36,0))&lt;&gt;"",TEXT(INDEX('Outcome Indicators - Section C '!U$1:U$36,MATCH($A128,'Outcome Indicators - Section C '!$A$1:$A$36,0)),Setup!$A$33),""),"")</f>
        <v xml:space="preserve">/
</v>
      </c>
      <c r="S128" s="62" t="str">
        <f ca="1">IFERROR(IF(INDEX('Outcome Indicators - Section C '!W$9:W$36,MATCH($A128,'Outcome Indicators - Section C '!$A$9:$A$36,0))&lt;&gt;"",FIXED(INDEX('Outcome Indicators - Section C '!W$9:W$36,MATCH($A128,'Outcome Indicators - Section C '!$A$9:$A$36,0)),4),""),"")&amp;"/"&amp;IFERROR(IF(INDEX('Outcome Indicators - Section C '!W$9:W$36,MATCH($A128,'Outcome Indicators - Section C '!$A$9:$A$36,0)+1)&lt;&gt;"",FIXED(INDEX('Outcome Indicators - Section C '!W$9:W$36,MATCH($A128,'Outcome Indicators - Section C '!$A$9:$A$36,0)+1),2),""),"")&amp;CHAR(10)&amp;IFERROR(IF(INDEX('Outcome Indicators - Section C '!X$9:X$36,MATCH($A128,'Outcome Indicators - Section C '!$A$9:$A$36,0))&lt;&gt;"",FIXED(INDEX('Outcome Indicators - Section C '!X$9:X$36,MATCH($A128,'Outcome Indicators - Section C '!$A$9:$A$36,0))*100,2)&amp;"%",""),"")&amp;CHAR(10)&amp;IFERROR(IF(INDEX('Outcome Indicators - Section C '!Z$9:Z$36,MATCH($A128,'Outcome Indicators - Section C '!$A$9:$A$36,0))&lt;&gt;"",INDEX('Outcome Indicators - Section C '!Z$9:Z$36,MATCH($A128,'Outcome Indicators - Section C '!$A$9:$A$36,0)),""),"")&amp;CHAR(10)&amp;IFERROR(IF(INDEX('Outcome Indicators - Section C '!Y$9:Y$36,MATCH($A128,'Outcome Indicators - Section C '!$A$9:$A$36,0))&lt;&gt;"",TEXT(INDEX('Outcome Indicators - Section C '!Y$9:Y$36,MATCH($A128,'Outcome Indicators - Section C '!$A$9:$A$36,0)),Setup!$A$33),""),"")</f>
        <v xml:space="preserve">/
</v>
      </c>
      <c r="T128" s="73"/>
      <c r="U128" s="13"/>
      <c r="V128" s="13"/>
      <c r="W128" s="13"/>
      <c r="X128" s="13"/>
      <c r="Y128" s="13"/>
      <c r="Z128" s="13"/>
      <c r="AA128" s="13"/>
      <c r="AB128" s="13"/>
      <c r="AC128" s="13"/>
      <c r="AD128" s="13"/>
      <c r="AE128" s="13"/>
      <c r="AF128" s="13"/>
      <c r="AG128" s="13"/>
      <c r="AH128" s="13"/>
      <c r="AI128" s="13"/>
      <c r="AJ128" s="13"/>
      <c r="AK128" s="13"/>
      <c r="AL128" s="13"/>
      <c r="AM128" s="13"/>
      <c r="AN128" s="13"/>
      <c r="AO128" s="13"/>
      <c r="AQ128" s="13"/>
      <c r="AR128" s="13"/>
      <c r="AS128" s="13"/>
      <c r="AT128" s="13"/>
      <c r="AU128" s="576"/>
      <c r="AV128" s="576"/>
      <c r="AW128" s="576"/>
      <c r="AX128" s="576"/>
    </row>
    <row r="129" spans="1:55" ht="96" customHeight="1">
      <c r="A129" s="617"/>
      <c r="B129" s="630" t="str">
        <f ca="1">IFERROR(IF(INDEX('Outcome Indicators - Section C '!AA$1:AA$98,MATCH($A128,'Outcome Indicators - Section C '!$A$1:$A$98,0))&lt;&gt;0,INDEX('Outcome Indicators - Section C '!AA$1:AA$98,MATCH($A128,'Outcome Indicators - Section C '!$A$1:$A$98,0)),""),"")</f>
        <v/>
      </c>
      <c r="C129" s="631"/>
      <c r="D129" s="631"/>
      <c r="E129" s="631"/>
      <c r="F129" s="631"/>
      <c r="G129" s="631"/>
      <c r="H129" s="631"/>
      <c r="I129" s="632"/>
      <c r="J129" s="632"/>
      <c r="K129" s="632"/>
      <c r="L129" s="632"/>
      <c r="M129" s="632"/>
      <c r="N129" s="632"/>
      <c r="O129" s="632"/>
      <c r="P129" s="632"/>
      <c r="Q129" s="632"/>
      <c r="R129" s="632"/>
      <c r="S129" s="633"/>
      <c r="T129" s="53"/>
      <c r="U129" s="13"/>
      <c r="V129" s="13"/>
      <c r="W129" s="13"/>
      <c r="X129" s="13"/>
      <c r="Y129" s="13"/>
      <c r="Z129" s="13"/>
      <c r="AA129" s="13"/>
      <c r="AB129" s="13"/>
      <c r="AC129" s="13"/>
      <c r="AD129" s="13"/>
      <c r="AE129" s="13"/>
      <c r="AF129" s="13"/>
      <c r="AG129" s="13"/>
      <c r="AH129" s="13"/>
      <c r="AI129" s="13"/>
      <c r="AJ129" s="13"/>
      <c r="AK129" s="13"/>
      <c r="AL129" s="13"/>
      <c r="AM129" s="13"/>
      <c r="AN129" s="13"/>
      <c r="AO129" s="13"/>
      <c r="AQ129" s="13"/>
      <c r="AR129" s="13"/>
      <c r="AS129" s="13"/>
      <c r="AT129" s="13"/>
      <c r="AU129" s="576"/>
      <c r="AV129" s="576"/>
      <c r="AW129" s="576"/>
      <c r="AX129" s="576"/>
    </row>
    <row r="130" spans="1:55" s="13" customFormat="1" ht="172.35" customHeight="1">
      <c r="A130" s="614">
        <v>12</v>
      </c>
      <c r="B130" s="663" t="str">
        <f ca="1">IFERROR(IF(INDEX('Outcome Indicators - Section C '!B$1:B$98,MATCH($A130,'Outcome Indicators - Section C '!$A$1:$A$98,0))&lt;&gt;0,INDEX('Outcome Indicators - Section C '!B$1:B$98,MATCH($A130,'Outcome Indicators - Section C '!$A$1:$A$98,0)),""),"")</f>
        <v/>
      </c>
      <c r="C130" s="664"/>
      <c r="D130" s="665"/>
      <c r="E130" s="663" t="str">
        <f ca="1">IFERROR(IF(INDEX('Outcome Indicators - Section C '!C$1:C$98,MATCH($A130,'Outcome Indicators - Section C '!$A$1:$A$98,0))&lt;&gt;0,INDEX('Outcome Indicators - Section C '!C$1:C$98,MATCH($A130,'Outcome Indicators - Section C '!$A$1:$A$98,0)),""),"")</f>
        <v/>
      </c>
      <c r="F130" s="664"/>
      <c r="G130" s="665"/>
      <c r="H130" s="64" t="str">
        <f ca="1">IFERROR(IF(INDEX('Outcome Indicators - Section C '!D$1:D$98,MATCH($A130,'Outcome Indicators - Section C '!$A$1:$A$98,0))&lt;&gt;"",FIXED(INDEX('Outcome Indicators - Section C '!D$1:D$98,MATCH($A130,'Outcome Indicators - Section C '!$A$1:$A$98,0)),4),""),"")&amp;"/"&amp;IFERROR(IF(INDEX('Outcome Indicators - Section C '!D$1:D$98,MATCH($A130,'Outcome Indicators - Section C '!$A$1:$A$98,0)+1)&lt;&gt;"",FIXED(INDEX('Outcome Indicators - Section C '!D$1:D$98,MATCH($A130,'Outcome Indicators - Section C '!$A$1:$A$98,0)+1),2),""),"")&amp;CHAR(10)&amp;IFERROR(IF(INDEX('Outcome Indicators - Section C '!E$1:E$98,MATCH($A130,'Outcome Indicators - Section C '!$A$1:$A$98,0))&lt;&gt;"",FIXED(INDEX('Outcome Indicators - Section C '!E$1:E$98,MATCH($A130,'Outcome Indicators - Section C '!$A$1:$A$98,0))*100,2)&amp;"%",""),"")</f>
        <v xml:space="preserve">/
</v>
      </c>
      <c r="I130" s="64" t="str">
        <f ca="1">IFERROR(IF(INDEX('Outcome Indicators - Section C '!F$1:F$98,MATCH($A130,'Outcome Indicators - Section C '!$A$1:$A$98,0))&lt;&gt;0,INDEX('Outcome Indicators - Section C '!F$1:F$98,MATCH($A130,'Outcome Indicators - Section C '!$A$1:$A$98,0)),""),"")&amp;CHAR(10)&amp;IFERROR(IF(INDEX('Outcome Indicators - Section C '!G$1:G$98,MATCH($A130,'Outcome Indicators - Section C '!$A$1:$A$98,0))&lt;&gt;0,INDEX('Outcome Indicators - Section C '!G$1:G$98,MATCH($A130,'Outcome Indicators - Section C '!$A$1:$A$98,0)),""),"")</f>
        <v xml:space="preserve">
</v>
      </c>
      <c r="J130" s="663" t="str">
        <f ca="1">IFERROR(IF(INDEX('Outcome Indicators - Section C '!H$1:H$98,MATCH($A130,'Outcome Indicators - Section C '!$A$1:$A$98,0))&lt;&gt;0,INDEX('Outcome Indicators - Section C '!H$1:H$98,MATCH($A130,'Outcome Indicators - Section C '!$A$1:$A$98,0)),""),"")</f>
        <v/>
      </c>
      <c r="K130" s="664"/>
      <c r="L130" s="664"/>
      <c r="M130" s="665"/>
      <c r="N130" s="70" t="str">
        <f ca="1">IFERROR(IF(AND('Overview - Section A'!AN$5="Grant Making",OR(B130&lt;&gt;"",E130&lt;&gt;"")),Setup!I15,IF(INDEX('Outcome Indicators - Section C '!I$1:I$98,MATCH($A130,'Outcome Indicators - Section C '!$A$1:$A$98,0))&lt;&gt;0,INDEX('Outcome Indicators - Section C '!I$1:I$98,MATCH($A130,'Outcome Indicators - Section C '!$A$1:$A$98,0)),"")),"")</f>
        <v/>
      </c>
      <c r="O130" s="70" t="str">
        <f>IFERROR(IF(INDEX('Outcome Indicators - Section C '!J$9:J$36,MATCH($A130,'Outcome Indicators - Section C '!$A$9:$A$36,0))&lt;&gt;0,INDEX('Outcome Indicators - Section C '!J$9:J$36,MATCH($A130,'Outcome Indicators - Section C '!$A$9:$A$36,0)),""),"")</f>
        <v/>
      </c>
      <c r="P130" s="63" t="str">
        <f ca="1">IFERROR(IF(INDEX('Outcome Indicators - Section C '!K$1:K$98,MATCH($A130,'Outcome Indicators - Section C '!$A$1:$A$98,0))&lt;&gt;"",FIXED(INDEX('Outcome Indicators - Section C '!K$1:K$98,MATCH($A130,'Outcome Indicators - Section C '!$A$1:$A$98,0)),4),""),"")&amp;"/"&amp;IFERROR(IF(INDEX('Outcome Indicators - Section C '!K$1:K$98,MATCH($A130,'Outcome Indicators - Section C '!$A$1:$A$98,0)+1)&lt;&gt;"",FIXED(INDEX('Outcome Indicators - Section C '!K$1:K$98,MATCH($A130,'Outcome Indicators - Section C '!$A$1:$A$98,0)+1),2),""),"")&amp;CHAR(10)&amp;IFERROR(IF(INDEX('Outcome Indicators - Section C '!L$1:L$98,MATCH($A130,'Outcome Indicators - Section C '!$A$1:$A$98,0))&lt;&gt;"",FIXED(INDEX('Outcome Indicators - Section C '!L$1:L$98,MATCH($A130,'Outcome Indicators - Section C '!$A$1:$A$98,0))*100,2)&amp;"%",""),"")&amp;CHAR(10)&amp;IFERROR(IF(INDEX('Outcome Indicators - Section C '!N$1:N$98,MATCH($A130,'Outcome Indicators - Section C '!$A$1:$A$98,0))&lt;&gt;"",INDEX('Outcome Indicators - Section C '!N$1:N$98,MATCH($A130,'Outcome Indicators - Section C '!$A$1:$A$98,0)),""),"")&amp;CHAR(10)&amp;IFERROR(IF(INDEX('Outcome Indicators - Section C '!M$1:M$98,MATCH($A130,'Outcome Indicators - Section C '!$A$1:$A$98,0))&lt;&gt;"",TEXT(INDEX('Outcome Indicators - Section C '!M$1:M$98,MATCH($A130,'Outcome Indicators - Section C '!$A$1:$A$98,0)),Setup!$A$33),""),"")</f>
        <v xml:space="preserve">/
</v>
      </c>
      <c r="Q130" s="64" t="str">
        <f ca="1">IFERROR(IF(INDEX('Outcome Indicators - Section C '!O$1:O$36,MATCH($A130,'Outcome Indicators - Section C '!$A$1:$A$36,0))&lt;&gt;"",FIXED(INDEX('Outcome Indicators - Section C '!O$1:O$36,MATCH($A130,'Outcome Indicators - Section C '!$A$1:$A$36,0)),4),""),"")&amp;"/"&amp;IFERROR(IF(INDEX('Outcome Indicators - Section C '!O$1:O$36,MATCH($A130,'Outcome Indicators - Section C '!$A$1:$A$36,0)+1)&lt;&gt;"",FIXED(INDEX('Outcome Indicators - Section C '!O$1:O$36,MATCH($A130,'Outcome Indicators - Section C '!$A$1:$A$36,0)+1),2),""),"")&amp;CHAR(10)&amp;IFERROR(IF(INDEX('Outcome Indicators - Section C '!P$1:P$36,MATCH($A130,'Outcome Indicators - Section C '!$A$1:$A$36,0))&lt;&gt;"",FIXED(INDEX('Outcome Indicators - Section C '!P$1:P$36,MATCH($A130,'Outcome Indicators - Section C '!$A$1:$A$36,0))*100,2)&amp;"%",""),"")&amp;CHAR(10)&amp;IFERROR(IF(INDEX('Outcome Indicators - Section C '!R$1:R$36,MATCH($A130,'Outcome Indicators - Section C '!$A$1:$A$36,0))&lt;&gt;"",INDEX('Outcome Indicators - Section C '!R$1:R$36,MATCH($A130,'Outcome Indicators - Section C '!$A$1:$A$36,0)),""),"")&amp;CHAR(10)&amp;IFERROR(IF(INDEX('Outcome Indicators - Section C '!Q$1:Q$36,MATCH($A130,'Outcome Indicators - Section C '!$A$1:$A$36,0))&lt;&gt;"",TEXT(INDEX('Outcome Indicators - Section C '!Q$1:Q$36,MATCH($A130,'Outcome Indicators - Section C '!$A$1:$A$36,0)),Setup!$A$33),""),"")</f>
        <v xml:space="preserve">/
</v>
      </c>
      <c r="R130" s="64" t="str">
        <f ca="1">IFERROR(IF(INDEX('Outcome Indicators - Section C '!S$1:S$36,MATCH($A130,'Outcome Indicators - Section C '!$A$1:$A$36,0))&lt;&gt;"",FIXED(INDEX('Outcome Indicators - Section C '!S$1:S$36,MATCH($A130,'Outcome Indicators - Section C '!$A$1:$A$36,0)),4),""),"")&amp;"/"&amp;IFERROR(IF(INDEX('Outcome Indicators - Section C '!S$1:S$36,MATCH($A130,'Outcome Indicators - Section C '!$A$1:$A$36,0)+1)&lt;&gt;"",FIXED(INDEX('Outcome Indicators - Section C '!S$1:S$36,MATCH($A130,'Outcome Indicators - Section C '!$A$1:$A$36,0)+1),2),""),"")&amp;CHAR(10)&amp;IFERROR(IF(INDEX('Outcome Indicators - Section C '!T$1:T$36,MATCH($A130,'Outcome Indicators - Section C '!$A$1:$A$36,0))&lt;&gt;"",FIXED(INDEX('Outcome Indicators - Section C '!T$1:T$36,MATCH($A130,'Outcome Indicators - Section C '!$A$1:$A$36,0))*100,2)&amp;"%",""),"")&amp;CHAR(10)&amp;IFERROR(IF(INDEX('Outcome Indicators - Section C '!V$1:V$36,MATCH($A130,'Outcome Indicators - Section C '!$A$1:$A$36,0))&lt;&gt;"",INDEX('Outcome Indicators - Section C '!V$1:V$36,MATCH($A130,'Outcome Indicators - Section C '!$A$1:$A$36,0)),""),"")&amp;CHAR(10)&amp;IFERROR(IF(INDEX('Outcome Indicators - Section C '!U$1:U$36,MATCH($A130,'Outcome Indicators - Section C '!$A$1:$A$36,0))&lt;&gt;"",TEXT(INDEX('Outcome Indicators - Section C '!U$1:U$36,MATCH($A130,'Outcome Indicators - Section C '!$A$1:$A$36,0)),Setup!$A$33),""),"")</f>
        <v xml:space="preserve">/
</v>
      </c>
      <c r="S130" s="64" t="str">
        <f ca="1">IFERROR(IF(INDEX('Outcome Indicators - Section C '!W$9:W$36,MATCH($A130,'Outcome Indicators - Section C '!$A$9:$A$36,0))&lt;&gt;"",FIXED(INDEX('Outcome Indicators - Section C '!W$9:W$36,MATCH($A130,'Outcome Indicators - Section C '!$A$9:$A$36,0)),4),""),"")&amp;"/"&amp;IFERROR(IF(INDEX('Outcome Indicators - Section C '!W$9:W$36,MATCH($A130,'Outcome Indicators - Section C '!$A$9:$A$36,0)+1)&lt;&gt;"",FIXED(INDEX('Outcome Indicators - Section C '!W$9:W$36,MATCH($A130,'Outcome Indicators - Section C '!$A$9:$A$36,0)+1),2),""),"")&amp;CHAR(10)&amp;IFERROR(IF(INDEX('Outcome Indicators - Section C '!X$9:X$36,MATCH($A130,'Outcome Indicators - Section C '!$A$9:$A$36,0))&lt;&gt;"",FIXED(INDEX('Outcome Indicators - Section C '!X$9:X$36,MATCH($A130,'Outcome Indicators - Section C '!$A$9:$A$36,0))*100,2)&amp;"%",""),"")&amp;CHAR(10)&amp;IFERROR(IF(INDEX('Outcome Indicators - Section C '!Z$9:Z$36,MATCH($A130,'Outcome Indicators - Section C '!$A$9:$A$36,0))&lt;&gt;"",INDEX('Outcome Indicators - Section C '!Z$9:Z$36,MATCH($A130,'Outcome Indicators - Section C '!$A$9:$A$36,0)),""),"")&amp;CHAR(10)&amp;IFERROR(IF(INDEX('Outcome Indicators - Section C '!Y$9:Y$36,MATCH($A130,'Outcome Indicators - Section C '!$A$9:$A$36,0))&lt;&gt;"",TEXT(INDEX('Outcome Indicators - Section C '!Y$9:Y$36,MATCH($A130,'Outcome Indicators - Section C '!$A$9:$A$36,0)),Setup!$A$33),""),"")</f>
        <v xml:space="preserve">/
</v>
      </c>
      <c r="T130" s="51"/>
      <c r="AU130" s="575"/>
      <c r="AV130" s="575"/>
      <c r="AW130" s="575"/>
      <c r="AX130" s="575"/>
      <c r="AY130" s="54"/>
      <c r="AZ130" s="54"/>
      <c r="BA130" s="54"/>
      <c r="BB130" s="54"/>
      <c r="BC130" s="54"/>
    </row>
    <row r="131" spans="1:55" s="13" customFormat="1" ht="96" customHeight="1">
      <c r="A131" s="615"/>
      <c r="B131" s="666" t="str">
        <f ca="1">IFERROR(IF(INDEX('Outcome Indicators - Section C '!AA$1:AA$98,MATCH($A130,'Outcome Indicators - Section C '!$A$1:$A$98,0))&lt;&gt;0,INDEX('Outcome Indicators - Section C '!AA$1:AA$98,MATCH($A130,'Outcome Indicators - Section C '!$A$1:$A$98,0)),""),"")</f>
        <v/>
      </c>
      <c r="C131" s="667"/>
      <c r="D131" s="667"/>
      <c r="E131" s="667"/>
      <c r="F131" s="667"/>
      <c r="G131" s="667"/>
      <c r="H131" s="667"/>
      <c r="I131" s="667"/>
      <c r="J131" s="667"/>
      <c r="K131" s="667"/>
      <c r="L131" s="667"/>
      <c r="M131" s="667"/>
      <c r="N131" s="667"/>
      <c r="O131" s="667"/>
      <c r="P131" s="667"/>
      <c r="Q131" s="667"/>
      <c r="R131" s="667"/>
      <c r="S131" s="668"/>
      <c r="T131" s="52"/>
      <c r="AU131" s="575"/>
      <c r="AV131" s="575"/>
      <c r="AW131" s="575"/>
      <c r="AX131" s="575"/>
      <c r="AY131" s="54"/>
      <c r="AZ131" s="54"/>
      <c r="BA131" s="54"/>
      <c r="BB131" s="54"/>
      <c r="BC131" s="54"/>
    </row>
    <row r="132" spans="1:55" ht="172.35" customHeight="1">
      <c r="A132" s="616">
        <v>13</v>
      </c>
      <c r="B132" s="660" t="str">
        <f ca="1">IFERROR(IF(INDEX('Outcome Indicators - Section C '!B$1:B$98,MATCH($A132,'Outcome Indicators - Section C '!$A$1:$A$98,0))&lt;&gt;0,INDEX('Outcome Indicators - Section C '!B$1:B$98,MATCH($A132,'Outcome Indicators - Section C '!$A$1:$A$98,0)),""),"")</f>
        <v/>
      </c>
      <c r="C132" s="661"/>
      <c r="D132" s="662"/>
      <c r="E132" s="660" t="str">
        <f ca="1">IFERROR(IF(INDEX('Outcome Indicators - Section C '!C$1:C$98,MATCH($A132,'Outcome Indicators - Section C '!$A$1:$A$98,0))&lt;&gt;0,INDEX('Outcome Indicators - Section C '!C$1:C$98,MATCH($A132,'Outcome Indicators - Section C '!$A$1:$A$98,0)),""),"")</f>
        <v/>
      </c>
      <c r="F132" s="661"/>
      <c r="G132" s="662"/>
      <c r="H132" s="62" t="str">
        <f ca="1">IFERROR(IF(INDEX('Outcome Indicators - Section C '!D$1:D$98,MATCH($A132,'Outcome Indicators - Section C '!$A$1:$A$98,0))&lt;&gt;"",FIXED(INDEX('Outcome Indicators - Section C '!D$1:D$98,MATCH($A132,'Outcome Indicators - Section C '!$A$1:$A$98,0)),4),""),"")&amp;"/"&amp;IFERROR(IF(INDEX('Outcome Indicators - Section C '!D$1:D$98,MATCH($A132,'Outcome Indicators - Section C '!$A$1:$A$98,0)+1)&lt;&gt;"",FIXED(INDEX('Outcome Indicators - Section C '!D$1:D$98,MATCH($A132,'Outcome Indicators - Section C '!$A$1:$A$98,0)+1),2),""),"")&amp;CHAR(10)&amp;IFERROR(IF(INDEX('Outcome Indicators - Section C '!E$1:E$98,MATCH($A132,'Outcome Indicators - Section C '!$A$1:$A$98,0))&lt;&gt;"",FIXED(INDEX('Outcome Indicators - Section C '!E$1:E$98,MATCH($A132,'Outcome Indicators - Section C '!$A$1:$A$98,0))*100,2)&amp;"%",""),"")</f>
        <v xml:space="preserve">/
</v>
      </c>
      <c r="I132" s="62" t="str">
        <f ca="1">IFERROR(IF(INDEX('Outcome Indicators - Section C '!F$1:F$98,MATCH($A132,'Outcome Indicators - Section C '!$A$1:$A$98,0))&lt;&gt;0,INDEX('Outcome Indicators - Section C '!F$1:F$98,MATCH($A132,'Outcome Indicators - Section C '!$A$1:$A$98,0)),""),"")&amp;CHAR(10)&amp;IFERROR(IF(INDEX('Outcome Indicators - Section C '!G$1:G$98,MATCH($A132,'Outcome Indicators - Section C '!$A$1:$A$98,0))&lt;&gt;0,INDEX('Outcome Indicators - Section C '!G$1:G$98,MATCH($A132,'Outcome Indicators - Section C '!$A$1:$A$98,0)),""),"")</f>
        <v xml:space="preserve">
</v>
      </c>
      <c r="J132" s="660" t="str">
        <f ca="1">IFERROR(IF(INDEX('Outcome Indicators - Section C '!H$1:H$98,MATCH($A132,'Outcome Indicators - Section C '!$A$1:$A$98,0))&lt;&gt;0,INDEX('Outcome Indicators - Section C '!H$1:H$98,MATCH($A132,'Outcome Indicators - Section C '!$A$1:$A$98,0)),""),"")</f>
        <v/>
      </c>
      <c r="K132" s="661"/>
      <c r="L132" s="661"/>
      <c r="M132" s="662"/>
      <c r="N132" s="68" t="str">
        <f ca="1">IFERROR(IF(AND('Overview - Section A'!AN$5="Grant Making",OR(B132&lt;&gt;"",E132&lt;&gt;"")),Setup!I15,IF(INDEX('Outcome Indicators - Section C '!I$1:I$98,MATCH($A132,'Outcome Indicators - Section C '!$A$1:$A$98,0))&lt;&gt;0,INDEX('Outcome Indicators - Section C '!I$1:I$98,MATCH($A132,'Outcome Indicators - Section C '!$A$1:$A$98,0)),"")),"")</f>
        <v/>
      </c>
      <c r="O132" s="68" t="str">
        <f>IFERROR(IF(INDEX('Outcome Indicators - Section C '!J$9:J$36,MATCH($A132,'Outcome Indicators - Section C '!$A$9:$A$36,0))&lt;&gt;0,INDEX('Outcome Indicators - Section C '!J$9:J$36,MATCH($A132,'Outcome Indicators - Section C '!$A$9:$A$36,0)),""),"")</f>
        <v/>
      </c>
      <c r="P132" s="69" t="str">
        <f ca="1">IFERROR(IF(INDEX('Outcome Indicators - Section C '!K$1:K$98,MATCH($A132,'Outcome Indicators - Section C '!$A$1:$A$98,0))&lt;&gt;"",FIXED(INDEX('Outcome Indicators - Section C '!K$1:K$98,MATCH($A132,'Outcome Indicators - Section C '!$A$1:$A$98,0)),4),""),"")&amp;"/"&amp;IFERROR(IF(INDEX('Outcome Indicators - Section C '!K$1:K$98,MATCH($A132,'Outcome Indicators - Section C '!$A$1:$A$98,0)+1)&lt;&gt;"",FIXED(INDEX('Outcome Indicators - Section C '!K$1:K$98,MATCH($A132,'Outcome Indicators - Section C '!$A$1:$A$98,0)+1),2),""),"")&amp;CHAR(10)&amp;IFERROR(IF(INDEX('Outcome Indicators - Section C '!L$1:L$98,MATCH($A132,'Outcome Indicators - Section C '!$A$1:$A$98,0))&lt;&gt;"",FIXED(INDEX('Outcome Indicators - Section C '!L$1:L$98,MATCH($A132,'Outcome Indicators - Section C '!$A$1:$A$98,0))*100,2)&amp;"%",""),"")&amp;CHAR(10)&amp;IFERROR(IF(INDEX('Outcome Indicators - Section C '!N$1:N$98,MATCH($A132,'Outcome Indicators - Section C '!$A$1:$A$98,0))&lt;&gt;"",INDEX('Outcome Indicators - Section C '!N$1:N$98,MATCH($A132,'Outcome Indicators - Section C '!$A$1:$A$98,0)),""),"")&amp;CHAR(10)&amp;IFERROR(IF(INDEX('Outcome Indicators - Section C '!M$1:M$98,MATCH($A132,'Outcome Indicators - Section C '!$A$1:$A$98,0))&lt;&gt;"",TEXT(INDEX('Outcome Indicators - Section C '!M$1:M$98,MATCH($A132,'Outcome Indicators - Section C '!$A$1:$A$98,0)),Setup!$A$33),""),"")</f>
        <v xml:space="preserve">/
</v>
      </c>
      <c r="Q132" s="62" t="str">
        <f ca="1">IFERROR(IF(INDEX('Outcome Indicators - Section C '!O$1:O$36,MATCH($A132,'Outcome Indicators - Section C '!$A$1:$A$36,0))&lt;&gt;"",FIXED(INDEX('Outcome Indicators - Section C '!O$1:O$36,MATCH($A132,'Outcome Indicators - Section C '!$A$1:$A$36,0)),4),""),"")&amp;"/"&amp;IFERROR(IF(INDEX('Outcome Indicators - Section C '!O$1:O$36,MATCH($A132,'Outcome Indicators - Section C '!$A$1:$A$36,0)+1)&lt;&gt;"",FIXED(INDEX('Outcome Indicators - Section C '!O$1:O$36,MATCH($A132,'Outcome Indicators - Section C '!$A$1:$A$36,0)+1),2),""),"")&amp;CHAR(10)&amp;IFERROR(IF(INDEX('Outcome Indicators - Section C '!P$1:P$36,MATCH($A132,'Outcome Indicators - Section C '!$A$1:$A$36,0))&lt;&gt;"",FIXED(INDEX('Outcome Indicators - Section C '!P$1:P$36,MATCH($A132,'Outcome Indicators - Section C '!$A$1:$A$36,0))*100,2)&amp;"%",""),"")&amp;CHAR(10)&amp;IFERROR(IF(INDEX('Outcome Indicators - Section C '!R$1:R$36,MATCH($A132,'Outcome Indicators - Section C '!$A$1:$A$36,0))&lt;&gt;"",INDEX('Outcome Indicators - Section C '!R$1:R$36,MATCH($A132,'Outcome Indicators - Section C '!$A$1:$A$36,0)),""),"")&amp;CHAR(10)&amp;IFERROR(IF(INDEX('Outcome Indicators - Section C '!Q$1:Q$36,MATCH($A132,'Outcome Indicators - Section C '!$A$1:$A$36,0))&lt;&gt;"",TEXT(INDEX('Outcome Indicators - Section C '!Q$1:Q$36,MATCH($A132,'Outcome Indicators - Section C '!$A$1:$A$36,0)),Setup!$A$33),""),"")</f>
        <v xml:space="preserve">/
</v>
      </c>
      <c r="R132" s="62" t="str">
        <f ca="1">IFERROR(IF(INDEX('Outcome Indicators - Section C '!S$1:S$36,MATCH($A132,'Outcome Indicators - Section C '!$A$1:$A$36,0))&lt;&gt;"",FIXED(INDEX('Outcome Indicators - Section C '!S$1:S$36,MATCH($A132,'Outcome Indicators - Section C '!$A$1:$A$36,0)),4),""),"")&amp;"/"&amp;IFERROR(IF(INDEX('Outcome Indicators - Section C '!S$1:S$36,MATCH($A132,'Outcome Indicators - Section C '!$A$1:$A$36,0)+1)&lt;&gt;"",FIXED(INDEX('Outcome Indicators - Section C '!S$1:S$36,MATCH($A132,'Outcome Indicators - Section C '!$A$1:$A$36,0)+1),2),""),"")&amp;CHAR(10)&amp;IFERROR(IF(INDEX('Outcome Indicators - Section C '!T$1:T$36,MATCH($A132,'Outcome Indicators - Section C '!$A$1:$A$36,0))&lt;&gt;"",FIXED(INDEX('Outcome Indicators - Section C '!T$1:T$36,MATCH($A132,'Outcome Indicators - Section C '!$A$1:$A$36,0))*100,2)&amp;"%",""),"")&amp;CHAR(10)&amp;IFERROR(IF(INDEX('Outcome Indicators - Section C '!V$1:V$36,MATCH($A132,'Outcome Indicators - Section C '!$A$1:$A$36,0))&lt;&gt;"",INDEX('Outcome Indicators - Section C '!V$1:V$36,MATCH($A132,'Outcome Indicators - Section C '!$A$1:$A$36,0)),""),"")&amp;CHAR(10)&amp;IFERROR(IF(INDEX('Outcome Indicators - Section C '!U$1:U$36,MATCH($A132,'Outcome Indicators - Section C '!$A$1:$A$36,0))&lt;&gt;"",TEXT(INDEX('Outcome Indicators - Section C '!U$1:U$36,MATCH($A132,'Outcome Indicators - Section C '!$A$1:$A$36,0)),Setup!$A$33),""),"")</f>
        <v xml:space="preserve">/
</v>
      </c>
      <c r="S132" s="62" t="str">
        <f ca="1">IFERROR(IF(INDEX('Outcome Indicators - Section C '!W$9:W$36,MATCH($A132,'Outcome Indicators - Section C '!$A$9:$A$36,0))&lt;&gt;"",FIXED(INDEX('Outcome Indicators - Section C '!W$9:W$36,MATCH($A132,'Outcome Indicators - Section C '!$A$9:$A$36,0)),4),""),"")&amp;"/"&amp;IFERROR(IF(INDEX('Outcome Indicators - Section C '!W$9:W$36,MATCH($A132,'Outcome Indicators - Section C '!$A$9:$A$36,0)+1)&lt;&gt;"",FIXED(INDEX('Outcome Indicators - Section C '!W$9:W$36,MATCH($A132,'Outcome Indicators - Section C '!$A$9:$A$36,0)+1),2),""),"")&amp;CHAR(10)&amp;IFERROR(IF(INDEX('Outcome Indicators - Section C '!X$9:X$36,MATCH($A132,'Outcome Indicators - Section C '!$A$9:$A$36,0))&lt;&gt;"",FIXED(INDEX('Outcome Indicators - Section C '!X$9:X$36,MATCH($A132,'Outcome Indicators - Section C '!$A$9:$A$36,0))*100,2)&amp;"%",""),"")&amp;CHAR(10)&amp;IFERROR(IF(INDEX('Outcome Indicators - Section C '!Z$9:Z$36,MATCH($A132,'Outcome Indicators - Section C '!$A$9:$A$36,0))&lt;&gt;"",INDEX('Outcome Indicators - Section C '!Z$9:Z$36,MATCH($A132,'Outcome Indicators - Section C '!$A$9:$A$36,0)),""),"")&amp;CHAR(10)&amp;IFERROR(IF(INDEX('Outcome Indicators - Section C '!Y$9:Y$36,MATCH($A132,'Outcome Indicators - Section C '!$A$9:$A$36,0))&lt;&gt;"",TEXT(INDEX('Outcome Indicators - Section C '!Y$9:Y$36,MATCH($A132,'Outcome Indicators - Section C '!$A$9:$A$36,0)),Setup!$A$33),""),"")</f>
        <v xml:space="preserve">/
</v>
      </c>
      <c r="T132" s="73"/>
      <c r="U132" s="13"/>
      <c r="V132" s="13"/>
      <c r="W132" s="13"/>
      <c r="X132" s="13"/>
      <c r="Y132" s="13"/>
      <c r="Z132" s="13"/>
      <c r="AA132" s="13"/>
      <c r="AB132" s="13"/>
      <c r="AC132" s="13"/>
      <c r="AD132" s="13"/>
      <c r="AE132" s="13"/>
      <c r="AF132" s="13"/>
      <c r="AG132" s="13"/>
      <c r="AH132" s="13"/>
      <c r="AI132" s="13"/>
      <c r="AJ132" s="13"/>
      <c r="AK132" s="13"/>
      <c r="AL132" s="13"/>
      <c r="AM132" s="13"/>
      <c r="AN132" s="13"/>
      <c r="AO132" s="13"/>
      <c r="AQ132" s="13"/>
      <c r="AR132" s="13"/>
      <c r="AS132" s="13"/>
      <c r="AT132" s="13"/>
      <c r="AU132" s="576"/>
      <c r="AV132" s="576"/>
      <c r="AW132" s="576"/>
      <c r="AX132" s="576"/>
    </row>
    <row r="133" spans="1:55" ht="96" customHeight="1">
      <c r="A133" s="617"/>
      <c r="B133" s="630" t="str">
        <f ca="1">IFERROR(IF(INDEX('Outcome Indicators - Section C '!AA$1:AA$98,MATCH($A132,'Outcome Indicators - Section C '!$A$1:$A$98,0))&lt;&gt;0,INDEX('Outcome Indicators - Section C '!AA$1:AA$98,MATCH($A132,'Outcome Indicators - Section C '!$A$1:$A$98,0)),""),"")</f>
        <v/>
      </c>
      <c r="C133" s="631"/>
      <c r="D133" s="631"/>
      <c r="E133" s="631"/>
      <c r="F133" s="631"/>
      <c r="G133" s="631"/>
      <c r="H133" s="631"/>
      <c r="I133" s="632"/>
      <c r="J133" s="632"/>
      <c r="K133" s="632"/>
      <c r="L133" s="632"/>
      <c r="M133" s="632"/>
      <c r="N133" s="632"/>
      <c r="O133" s="632"/>
      <c r="P133" s="632"/>
      <c r="Q133" s="632"/>
      <c r="R133" s="632"/>
      <c r="S133" s="633"/>
      <c r="T133" s="53"/>
      <c r="U133" s="13"/>
      <c r="V133" s="13"/>
      <c r="W133" s="13"/>
      <c r="X133" s="13"/>
      <c r="Y133" s="13"/>
      <c r="Z133" s="13"/>
      <c r="AA133" s="13"/>
      <c r="AB133" s="13"/>
      <c r="AC133" s="13"/>
      <c r="AD133" s="13"/>
      <c r="AE133" s="13"/>
      <c r="AF133" s="13"/>
      <c r="AG133" s="13"/>
      <c r="AH133" s="13"/>
      <c r="AI133" s="13"/>
      <c r="AJ133" s="13"/>
      <c r="AK133" s="13"/>
      <c r="AL133" s="13"/>
      <c r="AM133" s="13"/>
      <c r="AN133" s="13"/>
      <c r="AO133" s="13"/>
      <c r="AQ133" s="13"/>
      <c r="AR133" s="13"/>
      <c r="AS133" s="13"/>
      <c r="AT133" s="13"/>
      <c r="AU133" s="576"/>
      <c r="AV133" s="576"/>
      <c r="AW133" s="576"/>
      <c r="AX133" s="576"/>
    </row>
    <row r="134" spans="1:55" s="13" customFormat="1" ht="172.35" customHeight="1">
      <c r="A134" s="614">
        <v>14</v>
      </c>
      <c r="B134" s="663" t="str">
        <f ca="1">IFERROR(IF(INDEX('Outcome Indicators - Section C '!B$1:B$98,MATCH($A134,'Outcome Indicators - Section C '!$A$1:$A$98,0))&lt;&gt;0,INDEX('Outcome Indicators - Section C '!B$1:B$98,MATCH($A134,'Outcome Indicators - Section C '!$A$1:$A$98,0)),""),"")</f>
        <v/>
      </c>
      <c r="C134" s="664"/>
      <c r="D134" s="665"/>
      <c r="E134" s="663" t="str">
        <f ca="1">IFERROR(IF(INDEX('Outcome Indicators - Section C '!C$1:C$98,MATCH($A134,'Outcome Indicators - Section C '!$A$1:$A$98,0))&lt;&gt;0,INDEX('Outcome Indicators - Section C '!C$1:C$98,MATCH($A134,'Outcome Indicators - Section C '!$A$1:$A$98,0)),""),"")</f>
        <v/>
      </c>
      <c r="F134" s="664"/>
      <c r="G134" s="665"/>
      <c r="H134" s="64" t="str">
        <f ca="1">IFERROR(IF(INDEX('Outcome Indicators - Section C '!D$1:D$98,MATCH($A134,'Outcome Indicators - Section C '!$A$1:$A$98,0))&lt;&gt;"",FIXED(INDEX('Outcome Indicators - Section C '!D$1:D$98,MATCH($A134,'Outcome Indicators - Section C '!$A$1:$A$98,0)),4),""),"")&amp;"/"&amp;IFERROR(IF(INDEX('Outcome Indicators - Section C '!D$1:D$98,MATCH($A134,'Outcome Indicators - Section C '!$A$1:$A$98,0)+1)&lt;&gt;"",FIXED(INDEX('Outcome Indicators - Section C '!D$1:D$98,MATCH($A134,'Outcome Indicators - Section C '!$A$1:$A$98,0)+1),2),""),"")&amp;CHAR(10)&amp;IFERROR(IF(INDEX('Outcome Indicators - Section C '!E$1:E$98,MATCH($A134,'Outcome Indicators - Section C '!$A$1:$A$98,0))&lt;&gt;"",FIXED(INDEX('Outcome Indicators - Section C '!E$1:E$98,MATCH($A134,'Outcome Indicators - Section C '!$A$1:$A$98,0))*100,2)&amp;"%",""),"")</f>
        <v xml:space="preserve">/
</v>
      </c>
      <c r="I134" s="64" t="str">
        <f ca="1">IFERROR(IF(INDEX('Outcome Indicators - Section C '!F$1:F$98,MATCH($A134,'Outcome Indicators - Section C '!$A$1:$A$98,0))&lt;&gt;0,INDEX('Outcome Indicators - Section C '!F$1:F$98,MATCH($A134,'Outcome Indicators - Section C '!$A$1:$A$98,0)),""),"")&amp;CHAR(10)&amp;IFERROR(IF(INDEX('Outcome Indicators - Section C '!G$1:G$98,MATCH($A134,'Outcome Indicators - Section C '!$A$1:$A$98,0))&lt;&gt;0,INDEX('Outcome Indicators - Section C '!G$1:G$98,MATCH($A134,'Outcome Indicators - Section C '!$A$1:$A$98,0)),""),"")</f>
        <v xml:space="preserve">
</v>
      </c>
      <c r="J134" s="663" t="str">
        <f ca="1">IFERROR(IF(INDEX('Outcome Indicators - Section C '!H$1:H$98,MATCH($A134,'Outcome Indicators - Section C '!$A$1:$A$98,0))&lt;&gt;0,INDEX('Outcome Indicators - Section C '!H$1:H$98,MATCH($A134,'Outcome Indicators - Section C '!$A$1:$A$98,0)),""),"")</f>
        <v/>
      </c>
      <c r="K134" s="664"/>
      <c r="L134" s="664"/>
      <c r="M134" s="665"/>
      <c r="N134" s="70" t="str">
        <f ca="1">IFERROR(IF(AND('Overview - Section A'!AN$5="Grant Making",OR(B134&lt;&gt;"",E134&lt;&gt;"")),Setup!I15,IF(INDEX('Outcome Indicators - Section C '!I$1:I$98,MATCH($A134,'Outcome Indicators - Section C '!$A$1:$A$98,0))&lt;&gt;0,INDEX('Outcome Indicators - Section C '!I$1:I$98,MATCH($A134,'Outcome Indicators - Section C '!$A$1:$A$98,0)),"")),"")</f>
        <v/>
      </c>
      <c r="O134" s="70" t="str">
        <f>IFERROR(IF(INDEX('Outcome Indicators - Section C '!J$9:J$36,MATCH($A134,'Outcome Indicators - Section C '!$A$9:$A$36,0))&lt;&gt;0,INDEX('Outcome Indicators - Section C '!J$9:J$36,MATCH($A134,'Outcome Indicators - Section C '!$A$9:$A$36,0)),""),"")</f>
        <v/>
      </c>
      <c r="P134" s="63" t="str">
        <f ca="1">IFERROR(IF(INDEX('Outcome Indicators - Section C '!K$1:K$98,MATCH($A134,'Outcome Indicators - Section C '!$A$1:$A$98,0))&lt;&gt;"",FIXED(INDEX('Outcome Indicators - Section C '!K$1:K$98,MATCH($A134,'Outcome Indicators - Section C '!$A$1:$A$98,0)),4),""),"")&amp;"/"&amp;IFERROR(IF(INDEX('Outcome Indicators - Section C '!K$1:K$98,MATCH($A134,'Outcome Indicators - Section C '!$A$1:$A$98,0)+1)&lt;&gt;"",FIXED(INDEX('Outcome Indicators - Section C '!K$1:K$98,MATCH($A134,'Outcome Indicators - Section C '!$A$1:$A$98,0)+1),2),""),"")&amp;CHAR(10)&amp;IFERROR(IF(INDEX('Outcome Indicators - Section C '!L$1:L$98,MATCH($A134,'Outcome Indicators - Section C '!$A$1:$A$98,0))&lt;&gt;"",FIXED(INDEX('Outcome Indicators - Section C '!L$1:L$98,MATCH($A134,'Outcome Indicators - Section C '!$A$1:$A$98,0))*100,2)&amp;"%",""),"")&amp;CHAR(10)&amp;IFERROR(IF(INDEX('Outcome Indicators - Section C '!N$1:N$98,MATCH($A134,'Outcome Indicators - Section C '!$A$1:$A$98,0))&lt;&gt;"",INDEX('Outcome Indicators - Section C '!N$1:N$98,MATCH($A134,'Outcome Indicators - Section C '!$A$1:$A$98,0)),""),"")&amp;CHAR(10)&amp;IFERROR(IF(INDEX('Outcome Indicators - Section C '!M$1:M$98,MATCH($A134,'Outcome Indicators - Section C '!$A$1:$A$98,0))&lt;&gt;"",TEXT(INDEX('Outcome Indicators - Section C '!M$1:M$98,MATCH($A134,'Outcome Indicators - Section C '!$A$1:$A$98,0)),Setup!$A$33),""),"")</f>
        <v xml:space="preserve">/
</v>
      </c>
      <c r="Q134" s="64" t="str">
        <f ca="1">IFERROR(IF(INDEX('Outcome Indicators - Section C '!O$1:O$36,MATCH($A134,'Outcome Indicators - Section C '!$A$1:$A$36,0))&lt;&gt;"",FIXED(INDEX('Outcome Indicators - Section C '!O$1:O$36,MATCH($A134,'Outcome Indicators - Section C '!$A$1:$A$36,0)),4),""),"")&amp;"/"&amp;IFERROR(IF(INDEX('Outcome Indicators - Section C '!O$1:O$36,MATCH($A134,'Outcome Indicators - Section C '!$A$1:$A$36,0)+1)&lt;&gt;"",FIXED(INDEX('Outcome Indicators - Section C '!O$1:O$36,MATCH($A134,'Outcome Indicators - Section C '!$A$1:$A$36,0)+1),2),""),"")&amp;CHAR(10)&amp;IFERROR(IF(INDEX('Outcome Indicators - Section C '!P$1:P$36,MATCH($A134,'Outcome Indicators - Section C '!$A$1:$A$36,0))&lt;&gt;"",FIXED(INDEX('Outcome Indicators - Section C '!P$1:P$36,MATCH($A134,'Outcome Indicators - Section C '!$A$1:$A$36,0))*100,2)&amp;"%",""),"")&amp;CHAR(10)&amp;IFERROR(IF(INDEX('Outcome Indicators - Section C '!R$1:R$36,MATCH($A134,'Outcome Indicators - Section C '!$A$1:$A$36,0))&lt;&gt;"",INDEX('Outcome Indicators - Section C '!R$1:R$36,MATCH($A134,'Outcome Indicators - Section C '!$A$1:$A$36,0)),""),"")&amp;CHAR(10)&amp;IFERROR(IF(INDEX('Outcome Indicators - Section C '!Q$1:Q$36,MATCH($A134,'Outcome Indicators - Section C '!$A$1:$A$36,0))&lt;&gt;"",TEXT(INDEX('Outcome Indicators - Section C '!Q$1:Q$36,MATCH($A134,'Outcome Indicators - Section C '!$A$1:$A$36,0)),Setup!$A$33),""),"")</f>
        <v xml:space="preserve">/
</v>
      </c>
      <c r="R134" s="64" t="str">
        <f ca="1">IFERROR(IF(INDEX('Outcome Indicators - Section C '!S$1:S$36,MATCH($A134,'Outcome Indicators - Section C '!$A$1:$A$36,0))&lt;&gt;"",FIXED(INDEX('Outcome Indicators - Section C '!S$1:S$36,MATCH($A134,'Outcome Indicators - Section C '!$A$1:$A$36,0)),4),""),"")&amp;"/"&amp;IFERROR(IF(INDEX('Outcome Indicators - Section C '!S$1:S$36,MATCH($A134,'Outcome Indicators - Section C '!$A$1:$A$36,0)+1)&lt;&gt;"",FIXED(INDEX('Outcome Indicators - Section C '!S$1:S$36,MATCH($A134,'Outcome Indicators - Section C '!$A$1:$A$36,0)+1),2),""),"")&amp;CHAR(10)&amp;IFERROR(IF(INDEX('Outcome Indicators - Section C '!T$1:T$36,MATCH($A134,'Outcome Indicators - Section C '!$A$1:$A$36,0))&lt;&gt;"",FIXED(INDEX('Outcome Indicators - Section C '!T$1:T$36,MATCH($A134,'Outcome Indicators - Section C '!$A$1:$A$36,0))*100,2)&amp;"%",""),"")&amp;CHAR(10)&amp;IFERROR(IF(INDEX('Outcome Indicators - Section C '!V$1:V$36,MATCH($A134,'Outcome Indicators - Section C '!$A$1:$A$36,0))&lt;&gt;"",INDEX('Outcome Indicators - Section C '!V$1:V$36,MATCH($A134,'Outcome Indicators - Section C '!$A$1:$A$36,0)),""),"")&amp;CHAR(10)&amp;IFERROR(IF(INDEX('Outcome Indicators - Section C '!U$1:U$36,MATCH($A134,'Outcome Indicators - Section C '!$A$1:$A$36,0))&lt;&gt;"",TEXT(INDEX('Outcome Indicators - Section C '!U$1:U$36,MATCH($A134,'Outcome Indicators - Section C '!$A$1:$A$36,0)),Setup!$A$33),""),"")</f>
        <v xml:space="preserve">/
</v>
      </c>
      <c r="S134" s="64" t="str">
        <f ca="1">IFERROR(IF(INDEX('Outcome Indicators - Section C '!W$9:W$36,MATCH($A134,'Outcome Indicators - Section C '!$A$9:$A$36,0))&lt;&gt;"",FIXED(INDEX('Outcome Indicators - Section C '!W$9:W$36,MATCH($A134,'Outcome Indicators - Section C '!$A$9:$A$36,0)),4),""),"")&amp;"/"&amp;IFERROR(IF(INDEX('Outcome Indicators - Section C '!W$9:W$36,MATCH($A134,'Outcome Indicators - Section C '!$A$9:$A$36,0)+1)&lt;&gt;"",FIXED(INDEX('Outcome Indicators - Section C '!W$9:W$36,MATCH($A134,'Outcome Indicators - Section C '!$A$9:$A$36,0)+1),2),""),"")&amp;CHAR(10)&amp;IFERROR(IF(INDEX('Outcome Indicators - Section C '!X$9:X$36,MATCH($A134,'Outcome Indicators - Section C '!$A$9:$A$36,0))&lt;&gt;"",FIXED(INDEX('Outcome Indicators - Section C '!X$9:X$36,MATCH($A134,'Outcome Indicators - Section C '!$A$9:$A$36,0))*100,2)&amp;"%",""),"")&amp;CHAR(10)&amp;IFERROR(IF(INDEX('Outcome Indicators - Section C '!Z$9:Z$36,MATCH($A134,'Outcome Indicators - Section C '!$A$9:$A$36,0))&lt;&gt;"",INDEX('Outcome Indicators - Section C '!Z$9:Z$36,MATCH($A134,'Outcome Indicators - Section C '!$A$9:$A$36,0)),""),"")&amp;CHAR(10)&amp;IFERROR(IF(INDEX('Outcome Indicators - Section C '!Y$9:Y$36,MATCH($A134,'Outcome Indicators - Section C '!$A$9:$A$36,0))&lt;&gt;"",TEXT(INDEX('Outcome Indicators - Section C '!Y$9:Y$36,MATCH($A134,'Outcome Indicators - Section C '!$A$9:$A$36,0)),Setup!$A$33),""),"")</f>
        <v xml:space="preserve">/
</v>
      </c>
      <c r="T134" s="51"/>
      <c r="AU134" s="575"/>
      <c r="AV134" s="575"/>
      <c r="AW134" s="575"/>
      <c r="AX134" s="575"/>
      <c r="AY134" s="54"/>
      <c r="AZ134" s="54"/>
      <c r="BA134" s="54"/>
      <c r="BB134" s="54"/>
      <c r="BC134" s="54"/>
    </row>
    <row r="135" spans="1:55" s="13" customFormat="1" ht="96" customHeight="1">
      <c r="A135" s="615"/>
      <c r="B135" s="666" t="str">
        <f ca="1">IFERROR(IF(INDEX('Outcome Indicators - Section C '!AA$1:AA$98,MATCH($A134,'Outcome Indicators - Section C '!$A$1:$A$98,0))&lt;&gt;0,INDEX('Outcome Indicators - Section C '!AA$1:AA$98,MATCH($A134,'Outcome Indicators - Section C '!$A$1:$A$98,0)),""),"")</f>
        <v/>
      </c>
      <c r="C135" s="667"/>
      <c r="D135" s="667"/>
      <c r="E135" s="667"/>
      <c r="F135" s="667"/>
      <c r="G135" s="667"/>
      <c r="H135" s="667"/>
      <c r="I135" s="667"/>
      <c r="J135" s="667"/>
      <c r="K135" s="667"/>
      <c r="L135" s="667"/>
      <c r="M135" s="667"/>
      <c r="N135" s="667"/>
      <c r="O135" s="667"/>
      <c r="P135" s="667"/>
      <c r="Q135" s="667"/>
      <c r="R135" s="667"/>
      <c r="S135" s="668"/>
      <c r="T135" s="52"/>
      <c r="AU135" s="575"/>
      <c r="AV135" s="575"/>
      <c r="AW135" s="575"/>
      <c r="AX135" s="575"/>
      <c r="AY135" s="54"/>
      <c r="AZ135" s="54"/>
      <c r="BA135" s="54"/>
      <c r="BB135" s="54"/>
      <c r="BC135" s="54"/>
    </row>
    <row r="136" spans="1:55" ht="172.35" customHeight="1">
      <c r="A136" s="616">
        <v>15</v>
      </c>
      <c r="B136" s="660" t="str">
        <f ca="1">IFERROR(IF(INDEX('Outcome Indicators - Section C '!B$1:B$98,MATCH($A136,'Outcome Indicators - Section C '!$A$1:$A$98,0))&lt;&gt;0,INDEX('Outcome Indicators - Section C '!B$1:B$98,MATCH($A136,'Outcome Indicators - Section C '!$A$1:$A$98,0)),""),"")</f>
        <v/>
      </c>
      <c r="C136" s="661"/>
      <c r="D136" s="662"/>
      <c r="E136" s="660" t="str">
        <f ca="1">IFERROR(IF(INDEX('Outcome Indicators - Section C '!C$1:C$98,MATCH($A136,'Outcome Indicators - Section C '!$A$1:$A$98,0))&lt;&gt;0,INDEX('Outcome Indicators - Section C '!C$1:C$98,MATCH($A136,'Outcome Indicators - Section C '!$A$1:$A$98,0)),""),"")</f>
        <v/>
      </c>
      <c r="F136" s="661"/>
      <c r="G136" s="662"/>
      <c r="H136" s="62" t="str">
        <f ca="1">IFERROR(IF(INDEX('Outcome Indicators - Section C '!D$1:D$98,MATCH($A136,'Outcome Indicators - Section C '!$A$1:$A$98,0))&lt;&gt;"",FIXED(INDEX('Outcome Indicators - Section C '!D$1:D$98,MATCH($A136,'Outcome Indicators - Section C '!$A$1:$A$98,0)),4),""),"")&amp;"/"&amp;IFERROR(IF(INDEX('Outcome Indicators - Section C '!D$1:D$98,MATCH($A136,'Outcome Indicators - Section C '!$A$1:$A$98,0)+1)&lt;&gt;"",FIXED(INDEX('Outcome Indicators - Section C '!D$1:D$98,MATCH($A136,'Outcome Indicators - Section C '!$A$1:$A$98,0)+1),2),""),"")&amp;CHAR(10)&amp;IFERROR(IF(INDEX('Outcome Indicators - Section C '!E$1:E$98,MATCH($A136,'Outcome Indicators - Section C '!$A$1:$A$98,0))&lt;&gt;"",FIXED(INDEX('Outcome Indicators - Section C '!E$1:E$98,MATCH($A136,'Outcome Indicators - Section C '!$A$1:$A$98,0))*100,2)&amp;"%",""),"")</f>
        <v xml:space="preserve">/
</v>
      </c>
      <c r="I136" s="62" t="str">
        <f ca="1">IFERROR(IF(INDEX('Outcome Indicators - Section C '!F$1:F$98,MATCH($A136,'Outcome Indicators - Section C '!$A$1:$A$98,0))&lt;&gt;0,INDEX('Outcome Indicators - Section C '!F$1:F$98,MATCH($A136,'Outcome Indicators - Section C '!$A$1:$A$98,0)),""),"")&amp;CHAR(10)&amp;IFERROR(IF(INDEX('Outcome Indicators - Section C '!G$1:G$98,MATCH($A136,'Outcome Indicators - Section C '!$A$1:$A$98,0))&lt;&gt;0,INDEX('Outcome Indicators - Section C '!G$1:G$98,MATCH($A136,'Outcome Indicators - Section C '!$A$1:$A$98,0)),""),"")</f>
        <v xml:space="preserve">
</v>
      </c>
      <c r="J136" s="660" t="str">
        <f ca="1">IFERROR(IF(INDEX('Outcome Indicators - Section C '!H$1:H$98,MATCH($A136,'Outcome Indicators - Section C '!$A$1:$A$98,0))&lt;&gt;0,INDEX('Outcome Indicators - Section C '!H$1:H$98,MATCH($A136,'Outcome Indicators - Section C '!$A$1:$A$98,0)),""),"")</f>
        <v/>
      </c>
      <c r="K136" s="661"/>
      <c r="L136" s="661"/>
      <c r="M136" s="662"/>
      <c r="N136" s="68" t="str">
        <f ca="1">IFERROR(IF(AND('Overview - Section A'!AN$5="Grant Making",OR(B136&lt;&gt;"",E136&lt;&gt;"")),Setup!I15,IF(INDEX('Outcome Indicators - Section C '!I$1:I$98,MATCH($A136,'Outcome Indicators - Section C '!$A$1:$A$98,0))&lt;&gt;0,INDEX('Outcome Indicators - Section C '!I$1:I$98,MATCH($A136,'Outcome Indicators - Section C '!$A$1:$A$98,0)),"")),"")</f>
        <v/>
      </c>
      <c r="O136" s="68" t="str">
        <f>IFERROR(IF(INDEX('Outcome Indicators - Section C '!J$9:J$36,MATCH($A136,'Outcome Indicators - Section C '!$A$9:$A$36,0))&lt;&gt;0,INDEX('Outcome Indicators - Section C '!J$9:J$36,MATCH($A136,'Outcome Indicators - Section C '!$A$9:$A$36,0)),""),"")</f>
        <v/>
      </c>
      <c r="P136" s="69" t="str">
        <f ca="1">IFERROR(IF(INDEX('Outcome Indicators - Section C '!K$1:K$98,MATCH($A136,'Outcome Indicators - Section C '!$A$1:$A$98,0))&lt;&gt;"",FIXED(INDEX('Outcome Indicators - Section C '!K$1:K$98,MATCH($A136,'Outcome Indicators - Section C '!$A$1:$A$98,0)),4),""),"")&amp;"/"&amp;IFERROR(IF(INDEX('Outcome Indicators - Section C '!K$1:K$98,MATCH($A136,'Outcome Indicators - Section C '!$A$1:$A$98,0)+1)&lt;&gt;"",FIXED(INDEX('Outcome Indicators - Section C '!K$1:K$98,MATCH($A136,'Outcome Indicators - Section C '!$A$1:$A$98,0)+1),2),""),"")&amp;CHAR(10)&amp;IFERROR(IF(INDEX('Outcome Indicators - Section C '!L$1:L$98,MATCH($A136,'Outcome Indicators - Section C '!$A$1:$A$98,0))&lt;&gt;"",FIXED(INDEX('Outcome Indicators - Section C '!L$1:L$98,MATCH($A136,'Outcome Indicators - Section C '!$A$1:$A$98,0))*100,2)&amp;"%",""),"")&amp;CHAR(10)&amp;IFERROR(IF(INDEX('Outcome Indicators - Section C '!N$1:N$98,MATCH($A136,'Outcome Indicators - Section C '!$A$1:$A$98,0))&lt;&gt;"",INDEX('Outcome Indicators - Section C '!N$1:N$98,MATCH($A136,'Outcome Indicators - Section C '!$A$1:$A$98,0)),""),"")&amp;CHAR(10)&amp;IFERROR(IF(INDEX('Outcome Indicators - Section C '!M$1:M$98,MATCH($A136,'Outcome Indicators - Section C '!$A$1:$A$98,0))&lt;&gt;"",TEXT(INDEX('Outcome Indicators - Section C '!M$1:M$98,MATCH($A136,'Outcome Indicators - Section C '!$A$1:$A$98,0)),Setup!$A$33),""),"")</f>
        <v xml:space="preserve">/
</v>
      </c>
      <c r="Q136" s="62" t="str">
        <f ca="1">IFERROR(IF(INDEX('Outcome Indicators - Section C '!O$1:O$36,MATCH($A136,'Outcome Indicators - Section C '!$A$1:$A$36,0))&lt;&gt;"",FIXED(INDEX('Outcome Indicators - Section C '!O$1:O$36,MATCH($A136,'Outcome Indicators - Section C '!$A$1:$A$36,0)),4),""),"")&amp;"/"&amp;IFERROR(IF(INDEX('Outcome Indicators - Section C '!O$1:O$36,MATCH($A136,'Outcome Indicators - Section C '!$A$1:$A$36,0)+1)&lt;&gt;"",FIXED(INDEX('Outcome Indicators - Section C '!O$1:O$36,MATCH($A136,'Outcome Indicators - Section C '!$A$1:$A$36,0)+1),2),""),"")&amp;CHAR(10)&amp;IFERROR(IF(INDEX('Outcome Indicators - Section C '!P$1:P$36,MATCH($A136,'Outcome Indicators - Section C '!$A$1:$A$36,0))&lt;&gt;"",FIXED(INDEX('Outcome Indicators - Section C '!P$1:P$36,MATCH($A136,'Outcome Indicators - Section C '!$A$1:$A$36,0))*100,2)&amp;"%",""),"")&amp;CHAR(10)&amp;IFERROR(IF(INDEX('Outcome Indicators - Section C '!R$1:R$36,MATCH($A136,'Outcome Indicators - Section C '!$A$1:$A$36,0))&lt;&gt;"",INDEX('Outcome Indicators - Section C '!R$1:R$36,MATCH($A136,'Outcome Indicators - Section C '!$A$1:$A$36,0)),""),"")&amp;CHAR(10)&amp;IFERROR(IF(INDEX('Outcome Indicators - Section C '!Q$1:Q$36,MATCH($A136,'Outcome Indicators - Section C '!$A$1:$A$36,0))&lt;&gt;"",TEXT(INDEX('Outcome Indicators - Section C '!Q$1:Q$36,MATCH($A136,'Outcome Indicators - Section C '!$A$1:$A$36,0)),Setup!$A$33),""),"")</f>
        <v xml:space="preserve">/
</v>
      </c>
      <c r="R136" s="62" t="str">
        <f ca="1">IFERROR(IF(INDEX('Outcome Indicators - Section C '!S$1:S$36,MATCH($A136,'Outcome Indicators - Section C '!$A$1:$A$36,0))&lt;&gt;"",FIXED(INDEX('Outcome Indicators - Section C '!S$1:S$36,MATCH($A136,'Outcome Indicators - Section C '!$A$1:$A$36,0)),4),""),"")&amp;"/"&amp;IFERROR(IF(INDEX('Outcome Indicators - Section C '!S$1:S$36,MATCH($A136,'Outcome Indicators - Section C '!$A$1:$A$36,0)+1)&lt;&gt;"",FIXED(INDEX('Outcome Indicators - Section C '!S$1:S$36,MATCH($A136,'Outcome Indicators - Section C '!$A$1:$A$36,0)+1),2),""),"")&amp;CHAR(10)&amp;IFERROR(IF(INDEX('Outcome Indicators - Section C '!T$1:T$36,MATCH($A136,'Outcome Indicators - Section C '!$A$1:$A$36,0))&lt;&gt;"",FIXED(INDEX('Outcome Indicators - Section C '!T$1:T$36,MATCH($A136,'Outcome Indicators - Section C '!$A$1:$A$36,0))*100,2)&amp;"%",""),"")&amp;CHAR(10)&amp;IFERROR(IF(INDEX('Outcome Indicators - Section C '!V$1:V$36,MATCH($A136,'Outcome Indicators - Section C '!$A$1:$A$36,0))&lt;&gt;"",INDEX('Outcome Indicators - Section C '!V$1:V$36,MATCH($A136,'Outcome Indicators - Section C '!$A$1:$A$36,0)),""),"")&amp;CHAR(10)&amp;IFERROR(IF(INDEX('Outcome Indicators - Section C '!U$1:U$36,MATCH($A136,'Outcome Indicators - Section C '!$A$1:$A$36,0))&lt;&gt;"",TEXT(INDEX('Outcome Indicators - Section C '!U$1:U$36,MATCH($A136,'Outcome Indicators - Section C '!$A$1:$A$36,0)),Setup!$A$33),""),"")</f>
        <v xml:space="preserve">/
</v>
      </c>
      <c r="S136" s="62" t="str">
        <f ca="1">IFERROR(IF(INDEX('Outcome Indicators - Section C '!W$9:W$36,MATCH($A136,'Outcome Indicators - Section C '!$A$9:$A$36,0))&lt;&gt;"",FIXED(INDEX('Outcome Indicators - Section C '!W$9:W$36,MATCH($A136,'Outcome Indicators - Section C '!$A$9:$A$36,0)),4),""),"")&amp;"/"&amp;IFERROR(IF(INDEX('Outcome Indicators - Section C '!W$9:W$36,MATCH($A136,'Outcome Indicators - Section C '!$A$9:$A$36,0)+1)&lt;&gt;"",FIXED(INDEX('Outcome Indicators - Section C '!W$9:W$36,MATCH($A136,'Outcome Indicators - Section C '!$A$9:$A$36,0)+1),2),""),"")&amp;CHAR(10)&amp;IFERROR(IF(INDEX('Outcome Indicators - Section C '!X$9:X$36,MATCH($A136,'Outcome Indicators - Section C '!$A$9:$A$36,0))&lt;&gt;"",FIXED(INDEX('Outcome Indicators - Section C '!X$9:X$36,MATCH($A136,'Outcome Indicators - Section C '!$A$9:$A$36,0))*100,2)&amp;"%",""),"")&amp;CHAR(10)&amp;IFERROR(IF(INDEX('Outcome Indicators - Section C '!Z$9:Z$36,MATCH($A136,'Outcome Indicators - Section C '!$A$9:$A$36,0))&lt;&gt;"",INDEX('Outcome Indicators - Section C '!Z$9:Z$36,MATCH($A136,'Outcome Indicators - Section C '!$A$9:$A$36,0)),""),"")&amp;CHAR(10)&amp;IFERROR(IF(INDEX('Outcome Indicators - Section C '!Y$9:Y$36,MATCH($A136,'Outcome Indicators - Section C '!$A$9:$A$36,0))&lt;&gt;"",TEXT(INDEX('Outcome Indicators - Section C '!Y$9:Y$36,MATCH($A136,'Outcome Indicators - Section C '!$A$9:$A$36,0)),Setup!$A$33),""),"")</f>
        <v xml:space="preserve">/
</v>
      </c>
      <c r="T136" s="73"/>
      <c r="U136" s="13"/>
      <c r="V136" s="13"/>
      <c r="W136" s="13"/>
      <c r="X136" s="13"/>
      <c r="Y136" s="13"/>
      <c r="Z136" s="13"/>
      <c r="AA136" s="13"/>
      <c r="AB136" s="13"/>
      <c r="AC136" s="13"/>
      <c r="AD136" s="13"/>
      <c r="AE136" s="13"/>
      <c r="AF136" s="13"/>
      <c r="AG136" s="13"/>
      <c r="AH136" s="13"/>
      <c r="AI136" s="13"/>
      <c r="AJ136" s="13"/>
      <c r="AK136" s="13"/>
      <c r="AL136" s="13"/>
      <c r="AM136" s="13"/>
      <c r="AN136" s="13"/>
      <c r="AO136" s="13"/>
      <c r="AQ136" s="13"/>
      <c r="AR136" s="13"/>
      <c r="AS136" s="13"/>
      <c r="AT136" s="13"/>
      <c r="AU136" s="576"/>
      <c r="AV136" s="576"/>
      <c r="AW136" s="576"/>
      <c r="AX136" s="576"/>
    </row>
    <row r="137" spans="1:55" ht="96" customHeight="1">
      <c r="A137" s="617"/>
      <c r="B137" s="630" t="str">
        <f ca="1">IFERROR(IF(INDEX('Outcome Indicators - Section C '!AA$1:AA$98,MATCH($A136,'Outcome Indicators - Section C '!$A$1:$A$98,0))&lt;&gt;0,INDEX('Outcome Indicators - Section C '!AA$1:AA$98,MATCH($A136,'Outcome Indicators - Section C '!$A$1:$A$98,0)),""),"")</f>
        <v/>
      </c>
      <c r="C137" s="631"/>
      <c r="D137" s="631"/>
      <c r="E137" s="631"/>
      <c r="F137" s="631"/>
      <c r="G137" s="631"/>
      <c r="H137" s="631"/>
      <c r="I137" s="632"/>
      <c r="J137" s="632"/>
      <c r="K137" s="632"/>
      <c r="L137" s="632"/>
      <c r="M137" s="632"/>
      <c r="N137" s="632"/>
      <c r="O137" s="632"/>
      <c r="P137" s="632"/>
      <c r="Q137" s="632"/>
      <c r="R137" s="632"/>
      <c r="S137" s="633"/>
      <c r="T137" s="53"/>
      <c r="U137" s="13"/>
      <c r="V137" s="13"/>
      <c r="W137" s="13"/>
      <c r="X137" s="13"/>
      <c r="Y137" s="13"/>
      <c r="Z137" s="13"/>
      <c r="AA137" s="13"/>
      <c r="AB137" s="13"/>
      <c r="AC137" s="13"/>
      <c r="AD137" s="13"/>
      <c r="AE137" s="13"/>
      <c r="AF137" s="13"/>
      <c r="AG137" s="13"/>
      <c r="AH137" s="13"/>
      <c r="AI137" s="13"/>
      <c r="AJ137" s="13"/>
      <c r="AK137" s="13"/>
      <c r="AL137" s="13"/>
      <c r="AM137" s="13"/>
      <c r="AN137" s="13"/>
      <c r="AO137" s="13"/>
      <c r="AQ137" s="13"/>
      <c r="AR137" s="13"/>
      <c r="AS137" s="13"/>
      <c r="AT137" s="13"/>
      <c r="AU137" s="576"/>
      <c r="AV137" s="576"/>
      <c r="AW137" s="576"/>
      <c r="AX137" s="576"/>
    </row>
    <row r="138" spans="1:55">
      <c r="A138" s="57"/>
      <c r="B138" s="57"/>
      <c r="C138" s="57"/>
      <c r="D138" s="57"/>
      <c r="E138" s="57"/>
      <c r="F138" s="57"/>
      <c r="G138" s="57"/>
      <c r="H138" s="57"/>
      <c r="I138" s="57"/>
      <c r="J138" s="57"/>
      <c r="K138" s="57"/>
      <c r="L138" s="57"/>
      <c r="M138" s="57"/>
      <c r="N138" s="57"/>
      <c r="O138" s="57"/>
      <c r="P138" s="57"/>
      <c r="Q138" s="57"/>
      <c r="R138" s="57"/>
      <c r="S138" s="57"/>
      <c r="T138" s="57"/>
      <c r="U138" s="13"/>
      <c r="V138" s="13"/>
      <c r="W138" s="13"/>
      <c r="X138" s="13"/>
      <c r="Y138" s="13"/>
      <c r="Z138" s="13"/>
      <c r="AA138" s="13"/>
      <c r="AB138" s="13"/>
      <c r="AC138" s="13"/>
      <c r="AD138" s="13"/>
      <c r="AE138" s="13"/>
      <c r="AF138" s="13"/>
      <c r="AG138" s="13"/>
      <c r="AH138" s="13"/>
      <c r="AI138" s="13"/>
      <c r="AJ138" s="13"/>
      <c r="AK138" s="13"/>
      <c r="AL138" s="13"/>
      <c r="AM138" s="13"/>
      <c r="AN138" s="13"/>
      <c r="AO138" s="13"/>
      <c r="AQ138" s="13"/>
      <c r="AR138" s="13"/>
      <c r="AS138" s="13"/>
    </row>
    <row r="139" spans="1:55">
      <c r="A139" s="57"/>
      <c r="B139" s="57"/>
      <c r="C139" s="57"/>
      <c r="D139" s="57"/>
      <c r="E139" s="57"/>
      <c r="F139" s="57"/>
      <c r="G139" s="57"/>
      <c r="H139" s="57"/>
      <c r="I139" s="57"/>
      <c r="J139" s="57"/>
      <c r="K139" s="57"/>
      <c r="L139" s="57"/>
      <c r="M139" s="57"/>
      <c r="N139" s="57"/>
      <c r="O139" s="57"/>
      <c r="P139" s="57"/>
      <c r="Q139" s="57"/>
      <c r="R139" s="57"/>
      <c r="S139" s="57"/>
      <c r="T139" s="57"/>
      <c r="U139" s="13"/>
      <c r="V139" s="13"/>
      <c r="W139" s="13"/>
      <c r="X139" s="13"/>
      <c r="Y139" s="13"/>
      <c r="Z139" s="13"/>
      <c r="AA139" s="13"/>
      <c r="AB139" s="13"/>
      <c r="AC139" s="13"/>
      <c r="AD139" s="13"/>
      <c r="AE139" s="13"/>
      <c r="AF139" s="13"/>
      <c r="AG139" s="13"/>
      <c r="AH139" s="13"/>
      <c r="AI139" s="13"/>
      <c r="AJ139" s="13"/>
      <c r="AK139" s="13"/>
      <c r="AL139" s="13"/>
      <c r="AM139" s="13"/>
      <c r="AN139" s="13"/>
      <c r="AO139" s="13"/>
      <c r="AQ139" s="13"/>
      <c r="AR139" s="13"/>
      <c r="AS139" s="13"/>
    </row>
    <row r="140" spans="1:55">
      <c r="A140" s="57"/>
      <c r="B140" s="57"/>
      <c r="C140" s="57"/>
      <c r="D140" s="57"/>
      <c r="E140" s="57"/>
      <c r="F140" s="57"/>
      <c r="G140" s="57"/>
      <c r="H140" s="57"/>
      <c r="I140" s="57"/>
      <c r="J140" s="57"/>
      <c r="K140" s="57"/>
      <c r="L140" s="57"/>
      <c r="M140" s="57"/>
      <c r="N140" s="57"/>
      <c r="O140" s="57"/>
      <c r="P140" s="57"/>
      <c r="Q140" s="57"/>
      <c r="R140" s="57"/>
      <c r="S140" s="57"/>
      <c r="T140" s="57"/>
      <c r="U140" s="13"/>
      <c r="V140" s="13"/>
      <c r="W140" s="13"/>
      <c r="X140" s="13"/>
      <c r="Y140" s="13"/>
      <c r="Z140" s="13"/>
      <c r="AA140" s="13"/>
      <c r="AB140" s="13"/>
      <c r="AC140" s="13"/>
      <c r="AD140" s="13"/>
      <c r="AE140" s="13"/>
      <c r="AF140" s="13"/>
      <c r="AG140" s="13"/>
      <c r="AH140" s="13"/>
      <c r="AI140" s="13"/>
      <c r="AJ140" s="13"/>
      <c r="AK140" s="13"/>
      <c r="AL140" s="13"/>
      <c r="AM140" s="13"/>
      <c r="AN140" s="13"/>
      <c r="AO140" s="13"/>
      <c r="AQ140" s="13"/>
      <c r="AR140" s="13"/>
      <c r="AS140" s="13"/>
    </row>
    <row r="141" spans="1:55">
      <c r="A141" s="57"/>
      <c r="B141" s="57"/>
      <c r="C141" s="57"/>
      <c r="D141" s="57"/>
      <c r="E141" s="57"/>
      <c r="F141" s="57"/>
      <c r="G141" s="57"/>
      <c r="H141" s="57"/>
      <c r="I141" s="57"/>
      <c r="J141" s="57"/>
      <c r="K141" s="57"/>
      <c r="L141" s="57"/>
      <c r="M141" s="57"/>
      <c r="N141" s="57"/>
      <c r="O141" s="57"/>
      <c r="P141" s="57"/>
      <c r="Q141" s="57"/>
      <c r="R141" s="57"/>
      <c r="S141" s="57"/>
      <c r="T141" s="57"/>
      <c r="U141" s="13"/>
      <c r="V141" s="13"/>
      <c r="W141" s="13"/>
      <c r="X141" s="13"/>
      <c r="Y141" s="13"/>
      <c r="Z141" s="13"/>
      <c r="AA141" s="13"/>
      <c r="AB141" s="13"/>
      <c r="AC141" s="13"/>
      <c r="AD141" s="13"/>
      <c r="AE141" s="13"/>
      <c r="AF141" s="13"/>
      <c r="AG141" s="13"/>
      <c r="AH141" s="13"/>
      <c r="AI141" s="13"/>
      <c r="AJ141" s="13"/>
      <c r="AK141" s="13"/>
      <c r="AL141" s="13"/>
      <c r="AM141" s="13"/>
      <c r="AN141" s="13"/>
      <c r="AO141" s="13"/>
      <c r="AQ141" s="13"/>
      <c r="AR141" s="13"/>
      <c r="AS141" s="13"/>
    </row>
    <row r="142" spans="1:55">
      <c r="A142" s="57"/>
      <c r="B142" s="57"/>
      <c r="C142" s="57"/>
      <c r="D142" s="57"/>
      <c r="E142" s="57"/>
      <c r="F142" s="57"/>
      <c r="G142" s="57"/>
      <c r="H142" s="57"/>
      <c r="I142" s="57"/>
      <c r="J142" s="57"/>
      <c r="K142" s="57"/>
      <c r="L142" s="57"/>
      <c r="M142" s="57"/>
      <c r="N142" s="57"/>
      <c r="O142" s="57"/>
      <c r="P142" s="57"/>
      <c r="Q142" s="57"/>
      <c r="R142" s="57"/>
      <c r="S142" s="57"/>
      <c r="T142" s="57"/>
      <c r="U142" s="13"/>
      <c r="V142" s="13"/>
      <c r="W142" s="13"/>
      <c r="X142" s="13"/>
      <c r="Y142" s="13"/>
      <c r="Z142" s="13"/>
      <c r="AA142" s="13"/>
      <c r="AB142" s="13"/>
      <c r="AC142" s="13"/>
      <c r="AD142" s="13"/>
      <c r="AE142" s="13"/>
      <c r="AF142" s="13"/>
      <c r="AG142" s="13"/>
      <c r="AH142" s="13"/>
      <c r="AI142" s="13"/>
      <c r="AJ142" s="13"/>
      <c r="AK142" s="13"/>
      <c r="AL142" s="13"/>
      <c r="AM142" s="13"/>
      <c r="AN142" s="13"/>
      <c r="AO142" s="13"/>
      <c r="AQ142" s="13"/>
      <c r="AR142" s="13"/>
      <c r="AS142" s="13"/>
    </row>
    <row r="143" spans="1:55">
      <c r="A143" s="57"/>
      <c r="B143" s="57"/>
      <c r="C143" s="57"/>
      <c r="D143" s="57"/>
      <c r="E143" s="57"/>
      <c r="F143" s="57"/>
      <c r="G143" s="57"/>
      <c r="H143" s="57"/>
      <c r="I143" s="57"/>
      <c r="J143" s="57"/>
      <c r="K143" s="57"/>
      <c r="L143" s="57"/>
      <c r="M143" s="57"/>
      <c r="N143" s="57"/>
      <c r="O143" s="57"/>
      <c r="P143" s="57"/>
      <c r="Q143" s="57"/>
      <c r="R143" s="57"/>
      <c r="S143" s="57"/>
      <c r="T143" s="57"/>
      <c r="U143" s="13"/>
      <c r="V143" s="13"/>
      <c r="W143" s="13"/>
      <c r="X143" s="13"/>
      <c r="Y143" s="13"/>
      <c r="Z143" s="13"/>
      <c r="AA143" s="13"/>
      <c r="AB143" s="13"/>
      <c r="AC143" s="13"/>
      <c r="AD143" s="13"/>
      <c r="AE143" s="13"/>
      <c r="AF143" s="13"/>
      <c r="AG143" s="13"/>
      <c r="AH143" s="13"/>
      <c r="AI143" s="13"/>
      <c r="AJ143" s="13"/>
      <c r="AK143" s="13"/>
      <c r="AL143" s="13"/>
      <c r="AM143" s="13"/>
      <c r="AN143" s="13"/>
      <c r="AO143" s="13"/>
      <c r="AQ143" s="13"/>
      <c r="AR143" s="13"/>
      <c r="AS143" s="13"/>
    </row>
    <row r="144" spans="1:55" ht="47.25" customHeight="1">
      <c r="A144" s="658" t="str">
        <f ca="1">Translations!A97</f>
        <v>Indicadores de cobertura</v>
      </c>
      <c r="B144" s="659"/>
      <c r="C144" s="659"/>
      <c r="D144" s="659"/>
      <c r="E144" s="659"/>
      <c r="F144" s="659"/>
      <c r="G144" s="659"/>
      <c r="H144" s="659"/>
      <c r="I144" s="659"/>
      <c r="J144" s="659"/>
      <c r="K144" s="659"/>
      <c r="L144" s="659"/>
      <c r="M144" s="659"/>
      <c r="N144" s="659"/>
      <c r="O144" s="659"/>
      <c r="P144" s="659"/>
      <c r="Q144" s="659"/>
      <c r="R144" s="659"/>
      <c r="S144" s="659"/>
      <c r="T144" s="57"/>
      <c r="U144" s="13"/>
      <c r="V144" s="13"/>
      <c r="W144" s="13"/>
      <c r="X144" s="13"/>
      <c r="Y144" s="13"/>
      <c r="Z144" s="13"/>
      <c r="AA144" s="13"/>
      <c r="AB144" s="13"/>
      <c r="AC144" s="13"/>
      <c r="AD144" s="13"/>
      <c r="AE144" s="13"/>
      <c r="AF144" s="13"/>
      <c r="AG144" s="13"/>
      <c r="AH144" s="13"/>
      <c r="AI144" s="13"/>
      <c r="AJ144" s="13"/>
      <c r="AK144" s="13"/>
      <c r="AL144" s="13"/>
      <c r="AM144" s="13"/>
      <c r="AN144" s="13"/>
      <c r="AO144" s="13"/>
      <c r="AQ144" s="13"/>
      <c r="AR144" s="13"/>
      <c r="AS144" s="13"/>
    </row>
    <row r="145" spans="1:55">
      <c r="A145" s="57"/>
      <c r="B145" s="57"/>
      <c r="C145" s="57"/>
      <c r="D145" s="57"/>
      <c r="E145" s="57"/>
      <c r="F145" s="57"/>
      <c r="G145" s="57"/>
      <c r="H145" s="57"/>
      <c r="I145" s="57"/>
      <c r="J145" s="57"/>
      <c r="K145" s="57"/>
      <c r="L145" s="57"/>
      <c r="M145" s="57"/>
      <c r="N145" s="65"/>
      <c r="O145" s="57"/>
      <c r="P145" s="57"/>
      <c r="Q145" s="57"/>
      <c r="R145" s="57"/>
      <c r="S145" s="57"/>
      <c r="T145" s="57"/>
      <c r="U145" s="13"/>
      <c r="V145" s="13"/>
      <c r="W145" s="89"/>
      <c r="X145" s="13"/>
      <c r="Y145" s="13"/>
      <c r="Z145" s="13"/>
      <c r="AA145" s="13"/>
      <c r="AB145" s="13"/>
      <c r="AC145" s="13"/>
      <c r="AD145" s="13"/>
      <c r="AE145" s="13"/>
      <c r="AF145" s="13"/>
      <c r="AG145" s="13"/>
      <c r="AH145" s="13"/>
      <c r="AI145" s="13"/>
      <c r="AJ145" s="13"/>
      <c r="AK145" s="13"/>
      <c r="AL145" s="13"/>
      <c r="AM145" s="13"/>
      <c r="AN145" s="13"/>
      <c r="AO145" s="13"/>
      <c r="AQ145" s="13"/>
      <c r="AR145" s="13"/>
      <c r="AS145" s="13"/>
      <c r="AT145" s="22"/>
      <c r="AU145" s="54"/>
      <c r="AV145" s="54"/>
      <c r="AW145" s="54"/>
      <c r="AX145" s="54"/>
      <c r="AY145" s="54"/>
      <c r="AZ145" s="54"/>
      <c r="BA145" s="54"/>
      <c r="BB145" s="54"/>
    </row>
    <row r="146" spans="1:55" ht="40.35" customHeight="1">
      <c r="A146" s="74"/>
      <c r="B146" s="74"/>
      <c r="C146" s="74"/>
      <c r="D146" s="74"/>
      <c r="E146" s="74"/>
      <c r="F146" s="74"/>
      <c r="G146" s="74"/>
      <c r="H146" s="74"/>
      <c r="I146" s="74"/>
      <c r="J146" s="74"/>
      <c r="K146" s="74"/>
      <c r="L146" s="86" t="str">
        <f ca="1">TEXT(IFERROR(INDEX('Overview - Section A'!$A$47:$A$54,MATCH(D23,'Overview - Section A'!$B$47:$B$54,0)),""),Setup!$A$33)</f>
        <v>1-Jan-23</v>
      </c>
      <c r="M146" s="86" t="str">
        <f ca="1">TEXT(IFERROR(INDEX('Overview - Section A'!$A$47:$A$54,MATCH(D24,'Overview - Section A'!$B$47:$B$54,0)),""),Setup!$A$33)</f>
        <v>1-Jan-24</v>
      </c>
      <c r="N146" s="86" t="str">
        <f ca="1">TEXT(IFERROR(INDEX('Overview - Section A'!$A$47:$A$54,MATCH(D25,'Overview - Section A'!$B$47:$B$54,0)),""),Setup!$A$33)</f>
        <v>1-Jan-25</v>
      </c>
      <c r="O146" s="86" t="str">
        <f ca="1">TEXT(IFERROR(INDEX('Overview - Section A'!$A$47:$A$54,MATCH(D26,'Overview - Section A'!$B$47:$B$54,0)),""),Setup!$A$33)</f>
        <v>1-Jan-26</v>
      </c>
      <c r="P146" s="86" t="str">
        <f ca="1">TEXT(IFERROR(INDEX('Overview - Section A'!$A$47:$A$54,MATCH(D27,'Overview - Section A'!$B$47:$B$54,0)),""),Setup!$A$33)</f>
        <v>1-Jan-27</v>
      </c>
      <c r="Q146" s="86" t="str">
        <f ca="1">TEXT(IFERROR(INDEX('Overview - Section A'!$A$47:$A$54,MATCH(D28,'Overview - Section A'!$B$47:$B$54,0)),""),Setup!$A$33)</f>
        <v>1-Jan-28</v>
      </c>
      <c r="R146" s="86" t="str">
        <f ca="1">TEXT(IFERROR(INDEX('Overview - Section A'!$A$47:$A$54,MATCH(D29,'Overview - Section A'!$B$47:$B$54,0)),""),Setup!$A$33)</f>
        <v/>
      </c>
      <c r="S146" s="86" t="str">
        <f ca="1">TEXT(IFERROR(INDEX('Overview - Section A'!$A$47:$A$54,MATCH(D30,'Overview - Section A'!$B$47:$B$54,0)),""),Setup!$A$33)</f>
        <v/>
      </c>
      <c r="T146" s="90"/>
      <c r="U146" s="13"/>
      <c r="V146" s="91"/>
      <c r="W146" s="91"/>
      <c r="X146" s="91"/>
      <c r="Y146" s="91"/>
      <c r="Z146" s="91"/>
      <c r="AA146" s="91"/>
      <c r="AB146" s="91"/>
      <c r="AC146" s="91"/>
      <c r="AD146" s="91"/>
      <c r="AE146" s="91"/>
      <c r="AF146" s="91"/>
      <c r="AG146" s="91"/>
      <c r="AH146" s="91"/>
      <c r="AI146" s="91"/>
      <c r="AJ146" s="91"/>
      <c r="AK146" s="91"/>
      <c r="AL146" s="91"/>
      <c r="AM146" s="91"/>
      <c r="AN146" s="13"/>
      <c r="AO146" s="13"/>
      <c r="AQ146" s="95"/>
      <c r="AR146" s="95"/>
      <c r="AS146" s="95"/>
      <c r="AT146" s="22"/>
      <c r="AU146" s="54"/>
      <c r="AV146" s="54"/>
      <c r="AW146" s="54"/>
      <c r="AX146" s="54"/>
      <c r="AY146" s="54"/>
      <c r="AZ146" s="54"/>
      <c r="BA146" s="54"/>
      <c r="BB146" s="54"/>
    </row>
    <row r="147" spans="1:55" ht="40.35" customHeight="1">
      <c r="A147" s="75"/>
      <c r="B147" s="76"/>
      <c r="C147" s="76"/>
      <c r="D147" s="76"/>
      <c r="E147" s="76"/>
      <c r="F147" s="76"/>
      <c r="G147" s="76"/>
      <c r="H147" s="76"/>
      <c r="I147" s="76"/>
      <c r="J147" s="76"/>
      <c r="K147" s="76"/>
      <c r="L147" s="86" t="str">
        <f ca="1">TEXT(IFERROR(INDEX('Overview - Section A'!$E$47:$E$54,MATCH(D23,'Overview - Section A'!$B$47:$B$54,0)),""),Setup!$A$33)</f>
        <v>31-Dec-23</v>
      </c>
      <c r="M147" s="86" t="str">
        <f ca="1">TEXT(IFERROR(INDEX('Overview - Section A'!$E$47:$E$54,MATCH(D24,'Overview - Section A'!$B$47:$B$54,0)),""),Setup!$A$33)</f>
        <v>31-Dec-24</v>
      </c>
      <c r="N147" s="86" t="str">
        <f ca="1">TEXT(IFERROR(INDEX('Overview - Section A'!$E$47:$E$54,MATCH(D25,'Overview - Section A'!$B$47:$B$54,0)),""),Setup!$A$33)</f>
        <v>31-Dec-25</v>
      </c>
      <c r="O147" s="86" t="str">
        <f ca="1">TEXT(IFERROR(INDEX('Overview - Section A'!$E$47:$E$54,MATCH(D26,'Overview - Section A'!$B$47:$B$54,0)),""),Setup!$A$33)</f>
        <v>31-Dec-26</v>
      </c>
      <c r="P147" s="86" t="str">
        <f ca="1">TEXT(IFERROR(INDEX('Overview - Section A'!$E$47:$E$54,MATCH(D27,'Overview - Section A'!$B$47:$B$54,0)),""),Setup!$A$33)</f>
        <v>31-Dec-27</v>
      </c>
      <c r="Q147" s="86" t="str">
        <f ca="1">TEXT(IFERROR(INDEX('Overview - Section A'!$E$47:$E$54,MATCH(D28,'Overview - Section A'!$B$47:$B$54,0)),""),Setup!$A$33)</f>
        <v>31-Dec-28</v>
      </c>
      <c r="R147" s="86" t="str">
        <f ca="1">TEXT(IFERROR(INDEX('Overview - Section A'!$E$47:$E$54,MATCH(D29,'Overview - Section A'!$B$47:$B$54,0)),""),Setup!$A$33)</f>
        <v/>
      </c>
      <c r="S147" s="86" t="str">
        <f ca="1">TEXT(IFERROR(INDEX('Overview - Section A'!$E$47:$E$54,MATCH(D30,'Overview - Section A'!$B$47:$B$54,0)),""),Setup!$A$33)</f>
        <v/>
      </c>
      <c r="T147" s="90"/>
      <c r="U147" s="13"/>
      <c r="V147" s="13"/>
      <c r="W147" s="13"/>
      <c r="X147" s="13"/>
      <c r="Y147" s="13"/>
      <c r="Z147" s="13"/>
      <c r="AA147" s="13"/>
      <c r="AB147" s="13"/>
      <c r="AC147" s="13"/>
      <c r="AD147" s="13"/>
      <c r="AE147" s="13"/>
      <c r="AF147" s="13"/>
      <c r="AG147" s="13"/>
      <c r="AH147" s="13"/>
      <c r="AI147" s="13"/>
      <c r="AJ147" s="13"/>
      <c r="AK147" s="13"/>
      <c r="AL147" s="13"/>
      <c r="AM147" s="13"/>
      <c r="AN147" s="13"/>
      <c r="AO147" s="13"/>
      <c r="AQ147" s="13" t="s">
        <v>5551</v>
      </c>
      <c r="AR147" s="13"/>
      <c r="AS147" s="13"/>
      <c r="AT147" s="22"/>
      <c r="AU147" s="54"/>
      <c r="AV147" s="54"/>
      <c r="AW147" s="54"/>
      <c r="AX147" s="54"/>
      <c r="AY147" s="54"/>
      <c r="AZ147" s="54"/>
      <c r="BA147" s="54"/>
      <c r="BB147" s="54"/>
    </row>
    <row r="148" spans="1:55" ht="288.75" customHeight="1">
      <c r="A148" s="77" t="str">
        <f ca="1">Translations!A91</f>
        <v>No.</v>
      </c>
      <c r="B148" s="78" t="str">
        <f ca="1">Translations!A30</f>
        <v>Nombre del módulo</v>
      </c>
      <c r="C148" s="38" t="str">
        <f ca="1">Translations!A38</f>
        <v xml:space="preserve">Indicador estándar </v>
      </c>
      <c r="D148" s="33" t="str">
        <f ca="1">Translations!A39</f>
        <v>Indicador personalizado</v>
      </c>
      <c r="E148" s="79" t="str">
        <f ca="1">Translations!A94</f>
        <v>Año y fuente de la línea de base</v>
      </c>
      <c r="F148" s="79" t="str">
        <f ca="1">Translations!A94</f>
        <v>Año y fuente de la línea de base</v>
      </c>
      <c r="G148" s="79" t="str">
        <f ca="1">Translations!A51</f>
        <v>Desagregación requerida</v>
      </c>
      <c r="H148" s="79" t="str">
        <f ca="1">Translations!A66</f>
        <v>Incluir en resultados del FM</v>
      </c>
      <c r="I148" s="79" t="str">
        <f ca="1">Translations!A52</f>
        <v>Receptor principal responsible</v>
      </c>
      <c r="J148" s="79" t="str">
        <f ca="1">Translations!A67</f>
        <v>País / Alcance de las metas</v>
      </c>
      <c r="K148" s="87" t="str">
        <f ca="1">Translations!A68</f>
        <v>Tipo de acumulación</v>
      </c>
      <c r="L148" s="32" t="str">
        <f ca="1">Translations!$A$95</f>
        <v>Valor de la meta</v>
      </c>
      <c r="M148" s="32" t="str">
        <f ca="1">Translations!$A$95</f>
        <v>Valor de la meta</v>
      </c>
      <c r="N148" s="32" t="str">
        <f ca="1">Translations!$A$95</f>
        <v>Valor de la meta</v>
      </c>
      <c r="O148" s="32" t="str">
        <f ca="1">Translations!$A$95</f>
        <v>Valor de la meta</v>
      </c>
      <c r="P148" s="32" t="str">
        <f ca="1">Translations!$A$95</f>
        <v>Valor de la meta</v>
      </c>
      <c r="Q148" s="32" t="str">
        <f ca="1">Translations!$A$95</f>
        <v>Valor de la meta</v>
      </c>
      <c r="R148" s="32" t="str">
        <f ca="1">Translations!$A$95</f>
        <v>Valor de la meta</v>
      </c>
      <c r="S148" s="32" t="str">
        <f ca="1">Translations!$A$95</f>
        <v>Valor de la meta</v>
      </c>
      <c r="T148" s="50"/>
      <c r="U148" s="13"/>
      <c r="V148" s="13"/>
      <c r="W148" s="13"/>
      <c r="X148" s="13"/>
      <c r="Y148" s="13"/>
      <c r="Z148" s="13"/>
      <c r="AA148" s="13"/>
      <c r="AB148" s="13"/>
      <c r="AC148" s="13"/>
      <c r="AD148" s="13"/>
      <c r="AE148" s="13"/>
      <c r="AF148" s="13"/>
      <c r="AG148" s="13"/>
      <c r="AH148" s="13"/>
      <c r="AI148" s="13"/>
      <c r="AJ148" s="13"/>
      <c r="AK148" s="13"/>
      <c r="AL148" s="13"/>
      <c r="AM148" s="13"/>
      <c r="AN148" s="13"/>
      <c r="AO148" s="13"/>
      <c r="AQ148" s="13"/>
      <c r="AR148" s="13"/>
      <c r="AS148" s="13"/>
      <c r="AT148" s="22"/>
      <c r="AU148" s="54"/>
      <c r="AV148" s="54"/>
      <c r="AW148" s="54"/>
      <c r="AX148" s="54"/>
      <c r="AY148" s="54"/>
      <c r="AZ148" s="54"/>
      <c r="BA148" s="54"/>
      <c r="BB148" s="54"/>
    </row>
    <row r="149" spans="1:55" s="16" customFormat="1" ht="177" customHeight="1">
      <c r="A149" s="608">
        <v>1</v>
      </c>
      <c r="B149" s="80" t="str">
        <f ca="1">IFERROR(IF(INDEX('Coverage Indicators - Section D'!B$1:B$100,MATCH('Print View'!$A149,'Coverage Indicators - Section D'!$A$1:$A$100,0))&lt;&gt;0,INDEX('Coverage Indicators - Section D'!B$1:B$100,MATCH('Print View'!$A149,'Coverage Indicators - Section D'!$A$1:$A$100,0)),""),"")</f>
        <v>Prevención</v>
      </c>
      <c r="C149" s="80" t="str">
        <f ca="1">IFERROR(IF(INDEX('Coverage Indicators - Section D'!D$1:D$100,MATCH('Print View'!$A149,'Coverage Indicators - Section D'!$A$1:$A$100,0))&lt;&gt;0,INDEX('Coverage Indicators - Section D'!D$1:D$100,MATCH('Print View'!$A149,'Coverage Indicators - Section D'!$A$1:$A$100,0)),""),"")</f>
        <v>KP-1a⁽ᴹ⁾ Porcentaje de HSH alcanzados por programas de prevención del VIH - paquete definido de servicios</v>
      </c>
      <c r="D149" s="80" t="str">
        <f ca="1">IFERROR(IF(INDEX('Coverage Indicators - Section D'!E$1:E$100,MATCH('Print View'!$A149,'Coverage Indicators - Section D'!$A$1:$A$100,0))&lt;&gt;0,INDEX('Coverage Indicators - Section D'!E$1:E$100,MATCH('Print View'!$A149,'Coverage Indicators - Section D'!$A$1:$A$100,0)),""),"")</f>
        <v/>
      </c>
      <c r="E149" s="81" t="str">
        <f ca="1">IFERROR(IF(INDEX('Coverage Indicators - Section D'!F$1:F$100,MATCH('Print View'!$A149,'Coverage Indicators - Section D'!$A$1:$A$100,0))&lt;&gt;"",INDEX('Coverage Indicators - Section D'!F$1:F$100,MATCH('Print View'!$A149,'Coverage Indicators - Section D'!$A$1:$A$100,0)),""),"")&amp;"/"&amp;IFERROR(IF(INDEX('Coverage Indicators - Section D'!F$1:F$100,MATCH('Print View'!$A149,'Coverage Indicators - Section D'!$A$1:$A$100,0)+1)&lt;&gt;"",INDEX('Coverage Indicators - Section D'!F$1:F$100,MATCH('Print View'!$A149,'Coverage Indicators - Section D'!$A$1:$A$100,0)+1),""),"")&amp;CHAR(10)&amp;IFERROR(IF(INDEX('Coverage Indicators - Section D'!G$1:G$100,MATCH('Print View'!$A149,'Coverage Indicators - Section D'!$A$1:$A$100,0))&lt;&gt;"",FIXED(INDEX('Coverage Indicators - Section D'!G$1:G$100,MATCH('Print View'!$A149,'Coverage Indicators - Section D'!$A$1:$A$100,0))*100,2)&amp;"%",""),"")</f>
        <v>13177/32407
40.66%</v>
      </c>
      <c r="F149" s="82" t="str">
        <f ca="1">IFERROR(IF(INDEX('Coverage Indicators - Section D'!H$1:H$100,MATCH('Print View'!$A149,'Coverage Indicators - Section D'!$A$1:$A$100,0))&lt;&gt;0,INDEX('Coverage Indicators - Section D'!H$1:H$100,MATCH('Print View'!$A149,'Coverage Indicators - Section D'!$A$1:$A$100,0)),""),"")&amp;CHAR(10)&amp;IFERROR(IF(INDEX('Coverage Indicators - Section D'!I$1:I$100,MATCH('Print View'!$A149,'Coverage Indicators - Section D'!$A$1:$A$100,0))&lt;&gt;0,INDEX('Coverage Indicators - Section D'!I$1:I$100,MATCH('Print View'!$A149,'Coverage Indicators - Section D'!$A$1:$A$100,0)),""),"")</f>
        <v>2021
Reporte de la Unidad de Vigilancia Epidemiologica - Componente VIH - SIMONE</v>
      </c>
      <c r="G149" s="41" t="str">
        <f>IFERROR(IF(INDEX('Coverage Indicators - Section D'!J9:J38,MATCH('Print View'!$A149,'Coverage Indicators - Section D'!$A$9:$A$38,0))&lt;&gt;0,INDEX('Coverage Indicators - Section D'!J9:J38,MATCH('Print View'!$A149,'Coverage Indicators - Section D'!$A$9:$A$38,0)),""),"")</f>
        <v>Edad</v>
      </c>
      <c r="H149" s="42" t="str">
        <f ca="1">IFERROR(IF(INDEX('Coverage Indicators - Section D'!K$1:K$100,MATCH('Print View'!$A149,'Coverage Indicators - Section D'!$A$1:$A$100,0))&lt;&gt;0,INDEX('Coverage Indicators - Section D'!K$1:K$100,MATCH('Print View'!$A149,'Coverage Indicators - Section D'!$A$1:$A$100,0)),""),"")</f>
        <v>Yes</v>
      </c>
      <c r="I149" s="41" t="str">
        <f ca="1">IFERROR(IF(AND('Overview - Section A'!AN$5="Grant Making",OR(C149&lt;&gt;"",D149&lt;&gt;"")),Setup!I15,IF(INDEX('Coverage Indicators - Section D'!L$1:L$100,MATCH('Print View'!$A149,'Coverage Indicators - Section D'!$A$1:$A$100,0))&lt;&gt;0,INDEX('Coverage Indicators - Section D'!L$1:L$100,MATCH('Print View'!$A149,'Coverage Indicators - Section D'!$A$1:$A$100,0)),"")),"")</f>
        <v/>
      </c>
      <c r="J149" s="81" t="str">
        <f ca="1">IFERROR(IF(INDEX('Coverage Indicators - Section D'!M$1:M$100,MATCH('Print View'!$A149,'Coverage Indicators - Section D'!$A$1:$A$100,0))&lt;&gt;0,INDEX('Coverage Indicators - Section D'!M$1:M$100,MATCH('Print View'!$A149,'Coverage Indicators - Section D'!$A$1:$A$100,0)),""),"")&amp;CHAR(10)&amp;CHAR(10)&amp;IFERROR(IF(INDEX('Coverage Indicators - Section D'!M$1:M$100,MATCH('Print View'!$A149,'Coverage Indicators - Section D'!$A$1:$A$100,0)+1)&lt;&gt;0,INDEX('Coverage Indicators - Section D'!M$1:M$100,MATCH('Print View'!$A149,'Coverage Indicators - Section D'!$A$1:$A$100,0)+1),""),"")</f>
        <v>Bolivia (Plurinational State)
Geographic Subnational, 100% of national program target</v>
      </c>
      <c r="K149" s="81" t="str">
        <f ca="1">IFERROR(IF(INDEX('Coverage Indicators - Section D'!N$1:N$100,MATCH('Print View'!$A149,'Coverage Indicators - Section D'!$A$1:$A$100,0))&lt;&gt;0,INDEX('Coverage Indicators - Section D'!N$1:N$100,MATCH('Print View'!$A149,'Coverage Indicators - Section D'!$A$1:$A$100,0)),""),"")</f>
        <v/>
      </c>
      <c r="L149" s="81" t="str">
        <f ca="1">IFERROR(IF(INDEX('Coverage Indicators - Section D'!O$1:O$100,MATCH('Print View'!$A149,'Coverage Indicators - Section D'!$A$1:$A$100,0))&lt;&gt;"",INDEX('Coverage Indicators - Section D'!O$1:O$100,MATCH('Print View'!$A149,'Coverage Indicators - Section D'!$A$1:$A$100,0)),""),"")&amp;"/"&amp;IFERROR(IF(INDEX('Coverage Indicators - Section D'!O$1:O$100,MATCH('Print View'!$A149,'Coverage Indicators - Section D'!$A$1:$A$100,0)+1)&lt;&gt;"",INDEX('Coverage Indicators - Section D'!O$1:O$100,MATCH('Print View'!$A149,'Coverage Indicators - Section D'!$A$1:$A$100,0)+1),""),"")&amp;CHAR(10)&amp;IFERROR(IF(INDEX('Coverage Indicators - Section D'!P$1:P$100,MATCH('Print View'!$A149,'Coverage Indicators - Section D'!$A$1:$A$100,0))&lt;&gt;"",FIXED(INDEX('Coverage Indicators - Section D'!P$1:P$100,MATCH('Print View'!$A149,'Coverage Indicators - Section D'!$A$1:$A$100,0))*100,2)&amp;"%",""),"")&amp;CHAR(10)&amp;IFERROR(IF(INDEX('Coverage Indicators - Section D'!Q$1:Q$100,MATCH('Print View'!$A149,'Coverage Indicators - Section D'!$A$1:$A$100,0))&lt;&gt;"",INDEX('Coverage Indicators - Section D'!Q$1:Q$100,MATCH('Print View'!$A149,'Coverage Indicators - Section D'!$A$1:$A$100,0)),""),"")</f>
        <v xml:space="preserve">16000/33435
47.85%
</v>
      </c>
      <c r="M149" s="82" t="str">
        <f ca="1">IFERROR(IF(INDEX('Coverage Indicators - Section D'!R$1:R$100,MATCH('Print View'!$A149,'Coverage Indicators - Section D'!$A$1:$A$100,0))&lt;&gt;"",INDEX('Coverage Indicators - Section D'!R$1:R$100,MATCH('Print View'!$A149,'Coverage Indicators - Section D'!$A$1:$A$100,0)),""),"")&amp;"/"&amp;IFERROR(IF(INDEX('Coverage Indicators - Section D'!R$1:R$100,MATCH('Print View'!$A149,'Coverage Indicators - Section D'!$A$1:$A$100,0)+1)&lt;&gt;"",INDEX('Coverage Indicators - Section D'!R$1:R$100,MATCH('Print View'!$A149,'Coverage Indicators - Section D'!$A$1:$A$100,0)+1),""),"")&amp;CHAR(10)&amp;IFERROR(IF(INDEX('Coverage Indicators - Section D'!S$1:S$100,MATCH('Print View'!$A149,'Coverage Indicators - Section D'!$A$1:$A$100,0))&lt;&gt;"",FIXED(INDEX('Coverage Indicators - Section D'!S$1:S$100,MATCH('Print View'!$A149,'Coverage Indicators - Section D'!$A$1:$A$100,0))*100,2)&amp;"%",""),"")&amp;CHAR(10)&amp;IFERROR(IF(INDEX('Coverage Indicators - Section D'!T$1:T$100,MATCH('Print View'!$A149,'Coverage Indicators - Section D'!$A$1:$A$100,0))&lt;&gt;"",INDEX('Coverage Indicators - Section D'!T$1:T$100,MATCH('Print View'!$A149,'Coverage Indicators - Section D'!$A$1:$A$100,0)),""),"")</f>
        <v xml:space="preserve">16353/33952
48.17%
</v>
      </c>
      <c r="N149" s="81" t="str">
        <f ca="1">IFERROR(IF(INDEX('Coverage Indicators - Section D'!U$1:U$100,MATCH('Print View'!$A149,'Coverage Indicators - Section D'!$A$1:$A$100,0))&lt;&gt;"",INDEX('Coverage Indicators - Section D'!U$1:U$100,MATCH('Print View'!$A149,'Coverage Indicators - Section D'!$A$1:$A$100,0)),""),"")&amp;"/"&amp;IFERROR(IF(INDEX('Coverage Indicators - Section D'!U$1:U$100,MATCH('Print View'!$A149,'Coverage Indicators - Section D'!$A$1:$A$100,0)+1)&lt;&gt;"",INDEX('Coverage Indicators - Section D'!U$1:U$100,MATCH('Print View'!$A149,'Coverage Indicators - Section D'!$A$1:$A$100,0)+1),""),"")&amp;CHAR(10)&amp;IFERROR(IF(INDEX('Coverage Indicators - Section D'!V$1:V$100,MATCH('Print View'!$A149,'Coverage Indicators - Section D'!$A$1:$A$100,0))&lt;&gt;"",FIXED(INDEX('Coverage Indicators - Section D'!V$1:V$100,MATCH('Print View'!$A149,'Coverage Indicators - Section D'!$A$1:$A$100,0))*100,2)&amp;"%",""),"")&amp;CHAR(10)&amp;IFERROR(IF(INDEX('Coverage Indicators - Section D'!W$1:W$100,MATCH('Print View'!$A149,'Coverage Indicators - Section D'!$A$1:$A$100,0))&lt;&gt;"",INDEX('Coverage Indicators - Section D'!W$1:W$100,MATCH('Print View'!$A149,'Coverage Indicators - Section D'!$A$1:$A$100,0)),""),"")</f>
        <v xml:space="preserve">16697/34467
48.44%
</v>
      </c>
      <c r="O149" s="82" t="str">
        <f ca="1">IFERROR(IF(INDEX('Coverage Indicators - Section D'!X$1:X$100,MATCH('Print View'!$A149,'Coverage Indicators - Section D'!$A$1:$A$100,0))&lt;&gt;"",INDEX('Coverage Indicators - Section D'!X$1:X$100,MATCH('Print View'!$A149,'Coverage Indicators - Section D'!$A$1:$A$100,0)),""),"")&amp;"/"&amp;IFERROR(IF(INDEX('Coverage Indicators - Section D'!X$1:X$100,MATCH('Print View'!$A149,'Coverage Indicators - Section D'!$A$1:$A$100,0)+1)&lt;&gt;"",INDEX('Coverage Indicators - Section D'!X$1:X$100,MATCH('Print View'!$A149,'Coverage Indicators - Section D'!$A$1:$A$100,0)+1),""),"")&amp;CHAR(10)&amp;IFERROR(IF(INDEX('Coverage Indicators - Section D'!Y$1:Y$100,MATCH('Print View'!$A149,'Coverage Indicators - Section D'!$A$1:$A$100,0))&lt;&gt;"",FIXED(INDEX('Coverage Indicators - Section D'!Y$1:Y$100,MATCH('Print View'!$A149,'Coverage Indicators - Section D'!$A$1:$A$100,0))*100,2)&amp;"%",""),"")&amp;CHAR(10)&amp;IFERROR(IF(INDEX('Coverage Indicators - Section D'!Z$1:Z$100,MATCH('Print View'!$A149,'Coverage Indicators - Section D'!$A$1:$A$100,0))&lt;&gt;"",INDEX('Coverage Indicators - Section D'!Z$1:Z$100,MATCH('Print View'!$A149,'Coverage Indicators - Section D'!$A$1:$A$100,0)),""),"")</f>
        <v xml:space="preserve">/
</v>
      </c>
      <c r="P149" s="82" t="str">
        <f ca="1">IFERROR(IF(INDEX('Coverage Indicators - Section D'!AA$1:AA$100,MATCH('Print View'!$A149,'Coverage Indicators - Section D'!$A$1:$A$100,0))&lt;&gt;"",INDEX('Coverage Indicators - Section D'!AA$1:AA$100,MATCH('Print View'!$A149,'Coverage Indicators - Section D'!$A$1:$A$100,0)),""),"")&amp;"/"&amp;IFERROR(IF(INDEX('Coverage Indicators - Section D'!AA$1:AA$100,MATCH('Print View'!$A149,'Coverage Indicators - Section D'!$A$1:$A$100,0)+1)&lt;&gt;"",INDEX('Coverage Indicators - Section D'!AA$1:AA$100,MATCH('Print View'!$A149,'Coverage Indicators - Section D'!$A$1:$A$100,0)+1),""),"")&amp;CHAR(10)&amp;IFERROR(IF(INDEX('Coverage Indicators - Section D'!AB$1:AB$100,MATCH('Print View'!$A149,'Coverage Indicators - Section D'!$A$1:$A$100,0))&lt;&gt;"",FIXED(INDEX('Coverage Indicators - Section D'!AB$1:AB$100,MATCH('Print View'!$A149,'Coverage Indicators - Section D'!$A$1:$A$100,0))*100,2)&amp;"%",""),"")&amp;CHAR(10)&amp;IFERROR(IF(INDEX('Coverage Indicators - Section D'!AC$1:AC$100,MATCH('Print View'!$A149,'Coverage Indicators - Section D'!$A$1:$A$100,0))&lt;&gt;"",INDEX('Coverage Indicators - Section D'!AC$1:AC$100,MATCH('Print View'!$A149,'Coverage Indicators - Section D'!$A$1:$A$100,0)),""),"")</f>
        <v xml:space="preserve">/
</v>
      </c>
      <c r="Q149" s="82" t="str">
        <f ca="1">IFERROR(IF(INDEX('Coverage Indicators - Section D'!AD$1:AD$100,MATCH('Print View'!$A149,'Coverage Indicators - Section D'!$A$1:$A$100,0))&lt;&gt;"",INDEX('Coverage Indicators - Section D'!AD$1:AD$100,MATCH('Print View'!$A149,'Coverage Indicators - Section D'!$A$1:$A$100,0)),""),"")&amp;"/"&amp;IFERROR(IF(INDEX('Coverage Indicators - Section D'!AD$1:AD$100,MATCH('Print View'!$A149,'Coverage Indicators - Section D'!$A$1:$A$100,0)+1)&lt;&gt;"",INDEX('Coverage Indicators - Section D'!AD$1:AD$100,MATCH('Print View'!$A149,'Coverage Indicators - Section D'!$A$1:$A$100,0)+1),""),"")&amp;CHAR(10)&amp;IFERROR(IF(INDEX('Coverage Indicators - Section D'!AE$1:AE$100,MATCH('Print View'!$A149,'Coverage Indicators - Section D'!$A$1:$A$100,0))&lt;&gt;"",FIXED(INDEX('Coverage Indicators - Section D'!AE$1:AE$100,MATCH('Print View'!$A149,'Coverage Indicators - Section D'!$A$1:$A$100,0))*100,2)&amp;"%",""),"")&amp;CHAR(10)&amp;IFERROR(IF(INDEX('Coverage Indicators - Section D'!AF$1:AF$100,MATCH('Print View'!$A149,'Coverage Indicators - Section D'!$A$1:$A$100,0))&lt;&gt;"",INDEX('Coverage Indicators - Section D'!AF$1:AF$100,MATCH('Print View'!$A149,'Coverage Indicators - Section D'!$A$1:$A$100,0)),""),"")</f>
        <v xml:space="preserve">/
</v>
      </c>
      <c r="R149" s="82" t="str">
        <f ca="1">IFERROR(IF(INDEX('Coverage Indicators - Section D'!AG$1:AG$100,MATCH('Print View'!$A149,'Coverage Indicators - Section D'!$A$1:$A$100,0))&lt;&gt;"",INDEX('Coverage Indicators - Section D'!AG$1:AG$100,MATCH('Print View'!$A149,'Coverage Indicators - Section D'!$A$1:$A$100,0)),""),"")&amp;"/"&amp;IFERROR(IF(INDEX('Coverage Indicators - Section D'!AG$1:AG$100,MATCH('Print View'!$A149,'Coverage Indicators - Section D'!$A$1:$A$100,0)+1)&lt;&gt;"",INDEX('Coverage Indicators - Section D'!AG$1:AG$100,MATCH('Print View'!$A149,'Coverage Indicators - Section D'!$A$1:$A$100,0)+1),""),"")&amp;CHAR(10)&amp;IFERROR(IF(INDEX('Coverage Indicators - Section D'!AH$1:AH$100,MATCH('Print View'!$A149,'Coverage Indicators - Section D'!$A$1:$A$100,0))&lt;&gt;"",FIXED(INDEX('Coverage Indicators - Section D'!AH$1:AH$100,MATCH('Print View'!$A149,'Coverage Indicators - Section D'!$A$1:$A$100,0))*100,2)&amp;"%",""),"")&amp;CHAR(10)&amp;IFERROR(IF(INDEX('Coverage Indicators - Section D'!AI$1:AI$100,MATCH('Print View'!$A149,'Coverage Indicators - Section D'!$A$1:$A$100,0))&lt;&gt;"",INDEX('Coverage Indicators - Section D'!AI$1:AI$100,MATCH('Print View'!$A149,'Coverage Indicators - Section D'!$A$1:$A$100,0)),""),"")</f>
        <v xml:space="preserve">/
</v>
      </c>
      <c r="S149" s="82" t="str">
        <f ca="1">IFERROR(IF(INDEX('Coverage Indicators - Section D'!AJ$1:AJ$100,MATCH('Print View'!$A149,'Coverage Indicators - Section D'!$A$1:$A$100,0))&lt;&gt;"",INDEX('Coverage Indicators - Section D'!AJ$1:AJ$100,MATCH('Print View'!$A149,'Coverage Indicators - Section D'!$A$1:$A$100,0)),""),"")&amp;"/"&amp;IFERROR(IF(INDEX('Coverage Indicators - Section D'!AJ$1:AJ$100,MATCH('Print View'!$A149,'Coverage Indicators - Section D'!$A$1:$A$100,0)+1)&lt;&gt;"",INDEX('Coverage Indicators - Section D'!AJ$1:AJ$100,MATCH('Print View'!$A149,'Coverage Indicators - Section D'!$A$1:$A$100,0)+1),""),"")&amp;CHAR(10)&amp;IFERROR(IF(INDEX('Coverage Indicators - Section D'!AK$1:AK$100,MATCH('Print View'!$A149,'Coverage Indicators - Section D'!$A$1:$A$100,0))&lt;&gt;"",FIXED(INDEX('Coverage Indicators - Section D'!AK$1:AK$100,MATCH('Print View'!$A149,'Coverage Indicators - Section D'!$A$1:$A$100,0))*100,2)&amp;"%",""),"")&amp;CHAR(10)&amp;IFERROR(IF(INDEX('Coverage Indicators - Section D'!AL$1:AL$100,MATCH('Print View'!$A149,'Coverage Indicators - Section D'!$A$1:$A$100,0))&lt;&gt;"",INDEX('Coverage Indicators - Section D'!AL$1:AL$100,MATCH('Print View'!$A149,'Coverage Indicators - Section D'!$A$1:$A$100,0)),""),"")</f>
        <v xml:space="preserve">/
</v>
      </c>
      <c r="T149" s="52"/>
      <c r="U149" s="13"/>
      <c r="V149" s="13"/>
      <c r="W149" s="13"/>
      <c r="X149" s="13"/>
      <c r="Y149" s="13"/>
      <c r="Z149" s="13"/>
      <c r="AA149" s="13"/>
      <c r="AB149" s="13"/>
      <c r="AC149" s="13"/>
      <c r="AD149" s="13"/>
      <c r="AE149" s="13"/>
      <c r="AF149" s="13"/>
      <c r="AG149" s="13"/>
      <c r="AH149" s="13"/>
      <c r="AI149" s="13"/>
      <c r="AJ149" s="13"/>
      <c r="AK149" s="13"/>
      <c r="AL149" s="13"/>
      <c r="AM149" s="13"/>
      <c r="AN149" s="13"/>
      <c r="AO149" s="13" t="str">
        <f ca="1">IFERROR(IF(INDEX('Coverage Indicators - Section D'!AD$1:AD$110,MATCH('Print View'!$A149,'Coverage Indicators - Section D'!$A$1:$A$110,0))&lt;&gt;0,INDEX('Coverage Indicators - Section D'!AD$1:AD$110,MATCH('Print View'!$A149,'Coverage Indicators - Section D'!$A$1:$A$110,0)),""),"")</f>
        <v/>
      </c>
      <c r="AP149" s="13"/>
      <c r="AQ149" s="13"/>
      <c r="AR149" s="13"/>
      <c r="AS149" s="13"/>
      <c r="AT149" s="577" t="str">
        <f ca="1">CONCATENATE($A149,N$147)</f>
        <v>131-Dec-25</v>
      </c>
      <c r="AU149" s="575" t="str">
        <f ca="1">CONCATENATE($A149,Q$147)</f>
        <v>131-Dec-28</v>
      </c>
      <c r="AV149" s="575" t="str">
        <f>CONCATENATE($A149,V$147)</f>
        <v>1</v>
      </c>
      <c r="AW149" s="575" t="str">
        <f>CONCATENATE($A149,Y$147)</f>
        <v>1</v>
      </c>
      <c r="AX149" s="575" t="str">
        <f>CONCATENATE($A149,AB$147)</f>
        <v>1</v>
      </c>
      <c r="AY149" s="575" t="str">
        <f>CONCATENATE($A149,AE$147)</f>
        <v>1</v>
      </c>
      <c r="AZ149" s="575" t="str">
        <f>CONCATENATE($A149,AH$147)</f>
        <v>1</v>
      </c>
      <c r="BA149" s="575" t="str">
        <f>CONCATENATE($A149,AK$147)</f>
        <v>1</v>
      </c>
      <c r="BB149" s="96"/>
      <c r="BC149" s="97"/>
    </row>
    <row r="150" spans="1:55" s="16" customFormat="1" ht="88.35" customHeight="1">
      <c r="A150" s="608"/>
      <c r="B150" s="646" t="str">
        <f ca="1">IFERROR(IF(INDEX('Coverage Indicators - Section D'!AM$1:AM$110,MATCH('Print View'!$A149,'Coverage Indicators - Section D'!$A$1:$A$110,0))&lt;&gt;0,INDEX('Coverage Indicators - Section D'!AM$1:AM$110,MATCH('Print View'!$A149,'Coverage Indicators - Section D'!$A$1:$A$110,0)),""),"")</f>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7 ciudades (Sucre, La Paz, El Alto, Cochabamba, Oruro, Santa Cruz y Trinidad) el resto de la población será cubierta con recursos del estado.
Paquete de Prevención: El indicador mide el abordaje de la población GB-HSH con acciones de prevención a través de los establecimientos de salud (CDVIR/CRVIR y Centros desconcentrados) y estrategias comunitarias (promotores educadores pares (PEP), Unidades Móviles, Centros comunitarios y Brigadas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Método de medición: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41% a 48% de GB-HSH que reciben paquetes de prevención.
Contribución del FM: El FM contribuirá con el 95%, 94% y 93% respectivamente en los 3 años del proyecto, cubriendo hasta 2 paquetes al año en las 7 ciudades priorizadas.</v>
      </c>
      <c r="C150" s="647"/>
      <c r="D150" s="647"/>
      <c r="E150" s="647"/>
      <c r="F150" s="647"/>
      <c r="G150" s="647"/>
      <c r="H150" s="647"/>
      <c r="I150" s="647"/>
      <c r="J150" s="647"/>
      <c r="K150" s="647"/>
      <c r="L150" s="647"/>
      <c r="M150" s="647"/>
      <c r="N150" s="647"/>
      <c r="O150" s="647"/>
      <c r="P150" s="647"/>
      <c r="Q150" s="647"/>
      <c r="R150" s="647"/>
      <c r="S150" s="648"/>
      <c r="T150" s="92"/>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577"/>
      <c r="AU150" s="575"/>
      <c r="AV150" s="575"/>
      <c r="AW150" s="575"/>
      <c r="AX150" s="575"/>
      <c r="AY150" s="575"/>
      <c r="AZ150" s="575"/>
      <c r="BA150" s="575"/>
      <c r="BB150" s="96"/>
      <c r="BC150" s="97"/>
    </row>
    <row r="151" spans="1:55" s="16" customFormat="1" ht="177" customHeight="1">
      <c r="A151" s="609">
        <v>2</v>
      </c>
      <c r="B151" s="83" t="str">
        <f ca="1">IFERROR(IF(INDEX('Coverage Indicators - Section D'!B$1:B$100,MATCH('Print View'!$A151,'Coverage Indicators - Section D'!$A$1:$A$100,0))&lt;&gt;0,INDEX('Coverage Indicators - Section D'!B$1:B$100,MATCH('Print View'!$A151,'Coverage Indicators - Section D'!$A$1:$A$100,0)),""),"")</f>
        <v>Servicios diferenciados de diagnóstico del VIH</v>
      </c>
      <c r="C151" s="83" t="str">
        <f ca="1">IFERROR(IF(INDEX('Coverage Indicators - Section D'!D$1:D$100,MATCH('Print View'!$A151,'Coverage Indicators - Section D'!$A$1:$A$100,0))&lt;&gt;0,INDEX('Coverage Indicators - Section D'!D$1:D$100,MATCH('Print View'!$A151,'Coverage Indicators - Section D'!$A$1:$A$100,0)),""),"")</f>
        <v>HTS-3a⁽ᴹ⁾ Porcentaje de HSH a los que se les ha realizado una prueba de VIH durante el período de reporte y que conocen sus resultados</v>
      </c>
      <c r="D151" s="83" t="str">
        <f ca="1">IFERROR(IF(INDEX('Coverage Indicators - Section D'!E$1:E$100,MATCH('Print View'!$A151,'Coverage Indicators - Section D'!$A$1:$A$100,0))&lt;&gt;0,INDEX('Coverage Indicators - Section D'!E$1:E$100,MATCH('Print View'!$A151,'Coverage Indicators - Section D'!$A$1:$A$100,0)),""),"")</f>
        <v/>
      </c>
      <c r="E151" s="45" t="str">
        <f ca="1">IFERROR(IF(INDEX('Coverage Indicators - Section D'!F$1:F$100,MATCH('Print View'!$A151,'Coverage Indicators - Section D'!$A$1:$A$100,0))&lt;&gt;"",INDEX('Coverage Indicators - Section D'!F$1:F$100,MATCH('Print View'!$A151,'Coverage Indicators - Section D'!$A$1:$A$100,0)),""),"")&amp;"/"&amp;IFERROR(IF(INDEX('Coverage Indicators - Section D'!F$1:F$100,MATCH('Print View'!$A151,'Coverage Indicators - Section D'!$A$1:$A$100,0)+1)&lt;&gt;"",INDEX('Coverage Indicators - Section D'!F$1:F$100,MATCH('Print View'!$A151,'Coverage Indicators - Section D'!$A$1:$A$100,0)+1),""),"")&amp;CHAR(10)&amp;IFERROR(IF(INDEX('Coverage Indicators - Section D'!G$1:G$100,MATCH('Print View'!$A151,'Coverage Indicators - Section D'!$A$1:$A$100,0))&lt;&gt;"",FIXED(INDEX('Coverage Indicators - Section D'!G$1:G$100,MATCH('Print View'!$A151,'Coverage Indicators - Section D'!$A$1:$A$100,0))*100,2)&amp;"%",""),"")</f>
        <v>12458/32407
38.44%</v>
      </c>
      <c r="F151" s="84" t="str">
        <f ca="1">IFERROR(IF(INDEX('Coverage Indicators - Section D'!H$1:H$100,MATCH('Print View'!$A151,'Coverage Indicators - Section D'!$A$1:$A$100,0))&lt;&gt;0,INDEX('Coverage Indicators - Section D'!H$1:H$100,MATCH('Print View'!$A151,'Coverage Indicators - Section D'!$A$1:$A$100,0)),""),"")&amp;CHAR(10)&amp;IFERROR(IF(INDEX('Coverage Indicators - Section D'!I$1:I$100,MATCH('Print View'!$A151,'Coverage Indicators - Section D'!$A$1:$A$100,0))&lt;&gt;0,INDEX('Coverage Indicators - Section D'!I$1:I$100,MATCH('Print View'!$A151,'Coverage Indicators - Section D'!$A$1:$A$100,0)),""),"")</f>
        <v>2021
Reporte de la Unidad de Vigilancia Epidemiologica - Componente VIH - SIMONE</v>
      </c>
      <c r="G151" s="85" t="str">
        <f>IFERROR(IF(INDEX('Coverage Indicators - Section D'!J9:J38,MATCH('Print View'!$A151,'Coverage Indicators - Section D'!$A$9:$A$38,0))&lt;&gt;0,INDEX('Coverage Indicators - Section D'!J9:J38,MATCH('Print View'!$A151,'Coverage Indicators - Section D'!$A$9:$A$38,0)),""),"")</f>
        <v>Edad,Resultado de prueba del VIH</v>
      </c>
      <c r="H151" s="84" t="str">
        <f ca="1">IFERROR(IF(INDEX('Coverage Indicators - Section D'!K$1:K$100,MATCH('Print View'!$A151,'Coverage Indicators - Section D'!$A$1:$A$100,0))&lt;&gt;0,INDEX('Coverage Indicators - Section D'!K$1:K$100,MATCH('Print View'!$A151,'Coverage Indicators - Section D'!$A$1:$A$100,0)),""),"")</f>
        <v>Yes</v>
      </c>
      <c r="I151" s="85" t="str">
        <f ca="1">IFERROR(IF(AND('Overview - Section A'!AN$5="Grant Making",OR(C151&lt;&gt;"",D151&lt;&gt;"")),Setup!I15,IF(INDEX('Coverage Indicators - Section D'!L$1:L$100,MATCH('Print View'!$A151,'Coverage Indicators - Section D'!$A$1:$A$100,0))&lt;&gt;0,INDEX('Coverage Indicators - Section D'!L$1:L$100,MATCH('Print View'!$A151,'Coverage Indicators - Section D'!$A$1:$A$100,0)),"")),"")</f>
        <v/>
      </c>
      <c r="J151" s="88" t="str">
        <f ca="1">IFERROR(IF(INDEX('Coverage Indicators - Section D'!M$1:M$100,MATCH('Print View'!$A151,'Coverage Indicators - Section D'!$A$1:$A$100,0))&lt;&gt;0,INDEX('Coverage Indicators - Section D'!M$1:M$100,MATCH('Print View'!$A151,'Coverage Indicators - Section D'!$A$1:$A$100,0)),""),"")&amp;CHAR(10)&amp;CHAR(10)&amp;IFERROR(IF(INDEX('Coverage Indicators - Section D'!M$1:M$100,MATCH('Print View'!$A151,'Coverage Indicators - Section D'!$A$1:$A$100,0)+1)&lt;&gt;0,INDEX('Coverage Indicators - Section D'!M$1:M$100,MATCH('Print View'!$A151,'Coverage Indicators - Section D'!$A$1:$A$100,0)+1),""),"")</f>
        <v>Bolivia (Plurinational State)
Geographic Subnational, 100% of national program target</v>
      </c>
      <c r="K151" s="84" t="str">
        <f ca="1">IFERROR(IF(INDEX('Coverage Indicators - Section D'!N$1:N$100,MATCH('Print View'!$A151,'Coverage Indicators - Section D'!$A$1:$A$100,0))&lt;&gt;0,INDEX('Coverage Indicators - Section D'!N$1:N$100,MATCH('Print View'!$A151,'Coverage Indicators - Section D'!$A$1:$A$100,0)),""),"")</f>
        <v/>
      </c>
      <c r="L151" s="88" t="str">
        <f ca="1">IFERROR(IF(INDEX('Coverage Indicators - Section D'!O$1:O$100,MATCH('Print View'!$A151,'Coverage Indicators - Section D'!$A$1:$A$100,0))&lt;&gt;"",INDEX('Coverage Indicators - Section D'!O$1:O$100,MATCH('Print View'!$A151,'Coverage Indicators - Section D'!$A$1:$A$100,0)),""),"")&amp;"/"&amp;IFERROR(IF(INDEX('Coverage Indicators - Section D'!O$1:O$100,MATCH('Print View'!$A151,'Coverage Indicators - Section D'!$A$1:$A$100,0)+1)&lt;&gt;"",INDEX('Coverage Indicators - Section D'!O$1:O$100,MATCH('Print View'!$A151,'Coverage Indicators - Section D'!$A$1:$A$100,0)+1),""),"")&amp;CHAR(10)&amp;IFERROR(IF(INDEX('Coverage Indicators - Section D'!P$1:P$100,MATCH('Print View'!$A151,'Coverage Indicators - Section D'!$A$1:$A$100,0))&lt;&gt;"",FIXED(INDEX('Coverage Indicators - Section D'!P$1:P$100,MATCH('Print View'!$A151,'Coverage Indicators - Section D'!$A$1:$A$100,0))*100,2)&amp;"%",""),"")&amp;CHAR(10)&amp;IFERROR(IF(INDEX('Coverage Indicators - Section D'!Q$1:Q$100,MATCH('Print View'!$A151,'Coverage Indicators - Section D'!$A$1:$A$100,0))&lt;&gt;"",INDEX('Coverage Indicators - Section D'!Q$1:Q$100,MATCH('Print View'!$A151,'Coverage Indicators - Section D'!$A$1:$A$100,0)),""),"")</f>
        <v xml:space="preserve">14799/33435
44.26%
</v>
      </c>
      <c r="M151" s="88" t="str">
        <f ca="1">IFERROR(IF(INDEX('Coverage Indicators - Section D'!R$1:R$100,MATCH('Print View'!$A151,'Coverage Indicators - Section D'!$A$1:$A$100,0))&lt;&gt;"",INDEX('Coverage Indicators - Section D'!R$1:R$100,MATCH('Print View'!$A151,'Coverage Indicators - Section D'!$A$1:$A$100,0)),""),"")&amp;"/"&amp;IFERROR(IF(INDEX('Coverage Indicators - Section D'!R$1:R$100,MATCH('Print View'!$A151,'Coverage Indicators - Section D'!$A$1:$A$100,0)+1)&lt;&gt;"",INDEX('Coverage Indicators - Section D'!R$1:R$100,MATCH('Print View'!$A151,'Coverage Indicators - Section D'!$A$1:$A$100,0)+1),""),"")&amp;CHAR(10)&amp;IFERROR(IF(INDEX('Coverage Indicators - Section D'!S$1:S$100,MATCH('Print View'!$A151,'Coverage Indicators - Section D'!$A$1:$A$100,0))&lt;&gt;"",FIXED(INDEX('Coverage Indicators - Section D'!S$1:S$100,MATCH('Print View'!$A151,'Coverage Indicators - Section D'!$A$1:$A$100,0))*100,2)&amp;"%",""),"")&amp;CHAR(10)&amp;IFERROR(IF(INDEX('Coverage Indicators - Section D'!T$1:T$100,MATCH('Print View'!$A151,'Coverage Indicators - Section D'!$A$1:$A$100,0))&lt;&gt;"",INDEX('Coverage Indicators - Section D'!T$1:T$100,MATCH('Print View'!$A151,'Coverage Indicators - Section D'!$A$1:$A$100,0)),""),"")</f>
        <v xml:space="preserve">15126/33952
44.55%
</v>
      </c>
      <c r="N151" s="88" t="str">
        <f ca="1">IFERROR(IF(INDEX('Coverage Indicators - Section D'!U$1:U$100,MATCH('Print View'!$A151,'Coverage Indicators - Section D'!$A$1:$A$100,0))&lt;&gt;"",INDEX('Coverage Indicators - Section D'!U$1:U$100,MATCH('Print View'!$A151,'Coverage Indicators - Section D'!$A$1:$A$100,0)),""),"")&amp;"/"&amp;IFERROR(IF(INDEX('Coverage Indicators - Section D'!U$1:U$100,MATCH('Print View'!$A151,'Coverage Indicators - Section D'!$A$1:$A$100,0)+1)&lt;&gt;"",INDEX('Coverage Indicators - Section D'!U$1:U$100,MATCH('Print View'!$A151,'Coverage Indicators - Section D'!$A$1:$A$100,0)+1),""),"")&amp;CHAR(10)&amp;IFERROR(IF(INDEX('Coverage Indicators - Section D'!V$1:V$100,MATCH('Print View'!$A151,'Coverage Indicators - Section D'!$A$1:$A$100,0))&lt;&gt;"",FIXED(INDEX('Coverage Indicators - Section D'!V$1:V$100,MATCH('Print View'!$A151,'Coverage Indicators - Section D'!$A$1:$A$100,0))*100,2)&amp;"%",""),"")&amp;CHAR(10)&amp;IFERROR(IF(INDEX('Coverage Indicators - Section D'!W$1:W$100,MATCH('Print View'!$A151,'Coverage Indicators - Section D'!$A$1:$A$100,0))&lt;&gt;"",INDEX('Coverage Indicators - Section D'!W$1:W$100,MATCH('Print View'!$A151,'Coverage Indicators - Section D'!$A$1:$A$100,0)),""),"")</f>
        <v xml:space="preserve">15444/34467
44.81%
</v>
      </c>
      <c r="O151" s="88" t="str">
        <f ca="1">IFERROR(IF(INDEX('Coverage Indicators - Section D'!X$1:X$100,MATCH('Print View'!$A151,'Coverage Indicators - Section D'!$A$1:$A$100,0))&lt;&gt;"",INDEX('Coverage Indicators - Section D'!X$1:X$100,MATCH('Print View'!$A151,'Coverage Indicators - Section D'!$A$1:$A$100,0)),""),"")&amp;"/"&amp;IFERROR(IF(INDEX('Coverage Indicators - Section D'!X$1:X$100,MATCH('Print View'!$A151,'Coverage Indicators - Section D'!$A$1:$A$100,0)+1)&lt;&gt;"",INDEX('Coverage Indicators - Section D'!X$1:X$100,MATCH('Print View'!$A151,'Coverage Indicators - Section D'!$A$1:$A$100,0)+1),""),"")&amp;CHAR(10)&amp;IFERROR(IF(INDEX('Coverage Indicators - Section D'!Y$1:Y$100,MATCH('Print View'!$A151,'Coverage Indicators - Section D'!$A$1:$A$100,0))&lt;&gt;"",FIXED(INDEX('Coverage Indicators - Section D'!Y$1:Y$100,MATCH('Print View'!$A151,'Coverage Indicators - Section D'!$A$1:$A$100,0))*100,2)&amp;"%",""),"")&amp;CHAR(10)&amp;IFERROR(IF(INDEX('Coverage Indicators - Section D'!Z$1:Z$100,MATCH('Print View'!$A151,'Coverage Indicators - Section D'!$A$1:$A$100,0))&lt;&gt;"",INDEX('Coverage Indicators - Section D'!Z$1:Z$100,MATCH('Print View'!$A151,'Coverage Indicators - Section D'!$A$1:$A$100,0)),""),"")</f>
        <v xml:space="preserve">/
</v>
      </c>
      <c r="P151" s="88" t="str">
        <f ca="1">IFERROR(IF(INDEX('Coverage Indicators - Section D'!AA$1:AA$100,MATCH('Print View'!$A151,'Coverage Indicators - Section D'!$A$1:$A$100,0))&lt;&gt;"",INDEX('Coverage Indicators - Section D'!AA$1:AA$100,MATCH('Print View'!$A151,'Coverage Indicators - Section D'!$A$1:$A$100,0)),""),"")&amp;"/"&amp;IFERROR(IF(INDEX('Coverage Indicators - Section D'!AA$1:AA$100,MATCH('Print View'!$A151,'Coverage Indicators - Section D'!$A$1:$A$100,0)+1)&lt;&gt;"",INDEX('Coverage Indicators - Section D'!AA$1:AA$100,MATCH('Print View'!$A151,'Coverage Indicators - Section D'!$A$1:$A$100,0)+1),""),"")&amp;CHAR(10)&amp;IFERROR(IF(INDEX('Coverage Indicators - Section D'!AB$1:AB$100,MATCH('Print View'!$A151,'Coverage Indicators - Section D'!$A$1:$A$100,0))&lt;&gt;"",FIXED(INDEX('Coverage Indicators - Section D'!AB$1:AB$100,MATCH('Print View'!$A151,'Coverage Indicators - Section D'!$A$1:$A$100,0))*100,2)&amp;"%",""),"")&amp;CHAR(10)&amp;IFERROR(IF(INDEX('Coverage Indicators - Section D'!AC$1:AC$100,MATCH('Print View'!$A151,'Coverage Indicators - Section D'!$A$1:$A$100,0))&lt;&gt;"",INDEX('Coverage Indicators - Section D'!AC$1:AC$100,MATCH('Print View'!$A151,'Coverage Indicators - Section D'!$A$1:$A$100,0)),""),"")</f>
        <v xml:space="preserve">/
</v>
      </c>
      <c r="Q151" s="88" t="str">
        <f ca="1">IFERROR(IF(INDEX('Coverage Indicators - Section D'!AD$1:AD$100,MATCH('Print View'!$A151,'Coverage Indicators - Section D'!$A$1:$A$100,0))&lt;&gt;"",INDEX('Coverage Indicators - Section D'!AD$1:AD$100,MATCH('Print View'!$A151,'Coverage Indicators - Section D'!$A$1:$A$100,0)),""),"")&amp;"/"&amp;IFERROR(IF(INDEX('Coverage Indicators - Section D'!AD$1:AD$100,MATCH('Print View'!$A151,'Coverage Indicators - Section D'!$A$1:$A$100,0)+1)&lt;&gt;"",INDEX('Coverage Indicators - Section D'!AD$1:AD$100,MATCH('Print View'!$A151,'Coverage Indicators - Section D'!$A$1:$A$100,0)+1),""),"")&amp;CHAR(10)&amp;IFERROR(IF(INDEX('Coverage Indicators - Section D'!AE$1:AE$100,MATCH('Print View'!$A151,'Coverage Indicators - Section D'!$A$1:$A$100,0))&lt;&gt;"",FIXED(INDEX('Coverage Indicators - Section D'!AE$1:AE$100,MATCH('Print View'!$A151,'Coverage Indicators - Section D'!$A$1:$A$100,0))*100,2)&amp;"%",""),"")&amp;CHAR(10)&amp;IFERROR(IF(INDEX('Coverage Indicators - Section D'!AF$1:AF$100,MATCH('Print View'!$A151,'Coverage Indicators - Section D'!$A$1:$A$100,0))&lt;&gt;"",INDEX('Coverage Indicators - Section D'!AF$1:AF$100,MATCH('Print View'!$A151,'Coverage Indicators - Section D'!$A$1:$A$100,0)),""),"")</f>
        <v xml:space="preserve">/
</v>
      </c>
      <c r="R151" s="88" t="str">
        <f ca="1">IFERROR(IF(INDEX('Coverage Indicators - Section D'!AG$1:AG$100,MATCH('Print View'!$A151,'Coverage Indicators - Section D'!$A$1:$A$100,0))&lt;&gt;"",INDEX('Coverage Indicators - Section D'!AG$1:AG$100,MATCH('Print View'!$A151,'Coverage Indicators - Section D'!$A$1:$A$100,0)),""),"")&amp;"/"&amp;IFERROR(IF(INDEX('Coverage Indicators - Section D'!AG$1:AG$100,MATCH('Print View'!$A151,'Coverage Indicators - Section D'!$A$1:$A$100,0)+1)&lt;&gt;"",INDEX('Coverage Indicators - Section D'!AG$1:AG$100,MATCH('Print View'!$A151,'Coverage Indicators - Section D'!$A$1:$A$100,0)+1),""),"")&amp;CHAR(10)&amp;IFERROR(IF(INDEX('Coverage Indicators - Section D'!AH$1:AH$100,MATCH('Print View'!$A151,'Coverage Indicators - Section D'!$A$1:$A$100,0))&lt;&gt;"",FIXED(INDEX('Coverage Indicators - Section D'!AH$1:AH$100,MATCH('Print View'!$A151,'Coverage Indicators - Section D'!$A$1:$A$100,0))*100,2)&amp;"%",""),"")&amp;CHAR(10)&amp;IFERROR(IF(INDEX('Coverage Indicators - Section D'!AI$1:AI$100,MATCH('Print View'!$A151,'Coverage Indicators - Section D'!$A$1:$A$100,0))&lt;&gt;"",INDEX('Coverage Indicators - Section D'!AI$1:AI$100,MATCH('Print View'!$A151,'Coverage Indicators - Section D'!$A$1:$A$100,0)),""),"")</f>
        <v xml:space="preserve">/
</v>
      </c>
      <c r="S151" s="88" t="str">
        <f ca="1">IFERROR(IF(INDEX('Coverage Indicators - Section D'!AJ$1:AJ$100,MATCH('Print View'!$A151,'Coverage Indicators - Section D'!$A$1:$A$100,0))&lt;&gt;"",INDEX('Coverage Indicators - Section D'!AJ$1:AJ$100,MATCH('Print View'!$A151,'Coverage Indicators - Section D'!$A$1:$A$100,0)),""),"")&amp;"/"&amp;IFERROR(IF(INDEX('Coverage Indicators - Section D'!AJ$1:AJ$100,MATCH('Print View'!$A151,'Coverage Indicators - Section D'!$A$1:$A$100,0)+1)&lt;&gt;"",INDEX('Coverage Indicators - Section D'!AJ$1:AJ$100,MATCH('Print View'!$A151,'Coverage Indicators - Section D'!$A$1:$A$100,0)+1),""),"")&amp;CHAR(10)&amp;IFERROR(IF(INDEX('Coverage Indicators - Section D'!AK$1:AK$100,MATCH('Print View'!$A151,'Coverage Indicators - Section D'!$A$1:$A$100,0))&lt;&gt;"",FIXED(INDEX('Coverage Indicators - Section D'!AK$1:AK$100,MATCH('Print View'!$A151,'Coverage Indicators - Section D'!$A$1:$A$100,0))*100,2)&amp;"%",""),"")&amp;CHAR(10)&amp;IFERROR(IF(INDEX('Coverage Indicators - Section D'!AL$1:AL$100,MATCH('Print View'!$A151,'Coverage Indicators - Section D'!$A$1:$A$100,0))&lt;&gt;"",INDEX('Coverage Indicators - Section D'!AL$1:AL$100,MATCH('Print View'!$A151,'Coverage Indicators - Section D'!$A$1:$A$100,0)),""),"")</f>
        <v xml:space="preserve">/
</v>
      </c>
      <c r="T151" s="93"/>
      <c r="U151" s="13"/>
      <c r="V151" s="13"/>
      <c r="W151" s="13"/>
      <c r="X151" s="13"/>
      <c r="Y151" s="13"/>
      <c r="Z151" s="13"/>
      <c r="AA151" s="13"/>
      <c r="AB151" s="13"/>
      <c r="AC151" s="13"/>
      <c r="AD151" s="13"/>
      <c r="AE151" s="13"/>
      <c r="AF151" s="13"/>
      <c r="AG151" s="13"/>
      <c r="AH151" s="13"/>
      <c r="AI151" s="13"/>
      <c r="AJ151" s="13"/>
      <c r="AK151" s="13"/>
      <c r="AL151" s="13"/>
      <c r="AM151" s="13"/>
      <c r="AN151" s="13"/>
      <c r="AO151" s="13" t="str">
        <f ca="1">IFERROR(IF(INDEX('Coverage Indicators - Section D'!AD$1:AD$110,MATCH('Print View'!$A151,'Coverage Indicators - Section D'!$A$1:$A$110,0))&lt;&gt;0,INDEX('Coverage Indicators - Section D'!AD$1:AD$110,MATCH('Print View'!$A151,'Coverage Indicators - Section D'!$A$1:$A$110,0)),""),"")</f>
        <v/>
      </c>
      <c r="AP151" s="13"/>
      <c r="AQ151" s="13"/>
      <c r="AR151" s="13"/>
      <c r="AS151" s="13"/>
      <c r="AT151" s="577" t="str">
        <f ca="1">CONCATENATE($A151,N$147)</f>
        <v>231-Dec-25</v>
      </c>
      <c r="AU151" s="575" t="str">
        <f ca="1">CONCATENATE($A151,Q$147)</f>
        <v>231-Dec-28</v>
      </c>
      <c r="AV151" s="575" t="str">
        <f>CONCATENATE($A151,V$147)</f>
        <v>2</v>
      </c>
      <c r="AW151" s="575" t="str">
        <f>CONCATENATE($A151,Y$147)</f>
        <v>2</v>
      </c>
      <c r="AX151" s="575" t="str">
        <f>CONCATENATE($A151,AB$147)</f>
        <v>2</v>
      </c>
      <c r="AY151" s="575" t="str">
        <f>CONCATENATE($A151,AE$147)</f>
        <v>2</v>
      </c>
      <c r="AZ151" s="575" t="str">
        <f>CONCATENATE($A151,AH$147)</f>
        <v>2</v>
      </c>
      <c r="BA151" s="575" t="str">
        <f>CONCATENATE($A151,AK$147)</f>
        <v>2</v>
      </c>
      <c r="BB151" s="96"/>
      <c r="BC151" s="97"/>
    </row>
    <row r="152" spans="1:55" s="16" customFormat="1" ht="88.35" customHeight="1">
      <c r="A152" s="609"/>
      <c r="B152" s="630" t="str">
        <f ca="1">IFERROR(IF(INDEX('Coverage Indicators - Section D'!AM$1:AM$110,MATCH('Print View'!$A151,'Coverage Indicators - Section D'!$A$1:$A$110,0))&lt;&gt;0,INDEX('Coverage Indicators - Section D'!AM$1:AM$110,MATCH('Print View'!$A151,'Coverage Indicators - Section D'!$A$1:$A$110,0)),""),"")</f>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7 ciudades (Sucre, La Paz, El Alto, Cochabamba, Oruro, Santa Cruz y Trinidad) el resto de la población será cubierta con recursos del estado.
Servicios de diagnóstico: Incluirá consejería, realización de la prueba de VIH y vinculación de casos VIH positivo a la atención integral de VIH. Las pruebas de VIH estarán disponibles en los centros departamentales y regionales de salud (CDVIR/CRVIR), centros desconcentrados, centros comunitarios, unidades móviles y brigadas móviles. Las guías nacionales recomiendan realizar un test cada 6 meses en la población de riesgo.
Método de medición: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38% a 45% de GB-HSH que se realizan prueba de VIH.
Contribución del FM: El FM contribuirá con 95%, 94% y 93% respectivamente en los 3 años del proyecto, cubriendo una prueba de VIH al año en las 7 ciudades priorizadas.</v>
      </c>
      <c r="C152" s="631"/>
      <c r="D152" s="631"/>
      <c r="E152" s="631"/>
      <c r="F152" s="631"/>
      <c r="G152" s="631"/>
      <c r="H152" s="631"/>
      <c r="I152" s="632"/>
      <c r="J152" s="632"/>
      <c r="K152" s="632"/>
      <c r="L152" s="632"/>
      <c r="M152" s="632"/>
      <c r="N152" s="632"/>
      <c r="O152" s="632"/>
      <c r="P152" s="632"/>
      <c r="Q152" s="632"/>
      <c r="R152" s="632"/>
      <c r="S152" s="633"/>
      <c r="T152" s="94"/>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577"/>
      <c r="AU152" s="575"/>
      <c r="AV152" s="575"/>
      <c r="AW152" s="575"/>
      <c r="AX152" s="575"/>
      <c r="AY152" s="575"/>
      <c r="AZ152" s="575"/>
      <c r="BA152" s="575"/>
      <c r="BB152" s="96"/>
      <c r="BC152" s="97"/>
    </row>
    <row r="153" spans="1:55" s="16" customFormat="1" ht="177" customHeight="1">
      <c r="A153" s="608">
        <v>3</v>
      </c>
      <c r="B153" s="80" t="str">
        <f ca="1">IFERROR(IF(INDEX('Coverage Indicators - Section D'!B$1:B$100,MATCH('Print View'!$A153,'Coverage Indicators - Section D'!$A$1:$A$100,0))&lt;&gt;0,INDEX('Coverage Indicators - Section D'!B$1:B$100,MATCH('Print View'!$A153,'Coverage Indicators - Section D'!$A$1:$A$100,0)),""),"")</f>
        <v>Prevención</v>
      </c>
      <c r="C153" s="80" t="str">
        <f ca="1">IFERROR(IF(INDEX('Coverage Indicators - Section D'!D$1:D$100,MATCH('Print View'!$A153,'Coverage Indicators - Section D'!$A$1:$A$100,0))&lt;&gt;0,INDEX('Coverage Indicators - Section D'!D$1:D$100,MATCH('Print View'!$A153,'Coverage Indicators - Section D'!$A$1:$A$100,0)),""),"")</f>
        <v>KP-1b⁽ᴹ⁾ Porcentaje de personas transgénero alcanzados por programas de prevención del VIH - paquete definido de servicios</v>
      </c>
      <c r="D153" s="80" t="str">
        <f ca="1">IFERROR(IF(INDEX('Coverage Indicators - Section D'!E$1:E$100,MATCH('Print View'!$A153,'Coverage Indicators - Section D'!$A$1:$A$100,0))&lt;&gt;0,INDEX('Coverage Indicators - Section D'!E$1:E$100,MATCH('Print View'!$A153,'Coverage Indicators - Section D'!$A$1:$A$100,0)),""),"")</f>
        <v/>
      </c>
      <c r="E153" s="81" t="str">
        <f ca="1">IFERROR(IF(INDEX('Coverage Indicators - Section D'!F$1:F$100,MATCH('Print View'!$A153,'Coverage Indicators - Section D'!$A$1:$A$100,0))&lt;&gt;"",INDEX('Coverage Indicators - Section D'!F$1:F$100,MATCH('Print View'!$A153,'Coverage Indicators - Section D'!$A$1:$A$100,0)),""),"")&amp;"/"&amp;IFERROR(IF(INDEX('Coverage Indicators - Section D'!F$1:F$100,MATCH('Print View'!$A153,'Coverage Indicators - Section D'!$A$1:$A$100,0)+1)&lt;&gt;"",INDEX('Coverage Indicators - Section D'!F$1:F$100,MATCH('Print View'!$A153,'Coverage Indicators - Section D'!$A$1:$A$100,0)+1),""),"")&amp;CHAR(10)&amp;IFERROR(IF(INDEX('Coverage Indicators - Section D'!G$1:G$100,MATCH('Print View'!$A153,'Coverage Indicators - Section D'!$A$1:$A$100,0))&lt;&gt;"",FIXED(INDEX('Coverage Indicators - Section D'!G$1:G$100,MATCH('Print View'!$A153,'Coverage Indicators - Section D'!$A$1:$A$100,0))*100,2)&amp;"%",""),"")</f>
        <v>1314/1705
77.07%</v>
      </c>
      <c r="F153" s="82" t="str">
        <f ca="1">IFERROR(IF(INDEX('Coverage Indicators - Section D'!H$1:H$100,MATCH('Print View'!$A153,'Coverage Indicators - Section D'!$A$1:$A$100,0))&lt;&gt;0,INDEX('Coverage Indicators - Section D'!H$1:H$100,MATCH('Print View'!$A153,'Coverage Indicators - Section D'!$A$1:$A$100,0)),""),"")&amp;CHAR(10)&amp;IFERROR(IF(INDEX('Coverage Indicators - Section D'!I$1:I$100,MATCH('Print View'!$A153,'Coverage Indicators - Section D'!$A$1:$A$100,0))&lt;&gt;0,INDEX('Coverage Indicators - Section D'!I$1:I$100,MATCH('Print View'!$A153,'Coverage Indicators - Section D'!$A$1:$A$100,0)),""),"")</f>
        <v>2021
Reporte de la Unidad de Vigilancia Epidemiologica - Componente VIH - SIMONE</v>
      </c>
      <c r="G153" s="41" t="str">
        <f>IFERROR(IF(INDEX('Coverage Indicators - Section D'!J13:J42,MATCH('Print View'!$A153,'Coverage Indicators - Section D'!$A$9:$A$38,0))&lt;&gt;0,INDEX('Coverage Indicators - Section D'!J13:J42,MATCH('Print View'!$A153,'Coverage Indicators - Section D'!$A$9:$A$38,0)),""),"")</f>
        <v>Edad,Género,Duración del tratamiento,Grupo de riesgo objetivo</v>
      </c>
      <c r="H153" s="42" t="str">
        <f ca="1">IFERROR(IF(INDEX('Coverage Indicators - Section D'!K$1:K$100,MATCH('Print View'!$A153,'Coverage Indicators - Section D'!$A$1:$A$100,0))&lt;&gt;0,INDEX('Coverage Indicators - Section D'!K$1:K$100,MATCH('Print View'!$A153,'Coverage Indicators - Section D'!$A$1:$A$100,0)),""),"")</f>
        <v/>
      </c>
      <c r="I153" s="41" t="str">
        <f ca="1">IFERROR(IF(AND('Overview - Section A'!AN$5="Grant Making",OR(C153&lt;&gt;"",D153&lt;&gt;"")),Setup!I15,IF(INDEX('Coverage Indicators - Section D'!L$1:L$100,MATCH('Print View'!$A153,'Coverage Indicators - Section D'!$A$1:$A$100,0))&lt;&gt;0,INDEX('Coverage Indicators - Section D'!L$1:L$100,MATCH('Print View'!$A153,'Coverage Indicators - Section D'!$A$1:$A$100,0)),"")),"")</f>
        <v/>
      </c>
      <c r="J153" s="81" t="str">
        <f ca="1">IFERROR(IF(INDEX('Coverage Indicators - Section D'!M$1:M$100,MATCH('Print View'!$A153,'Coverage Indicators - Section D'!$A$1:$A$100,0))&lt;&gt;0,INDEX('Coverage Indicators - Section D'!M$1:M$100,MATCH('Print View'!$A153,'Coverage Indicators - Section D'!$A$1:$A$100,0)),""),"")&amp;CHAR(10)&amp;CHAR(10)&amp;IFERROR(IF(INDEX('Coverage Indicators - Section D'!M$1:M$100,MATCH('Print View'!$A153,'Coverage Indicators - Section D'!$A$1:$A$100,0)+1)&lt;&gt;0,INDEX('Coverage Indicators - Section D'!M$1:M$100,MATCH('Print View'!$A153,'Coverage Indicators - Section D'!$A$1:$A$100,0)+1),""),"")</f>
        <v>Bolivia (Plurinational State)
Geographic Subnational, 100% of national program target</v>
      </c>
      <c r="K153" s="81" t="str">
        <f ca="1">IFERROR(IF(INDEX('Coverage Indicators - Section D'!N$1:N$100,MATCH('Print View'!$A153,'Coverage Indicators - Section D'!$A$1:$A$100,0))&lt;&gt;0,INDEX('Coverage Indicators - Section D'!N$1:N$100,MATCH('Print View'!$A153,'Coverage Indicators - Section D'!$A$1:$A$100,0)),""),"")</f>
        <v/>
      </c>
      <c r="L153" s="81" t="str">
        <f ca="1">IFERROR(IF(INDEX('Coverage Indicators - Section D'!O$1:O$100,MATCH('Print View'!$A153,'Coverage Indicators - Section D'!$A$1:$A$100,0))&lt;&gt;"",INDEX('Coverage Indicators - Section D'!O$1:O$100,MATCH('Print View'!$A153,'Coverage Indicators - Section D'!$A$1:$A$100,0)),""),"")&amp;"/"&amp;IFERROR(IF(INDEX('Coverage Indicators - Section D'!O$1:O$100,MATCH('Print View'!$A153,'Coverage Indicators - Section D'!$A$1:$A$100,0)+1)&lt;&gt;"",INDEX('Coverage Indicators - Section D'!O$1:O$100,MATCH('Print View'!$A153,'Coverage Indicators - Section D'!$A$1:$A$100,0)+1),""),"")&amp;CHAR(10)&amp;IFERROR(IF(INDEX('Coverage Indicators - Section D'!P$1:P$100,MATCH('Print View'!$A153,'Coverage Indicators - Section D'!$A$1:$A$100,0))&lt;&gt;"",FIXED(INDEX('Coverage Indicators - Section D'!P$1:P$100,MATCH('Print View'!$A153,'Coverage Indicators - Section D'!$A$1:$A$100,0))*100,2)&amp;"%",""),"")&amp;CHAR(10)&amp;IFERROR(IF(INDEX('Coverage Indicators - Section D'!Q$1:Q$100,MATCH('Print View'!$A153,'Coverage Indicators - Section D'!$A$1:$A$100,0))&lt;&gt;"",INDEX('Coverage Indicators - Section D'!Q$1:Q$100,MATCH('Print View'!$A153,'Coverage Indicators - Section D'!$A$1:$A$100,0)),""),"")</f>
        <v xml:space="preserve">1332/1759
75.72%
</v>
      </c>
      <c r="M153" s="82" t="str">
        <f ca="1">IFERROR(IF(INDEX('Coverage Indicators - Section D'!R$1:R$100,MATCH('Print View'!$A153,'Coverage Indicators - Section D'!$A$1:$A$100,0))&lt;&gt;"",INDEX('Coverage Indicators - Section D'!R$1:R$100,MATCH('Print View'!$A153,'Coverage Indicators - Section D'!$A$1:$A$100,0)),""),"")&amp;"/"&amp;IFERROR(IF(INDEX('Coverage Indicators - Section D'!R$1:R$100,MATCH('Print View'!$A153,'Coverage Indicators - Section D'!$A$1:$A$100,0)+1)&lt;&gt;"",INDEX('Coverage Indicators - Section D'!R$1:R$100,MATCH('Print View'!$A153,'Coverage Indicators - Section D'!$A$1:$A$100,0)+1),""),"")&amp;CHAR(10)&amp;IFERROR(IF(INDEX('Coverage Indicators - Section D'!S$1:S$100,MATCH('Print View'!$A153,'Coverage Indicators - Section D'!$A$1:$A$100,0))&lt;&gt;"",FIXED(INDEX('Coverage Indicators - Section D'!S$1:S$100,MATCH('Print View'!$A153,'Coverage Indicators - Section D'!$A$1:$A$100,0))*100,2)&amp;"%",""),"")&amp;CHAR(10)&amp;IFERROR(IF(INDEX('Coverage Indicators - Section D'!T$1:T$100,MATCH('Print View'!$A153,'Coverage Indicators - Section D'!$A$1:$A$100,0))&lt;&gt;"",INDEX('Coverage Indicators - Section D'!T$1:T$100,MATCH('Print View'!$A153,'Coverage Indicators - Section D'!$A$1:$A$100,0)),""),"")</f>
        <v xml:space="preserve">1390/1786
77.83%
</v>
      </c>
      <c r="N153" s="81" t="str">
        <f ca="1">IFERROR(IF(INDEX('Coverage Indicators - Section D'!U$1:U$100,MATCH('Print View'!$A153,'Coverage Indicators - Section D'!$A$1:$A$100,0))&lt;&gt;"",INDEX('Coverage Indicators - Section D'!U$1:U$100,MATCH('Print View'!$A153,'Coverage Indicators - Section D'!$A$1:$A$100,0)),""),"")&amp;"/"&amp;IFERROR(IF(INDEX('Coverage Indicators - Section D'!U$1:U$100,MATCH('Print View'!$A153,'Coverage Indicators - Section D'!$A$1:$A$100,0)+1)&lt;&gt;"",INDEX('Coverage Indicators - Section D'!U$1:U$100,MATCH('Print View'!$A153,'Coverage Indicators - Section D'!$A$1:$A$100,0)+1),""),"")&amp;CHAR(10)&amp;IFERROR(IF(INDEX('Coverage Indicators - Section D'!V$1:V$100,MATCH('Print View'!$A153,'Coverage Indicators - Section D'!$A$1:$A$100,0))&lt;&gt;"",FIXED(INDEX('Coverage Indicators - Section D'!V$1:V$100,MATCH('Print View'!$A153,'Coverage Indicators - Section D'!$A$1:$A$100,0))*100,2)&amp;"%",""),"")&amp;CHAR(10)&amp;IFERROR(IF(INDEX('Coverage Indicators - Section D'!W$1:W$100,MATCH('Print View'!$A153,'Coverage Indicators - Section D'!$A$1:$A$100,0))&lt;&gt;"",INDEX('Coverage Indicators - Section D'!W$1:W$100,MATCH('Print View'!$A153,'Coverage Indicators - Section D'!$A$1:$A$100,0)),""),"")</f>
        <v xml:space="preserve">1453/1814
80.10%
</v>
      </c>
      <c r="O153" s="82" t="str">
        <f ca="1">IFERROR(IF(INDEX('Coverage Indicators - Section D'!X$1:X$100,MATCH('Print View'!$A153,'Coverage Indicators - Section D'!$A$1:$A$100,0))&lt;&gt;"",INDEX('Coverage Indicators - Section D'!X$1:X$100,MATCH('Print View'!$A153,'Coverage Indicators - Section D'!$A$1:$A$100,0)),""),"")&amp;"/"&amp;IFERROR(IF(INDEX('Coverage Indicators - Section D'!X$1:X$100,MATCH('Print View'!$A153,'Coverage Indicators - Section D'!$A$1:$A$100,0)+1)&lt;&gt;"",INDEX('Coverage Indicators - Section D'!X$1:X$100,MATCH('Print View'!$A153,'Coverage Indicators - Section D'!$A$1:$A$100,0)+1),""),"")&amp;CHAR(10)&amp;IFERROR(IF(INDEX('Coverage Indicators - Section D'!Y$1:Y$100,MATCH('Print View'!$A153,'Coverage Indicators - Section D'!$A$1:$A$100,0))&lt;&gt;"",FIXED(INDEX('Coverage Indicators - Section D'!Y$1:Y$100,MATCH('Print View'!$A153,'Coverage Indicators - Section D'!$A$1:$A$100,0))*100,2)&amp;"%",""),"")&amp;CHAR(10)&amp;IFERROR(IF(INDEX('Coverage Indicators - Section D'!Z$1:Z$100,MATCH('Print View'!$A153,'Coverage Indicators - Section D'!$A$1:$A$100,0))&lt;&gt;"",INDEX('Coverage Indicators - Section D'!Z$1:Z$100,MATCH('Print View'!$A153,'Coverage Indicators - Section D'!$A$1:$A$100,0)),""),"")</f>
        <v xml:space="preserve">/
</v>
      </c>
      <c r="P153" s="82" t="str">
        <f ca="1">IFERROR(IF(INDEX('Coverage Indicators - Section D'!AA$1:AA$100,MATCH('Print View'!$A153,'Coverage Indicators - Section D'!$A$1:$A$100,0))&lt;&gt;"",INDEX('Coverage Indicators - Section D'!AA$1:AA$100,MATCH('Print View'!$A153,'Coverage Indicators - Section D'!$A$1:$A$100,0)),""),"")&amp;"/"&amp;IFERROR(IF(INDEX('Coverage Indicators - Section D'!AA$1:AA$100,MATCH('Print View'!$A153,'Coverage Indicators - Section D'!$A$1:$A$100,0)+1)&lt;&gt;"",INDEX('Coverage Indicators - Section D'!AA$1:AA$100,MATCH('Print View'!$A153,'Coverage Indicators - Section D'!$A$1:$A$100,0)+1),""),"")&amp;CHAR(10)&amp;IFERROR(IF(INDEX('Coverage Indicators - Section D'!AB$1:AB$100,MATCH('Print View'!$A153,'Coverage Indicators - Section D'!$A$1:$A$100,0))&lt;&gt;"",FIXED(INDEX('Coverage Indicators - Section D'!AB$1:AB$100,MATCH('Print View'!$A153,'Coverage Indicators - Section D'!$A$1:$A$100,0))*100,2)&amp;"%",""),"")&amp;CHAR(10)&amp;IFERROR(IF(INDEX('Coverage Indicators - Section D'!AC$1:AC$100,MATCH('Print View'!$A153,'Coverage Indicators - Section D'!$A$1:$A$100,0))&lt;&gt;"",INDEX('Coverage Indicators - Section D'!AC$1:AC$100,MATCH('Print View'!$A153,'Coverage Indicators - Section D'!$A$1:$A$100,0)),""),"")</f>
        <v xml:space="preserve">/
</v>
      </c>
      <c r="Q153" s="82" t="str">
        <f ca="1">IFERROR(IF(INDEX('Coverage Indicators - Section D'!AD$1:AD$100,MATCH('Print View'!$A153,'Coverage Indicators - Section D'!$A$1:$A$100,0))&lt;&gt;"",INDEX('Coverage Indicators - Section D'!AD$1:AD$100,MATCH('Print View'!$A153,'Coverage Indicators - Section D'!$A$1:$A$100,0)),""),"")&amp;"/"&amp;IFERROR(IF(INDEX('Coverage Indicators - Section D'!AD$1:AD$100,MATCH('Print View'!$A153,'Coverage Indicators - Section D'!$A$1:$A$100,0)+1)&lt;&gt;"",INDEX('Coverage Indicators - Section D'!AD$1:AD$100,MATCH('Print View'!$A153,'Coverage Indicators - Section D'!$A$1:$A$100,0)+1),""),"")&amp;CHAR(10)&amp;IFERROR(IF(INDEX('Coverage Indicators - Section D'!AE$1:AE$100,MATCH('Print View'!$A153,'Coverage Indicators - Section D'!$A$1:$A$100,0))&lt;&gt;"",FIXED(INDEX('Coverage Indicators - Section D'!AE$1:AE$100,MATCH('Print View'!$A153,'Coverage Indicators - Section D'!$A$1:$A$100,0))*100,2)&amp;"%",""),"")&amp;CHAR(10)&amp;IFERROR(IF(INDEX('Coverage Indicators - Section D'!AF$1:AF$100,MATCH('Print View'!$A153,'Coverage Indicators - Section D'!$A$1:$A$100,0))&lt;&gt;"",INDEX('Coverage Indicators - Section D'!AF$1:AF$100,MATCH('Print View'!$A153,'Coverage Indicators - Section D'!$A$1:$A$100,0)),""),"")</f>
        <v xml:space="preserve">/
</v>
      </c>
      <c r="R153" s="82" t="str">
        <f ca="1">IFERROR(IF(INDEX('Coverage Indicators - Section D'!AG$1:AG$100,MATCH('Print View'!$A153,'Coverage Indicators - Section D'!$A$1:$A$100,0))&lt;&gt;"",INDEX('Coverage Indicators - Section D'!AG$1:AG$100,MATCH('Print View'!$A153,'Coverage Indicators - Section D'!$A$1:$A$100,0)),""),"")&amp;"/"&amp;IFERROR(IF(INDEX('Coverage Indicators - Section D'!AG$1:AG$100,MATCH('Print View'!$A153,'Coverage Indicators - Section D'!$A$1:$A$100,0)+1)&lt;&gt;"",INDEX('Coverage Indicators - Section D'!AG$1:AG$100,MATCH('Print View'!$A153,'Coverage Indicators - Section D'!$A$1:$A$100,0)+1),""),"")&amp;CHAR(10)&amp;IFERROR(IF(INDEX('Coverage Indicators - Section D'!AH$1:AH$100,MATCH('Print View'!$A153,'Coverage Indicators - Section D'!$A$1:$A$100,0))&lt;&gt;"",FIXED(INDEX('Coverage Indicators - Section D'!AH$1:AH$100,MATCH('Print View'!$A153,'Coverage Indicators - Section D'!$A$1:$A$100,0))*100,2)&amp;"%",""),"")&amp;CHAR(10)&amp;IFERROR(IF(INDEX('Coverage Indicators - Section D'!AI$1:AI$100,MATCH('Print View'!$A153,'Coverage Indicators - Section D'!$A$1:$A$100,0))&lt;&gt;"",INDEX('Coverage Indicators - Section D'!AI$1:AI$100,MATCH('Print View'!$A153,'Coverage Indicators - Section D'!$A$1:$A$100,0)),""),"")</f>
        <v xml:space="preserve">/
</v>
      </c>
      <c r="S153" s="82" t="str">
        <f ca="1">IFERROR(IF(INDEX('Coverage Indicators - Section D'!AJ$1:AJ$100,MATCH('Print View'!$A153,'Coverage Indicators - Section D'!$A$1:$A$100,0))&lt;&gt;"",INDEX('Coverage Indicators - Section D'!AJ$1:AJ$100,MATCH('Print View'!$A153,'Coverage Indicators - Section D'!$A$1:$A$100,0)),""),"")&amp;"/"&amp;IFERROR(IF(INDEX('Coverage Indicators - Section D'!AJ$1:AJ$100,MATCH('Print View'!$A153,'Coverage Indicators - Section D'!$A$1:$A$100,0)+1)&lt;&gt;"",INDEX('Coverage Indicators - Section D'!AJ$1:AJ$100,MATCH('Print View'!$A153,'Coverage Indicators - Section D'!$A$1:$A$100,0)+1),""),"")&amp;CHAR(10)&amp;IFERROR(IF(INDEX('Coverage Indicators - Section D'!AK$1:AK$100,MATCH('Print View'!$A153,'Coverage Indicators - Section D'!$A$1:$A$100,0))&lt;&gt;"",FIXED(INDEX('Coverage Indicators - Section D'!AK$1:AK$100,MATCH('Print View'!$A153,'Coverage Indicators - Section D'!$A$1:$A$100,0))*100,2)&amp;"%",""),"")&amp;CHAR(10)&amp;IFERROR(IF(INDEX('Coverage Indicators - Section D'!AL$1:AL$100,MATCH('Print View'!$A153,'Coverage Indicators - Section D'!$A$1:$A$100,0))&lt;&gt;"",INDEX('Coverage Indicators - Section D'!AL$1:AL$100,MATCH('Print View'!$A153,'Coverage Indicators - Section D'!$A$1:$A$100,0)),""),"")</f>
        <v xml:space="preserve">/
</v>
      </c>
      <c r="T153" s="52"/>
      <c r="U153" s="13"/>
      <c r="V153" s="13"/>
      <c r="W153" s="13"/>
      <c r="X153" s="13"/>
      <c r="Y153" s="13"/>
      <c r="Z153" s="13"/>
      <c r="AA153" s="13"/>
      <c r="AB153" s="13"/>
      <c r="AC153" s="13"/>
      <c r="AD153" s="13"/>
      <c r="AE153" s="13"/>
      <c r="AF153" s="13"/>
      <c r="AG153" s="13"/>
      <c r="AH153" s="13"/>
      <c r="AI153" s="13"/>
      <c r="AJ153" s="13"/>
      <c r="AK153" s="13"/>
      <c r="AL153" s="13"/>
      <c r="AM153" s="13"/>
      <c r="AN153" s="13"/>
      <c r="AO153" s="13" t="str">
        <f ca="1">IFERROR(IF(INDEX('Coverage Indicators - Section D'!AD$1:AD$110,MATCH('Print View'!$A153,'Coverage Indicators - Section D'!$A$1:$A$110,0))&lt;&gt;0,INDEX('Coverage Indicators - Section D'!AD$1:AD$110,MATCH('Print View'!$A153,'Coverage Indicators - Section D'!$A$1:$A$110,0)),""),"")</f>
        <v/>
      </c>
      <c r="AP153" s="13"/>
      <c r="AQ153" s="13"/>
      <c r="AR153" s="13"/>
      <c r="AS153" s="13"/>
      <c r="AT153" s="577" t="str">
        <f ca="1">CONCATENATE($A153,N$147)</f>
        <v>331-Dec-25</v>
      </c>
      <c r="AU153" s="575" t="str">
        <f ca="1">CONCATENATE($A153,Q$147)</f>
        <v>331-Dec-28</v>
      </c>
      <c r="AV153" s="575" t="str">
        <f>CONCATENATE($A153,V$147)</f>
        <v>3</v>
      </c>
      <c r="AW153" s="575" t="str">
        <f>CONCATENATE($A153,Y$147)</f>
        <v>3</v>
      </c>
      <c r="AX153" s="575" t="str">
        <f>CONCATENATE($A153,AB$147)</f>
        <v>3</v>
      </c>
      <c r="AY153" s="575" t="str">
        <f>CONCATENATE($A153,AE$147)</f>
        <v>3</v>
      </c>
      <c r="AZ153" s="575" t="str">
        <f>CONCATENATE($A153,AH$147)</f>
        <v>3</v>
      </c>
      <c r="BA153" s="575" t="str">
        <f>CONCATENATE($A153,AK$147)</f>
        <v>3</v>
      </c>
      <c r="BB153" s="96"/>
      <c r="BC153" s="97"/>
    </row>
    <row r="154" spans="1:55" s="16" customFormat="1" ht="88.35" customHeight="1">
      <c r="A154" s="608"/>
      <c r="B154" s="646" t="str">
        <f ca="1">IFERROR(IF(INDEX('Coverage Indicators - Section D'!AM$1:AM$110,MATCH('Print View'!$A153,'Coverage Indicators - Section D'!$A$1:$A$110,0))&lt;&gt;0,INDEX('Coverage Indicators - Section D'!AM$1:AM$110,MATCH('Print View'!$A153,'Coverage Indicators - Section D'!$A$1:$A$110,0)),""),"")</f>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4 ciudades (La Paz, El Alto, Cochabamba y Santa Cruz) el resto de la población será cubierta con recursos del estado.
Paquete de Prevención: El indicador mide el abordaje de la población Trans con acciones de prevención a través de los establecimientos de salud (CDVIR/CRVIR y Centros desconcentrados) y estrategias comunitarias (promotores educadores pares (PEP), Unidades Móviles, Centros Comunitarios y Brigadas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Método de medición: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77% a 80% de Trans que reciben paquetes de prevención.
Contribución del FM: El FM contribuirá con el 91%, 91% y 90% respectivamente en los 3 años del proyecto, cubriendo hasta 2 paquetes al año en las 4 ciudades priorizadas.</v>
      </c>
      <c r="C154" s="647"/>
      <c r="D154" s="647"/>
      <c r="E154" s="647"/>
      <c r="F154" s="647"/>
      <c r="G154" s="647"/>
      <c r="H154" s="647"/>
      <c r="I154" s="647"/>
      <c r="J154" s="647"/>
      <c r="K154" s="647"/>
      <c r="L154" s="647"/>
      <c r="M154" s="647"/>
      <c r="N154" s="647"/>
      <c r="O154" s="647"/>
      <c r="P154" s="647"/>
      <c r="Q154" s="647"/>
      <c r="R154" s="647"/>
      <c r="S154" s="648"/>
      <c r="T154" s="92"/>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577"/>
      <c r="AU154" s="575"/>
      <c r="AV154" s="575"/>
      <c r="AW154" s="575"/>
      <c r="AX154" s="575"/>
      <c r="AY154" s="575"/>
      <c r="AZ154" s="575"/>
      <c r="BA154" s="575"/>
      <c r="BB154" s="96"/>
      <c r="BC154" s="97"/>
    </row>
    <row r="155" spans="1:55" s="16" customFormat="1" ht="177" customHeight="1">
      <c r="A155" s="609">
        <v>4</v>
      </c>
      <c r="B155" s="83" t="str">
        <f ca="1">IFERROR(IF(INDEX('Coverage Indicators - Section D'!B$1:B$100,MATCH('Print View'!$A155,'Coverage Indicators - Section D'!$A$1:$A$100,0))&lt;&gt;0,INDEX('Coverage Indicators - Section D'!B$1:B$100,MATCH('Print View'!$A155,'Coverage Indicators - Section D'!$A$1:$A$100,0)),""),"")</f>
        <v>Servicios diferenciados de diagnóstico del VIH</v>
      </c>
      <c r="C155" s="83" t="str">
        <f ca="1">IFERROR(IF(INDEX('Coverage Indicators - Section D'!D$1:D$100,MATCH('Print View'!$A155,'Coverage Indicators - Section D'!$A$1:$A$100,0))&lt;&gt;0,INDEX('Coverage Indicators - Section D'!D$1:D$100,MATCH('Print View'!$A155,'Coverage Indicators - Section D'!$A$1:$A$100,0)),""),"")</f>
        <v>HTS-3b⁽ᴹ⁾ Porcentaje de personas transgénero a los que se les ha realizado una prueba de VIH durante el período de reporte y que conocen sus resultados</v>
      </c>
      <c r="D155" s="83" t="str">
        <f ca="1">IFERROR(IF(INDEX('Coverage Indicators - Section D'!E$1:E$100,MATCH('Print View'!$A155,'Coverage Indicators - Section D'!$A$1:$A$100,0))&lt;&gt;0,INDEX('Coverage Indicators - Section D'!E$1:E$100,MATCH('Print View'!$A155,'Coverage Indicators - Section D'!$A$1:$A$100,0)),""),"")</f>
        <v/>
      </c>
      <c r="E155" s="45" t="str">
        <f ca="1">IFERROR(IF(INDEX('Coverage Indicators - Section D'!F$1:F$100,MATCH('Print View'!$A155,'Coverage Indicators - Section D'!$A$1:$A$100,0))&lt;&gt;"",INDEX('Coverage Indicators - Section D'!F$1:F$100,MATCH('Print View'!$A155,'Coverage Indicators - Section D'!$A$1:$A$100,0)),""),"")&amp;"/"&amp;IFERROR(IF(INDEX('Coverage Indicators - Section D'!F$1:F$100,MATCH('Print View'!$A155,'Coverage Indicators - Section D'!$A$1:$A$100,0)+1)&lt;&gt;"",INDEX('Coverage Indicators - Section D'!F$1:F$100,MATCH('Print View'!$A155,'Coverage Indicators - Section D'!$A$1:$A$100,0)+1),""),"")&amp;CHAR(10)&amp;IFERROR(IF(INDEX('Coverage Indicators - Section D'!G$1:G$100,MATCH('Print View'!$A155,'Coverage Indicators - Section D'!$A$1:$A$100,0))&lt;&gt;"",FIXED(INDEX('Coverage Indicators - Section D'!G$1:G$100,MATCH('Print View'!$A155,'Coverage Indicators - Section D'!$A$1:$A$100,0))*100,2)&amp;"%",""),"")</f>
        <v>434/1705
25.45%</v>
      </c>
      <c r="F155" s="84" t="str">
        <f ca="1">IFERROR(IF(INDEX('Coverage Indicators - Section D'!H$1:H$100,MATCH('Print View'!$A155,'Coverage Indicators - Section D'!$A$1:$A$100,0))&lt;&gt;0,INDEX('Coverage Indicators - Section D'!H$1:H$100,MATCH('Print View'!$A155,'Coverage Indicators - Section D'!$A$1:$A$100,0)),""),"")&amp;CHAR(10)&amp;IFERROR(IF(INDEX('Coverage Indicators - Section D'!I$1:I$100,MATCH('Print View'!$A155,'Coverage Indicators - Section D'!$A$1:$A$100,0))&lt;&gt;0,INDEX('Coverage Indicators - Section D'!I$1:I$100,MATCH('Print View'!$A155,'Coverage Indicators - Section D'!$A$1:$A$100,0)),""),"")</f>
        <v>2021
Reporte de la Unidad de Vigilancia Epidemiologica - Componente VIH - SIMONE</v>
      </c>
      <c r="G155" s="85" t="str">
        <f>IFERROR(IF(INDEX('Coverage Indicators - Section D'!J13:J42,MATCH('Print View'!$A155,'Coverage Indicators - Section D'!$A$9:$A$38,0))&lt;&gt;0,INDEX('Coverage Indicators - Section D'!J13:J42,MATCH('Print View'!$A155,'Coverage Indicators - Section D'!$A$9:$A$38,0)),""),"")</f>
        <v>Género,Edad</v>
      </c>
      <c r="H155" s="84" t="str">
        <f ca="1">IFERROR(IF(INDEX('Coverage Indicators - Section D'!K$1:K$100,MATCH('Print View'!$A155,'Coverage Indicators - Section D'!$A$1:$A$100,0))&lt;&gt;0,INDEX('Coverage Indicators - Section D'!K$1:K$100,MATCH('Print View'!$A155,'Coverage Indicators - Section D'!$A$1:$A$100,0)),""),"")</f>
        <v/>
      </c>
      <c r="I155" s="85" t="str">
        <f ca="1">IFERROR(IF(AND('Overview - Section A'!AN$5="Grant Making",OR(C155&lt;&gt;"",D155&lt;&gt;"")),Setup!I15,IF(INDEX('Coverage Indicators - Section D'!L$1:L$100,MATCH('Print View'!$A155,'Coverage Indicators - Section D'!$A$1:$A$100,0))&lt;&gt;0,INDEX('Coverage Indicators - Section D'!L$1:L$100,MATCH('Print View'!$A155,'Coverage Indicators - Section D'!$A$1:$A$100,0)),"")),"")</f>
        <v/>
      </c>
      <c r="J155" s="88" t="str">
        <f ca="1">IFERROR(IF(INDEX('Coverage Indicators - Section D'!M$1:M$100,MATCH('Print View'!$A155,'Coverage Indicators - Section D'!$A$1:$A$100,0))&lt;&gt;0,INDEX('Coverage Indicators - Section D'!M$1:M$100,MATCH('Print View'!$A155,'Coverage Indicators - Section D'!$A$1:$A$100,0)),""),"")&amp;CHAR(10)&amp;CHAR(10)&amp;IFERROR(IF(INDEX('Coverage Indicators - Section D'!M$1:M$100,MATCH('Print View'!$A155,'Coverage Indicators - Section D'!$A$1:$A$100,0)+1)&lt;&gt;0,INDEX('Coverage Indicators - Section D'!M$1:M$100,MATCH('Print View'!$A155,'Coverage Indicators - Section D'!$A$1:$A$100,0)+1),""),"")</f>
        <v>Bolivia (Plurinational State)
Geographic Subnational, 100% of national program target</v>
      </c>
      <c r="K155" s="84" t="str">
        <f ca="1">IFERROR(IF(INDEX('Coverage Indicators - Section D'!N$1:N$100,MATCH('Print View'!$A155,'Coverage Indicators - Section D'!$A$1:$A$100,0))&lt;&gt;0,INDEX('Coverage Indicators - Section D'!N$1:N$100,MATCH('Print View'!$A155,'Coverage Indicators - Section D'!$A$1:$A$100,0)),""),"")</f>
        <v/>
      </c>
      <c r="L155" s="88" t="str">
        <f ca="1">IFERROR(IF(INDEX('Coverage Indicators - Section D'!O$1:O$100,MATCH('Print View'!$A155,'Coverage Indicators - Section D'!$A$1:$A$100,0))&lt;&gt;"",INDEX('Coverage Indicators - Section D'!O$1:O$100,MATCH('Print View'!$A155,'Coverage Indicators - Section D'!$A$1:$A$100,0)),""),"")&amp;"/"&amp;IFERROR(IF(INDEX('Coverage Indicators - Section D'!O$1:O$100,MATCH('Print View'!$A155,'Coverage Indicators - Section D'!$A$1:$A$100,0)+1)&lt;&gt;"",INDEX('Coverage Indicators - Section D'!O$1:O$100,MATCH('Print View'!$A155,'Coverage Indicators - Section D'!$A$1:$A$100,0)+1),""),"")&amp;CHAR(10)&amp;IFERROR(IF(INDEX('Coverage Indicators - Section D'!P$1:P$100,MATCH('Print View'!$A155,'Coverage Indicators - Section D'!$A$1:$A$100,0))&lt;&gt;"",FIXED(INDEX('Coverage Indicators - Section D'!P$1:P$100,MATCH('Print View'!$A155,'Coverage Indicators - Section D'!$A$1:$A$100,0))*100,2)&amp;"%",""),"")&amp;CHAR(10)&amp;IFERROR(IF(INDEX('Coverage Indicators - Section D'!Q$1:Q$100,MATCH('Print View'!$A155,'Coverage Indicators - Section D'!$A$1:$A$100,0))&lt;&gt;"",INDEX('Coverage Indicators - Section D'!Q$1:Q$100,MATCH('Print View'!$A155,'Coverage Indicators - Section D'!$A$1:$A$100,0)),""),"")</f>
        <v xml:space="preserve">748/1759
42.52%
</v>
      </c>
      <c r="M155" s="88" t="str">
        <f ca="1">IFERROR(IF(INDEX('Coverage Indicators - Section D'!R$1:R$100,MATCH('Print View'!$A155,'Coverage Indicators - Section D'!$A$1:$A$100,0))&lt;&gt;"",INDEX('Coverage Indicators - Section D'!R$1:R$100,MATCH('Print View'!$A155,'Coverage Indicators - Section D'!$A$1:$A$100,0)),""),"")&amp;"/"&amp;IFERROR(IF(INDEX('Coverage Indicators - Section D'!R$1:R$100,MATCH('Print View'!$A155,'Coverage Indicators - Section D'!$A$1:$A$100,0)+1)&lt;&gt;"",INDEX('Coverage Indicators - Section D'!R$1:R$100,MATCH('Print View'!$A155,'Coverage Indicators - Section D'!$A$1:$A$100,0)+1),""),"")&amp;CHAR(10)&amp;IFERROR(IF(INDEX('Coverage Indicators - Section D'!S$1:S$100,MATCH('Print View'!$A155,'Coverage Indicators - Section D'!$A$1:$A$100,0))&lt;&gt;"",FIXED(INDEX('Coverage Indicators - Section D'!S$1:S$100,MATCH('Print View'!$A155,'Coverage Indicators - Section D'!$A$1:$A$100,0))*100,2)&amp;"%",""),"")&amp;CHAR(10)&amp;IFERROR(IF(INDEX('Coverage Indicators - Section D'!T$1:T$100,MATCH('Print View'!$A155,'Coverage Indicators - Section D'!$A$1:$A$100,0))&lt;&gt;"",INDEX('Coverage Indicators - Section D'!T$1:T$100,MATCH('Print View'!$A155,'Coverage Indicators - Section D'!$A$1:$A$100,0)),""),"")</f>
        <v xml:space="preserve">772/1786
43.23%
</v>
      </c>
      <c r="N155" s="88" t="str">
        <f ca="1">IFERROR(IF(INDEX('Coverage Indicators - Section D'!U$1:U$100,MATCH('Print View'!$A155,'Coverage Indicators - Section D'!$A$1:$A$100,0))&lt;&gt;"",INDEX('Coverage Indicators - Section D'!U$1:U$100,MATCH('Print View'!$A155,'Coverage Indicators - Section D'!$A$1:$A$100,0)),""),"")&amp;"/"&amp;IFERROR(IF(INDEX('Coverage Indicators - Section D'!U$1:U$100,MATCH('Print View'!$A155,'Coverage Indicators - Section D'!$A$1:$A$100,0)+1)&lt;&gt;"",INDEX('Coverage Indicators - Section D'!U$1:U$100,MATCH('Print View'!$A155,'Coverage Indicators - Section D'!$A$1:$A$100,0)+1),""),"")&amp;CHAR(10)&amp;IFERROR(IF(INDEX('Coverage Indicators - Section D'!V$1:V$100,MATCH('Print View'!$A155,'Coverage Indicators - Section D'!$A$1:$A$100,0))&lt;&gt;"",FIXED(INDEX('Coverage Indicators - Section D'!V$1:V$100,MATCH('Print View'!$A155,'Coverage Indicators - Section D'!$A$1:$A$100,0))*100,2)&amp;"%",""),"")&amp;CHAR(10)&amp;IFERROR(IF(INDEX('Coverage Indicators - Section D'!W$1:W$100,MATCH('Print View'!$A155,'Coverage Indicators - Section D'!$A$1:$A$100,0))&lt;&gt;"",INDEX('Coverage Indicators - Section D'!W$1:W$100,MATCH('Print View'!$A155,'Coverage Indicators - Section D'!$A$1:$A$100,0)),""),"")</f>
        <v xml:space="preserve">796/1814
43.88%
</v>
      </c>
      <c r="O155" s="88" t="str">
        <f ca="1">IFERROR(IF(INDEX('Coverage Indicators - Section D'!X$1:X$100,MATCH('Print View'!$A155,'Coverage Indicators - Section D'!$A$1:$A$100,0))&lt;&gt;"",INDEX('Coverage Indicators - Section D'!X$1:X$100,MATCH('Print View'!$A155,'Coverage Indicators - Section D'!$A$1:$A$100,0)),""),"")&amp;"/"&amp;IFERROR(IF(INDEX('Coverage Indicators - Section D'!X$1:X$100,MATCH('Print View'!$A155,'Coverage Indicators - Section D'!$A$1:$A$100,0)+1)&lt;&gt;"",INDEX('Coverage Indicators - Section D'!X$1:X$100,MATCH('Print View'!$A155,'Coverage Indicators - Section D'!$A$1:$A$100,0)+1),""),"")&amp;CHAR(10)&amp;IFERROR(IF(INDEX('Coverage Indicators - Section D'!Y$1:Y$100,MATCH('Print View'!$A155,'Coverage Indicators - Section D'!$A$1:$A$100,0))&lt;&gt;"",FIXED(INDEX('Coverage Indicators - Section D'!Y$1:Y$100,MATCH('Print View'!$A155,'Coverage Indicators - Section D'!$A$1:$A$100,0))*100,2)&amp;"%",""),"")&amp;CHAR(10)&amp;IFERROR(IF(INDEX('Coverage Indicators - Section D'!Z$1:Z$100,MATCH('Print View'!$A155,'Coverage Indicators - Section D'!$A$1:$A$100,0))&lt;&gt;"",INDEX('Coverage Indicators - Section D'!Z$1:Z$100,MATCH('Print View'!$A155,'Coverage Indicators - Section D'!$A$1:$A$100,0)),""),"")</f>
        <v xml:space="preserve">/
</v>
      </c>
      <c r="P155" s="88" t="str">
        <f ca="1">IFERROR(IF(INDEX('Coverage Indicators - Section D'!AA$1:AA$100,MATCH('Print View'!$A155,'Coverage Indicators - Section D'!$A$1:$A$100,0))&lt;&gt;"",INDEX('Coverage Indicators - Section D'!AA$1:AA$100,MATCH('Print View'!$A155,'Coverage Indicators - Section D'!$A$1:$A$100,0)),""),"")&amp;"/"&amp;IFERROR(IF(INDEX('Coverage Indicators - Section D'!AA$1:AA$100,MATCH('Print View'!$A155,'Coverage Indicators - Section D'!$A$1:$A$100,0)+1)&lt;&gt;"",INDEX('Coverage Indicators - Section D'!AA$1:AA$100,MATCH('Print View'!$A155,'Coverage Indicators - Section D'!$A$1:$A$100,0)+1),""),"")&amp;CHAR(10)&amp;IFERROR(IF(INDEX('Coverage Indicators - Section D'!AB$1:AB$100,MATCH('Print View'!$A155,'Coverage Indicators - Section D'!$A$1:$A$100,0))&lt;&gt;"",FIXED(INDEX('Coverage Indicators - Section D'!AB$1:AB$100,MATCH('Print View'!$A155,'Coverage Indicators - Section D'!$A$1:$A$100,0))*100,2)&amp;"%",""),"")&amp;CHAR(10)&amp;IFERROR(IF(INDEX('Coverage Indicators - Section D'!AC$1:AC$100,MATCH('Print View'!$A155,'Coverage Indicators - Section D'!$A$1:$A$100,0))&lt;&gt;"",INDEX('Coverage Indicators - Section D'!AC$1:AC$100,MATCH('Print View'!$A155,'Coverage Indicators - Section D'!$A$1:$A$100,0)),""),"")</f>
        <v xml:space="preserve">/
</v>
      </c>
      <c r="Q155" s="88" t="str">
        <f ca="1">IFERROR(IF(INDEX('Coverage Indicators - Section D'!AD$1:AD$100,MATCH('Print View'!$A155,'Coverage Indicators - Section D'!$A$1:$A$100,0))&lt;&gt;"",INDEX('Coverage Indicators - Section D'!AD$1:AD$100,MATCH('Print View'!$A155,'Coverage Indicators - Section D'!$A$1:$A$100,0)),""),"")&amp;"/"&amp;IFERROR(IF(INDEX('Coverage Indicators - Section D'!AD$1:AD$100,MATCH('Print View'!$A155,'Coverage Indicators - Section D'!$A$1:$A$100,0)+1)&lt;&gt;"",INDEX('Coverage Indicators - Section D'!AD$1:AD$100,MATCH('Print View'!$A155,'Coverage Indicators - Section D'!$A$1:$A$100,0)+1),""),"")&amp;CHAR(10)&amp;IFERROR(IF(INDEX('Coverage Indicators - Section D'!AE$1:AE$100,MATCH('Print View'!$A155,'Coverage Indicators - Section D'!$A$1:$A$100,0))&lt;&gt;"",FIXED(INDEX('Coverage Indicators - Section D'!AE$1:AE$100,MATCH('Print View'!$A155,'Coverage Indicators - Section D'!$A$1:$A$100,0))*100,2)&amp;"%",""),"")&amp;CHAR(10)&amp;IFERROR(IF(INDEX('Coverage Indicators - Section D'!AF$1:AF$100,MATCH('Print View'!$A155,'Coverage Indicators - Section D'!$A$1:$A$100,0))&lt;&gt;"",INDEX('Coverage Indicators - Section D'!AF$1:AF$100,MATCH('Print View'!$A155,'Coverage Indicators - Section D'!$A$1:$A$100,0)),""),"")</f>
        <v xml:space="preserve">/
</v>
      </c>
      <c r="R155" s="88" t="str">
        <f ca="1">IFERROR(IF(INDEX('Coverage Indicators - Section D'!AG$1:AG$100,MATCH('Print View'!$A155,'Coverage Indicators - Section D'!$A$1:$A$100,0))&lt;&gt;"",INDEX('Coverage Indicators - Section D'!AG$1:AG$100,MATCH('Print View'!$A155,'Coverage Indicators - Section D'!$A$1:$A$100,0)),""),"")&amp;"/"&amp;IFERROR(IF(INDEX('Coverage Indicators - Section D'!AG$1:AG$100,MATCH('Print View'!$A155,'Coverage Indicators - Section D'!$A$1:$A$100,0)+1)&lt;&gt;"",INDEX('Coverage Indicators - Section D'!AG$1:AG$100,MATCH('Print View'!$A155,'Coverage Indicators - Section D'!$A$1:$A$100,0)+1),""),"")&amp;CHAR(10)&amp;IFERROR(IF(INDEX('Coverage Indicators - Section D'!AH$1:AH$100,MATCH('Print View'!$A155,'Coverage Indicators - Section D'!$A$1:$A$100,0))&lt;&gt;"",FIXED(INDEX('Coverage Indicators - Section D'!AH$1:AH$100,MATCH('Print View'!$A155,'Coverage Indicators - Section D'!$A$1:$A$100,0))*100,2)&amp;"%",""),"")&amp;CHAR(10)&amp;IFERROR(IF(INDEX('Coverage Indicators - Section D'!AI$1:AI$100,MATCH('Print View'!$A155,'Coverage Indicators - Section D'!$A$1:$A$100,0))&lt;&gt;"",INDEX('Coverage Indicators - Section D'!AI$1:AI$100,MATCH('Print View'!$A155,'Coverage Indicators - Section D'!$A$1:$A$100,0)),""),"")</f>
        <v xml:space="preserve">/
</v>
      </c>
      <c r="S155" s="88" t="str">
        <f ca="1">IFERROR(IF(INDEX('Coverage Indicators - Section D'!AJ$1:AJ$100,MATCH('Print View'!$A155,'Coverage Indicators - Section D'!$A$1:$A$100,0))&lt;&gt;"",INDEX('Coverage Indicators - Section D'!AJ$1:AJ$100,MATCH('Print View'!$A155,'Coverage Indicators - Section D'!$A$1:$A$100,0)),""),"")&amp;"/"&amp;IFERROR(IF(INDEX('Coverage Indicators - Section D'!AJ$1:AJ$100,MATCH('Print View'!$A155,'Coverage Indicators - Section D'!$A$1:$A$100,0)+1)&lt;&gt;"",INDEX('Coverage Indicators - Section D'!AJ$1:AJ$100,MATCH('Print View'!$A155,'Coverage Indicators - Section D'!$A$1:$A$100,0)+1),""),"")&amp;CHAR(10)&amp;IFERROR(IF(INDEX('Coverage Indicators - Section D'!AK$1:AK$100,MATCH('Print View'!$A155,'Coverage Indicators - Section D'!$A$1:$A$100,0))&lt;&gt;"",FIXED(INDEX('Coverage Indicators - Section D'!AK$1:AK$100,MATCH('Print View'!$A155,'Coverage Indicators - Section D'!$A$1:$A$100,0))*100,2)&amp;"%",""),"")&amp;CHAR(10)&amp;IFERROR(IF(INDEX('Coverage Indicators - Section D'!AL$1:AL$100,MATCH('Print View'!$A155,'Coverage Indicators - Section D'!$A$1:$A$100,0))&lt;&gt;"",INDEX('Coverage Indicators - Section D'!AL$1:AL$100,MATCH('Print View'!$A155,'Coverage Indicators - Section D'!$A$1:$A$100,0)),""),"")</f>
        <v xml:space="preserve">/
</v>
      </c>
      <c r="T155" s="93"/>
      <c r="U155" s="13"/>
      <c r="V155" s="13"/>
      <c r="W155" s="13"/>
      <c r="X155" s="13"/>
      <c r="Y155" s="13"/>
      <c r="Z155" s="13"/>
      <c r="AA155" s="13"/>
      <c r="AB155" s="13"/>
      <c r="AC155" s="13"/>
      <c r="AD155" s="13"/>
      <c r="AE155" s="13"/>
      <c r="AF155" s="13"/>
      <c r="AG155" s="13"/>
      <c r="AH155" s="13"/>
      <c r="AI155" s="13"/>
      <c r="AJ155" s="13"/>
      <c r="AK155" s="13"/>
      <c r="AL155" s="13"/>
      <c r="AM155" s="13"/>
      <c r="AN155" s="13"/>
      <c r="AO155" s="13" t="str">
        <f ca="1">IFERROR(IF(INDEX('Coverage Indicators - Section D'!AD$1:AD$110,MATCH('Print View'!$A155,'Coverage Indicators - Section D'!$A$1:$A$110,0))&lt;&gt;0,INDEX('Coverage Indicators - Section D'!AD$1:AD$110,MATCH('Print View'!$A155,'Coverage Indicators - Section D'!$A$1:$A$110,0)),""),"")</f>
        <v/>
      </c>
      <c r="AP155" s="13"/>
      <c r="AQ155" s="13"/>
      <c r="AR155" s="13"/>
      <c r="AS155" s="13"/>
      <c r="AT155" s="577" t="str">
        <f ca="1">CONCATENATE($A155,N$147)</f>
        <v>431-Dec-25</v>
      </c>
      <c r="AU155" s="575" t="str">
        <f ca="1">CONCATENATE($A155,Q$147)</f>
        <v>431-Dec-28</v>
      </c>
      <c r="AV155" s="575" t="str">
        <f>CONCATENATE($A155,V$147)</f>
        <v>4</v>
      </c>
      <c r="AW155" s="575" t="str">
        <f>CONCATENATE($A155,Y$147)</f>
        <v>4</v>
      </c>
      <c r="AX155" s="575" t="str">
        <f>CONCATENATE($A155,AB$147)</f>
        <v>4</v>
      </c>
      <c r="AY155" s="575" t="str">
        <f>CONCATENATE($A155,AE$147)</f>
        <v>4</v>
      </c>
      <c r="AZ155" s="575" t="str">
        <f>CONCATENATE($A155,AH$147)</f>
        <v>4</v>
      </c>
      <c r="BA155" s="575" t="str">
        <f>CONCATENATE($A155,AK$147)</f>
        <v>4</v>
      </c>
      <c r="BB155" s="96"/>
      <c r="BC155" s="97"/>
    </row>
    <row r="156" spans="1:55" s="16" customFormat="1" ht="88.35" customHeight="1">
      <c r="A156" s="609"/>
      <c r="B156" s="630" t="str">
        <f ca="1">IFERROR(IF(INDEX('Coverage Indicators - Section D'!AM$1:AM$110,MATCH('Print View'!$A155,'Coverage Indicators - Section D'!$A$1:$A$110,0))&lt;&gt;0,INDEX('Coverage Indicators - Section D'!AM$1:AM$110,MATCH('Print View'!$A155,'Coverage Indicators - Section D'!$A$1:$A$110,0)),""),"")</f>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4 ciudades (La Paz, El Alto, Cochabamba y Santa Cruz) el resto de la población será cubierta con recursos del estado.
Servicios de diagnóstico: Incluirá consejería, realización de la prueba de VIH y vinculación de casos VIH positivo a la atención integral de VIH. Las pruebas de VIH estarán disponibles en los centros departamentales y regionales de salud (CDVIR/CRVIR), centros desconcentrados, unidades móviles, centros comunitarios y brigadas móviles. Las guías nacionales recomiendan realizar un test cada 6 meses en la población de riesgo.
Método de medición: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25% a 44% de Trans que se realizan prueba de VIH.
Contribución del FM: El FM contribuirá con 95%, 94% y 93% respectivamente en los 3 años del proyecto, cubriendo una prueba de VIH al año en las 4 ciudades priorizadas.</v>
      </c>
      <c r="C156" s="631"/>
      <c r="D156" s="631"/>
      <c r="E156" s="631"/>
      <c r="F156" s="631"/>
      <c r="G156" s="631"/>
      <c r="H156" s="631"/>
      <c r="I156" s="632"/>
      <c r="J156" s="632"/>
      <c r="K156" s="632"/>
      <c r="L156" s="632"/>
      <c r="M156" s="632"/>
      <c r="N156" s="632"/>
      <c r="O156" s="632"/>
      <c r="P156" s="632"/>
      <c r="Q156" s="632"/>
      <c r="R156" s="632"/>
      <c r="S156" s="633"/>
      <c r="T156" s="94"/>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577"/>
      <c r="AU156" s="575"/>
      <c r="AV156" s="575"/>
      <c r="AW156" s="575"/>
      <c r="AX156" s="575"/>
      <c r="AY156" s="575"/>
      <c r="AZ156" s="575"/>
      <c r="BA156" s="575"/>
      <c r="BB156" s="96"/>
      <c r="BC156" s="97"/>
    </row>
    <row r="157" spans="1:55" s="16" customFormat="1" ht="177" customHeight="1">
      <c r="A157" s="608">
        <v>5</v>
      </c>
      <c r="B157" s="80" t="str">
        <f ca="1">IFERROR(IF(INDEX('Coverage Indicators - Section D'!B$1:B$100,MATCH('Print View'!$A157,'Coverage Indicators - Section D'!$A$1:$A$100,0))&lt;&gt;0,INDEX('Coverage Indicators - Section D'!B$1:B$100,MATCH('Print View'!$A157,'Coverage Indicators - Section D'!$A$1:$A$100,0)),""),"")</f>
        <v>Tratamiento, atención y apoyo</v>
      </c>
      <c r="C157" s="80" t="str">
        <f ca="1">IFERROR(IF(INDEX('Coverage Indicators - Section D'!D$1:D$100,MATCH('Print View'!$A157,'Coverage Indicators - Section D'!$A$1:$A$100,0))&lt;&gt;0,INDEX('Coverage Indicators - Section D'!D$1:D$100,MATCH('Print View'!$A157,'Coverage Indicators - Section D'!$A$1:$A$100,0)),""),"")</f>
        <v>TCS-1.1⁽ᴹ⁾ Porcentaje de personas en TARV entre todas las personas viviendo con VIH al final del período de reporte</v>
      </c>
      <c r="D157" s="80" t="str">
        <f ca="1">IFERROR(IF(INDEX('Coverage Indicators - Section D'!E$1:E$100,MATCH('Print View'!$A157,'Coverage Indicators - Section D'!$A$1:$A$100,0))&lt;&gt;0,INDEX('Coverage Indicators - Section D'!E$1:E$100,MATCH('Print View'!$A157,'Coverage Indicators - Section D'!$A$1:$A$100,0)),""),"")</f>
        <v/>
      </c>
      <c r="E157" s="81" t="str">
        <f ca="1">IFERROR(IF(INDEX('Coverage Indicators - Section D'!F$1:F$100,MATCH('Print View'!$A157,'Coverage Indicators - Section D'!$A$1:$A$100,0))&lt;&gt;"",INDEX('Coverage Indicators - Section D'!F$1:F$100,MATCH('Print View'!$A157,'Coverage Indicators - Section D'!$A$1:$A$100,0)),""),"")&amp;"/"&amp;IFERROR(IF(INDEX('Coverage Indicators - Section D'!F$1:F$100,MATCH('Print View'!$A157,'Coverage Indicators - Section D'!$A$1:$A$100,0)+1)&lt;&gt;"",INDEX('Coverage Indicators - Section D'!F$1:F$100,MATCH('Print View'!$A157,'Coverage Indicators - Section D'!$A$1:$A$100,0)+1),""),"")&amp;CHAR(10)&amp;IFERROR(IF(INDEX('Coverage Indicators - Section D'!G$1:G$100,MATCH('Print View'!$A157,'Coverage Indicators - Section D'!$A$1:$A$100,0))&lt;&gt;"",FIXED(INDEX('Coverage Indicators - Section D'!G$1:G$100,MATCH('Print View'!$A157,'Coverage Indicators - Section D'!$A$1:$A$100,0))*100,2)&amp;"%",""),"")</f>
        <v>14113/26148
53.97%</v>
      </c>
      <c r="F157" s="82" t="str">
        <f ca="1">IFERROR(IF(INDEX('Coverage Indicators - Section D'!H$1:H$100,MATCH('Print View'!$A157,'Coverage Indicators - Section D'!$A$1:$A$100,0))&lt;&gt;0,INDEX('Coverage Indicators - Section D'!H$1:H$100,MATCH('Print View'!$A157,'Coverage Indicators - Section D'!$A$1:$A$100,0)),""),"")&amp;CHAR(10)&amp;IFERROR(IF(INDEX('Coverage Indicators - Section D'!I$1:I$100,MATCH('Print View'!$A157,'Coverage Indicators - Section D'!$A$1:$A$100,0))&lt;&gt;0,INDEX('Coverage Indicators - Section D'!I$1:I$100,MATCH('Print View'!$A157,'Coverage Indicators - Section D'!$A$1:$A$100,0)),""),"")</f>
        <v>2021
Reporte de la Unidad de Vigilancia Epidemiologica - Componente VIH - SIMONE</v>
      </c>
      <c r="G157" s="41" t="str">
        <f>IFERROR(IF(INDEX('Coverage Indicators - Section D'!J17:J46,MATCH('Print View'!$A157,'Coverage Indicators - Section D'!$A$9:$A$38,0))&lt;&gt;0,INDEX('Coverage Indicators - Section D'!J17:J46,MATCH('Print View'!$A157,'Coverage Indicators - Section D'!$A$9:$A$38,0)),""),"")</f>
        <v>Edad,Género,Resultado de prueba del VIH</v>
      </c>
      <c r="H157" s="42" t="str">
        <f ca="1">IFERROR(IF(INDEX('Coverage Indicators - Section D'!K$1:K$100,MATCH('Print View'!$A157,'Coverage Indicators - Section D'!$A$1:$A$100,0))&lt;&gt;0,INDEX('Coverage Indicators - Section D'!K$1:K$100,MATCH('Print View'!$A157,'Coverage Indicators - Section D'!$A$1:$A$100,0)),""),"")</f>
        <v/>
      </c>
      <c r="I157" s="41" t="str">
        <f ca="1">IFERROR(IF(AND('Overview - Section A'!AN$5="Grant Making",OR(C157&lt;&gt;"",D157&lt;&gt;"")),Setup!I15,IF(INDEX('Coverage Indicators - Section D'!L$1:L$100,MATCH('Print View'!$A157,'Coverage Indicators - Section D'!$A$1:$A$100,0))&lt;&gt;0,INDEX('Coverage Indicators - Section D'!L$1:L$100,MATCH('Print View'!$A157,'Coverage Indicators - Section D'!$A$1:$A$100,0)),"")),"")</f>
        <v/>
      </c>
      <c r="J157" s="81" t="str">
        <f ca="1">IFERROR(IF(INDEX('Coverage Indicators - Section D'!M$1:M$100,MATCH('Print View'!$A157,'Coverage Indicators - Section D'!$A$1:$A$100,0))&lt;&gt;0,INDEX('Coverage Indicators - Section D'!M$1:M$100,MATCH('Print View'!$A157,'Coverage Indicators - Section D'!$A$1:$A$100,0)),""),"")&amp;CHAR(10)&amp;CHAR(10)&amp;IFERROR(IF(INDEX('Coverage Indicators - Section D'!M$1:M$100,MATCH('Print View'!$A157,'Coverage Indicators - Section D'!$A$1:$A$100,0)+1)&lt;&gt;0,INDEX('Coverage Indicators - Section D'!M$1:M$100,MATCH('Print View'!$A157,'Coverage Indicators - Section D'!$A$1:$A$100,0)+1),""),"")</f>
        <v>Bolivia (Plurinational State)
Geographic National, 100% of national program target</v>
      </c>
      <c r="K157" s="81" t="str">
        <f ca="1">IFERROR(IF(INDEX('Coverage Indicators - Section D'!N$1:N$100,MATCH('Print View'!$A157,'Coverage Indicators - Section D'!$A$1:$A$100,0))&lt;&gt;0,INDEX('Coverage Indicators - Section D'!N$1:N$100,MATCH('Print View'!$A157,'Coverage Indicators - Section D'!$A$1:$A$100,0)),""),"")</f>
        <v/>
      </c>
      <c r="L157" s="81" t="str">
        <f ca="1">IFERROR(IF(INDEX('Coverage Indicators - Section D'!O$1:O$100,MATCH('Print View'!$A157,'Coverage Indicators - Section D'!$A$1:$A$100,0))&lt;&gt;"",INDEX('Coverage Indicators - Section D'!O$1:O$100,MATCH('Print View'!$A157,'Coverage Indicators - Section D'!$A$1:$A$100,0)),""),"")&amp;"/"&amp;IFERROR(IF(INDEX('Coverage Indicators - Section D'!O$1:O$100,MATCH('Print View'!$A157,'Coverage Indicators - Section D'!$A$1:$A$100,0)+1)&lt;&gt;"",INDEX('Coverage Indicators - Section D'!O$1:O$100,MATCH('Print View'!$A157,'Coverage Indicators - Section D'!$A$1:$A$100,0)+1),""),"")&amp;CHAR(10)&amp;IFERROR(IF(INDEX('Coverage Indicators - Section D'!P$1:P$100,MATCH('Print View'!$A157,'Coverage Indicators - Section D'!$A$1:$A$100,0))&lt;&gt;"",FIXED(INDEX('Coverage Indicators - Section D'!P$1:P$100,MATCH('Print View'!$A157,'Coverage Indicators - Section D'!$A$1:$A$100,0))*100,2)&amp;"%",""),"")&amp;CHAR(10)&amp;IFERROR(IF(INDEX('Coverage Indicators - Section D'!Q$1:Q$100,MATCH('Print View'!$A157,'Coverage Indicators - Section D'!$A$1:$A$100,0))&lt;&gt;"",INDEX('Coverage Indicators - Section D'!Q$1:Q$100,MATCH('Print View'!$A157,'Coverage Indicators - Section D'!$A$1:$A$100,0)),""),"")</f>
        <v xml:space="preserve">16269/27659
58.82%
</v>
      </c>
      <c r="M157" s="82" t="str">
        <f ca="1">IFERROR(IF(INDEX('Coverage Indicators - Section D'!R$1:R$100,MATCH('Print View'!$A157,'Coverage Indicators - Section D'!$A$1:$A$100,0))&lt;&gt;"",INDEX('Coverage Indicators - Section D'!R$1:R$100,MATCH('Print View'!$A157,'Coverage Indicators - Section D'!$A$1:$A$100,0)),""),"")&amp;"/"&amp;IFERROR(IF(INDEX('Coverage Indicators - Section D'!R$1:R$100,MATCH('Print View'!$A157,'Coverage Indicators - Section D'!$A$1:$A$100,0)+1)&lt;&gt;"",INDEX('Coverage Indicators - Section D'!R$1:R$100,MATCH('Print View'!$A157,'Coverage Indicators - Section D'!$A$1:$A$100,0)+1),""),"")&amp;CHAR(10)&amp;IFERROR(IF(INDEX('Coverage Indicators - Section D'!S$1:S$100,MATCH('Print View'!$A157,'Coverage Indicators - Section D'!$A$1:$A$100,0))&lt;&gt;"",FIXED(INDEX('Coverage Indicators - Section D'!S$1:S$100,MATCH('Print View'!$A157,'Coverage Indicators - Section D'!$A$1:$A$100,0))*100,2)&amp;"%",""),"")&amp;CHAR(10)&amp;IFERROR(IF(INDEX('Coverage Indicators - Section D'!T$1:T$100,MATCH('Print View'!$A157,'Coverage Indicators - Section D'!$A$1:$A$100,0))&lt;&gt;"",INDEX('Coverage Indicators - Section D'!T$1:T$100,MATCH('Print View'!$A157,'Coverage Indicators - Section D'!$A$1:$A$100,0)),""),"")</f>
        <v xml:space="preserve">17354/28443
61.01%
</v>
      </c>
      <c r="N157" s="81" t="str">
        <f ca="1">IFERROR(IF(INDEX('Coverage Indicators - Section D'!U$1:U$100,MATCH('Print View'!$A157,'Coverage Indicators - Section D'!$A$1:$A$100,0))&lt;&gt;"",INDEX('Coverage Indicators - Section D'!U$1:U$100,MATCH('Print View'!$A157,'Coverage Indicators - Section D'!$A$1:$A$100,0)),""),"")&amp;"/"&amp;IFERROR(IF(INDEX('Coverage Indicators - Section D'!U$1:U$100,MATCH('Print View'!$A157,'Coverage Indicators - Section D'!$A$1:$A$100,0)+1)&lt;&gt;"",INDEX('Coverage Indicators - Section D'!U$1:U$100,MATCH('Print View'!$A157,'Coverage Indicators - Section D'!$A$1:$A$100,0)+1),""),"")&amp;CHAR(10)&amp;IFERROR(IF(INDEX('Coverage Indicators - Section D'!V$1:V$100,MATCH('Print View'!$A157,'Coverage Indicators - Section D'!$A$1:$A$100,0))&lt;&gt;"",FIXED(INDEX('Coverage Indicators - Section D'!V$1:V$100,MATCH('Print View'!$A157,'Coverage Indicators - Section D'!$A$1:$A$100,0))*100,2)&amp;"%",""),"")&amp;CHAR(10)&amp;IFERROR(IF(INDEX('Coverage Indicators - Section D'!W$1:W$100,MATCH('Print View'!$A157,'Coverage Indicators - Section D'!$A$1:$A$100,0))&lt;&gt;"",INDEX('Coverage Indicators - Section D'!W$1:W$100,MATCH('Print View'!$A157,'Coverage Indicators - Section D'!$A$1:$A$100,0)),""),"")</f>
        <v xml:space="preserve">18433/29227
0.00%
</v>
      </c>
      <c r="O157" s="82" t="str">
        <f ca="1">IFERROR(IF(INDEX('Coverage Indicators - Section D'!X$1:X$100,MATCH('Print View'!$A157,'Coverage Indicators - Section D'!$A$1:$A$100,0))&lt;&gt;"",INDEX('Coverage Indicators - Section D'!X$1:X$100,MATCH('Print View'!$A157,'Coverage Indicators - Section D'!$A$1:$A$100,0)),""),"")&amp;"/"&amp;IFERROR(IF(INDEX('Coverage Indicators - Section D'!X$1:X$100,MATCH('Print View'!$A157,'Coverage Indicators - Section D'!$A$1:$A$100,0)+1)&lt;&gt;"",INDEX('Coverage Indicators - Section D'!X$1:X$100,MATCH('Print View'!$A157,'Coverage Indicators - Section D'!$A$1:$A$100,0)+1),""),"")&amp;CHAR(10)&amp;IFERROR(IF(INDEX('Coverage Indicators - Section D'!Y$1:Y$100,MATCH('Print View'!$A157,'Coverage Indicators - Section D'!$A$1:$A$100,0))&lt;&gt;"",FIXED(INDEX('Coverage Indicators - Section D'!Y$1:Y$100,MATCH('Print View'!$A157,'Coverage Indicators - Section D'!$A$1:$A$100,0))*100,2)&amp;"%",""),"")&amp;CHAR(10)&amp;IFERROR(IF(INDEX('Coverage Indicators - Section D'!Z$1:Z$100,MATCH('Print View'!$A157,'Coverage Indicators - Section D'!$A$1:$A$100,0))&lt;&gt;"",INDEX('Coverage Indicators - Section D'!Z$1:Z$100,MATCH('Print View'!$A157,'Coverage Indicators - Section D'!$A$1:$A$100,0)),""),"")</f>
        <v xml:space="preserve">/
</v>
      </c>
      <c r="P157" s="82" t="str">
        <f ca="1">IFERROR(IF(INDEX('Coverage Indicators - Section D'!AA$1:AA$100,MATCH('Print View'!$A157,'Coverage Indicators - Section D'!$A$1:$A$100,0))&lt;&gt;"",INDEX('Coverage Indicators - Section D'!AA$1:AA$100,MATCH('Print View'!$A157,'Coverage Indicators - Section D'!$A$1:$A$100,0)),""),"")&amp;"/"&amp;IFERROR(IF(INDEX('Coverage Indicators - Section D'!AA$1:AA$100,MATCH('Print View'!$A157,'Coverage Indicators - Section D'!$A$1:$A$100,0)+1)&lt;&gt;"",INDEX('Coverage Indicators - Section D'!AA$1:AA$100,MATCH('Print View'!$A157,'Coverage Indicators - Section D'!$A$1:$A$100,0)+1),""),"")&amp;CHAR(10)&amp;IFERROR(IF(INDEX('Coverage Indicators - Section D'!AB$1:AB$100,MATCH('Print View'!$A157,'Coverage Indicators - Section D'!$A$1:$A$100,0))&lt;&gt;"",FIXED(INDEX('Coverage Indicators - Section D'!AB$1:AB$100,MATCH('Print View'!$A157,'Coverage Indicators - Section D'!$A$1:$A$100,0))*100,2)&amp;"%",""),"")&amp;CHAR(10)&amp;IFERROR(IF(INDEX('Coverage Indicators - Section D'!AC$1:AC$100,MATCH('Print View'!$A157,'Coverage Indicators - Section D'!$A$1:$A$100,0))&lt;&gt;"",INDEX('Coverage Indicators - Section D'!AC$1:AC$100,MATCH('Print View'!$A157,'Coverage Indicators - Section D'!$A$1:$A$100,0)),""),"")</f>
        <v xml:space="preserve">/
</v>
      </c>
      <c r="Q157" s="82" t="str">
        <f ca="1">IFERROR(IF(INDEX('Coverage Indicators - Section D'!AD$1:AD$100,MATCH('Print View'!$A157,'Coverage Indicators - Section D'!$A$1:$A$100,0))&lt;&gt;"",INDEX('Coverage Indicators - Section D'!AD$1:AD$100,MATCH('Print View'!$A157,'Coverage Indicators - Section D'!$A$1:$A$100,0)),""),"")&amp;"/"&amp;IFERROR(IF(INDEX('Coverage Indicators - Section D'!AD$1:AD$100,MATCH('Print View'!$A157,'Coverage Indicators - Section D'!$A$1:$A$100,0)+1)&lt;&gt;"",INDEX('Coverage Indicators - Section D'!AD$1:AD$100,MATCH('Print View'!$A157,'Coverage Indicators - Section D'!$A$1:$A$100,0)+1),""),"")&amp;CHAR(10)&amp;IFERROR(IF(INDEX('Coverage Indicators - Section D'!AE$1:AE$100,MATCH('Print View'!$A157,'Coverage Indicators - Section D'!$A$1:$A$100,0))&lt;&gt;"",FIXED(INDEX('Coverage Indicators - Section D'!AE$1:AE$100,MATCH('Print View'!$A157,'Coverage Indicators - Section D'!$A$1:$A$100,0))*100,2)&amp;"%",""),"")&amp;CHAR(10)&amp;IFERROR(IF(INDEX('Coverage Indicators - Section D'!AF$1:AF$100,MATCH('Print View'!$A157,'Coverage Indicators - Section D'!$A$1:$A$100,0))&lt;&gt;"",INDEX('Coverage Indicators - Section D'!AF$1:AF$100,MATCH('Print View'!$A157,'Coverage Indicators - Section D'!$A$1:$A$100,0)),""),"")</f>
        <v xml:space="preserve">/
</v>
      </c>
      <c r="R157" s="82" t="str">
        <f ca="1">IFERROR(IF(INDEX('Coverage Indicators - Section D'!AG$1:AG$100,MATCH('Print View'!$A157,'Coverage Indicators - Section D'!$A$1:$A$100,0))&lt;&gt;"",INDEX('Coverage Indicators - Section D'!AG$1:AG$100,MATCH('Print View'!$A157,'Coverage Indicators - Section D'!$A$1:$A$100,0)),""),"")&amp;"/"&amp;IFERROR(IF(INDEX('Coverage Indicators - Section D'!AG$1:AG$100,MATCH('Print View'!$A157,'Coverage Indicators - Section D'!$A$1:$A$100,0)+1)&lt;&gt;"",INDEX('Coverage Indicators - Section D'!AG$1:AG$100,MATCH('Print View'!$A157,'Coverage Indicators - Section D'!$A$1:$A$100,0)+1),""),"")&amp;CHAR(10)&amp;IFERROR(IF(INDEX('Coverage Indicators - Section D'!AH$1:AH$100,MATCH('Print View'!$A157,'Coverage Indicators - Section D'!$A$1:$A$100,0))&lt;&gt;"",FIXED(INDEX('Coverage Indicators - Section D'!AH$1:AH$100,MATCH('Print View'!$A157,'Coverage Indicators - Section D'!$A$1:$A$100,0))*100,2)&amp;"%",""),"")&amp;CHAR(10)&amp;IFERROR(IF(INDEX('Coverage Indicators - Section D'!AI$1:AI$100,MATCH('Print View'!$A157,'Coverage Indicators - Section D'!$A$1:$A$100,0))&lt;&gt;"",INDEX('Coverage Indicators - Section D'!AI$1:AI$100,MATCH('Print View'!$A157,'Coverage Indicators - Section D'!$A$1:$A$100,0)),""),"")</f>
        <v xml:space="preserve">/
</v>
      </c>
      <c r="S157" s="82" t="str">
        <f ca="1">IFERROR(IF(INDEX('Coverage Indicators - Section D'!AJ$1:AJ$100,MATCH('Print View'!$A157,'Coverage Indicators - Section D'!$A$1:$A$100,0))&lt;&gt;"",INDEX('Coverage Indicators - Section D'!AJ$1:AJ$100,MATCH('Print View'!$A157,'Coverage Indicators - Section D'!$A$1:$A$100,0)),""),"")&amp;"/"&amp;IFERROR(IF(INDEX('Coverage Indicators - Section D'!AJ$1:AJ$100,MATCH('Print View'!$A157,'Coverage Indicators - Section D'!$A$1:$A$100,0)+1)&lt;&gt;"",INDEX('Coverage Indicators - Section D'!AJ$1:AJ$100,MATCH('Print View'!$A157,'Coverage Indicators - Section D'!$A$1:$A$100,0)+1),""),"")&amp;CHAR(10)&amp;IFERROR(IF(INDEX('Coverage Indicators - Section D'!AK$1:AK$100,MATCH('Print View'!$A157,'Coverage Indicators - Section D'!$A$1:$A$100,0))&lt;&gt;"",FIXED(INDEX('Coverage Indicators - Section D'!AK$1:AK$100,MATCH('Print View'!$A157,'Coverage Indicators - Section D'!$A$1:$A$100,0))*100,2)&amp;"%",""),"")&amp;CHAR(10)&amp;IFERROR(IF(INDEX('Coverage Indicators - Section D'!AL$1:AL$100,MATCH('Print View'!$A157,'Coverage Indicators - Section D'!$A$1:$A$100,0))&lt;&gt;"",INDEX('Coverage Indicators - Section D'!AL$1:AL$100,MATCH('Print View'!$A157,'Coverage Indicators - Section D'!$A$1:$A$100,0)),""),"")</f>
        <v xml:space="preserve">/
</v>
      </c>
      <c r="T157" s="52"/>
      <c r="U157" s="13"/>
      <c r="V157" s="13"/>
      <c r="W157" s="13"/>
      <c r="X157" s="13"/>
      <c r="Y157" s="13"/>
      <c r="Z157" s="13"/>
      <c r="AA157" s="13"/>
      <c r="AB157" s="13"/>
      <c r="AC157" s="13"/>
      <c r="AD157" s="13"/>
      <c r="AE157" s="13"/>
      <c r="AF157" s="13"/>
      <c r="AG157" s="13"/>
      <c r="AH157" s="13"/>
      <c r="AI157" s="13"/>
      <c r="AJ157" s="13"/>
      <c r="AK157" s="13"/>
      <c r="AL157" s="13"/>
      <c r="AM157" s="13"/>
      <c r="AN157" s="13"/>
      <c r="AO157" s="13" t="str">
        <f ca="1">IFERROR(IF(INDEX('Coverage Indicators - Section D'!AD$1:AD$110,MATCH('Print View'!$A157,'Coverage Indicators - Section D'!$A$1:$A$110,0))&lt;&gt;0,INDEX('Coverage Indicators - Section D'!AD$1:AD$110,MATCH('Print View'!$A157,'Coverage Indicators - Section D'!$A$1:$A$110,0)),""),"")</f>
        <v/>
      </c>
      <c r="AP157" s="13"/>
      <c r="AQ157" s="13"/>
      <c r="AR157" s="13"/>
      <c r="AS157" s="13"/>
      <c r="AT157" s="577" t="str">
        <f ca="1">CONCATENATE($A157,N$147)</f>
        <v>531-Dec-25</v>
      </c>
      <c r="AU157" s="575" t="str">
        <f ca="1">CONCATENATE($A157,Q$147)</f>
        <v>531-Dec-28</v>
      </c>
      <c r="AV157" s="575" t="str">
        <f>CONCATENATE($A157,V$147)</f>
        <v>5</v>
      </c>
      <c r="AW157" s="575" t="str">
        <f>CONCATENATE($A157,Y$147)</f>
        <v>5</v>
      </c>
      <c r="AX157" s="575" t="str">
        <f>CONCATENATE($A157,AB$147)</f>
        <v>5</v>
      </c>
      <c r="AY157" s="575" t="str">
        <f>CONCATENATE($A157,AE$147)</f>
        <v>5</v>
      </c>
      <c r="AZ157" s="575" t="str">
        <f>CONCATENATE($A157,AH$147)</f>
        <v>5</v>
      </c>
      <c r="BA157" s="575" t="str">
        <f>CONCATENATE($A157,AK$147)</f>
        <v>5</v>
      </c>
      <c r="BB157" s="96"/>
      <c r="BC157" s="97"/>
    </row>
    <row r="158" spans="1:55" s="16" customFormat="1" ht="88.35" customHeight="1">
      <c r="A158" s="608"/>
      <c r="B158" s="646" t="str">
        <f ca="1">IFERROR(IF(INDEX('Coverage Indicators - Section D'!AM$1:AM$110,MATCH('Print View'!$A157,'Coverage Indicators - Section D'!$A$1:$A$110,0))&lt;&gt;0,INDEX('Coverage Indicators - Section D'!AM$1:AM$110,MATCH('Print View'!$A157,'Coverage Indicators - Section D'!$A$1:$A$110,0)),""),"")</f>
        <v>Línea de Base: La fuente del numerador es la base de datos de TARGA del SIMONE y el denominador corresponde al número de PVV estimada por Spectrum 2020 para la gestión 2021. 
Denominadores: El denominador corresponde a las estimaciones de Spectrum 2020 para cada año, las mismas que serán actualizadas según las proyecciones para las gestiones futuras.  
Método de Medición: La fuente de información será la base de datos de TARGA del SIMONE. A partir de 2017 se aplica la normativa de inicio de tratamiento a todas las PVV (test and treat).  El RP tendrá que reportar el número de PVV que recibió y/o estuvo cubierto con TARGA el último trimestre del periodo de reporte, desglosado por sexo y edad. El RP también tendrá que reportar la estimación de personas viviendo con VIH (el denominador) actualizada anualmente a través de Spectrum. 
Se espera un incremento en la cobertura de TARV de 54% a 63%. De igual manera el análisis histórico ha permito ajustar la meta de este indicador para el año 2022 a 57%.
Contribución del FM: El FM contribuirá con el 3% de las metas en todos los períodos.</v>
      </c>
      <c r="C158" s="647"/>
      <c r="D158" s="647"/>
      <c r="E158" s="647"/>
      <c r="F158" s="647"/>
      <c r="G158" s="647"/>
      <c r="H158" s="647"/>
      <c r="I158" s="647"/>
      <c r="J158" s="647"/>
      <c r="K158" s="647"/>
      <c r="L158" s="647"/>
      <c r="M158" s="647"/>
      <c r="N158" s="647"/>
      <c r="O158" s="647"/>
      <c r="P158" s="647"/>
      <c r="Q158" s="647"/>
      <c r="R158" s="647"/>
      <c r="S158" s="648"/>
      <c r="T158" s="92"/>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577"/>
      <c r="AU158" s="575"/>
      <c r="AV158" s="575"/>
      <c r="AW158" s="575"/>
      <c r="AX158" s="575"/>
      <c r="AY158" s="575"/>
      <c r="AZ158" s="575"/>
      <c r="BA158" s="575"/>
      <c r="BB158" s="96"/>
      <c r="BC158" s="97"/>
    </row>
    <row r="159" spans="1:55" s="16" customFormat="1" ht="177" customHeight="1">
      <c r="A159" s="609">
        <v>6</v>
      </c>
      <c r="B159" s="83" t="str">
        <f ca="1">IFERROR(IF(INDEX('Coverage Indicators - Section D'!B$1:B$100,MATCH('Print View'!$A159,'Coverage Indicators - Section D'!$A$1:$A$100,0))&lt;&gt;0,INDEX('Coverage Indicators - Section D'!B$1:B$100,MATCH('Print View'!$A159,'Coverage Indicators - Section D'!$A$1:$A$100,0)),""),"")</f>
        <v>Prevención</v>
      </c>
      <c r="C159" s="83" t="str">
        <f ca="1">IFERROR(IF(INDEX('Coverage Indicators - Section D'!D$1:D$100,MATCH('Print View'!$A159,'Coverage Indicators - Section D'!$A$1:$A$100,0))&lt;&gt;0,INDEX('Coverage Indicators - Section D'!D$1:D$100,MATCH('Print View'!$A159,'Coverage Indicators - Section D'!$A$1:$A$100,0)),""),"")</f>
        <v>KP-1c⁽ᴹ⁾ Porcentaje de trabajadores sexuales alcanzados por programas de prevención del VIH - paquete definido de servicios</v>
      </c>
      <c r="D159" s="83" t="str">
        <f ca="1">IFERROR(IF(INDEX('Coverage Indicators - Section D'!E$1:E$100,MATCH('Print View'!$A159,'Coverage Indicators - Section D'!$A$1:$A$100,0))&lt;&gt;0,INDEX('Coverage Indicators - Section D'!E$1:E$100,MATCH('Print View'!$A159,'Coverage Indicators - Section D'!$A$1:$A$100,0)),""),"")</f>
        <v/>
      </c>
      <c r="E159" s="45" t="str">
        <f ca="1">IFERROR(IF(INDEX('Coverage Indicators - Section D'!F$1:F$100,MATCH('Print View'!$A159,'Coverage Indicators - Section D'!$A$1:$A$100,0))&lt;&gt;"",INDEX('Coverage Indicators - Section D'!F$1:F$100,MATCH('Print View'!$A159,'Coverage Indicators - Section D'!$A$1:$A$100,0)),""),"")&amp;"/"&amp;IFERROR(IF(INDEX('Coverage Indicators - Section D'!F$1:F$100,MATCH('Print View'!$A159,'Coverage Indicators - Section D'!$A$1:$A$100,0)+1)&lt;&gt;"",INDEX('Coverage Indicators - Section D'!F$1:F$100,MATCH('Print View'!$A159,'Coverage Indicators - Section D'!$A$1:$A$100,0)+1),""),"")&amp;CHAR(10)&amp;IFERROR(IF(INDEX('Coverage Indicators - Section D'!G$1:G$100,MATCH('Print View'!$A159,'Coverage Indicators - Section D'!$A$1:$A$100,0))&lt;&gt;"",FIXED(INDEX('Coverage Indicators - Section D'!G$1:G$100,MATCH('Print View'!$A159,'Coverage Indicators - Section D'!$A$1:$A$100,0))*100,2)&amp;"%",""),"")</f>
        <v>2045/20467
9.99%</v>
      </c>
      <c r="F159" s="84" t="str">
        <f ca="1">IFERROR(IF(INDEX('Coverage Indicators - Section D'!H$1:H$100,MATCH('Print View'!$A159,'Coverage Indicators - Section D'!$A$1:$A$100,0))&lt;&gt;0,INDEX('Coverage Indicators - Section D'!H$1:H$100,MATCH('Print View'!$A159,'Coverage Indicators - Section D'!$A$1:$A$100,0)),""),"")&amp;CHAR(10)&amp;IFERROR(IF(INDEX('Coverage Indicators - Section D'!I$1:I$100,MATCH('Print View'!$A159,'Coverage Indicators - Section D'!$A$1:$A$100,0))&lt;&gt;0,INDEX('Coverage Indicators - Section D'!I$1:I$100,MATCH('Print View'!$A159,'Coverage Indicators - Section D'!$A$1:$A$100,0)),""),"")</f>
        <v>2021
Reporte de la Unidad de Vigilancia Epidemiologica - Componente VIH - SIMONE</v>
      </c>
      <c r="G159" s="85" t="str">
        <f>IFERROR(IF(INDEX('Coverage Indicators - Section D'!J17:J46,MATCH('Print View'!$A159,'Coverage Indicators - Section D'!$A$9:$A$38,0))&lt;&gt;0,INDEX('Coverage Indicators - Section D'!J17:J46,MATCH('Print View'!$A159,'Coverage Indicators - Section D'!$A$9:$A$38,0)),""),"")</f>
        <v/>
      </c>
      <c r="H159" s="84" t="str">
        <f ca="1">IFERROR(IF(INDEX('Coverage Indicators - Section D'!K$1:K$100,MATCH('Print View'!$A159,'Coverage Indicators - Section D'!$A$1:$A$100,0))&lt;&gt;0,INDEX('Coverage Indicators - Section D'!K$1:K$100,MATCH('Print View'!$A159,'Coverage Indicators - Section D'!$A$1:$A$100,0)),""),"")</f>
        <v/>
      </c>
      <c r="I159" s="85" t="str">
        <f ca="1">IFERROR(IF(AND('Overview - Section A'!AN$5="Grant Making",OR(C159&lt;&gt;"",D159&lt;&gt;"")),Setup!I15,IF(INDEX('Coverage Indicators - Section D'!L$1:L$100,MATCH('Print View'!$A159,'Coverage Indicators - Section D'!$A$1:$A$100,0))&lt;&gt;0,INDEX('Coverage Indicators - Section D'!L$1:L$100,MATCH('Print View'!$A159,'Coverage Indicators - Section D'!$A$1:$A$100,0)),"")),"")</f>
        <v/>
      </c>
      <c r="J159" s="88" t="str">
        <f ca="1">IFERROR(IF(INDEX('Coverage Indicators - Section D'!M$1:M$100,MATCH('Print View'!$A159,'Coverage Indicators - Section D'!$A$1:$A$100,0))&lt;&gt;0,INDEX('Coverage Indicators - Section D'!M$1:M$100,MATCH('Print View'!$A159,'Coverage Indicators - Section D'!$A$1:$A$100,0)),""),"")&amp;CHAR(10)&amp;CHAR(10)&amp;IFERROR(IF(INDEX('Coverage Indicators - Section D'!M$1:M$100,MATCH('Print View'!$A159,'Coverage Indicators - Section D'!$A$1:$A$100,0)+1)&lt;&gt;0,INDEX('Coverage Indicators - Section D'!M$1:M$100,MATCH('Print View'!$A159,'Coverage Indicators - Section D'!$A$1:$A$100,0)+1),""),"")</f>
        <v>Bolivia (Plurinational State)
Geographic National, 100% of national program target</v>
      </c>
      <c r="K159" s="84" t="str">
        <f ca="1">IFERROR(IF(INDEX('Coverage Indicators - Section D'!N$1:N$100,MATCH('Print View'!$A159,'Coverage Indicators - Section D'!$A$1:$A$100,0))&lt;&gt;0,INDEX('Coverage Indicators - Section D'!N$1:N$100,MATCH('Print View'!$A159,'Coverage Indicators - Section D'!$A$1:$A$100,0)),""),"")</f>
        <v/>
      </c>
      <c r="L159" s="88" t="str">
        <f ca="1">IFERROR(IF(INDEX('Coverage Indicators - Section D'!O$1:O$100,MATCH('Print View'!$A159,'Coverage Indicators - Section D'!$A$1:$A$100,0))&lt;&gt;"",INDEX('Coverage Indicators - Section D'!O$1:O$100,MATCH('Print View'!$A159,'Coverage Indicators - Section D'!$A$1:$A$100,0)),""),"")&amp;"/"&amp;IFERROR(IF(INDEX('Coverage Indicators - Section D'!O$1:O$100,MATCH('Print View'!$A159,'Coverage Indicators - Section D'!$A$1:$A$100,0)+1)&lt;&gt;"",INDEX('Coverage Indicators - Section D'!O$1:O$100,MATCH('Print View'!$A159,'Coverage Indicators - Section D'!$A$1:$A$100,0)+1),""),"")&amp;CHAR(10)&amp;IFERROR(IF(INDEX('Coverage Indicators - Section D'!P$1:P$100,MATCH('Print View'!$A159,'Coverage Indicators - Section D'!$A$1:$A$100,0))&lt;&gt;"",FIXED(INDEX('Coverage Indicators - Section D'!P$1:P$100,MATCH('Print View'!$A159,'Coverage Indicators - Section D'!$A$1:$A$100,0))*100,2)&amp;"%",""),"")&amp;CHAR(10)&amp;IFERROR(IF(INDEX('Coverage Indicators - Section D'!Q$1:Q$100,MATCH('Print View'!$A159,'Coverage Indicators - Section D'!$A$1:$A$100,0))&lt;&gt;"",INDEX('Coverage Indicators - Section D'!Q$1:Q$100,MATCH('Print View'!$A159,'Coverage Indicators - Section D'!$A$1:$A$100,0)),""),"")</f>
        <v xml:space="preserve">2323/21116
11.00%
</v>
      </c>
      <c r="M159" s="88" t="str">
        <f ca="1">IFERROR(IF(INDEX('Coverage Indicators - Section D'!R$1:R$100,MATCH('Print View'!$A159,'Coverage Indicators - Section D'!$A$1:$A$100,0))&lt;&gt;"",INDEX('Coverage Indicators - Section D'!R$1:R$100,MATCH('Print View'!$A159,'Coverage Indicators - Section D'!$A$1:$A$100,0)),""),"")&amp;"/"&amp;IFERROR(IF(INDEX('Coverage Indicators - Section D'!R$1:R$100,MATCH('Print View'!$A159,'Coverage Indicators - Section D'!$A$1:$A$100,0)+1)&lt;&gt;"",INDEX('Coverage Indicators - Section D'!R$1:R$100,MATCH('Print View'!$A159,'Coverage Indicators - Section D'!$A$1:$A$100,0)+1),""),"")&amp;CHAR(10)&amp;IFERROR(IF(INDEX('Coverage Indicators - Section D'!S$1:S$100,MATCH('Print View'!$A159,'Coverage Indicators - Section D'!$A$1:$A$100,0))&lt;&gt;"",FIXED(INDEX('Coverage Indicators - Section D'!S$1:S$100,MATCH('Print View'!$A159,'Coverage Indicators - Section D'!$A$1:$A$100,0))*100,2)&amp;"%",""),"")&amp;CHAR(10)&amp;IFERROR(IF(INDEX('Coverage Indicators - Section D'!T$1:T$100,MATCH('Print View'!$A159,'Coverage Indicators - Section D'!$A$1:$A$100,0))&lt;&gt;"",INDEX('Coverage Indicators - Section D'!T$1:T$100,MATCH('Print View'!$A159,'Coverage Indicators - Section D'!$A$1:$A$100,0)),""),"")</f>
        <v xml:space="preserve">5170/21442
24.11%
</v>
      </c>
      <c r="N159" s="88" t="str">
        <f ca="1">IFERROR(IF(INDEX('Coverage Indicators - Section D'!U$1:U$100,MATCH('Print View'!$A159,'Coverage Indicators - Section D'!$A$1:$A$100,0))&lt;&gt;"",INDEX('Coverage Indicators - Section D'!U$1:U$100,MATCH('Print View'!$A159,'Coverage Indicators - Section D'!$A$1:$A$100,0)),""),"")&amp;"/"&amp;IFERROR(IF(INDEX('Coverage Indicators - Section D'!U$1:U$100,MATCH('Print View'!$A159,'Coverage Indicators - Section D'!$A$1:$A$100,0)+1)&lt;&gt;"",INDEX('Coverage Indicators - Section D'!U$1:U$100,MATCH('Print View'!$A159,'Coverage Indicators - Section D'!$A$1:$A$100,0)+1),""),"")&amp;CHAR(10)&amp;IFERROR(IF(INDEX('Coverage Indicators - Section D'!V$1:V$100,MATCH('Print View'!$A159,'Coverage Indicators - Section D'!$A$1:$A$100,0))&lt;&gt;"",FIXED(INDEX('Coverage Indicators - Section D'!V$1:V$100,MATCH('Print View'!$A159,'Coverage Indicators - Section D'!$A$1:$A$100,0))*100,2)&amp;"%",""),"")&amp;CHAR(10)&amp;IFERROR(IF(INDEX('Coverage Indicators - Section D'!W$1:W$100,MATCH('Print View'!$A159,'Coverage Indicators - Section D'!$A$1:$A$100,0))&lt;&gt;"",INDEX('Coverage Indicators - Section D'!W$1:W$100,MATCH('Print View'!$A159,'Coverage Indicators - Section D'!$A$1:$A$100,0)),""),"")</f>
        <v xml:space="preserve">6948/21768
31.92%
</v>
      </c>
      <c r="O159" s="88" t="str">
        <f ca="1">IFERROR(IF(INDEX('Coverage Indicators - Section D'!X$1:X$100,MATCH('Print View'!$A159,'Coverage Indicators - Section D'!$A$1:$A$100,0))&lt;&gt;"",INDEX('Coverage Indicators - Section D'!X$1:X$100,MATCH('Print View'!$A159,'Coverage Indicators - Section D'!$A$1:$A$100,0)),""),"")&amp;"/"&amp;IFERROR(IF(INDEX('Coverage Indicators - Section D'!X$1:X$100,MATCH('Print View'!$A159,'Coverage Indicators - Section D'!$A$1:$A$100,0)+1)&lt;&gt;"",INDEX('Coverage Indicators - Section D'!X$1:X$100,MATCH('Print View'!$A159,'Coverage Indicators - Section D'!$A$1:$A$100,0)+1),""),"")&amp;CHAR(10)&amp;IFERROR(IF(INDEX('Coverage Indicators - Section D'!Y$1:Y$100,MATCH('Print View'!$A159,'Coverage Indicators - Section D'!$A$1:$A$100,0))&lt;&gt;"",FIXED(INDEX('Coverage Indicators - Section D'!Y$1:Y$100,MATCH('Print View'!$A159,'Coverage Indicators - Section D'!$A$1:$A$100,0))*100,2)&amp;"%",""),"")&amp;CHAR(10)&amp;IFERROR(IF(INDEX('Coverage Indicators - Section D'!Z$1:Z$100,MATCH('Print View'!$A159,'Coverage Indicators - Section D'!$A$1:$A$100,0))&lt;&gt;"",INDEX('Coverage Indicators - Section D'!Z$1:Z$100,MATCH('Print View'!$A159,'Coverage Indicators - Section D'!$A$1:$A$100,0)),""),"")</f>
        <v xml:space="preserve">/
</v>
      </c>
      <c r="P159" s="88" t="str">
        <f ca="1">IFERROR(IF(INDEX('Coverage Indicators - Section D'!AA$1:AA$100,MATCH('Print View'!$A159,'Coverage Indicators - Section D'!$A$1:$A$100,0))&lt;&gt;"",INDEX('Coverage Indicators - Section D'!AA$1:AA$100,MATCH('Print View'!$A159,'Coverage Indicators - Section D'!$A$1:$A$100,0)),""),"")&amp;"/"&amp;IFERROR(IF(INDEX('Coverage Indicators - Section D'!AA$1:AA$100,MATCH('Print View'!$A159,'Coverage Indicators - Section D'!$A$1:$A$100,0)+1)&lt;&gt;"",INDEX('Coverage Indicators - Section D'!AA$1:AA$100,MATCH('Print View'!$A159,'Coverage Indicators - Section D'!$A$1:$A$100,0)+1),""),"")&amp;CHAR(10)&amp;IFERROR(IF(INDEX('Coverage Indicators - Section D'!AB$1:AB$100,MATCH('Print View'!$A159,'Coverage Indicators - Section D'!$A$1:$A$100,0))&lt;&gt;"",FIXED(INDEX('Coverage Indicators - Section D'!AB$1:AB$100,MATCH('Print View'!$A159,'Coverage Indicators - Section D'!$A$1:$A$100,0))*100,2)&amp;"%",""),"")&amp;CHAR(10)&amp;IFERROR(IF(INDEX('Coverage Indicators - Section D'!AC$1:AC$100,MATCH('Print View'!$A159,'Coverage Indicators - Section D'!$A$1:$A$100,0))&lt;&gt;"",INDEX('Coverage Indicators - Section D'!AC$1:AC$100,MATCH('Print View'!$A159,'Coverage Indicators - Section D'!$A$1:$A$100,0)),""),"")</f>
        <v xml:space="preserve">/
</v>
      </c>
      <c r="Q159" s="88" t="str">
        <f ca="1">IFERROR(IF(INDEX('Coverage Indicators - Section D'!AD$1:AD$100,MATCH('Print View'!$A159,'Coverage Indicators - Section D'!$A$1:$A$100,0))&lt;&gt;"",INDEX('Coverage Indicators - Section D'!AD$1:AD$100,MATCH('Print View'!$A159,'Coverage Indicators - Section D'!$A$1:$A$100,0)),""),"")&amp;"/"&amp;IFERROR(IF(INDEX('Coverage Indicators - Section D'!AD$1:AD$100,MATCH('Print View'!$A159,'Coverage Indicators - Section D'!$A$1:$A$100,0)+1)&lt;&gt;"",INDEX('Coverage Indicators - Section D'!AD$1:AD$100,MATCH('Print View'!$A159,'Coverage Indicators - Section D'!$A$1:$A$100,0)+1),""),"")&amp;CHAR(10)&amp;IFERROR(IF(INDEX('Coverage Indicators - Section D'!AE$1:AE$100,MATCH('Print View'!$A159,'Coverage Indicators - Section D'!$A$1:$A$100,0))&lt;&gt;"",FIXED(INDEX('Coverage Indicators - Section D'!AE$1:AE$100,MATCH('Print View'!$A159,'Coverage Indicators - Section D'!$A$1:$A$100,0))*100,2)&amp;"%",""),"")&amp;CHAR(10)&amp;IFERROR(IF(INDEX('Coverage Indicators - Section D'!AF$1:AF$100,MATCH('Print View'!$A159,'Coverage Indicators - Section D'!$A$1:$A$100,0))&lt;&gt;"",INDEX('Coverage Indicators - Section D'!AF$1:AF$100,MATCH('Print View'!$A159,'Coverage Indicators - Section D'!$A$1:$A$100,0)),""),"")</f>
        <v xml:space="preserve">/
</v>
      </c>
      <c r="R159" s="88" t="str">
        <f ca="1">IFERROR(IF(INDEX('Coverage Indicators - Section D'!AG$1:AG$100,MATCH('Print View'!$A159,'Coverage Indicators - Section D'!$A$1:$A$100,0))&lt;&gt;"",INDEX('Coverage Indicators - Section D'!AG$1:AG$100,MATCH('Print View'!$A159,'Coverage Indicators - Section D'!$A$1:$A$100,0)),""),"")&amp;"/"&amp;IFERROR(IF(INDEX('Coverage Indicators - Section D'!AG$1:AG$100,MATCH('Print View'!$A159,'Coverage Indicators - Section D'!$A$1:$A$100,0)+1)&lt;&gt;"",INDEX('Coverage Indicators - Section D'!AG$1:AG$100,MATCH('Print View'!$A159,'Coverage Indicators - Section D'!$A$1:$A$100,0)+1),""),"")&amp;CHAR(10)&amp;IFERROR(IF(INDEX('Coverage Indicators - Section D'!AH$1:AH$100,MATCH('Print View'!$A159,'Coverage Indicators - Section D'!$A$1:$A$100,0))&lt;&gt;"",FIXED(INDEX('Coverage Indicators - Section D'!AH$1:AH$100,MATCH('Print View'!$A159,'Coverage Indicators - Section D'!$A$1:$A$100,0))*100,2)&amp;"%",""),"")&amp;CHAR(10)&amp;IFERROR(IF(INDEX('Coverage Indicators - Section D'!AI$1:AI$100,MATCH('Print View'!$A159,'Coverage Indicators - Section D'!$A$1:$A$100,0))&lt;&gt;"",INDEX('Coverage Indicators - Section D'!AI$1:AI$100,MATCH('Print View'!$A159,'Coverage Indicators - Section D'!$A$1:$A$100,0)),""),"")</f>
        <v xml:space="preserve">/
</v>
      </c>
      <c r="S159" s="88" t="str">
        <f ca="1">IFERROR(IF(INDEX('Coverage Indicators - Section D'!AJ$1:AJ$100,MATCH('Print View'!$A159,'Coverage Indicators - Section D'!$A$1:$A$100,0))&lt;&gt;"",INDEX('Coverage Indicators - Section D'!AJ$1:AJ$100,MATCH('Print View'!$A159,'Coverage Indicators - Section D'!$A$1:$A$100,0)),""),"")&amp;"/"&amp;IFERROR(IF(INDEX('Coverage Indicators - Section D'!AJ$1:AJ$100,MATCH('Print View'!$A159,'Coverage Indicators - Section D'!$A$1:$A$100,0)+1)&lt;&gt;"",INDEX('Coverage Indicators - Section D'!AJ$1:AJ$100,MATCH('Print View'!$A159,'Coverage Indicators - Section D'!$A$1:$A$100,0)+1),""),"")&amp;CHAR(10)&amp;IFERROR(IF(INDEX('Coverage Indicators - Section D'!AK$1:AK$100,MATCH('Print View'!$A159,'Coverage Indicators - Section D'!$A$1:$A$100,0))&lt;&gt;"",FIXED(INDEX('Coverage Indicators - Section D'!AK$1:AK$100,MATCH('Print View'!$A159,'Coverage Indicators - Section D'!$A$1:$A$100,0))*100,2)&amp;"%",""),"")&amp;CHAR(10)&amp;IFERROR(IF(INDEX('Coverage Indicators - Section D'!AL$1:AL$100,MATCH('Print View'!$A159,'Coverage Indicators - Section D'!$A$1:$A$100,0))&lt;&gt;"",INDEX('Coverage Indicators - Section D'!AL$1:AL$100,MATCH('Print View'!$A159,'Coverage Indicators - Section D'!$A$1:$A$100,0)),""),"")</f>
        <v xml:space="preserve">/
</v>
      </c>
      <c r="T159" s="93"/>
      <c r="U159" s="13"/>
      <c r="V159" s="13"/>
      <c r="W159" s="13"/>
      <c r="X159" s="13"/>
      <c r="Y159" s="13"/>
      <c r="Z159" s="13"/>
      <c r="AA159" s="13"/>
      <c r="AB159" s="13"/>
      <c r="AC159" s="13"/>
      <c r="AD159" s="13"/>
      <c r="AE159" s="13"/>
      <c r="AF159" s="13"/>
      <c r="AG159" s="13"/>
      <c r="AH159" s="13"/>
      <c r="AI159" s="13"/>
      <c r="AJ159" s="13"/>
      <c r="AK159" s="13"/>
      <c r="AL159" s="13"/>
      <c r="AM159" s="13"/>
      <c r="AN159" s="13"/>
      <c r="AO159" s="13" t="str">
        <f ca="1">IFERROR(IF(INDEX('Coverage Indicators - Section D'!AD$1:AD$110,MATCH('Print View'!$A159,'Coverage Indicators - Section D'!$A$1:$A$110,0))&lt;&gt;0,INDEX('Coverage Indicators - Section D'!AD$1:AD$110,MATCH('Print View'!$A159,'Coverage Indicators - Section D'!$A$1:$A$110,0)),""),"")</f>
        <v/>
      </c>
      <c r="AP159" s="13"/>
      <c r="AQ159" s="13"/>
      <c r="AR159" s="13"/>
      <c r="AS159" s="13"/>
      <c r="AT159" s="577" t="str">
        <f ca="1">CONCATENATE($A159,N$147)</f>
        <v>631-Dec-25</v>
      </c>
      <c r="AU159" s="575" t="str">
        <f ca="1">CONCATENATE($A159,Q$147)</f>
        <v>631-Dec-28</v>
      </c>
      <c r="AV159" s="575" t="str">
        <f>CONCATENATE($A159,V$147)</f>
        <v>6</v>
      </c>
      <c r="AW159" s="575" t="str">
        <f>CONCATENATE($A159,Y$147)</f>
        <v>6</v>
      </c>
      <c r="AX159" s="575" t="str">
        <f>CONCATENATE($A159,AB$147)</f>
        <v>6</v>
      </c>
      <c r="AY159" s="575" t="str">
        <f>CONCATENATE($A159,AE$147)</f>
        <v>6</v>
      </c>
      <c r="AZ159" s="575" t="str">
        <f>CONCATENATE($A159,AH$147)</f>
        <v>6</v>
      </c>
      <c r="BA159" s="575" t="str">
        <f>CONCATENATE($A159,AK$147)</f>
        <v>6</v>
      </c>
      <c r="BB159" s="96"/>
      <c r="BC159" s="97"/>
    </row>
    <row r="160" spans="1:55" s="16" customFormat="1" ht="88.35" customHeight="1">
      <c r="A160" s="609"/>
      <c r="B160" s="630" t="str">
        <f ca="1">IFERROR(IF(INDEX('Coverage Indicators - Section D'!AM$1:AM$110,MATCH('Print View'!$A159,'Coverage Indicators - Section D'!$A$1:$A$110,0))&lt;&gt;0,INDEX('Coverage Indicators - Section D'!AM$1:AM$110,MATCH('Print View'!$A159,'Coverage Indicators - Section D'!$A$1:$A$110,0)),""),"")</f>
        <v xml:space="preserve">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4 ciudades (La Paz, El Alto, Cochabamba y Santa Cruz) el resto de la población será cubierta con recursos del estado.
Paquete de Prevención: El indicador mide el abordaje de la población de Trabajadoras Sexuales con acciones de prevención a través de los establecimientos de salud (CDVIR/CRVIR y Centros desconcentrados) y estrategias comunitarias (Unidades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Método de medición: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10% a 32% de Trabajadoras Sexuales que reciben paquetes de prevención.
Contribución del FM: El FM contribuirá con el 100%, 50% y 41% respectivamente en los 3 años del proyecto, cubriendo hasta 2 paquetes al año en las 4 ciudades priorizadas.
incluyen tanto trabajadoras sexuales registradas (con carnet sanitario) como las no registradas (sin carnet sanitario). </v>
      </c>
      <c r="C160" s="631"/>
      <c r="D160" s="631"/>
      <c r="E160" s="631"/>
      <c r="F160" s="631"/>
      <c r="G160" s="631"/>
      <c r="H160" s="631"/>
      <c r="I160" s="632"/>
      <c r="J160" s="632"/>
      <c r="K160" s="632"/>
      <c r="L160" s="632"/>
      <c r="M160" s="632"/>
      <c r="N160" s="632"/>
      <c r="O160" s="632"/>
      <c r="P160" s="632"/>
      <c r="Q160" s="632"/>
      <c r="R160" s="632"/>
      <c r="S160" s="633"/>
      <c r="T160" s="94"/>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577"/>
      <c r="AU160" s="575"/>
      <c r="AV160" s="575"/>
      <c r="AW160" s="575"/>
      <c r="AX160" s="575"/>
      <c r="AY160" s="575"/>
      <c r="AZ160" s="575"/>
      <c r="BA160" s="575"/>
      <c r="BB160" s="96"/>
      <c r="BC160" s="97"/>
    </row>
    <row r="161" spans="1:55" s="16" customFormat="1" ht="177" customHeight="1">
      <c r="A161" s="608">
        <v>7</v>
      </c>
      <c r="B161" s="80" t="str">
        <f ca="1">IFERROR(IF(INDEX('Coverage Indicators - Section D'!B$1:B$100,MATCH('Print View'!$A161,'Coverage Indicators - Section D'!$A$1:$A$100,0))&lt;&gt;0,INDEX('Coverage Indicators - Section D'!B$1:B$100,MATCH('Print View'!$A161,'Coverage Indicators - Section D'!$A$1:$A$100,0)),""),"")</f>
        <v>Servicios diferenciados de diagnóstico del VIH</v>
      </c>
      <c r="C161" s="80" t="str">
        <f ca="1">IFERROR(IF(INDEX('Coverage Indicators - Section D'!D$1:D$100,MATCH('Print View'!$A161,'Coverage Indicators - Section D'!$A$1:$A$100,0))&lt;&gt;0,INDEX('Coverage Indicators - Section D'!D$1:D$100,MATCH('Print View'!$A161,'Coverage Indicators - Section D'!$A$1:$A$100,0)),""),"")</f>
        <v>HTS-3c⁽ᴹ⁾ Porcentaje de trabajadores sexuales a los que se les ha realizado una prueba de VIH durante el período de reporte y que conocen sus resultados</v>
      </c>
      <c r="D161" s="80" t="str">
        <f ca="1">IFERROR(IF(INDEX('Coverage Indicators - Section D'!E$1:E$100,MATCH('Print View'!$A161,'Coverage Indicators - Section D'!$A$1:$A$100,0))&lt;&gt;0,INDEX('Coverage Indicators - Section D'!E$1:E$100,MATCH('Print View'!$A161,'Coverage Indicators - Section D'!$A$1:$A$100,0)),""),"")</f>
        <v/>
      </c>
      <c r="E161" s="81" t="str">
        <f ca="1">IFERROR(IF(INDEX('Coverage Indicators - Section D'!F$1:F$100,MATCH('Print View'!$A161,'Coverage Indicators - Section D'!$A$1:$A$100,0))&lt;&gt;"",INDEX('Coverage Indicators - Section D'!F$1:F$100,MATCH('Print View'!$A161,'Coverage Indicators - Section D'!$A$1:$A$100,0)),""),"")&amp;"/"&amp;IFERROR(IF(INDEX('Coverage Indicators - Section D'!F$1:F$100,MATCH('Print View'!$A161,'Coverage Indicators - Section D'!$A$1:$A$100,0)+1)&lt;&gt;"",INDEX('Coverage Indicators - Section D'!F$1:F$100,MATCH('Print View'!$A161,'Coverage Indicators - Section D'!$A$1:$A$100,0)+1),""),"")&amp;CHAR(10)&amp;IFERROR(IF(INDEX('Coverage Indicators - Section D'!G$1:G$100,MATCH('Print View'!$A161,'Coverage Indicators - Section D'!$A$1:$A$100,0))&lt;&gt;"",FIXED(INDEX('Coverage Indicators - Section D'!G$1:G$100,MATCH('Print View'!$A161,'Coverage Indicators - Section D'!$A$1:$A$100,0))*100,2)&amp;"%",""),"")</f>
        <v>1771/20467
8.65%</v>
      </c>
      <c r="F161" s="82" t="str">
        <f ca="1">IFERROR(IF(INDEX('Coverage Indicators - Section D'!H$1:H$100,MATCH('Print View'!$A161,'Coverage Indicators - Section D'!$A$1:$A$100,0))&lt;&gt;0,INDEX('Coverage Indicators - Section D'!H$1:H$100,MATCH('Print View'!$A161,'Coverage Indicators - Section D'!$A$1:$A$100,0)),""),"")&amp;CHAR(10)&amp;IFERROR(IF(INDEX('Coverage Indicators - Section D'!I$1:I$100,MATCH('Print View'!$A161,'Coverage Indicators - Section D'!$A$1:$A$100,0))&lt;&gt;0,INDEX('Coverage Indicators - Section D'!I$1:I$100,MATCH('Print View'!$A161,'Coverage Indicators - Section D'!$A$1:$A$100,0)),""),"")</f>
        <v>2021
Reporte de la Unidad de Vigilancia Epidemiologica - Componente VIH - SIMONE</v>
      </c>
      <c r="G161" s="41" t="str">
        <f>IFERROR(IF(INDEX('Coverage Indicators - Section D'!J21:J50,MATCH('Print View'!$A161,'Coverage Indicators - Section D'!$A$9:$A$38,0))&lt;&gt;0,INDEX('Coverage Indicators - Section D'!J21:J50,MATCH('Print View'!$A161,'Coverage Indicators - Section D'!$A$9:$A$38,0)),""),"")</f>
        <v/>
      </c>
      <c r="H161" s="42" t="str">
        <f ca="1">IFERROR(IF(INDEX('Coverage Indicators - Section D'!K$1:K$100,MATCH('Print View'!$A161,'Coverage Indicators - Section D'!$A$1:$A$100,0))&lt;&gt;0,INDEX('Coverage Indicators - Section D'!K$1:K$100,MATCH('Print View'!$A161,'Coverage Indicators - Section D'!$A$1:$A$100,0)),""),"")</f>
        <v/>
      </c>
      <c r="I161" s="41" t="str">
        <f ca="1">IFERROR(IF(AND('Overview - Section A'!AN$5="Grant Making",OR(C161&lt;&gt;"",D161&lt;&gt;"")),Setup!I15,IF(INDEX('Coverage Indicators - Section D'!L$1:L$100,MATCH('Print View'!$A161,'Coverage Indicators - Section D'!$A$1:$A$100,0))&lt;&gt;0,INDEX('Coverage Indicators - Section D'!L$1:L$100,MATCH('Print View'!$A161,'Coverage Indicators - Section D'!$A$1:$A$100,0)),"")),"")</f>
        <v/>
      </c>
      <c r="J161" s="81" t="str">
        <f ca="1">IFERROR(IF(INDEX('Coverage Indicators - Section D'!M$1:M$100,MATCH('Print View'!$A161,'Coverage Indicators - Section D'!$A$1:$A$100,0))&lt;&gt;0,INDEX('Coverage Indicators - Section D'!M$1:M$100,MATCH('Print View'!$A161,'Coverage Indicators - Section D'!$A$1:$A$100,0)),""),"")&amp;CHAR(10)&amp;CHAR(10)&amp;IFERROR(IF(INDEX('Coverage Indicators - Section D'!M$1:M$100,MATCH('Print View'!$A161,'Coverage Indicators - Section D'!$A$1:$A$100,0)+1)&lt;&gt;0,INDEX('Coverage Indicators - Section D'!M$1:M$100,MATCH('Print View'!$A161,'Coverage Indicators - Section D'!$A$1:$A$100,0)+1),""),"")</f>
        <v>Bolivia (Plurinational State)
Geographic National, 100% of national program target</v>
      </c>
      <c r="K161" s="81" t="str">
        <f ca="1">IFERROR(IF(INDEX('Coverage Indicators - Section D'!N$1:N$100,MATCH('Print View'!$A161,'Coverage Indicators - Section D'!$A$1:$A$100,0))&lt;&gt;0,INDEX('Coverage Indicators - Section D'!N$1:N$100,MATCH('Print View'!$A161,'Coverage Indicators - Section D'!$A$1:$A$100,0)),""),"")</f>
        <v/>
      </c>
      <c r="L161" s="81" t="str">
        <f ca="1">IFERROR(IF(INDEX('Coverage Indicators - Section D'!O$1:O$100,MATCH('Print View'!$A161,'Coverage Indicators - Section D'!$A$1:$A$100,0))&lt;&gt;"",INDEX('Coverage Indicators - Section D'!O$1:O$100,MATCH('Print View'!$A161,'Coverage Indicators - Section D'!$A$1:$A$100,0)),""),"")&amp;"/"&amp;IFERROR(IF(INDEX('Coverage Indicators - Section D'!O$1:O$100,MATCH('Print View'!$A161,'Coverage Indicators - Section D'!$A$1:$A$100,0)+1)&lt;&gt;"",INDEX('Coverage Indicators - Section D'!O$1:O$100,MATCH('Print View'!$A161,'Coverage Indicators - Section D'!$A$1:$A$100,0)+1),""),"")&amp;CHAR(10)&amp;IFERROR(IF(INDEX('Coverage Indicators - Section D'!P$1:P$100,MATCH('Print View'!$A161,'Coverage Indicators - Section D'!$A$1:$A$100,0))&lt;&gt;"",FIXED(INDEX('Coverage Indicators - Section D'!P$1:P$100,MATCH('Print View'!$A161,'Coverage Indicators - Section D'!$A$1:$A$100,0))*100,2)&amp;"%",""),"")&amp;CHAR(10)&amp;IFERROR(IF(INDEX('Coverage Indicators - Section D'!Q$1:Q$100,MATCH('Print View'!$A161,'Coverage Indicators - Section D'!$A$1:$A$100,0))&lt;&gt;"",INDEX('Coverage Indicators - Section D'!Q$1:Q$100,MATCH('Print View'!$A161,'Coverage Indicators - Section D'!$A$1:$A$100,0)),""),"")</f>
        <v xml:space="preserve">2112/21116
10.00%
</v>
      </c>
      <c r="M161" s="82" t="str">
        <f ca="1">IFERROR(IF(INDEX('Coverage Indicators - Section D'!R$1:R$100,MATCH('Print View'!$A161,'Coverage Indicators - Section D'!$A$1:$A$100,0))&lt;&gt;"",INDEX('Coverage Indicators - Section D'!R$1:R$100,MATCH('Print View'!$A161,'Coverage Indicators - Section D'!$A$1:$A$100,0)),""),"")&amp;"/"&amp;IFERROR(IF(INDEX('Coverage Indicators - Section D'!R$1:R$100,MATCH('Print View'!$A161,'Coverage Indicators - Section D'!$A$1:$A$100,0)+1)&lt;&gt;"",INDEX('Coverage Indicators - Section D'!R$1:R$100,MATCH('Print View'!$A161,'Coverage Indicators - Section D'!$A$1:$A$100,0)+1),""),"")&amp;CHAR(10)&amp;IFERROR(IF(INDEX('Coverage Indicators - Section D'!S$1:S$100,MATCH('Print View'!$A161,'Coverage Indicators - Section D'!$A$1:$A$100,0))&lt;&gt;"",FIXED(INDEX('Coverage Indicators - Section D'!S$1:S$100,MATCH('Print View'!$A161,'Coverage Indicators - Section D'!$A$1:$A$100,0))*100,2)&amp;"%",""),"")&amp;CHAR(10)&amp;IFERROR(IF(INDEX('Coverage Indicators - Section D'!T$1:T$100,MATCH('Print View'!$A161,'Coverage Indicators - Section D'!$A$1:$A$100,0))&lt;&gt;"",INDEX('Coverage Indicators - Section D'!T$1:T$100,MATCH('Print View'!$A161,'Coverage Indicators - Section D'!$A$1:$A$100,0)),""),"")</f>
        <v xml:space="preserve">4505/21442
21.01%
</v>
      </c>
      <c r="N161" s="81" t="str">
        <f ca="1">IFERROR(IF(INDEX('Coverage Indicators - Section D'!U$1:U$100,MATCH('Print View'!$A161,'Coverage Indicators - Section D'!$A$1:$A$100,0))&lt;&gt;"",INDEX('Coverage Indicators - Section D'!U$1:U$100,MATCH('Print View'!$A161,'Coverage Indicators - Section D'!$A$1:$A$100,0)),""),"")&amp;"/"&amp;IFERROR(IF(INDEX('Coverage Indicators - Section D'!U$1:U$100,MATCH('Print View'!$A161,'Coverage Indicators - Section D'!$A$1:$A$100,0)+1)&lt;&gt;"",INDEX('Coverage Indicators - Section D'!U$1:U$100,MATCH('Print View'!$A161,'Coverage Indicators - Section D'!$A$1:$A$100,0)+1),""),"")&amp;CHAR(10)&amp;IFERROR(IF(INDEX('Coverage Indicators - Section D'!V$1:V$100,MATCH('Print View'!$A161,'Coverage Indicators - Section D'!$A$1:$A$100,0))&lt;&gt;"",FIXED(INDEX('Coverage Indicators - Section D'!V$1:V$100,MATCH('Print View'!$A161,'Coverage Indicators - Section D'!$A$1:$A$100,0))*100,2)&amp;"%",""),"")&amp;CHAR(10)&amp;IFERROR(IF(INDEX('Coverage Indicators - Section D'!W$1:W$100,MATCH('Print View'!$A161,'Coverage Indicators - Section D'!$A$1:$A$100,0))&lt;&gt;"",INDEX('Coverage Indicators - Section D'!W$1:W$100,MATCH('Print View'!$A161,'Coverage Indicators - Section D'!$A$1:$A$100,0)),""),"")</f>
        <v xml:space="preserve">6008/21768
27.60%
</v>
      </c>
      <c r="O161" s="82" t="str">
        <f ca="1">IFERROR(IF(INDEX('Coverage Indicators - Section D'!X$1:X$100,MATCH('Print View'!$A161,'Coverage Indicators - Section D'!$A$1:$A$100,0))&lt;&gt;"",INDEX('Coverage Indicators - Section D'!X$1:X$100,MATCH('Print View'!$A161,'Coverage Indicators - Section D'!$A$1:$A$100,0)),""),"")&amp;"/"&amp;IFERROR(IF(INDEX('Coverage Indicators - Section D'!X$1:X$100,MATCH('Print View'!$A161,'Coverage Indicators - Section D'!$A$1:$A$100,0)+1)&lt;&gt;"",INDEX('Coverage Indicators - Section D'!X$1:X$100,MATCH('Print View'!$A161,'Coverage Indicators - Section D'!$A$1:$A$100,0)+1),""),"")&amp;CHAR(10)&amp;IFERROR(IF(INDEX('Coverage Indicators - Section D'!Y$1:Y$100,MATCH('Print View'!$A161,'Coverage Indicators - Section D'!$A$1:$A$100,0))&lt;&gt;"",FIXED(INDEX('Coverage Indicators - Section D'!Y$1:Y$100,MATCH('Print View'!$A161,'Coverage Indicators - Section D'!$A$1:$A$100,0))*100,2)&amp;"%",""),"")&amp;CHAR(10)&amp;IFERROR(IF(INDEX('Coverage Indicators - Section D'!Z$1:Z$100,MATCH('Print View'!$A161,'Coverage Indicators - Section D'!$A$1:$A$100,0))&lt;&gt;"",INDEX('Coverage Indicators - Section D'!Z$1:Z$100,MATCH('Print View'!$A161,'Coverage Indicators - Section D'!$A$1:$A$100,0)),""),"")</f>
        <v xml:space="preserve">/
</v>
      </c>
      <c r="P161" s="82" t="str">
        <f ca="1">IFERROR(IF(INDEX('Coverage Indicators - Section D'!AA$1:AA$100,MATCH('Print View'!$A161,'Coverage Indicators - Section D'!$A$1:$A$100,0))&lt;&gt;"",INDEX('Coverage Indicators - Section D'!AA$1:AA$100,MATCH('Print View'!$A161,'Coverage Indicators - Section D'!$A$1:$A$100,0)),""),"")&amp;"/"&amp;IFERROR(IF(INDEX('Coverage Indicators - Section D'!AA$1:AA$100,MATCH('Print View'!$A161,'Coverage Indicators - Section D'!$A$1:$A$100,0)+1)&lt;&gt;"",INDEX('Coverage Indicators - Section D'!AA$1:AA$100,MATCH('Print View'!$A161,'Coverage Indicators - Section D'!$A$1:$A$100,0)+1),""),"")&amp;CHAR(10)&amp;IFERROR(IF(INDEX('Coverage Indicators - Section D'!AB$1:AB$100,MATCH('Print View'!$A161,'Coverage Indicators - Section D'!$A$1:$A$100,0))&lt;&gt;"",FIXED(INDEX('Coverage Indicators - Section D'!AB$1:AB$100,MATCH('Print View'!$A161,'Coverage Indicators - Section D'!$A$1:$A$100,0))*100,2)&amp;"%",""),"")&amp;CHAR(10)&amp;IFERROR(IF(INDEX('Coverage Indicators - Section D'!AC$1:AC$100,MATCH('Print View'!$A161,'Coverage Indicators - Section D'!$A$1:$A$100,0))&lt;&gt;"",INDEX('Coverage Indicators - Section D'!AC$1:AC$100,MATCH('Print View'!$A161,'Coverage Indicators - Section D'!$A$1:$A$100,0)),""),"")</f>
        <v xml:space="preserve">/
</v>
      </c>
      <c r="Q161" s="82" t="str">
        <f ca="1">IFERROR(IF(INDEX('Coverage Indicators - Section D'!AD$1:AD$100,MATCH('Print View'!$A161,'Coverage Indicators - Section D'!$A$1:$A$100,0))&lt;&gt;"",INDEX('Coverage Indicators - Section D'!AD$1:AD$100,MATCH('Print View'!$A161,'Coverage Indicators - Section D'!$A$1:$A$100,0)),""),"")&amp;"/"&amp;IFERROR(IF(INDEX('Coverage Indicators - Section D'!AD$1:AD$100,MATCH('Print View'!$A161,'Coverage Indicators - Section D'!$A$1:$A$100,0)+1)&lt;&gt;"",INDEX('Coverage Indicators - Section D'!AD$1:AD$100,MATCH('Print View'!$A161,'Coverage Indicators - Section D'!$A$1:$A$100,0)+1),""),"")&amp;CHAR(10)&amp;IFERROR(IF(INDEX('Coverage Indicators - Section D'!AE$1:AE$100,MATCH('Print View'!$A161,'Coverage Indicators - Section D'!$A$1:$A$100,0))&lt;&gt;"",FIXED(INDEX('Coverage Indicators - Section D'!AE$1:AE$100,MATCH('Print View'!$A161,'Coverage Indicators - Section D'!$A$1:$A$100,0))*100,2)&amp;"%",""),"")&amp;CHAR(10)&amp;IFERROR(IF(INDEX('Coverage Indicators - Section D'!AF$1:AF$100,MATCH('Print View'!$A161,'Coverage Indicators - Section D'!$A$1:$A$100,0))&lt;&gt;"",INDEX('Coverage Indicators - Section D'!AF$1:AF$100,MATCH('Print View'!$A161,'Coverage Indicators - Section D'!$A$1:$A$100,0)),""),"")</f>
        <v xml:space="preserve">/
</v>
      </c>
      <c r="R161" s="82" t="str">
        <f ca="1">IFERROR(IF(INDEX('Coverage Indicators - Section D'!AG$1:AG$100,MATCH('Print View'!$A161,'Coverage Indicators - Section D'!$A$1:$A$100,0))&lt;&gt;"",INDEX('Coverage Indicators - Section D'!AG$1:AG$100,MATCH('Print View'!$A161,'Coverage Indicators - Section D'!$A$1:$A$100,0)),""),"")&amp;"/"&amp;IFERROR(IF(INDEX('Coverage Indicators - Section D'!AG$1:AG$100,MATCH('Print View'!$A161,'Coverage Indicators - Section D'!$A$1:$A$100,0)+1)&lt;&gt;"",INDEX('Coverage Indicators - Section D'!AG$1:AG$100,MATCH('Print View'!$A161,'Coverage Indicators - Section D'!$A$1:$A$100,0)+1),""),"")&amp;CHAR(10)&amp;IFERROR(IF(INDEX('Coverage Indicators - Section D'!AH$1:AH$100,MATCH('Print View'!$A161,'Coverage Indicators - Section D'!$A$1:$A$100,0))&lt;&gt;"",FIXED(INDEX('Coverage Indicators - Section D'!AH$1:AH$100,MATCH('Print View'!$A161,'Coverage Indicators - Section D'!$A$1:$A$100,0))*100,2)&amp;"%",""),"")&amp;CHAR(10)&amp;IFERROR(IF(INDEX('Coverage Indicators - Section D'!AI$1:AI$100,MATCH('Print View'!$A161,'Coverage Indicators - Section D'!$A$1:$A$100,0))&lt;&gt;"",INDEX('Coverage Indicators - Section D'!AI$1:AI$100,MATCH('Print View'!$A161,'Coverage Indicators - Section D'!$A$1:$A$100,0)),""),"")</f>
        <v xml:space="preserve">/
</v>
      </c>
      <c r="S161" s="82" t="str">
        <f ca="1">IFERROR(IF(INDEX('Coverage Indicators - Section D'!AJ$1:AJ$100,MATCH('Print View'!$A161,'Coverage Indicators - Section D'!$A$1:$A$100,0))&lt;&gt;"",INDEX('Coverage Indicators - Section D'!AJ$1:AJ$100,MATCH('Print View'!$A161,'Coverage Indicators - Section D'!$A$1:$A$100,0)),""),"")&amp;"/"&amp;IFERROR(IF(INDEX('Coverage Indicators - Section D'!AJ$1:AJ$100,MATCH('Print View'!$A161,'Coverage Indicators - Section D'!$A$1:$A$100,0)+1)&lt;&gt;"",INDEX('Coverage Indicators - Section D'!AJ$1:AJ$100,MATCH('Print View'!$A161,'Coverage Indicators - Section D'!$A$1:$A$100,0)+1),""),"")&amp;CHAR(10)&amp;IFERROR(IF(INDEX('Coverage Indicators - Section D'!AK$1:AK$100,MATCH('Print View'!$A161,'Coverage Indicators - Section D'!$A$1:$A$100,0))&lt;&gt;"",FIXED(INDEX('Coverage Indicators - Section D'!AK$1:AK$100,MATCH('Print View'!$A161,'Coverage Indicators - Section D'!$A$1:$A$100,0))*100,2)&amp;"%",""),"")&amp;CHAR(10)&amp;IFERROR(IF(INDEX('Coverage Indicators - Section D'!AL$1:AL$100,MATCH('Print View'!$A161,'Coverage Indicators - Section D'!$A$1:$A$100,0))&lt;&gt;"",INDEX('Coverage Indicators - Section D'!AL$1:AL$100,MATCH('Print View'!$A161,'Coverage Indicators - Section D'!$A$1:$A$100,0)),""),"")</f>
        <v xml:space="preserve">/
</v>
      </c>
      <c r="T161" s="52"/>
      <c r="U161" s="13"/>
      <c r="V161" s="13"/>
      <c r="W161" s="13"/>
      <c r="X161" s="13"/>
      <c r="Y161" s="13"/>
      <c r="Z161" s="13"/>
      <c r="AA161" s="13"/>
      <c r="AB161" s="13"/>
      <c r="AC161" s="13"/>
      <c r="AD161" s="13"/>
      <c r="AE161" s="13"/>
      <c r="AF161" s="13"/>
      <c r="AG161" s="13"/>
      <c r="AH161" s="13"/>
      <c r="AI161" s="13"/>
      <c r="AJ161" s="13"/>
      <c r="AK161" s="13"/>
      <c r="AL161" s="13"/>
      <c r="AM161" s="13"/>
      <c r="AN161" s="13"/>
      <c r="AO161" s="13" t="str">
        <f ca="1">IFERROR(IF(INDEX('Coverage Indicators - Section D'!AD$1:AD$110,MATCH('Print View'!$A161,'Coverage Indicators - Section D'!$A$1:$A$110,0))&lt;&gt;0,INDEX('Coverage Indicators - Section D'!AD$1:AD$110,MATCH('Print View'!$A161,'Coverage Indicators - Section D'!$A$1:$A$110,0)),""),"")</f>
        <v/>
      </c>
      <c r="AP161" s="13"/>
      <c r="AQ161" s="13"/>
      <c r="AR161" s="13"/>
      <c r="AS161" s="13"/>
      <c r="AT161" s="577" t="str">
        <f ca="1">CONCATENATE($A161,N$147)</f>
        <v>731-Dec-25</v>
      </c>
      <c r="AU161" s="575" t="str">
        <f ca="1">CONCATENATE($A161,Q$147)</f>
        <v>731-Dec-28</v>
      </c>
      <c r="AV161" s="575" t="str">
        <f>CONCATENATE($A161,V$147)</f>
        <v>7</v>
      </c>
      <c r="AW161" s="575" t="str">
        <f>CONCATENATE($A161,Y$147)</f>
        <v>7</v>
      </c>
      <c r="AX161" s="575" t="str">
        <f>CONCATENATE($A161,AB$147)</f>
        <v>7</v>
      </c>
      <c r="AY161" s="575" t="str">
        <f>CONCATENATE($A161,AE$147)</f>
        <v>7</v>
      </c>
      <c r="AZ161" s="575" t="str">
        <f>CONCATENATE($A161,AH$147)</f>
        <v>7</v>
      </c>
      <c r="BA161" s="575" t="str">
        <f>CONCATENATE($A161,AK$147)</f>
        <v>7</v>
      </c>
      <c r="BB161" s="96"/>
      <c r="BC161" s="97"/>
    </row>
    <row r="162" spans="1:55" s="16" customFormat="1" ht="88.35" customHeight="1">
      <c r="A162" s="608"/>
      <c r="B162" s="646" t="str">
        <f ca="1">IFERROR(IF(INDEX('Coverage Indicators - Section D'!AM$1:AM$110,MATCH('Print View'!$A161,'Coverage Indicators - Section D'!$A$1:$A$110,0))&lt;&gt;0,INDEX('Coverage Indicators - Section D'!AM$1:AM$110,MATCH('Print View'!$A161,'Coverage Indicators - Section D'!$A$1:$A$110,0)),""),"")</f>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4 ciudades (La Paz, El Alto, Cochabamba y Santa Cruz) el resto de la población será cubierta con recursos del estado.
Servicios de diagnóstico: Incluirá consejería, realización de la prueba de VIH y vinculación de casos VIH positivo a la atención integral de VIH. Las pruebas de VIH estarán disponibles en los centros departamentales y regionales de salud (CDVIR/CRVIR), centros desconcentrados y unidades móviles. Las guías nacionales recomiendan realizar un test cada 6 meses en la población de riesgo.
Método de medición: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9% a 28% de Trabajadoras Sexuales que se realizan prueba de VIH.
Contribución del FM: El FM contribuirá con 100%, 52% y 43% respectivamente en los 3 años del proyecto, cubriendo una prueba de VIH al año en las 4 ciudades priorizadas.</v>
      </c>
      <c r="C162" s="647"/>
      <c r="D162" s="647"/>
      <c r="E162" s="647"/>
      <c r="F162" s="647"/>
      <c r="G162" s="647"/>
      <c r="H162" s="647"/>
      <c r="I162" s="647"/>
      <c r="J162" s="647"/>
      <c r="K162" s="647"/>
      <c r="L162" s="647"/>
      <c r="M162" s="647"/>
      <c r="N162" s="647"/>
      <c r="O162" s="647"/>
      <c r="P162" s="647"/>
      <c r="Q162" s="647"/>
      <c r="R162" s="647"/>
      <c r="S162" s="648"/>
      <c r="T162" s="92"/>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577"/>
      <c r="AU162" s="575"/>
      <c r="AV162" s="575"/>
      <c r="AW162" s="575"/>
      <c r="AX162" s="575"/>
      <c r="AY162" s="575"/>
      <c r="AZ162" s="575"/>
      <c r="BA162" s="575"/>
      <c r="BB162" s="96"/>
      <c r="BC162" s="97"/>
    </row>
    <row r="163" spans="1:55" s="16" customFormat="1" ht="177" customHeight="1">
      <c r="A163" s="609">
        <v>8</v>
      </c>
      <c r="B163" s="83" t="str">
        <f ca="1">IFERROR(IF(INDEX('Coverage Indicators - Section D'!B$1:B$100,MATCH('Print View'!$A163,'Coverage Indicators - Section D'!$A$1:$A$100,0))&lt;&gt;0,INDEX('Coverage Indicators - Section D'!B$1:B$100,MATCH('Print View'!$A163,'Coverage Indicators - Section D'!$A$1:$A$100,0)),""),"")</f>
        <v>Atención y prevención de la tuberculosis</v>
      </c>
      <c r="C163" s="83" t="str">
        <f ca="1">IFERROR(IF(INDEX('Coverage Indicators - Section D'!D$1:D$100,MATCH('Print View'!$A163,'Coverage Indicators - Section D'!$A$1:$A$100,0))&lt;&gt;0,INDEX('Coverage Indicators - Section D'!D$1:D$100,MATCH('Print View'!$A163,'Coverage Indicators - Section D'!$A$1:$A$100,0)),""),"")</f>
        <v>TCP-1⁽ᴹ⁾ Número de casos notificados de todas las formas de tuberculosis (esto es, confirmados bacteriológicamente y con diagnóstico clínico), casos nuevos y recaídas.</v>
      </c>
      <c r="D163" s="83" t="str">
        <f ca="1">IFERROR(IF(INDEX('Coverage Indicators - Section D'!E$1:E$100,MATCH('Print View'!$A163,'Coverage Indicators - Section D'!$A$1:$A$100,0))&lt;&gt;0,INDEX('Coverage Indicators - Section D'!E$1:E$100,MATCH('Print View'!$A163,'Coverage Indicators - Section D'!$A$1:$A$100,0)),""),"")</f>
        <v/>
      </c>
      <c r="E163" s="45" t="str">
        <f ca="1">IFERROR(IF(INDEX('Coverage Indicators - Section D'!F$1:F$100,MATCH('Print View'!$A163,'Coverage Indicators - Section D'!$A$1:$A$100,0))&lt;&gt;"",INDEX('Coverage Indicators - Section D'!F$1:F$100,MATCH('Print View'!$A163,'Coverage Indicators - Section D'!$A$1:$A$100,0)),""),"")&amp;"/"&amp;IFERROR(IF(INDEX('Coverage Indicators - Section D'!F$1:F$100,MATCH('Print View'!$A163,'Coverage Indicators - Section D'!$A$1:$A$100,0)+1)&lt;&gt;"",INDEX('Coverage Indicators - Section D'!F$1:F$100,MATCH('Print View'!$A163,'Coverage Indicators - Section D'!$A$1:$A$100,0)+1),""),"")&amp;CHAR(10)&amp;IFERROR(IF(INDEX('Coverage Indicators - Section D'!G$1:G$100,MATCH('Print View'!$A163,'Coverage Indicators - Section D'!$A$1:$A$100,0))&lt;&gt;"",FIXED(INDEX('Coverage Indicators - Section D'!G$1:G$100,MATCH('Print View'!$A163,'Coverage Indicators - Section D'!$A$1:$A$100,0))*100,2)&amp;"%",""),"")</f>
        <v xml:space="preserve">7140/
</v>
      </c>
      <c r="F163" s="84" t="str">
        <f ca="1">IFERROR(IF(INDEX('Coverage Indicators - Section D'!H$1:H$100,MATCH('Print View'!$A163,'Coverage Indicators - Section D'!$A$1:$A$100,0))&lt;&gt;0,INDEX('Coverage Indicators - Section D'!H$1:H$100,MATCH('Print View'!$A163,'Coverage Indicators - Section D'!$A$1:$A$100,0)),""),"")&amp;CHAR(10)&amp;IFERROR(IF(INDEX('Coverage Indicators - Section D'!I$1:I$100,MATCH('Print View'!$A163,'Coverage Indicators - Section D'!$A$1:$A$100,0))&lt;&gt;0,INDEX('Coverage Indicators - Section D'!I$1:I$100,MATCH('Print View'!$A163,'Coverage Indicators - Section D'!$A$1:$A$100,0)),""),"")</f>
        <v>2021
Reporte de la Unidad de Vigilancia Epidemiológica - Componente de Tuberculosis - Sistema de R&amp;R TB - Ministerio de Salud y Deportes.</v>
      </c>
      <c r="G163" s="85" t="str">
        <f>IFERROR(IF(INDEX('Coverage Indicators - Section D'!J21:J50,MATCH('Print View'!$A163,'Coverage Indicators - Section D'!$A$9:$A$38,0))&lt;&gt;0,INDEX('Coverage Indicators - Section D'!J21:J50,MATCH('Print View'!$A163,'Coverage Indicators - Section D'!$A$9:$A$38,0)),""),"")</f>
        <v/>
      </c>
      <c r="H163" s="84" t="str">
        <f ca="1">IFERROR(IF(INDEX('Coverage Indicators - Section D'!K$1:K$100,MATCH('Print View'!$A163,'Coverage Indicators - Section D'!$A$1:$A$100,0))&lt;&gt;0,INDEX('Coverage Indicators - Section D'!K$1:K$100,MATCH('Print View'!$A163,'Coverage Indicators - Section D'!$A$1:$A$100,0)),""),"")</f>
        <v/>
      </c>
      <c r="I163" s="85" t="str">
        <f ca="1">IFERROR(IF(AND('Overview - Section A'!AN$5="Grant Making",OR(C163&lt;&gt;"",D163&lt;&gt;"")),Setup!I15,IF(INDEX('Coverage Indicators - Section D'!L$1:L$100,MATCH('Print View'!$A163,'Coverage Indicators - Section D'!$A$1:$A$100,0))&lt;&gt;0,INDEX('Coverage Indicators - Section D'!L$1:L$100,MATCH('Print View'!$A163,'Coverage Indicators - Section D'!$A$1:$A$100,0)),"")),"")</f>
        <v/>
      </c>
      <c r="J163" s="88" t="str">
        <f ca="1">IFERROR(IF(INDEX('Coverage Indicators - Section D'!M$1:M$100,MATCH('Print View'!$A163,'Coverage Indicators - Section D'!$A$1:$A$100,0))&lt;&gt;0,INDEX('Coverage Indicators - Section D'!M$1:M$100,MATCH('Print View'!$A163,'Coverage Indicators - Section D'!$A$1:$A$100,0)),""),"")&amp;CHAR(10)&amp;CHAR(10)&amp;IFERROR(IF(INDEX('Coverage Indicators - Section D'!M$1:M$100,MATCH('Print View'!$A163,'Coverage Indicators - Section D'!$A$1:$A$100,0)+1)&lt;&gt;0,INDEX('Coverage Indicators - Section D'!M$1:M$100,MATCH('Print View'!$A163,'Coverage Indicators - Section D'!$A$1:$A$100,0)+1),""),"")</f>
        <v>Bolivia (Plurinational State)
Geographic National, 100% of national program target</v>
      </c>
      <c r="K163" s="84" t="str">
        <f ca="1">IFERROR(IF(INDEX('Coverage Indicators - Section D'!N$1:N$100,MATCH('Print View'!$A163,'Coverage Indicators - Section D'!$A$1:$A$100,0))&lt;&gt;0,INDEX('Coverage Indicators - Section D'!N$1:N$100,MATCH('Print View'!$A163,'Coverage Indicators - Section D'!$A$1:$A$100,0)),""),"")</f>
        <v/>
      </c>
      <c r="L163" s="88" t="str">
        <f ca="1">IFERROR(IF(INDEX('Coverage Indicators - Section D'!O$1:O$100,MATCH('Print View'!$A163,'Coverage Indicators - Section D'!$A$1:$A$100,0))&lt;&gt;"",INDEX('Coverage Indicators - Section D'!O$1:O$100,MATCH('Print View'!$A163,'Coverage Indicators - Section D'!$A$1:$A$100,0)),""),"")&amp;"/"&amp;IFERROR(IF(INDEX('Coverage Indicators - Section D'!O$1:O$100,MATCH('Print View'!$A163,'Coverage Indicators - Section D'!$A$1:$A$100,0)+1)&lt;&gt;"",INDEX('Coverage Indicators - Section D'!O$1:O$100,MATCH('Print View'!$A163,'Coverage Indicators - Section D'!$A$1:$A$100,0)+1),""),"")&amp;CHAR(10)&amp;IFERROR(IF(INDEX('Coverage Indicators - Section D'!P$1:P$100,MATCH('Print View'!$A163,'Coverage Indicators - Section D'!$A$1:$A$100,0))&lt;&gt;"",FIXED(INDEX('Coverage Indicators - Section D'!P$1:P$100,MATCH('Print View'!$A163,'Coverage Indicators - Section D'!$A$1:$A$100,0))*100,2)&amp;"%",""),"")&amp;CHAR(10)&amp;IFERROR(IF(INDEX('Coverage Indicators - Section D'!Q$1:Q$100,MATCH('Print View'!$A163,'Coverage Indicators - Section D'!$A$1:$A$100,0))&lt;&gt;"",INDEX('Coverage Indicators - Section D'!Q$1:Q$100,MATCH('Print View'!$A163,'Coverage Indicators - Section D'!$A$1:$A$100,0)),""),"")</f>
        <v xml:space="preserve">7800/
</v>
      </c>
      <c r="M163" s="88" t="str">
        <f ca="1">IFERROR(IF(INDEX('Coverage Indicators - Section D'!R$1:R$100,MATCH('Print View'!$A163,'Coverage Indicators - Section D'!$A$1:$A$100,0))&lt;&gt;"",INDEX('Coverage Indicators - Section D'!R$1:R$100,MATCH('Print View'!$A163,'Coverage Indicators - Section D'!$A$1:$A$100,0)),""),"")&amp;"/"&amp;IFERROR(IF(INDEX('Coverage Indicators - Section D'!R$1:R$100,MATCH('Print View'!$A163,'Coverage Indicators - Section D'!$A$1:$A$100,0)+1)&lt;&gt;"",INDEX('Coverage Indicators - Section D'!R$1:R$100,MATCH('Print View'!$A163,'Coverage Indicators - Section D'!$A$1:$A$100,0)+1),""),"")&amp;CHAR(10)&amp;IFERROR(IF(INDEX('Coverage Indicators - Section D'!S$1:S$100,MATCH('Print View'!$A163,'Coverage Indicators - Section D'!$A$1:$A$100,0))&lt;&gt;"",FIXED(INDEX('Coverage Indicators - Section D'!S$1:S$100,MATCH('Print View'!$A163,'Coverage Indicators - Section D'!$A$1:$A$100,0))*100,2)&amp;"%",""),"")&amp;CHAR(10)&amp;IFERROR(IF(INDEX('Coverage Indicators - Section D'!T$1:T$100,MATCH('Print View'!$A163,'Coverage Indicators - Section D'!$A$1:$A$100,0))&lt;&gt;"",INDEX('Coverage Indicators - Section D'!T$1:T$100,MATCH('Print View'!$A163,'Coverage Indicators - Section D'!$A$1:$A$100,0)),""),"")</f>
        <v xml:space="preserve">8400/
</v>
      </c>
      <c r="N163" s="88" t="str">
        <f ca="1">IFERROR(IF(INDEX('Coverage Indicators - Section D'!U$1:U$100,MATCH('Print View'!$A163,'Coverage Indicators - Section D'!$A$1:$A$100,0))&lt;&gt;"",INDEX('Coverage Indicators - Section D'!U$1:U$100,MATCH('Print View'!$A163,'Coverage Indicators - Section D'!$A$1:$A$100,0)),""),"")&amp;"/"&amp;IFERROR(IF(INDEX('Coverage Indicators - Section D'!U$1:U$100,MATCH('Print View'!$A163,'Coverage Indicators - Section D'!$A$1:$A$100,0)+1)&lt;&gt;"",INDEX('Coverage Indicators - Section D'!U$1:U$100,MATCH('Print View'!$A163,'Coverage Indicators - Section D'!$A$1:$A$100,0)+1),""),"")&amp;CHAR(10)&amp;IFERROR(IF(INDEX('Coverage Indicators - Section D'!V$1:V$100,MATCH('Print View'!$A163,'Coverage Indicators - Section D'!$A$1:$A$100,0))&lt;&gt;"",FIXED(INDEX('Coverage Indicators - Section D'!V$1:V$100,MATCH('Print View'!$A163,'Coverage Indicators - Section D'!$A$1:$A$100,0))*100,2)&amp;"%",""),"")&amp;CHAR(10)&amp;IFERROR(IF(INDEX('Coverage Indicators - Section D'!W$1:W$100,MATCH('Print View'!$A163,'Coverage Indicators - Section D'!$A$1:$A$100,0))&lt;&gt;"",INDEX('Coverage Indicators - Section D'!W$1:W$100,MATCH('Print View'!$A163,'Coverage Indicators - Section D'!$A$1:$A$100,0)),""),"")</f>
        <v xml:space="preserve">9000/
</v>
      </c>
      <c r="O163" s="88" t="str">
        <f ca="1">IFERROR(IF(INDEX('Coverage Indicators - Section D'!X$1:X$100,MATCH('Print View'!$A163,'Coverage Indicators - Section D'!$A$1:$A$100,0))&lt;&gt;"",INDEX('Coverage Indicators - Section D'!X$1:X$100,MATCH('Print View'!$A163,'Coverage Indicators - Section D'!$A$1:$A$100,0)),""),"")&amp;"/"&amp;IFERROR(IF(INDEX('Coverage Indicators - Section D'!X$1:X$100,MATCH('Print View'!$A163,'Coverage Indicators - Section D'!$A$1:$A$100,0)+1)&lt;&gt;"",INDEX('Coverage Indicators - Section D'!X$1:X$100,MATCH('Print View'!$A163,'Coverage Indicators - Section D'!$A$1:$A$100,0)+1),""),"")&amp;CHAR(10)&amp;IFERROR(IF(INDEX('Coverage Indicators - Section D'!Y$1:Y$100,MATCH('Print View'!$A163,'Coverage Indicators - Section D'!$A$1:$A$100,0))&lt;&gt;"",FIXED(INDEX('Coverage Indicators - Section D'!Y$1:Y$100,MATCH('Print View'!$A163,'Coverage Indicators - Section D'!$A$1:$A$100,0))*100,2)&amp;"%",""),"")&amp;CHAR(10)&amp;IFERROR(IF(INDEX('Coverage Indicators - Section D'!Z$1:Z$100,MATCH('Print View'!$A163,'Coverage Indicators - Section D'!$A$1:$A$100,0))&lt;&gt;"",INDEX('Coverage Indicators - Section D'!Z$1:Z$100,MATCH('Print View'!$A163,'Coverage Indicators - Section D'!$A$1:$A$100,0)),""),"")</f>
        <v xml:space="preserve">/
</v>
      </c>
      <c r="P163" s="88" t="str">
        <f ca="1">IFERROR(IF(INDEX('Coverage Indicators - Section D'!AA$1:AA$100,MATCH('Print View'!$A163,'Coverage Indicators - Section D'!$A$1:$A$100,0))&lt;&gt;"",INDEX('Coverage Indicators - Section D'!AA$1:AA$100,MATCH('Print View'!$A163,'Coverage Indicators - Section D'!$A$1:$A$100,0)),""),"")&amp;"/"&amp;IFERROR(IF(INDEX('Coverage Indicators - Section D'!AA$1:AA$100,MATCH('Print View'!$A163,'Coverage Indicators - Section D'!$A$1:$A$100,0)+1)&lt;&gt;"",INDEX('Coverage Indicators - Section D'!AA$1:AA$100,MATCH('Print View'!$A163,'Coverage Indicators - Section D'!$A$1:$A$100,0)+1),""),"")&amp;CHAR(10)&amp;IFERROR(IF(INDEX('Coverage Indicators - Section D'!AB$1:AB$100,MATCH('Print View'!$A163,'Coverage Indicators - Section D'!$A$1:$A$100,0))&lt;&gt;"",FIXED(INDEX('Coverage Indicators - Section D'!AB$1:AB$100,MATCH('Print View'!$A163,'Coverage Indicators - Section D'!$A$1:$A$100,0))*100,2)&amp;"%",""),"")&amp;CHAR(10)&amp;IFERROR(IF(INDEX('Coverage Indicators - Section D'!AC$1:AC$100,MATCH('Print View'!$A163,'Coverage Indicators - Section D'!$A$1:$A$100,0))&lt;&gt;"",INDEX('Coverage Indicators - Section D'!AC$1:AC$100,MATCH('Print View'!$A163,'Coverage Indicators - Section D'!$A$1:$A$100,0)),""),"")</f>
        <v xml:space="preserve">/
</v>
      </c>
      <c r="Q163" s="88" t="str">
        <f ca="1">IFERROR(IF(INDEX('Coverage Indicators - Section D'!AD$1:AD$100,MATCH('Print View'!$A163,'Coverage Indicators - Section D'!$A$1:$A$100,0))&lt;&gt;"",INDEX('Coverage Indicators - Section D'!AD$1:AD$100,MATCH('Print View'!$A163,'Coverage Indicators - Section D'!$A$1:$A$100,0)),""),"")&amp;"/"&amp;IFERROR(IF(INDEX('Coverage Indicators - Section D'!AD$1:AD$100,MATCH('Print View'!$A163,'Coverage Indicators - Section D'!$A$1:$A$100,0)+1)&lt;&gt;"",INDEX('Coverage Indicators - Section D'!AD$1:AD$100,MATCH('Print View'!$A163,'Coverage Indicators - Section D'!$A$1:$A$100,0)+1),""),"")&amp;CHAR(10)&amp;IFERROR(IF(INDEX('Coverage Indicators - Section D'!AE$1:AE$100,MATCH('Print View'!$A163,'Coverage Indicators - Section D'!$A$1:$A$100,0))&lt;&gt;"",FIXED(INDEX('Coverage Indicators - Section D'!AE$1:AE$100,MATCH('Print View'!$A163,'Coverage Indicators - Section D'!$A$1:$A$100,0))*100,2)&amp;"%",""),"")&amp;CHAR(10)&amp;IFERROR(IF(INDEX('Coverage Indicators - Section D'!AF$1:AF$100,MATCH('Print View'!$A163,'Coverage Indicators - Section D'!$A$1:$A$100,0))&lt;&gt;"",INDEX('Coverage Indicators - Section D'!AF$1:AF$100,MATCH('Print View'!$A163,'Coverage Indicators - Section D'!$A$1:$A$100,0)),""),"")</f>
        <v xml:space="preserve">/
</v>
      </c>
      <c r="R163" s="88" t="str">
        <f ca="1">IFERROR(IF(INDEX('Coverage Indicators - Section D'!AG$1:AG$100,MATCH('Print View'!$A163,'Coverage Indicators - Section D'!$A$1:$A$100,0))&lt;&gt;"",INDEX('Coverage Indicators - Section D'!AG$1:AG$100,MATCH('Print View'!$A163,'Coverage Indicators - Section D'!$A$1:$A$100,0)),""),"")&amp;"/"&amp;IFERROR(IF(INDEX('Coverage Indicators - Section D'!AG$1:AG$100,MATCH('Print View'!$A163,'Coverage Indicators - Section D'!$A$1:$A$100,0)+1)&lt;&gt;"",INDEX('Coverage Indicators - Section D'!AG$1:AG$100,MATCH('Print View'!$A163,'Coverage Indicators - Section D'!$A$1:$A$100,0)+1),""),"")&amp;CHAR(10)&amp;IFERROR(IF(INDEX('Coverage Indicators - Section D'!AH$1:AH$100,MATCH('Print View'!$A163,'Coverage Indicators - Section D'!$A$1:$A$100,0))&lt;&gt;"",FIXED(INDEX('Coverage Indicators - Section D'!AH$1:AH$100,MATCH('Print View'!$A163,'Coverage Indicators - Section D'!$A$1:$A$100,0))*100,2)&amp;"%",""),"")&amp;CHAR(10)&amp;IFERROR(IF(INDEX('Coverage Indicators - Section D'!AI$1:AI$100,MATCH('Print View'!$A163,'Coverage Indicators - Section D'!$A$1:$A$100,0))&lt;&gt;"",INDEX('Coverage Indicators - Section D'!AI$1:AI$100,MATCH('Print View'!$A163,'Coverage Indicators - Section D'!$A$1:$A$100,0)),""),"")</f>
        <v xml:space="preserve">/
</v>
      </c>
      <c r="S163" s="88" t="str">
        <f ca="1">IFERROR(IF(INDEX('Coverage Indicators - Section D'!AJ$1:AJ$100,MATCH('Print View'!$A163,'Coverage Indicators - Section D'!$A$1:$A$100,0))&lt;&gt;"",INDEX('Coverage Indicators - Section D'!AJ$1:AJ$100,MATCH('Print View'!$A163,'Coverage Indicators - Section D'!$A$1:$A$100,0)),""),"")&amp;"/"&amp;IFERROR(IF(INDEX('Coverage Indicators - Section D'!AJ$1:AJ$100,MATCH('Print View'!$A163,'Coverage Indicators - Section D'!$A$1:$A$100,0)+1)&lt;&gt;"",INDEX('Coverage Indicators - Section D'!AJ$1:AJ$100,MATCH('Print View'!$A163,'Coverage Indicators - Section D'!$A$1:$A$100,0)+1),""),"")&amp;CHAR(10)&amp;IFERROR(IF(INDEX('Coverage Indicators - Section D'!AK$1:AK$100,MATCH('Print View'!$A163,'Coverage Indicators - Section D'!$A$1:$A$100,0))&lt;&gt;"",FIXED(INDEX('Coverage Indicators - Section D'!AK$1:AK$100,MATCH('Print View'!$A163,'Coverage Indicators - Section D'!$A$1:$A$100,0))*100,2)&amp;"%",""),"")&amp;CHAR(10)&amp;IFERROR(IF(INDEX('Coverage Indicators - Section D'!AL$1:AL$100,MATCH('Print View'!$A163,'Coverage Indicators - Section D'!$A$1:$A$100,0))&lt;&gt;"",INDEX('Coverage Indicators - Section D'!AL$1:AL$100,MATCH('Print View'!$A163,'Coverage Indicators - Section D'!$A$1:$A$100,0)),""),"")</f>
        <v xml:space="preserve">/
</v>
      </c>
      <c r="T163" s="93"/>
      <c r="U163" s="13"/>
      <c r="V163" s="13"/>
      <c r="W163" s="13"/>
      <c r="X163" s="13"/>
      <c r="Y163" s="13"/>
      <c r="Z163" s="13"/>
      <c r="AA163" s="13"/>
      <c r="AB163" s="13"/>
      <c r="AC163" s="13"/>
      <c r="AD163" s="13"/>
      <c r="AE163" s="13"/>
      <c r="AF163" s="13"/>
      <c r="AG163" s="13"/>
      <c r="AH163" s="13"/>
      <c r="AI163" s="13"/>
      <c r="AJ163" s="13"/>
      <c r="AK163" s="13"/>
      <c r="AL163" s="13"/>
      <c r="AM163" s="13"/>
      <c r="AN163" s="13"/>
      <c r="AO163" s="13" t="str">
        <f ca="1">IFERROR(IF(INDEX('Coverage Indicators - Section D'!AD$1:AD$110,MATCH('Print View'!$A163,'Coverage Indicators - Section D'!$A$1:$A$110,0))&lt;&gt;0,INDEX('Coverage Indicators - Section D'!AD$1:AD$110,MATCH('Print View'!$A163,'Coverage Indicators - Section D'!$A$1:$A$110,0)),""),"")</f>
        <v/>
      </c>
      <c r="AP163" s="13"/>
      <c r="AQ163" s="13"/>
      <c r="AR163" s="13"/>
      <c r="AS163" s="13"/>
      <c r="AT163" s="577" t="str">
        <f ca="1">CONCATENATE($A163,N$147)</f>
        <v>831-Dec-25</v>
      </c>
      <c r="AU163" s="575" t="str">
        <f ca="1">CONCATENATE($A163,Q$147)</f>
        <v>831-Dec-28</v>
      </c>
      <c r="AV163" s="575" t="str">
        <f>CONCATENATE($A163,V$147)</f>
        <v>8</v>
      </c>
      <c r="AW163" s="575" t="str">
        <f>CONCATENATE($A163,Y$147)</f>
        <v>8</v>
      </c>
      <c r="AX163" s="575" t="str">
        <f>CONCATENATE($A163,AB$147)</f>
        <v>8</v>
      </c>
      <c r="AY163" s="575" t="str">
        <f>CONCATENATE($A163,AE$147)</f>
        <v>8</v>
      </c>
      <c r="AZ163" s="575" t="str">
        <f>CONCATENATE($A163,AH$147)</f>
        <v>8</v>
      </c>
      <c r="BA163" s="575" t="str">
        <f>CONCATENATE($A163,AK$147)</f>
        <v>8</v>
      </c>
      <c r="BB163" s="96"/>
      <c r="BC163" s="97"/>
    </row>
    <row r="164" spans="1:55" s="16" customFormat="1" ht="88.35" customHeight="1">
      <c r="A164" s="609"/>
      <c r="B164" s="630" t="str">
        <f ca="1">IFERROR(IF(INDEX('Coverage Indicators - Section D'!AM$1:AM$110,MATCH('Print View'!$A163,'Coverage Indicators - Section D'!$A$1:$A$110,0))&lt;&gt;0,INDEX('Coverage Indicators - Section D'!AM$1:AM$110,MATCH('Print View'!$A163,'Coverage Indicators - Section D'!$A$1:$A$110,0)),""),"")</f>
        <v>Línea de base: Numero de casos de TB nuevos mas recaidas notificados en el año 2020 (7,140)
Metodología de medición:  Informe de notificación de casos de Tuberculosis (nuevos y recaidas) Reporte de la Unidad de Vigilancia Epidemiológica - Componente de Tuberculosis - Sistema de R&amp;R TB - Ministerio de Salud y Deportes.
Supuestos: El 2020 se ha detectado al 50,1% de los casos estimados por OMS, se espera incrementar la captacion a traves de la universalizacion gradual del diagnostico con GeneXpert y lograr captar al 65% de los casos para el 2023, 70% para el 2024 y 75% para el 2025.
Las metas están acordes a la proyección de captación histórica del país: En el ciclo de 2020 se realizaron 2.552 pruebas de GeneXpert a SR, logrando incrementarse a 8.126 pruebas para el 2021.
Se propone utilizar como denominador los casos nuevos y recaídas captados por el país y no así las estimaciones de la OMS ya que no son reales bajo el comportamiento histórico del país.</v>
      </c>
      <c r="C164" s="631"/>
      <c r="D164" s="631"/>
      <c r="E164" s="631"/>
      <c r="F164" s="631"/>
      <c r="G164" s="631"/>
      <c r="H164" s="631"/>
      <c r="I164" s="632"/>
      <c r="J164" s="632"/>
      <c r="K164" s="632"/>
      <c r="L164" s="632"/>
      <c r="M164" s="632"/>
      <c r="N164" s="632"/>
      <c r="O164" s="632"/>
      <c r="P164" s="632"/>
      <c r="Q164" s="632"/>
      <c r="R164" s="632"/>
      <c r="S164" s="633"/>
      <c r="T164" s="94"/>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577"/>
      <c r="AU164" s="575"/>
      <c r="AV164" s="575"/>
      <c r="AW164" s="575"/>
      <c r="AX164" s="575"/>
      <c r="AY164" s="575"/>
      <c r="AZ164" s="575"/>
      <c r="BA164" s="575"/>
      <c r="BB164" s="96"/>
      <c r="BC164" s="97"/>
    </row>
    <row r="165" spans="1:55" s="16" customFormat="1" ht="177" customHeight="1">
      <c r="A165" s="608">
        <v>9</v>
      </c>
      <c r="B165" s="80" t="str">
        <f ca="1">IFERROR(IF(INDEX('Coverage Indicators - Section D'!B$1:B$100,MATCH('Print View'!$A165,'Coverage Indicators - Section D'!$A$1:$A$100,0))&lt;&gt;0,INDEX('Coverage Indicators - Section D'!B$1:B$100,MATCH('Print View'!$A165,'Coverage Indicators - Section D'!$A$1:$A$100,0)),""),"")</f>
        <v>Atención y prevención de la tuberculosis</v>
      </c>
      <c r="C165" s="80" t="str">
        <f ca="1">IFERROR(IF(INDEX('Coverage Indicators - Section D'!D$1:D$100,MATCH('Print View'!$A165,'Coverage Indicators - Section D'!$A$1:$A$100,0))&lt;&gt;0,INDEX('Coverage Indicators - Section D'!D$1:D$100,MATCH('Print View'!$A165,'Coverage Indicators - Section D'!$A$1:$A$100,0)),""),"")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165" s="80" t="str">
        <f ca="1">IFERROR(IF(INDEX('Coverage Indicators - Section D'!E$1:E$100,MATCH('Print View'!$A165,'Coverage Indicators - Section D'!$A$1:$A$100,0))&lt;&gt;0,INDEX('Coverage Indicators - Section D'!E$1:E$100,MATCH('Print View'!$A165,'Coverage Indicators - Section D'!$A$1:$A$100,0)),""),"")</f>
        <v/>
      </c>
      <c r="E165" s="81" t="str">
        <f ca="1">IFERROR(IF(INDEX('Coverage Indicators - Section D'!F$1:F$100,MATCH('Print View'!$A165,'Coverage Indicators - Section D'!$A$1:$A$100,0))&lt;&gt;"",INDEX('Coverage Indicators - Section D'!F$1:F$100,MATCH('Print View'!$A165,'Coverage Indicators - Section D'!$A$1:$A$100,0)),""),"")&amp;"/"&amp;IFERROR(IF(INDEX('Coverage Indicators - Section D'!F$1:F$100,MATCH('Print View'!$A165,'Coverage Indicators - Section D'!$A$1:$A$100,0)+1)&lt;&gt;"",INDEX('Coverage Indicators - Section D'!F$1:F$100,MATCH('Print View'!$A165,'Coverage Indicators - Section D'!$A$1:$A$100,0)+1),""),"")&amp;CHAR(10)&amp;IFERROR(IF(INDEX('Coverage Indicators - Section D'!G$1:G$100,MATCH('Print View'!$A165,'Coverage Indicators - Section D'!$A$1:$A$100,0))&lt;&gt;"",FIXED(INDEX('Coverage Indicators - Section D'!G$1:G$100,MATCH('Print View'!$A165,'Coverage Indicators - Section D'!$A$1:$A$100,0))*100,2)&amp;"%",""),"")</f>
        <v>6228/7463
83.45%</v>
      </c>
      <c r="F165" s="82" t="str">
        <f ca="1">IFERROR(IF(INDEX('Coverage Indicators - Section D'!H$1:H$100,MATCH('Print View'!$A165,'Coverage Indicators - Section D'!$A$1:$A$100,0))&lt;&gt;0,INDEX('Coverage Indicators - Section D'!H$1:H$100,MATCH('Print View'!$A165,'Coverage Indicators - Section D'!$A$1:$A$100,0)),""),"")&amp;CHAR(10)&amp;IFERROR(IF(INDEX('Coverage Indicators - Section D'!I$1:I$100,MATCH('Print View'!$A165,'Coverage Indicators - Section D'!$A$1:$A$100,0))&lt;&gt;0,INDEX('Coverage Indicators - Section D'!I$1:I$100,MATCH('Print View'!$A165,'Coverage Indicators - Section D'!$A$1:$A$100,0)),""),"")</f>
        <v>2019
Reporte de la Unidad de Vigilancia Epidemiológica - Componente de Tuberculosis - Sistema de R&amp;R TB - Ministerio de Salud y Deportes.</v>
      </c>
      <c r="G165" s="41" t="str">
        <f>IFERROR(IF(INDEX('Coverage Indicators - Section D'!J25:J54,MATCH('Print View'!$A165,'Coverage Indicators - Section D'!$A$9:$A$38,0))&lt;&gt;0,INDEX('Coverage Indicators - Section D'!J25:J54,MATCH('Print View'!$A165,'Coverage Indicators - Section D'!$A$9:$A$38,0)),""),"")</f>
        <v/>
      </c>
      <c r="H165" s="42" t="str">
        <f ca="1">IFERROR(IF(INDEX('Coverage Indicators - Section D'!K$1:K$100,MATCH('Print View'!$A165,'Coverage Indicators - Section D'!$A$1:$A$100,0))&lt;&gt;0,INDEX('Coverage Indicators - Section D'!K$1:K$100,MATCH('Print View'!$A165,'Coverage Indicators - Section D'!$A$1:$A$100,0)),""),"")</f>
        <v/>
      </c>
      <c r="I165" s="41" t="str">
        <f ca="1">IFERROR(IF(AND('Overview - Section A'!AN$5="Grant Making",OR(C165&lt;&gt;"",D165&lt;&gt;"")),Setup!I15,IF(INDEX('Coverage Indicators - Section D'!L$1:L$100,MATCH('Print View'!$A165,'Coverage Indicators - Section D'!$A$1:$A$100,0))&lt;&gt;0,INDEX('Coverage Indicators - Section D'!L$1:L$100,MATCH('Print View'!$A165,'Coverage Indicators - Section D'!$A$1:$A$100,0)),"")),"")</f>
        <v/>
      </c>
      <c r="J165" s="81" t="str">
        <f ca="1">IFERROR(IF(INDEX('Coverage Indicators - Section D'!M$1:M$100,MATCH('Print View'!$A165,'Coverage Indicators - Section D'!$A$1:$A$100,0))&lt;&gt;0,INDEX('Coverage Indicators - Section D'!M$1:M$100,MATCH('Print View'!$A165,'Coverage Indicators - Section D'!$A$1:$A$100,0)),""),"")&amp;CHAR(10)&amp;CHAR(10)&amp;IFERROR(IF(INDEX('Coverage Indicators - Section D'!M$1:M$100,MATCH('Print View'!$A165,'Coverage Indicators - Section D'!$A$1:$A$100,0)+1)&lt;&gt;0,INDEX('Coverage Indicators - Section D'!M$1:M$100,MATCH('Print View'!$A165,'Coverage Indicators - Section D'!$A$1:$A$100,0)+1),""),"")</f>
        <v>Bolivia (Plurinational State)
Geographic National, 100% of national program target</v>
      </c>
      <c r="K165" s="81" t="str">
        <f ca="1">IFERROR(IF(INDEX('Coverage Indicators - Section D'!N$1:N$100,MATCH('Print View'!$A165,'Coverage Indicators - Section D'!$A$1:$A$100,0))&lt;&gt;0,INDEX('Coverage Indicators - Section D'!N$1:N$100,MATCH('Print View'!$A165,'Coverage Indicators - Section D'!$A$1:$A$100,0)),""),"")</f>
        <v/>
      </c>
      <c r="L165" s="81" t="str">
        <f ca="1">IFERROR(IF(INDEX('Coverage Indicators - Section D'!O$1:O$100,MATCH('Print View'!$A165,'Coverage Indicators - Section D'!$A$1:$A$100,0))&lt;&gt;"",INDEX('Coverage Indicators - Section D'!O$1:O$100,MATCH('Print View'!$A165,'Coverage Indicators - Section D'!$A$1:$A$100,0)),""),"")&amp;"/"&amp;IFERROR(IF(INDEX('Coverage Indicators - Section D'!O$1:O$100,MATCH('Print View'!$A165,'Coverage Indicators - Section D'!$A$1:$A$100,0)+1)&lt;&gt;"",INDEX('Coverage Indicators - Section D'!O$1:O$100,MATCH('Print View'!$A165,'Coverage Indicators - Section D'!$A$1:$A$100,0)+1),""),"")&amp;CHAR(10)&amp;IFERROR(IF(INDEX('Coverage Indicators - Section D'!P$1:P$100,MATCH('Print View'!$A165,'Coverage Indicators - Section D'!$A$1:$A$100,0))&lt;&gt;"",FIXED(INDEX('Coverage Indicators - Section D'!P$1:P$100,MATCH('Print View'!$A165,'Coverage Indicators - Section D'!$A$1:$A$100,0))*100,2)&amp;"%",""),"")&amp;CHAR(10)&amp;IFERROR(IF(INDEX('Coverage Indicators - Section D'!Q$1:Q$100,MATCH('Print View'!$A165,'Coverage Indicators - Section D'!$A$1:$A$100,0))&lt;&gt;"",INDEX('Coverage Indicators - Section D'!Q$1:Q$100,MATCH('Print View'!$A165,'Coverage Indicators - Section D'!$A$1:$A$100,0)),""),"")</f>
        <v xml:space="preserve">7020/7800
90.00%
</v>
      </c>
      <c r="M165" s="82" t="str">
        <f ca="1">IFERROR(IF(INDEX('Coverage Indicators - Section D'!R$1:R$100,MATCH('Print View'!$A165,'Coverage Indicators - Section D'!$A$1:$A$100,0))&lt;&gt;"",INDEX('Coverage Indicators - Section D'!R$1:R$100,MATCH('Print View'!$A165,'Coverage Indicators - Section D'!$A$1:$A$100,0)),""),"")&amp;"/"&amp;IFERROR(IF(INDEX('Coverage Indicators - Section D'!R$1:R$100,MATCH('Print View'!$A165,'Coverage Indicators - Section D'!$A$1:$A$100,0)+1)&lt;&gt;"",INDEX('Coverage Indicators - Section D'!R$1:R$100,MATCH('Print View'!$A165,'Coverage Indicators - Section D'!$A$1:$A$100,0)+1),""),"")&amp;CHAR(10)&amp;IFERROR(IF(INDEX('Coverage Indicators - Section D'!S$1:S$100,MATCH('Print View'!$A165,'Coverage Indicators - Section D'!$A$1:$A$100,0))&lt;&gt;"",FIXED(INDEX('Coverage Indicators - Section D'!S$1:S$100,MATCH('Print View'!$A165,'Coverage Indicators - Section D'!$A$1:$A$100,0))*100,2)&amp;"%",""),"")&amp;CHAR(10)&amp;IFERROR(IF(INDEX('Coverage Indicators - Section D'!T$1:T$100,MATCH('Print View'!$A165,'Coverage Indicators - Section D'!$A$1:$A$100,0))&lt;&gt;"",INDEX('Coverage Indicators - Section D'!T$1:T$100,MATCH('Print View'!$A165,'Coverage Indicators - Section D'!$A$1:$A$100,0)),""),"")</f>
        <v xml:space="preserve">7560/8400
90.00%
</v>
      </c>
      <c r="N165" s="81" t="str">
        <f ca="1">IFERROR(IF(INDEX('Coverage Indicators - Section D'!U$1:U$100,MATCH('Print View'!$A165,'Coverage Indicators - Section D'!$A$1:$A$100,0))&lt;&gt;"",INDEX('Coverage Indicators - Section D'!U$1:U$100,MATCH('Print View'!$A165,'Coverage Indicators - Section D'!$A$1:$A$100,0)),""),"")&amp;"/"&amp;IFERROR(IF(INDEX('Coverage Indicators - Section D'!U$1:U$100,MATCH('Print View'!$A165,'Coverage Indicators - Section D'!$A$1:$A$100,0)+1)&lt;&gt;"",INDEX('Coverage Indicators - Section D'!U$1:U$100,MATCH('Print View'!$A165,'Coverage Indicators - Section D'!$A$1:$A$100,0)+1),""),"")&amp;CHAR(10)&amp;IFERROR(IF(INDEX('Coverage Indicators - Section D'!V$1:V$100,MATCH('Print View'!$A165,'Coverage Indicators - Section D'!$A$1:$A$100,0))&lt;&gt;"",FIXED(INDEX('Coverage Indicators - Section D'!V$1:V$100,MATCH('Print View'!$A165,'Coverage Indicators - Section D'!$A$1:$A$100,0))*100,2)&amp;"%",""),"")&amp;CHAR(10)&amp;IFERROR(IF(INDEX('Coverage Indicators - Section D'!W$1:W$100,MATCH('Print View'!$A165,'Coverage Indicators - Section D'!$A$1:$A$100,0))&lt;&gt;"",INDEX('Coverage Indicators - Section D'!W$1:W$100,MATCH('Print View'!$A165,'Coverage Indicators - Section D'!$A$1:$A$100,0)),""),"")</f>
        <v xml:space="preserve">8100/9000
90.00%
</v>
      </c>
      <c r="O165" s="82" t="str">
        <f ca="1">IFERROR(IF(INDEX('Coverage Indicators - Section D'!X$1:X$100,MATCH('Print View'!$A165,'Coverage Indicators - Section D'!$A$1:$A$100,0))&lt;&gt;"",INDEX('Coverage Indicators - Section D'!X$1:X$100,MATCH('Print View'!$A165,'Coverage Indicators - Section D'!$A$1:$A$100,0)),""),"")&amp;"/"&amp;IFERROR(IF(INDEX('Coverage Indicators - Section D'!X$1:X$100,MATCH('Print View'!$A165,'Coverage Indicators - Section D'!$A$1:$A$100,0)+1)&lt;&gt;"",INDEX('Coverage Indicators - Section D'!X$1:X$100,MATCH('Print View'!$A165,'Coverage Indicators - Section D'!$A$1:$A$100,0)+1),""),"")&amp;CHAR(10)&amp;IFERROR(IF(INDEX('Coverage Indicators - Section D'!Y$1:Y$100,MATCH('Print View'!$A165,'Coverage Indicators - Section D'!$A$1:$A$100,0))&lt;&gt;"",FIXED(INDEX('Coverage Indicators - Section D'!Y$1:Y$100,MATCH('Print View'!$A165,'Coverage Indicators - Section D'!$A$1:$A$100,0))*100,2)&amp;"%",""),"")&amp;CHAR(10)&amp;IFERROR(IF(INDEX('Coverage Indicators - Section D'!Z$1:Z$100,MATCH('Print View'!$A165,'Coverage Indicators - Section D'!$A$1:$A$100,0))&lt;&gt;"",INDEX('Coverage Indicators - Section D'!Z$1:Z$100,MATCH('Print View'!$A165,'Coverage Indicators - Section D'!$A$1:$A$100,0)),""),"")</f>
        <v xml:space="preserve">/
</v>
      </c>
      <c r="P165" s="82" t="str">
        <f ca="1">IFERROR(IF(INDEX('Coverage Indicators - Section D'!AA$1:AA$100,MATCH('Print View'!$A165,'Coverage Indicators - Section D'!$A$1:$A$100,0))&lt;&gt;"",INDEX('Coverage Indicators - Section D'!AA$1:AA$100,MATCH('Print View'!$A165,'Coverage Indicators - Section D'!$A$1:$A$100,0)),""),"")&amp;"/"&amp;IFERROR(IF(INDEX('Coverage Indicators - Section D'!AA$1:AA$100,MATCH('Print View'!$A165,'Coverage Indicators - Section D'!$A$1:$A$100,0)+1)&lt;&gt;"",INDEX('Coverage Indicators - Section D'!AA$1:AA$100,MATCH('Print View'!$A165,'Coverage Indicators - Section D'!$A$1:$A$100,0)+1),""),"")&amp;CHAR(10)&amp;IFERROR(IF(INDEX('Coverage Indicators - Section D'!AB$1:AB$100,MATCH('Print View'!$A165,'Coverage Indicators - Section D'!$A$1:$A$100,0))&lt;&gt;"",FIXED(INDEX('Coverage Indicators - Section D'!AB$1:AB$100,MATCH('Print View'!$A165,'Coverage Indicators - Section D'!$A$1:$A$100,0))*100,2)&amp;"%",""),"")&amp;CHAR(10)&amp;IFERROR(IF(INDEX('Coverage Indicators - Section D'!AC$1:AC$100,MATCH('Print View'!$A165,'Coverage Indicators - Section D'!$A$1:$A$100,0))&lt;&gt;"",INDEX('Coverage Indicators - Section D'!AC$1:AC$100,MATCH('Print View'!$A165,'Coverage Indicators - Section D'!$A$1:$A$100,0)),""),"")</f>
        <v xml:space="preserve">/
</v>
      </c>
      <c r="Q165" s="82" t="str">
        <f ca="1">IFERROR(IF(INDEX('Coverage Indicators - Section D'!AD$1:AD$100,MATCH('Print View'!$A165,'Coverage Indicators - Section D'!$A$1:$A$100,0))&lt;&gt;"",INDEX('Coverage Indicators - Section D'!AD$1:AD$100,MATCH('Print View'!$A165,'Coverage Indicators - Section D'!$A$1:$A$100,0)),""),"")&amp;"/"&amp;IFERROR(IF(INDEX('Coverage Indicators - Section D'!AD$1:AD$100,MATCH('Print View'!$A165,'Coverage Indicators - Section D'!$A$1:$A$100,0)+1)&lt;&gt;"",INDEX('Coverage Indicators - Section D'!AD$1:AD$100,MATCH('Print View'!$A165,'Coverage Indicators - Section D'!$A$1:$A$100,0)+1),""),"")&amp;CHAR(10)&amp;IFERROR(IF(INDEX('Coverage Indicators - Section D'!AE$1:AE$100,MATCH('Print View'!$A165,'Coverage Indicators - Section D'!$A$1:$A$100,0))&lt;&gt;"",FIXED(INDEX('Coverage Indicators - Section D'!AE$1:AE$100,MATCH('Print View'!$A165,'Coverage Indicators - Section D'!$A$1:$A$100,0))*100,2)&amp;"%",""),"")&amp;CHAR(10)&amp;IFERROR(IF(INDEX('Coverage Indicators - Section D'!AF$1:AF$100,MATCH('Print View'!$A165,'Coverage Indicators - Section D'!$A$1:$A$100,0))&lt;&gt;"",INDEX('Coverage Indicators - Section D'!AF$1:AF$100,MATCH('Print View'!$A165,'Coverage Indicators - Section D'!$A$1:$A$100,0)),""),"")</f>
        <v xml:space="preserve">/
</v>
      </c>
      <c r="R165" s="82" t="str">
        <f ca="1">IFERROR(IF(INDEX('Coverage Indicators - Section D'!AG$1:AG$100,MATCH('Print View'!$A165,'Coverage Indicators - Section D'!$A$1:$A$100,0))&lt;&gt;"",INDEX('Coverage Indicators - Section D'!AG$1:AG$100,MATCH('Print View'!$A165,'Coverage Indicators - Section D'!$A$1:$A$100,0)),""),"")&amp;"/"&amp;IFERROR(IF(INDEX('Coverage Indicators - Section D'!AG$1:AG$100,MATCH('Print View'!$A165,'Coverage Indicators - Section D'!$A$1:$A$100,0)+1)&lt;&gt;"",INDEX('Coverage Indicators - Section D'!AG$1:AG$100,MATCH('Print View'!$A165,'Coverage Indicators - Section D'!$A$1:$A$100,0)+1),""),"")&amp;CHAR(10)&amp;IFERROR(IF(INDEX('Coverage Indicators - Section D'!AH$1:AH$100,MATCH('Print View'!$A165,'Coverage Indicators - Section D'!$A$1:$A$100,0))&lt;&gt;"",FIXED(INDEX('Coverage Indicators - Section D'!AH$1:AH$100,MATCH('Print View'!$A165,'Coverage Indicators - Section D'!$A$1:$A$100,0))*100,2)&amp;"%",""),"")&amp;CHAR(10)&amp;IFERROR(IF(INDEX('Coverage Indicators - Section D'!AI$1:AI$100,MATCH('Print View'!$A165,'Coverage Indicators - Section D'!$A$1:$A$100,0))&lt;&gt;"",INDEX('Coverage Indicators - Section D'!AI$1:AI$100,MATCH('Print View'!$A165,'Coverage Indicators - Section D'!$A$1:$A$100,0)),""),"")</f>
        <v xml:space="preserve">/
</v>
      </c>
      <c r="S165" s="82" t="str">
        <f ca="1">IFERROR(IF(INDEX('Coverage Indicators - Section D'!AJ$1:AJ$100,MATCH('Print View'!$A165,'Coverage Indicators - Section D'!$A$1:$A$100,0))&lt;&gt;"",INDEX('Coverage Indicators - Section D'!AJ$1:AJ$100,MATCH('Print View'!$A165,'Coverage Indicators - Section D'!$A$1:$A$100,0)),""),"")&amp;"/"&amp;IFERROR(IF(INDEX('Coverage Indicators - Section D'!AJ$1:AJ$100,MATCH('Print View'!$A165,'Coverage Indicators - Section D'!$A$1:$A$100,0)+1)&lt;&gt;"",INDEX('Coverage Indicators - Section D'!AJ$1:AJ$100,MATCH('Print View'!$A165,'Coverage Indicators - Section D'!$A$1:$A$100,0)+1),""),"")&amp;CHAR(10)&amp;IFERROR(IF(INDEX('Coverage Indicators - Section D'!AK$1:AK$100,MATCH('Print View'!$A165,'Coverage Indicators - Section D'!$A$1:$A$100,0))&lt;&gt;"",FIXED(INDEX('Coverage Indicators - Section D'!AK$1:AK$100,MATCH('Print View'!$A165,'Coverage Indicators - Section D'!$A$1:$A$100,0))*100,2)&amp;"%",""),"")&amp;CHAR(10)&amp;IFERROR(IF(INDEX('Coverage Indicators - Section D'!AL$1:AL$100,MATCH('Print View'!$A165,'Coverage Indicators - Section D'!$A$1:$A$100,0))&lt;&gt;"",INDEX('Coverage Indicators - Section D'!AL$1:AL$100,MATCH('Print View'!$A165,'Coverage Indicators - Section D'!$A$1:$A$100,0)),""),"")</f>
        <v xml:space="preserve">/
</v>
      </c>
      <c r="T165" s="52"/>
      <c r="U165" s="13"/>
      <c r="V165" s="13"/>
      <c r="W165" s="13"/>
      <c r="X165" s="13"/>
      <c r="Y165" s="13"/>
      <c r="Z165" s="13"/>
      <c r="AA165" s="13"/>
      <c r="AB165" s="13"/>
      <c r="AC165" s="13"/>
      <c r="AD165" s="13"/>
      <c r="AE165" s="13"/>
      <c r="AF165" s="13"/>
      <c r="AG165" s="13"/>
      <c r="AH165" s="13"/>
      <c r="AI165" s="13"/>
      <c r="AJ165" s="13"/>
      <c r="AK165" s="13"/>
      <c r="AL165" s="13"/>
      <c r="AM165" s="13"/>
      <c r="AN165" s="13"/>
      <c r="AO165" s="13" t="str">
        <f ca="1">IFERROR(IF(INDEX('Coverage Indicators - Section D'!AD$1:AD$110,MATCH('Print View'!$A165,'Coverage Indicators - Section D'!$A$1:$A$110,0))&lt;&gt;0,INDEX('Coverage Indicators - Section D'!AD$1:AD$110,MATCH('Print View'!$A165,'Coverage Indicators - Section D'!$A$1:$A$110,0)),""),"")</f>
        <v/>
      </c>
      <c r="AP165" s="13"/>
      <c r="AQ165" s="13"/>
      <c r="AR165" s="13"/>
      <c r="AS165" s="13"/>
      <c r="AT165" s="577" t="str">
        <f ca="1">CONCATENATE($A165,N$147)</f>
        <v>931-Dec-25</v>
      </c>
      <c r="AU165" s="575" t="str">
        <f ca="1">CONCATENATE($A165,Q$147)</f>
        <v>931-Dec-28</v>
      </c>
      <c r="AV165" s="575" t="str">
        <f>CONCATENATE($A165,V$147)</f>
        <v>9</v>
      </c>
      <c r="AW165" s="575" t="str">
        <f>CONCATENATE($A165,Y$147)</f>
        <v>9</v>
      </c>
      <c r="AX165" s="575" t="str">
        <f>CONCATENATE($A165,AB$147)</f>
        <v>9</v>
      </c>
      <c r="AY165" s="575" t="str">
        <f>CONCATENATE($A165,AE$147)</f>
        <v>9</v>
      </c>
      <c r="AZ165" s="575" t="str">
        <f>CONCATENATE($A165,AH$147)</f>
        <v>9</v>
      </c>
      <c r="BA165" s="575" t="str">
        <f>CONCATENATE($A165,AK$147)</f>
        <v>9</v>
      </c>
      <c r="BB165" s="96"/>
      <c r="BC165" s="97"/>
    </row>
    <row r="166" spans="1:55" s="16" customFormat="1" ht="88.35" customHeight="1">
      <c r="A166" s="608"/>
      <c r="B166" s="646" t="str">
        <f ca="1">IFERROR(IF(INDEX('Coverage Indicators - Section D'!AM$1:AM$110,MATCH('Print View'!$A165,'Coverage Indicators - Section D'!$A$1:$A$110,0))&lt;&gt;0,INDEX('Coverage Indicators - Section D'!AM$1:AM$110,MATCH('Print View'!$A165,'Coverage Indicators - Section D'!$A$1:$A$110,0)),""),"")</f>
        <v>Línea de base: Numero de casos de TB tratados exitosamente en el año 2019 (6228/7463 = 83,5%)
Metodología de medición:  Informe de resultados de tratamiento de casos de Tuberculosis (nuevos y recaidas) del Programa Nacional de Enfermedades Infectocontagiosas.
Numerador: Casos de Tuberculosis (nuevos y recaidas) tratados exitosamente (curados + tratamiento completado).
Denominador: Casos de Tuberculosis (nuevos y recaidas) notificados 12 meses antes (una gestion anterior).
Multiplicador: 100%
Supuestos: El PEN alineado a la Estrategia Fin de la Tuberculosis y al cumplimiento de las metas del mismo. Se espera mejorar el éxito de tratamiento a través del diagnostico oportuno con GeneXpert y reducir el numero de casos fallecidos antes de iniciar tratamiento.</v>
      </c>
      <c r="C166" s="647"/>
      <c r="D166" s="647"/>
      <c r="E166" s="647"/>
      <c r="F166" s="647"/>
      <c r="G166" s="647"/>
      <c r="H166" s="647"/>
      <c r="I166" s="647"/>
      <c r="J166" s="647"/>
      <c r="K166" s="647"/>
      <c r="L166" s="647"/>
      <c r="M166" s="647"/>
      <c r="N166" s="647"/>
      <c r="O166" s="647"/>
      <c r="P166" s="647"/>
      <c r="Q166" s="647"/>
      <c r="R166" s="647"/>
      <c r="S166" s="648"/>
      <c r="T166" s="92"/>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577"/>
      <c r="AU166" s="575"/>
      <c r="AV166" s="575"/>
      <c r="AW166" s="575"/>
      <c r="AX166" s="575"/>
      <c r="AY166" s="575"/>
      <c r="AZ166" s="575"/>
      <c r="BA166" s="575"/>
      <c r="BB166" s="96"/>
      <c r="BC166" s="97"/>
    </row>
    <row r="167" spans="1:55" s="16" customFormat="1" ht="177" customHeight="1">
      <c r="A167" s="609">
        <v>10</v>
      </c>
      <c r="B167" s="83" t="str">
        <f ca="1">IFERROR(IF(INDEX('Coverage Indicators - Section D'!B$1:B$100,MATCH('Print View'!$A167,'Coverage Indicators - Section D'!$A$1:$A$100,0))&lt;&gt;0,INDEX('Coverage Indicators - Section D'!B$1:B$100,MATCH('Print View'!$A167,'Coverage Indicators - Section D'!$A$1:$A$100,0)),""),"")</f>
        <v>Atención y prevención de la tuberculosis</v>
      </c>
      <c r="C167" s="83" t="str">
        <f ca="1">IFERROR(IF(INDEX('Coverage Indicators - Section D'!D$1:D$100,MATCH('Print View'!$A167,'Coverage Indicators - Section D'!$A$1:$A$100,0))&lt;&gt;0,INDEX('Coverage Indicators - Section D'!D$1:D$100,MATCH('Print View'!$A167,'Coverage Indicators - Section D'!$A$1:$A$100,0)),""),"")</f>
        <v>TCP-8 Porcentaje de pacientes de tuberculosis notificados como casos nuevos y recaídas analizados con las pruebas rápidas recomendadas por la OMS en el momento del diagnóstico.</v>
      </c>
      <c r="D167" s="83" t="str">
        <f ca="1">IFERROR(IF(INDEX('Coverage Indicators - Section D'!E$1:E$100,MATCH('Print View'!$A167,'Coverage Indicators - Section D'!$A$1:$A$100,0))&lt;&gt;0,INDEX('Coverage Indicators - Section D'!E$1:E$100,MATCH('Print View'!$A167,'Coverage Indicators - Section D'!$A$1:$A$100,0)),""),"")</f>
        <v/>
      </c>
      <c r="E167" s="45" t="str">
        <f ca="1">IFERROR(IF(INDEX('Coverage Indicators - Section D'!F$1:F$100,MATCH('Print View'!$A167,'Coverage Indicators - Section D'!$A$1:$A$100,0))&lt;&gt;"",INDEX('Coverage Indicators - Section D'!F$1:F$100,MATCH('Print View'!$A167,'Coverage Indicators - Section D'!$A$1:$A$100,0)),""),"")&amp;"/"&amp;IFERROR(IF(INDEX('Coverage Indicators - Section D'!F$1:F$100,MATCH('Print View'!$A167,'Coverage Indicators - Section D'!$A$1:$A$100,0)+1)&lt;&gt;"",INDEX('Coverage Indicators - Section D'!F$1:F$100,MATCH('Print View'!$A167,'Coverage Indicators - Section D'!$A$1:$A$100,0)+1),""),"")&amp;CHAR(10)&amp;IFERROR(IF(INDEX('Coverage Indicators - Section D'!G$1:G$100,MATCH('Print View'!$A167,'Coverage Indicators - Section D'!$A$1:$A$100,0))&lt;&gt;"",FIXED(INDEX('Coverage Indicators - Section D'!G$1:G$100,MATCH('Print View'!$A167,'Coverage Indicators - Section D'!$A$1:$A$100,0))*100,2)&amp;"%",""),"")</f>
        <v>1245/6016
20.69%</v>
      </c>
      <c r="F167" s="84" t="str">
        <f ca="1">IFERROR(IF(INDEX('Coverage Indicators - Section D'!H$1:H$100,MATCH('Print View'!$A167,'Coverage Indicators - Section D'!$A$1:$A$100,0))&lt;&gt;0,INDEX('Coverage Indicators - Section D'!H$1:H$100,MATCH('Print View'!$A167,'Coverage Indicators - Section D'!$A$1:$A$100,0)),""),"")&amp;CHAR(10)&amp;IFERROR(IF(INDEX('Coverage Indicators - Section D'!I$1:I$100,MATCH('Print View'!$A167,'Coverage Indicators - Section D'!$A$1:$A$100,0))&lt;&gt;0,INDEX('Coverage Indicators - Section D'!I$1:I$100,MATCH('Print View'!$A167,'Coverage Indicators - Section D'!$A$1:$A$100,0)),""),"")</f>
        <v>2020
Reporte de la Unidad de Vigilancia Epidemiológica - Componente de Tuberculosis - Sistema de R&amp;R TB - Ministerio de Salud y Deportes.</v>
      </c>
      <c r="G167" s="85" t="str">
        <f>IFERROR(IF(INDEX('Coverage Indicators - Section D'!J25:J54,MATCH('Print View'!$A167,'Coverage Indicators - Section D'!$A$9:$A$38,0))&lt;&gt;0,INDEX('Coverage Indicators - Section D'!J25:J54,MATCH('Print View'!$A167,'Coverage Indicators - Section D'!$A$9:$A$38,0)),""),"")</f>
        <v/>
      </c>
      <c r="H167" s="84" t="str">
        <f ca="1">IFERROR(IF(INDEX('Coverage Indicators - Section D'!K$1:K$100,MATCH('Print View'!$A167,'Coverage Indicators - Section D'!$A$1:$A$100,0))&lt;&gt;0,INDEX('Coverage Indicators - Section D'!K$1:K$100,MATCH('Print View'!$A167,'Coverage Indicators - Section D'!$A$1:$A$100,0)),""),"")</f>
        <v/>
      </c>
      <c r="I167" s="85" t="str">
        <f ca="1">IFERROR(IF(AND('Overview - Section A'!AN$5="Grant Making",OR(C167&lt;&gt;"",D167&lt;&gt;"")),Setup!I15,IF(INDEX('Coverage Indicators - Section D'!L$1:L$100,MATCH('Print View'!$A167,'Coverage Indicators - Section D'!$A$1:$A$100,0))&lt;&gt;0,INDEX('Coverage Indicators - Section D'!L$1:L$100,MATCH('Print View'!$A167,'Coverage Indicators - Section D'!$A$1:$A$100,0)),"")),"")</f>
        <v/>
      </c>
      <c r="J167" s="84" t="str">
        <f ca="1">IFERROR(IF(INDEX('Coverage Indicators - Section D'!M$1:M$100,MATCH('Print View'!$A167,'Coverage Indicators - Section D'!$A$1:$A$100,0))&lt;&gt;0,INDEX('Coverage Indicators - Section D'!M$1:M$100,MATCH('Print View'!$A167,'Coverage Indicators - Section D'!$A$1:$A$100,0)),""),"")&amp;CHAR(10)&amp;IFERROR(IF(INDEX('Coverage Indicators - Section D'!M$1:M$100,MATCH('Print View'!$A167,'Coverage Indicators - Section D'!$A$1:$A$100,0)+1)&lt;&gt;0,INDEX('Coverage Indicators - Section D'!M$1:M$100,MATCH('Print View'!$A167,'Coverage Indicators - Section D'!$A$1:$A$100,0)+1),""),"")</f>
        <v>Bolivia (Plurinational State)
Geographic National, 100% of national program target</v>
      </c>
      <c r="K167" s="84" t="str">
        <f ca="1">IFERROR(IF(INDEX('Coverage Indicators - Section D'!N$1:N$100,MATCH('Print View'!$A167,'Coverage Indicators - Section D'!$A$1:$A$100,0))&lt;&gt;0,INDEX('Coverage Indicators - Section D'!N$1:N$100,MATCH('Print View'!$A167,'Coverage Indicators - Section D'!$A$1:$A$100,0)),""),"")</f>
        <v/>
      </c>
      <c r="L167" s="88" t="str">
        <f ca="1">IFERROR(IF(INDEX('Coverage Indicators - Section D'!O$1:O$100,MATCH('Print View'!$A167,'Coverage Indicators - Section D'!$A$1:$A$100,0))&lt;&gt;"",INDEX('Coverage Indicators - Section D'!O$1:O$100,MATCH('Print View'!$A167,'Coverage Indicators - Section D'!$A$1:$A$100,0)),""),"")&amp;"/"&amp;IFERROR(IF(INDEX('Coverage Indicators - Section D'!O$1:O$100,MATCH('Print View'!$A167,'Coverage Indicators - Section D'!$A$1:$A$100,0)+1)&lt;&gt;"",INDEX('Coverage Indicators - Section D'!O$1:O$100,MATCH('Print View'!$A167,'Coverage Indicators - Section D'!$A$1:$A$100,0)+1),""),"")&amp;CHAR(10)&amp;IFERROR(IF(INDEX('Coverage Indicators - Section D'!P$1:P$100,MATCH('Print View'!$A167,'Coverage Indicators - Section D'!$A$1:$A$100,0))&lt;&gt;"",FIXED(INDEX('Coverage Indicators - Section D'!P$1:P$100,MATCH('Print View'!$A167,'Coverage Indicators - Section D'!$A$1:$A$100,0))*100,2)&amp;"%",""),"")&amp;CHAR(10)&amp;IFERROR(IF(INDEX('Coverage Indicators - Section D'!Q$1:Q$100,MATCH('Print View'!$A167,'Coverage Indicators - Section D'!$A$1:$A$100,0))&lt;&gt;"",INDEX('Coverage Indicators - Section D'!Q$1:Q$100,MATCH('Print View'!$A167,'Coverage Indicators - Section D'!$A$1:$A$100,0)),""),"")</f>
        <v xml:space="preserve">3300/6600
50.00%
</v>
      </c>
      <c r="M167" s="88" t="str">
        <f ca="1">IFERROR(IF(INDEX('Coverage Indicators - Section D'!R$1:R$100,MATCH('Print View'!$A167,'Coverage Indicators - Section D'!$A$1:$A$100,0))&lt;&gt;"",INDEX('Coverage Indicators - Section D'!R$1:R$100,MATCH('Print View'!$A167,'Coverage Indicators - Section D'!$A$1:$A$100,0)),""),"")&amp;"/"&amp;IFERROR(IF(INDEX('Coverage Indicators - Section D'!R$1:R$100,MATCH('Print View'!$A167,'Coverage Indicators - Section D'!$A$1:$A$100,0)+1)&lt;&gt;"",INDEX('Coverage Indicators - Section D'!R$1:R$100,MATCH('Print View'!$A167,'Coverage Indicators - Section D'!$A$1:$A$100,0)+1),""),"")&amp;CHAR(10)&amp;IFERROR(IF(INDEX('Coverage Indicators - Section D'!S$1:S$100,MATCH('Print View'!$A167,'Coverage Indicators - Section D'!$A$1:$A$100,0))&lt;&gt;"",FIXED(INDEX('Coverage Indicators - Section D'!S$1:S$100,MATCH('Print View'!$A167,'Coverage Indicators - Section D'!$A$1:$A$100,0))*100,2)&amp;"%",""),"")&amp;CHAR(10)&amp;IFERROR(IF(INDEX('Coverage Indicators - Section D'!T$1:T$100,MATCH('Print View'!$A167,'Coverage Indicators - Section D'!$A$1:$A$100,0))&lt;&gt;"",INDEX('Coverage Indicators - Section D'!T$1:T$100,MATCH('Print View'!$A167,'Coverage Indicators - Section D'!$A$1:$A$100,0)),""),"")</f>
        <v xml:space="preserve">4680/7800
60.00%
</v>
      </c>
      <c r="N167" s="88" t="str">
        <f ca="1">IFERROR(IF(INDEX('Coverage Indicators - Section D'!U$1:U$100,MATCH('Print View'!$A167,'Coverage Indicators - Section D'!$A$1:$A$100,0))&lt;&gt;"",INDEX('Coverage Indicators - Section D'!U$1:U$100,MATCH('Print View'!$A167,'Coverage Indicators - Section D'!$A$1:$A$100,0)),""),"")&amp;"/"&amp;IFERROR(IF(INDEX('Coverage Indicators - Section D'!U$1:U$100,MATCH('Print View'!$A167,'Coverage Indicators - Section D'!$A$1:$A$100,0)+1)&lt;&gt;"",INDEX('Coverage Indicators - Section D'!U$1:U$100,MATCH('Print View'!$A167,'Coverage Indicators - Section D'!$A$1:$A$100,0)+1),""),"")&amp;CHAR(10)&amp;IFERROR(IF(INDEX('Coverage Indicators - Section D'!V$1:V$100,MATCH('Print View'!$A167,'Coverage Indicators - Section D'!$A$1:$A$100,0))&lt;&gt;"",FIXED(INDEX('Coverage Indicators - Section D'!V$1:V$100,MATCH('Print View'!$A167,'Coverage Indicators - Section D'!$A$1:$A$100,0))*100,2)&amp;"%",""),"")&amp;CHAR(10)&amp;IFERROR(IF(INDEX('Coverage Indicators - Section D'!W$1:W$100,MATCH('Print View'!$A167,'Coverage Indicators - Section D'!$A$1:$A$100,0))&lt;&gt;"",INDEX('Coverage Indicators - Section D'!W$1:W$100,MATCH('Print View'!$A167,'Coverage Indicators - Section D'!$A$1:$A$100,0)),""),"")</f>
        <v xml:space="preserve">6300/9000
70.00%
</v>
      </c>
      <c r="O167" s="88" t="str">
        <f ca="1">IFERROR(IF(INDEX('Coverage Indicators - Section D'!X$1:X$100,MATCH('Print View'!$A167,'Coverage Indicators - Section D'!$A$1:$A$100,0))&lt;&gt;"",INDEX('Coverage Indicators - Section D'!X$1:X$100,MATCH('Print View'!$A167,'Coverage Indicators - Section D'!$A$1:$A$100,0)),""),"")&amp;"/"&amp;IFERROR(IF(INDEX('Coverage Indicators - Section D'!X$1:X$100,MATCH('Print View'!$A167,'Coverage Indicators - Section D'!$A$1:$A$100,0)+1)&lt;&gt;"",INDEX('Coverage Indicators - Section D'!X$1:X$100,MATCH('Print View'!$A167,'Coverage Indicators - Section D'!$A$1:$A$100,0)+1),""),"")&amp;CHAR(10)&amp;IFERROR(IF(INDEX('Coverage Indicators - Section D'!Y$1:Y$100,MATCH('Print View'!$A167,'Coverage Indicators - Section D'!$A$1:$A$100,0))&lt;&gt;"",FIXED(INDEX('Coverage Indicators - Section D'!Y$1:Y$100,MATCH('Print View'!$A167,'Coverage Indicators - Section D'!$A$1:$A$100,0))*100,2)&amp;"%",""),"")&amp;CHAR(10)&amp;IFERROR(IF(INDEX('Coverage Indicators - Section D'!Z$1:Z$100,MATCH('Print View'!$A167,'Coverage Indicators - Section D'!$A$1:$A$100,0))&lt;&gt;"",INDEX('Coverage Indicators - Section D'!Z$1:Z$100,MATCH('Print View'!$A167,'Coverage Indicators - Section D'!$A$1:$A$100,0)),""),"")</f>
        <v xml:space="preserve">/
</v>
      </c>
      <c r="P167" s="88" t="str">
        <f ca="1">IFERROR(IF(INDEX('Coverage Indicators - Section D'!AA$1:AA$100,MATCH('Print View'!$A167,'Coverage Indicators - Section D'!$A$1:$A$100,0))&lt;&gt;"",INDEX('Coverage Indicators - Section D'!AA$1:AA$100,MATCH('Print View'!$A167,'Coverage Indicators - Section D'!$A$1:$A$100,0)),""),"")&amp;"/"&amp;IFERROR(IF(INDEX('Coverage Indicators - Section D'!AA$1:AA$100,MATCH('Print View'!$A167,'Coverage Indicators - Section D'!$A$1:$A$100,0)+1)&lt;&gt;"",INDEX('Coverage Indicators - Section D'!AA$1:AA$100,MATCH('Print View'!$A167,'Coverage Indicators - Section D'!$A$1:$A$100,0)+1),""),"")&amp;CHAR(10)&amp;IFERROR(IF(INDEX('Coverage Indicators - Section D'!AB$1:AB$100,MATCH('Print View'!$A167,'Coverage Indicators - Section D'!$A$1:$A$100,0))&lt;&gt;"",FIXED(INDEX('Coverage Indicators - Section D'!AB$1:AB$100,MATCH('Print View'!$A167,'Coverage Indicators - Section D'!$A$1:$A$100,0))*100,2)&amp;"%",""),"")&amp;CHAR(10)&amp;IFERROR(IF(INDEX('Coverage Indicators - Section D'!AC$1:AC$100,MATCH('Print View'!$A167,'Coverage Indicators - Section D'!$A$1:$A$100,0))&lt;&gt;"",INDEX('Coverage Indicators - Section D'!AC$1:AC$100,MATCH('Print View'!$A167,'Coverage Indicators - Section D'!$A$1:$A$100,0)),""),"")</f>
        <v xml:space="preserve">/
</v>
      </c>
      <c r="Q167" s="88" t="str">
        <f ca="1">IFERROR(IF(INDEX('Coverage Indicators - Section D'!AD$1:AD$100,MATCH('Print View'!$A167,'Coverage Indicators - Section D'!$A$1:$A$100,0))&lt;&gt;"",INDEX('Coverage Indicators - Section D'!AD$1:AD$100,MATCH('Print View'!$A167,'Coverage Indicators - Section D'!$A$1:$A$100,0)),""),"")&amp;"/"&amp;IFERROR(IF(INDEX('Coverage Indicators - Section D'!AD$1:AD$100,MATCH('Print View'!$A167,'Coverage Indicators - Section D'!$A$1:$A$100,0)+1)&lt;&gt;"",INDEX('Coverage Indicators - Section D'!AD$1:AD$100,MATCH('Print View'!$A167,'Coverage Indicators - Section D'!$A$1:$A$100,0)+1),""),"")&amp;CHAR(10)&amp;IFERROR(IF(INDEX('Coverage Indicators - Section D'!AE$1:AE$100,MATCH('Print View'!$A167,'Coverage Indicators - Section D'!$A$1:$A$100,0))&lt;&gt;"",FIXED(INDEX('Coverage Indicators - Section D'!AE$1:AE$100,MATCH('Print View'!$A167,'Coverage Indicators - Section D'!$A$1:$A$100,0))*100,2)&amp;"%",""),"")&amp;CHAR(10)&amp;IFERROR(IF(INDEX('Coverage Indicators - Section D'!AF$1:AF$100,MATCH('Print View'!$A167,'Coverage Indicators - Section D'!$A$1:$A$100,0))&lt;&gt;"",INDEX('Coverage Indicators - Section D'!AF$1:AF$100,MATCH('Print View'!$A167,'Coverage Indicators - Section D'!$A$1:$A$100,0)),""),"")</f>
        <v xml:space="preserve">/
</v>
      </c>
      <c r="R167" s="88" t="str">
        <f ca="1">IFERROR(IF(INDEX('Coverage Indicators - Section D'!AG$1:AG$100,MATCH('Print View'!$A167,'Coverage Indicators - Section D'!$A$1:$A$100,0))&lt;&gt;"",INDEX('Coverage Indicators - Section D'!AG$1:AG$100,MATCH('Print View'!$A167,'Coverage Indicators - Section D'!$A$1:$A$100,0)),""),"")&amp;"/"&amp;IFERROR(IF(INDEX('Coverage Indicators - Section D'!AG$1:AG$100,MATCH('Print View'!$A167,'Coverage Indicators - Section D'!$A$1:$A$100,0)+1)&lt;&gt;"",INDEX('Coverage Indicators - Section D'!AG$1:AG$100,MATCH('Print View'!$A167,'Coverage Indicators - Section D'!$A$1:$A$100,0)+1),""),"")&amp;CHAR(10)&amp;IFERROR(IF(INDEX('Coverage Indicators - Section D'!AH$1:AH$100,MATCH('Print View'!$A167,'Coverage Indicators - Section D'!$A$1:$A$100,0))&lt;&gt;"",FIXED(INDEX('Coverage Indicators - Section D'!AH$1:AH$100,MATCH('Print View'!$A167,'Coverage Indicators - Section D'!$A$1:$A$100,0))*100,2)&amp;"%",""),"")&amp;CHAR(10)&amp;IFERROR(IF(INDEX('Coverage Indicators - Section D'!AI$1:AI$100,MATCH('Print View'!$A167,'Coverage Indicators - Section D'!$A$1:$A$100,0))&lt;&gt;"",INDEX('Coverage Indicators - Section D'!AI$1:AI$100,MATCH('Print View'!$A167,'Coverage Indicators - Section D'!$A$1:$A$100,0)),""),"")</f>
        <v xml:space="preserve">/
</v>
      </c>
      <c r="S167" s="88" t="str">
        <f ca="1">IFERROR(IF(INDEX('Coverage Indicators - Section D'!AJ$1:AJ$100,MATCH('Print View'!$A167,'Coverage Indicators - Section D'!$A$1:$A$100,0))&lt;&gt;"",INDEX('Coverage Indicators - Section D'!AJ$1:AJ$100,MATCH('Print View'!$A167,'Coverage Indicators - Section D'!$A$1:$A$100,0)),""),"")&amp;"/"&amp;IFERROR(IF(INDEX('Coverage Indicators - Section D'!AJ$1:AJ$100,MATCH('Print View'!$A167,'Coverage Indicators - Section D'!$A$1:$A$100,0)+1)&lt;&gt;"",INDEX('Coverage Indicators - Section D'!AJ$1:AJ$100,MATCH('Print View'!$A167,'Coverage Indicators - Section D'!$A$1:$A$100,0)+1),""),"")&amp;CHAR(10)&amp;IFERROR(IF(INDEX('Coverage Indicators - Section D'!AK$1:AK$100,MATCH('Print View'!$A167,'Coverage Indicators - Section D'!$A$1:$A$100,0))&lt;&gt;"",FIXED(INDEX('Coverage Indicators - Section D'!AK$1:AK$100,MATCH('Print View'!$A167,'Coverage Indicators - Section D'!$A$1:$A$100,0))*100,2)&amp;"%",""),"")&amp;CHAR(10)&amp;IFERROR(IF(INDEX('Coverage Indicators - Section D'!AL$1:AL$100,MATCH('Print View'!$A167,'Coverage Indicators - Section D'!$A$1:$A$100,0))&lt;&gt;"",INDEX('Coverage Indicators - Section D'!AL$1:AL$100,MATCH('Print View'!$A167,'Coverage Indicators - Section D'!$A$1:$A$100,0)),""),"")</f>
        <v xml:space="preserve">/
</v>
      </c>
      <c r="T167" s="93"/>
      <c r="U167" s="13"/>
      <c r="V167" s="13"/>
      <c r="W167" s="13"/>
      <c r="X167" s="13"/>
      <c r="Y167" s="13"/>
      <c r="Z167" s="13"/>
      <c r="AA167" s="13"/>
      <c r="AB167" s="13"/>
      <c r="AC167" s="13"/>
      <c r="AD167" s="13"/>
      <c r="AE167" s="13"/>
      <c r="AF167" s="13"/>
      <c r="AG167" s="13"/>
      <c r="AH167" s="13"/>
      <c r="AI167" s="13"/>
      <c r="AJ167" s="13"/>
      <c r="AK167" s="13"/>
      <c r="AL167" s="13"/>
      <c r="AM167" s="13"/>
      <c r="AN167" s="13"/>
      <c r="AO167" s="13" t="str">
        <f ca="1">IFERROR(IF(INDEX('Coverage Indicators - Section D'!AD$1:AD$110,MATCH('Print View'!$A167,'Coverage Indicators - Section D'!$A$1:$A$110,0))&lt;&gt;0,INDEX('Coverage Indicators - Section D'!AD$1:AD$110,MATCH('Print View'!$A167,'Coverage Indicators - Section D'!$A$1:$A$110,0)),""),"")</f>
        <v/>
      </c>
      <c r="AP167" s="13"/>
      <c r="AQ167" s="13"/>
      <c r="AR167" s="13"/>
      <c r="AS167" s="13"/>
      <c r="AT167" s="577" t="str">
        <f ca="1">CONCATENATE($A167,N$147)</f>
        <v>1031-Dec-25</v>
      </c>
      <c r="AU167" s="575" t="str">
        <f ca="1">CONCATENATE($A167,Q$147)</f>
        <v>1031-Dec-28</v>
      </c>
      <c r="AV167" s="575" t="str">
        <f>CONCATENATE($A167,V$147)</f>
        <v>10</v>
      </c>
      <c r="AW167" s="575" t="str">
        <f>CONCATENATE($A167,Y$147)</f>
        <v>10</v>
      </c>
      <c r="AX167" s="575" t="str">
        <f>CONCATENATE($A167,AB$147)</f>
        <v>10</v>
      </c>
      <c r="AY167" s="575" t="str">
        <f>CONCATENATE($A167,AE$147)</f>
        <v>10</v>
      </c>
      <c r="AZ167" s="575" t="str">
        <f>CONCATENATE($A167,AH$147)</f>
        <v>10</v>
      </c>
      <c r="BA167" s="575" t="str">
        <f>CONCATENATE($A167,AK$147)</f>
        <v>10</v>
      </c>
      <c r="BB167" s="96"/>
      <c r="BC167" s="97"/>
    </row>
    <row r="168" spans="1:55" s="16" customFormat="1" ht="88.35" customHeight="1">
      <c r="A168" s="609"/>
      <c r="B168" s="630" t="str">
        <f ca="1">IFERROR(IF(INDEX('Coverage Indicators - Section D'!AM$1:AM$110,MATCH('Print View'!$A167,'Coverage Indicators - Section D'!$A$1:$A$110,0))&lt;&gt;0,INDEX('Coverage Indicators - Section D'!AM$1:AM$110,MATCH('Print View'!$A167,'Coverage Indicators - Section D'!$A$1:$A$110,0)),""),"")</f>
        <v xml:space="preserve">Numerador: número de casos de TB (nuevos y recaidas) diagnosticados por GeneXpert MTB/RIF. 
Denominador: número de casos de TB (nuevos y recaidas) notificados.
Multiplicador: 100%                                                                                                                                                                                                                                               Metodología de medición. Sistema de registro del PNEI-Tuberculosis y de registros de laboratorio 
Periodo de medición: Trimestral (hasta 40 dias acabado el trimestre).                                                                                                                                                           Supuestos: PEN alineado a la Estrategia Fin de la Tuberculosis y al cumplimiento de las metas del mismo. Universalización gradual del diagnostico universal por GeneXpert MTB/RIF y el uso de cartuchos GeneXpert Ultra,actualizacion de la normativa de Tuberculosis, capacitacion al personal de salud y proveedores de salud no publicos. 
</v>
      </c>
      <c r="C168" s="631"/>
      <c r="D168" s="631"/>
      <c r="E168" s="631"/>
      <c r="F168" s="631"/>
      <c r="G168" s="631"/>
      <c r="H168" s="631"/>
      <c r="I168" s="632"/>
      <c r="J168" s="632"/>
      <c r="K168" s="632"/>
      <c r="L168" s="632"/>
      <c r="M168" s="632"/>
      <c r="N168" s="632"/>
      <c r="O168" s="632"/>
      <c r="P168" s="632"/>
      <c r="Q168" s="632"/>
      <c r="R168" s="632"/>
      <c r="S168" s="633"/>
      <c r="T168" s="94"/>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577"/>
      <c r="AU168" s="575"/>
      <c r="AV168" s="575"/>
      <c r="AW168" s="575"/>
      <c r="AX168" s="575"/>
      <c r="AY168" s="575"/>
      <c r="AZ168" s="575"/>
      <c r="BA168" s="575"/>
      <c r="BB168" s="96"/>
      <c r="BC168" s="97"/>
    </row>
    <row r="169" spans="1:55" s="16" customFormat="1" ht="177" customHeight="1">
      <c r="A169" s="608">
        <v>11</v>
      </c>
      <c r="B169" s="80" t="str">
        <f ca="1">IFERROR(IF(INDEX('Coverage Indicators - Section D'!B$1:B$100,MATCH('Print View'!$A169,'Coverage Indicators - Section D'!$A$1:$A$100,0))&lt;&gt;0,INDEX('Coverage Indicators - Section D'!B$1:B$100,MATCH('Print View'!$A169,'Coverage Indicators - Section D'!$A$1:$A$100,0)),""),"")</f>
        <v>Tuberculosis multirresistente</v>
      </c>
      <c r="C169" s="80" t="str">
        <f ca="1">IFERROR(IF(INDEX('Coverage Indicators - Section D'!D$1:D$100,MATCH('Print View'!$A169,'Coverage Indicators - Section D'!$A$1:$A$100,0))&lt;&gt;0,INDEX('Coverage Indicators - Section D'!D$1:D$100,MATCH('Print View'!$A169,'Coverage Indicators - Section D'!$A$1:$A$100,0)),""),"")</f>
        <v>MDR TB-2⁽ᴹ⁾ Número de casos de tuberculosis resistente a la rifampicina y/o multirresistente notificados.</v>
      </c>
      <c r="D169" s="80" t="str">
        <f ca="1">IFERROR(IF(INDEX('Coverage Indicators - Section D'!E$1:E$100,MATCH('Print View'!$A169,'Coverage Indicators - Section D'!$A$1:$A$100,0))&lt;&gt;0,INDEX('Coverage Indicators - Section D'!E$1:E$100,MATCH('Print View'!$A169,'Coverage Indicators - Section D'!$A$1:$A$100,0)),""),"")</f>
        <v/>
      </c>
      <c r="E169" s="81" t="str">
        <f ca="1">IFERROR(IF(INDEX('Coverage Indicators - Section D'!F$1:F$100,MATCH('Print View'!$A169,'Coverage Indicators - Section D'!$A$1:$A$100,0))&lt;&gt;"",INDEX('Coverage Indicators - Section D'!F$1:F$100,MATCH('Print View'!$A169,'Coverage Indicators - Section D'!$A$1:$A$100,0)),""),"")&amp;"/"&amp;IFERROR(IF(INDEX('Coverage Indicators - Section D'!F$1:F$100,MATCH('Print View'!$A169,'Coverage Indicators - Section D'!$A$1:$A$100,0)+1)&lt;&gt;"",INDEX('Coverage Indicators - Section D'!F$1:F$100,MATCH('Print View'!$A169,'Coverage Indicators - Section D'!$A$1:$A$100,0)+1),""),"")&amp;CHAR(10)&amp;IFERROR(IF(INDEX('Coverage Indicators - Section D'!G$1:G$100,MATCH('Print View'!$A169,'Coverage Indicators - Section D'!$A$1:$A$100,0))&lt;&gt;"",FIXED(INDEX('Coverage Indicators - Section D'!G$1:G$100,MATCH('Print View'!$A169,'Coverage Indicators - Section D'!$A$1:$A$100,0))*100,2)&amp;"%",""),"")</f>
        <v xml:space="preserve">121/
</v>
      </c>
      <c r="F169" s="82" t="str">
        <f ca="1">IFERROR(IF(INDEX('Coverage Indicators - Section D'!H$1:H$100,MATCH('Print View'!$A169,'Coverage Indicators - Section D'!$A$1:$A$100,0))&lt;&gt;0,INDEX('Coverage Indicators - Section D'!H$1:H$100,MATCH('Print View'!$A169,'Coverage Indicators - Section D'!$A$1:$A$100,0)),""),"")&amp;CHAR(10)&amp;IFERROR(IF(INDEX('Coverage Indicators - Section D'!I$1:I$100,MATCH('Print View'!$A169,'Coverage Indicators - Section D'!$A$1:$A$100,0))&lt;&gt;0,INDEX('Coverage Indicators - Section D'!I$1:I$100,MATCH('Print View'!$A169,'Coverage Indicators - Section D'!$A$1:$A$100,0)),""),"")</f>
        <v>2021
Reporte de la Unidad de Vigilancia Epidemiológica - Componente de Tuberculosis - Sistema de R&amp;R TB - Ministerio de Salud y Deportes.</v>
      </c>
      <c r="G169" s="41" t="str">
        <f>IFERROR(IF(INDEX('Coverage Indicators - Section D'!J29:J58,MATCH('Print View'!$A169,'Coverage Indicators - Section D'!$A$9:$A$38,0))&lt;&gt;0,INDEX('Coverage Indicators - Section D'!J29:J58,MATCH('Print View'!$A169,'Coverage Indicators - Section D'!$A$9:$A$38,0)),""),"")</f>
        <v/>
      </c>
      <c r="H169" s="42" t="str">
        <f ca="1">IFERROR(IF(INDEX('Coverage Indicators - Section D'!K$1:K$100,MATCH('Print View'!$A169,'Coverage Indicators - Section D'!$A$1:$A$100,0))&lt;&gt;0,INDEX('Coverage Indicators - Section D'!K$1:K$100,MATCH('Print View'!$A169,'Coverage Indicators - Section D'!$A$1:$A$100,0)),""),"")</f>
        <v/>
      </c>
      <c r="I169" s="41" t="str">
        <f ca="1">IFERROR(IF(AND('Overview - Section A'!AN$5="Grant Making",OR(C169&lt;&gt;"",D169&lt;&gt;"")),Setup!I15,IF(INDEX('Coverage Indicators - Section D'!L$1:L$100,MATCH('Print View'!$A169,'Coverage Indicators - Section D'!$A$1:$A$100,0))&lt;&gt;0,INDEX('Coverage Indicators - Section D'!L$1:L$100,MATCH('Print View'!$A169,'Coverage Indicators - Section D'!$A$1:$A$100,0)),"")),"")</f>
        <v/>
      </c>
      <c r="J169" s="81" t="str">
        <f ca="1">IFERROR(IF(INDEX('Coverage Indicators - Section D'!M$1:M$100,MATCH('Print View'!$A169,'Coverage Indicators - Section D'!$A$1:$A$100,0))&lt;&gt;0,INDEX('Coverage Indicators - Section D'!M$1:M$100,MATCH('Print View'!$A169,'Coverage Indicators - Section D'!$A$1:$A$100,0)),""),"")&amp;CHAR(10)&amp;IFERROR(IF(INDEX('Coverage Indicators - Section D'!M$1:M$100,MATCH('Print View'!$A169,'Coverage Indicators - Section D'!$A$1:$A$100,0)+1)&lt;&gt;0,INDEX('Coverage Indicators - Section D'!M$1:M$100,MATCH('Print View'!$A169,'Coverage Indicators - Section D'!$A$1:$A$100,0)+1),""),"")</f>
        <v>Bolivia (Plurinational State)
Geographic National, 100% of national program target</v>
      </c>
      <c r="K169" s="81" t="str">
        <f ca="1">IFERROR(IF(INDEX('Coverage Indicators - Section D'!N$1:N$100,MATCH('Print View'!$A169,'Coverage Indicators - Section D'!$A$1:$A$100,0))&lt;&gt;0,INDEX('Coverage Indicators - Section D'!N$1:N$100,MATCH('Print View'!$A169,'Coverage Indicators - Section D'!$A$1:$A$100,0)),""),"")</f>
        <v/>
      </c>
      <c r="L169" s="81" t="str">
        <f ca="1">IFERROR(IF(INDEX('Coverage Indicators - Section D'!O$1:O$100,MATCH('Print View'!$A169,'Coverage Indicators - Section D'!$A$1:$A$100,0))&lt;&gt;"",INDEX('Coverage Indicators - Section D'!O$1:O$100,MATCH('Print View'!$A169,'Coverage Indicators - Section D'!$A$1:$A$100,0)),""),"")&amp;"/"&amp;IFERROR(IF(INDEX('Coverage Indicators - Section D'!O$1:O$100,MATCH('Print View'!$A169,'Coverage Indicators - Section D'!$A$1:$A$100,0)+1)&lt;&gt;"",INDEX('Coverage Indicators - Section D'!O$1:O$100,MATCH('Print View'!$A169,'Coverage Indicators - Section D'!$A$1:$A$100,0)+1),""),"")&amp;CHAR(10)&amp;IFERROR(IF(INDEX('Coverage Indicators - Section D'!P$1:P$100,MATCH('Print View'!$A169,'Coverage Indicators - Section D'!$A$1:$A$100,0))&lt;&gt;"",FIXED(INDEX('Coverage Indicators - Section D'!P$1:P$100,MATCH('Print View'!$A169,'Coverage Indicators - Section D'!$A$1:$A$100,0))*100,2)&amp;"%",""),"")&amp;CHAR(10)&amp;IFERROR(IF(INDEX('Coverage Indicators - Section D'!Q$1:Q$100,MATCH('Print View'!$A169,'Coverage Indicators - Section D'!$A$1:$A$100,0))&lt;&gt;"",INDEX('Coverage Indicators - Section D'!Q$1:Q$100,MATCH('Print View'!$A169,'Coverage Indicators - Section D'!$A$1:$A$100,0)),""),"")</f>
        <v xml:space="preserve">148/
</v>
      </c>
      <c r="M169" s="82" t="str">
        <f ca="1">IFERROR(IF(INDEX('Coverage Indicators - Section D'!R$1:R$100,MATCH('Print View'!$A169,'Coverage Indicators - Section D'!$A$1:$A$100,0))&lt;&gt;"",INDEX('Coverage Indicators - Section D'!R$1:R$100,MATCH('Print View'!$A169,'Coverage Indicators - Section D'!$A$1:$A$100,0)),""),"")&amp;"/"&amp;IFERROR(IF(INDEX('Coverage Indicators - Section D'!R$1:R$100,MATCH('Print View'!$A169,'Coverage Indicators - Section D'!$A$1:$A$100,0)+1)&lt;&gt;"",INDEX('Coverage Indicators - Section D'!R$1:R$100,MATCH('Print View'!$A169,'Coverage Indicators - Section D'!$A$1:$A$100,0)+1),""),"")&amp;CHAR(10)&amp;IFERROR(IF(INDEX('Coverage Indicators - Section D'!S$1:S$100,MATCH('Print View'!$A169,'Coverage Indicators - Section D'!$A$1:$A$100,0))&lt;&gt;"",FIXED(INDEX('Coverage Indicators - Section D'!S$1:S$100,MATCH('Print View'!$A169,'Coverage Indicators - Section D'!$A$1:$A$100,0))*100,2)&amp;"%",""),"")&amp;CHAR(10)&amp;IFERROR(IF(INDEX('Coverage Indicators - Section D'!T$1:T$100,MATCH('Print View'!$A169,'Coverage Indicators - Section D'!$A$1:$A$100,0))&lt;&gt;"",INDEX('Coverage Indicators - Section D'!T$1:T$100,MATCH('Print View'!$A169,'Coverage Indicators - Section D'!$A$1:$A$100,0)),""),"")</f>
        <v xml:space="preserve">171/
</v>
      </c>
      <c r="N169" s="81" t="str">
        <f ca="1">IFERROR(IF(INDEX('Coverage Indicators - Section D'!U$1:U$100,MATCH('Print View'!$A169,'Coverage Indicators - Section D'!$A$1:$A$100,0))&lt;&gt;"",INDEX('Coverage Indicators - Section D'!U$1:U$100,MATCH('Print View'!$A169,'Coverage Indicators - Section D'!$A$1:$A$100,0)),""),"")&amp;"/"&amp;IFERROR(IF(INDEX('Coverage Indicators - Section D'!U$1:U$100,MATCH('Print View'!$A169,'Coverage Indicators - Section D'!$A$1:$A$100,0)+1)&lt;&gt;"",INDEX('Coverage Indicators - Section D'!U$1:U$100,MATCH('Print View'!$A169,'Coverage Indicators - Section D'!$A$1:$A$100,0)+1),""),"")&amp;CHAR(10)&amp;IFERROR(IF(INDEX('Coverage Indicators - Section D'!V$1:V$100,MATCH('Print View'!$A169,'Coverage Indicators - Section D'!$A$1:$A$100,0))&lt;&gt;"",FIXED(INDEX('Coverage Indicators - Section D'!V$1:V$100,MATCH('Print View'!$A169,'Coverage Indicators - Section D'!$A$1:$A$100,0))*100,2)&amp;"%",""),"")&amp;CHAR(10)&amp;IFERROR(IF(INDEX('Coverage Indicators - Section D'!W$1:W$100,MATCH('Print View'!$A169,'Coverage Indicators - Section D'!$A$1:$A$100,0))&lt;&gt;"",INDEX('Coverage Indicators - Section D'!W$1:W$100,MATCH('Print View'!$A169,'Coverage Indicators - Section D'!$A$1:$A$100,0)),""),"")</f>
        <v xml:space="preserve">192/
</v>
      </c>
      <c r="O169" s="82" t="str">
        <f ca="1">IFERROR(IF(INDEX('Coverage Indicators - Section D'!X$1:X$100,MATCH('Print View'!$A169,'Coverage Indicators - Section D'!$A$1:$A$100,0))&lt;&gt;"",INDEX('Coverage Indicators - Section D'!X$1:X$100,MATCH('Print View'!$A169,'Coverage Indicators - Section D'!$A$1:$A$100,0)),""),"")&amp;"/"&amp;IFERROR(IF(INDEX('Coverage Indicators - Section D'!X$1:X$100,MATCH('Print View'!$A169,'Coverage Indicators - Section D'!$A$1:$A$100,0)+1)&lt;&gt;"",INDEX('Coverage Indicators - Section D'!X$1:X$100,MATCH('Print View'!$A169,'Coverage Indicators - Section D'!$A$1:$A$100,0)+1),""),"")&amp;CHAR(10)&amp;IFERROR(IF(INDEX('Coverage Indicators - Section D'!Y$1:Y$100,MATCH('Print View'!$A169,'Coverage Indicators - Section D'!$A$1:$A$100,0))&lt;&gt;"",FIXED(INDEX('Coverage Indicators - Section D'!Y$1:Y$100,MATCH('Print View'!$A169,'Coverage Indicators - Section D'!$A$1:$A$100,0))*100,2)&amp;"%",""),"")&amp;CHAR(10)&amp;IFERROR(IF(INDEX('Coverage Indicators - Section D'!Z$1:Z$100,MATCH('Print View'!$A169,'Coverage Indicators - Section D'!$A$1:$A$100,0))&lt;&gt;"",INDEX('Coverage Indicators - Section D'!Z$1:Z$100,MATCH('Print View'!$A169,'Coverage Indicators - Section D'!$A$1:$A$100,0)),""),"")</f>
        <v xml:space="preserve">/
</v>
      </c>
      <c r="P169" s="82" t="str">
        <f ca="1">IFERROR(IF(INDEX('Coverage Indicators - Section D'!AA$1:AA$100,MATCH('Print View'!$A169,'Coverage Indicators - Section D'!$A$1:$A$100,0))&lt;&gt;"",INDEX('Coverage Indicators - Section D'!AA$1:AA$100,MATCH('Print View'!$A169,'Coverage Indicators - Section D'!$A$1:$A$100,0)),""),"")&amp;"/"&amp;IFERROR(IF(INDEX('Coverage Indicators - Section D'!AA$1:AA$100,MATCH('Print View'!$A169,'Coverage Indicators - Section D'!$A$1:$A$100,0)+1)&lt;&gt;"",INDEX('Coverage Indicators - Section D'!AA$1:AA$100,MATCH('Print View'!$A169,'Coverage Indicators - Section D'!$A$1:$A$100,0)+1),""),"")&amp;CHAR(10)&amp;IFERROR(IF(INDEX('Coverage Indicators - Section D'!AB$1:AB$100,MATCH('Print View'!$A169,'Coverage Indicators - Section D'!$A$1:$A$100,0))&lt;&gt;"",FIXED(INDEX('Coverage Indicators - Section D'!AB$1:AB$100,MATCH('Print View'!$A169,'Coverage Indicators - Section D'!$A$1:$A$100,0))*100,2)&amp;"%",""),"")&amp;CHAR(10)&amp;IFERROR(IF(INDEX('Coverage Indicators - Section D'!AC$1:AC$100,MATCH('Print View'!$A169,'Coverage Indicators - Section D'!$A$1:$A$100,0))&lt;&gt;"",INDEX('Coverage Indicators - Section D'!AC$1:AC$100,MATCH('Print View'!$A169,'Coverage Indicators - Section D'!$A$1:$A$100,0)),""),"")</f>
        <v xml:space="preserve">/
</v>
      </c>
      <c r="Q169" s="82" t="str">
        <f ca="1">IFERROR(IF(INDEX('Coverage Indicators - Section D'!AD$1:AD$100,MATCH('Print View'!$A169,'Coverage Indicators - Section D'!$A$1:$A$100,0))&lt;&gt;"",INDEX('Coverage Indicators - Section D'!AD$1:AD$100,MATCH('Print View'!$A169,'Coverage Indicators - Section D'!$A$1:$A$100,0)),""),"")&amp;"/"&amp;IFERROR(IF(INDEX('Coverage Indicators - Section D'!AD$1:AD$100,MATCH('Print View'!$A169,'Coverage Indicators - Section D'!$A$1:$A$100,0)+1)&lt;&gt;"",INDEX('Coverage Indicators - Section D'!AD$1:AD$100,MATCH('Print View'!$A169,'Coverage Indicators - Section D'!$A$1:$A$100,0)+1),""),"")&amp;CHAR(10)&amp;IFERROR(IF(INDEX('Coverage Indicators - Section D'!AE$1:AE$100,MATCH('Print View'!$A169,'Coverage Indicators - Section D'!$A$1:$A$100,0))&lt;&gt;"",FIXED(INDEX('Coverage Indicators - Section D'!AE$1:AE$100,MATCH('Print View'!$A169,'Coverage Indicators - Section D'!$A$1:$A$100,0))*100,2)&amp;"%",""),"")&amp;CHAR(10)&amp;IFERROR(IF(INDEX('Coverage Indicators - Section D'!AF$1:AF$100,MATCH('Print View'!$A169,'Coverage Indicators - Section D'!$A$1:$A$100,0))&lt;&gt;"",INDEX('Coverage Indicators - Section D'!AF$1:AF$100,MATCH('Print View'!$A169,'Coverage Indicators - Section D'!$A$1:$A$100,0)),""),"")</f>
        <v xml:space="preserve">/
</v>
      </c>
      <c r="R169" s="82" t="str">
        <f ca="1">IFERROR(IF(INDEX('Coverage Indicators - Section D'!AG$1:AG$100,MATCH('Print View'!$A169,'Coverage Indicators - Section D'!$A$1:$A$100,0))&lt;&gt;"",INDEX('Coverage Indicators - Section D'!AG$1:AG$100,MATCH('Print View'!$A169,'Coverage Indicators - Section D'!$A$1:$A$100,0)),""),"")&amp;"/"&amp;IFERROR(IF(INDEX('Coverage Indicators - Section D'!AG$1:AG$100,MATCH('Print View'!$A169,'Coverage Indicators - Section D'!$A$1:$A$100,0)+1)&lt;&gt;"",INDEX('Coverage Indicators - Section D'!AG$1:AG$100,MATCH('Print View'!$A169,'Coverage Indicators - Section D'!$A$1:$A$100,0)+1),""),"")&amp;CHAR(10)&amp;IFERROR(IF(INDEX('Coverage Indicators - Section D'!AH$1:AH$100,MATCH('Print View'!$A169,'Coverage Indicators - Section D'!$A$1:$A$100,0))&lt;&gt;"",FIXED(INDEX('Coverage Indicators - Section D'!AH$1:AH$100,MATCH('Print View'!$A169,'Coverage Indicators - Section D'!$A$1:$A$100,0))*100,2)&amp;"%",""),"")&amp;CHAR(10)&amp;IFERROR(IF(INDEX('Coverage Indicators - Section D'!AI$1:AI$100,MATCH('Print View'!$A169,'Coverage Indicators - Section D'!$A$1:$A$100,0))&lt;&gt;"",INDEX('Coverage Indicators - Section D'!AI$1:AI$100,MATCH('Print View'!$A169,'Coverage Indicators - Section D'!$A$1:$A$100,0)),""),"")</f>
        <v xml:space="preserve">/
</v>
      </c>
      <c r="S169" s="82" t="str">
        <f ca="1">IFERROR(IF(INDEX('Coverage Indicators - Section D'!AJ$1:AJ$100,MATCH('Print View'!$A169,'Coverage Indicators - Section D'!$A$1:$A$100,0))&lt;&gt;"",INDEX('Coverage Indicators - Section D'!AJ$1:AJ$100,MATCH('Print View'!$A169,'Coverage Indicators - Section D'!$A$1:$A$100,0)),""),"")&amp;"/"&amp;IFERROR(IF(INDEX('Coverage Indicators - Section D'!AJ$1:AJ$100,MATCH('Print View'!$A169,'Coverage Indicators - Section D'!$A$1:$A$100,0)+1)&lt;&gt;"",INDEX('Coverage Indicators - Section D'!AJ$1:AJ$100,MATCH('Print View'!$A169,'Coverage Indicators - Section D'!$A$1:$A$100,0)+1),""),"")&amp;CHAR(10)&amp;IFERROR(IF(INDEX('Coverage Indicators - Section D'!AK$1:AK$100,MATCH('Print View'!$A169,'Coverage Indicators - Section D'!$A$1:$A$100,0))&lt;&gt;"",FIXED(INDEX('Coverage Indicators - Section D'!AK$1:AK$100,MATCH('Print View'!$A169,'Coverage Indicators - Section D'!$A$1:$A$100,0))*100,2)&amp;"%",""),"")&amp;CHAR(10)&amp;IFERROR(IF(INDEX('Coverage Indicators - Section D'!AL$1:AL$100,MATCH('Print View'!$A169,'Coverage Indicators - Section D'!$A$1:$A$100,0))&lt;&gt;"",INDEX('Coverage Indicators - Section D'!AL$1:AL$100,MATCH('Print View'!$A169,'Coverage Indicators - Section D'!$A$1:$A$100,0)),""),"")</f>
        <v xml:space="preserve">/
</v>
      </c>
      <c r="T169" s="52"/>
      <c r="U169" s="13"/>
      <c r="V169" s="13"/>
      <c r="W169" s="13"/>
      <c r="X169" s="13"/>
      <c r="Y169" s="13"/>
      <c r="Z169" s="13"/>
      <c r="AA169" s="13"/>
      <c r="AB169" s="13"/>
      <c r="AC169" s="13"/>
      <c r="AD169" s="13"/>
      <c r="AE169" s="13"/>
      <c r="AF169" s="13"/>
      <c r="AG169" s="13"/>
      <c r="AH169" s="13"/>
      <c r="AI169" s="13"/>
      <c r="AJ169" s="13"/>
      <c r="AK169" s="13"/>
      <c r="AL169" s="13"/>
      <c r="AM169" s="13"/>
      <c r="AN169" s="13"/>
      <c r="AO169" s="13" t="str">
        <f ca="1">IFERROR(IF(INDEX('Coverage Indicators - Section D'!AD$1:AD$110,MATCH('Print View'!$A169,'Coverage Indicators - Section D'!$A$1:$A$110,0))&lt;&gt;0,INDEX('Coverage Indicators - Section D'!AD$1:AD$110,MATCH('Print View'!$A169,'Coverage Indicators - Section D'!$A$1:$A$110,0)),""),"")</f>
        <v/>
      </c>
      <c r="AP169" s="13"/>
      <c r="AQ169" s="13"/>
      <c r="AR169" s="13"/>
      <c r="AS169" s="13"/>
      <c r="AT169" s="577" t="str">
        <f ca="1">CONCATENATE($A169,N$147)</f>
        <v>1131-Dec-25</v>
      </c>
      <c r="AU169" s="575" t="str">
        <f ca="1">CONCATENATE($A169,Q$147)</f>
        <v>1131-Dec-28</v>
      </c>
      <c r="AV169" s="575" t="str">
        <f>CONCATENATE($A169,V$147)</f>
        <v>11</v>
      </c>
      <c r="AW169" s="575" t="str">
        <f>CONCATENATE($A169,Y$147)</f>
        <v>11</v>
      </c>
      <c r="AX169" s="575" t="str">
        <f>CONCATENATE($A169,AB$147)</f>
        <v>11</v>
      </c>
      <c r="AY169" s="575" t="str">
        <f>CONCATENATE($A169,AE$147)</f>
        <v>11</v>
      </c>
      <c r="AZ169" s="575" t="str">
        <f>CONCATENATE($A169,AH$147)</f>
        <v>11</v>
      </c>
      <c r="BA169" s="575" t="str">
        <f>CONCATENATE($A169,AK$147)</f>
        <v>11</v>
      </c>
      <c r="BB169" s="96"/>
      <c r="BC169" s="97"/>
    </row>
    <row r="170" spans="1:55" s="16" customFormat="1" ht="88.35" customHeight="1">
      <c r="A170" s="608"/>
      <c r="B170" s="646" t="str">
        <f ca="1">IFERROR(IF(INDEX('Coverage Indicators - Section D'!AM$1:AM$110,MATCH('Print View'!$A169,'Coverage Indicators - Section D'!$A$1:$A$110,0))&lt;&gt;0,INDEX('Coverage Indicators - Section D'!AM$1:AM$110,MATCH('Print View'!$A169,'Coverage Indicators - Section D'!$A$1:$A$110,0)),""),"")</f>
        <v>Línea de Base. Paciente TB RR/MDR Captados 121 la gestión 2021.
Fuente de información: Reporte de la Unidad de Vigilancia Epidemiológica - Componente de Tuberculosis - Sistema de R&amp;R TB - Ministerio de Salud y Deportes.
Comentario. Se realizo la estimacion de captacion de casos de TB RR-MDR de acuerdo al comportamiento historico, sin tomar en cuenta la gestion 2020 por la pandemia de la COVID-19. PEN alineado a la Estrategia Fin de la Tuberculosis y al cumplimiento de las metas del mismo.
La universalizacion del GeneXpert como metodo de diagnostico inicial permitira la captacion de casos y la busqueda de casos TB-RR. Se adjunta archivo con la estimacion de casos TB-RR para el 2023-2025</v>
      </c>
      <c r="C170" s="647"/>
      <c r="D170" s="647"/>
      <c r="E170" s="647"/>
      <c r="F170" s="647"/>
      <c r="G170" s="647"/>
      <c r="H170" s="647"/>
      <c r="I170" s="647"/>
      <c r="J170" s="647"/>
      <c r="K170" s="647"/>
      <c r="L170" s="647"/>
      <c r="M170" s="647"/>
      <c r="N170" s="647"/>
      <c r="O170" s="647"/>
      <c r="P170" s="647"/>
      <c r="Q170" s="647"/>
      <c r="R170" s="647"/>
      <c r="S170" s="648"/>
      <c r="T170" s="92"/>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577"/>
      <c r="AU170" s="575"/>
      <c r="AV170" s="575"/>
      <c r="AW170" s="575"/>
      <c r="AX170" s="575"/>
      <c r="AY170" s="575"/>
      <c r="AZ170" s="575"/>
      <c r="BA170" s="575"/>
      <c r="BB170" s="96"/>
      <c r="BC170" s="97"/>
    </row>
    <row r="171" spans="1:55" s="16" customFormat="1" ht="177" customHeight="1">
      <c r="A171" s="613">
        <v>12</v>
      </c>
      <c r="B171" s="83" t="str">
        <f ca="1">IFERROR(IF(INDEX('Coverage Indicators - Section D'!B$1:B$100,MATCH('Print View'!$A171,'Coverage Indicators - Section D'!$A$1:$A$100,0))&lt;&gt;0,INDEX('Coverage Indicators - Section D'!B$1:B$100,MATCH('Print View'!$A171,'Coverage Indicators - Section D'!$A$1:$A$100,0)),""),"")</f>
        <v>Tuberculosis multirresistente</v>
      </c>
      <c r="C171" s="83" t="str">
        <f ca="1">IFERROR(IF(INDEX('Coverage Indicators - Section D'!D$1:D$100,MATCH('Print View'!$A171,'Coverage Indicators - Section D'!$A$1:$A$100,0))&lt;&gt;0,INDEX('Coverage Indicators - Section D'!D$1:D$100,MATCH('Print View'!$A171,'Coverage Indicators - Section D'!$A$1:$A$100,0)),""),"")</f>
        <v>MDR TB-3⁽ᴹ⁾ Número de casos de tuberculosis resistente a la rifampicina y/o multirresistente que empezaron a recibir tratamiento de segunda línea.</v>
      </c>
      <c r="D171" s="83" t="str">
        <f ca="1">IFERROR(IF(INDEX('Coverage Indicators - Section D'!E$1:E$100,MATCH('Print View'!$A171,'Coverage Indicators - Section D'!$A$1:$A$100,0))&lt;&gt;0,INDEX('Coverage Indicators - Section D'!E$1:E$100,MATCH('Print View'!$A171,'Coverage Indicators - Section D'!$A$1:$A$100,0)),""),"")</f>
        <v/>
      </c>
      <c r="E171" s="45" t="str">
        <f ca="1">IFERROR(IF(INDEX('Coverage Indicators - Section D'!F$1:F$100,MATCH('Print View'!$A171,'Coverage Indicators - Section D'!$A$1:$A$100,0))&lt;&gt;"",INDEX('Coverage Indicators - Section D'!F$1:F$100,MATCH('Print View'!$A171,'Coverage Indicators - Section D'!$A$1:$A$100,0)),""),"")&amp;"/"&amp;IFERROR(IF(INDEX('Coverage Indicators - Section D'!F$1:F$100,MATCH('Print View'!$A171,'Coverage Indicators - Section D'!$A$1:$A$100,0)+1)&lt;&gt;"",INDEX('Coverage Indicators - Section D'!F$1:F$100,MATCH('Print View'!$A171,'Coverage Indicators - Section D'!$A$1:$A$100,0)+1),""),"")&amp;CHAR(10)&amp;IFERROR(IF(INDEX('Coverage Indicators - Section D'!G$1:G$100,MATCH('Print View'!$A171,'Coverage Indicators - Section D'!$A$1:$A$100,0))&lt;&gt;"",FIXED(INDEX('Coverage Indicators - Section D'!G$1:G$100,MATCH('Print View'!$A171,'Coverage Indicators - Section D'!$A$1:$A$100,0))*100,2)&amp;"%",""),"")</f>
        <v xml:space="preserve">95/
</v>
      </c>
      <c r="F171" s="84" t="str">
        <f ca="1">IFERROR(IF(INDEX('Coverage Indicators - Section D'!H$1:H$100,MATCH('Print View'!$A171,'Coverage Indicators - Section D'!$A$1:$A$100,0))&lt;&gt;0,INDEX('Coverage Indicators - Section D'!H$1:H$100,MATCH('Print View'!$A171,'Coverage Indicators - Section D'!$A$1:$A$100,0)),""),"")&amp;CHAR(10)&amp;IFERROR(IF(INDEX('Coverage Indicators - Section D'!I$1:I$100,MATCH('Print View'!$A171,'Coverage Indicators - Section D'!$A$1:$A$100,0))&lt;&gt;0,INDEX('Coverage Indicators - Section D'!I$1:I$100,MATCH('Print View'!$A171,'Coverage Indicators - Section D'!$A$1:$A$100,0)),""),"")</f>
        <v>2021
Reporte de la Unidad de Vigilancia Epidemiológica - Componente de Tuberculosis - Sistema de R&amp;R TB - Ministerio de Salud y Deportes.</v>
      </c>
      <c r="G171" s="85" t="str">
        <f>IFERROR(IF(INDEX('Coverage Indicators - Section D'!J29:J58,MATCH('Print View'!$A171,'Coverage Indicators - Section D'!$A$9:$A$38,0))&lt;&gt;0,INDEX('Coverage Indicators - Section D'!J29:J58,MATCH('Print View'!$A171,'Coverage Indicators - Section D'!$A$9:$A$38,0)),""),"")</f>
        <v/>
      </c>
      <c r="H171" s="84" t="str">
        <f ca="1">IFERROR(IF(INDEX('Coverage Indicators - Section D'!K$1:K$100,MATCH('Print View'!$A171,'Coverage Indicators - Section D'!$A$1:$A$100,0))&lt;&gt;0,INDEX('Coverage Indicators - Section D'!K$1:K$100,MATCH('Print View'!$A171,'Coverage Indicators - Section D'!$A$1:$A$100,0)),""),"")</f>
        <v/>
      </c>
      <c r="I171" s="85" t="str">
        <f ca="1">IFERROR(IF(AND('Overview - Section A'!AN$5="Grant Making",OR(C171&lt;&gt;"",D171&lt;&gt;"")),Setup!I15,IF(INDEX('Coverage Indicators - Section D'!L$1:L$100,MATCH('Print View'!$A171,'Coverage Indicators - Section D'!$A$1:$A$100,0))&lt;&gt;0,INDEX('Coverage Indicators - Section D'!L$1:L$100,MATCH('Print View'!$A171,'Coverage Indicators - Section D'!$A$1:$A$100,0)),"")),"")</f>
        <v/>
      </c>
      <c r="J171" s="84" t="str">
        <f ca="1">IFERROR(IF(INDEX('Coverage Indicators - Section D'!M$1:M$100,MATCH('Print View'!$A171,'Coverage Indicators - Section D'!$A$1:$A$100,0))&lt;&gt;0,INDEX('Coverage Indicators - Section D'!M$1:M$100,MATCH('Print View'!$A171,'Coverage Indicators - Section D'!$A$1:$A$100,0)),""),"")&amp;CHAR(10)&amp;IFERROR(IF(INDEX('Coverage Indicators - Section D'!M$1:M$100,MATCH('Print View'!$A171,'Coverage Indicators - Section D'!$A$1:$A$100,0)+1)&lt;&gt;0,INDEX('Coverage Indicators - Section D'!M$1:M$100,MATCH('Print View'!$A171,'Coverage Indicators - Section D'!$A$1:$A$100,0)+1),""),"")</f>
        <v>Bolivia (Plurinational State)
Geographic National, 100% of national program target</v>
      </c>
      <c r="K171" s="84" t="str">
        <f ca="1">IFERROR(IF(INDEX('Coverage Indicators - Section D'!N$1:N$100,MATCH('Print View'!$A171,'Coverage Indicators - Section D'!$A$1:$A$100,0))&lt;&gt;0,INDEX('Coverage Indicators - Section D'!N$1:N$100,MATCH('Print View'!$A171,'Coverage Indicators - Section D'!$A$1:$A$100,0)),""),"")</f>
        <v/>
      </c>
      <c r="L171" s="88" t="str">
        <f ca="1">IFERROR(IF(INDEX('Coverage Indicators - Section D'!O$1:O$100,MATCH('Print View'!$A171,'Coverage Indicators - Section D'!$A$1:$A$100,0))&lt;&gt;"",INDEX('Coverage Indicators - Section D'!O$1:O$100,MATCH('Print View'!$A171,'Coverage Indicators - Section D'!$A$1:$A$100,0)),""),"")&amp;"/"&amp;IFERROR(IF(INDEX('Coverage Indicators - Section D'!O$1:O$100,MATCH('Print View'!$A171,'Coverage Indicators - Section D'!$A$1:$A$100,0)+1)&lt;&gt;"",INDEX('Coverage Indicators - Section D'!O$1:O$100,MATCH('Print View'!$A171,'Coverage Indicators - Section D'!$A$1:$A$100,0)+1),""),"")&amp;CHAR(10)&amp;IFERROR(IF(INDEX('Coverage Indicators - Section D'!P$1:P$100,MATCH('Print View'!$A171,'Coverage Indicators - Section D'!$A$1:$A$100,0))&lt;&gt;"",FIXED(INDEX('Coverage Indicators - Section D'!P$1:P$100,MATCH('Print View'!$A171,'Coverage Indicators - Section D'!$A$1:$A$100,0))*100,2)&amp;"%",""),"")&amp;CHAR(10)&amp;IFERROR(IF(INDEX('Coverage Indicators - Section D'!Q$1:Q$100,MATCH('Print View'!$A171,'Coverage Indicators - Section D'!$A$1:$A$100,0))&lt;&gt;"",INDEX('Coverage Indicators - Section D'!Q$1:Q$100,MATCH('Print View'!$A171,'Coverage Indicators - Section D'!$A$1:$A$100,0)),""),"")</f>
        <v xml:space="preserve">126/
</v>
      </c>
      <c r="M171" s="88" t="str">
        <f ca="1">IFERROR(IF(INDEX('Coverage Indicators - Section D'!R$1:R$100,MATCH('Print View'!$A171,'Coverage Indicators - Section D'!$A$1:$A$100,0))&lt;&gt;"",INDEX('Coverage Indicators - Section D'!R$1:R$100,MATCH('Print View'!$A171,'Coverage Indicators - Section D'!$A$1:$A$100,0)),""),"")&amp;"/"&amp;IFERROR(IF(INDEX('Coverage Indicators - Section D'!R$1:R$100,MATCH('Print View'!$A171,'Coverage Indicators - Section D'!$A$1:$A$100,0)+1)&lt;&gt;"",INDEX('Coverage Indicators - Section D'!R$1:R$100,MATCH('Print View'!$A171,'Coverage Indicators - Section D'!$A$1:$A$100,0)+1),""),"")&amp;CHAR(10)&amp;IFERROR(IF(INDEX('Coverage Indicators - Section D'!S$1:S$100,MATCH('Print View'!$A171,'Coverage Indicators - Section D'!$A$1:$A$100,0))&lt;&gt;"",FIXED(INDEX('Coverage Indicators - Section D'!S$1:S$100,MATCH('Print View'!$A171,'Coverage Indicators - Section D'!$A$1:$A$100,0))*100,2)&amp;"%",""),"")&amp;CHAR(10)&amp;IFERROR(IF(INDEX('Coverage Indicators - Section D'!T$1:T$100,MATCH('Print View'!$A171,'Coverage Indicators - Section D'!$A$1:$A$100,0))&lt;&gt;"",INDEX('Coverage Indicators - Section D'!T$1:T$100,MATCH('Print View'!$A171,'Coverage Indicators - Section D'!$A$1:$A$100,0)),""),"")</f>
        <v xml:space="preserve">154/
</v>
      </c>
      <c r="N171" s="88" t="str">
        <f ca="1">IFERROR(IF(INDEX('Coverage Indicators - Section D'!U$1:U$100,MATCH('Print View'!$A171,'Coverage Indicators - Section D'!$A$1:$A$100,0))&lt;&gt;"",INDEX('Coverage Indicators - Section D'!U$1:U$100,MATCH('Print View'!$A171,'Coverage Indicators - Section D'!$A$1:$A$100,0)),""),"")&amp;"/"&amp;IFERROR(IF(INDEX('Coverage Indicators - Section D'!U$1:U$100,MATCH('Print View'!$A171,'Coverage Indicators - Section D'!$A$1:$A$100,0)+1)&lt;&gt;"",INDEX('Coverage Indicators - Section D'!U$1:U$100,MATCH('Print View'!$A171,'Coverage Indicators - Section D'!$A$1:$A$100,0)+1),""),"")&amp;CHAR(10)&amp;IFERROR(IF(INDEX('Coverage Indicators - Section D'!V$1:V$100,MATCH('Print View'!$A171,'Coverage Indicators - Section D'!$A$1:$A$100,0))&lt;&gt;"",FIXED(INDEX('Coverage Indicators - Section D'!V$1:V$100,MATCH('Print View'!$A171,'Coverage Indicators - Section D'!$A$1:$A$100,0))*100,2)&amp;"%",""),"")&amp;CHAR(10)&amp;IFERROR(IF(INDEX('Coverage Indicators - Section D'!W$1:W$100,MATCH('Print View'!$A171,'Coverage Indicators - Section D'!$A$1:$A$100,0))&lt;&gt;"",INDEX('Coverage Indicators - Section D'!W$1:W$100,MATCH('Print View'!$A171,'Coverage Indicators - Section D'!$A$1:$A$100,0)),""),"")</f>
        <v xml:space="preserve">183/
</v>
      </c>
      <c r="O171" s="88" t="str">
        <f ca="1">IFERROR(IF(INDEX('Coverage Indicators - Section D'!X$1:X$100,MATCH('Print View'!$A171,'Coverage Indicators - Section D'!$A$1:$A$100,0))&lt;&gt;"",INDEX('Coverage Indicators - Section D'!X$1:X$100,MATCH('Print View'!$A171,'Coverage Indicators - Section D'!$A$1:$A$100,0)),""),"")&amp;"/"&amp;IFERROR(IF(INDEX('Coverage Indicators - Section D'!X$1:X$100,MATCH('Print View'!$A171,'Coverage Indicators - Section D'!$A$1:$A$100,0)+1)&lt;&gt;"",INDEX('Coverage Indicators - Section D'!X$1:X$100,MATCH('Print View'!$A171,'Coverage Indicators - Section D'!$A$1:$A$100,0)+1),""),"")&amp;CHAR(10)&amp;IFERROR(IF(INDEX('Coverage Indicators - Section D'!Y$1:Y$100,MATCH('Print View'!$A171,'Coverage Indicators - Section D'!$A$1:$A$100,0))&lt;&gt;"",FIXED(INDEX('Coverage Indicators - Section D'!Y$1:Y$100,MATCH('Print View'!$A171,'Coverage Indicators - Section D'!$A$1:$A$100,0))*100,2)&amp;"%",""),"")&amp;CHAR(10)&amp;IFERROR(IF(INDEX('Coverage Indicators - Section D'!Z$1:Z$100,MATCH('Print View'!$A171,'Coverage Indicators - Section D'!$A$1:$A$100,0))&lt;&gt;"",INDEX('Coverage Indicators - Section D'!Z$1:Z$100,MATCH('Print View'!$A171,'Coverage Indicators - Section D'!$A$1:$A$100,0)),""),"")</f>
        <v xml:space="preserve">/
</v>
      </c>
      <c r="P171" s="88" t="str">
        <f ca="1">IFERROR(IF(INDEX('Coverage Indicators - Section D'!AA$1:AA$100,MATCH('Print View'!$A171,'Coverage Indicators - Section D'!$A$1:$A$100,0))&lt;&gt;"",INDEX('Coverage Indicators - Section D'!AA$1:AA$100,MATCH('Print View'!$A171,'Coverage Indicators - Section D'!$A$1:$A$100,0)),""),"")&amp;"/"&amp;IFERROR(IF(INDEX('Coverage Indicators - Section D'!AA$1:AA$100,MATCH('Print View'!$A171,'Coverage Indicators - Section D'!$A$1:$A$100,0)+1)&lt;&gt;"",INDEX('Coverage Indicators - Section D'!AA$1:AA$100,MATCH('Print View'!$A171,'Coverage Indicators - Section D'!$A$1:$A$100,0)+1),""),"")&amp;CHAR(10)&amp;IFERROR(IF(INDEX('Coverage Indicators - Section D'!AB$1:AB$100,MATCH('Print View'!$A171,'Coverage Indicators - Section D'!$A$1:$A$100,0))&lt;&gt;"",FIXED(INDEX('Coverage Indicators - Section D'!AB$1:AB$100,MATCH('Print View'!$A171,'Coverage Indicators - Section D'!$A$1:$A$100,0))*100,2)&amp;"%",""),"")&amp;CHAR(10)&amp;IFERROR(IF(INDEX('Coverage Indicators - Section D'!AC$1:AC$100,MATCH('Print View'!$A171,'Coverage Indicators - Section D'!$A$1:$A$100,0))&lt;&gt;"",INDEX('Coverage Indicators - Section D'!AC$1:AC$100,MATCH('Print View'!$A171,'Coverage Indicators - Section D'!$A$1:$A$100,0)),""),"")</f>
        <v xml:space="preserve">/
</v>
      </c>
      <c r="Q171" s="88" t="str">
        <f ca="1">IFERROR(IF(INDEX('Coverage Indicators - Section D'!AD$1:AD$100,MATCH('Print View'!$A171,'Coverage Indicators - Section D'!$A$1:$A$100,0))&lt;&gt;"",INDEX('Coverage Indicators - Section D'!AD$1:AD$100,MATCH('Print View'!$A171,'Coverage Indicators - Section D'!$A$1:$A$100,0)),""),"")&amp;"/"&amp;IFERROR(IF(INDEX('Coverage Indicators - Section D'!AD$1:AD$100,MATCH('Print View'!$A171,'Coverage Indicators - Section D'!$A$1:$A$100,0)+1)&lt;&gt;"",INDEX('Coverage Indicators - Section D'!AD$1:AD$100,MATCH('Print View'!$A171,'Coverage Indicators - Section D'!$A$1:$A$100,0)+1),""),"")&amp;CHAR(10)&amp;IFERROR(IF(INDEX('Coverage Indicators - Section D'!AE$1:AE$100,MATCH('Print View'!$A171,'Coverage Indicators - Section D'!$A$1:$A$100,0))&lt;&gt;"",FIXED(INDEX('Coverage Indicators - Section D'!AE$1:AE$100,MATCH('Print View'!$A171,'Coverage Indicators - Section D'!$A$1:$A$100,0))*100,2)&amp;"%",""),"")&amp;CHAR(10)&amp;IFERROR(IF(INDEX('Coverage Indicators - Section D'!AF$1:AF$100,MATCH('Print View'!$A171,'Coverage Indicators - Section D'!$A$1:$A$100,0))&lt;&gt;"",INDEX('Coverage Indicators - Section D'!AF$1:AF$100,MATCH('Print View'!$A171,'Coverage Indicators - Section D'!$A$1:$A$100,0)),""),"")</f>
        <v xml:space="preserve">/
</v>
      </c>
      <c r="R171" s="88" t="str">
        <f ca="1">IFERROR(IF(INDEX('Coverage Indicators - Section D'!AG$1:AG$100,MATCH('Print View'!$A171,'Coverage Indicators - Section D'!$A$1:$A$100,0))&lt;&gt;"",INDEX('Coverage Indicators - Section D'!AG$1:AG$100,MATCH('Print View'!$A171,'Coverage Indicators - Section D'!$A$1:$A$100,0)),""),"")&amp;"/"&amp;IFERROR(IF(INDEX('Coverage Indicators - Section D'!AG$1:AG$100,MATCH('Print View'!$A171,'Coverage Indicators - Section D'!$A$1:$A$100,0)+1)&lt;&gt;"",INDEX('Coverage Indicators - Section D'!AG$1:AG$100,MATCH('Print View'!$A171,'Coverage Indicators - Section D'!$A$1:$A$100,0)+1),""),"")&amp;CHAR(10)&amp;IFERROR(IF(INDEX('Coverage Indicators - Section D'!AH$1:AH$100,MATCH('Print View'!$A171,'Coverage Indicators - Section D'!$A$1:$A$100,0))&lt;&gt;"",FIXED(INDEX('Coverage Indicators - Section D'!AH$1:AH$100,MATCH('Print View'!$A171,'Coverage Indicators - Section D'!$A$1:$A$100,0))*100,2)&amp;"%",""),"")&amp;CHAR(10)&amp;IFERROR(IF(INDEX('Coverage Indicators - Section D'!AI$1:AI$100,MATCH('Print View'!$A171,'Coverage Indicators - Section D'!$A$1:$A$100,0))&lt;&gt;"",INDEX('Coverage Indicators - Section D'!AI$1:AI$100,MATCH('Print View'!$A171,'Coverage Indicators - Section D'!$A$1:$A$100,0)),""),"")</f>
        <v xml:space="preserve">/
</v>
      </c>
      <c r="S171" s="88" t="str">
        <f ca="1">IFERROR(IF(INDEX('Coverage Indicators - Section D'!AJ$1:AJ$100,MATCH('Print View'!$A171,'Coverage Indicators - Section D'!$A$1:$A$100,0))&lt;&gt;"",INDEX('Coverage Indicators - Section D'!AJ$1:AJ$100,MATCH('Print View'!$A171,'Coverage Indicators - Section D'!$A$1:$A$100,0)),""),"")&amp;"/"&amp;IFERROR(IF(INDEX('Coverage Indicators - Section D'!AJ$1:AJ$100,MATCH('Print View'!$A171,'Coverage Indicators - Section D'!$A$1:$A$100,0)+1)&lt;&gt;"",INDEX('Coverage Indicators - Section D'!AJ$1:AJ$100,MATCH('Print View'!$A171,'Coverage Indicators - Section D'!$A$1:$A$100,0)+1),""),"")&amp;CHAR(10)&amp;IFERROR(IF(INDEX('Coverage Indicators - Section D'!AK$1:AK$100,MATCH('Print View'!$A171,'Coverage Indicators - Section D'!$A$1:$A$100,0))&lt;&gt;"",FIXED(INDEX('Coverage Indicators - Section D'!AK$1:AK$100,MATCH('Print View'!$A171,'Coverage Indicators - Section D'!$A$1:$A$100,0))*100,2)&amp;"%",""),"")&amp;CHAR(10)&amp;IFERROR(IF(INDEX('Coverage Indicators - Section D'!AL$1:AL$100,MATCH('Print View'!$A171,'Coverage Indicators - Section D'!$A$1:$A$100,0))&lt;&gt;"",INDEX('Coverage Indicators - Section D'!AL$1:AL$100,MATCH('Print View'!$A171,'Coverage Indicators - Section D'!$A$1:$A$100,0)),""),"")</f>
        <v xml:space="preserve">/
</v>
      </c>
      <c r="T171" s="93"/>
      <c r="U171" s="13"/>
      <c r="V171" s="13"/>
      <c r="W171" s="13"/>
      <c r="X171" s="13"/>
      <c r="Y171" s="13"/>
      <c r="Z171" s="13"/>
      <c r="AA171" s="13"/>
      <c r="AB171" s="13"/>
      <c r="AC171" s="13"/>
      <c r="AD171" s="13"/>
      <c r="AE171" s="13"/>
      <c r="AF171" s="13"/>
      <c r="AG171" s="13"/>
      <c r="AH171" s="13"/>
      <c r="AI171" s="13"/>
      <c r="AJ171" s="13"/>
      <c r="AK171" s="13"/>
      <c r="AL171" s="13"/>
      <c r="AM171" s="13"/>
      <c r="AN171" s="13"/>
      <c r="AO171" s="13" t="str">
        <f ca="1">IFERROR(IF(INDEX('Coverage Indicators - Section D'!AD$1:AD$110,MATCH('Print View'!$A171,'Coverage Indicators - Section D'!$A$1:$A$110,0))&lt;&gt;0,INDEX('Coverage Indicators - Section D'!AD$1:AD$110,MATCH('Print View'!$A171,'Coverage Indicators - Section D'!$A$1:$A$110,0)),""),"")</f>
        <v/>
      </c>
      <c r="AP171" s="13"/>
      <c r="AQ171" s="13"/>
      <c r="AR171" s="13"/>
      <c r="AS171" s="13"/>
      <c r="AT171" s="577" t="str">
        <f ca="1">CONCATENATE($A171,N$147)</f>
        <v>1231-Dec-25</v>
      </c>
      <c r="AU171" s="575" t="str">
        <f ca="1">CONCATENATE($A171,Q$147)</f>
        <v>1231-Dec-28</v>
      </c>
      <c r="AV171" s="575" t="str">
        <f>CONCATENATE($A171,V$147)</f>
        <v>12</v>
      </c>
      <c r="AW171" s="575" t="str">
        <f>CONCATENATE($A171,Y$147)</f>
        <v>12</v>
      </c>
      <c r="AX171" s="575" t="str">
        <f>CONCATENATE($A171,AB$147)</f>
        <v>12</v>
      </c>
      <c r="AY171" s="575" t="str">
        <f>CONCATENATE($A171,AE$147)</f>
        <v>12</v>
      </c>
      <c r="AZ171" s="575" t="str">
        <f>CONCATENATE($A171,AH$147)</f>
        <v>12</v>
      </c>
      <c r="BA171" s="575" t="str">
        <f>CONCATENATE($A171,AK$147)</f>
        <v>12</v>
      </c>
      <c r="BB171" s="96"/>
      <c r="BC171" s="97"/>
    </row>
    <row r="172" spans="1:55" s="16" customFormat="1" ht="88.35" customHeight="1">
      <c r="A172" s="613"/>
      <c r="B172" s="630" t="str">
        <f ca="1">IFERROR(IF(INDEX('Coverage Indicators - Section D'!AM$1:AM$110,MATCH('Print View'!$A171,'Coverage Indicators - Section D'!$A$1:$A$110,0))&lt;&gt;0,INDEX('Coverage Indicators - Section D'!AM$1:AM$110,MATCH('Print View'!$A171,'Coverage Indicators - Section D'!$A$1:$A$110,0)),""),"")</f>
        <v xml:space="preserve">Línea de Base. Paciente TB RR/MDR que iniciaron tratamiento 95 Gestión 2021.
Fuente de información: Reporte de la Unidad de Vigilancia Epidemiológica - Componente de Tuberculosis - Sistema de R&amp;R TB - Ministerio de Salud y Deportes.
Comentario. Con este indicador estamos midiendo la capacidad del programa nacional para garantizar que todos los pacientes en los que se detecta RR-TB o MDR-TB reciban el tratamiento adecuado en el menor tiempo posible.  Por esta razón el desempeño de este indicador será evaluado en base al resultado del indicador MDR TB-2. La implementación del esquema oral en los pacientes TB-DR a partir de la gestion 2022, ayudara a la adherencia del tratamiento y el éxito del mismo en los pacientes al ser un tratamiento menos agresivo para el paciente.
</v>
      </c>
      <c r="C172" s="631"/>
      <c r="D172" s="631"/>
      <c r="E172" s="631"/>
      <c r="F172" s="631"/>
      <c r="G172" s="631"/>
      <c r="H172" s="631"/>
      <c r="I172" s="632"/>
      <c r="J172" s="632"/>
      <c r="K172" s="632"/>
      <c r="L172" s="632"/>
      <c r="M172" s="632"/>
      <c r="N172" s="632"/>
      <c r="O172" s="632"/>
      <c r="P172" s="632"/>
      <c r="Q172" s="632"/>
      <c r="R172" s="632"/>
      <c r="S172" s="633"/>
      <c r="T172" s="94"/>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577"/>
      <c r="AU172" s="575"/>
      <c r="AV172" s="575"/>
      <c r="AW172" s="575"/>
      <c r="AX172" s="575"/>
      <c r="AY172" s="575"/>
      <c r="AZ172" s="575"/>
      <c r="BA172" s="575"/>
      <c r="BB172" s="96"/>
      <c r="BC172" s="97"/>
    </row>
    <row r="173" spans="1:55" s="16" customFormat="1" ht="177" customHeight="1">
      <c r="A173" s="608">
        <v>13</v>
      </c>
      <c r="B173" s="80" t="str">
        <f ca="1">IFERROR(IF(INDEX('Coverage Indicators - Section D'!B$1:B$100,MATCH('Print View'!$A173,'Coverage Indicators - Section D'!$A$1:$A$100,0))&lt;&gt;0,INDEX('Coverage Indicators - Section D'!B$1:B$100,MATCH('Print View'!$A173,'Coverage Indicators - Section D'!$A$1:$A$100,0)),""),"")</f>
        <v/>
      </c>
      <c r="C173" s="80" t="str">
        <f ca="1">IFERROR(IF(INDEX('Coverage Indicators - Section D'!D$1:D$100,MATCH('Print View'!$A173,'Coverage Indicators - Section D'!$A$1:$A$100,0))&lt;&gt;0,INDEX('Coverage Indicators - Section D'!D$1:D$100,MATCH('Print View'!$A173,'Coverage Indicators - Section D'!$A$1:$A$100,0)),""),"")</f>
        <v/>
      </c>
      <c r="D173" s="80" t="str">
        <f ca="1">IFERROR(IF(INDEX('Coverage Indicators - Section D'!E$1:E$100,MATCH('Print View'!$A173,'Coverage Indicators - Section D'!$A$1:$A$100,0))&lt;&gt;0,INDEX('Coverage Indicators - Section D'!E$1:E$100,MATCH('Print View'!$A173,'Coverage Indicators - Section D'!$A$1:$A$100,0)),""),"")</f>
        <v/>
      </c>
      <c r="E173" s="81" t="str">
        <f ca="1">IFERROR(IF(INDEX('Coverage Indicators - Section D'!F$1:F$100,MATCH('Print View'!$A173,'Coverage Indicators - Section D'!$A$1:$A$100,0))&lt;&gt;"",INDEX('Coverage Indicators - Section D'!F$1:F$100,MATCH('Print View'!$A173,'Coverage Indicators - Section D'!$A$1:$A$100,0)),""),"")&amp;"/"&amp;IFERROR(IF(INDEX('Coverage Indicators - Section D'!F$1:F$100,MATCH('Print View'!$A173,'Coverage Indicators - Section D'!$A$1:$A$100,0)+1)&lt;&gt;"",INDEX('Coverage Indicators - Section D'!F$1:F$100,MATCH('Print View'!$A173,'Coverage Indicators - Section D'!$A$1:$A$100,0)+1),""),"")&amp;CHAR(10)&amp;IFERROR(IF(INDEX('Coverage Indicators - Section D'!G$1:G$100,MATCH('Print View'!$A173,'Coverage Indicators - Section D'!$A$1:$A$100,0))&lt;&gt;"",FIXED(INDEX('Coverage Indicators - Section D'!G$1:G$100,MATCH('Print View'!$A173,'Coverage Indicators - Section D'!$A$1:$A$100,0))*100,2)&amp;"%",""),"")</f>
        <v xml:space="preserve">/
</v>
      </c>
      <c r="F173" s="82" t="str">
        <f ca="1">IFERROR(IF(INDEX('Coverage Indicators - Section D'!H$1:H$100,MATCH('Print View'!$A173,'Coverage Indicators - Section D'!$A$1:$A$100,0))&lt;&gt;0,INDEX('Coverage Indicators - Section D'!H$1:H$100,MATCH('Print View'!$A173,'Coverage Indicators - Section D'!$A$1:$A$100,0)),""),"")&amp;CHAR(10)&amp;IFERROR(IF(INDEX('Coverage Indicators - Section D'!I$1:I$100,MATCH('Print View'!$A173,'Coverage Indicators - Section D'!$A$1:$A$100,0))&lt;&gt;0,INDEX('Coverage Indicators - Section D'!I$1:I$100,MATCH('Print View'!$A173,'Coverage Indicators - Section D'!$A$1:$A$100,0)),""),"")</f>
        <v xml:space="preserve">
</v>
      </c>
      <c r="G173" s="41" t="str">
        <f>IFERROR(IF(INDEX('Coverage Indicators - Section D'!J33:J62,MATCH('Print View'!$A173,'Coverage Indicators - Section D'!$A$9:$A$38,0))&lt;&gt;0,INDEX('Coverage Indicators - Section D'!J33:J62,MATCH('Print View'!$A173,'Coverage Indicators - Section D'!$A$9:$A$38,0)),""),"")</f>
        <v/>
      </c>
      <c r="H173" s="42" t="str">
        <f ca="1">IFERROR(IF(INDEX('Coverage Indicators - Section D'!K$1:K$100,MATCH('Print View'!$A173,'Coverage Indicators - Section D'!$A$1:$A$100,0))&lt;&gt;0,INDEX('Coverage Indicators - Section D'!K$1:K$100,MATCH('Print View'!$A173,'Coverage Indicators - Section D'!$A$1:$A$100,0)),""),"")</f>
        <v/>
      </c>
      <c r="I173" s="41" t="str">
        <f ca="1">IFERROR(IF(AND('Overview - Section A'!AN$5="Grant Making",OR(C173&lt;&gt;"",D173&lt;&gt;"")),Setup!I15,IF(INDEX('Coverage Indicators - Section D'!L$1:L$100,MATCH('Print View'!$A173,'Coverage Indicators - Section D'!$A$1:$A$100,0))&lt;&gt;0,INDEX('Coverage Indicators - Section D'!L$1:L$100,MATCH('Print View'!$A173,'Coverage Indicators - Section D'!$A$1:$A$100,0)),"")),"")</f>
        <v/>
      </c>
      <c r="J173" s="81" t="str">
        <f ca="1">IFERROR(IF(INDEX('Coverage Indicators - Section D'!M$1:M$100,MATCH('Print View'!$A173,'Coverage Indicators - Section D'!$A$1:$A$100,0))&lt;&gt;0,INDEX('Coverage Indicators - Section D'!M$1:M$100,MATCH('Print View'!$A173,'Coverage Indicators - Section D'!$A$1:$A$100,0)),""),"")&amp;CHAR(10)&amp;IFERROR(IF(INDEX('Coverage Indicators - Section D'!M$1:M$100,MATCH('Print View'!$A173,'Coverage Indicators - Section D'!$A$1:$A$100,0)+1)&lt;&gt;0,INDEX('Coverage Indicators - Section D'!M$1:M$100,MATCH('Print View'!$A173,'Coverage Indicators - Section D'!$A$1:$A$100,0)+1),""),"")</f>
        <v xml:space="preserve">
</v>
      </c>
      <c r="K173" s="81" t="str">
        <f ca="1">IFERROR(IF(INDEX('Coverage Indicators - Section D'!N$1:N$100,MATCH('Print View'!$A173,'Coverage Indicators - Section D'!$A$1:$A$100,0))&lt;&gt;0,INDEX('Coverage Indicators - Section D'!N$1:N$100,MATCH('Print View'!$A173,'Coverage Indicators - Section D'!$A$1:$A$100,0)),""),"")</f>
        <v/>
      </c>
      <c r="L173" s="81" t="str">
        <f ca="1">IFERROR(IF(INDEX('Coverage Indicators - Section D'!O$1:O$100,MATCH('Print View'!$A173,'Coverage Indicators - Section D'!$A$1:$A$100,0))&lt;&gt;"",INDEX('Coverage Indicators - Section D'!O$1:O$100,MATCH('Print View'!$A173,'Coverage Indicators - Section D'!$A$1:$A$100,0)),""),"")&amp;"/"&amp;IFERROR(IF(INDEX('Coverage Indicators - Section D'!O$1:O$100,MATCH('Print View'!$A173,'Coverage Indicators - Section D'!$A$1:$A$100,0)+1)&lt;&gt;"",INDEX('Coverage Indicators - Section D'!O$1:O$100,MATCH('Print View'!$A173,'Coverage Indicators - Section D'!$A$1:$A$100,0)+1),""),"")&amp;CHAR(10)&amp;IFERROR(IF(INDEX('Coverage Indicators - Section D'!P$1:P$100,MATCH('Print View'!$A173,'Coverage Indicators - Section D'!$A$1:$A$100,0))&lt;&gt;"",FIXED(INDEX('Coverage Indicators - Section D'!P$1:P$100,MATCH('Print View'!$A173,'Coverage Indicators - Section D'!$A$1:$A$100,0))*100,2)&amp;"%",""),"")&amp;CHAR(10)&amp;IFERROR(IF(INDEX('Coverage Indicators - Section D'!Q$1:Q$100,MATCH('Print View'!$A173,'Coverage Indicators - Section D'!$A$1:$A$100,0))&lt;&gt;"",INDEX('Coverage Indicators - Section D'!Q$1:Q$100,MATCH('Print View'!$A173,'Coverage Indicators - Section D'!$A$1:$A$100,0)),""),"")</f>
        <v xml:space="preserve">/
</v>
      </c>
      <c r="M173" s="82" t="str">
        <f ca="1">IFERROR(IF(INDEX('Coverage Indicators - Section D'!R$1:R$100,MATCH('Print View'!$A173,'Coverage Indicators - Section D'!$A$1:$A$100,0))&lt;&gt;"",INDEX('Coverage Indicators - Section D'!R$1:R$100,MATCH('Print View'!$A173,'Coverage Indicators - Section D'!$A$1:$A$100,0)),""),"")&amp;"/"&amp;IFERROR(IF(INDEX('Coverage Indicators - Section D'!R$1:R$100,MATCH('Print View'!$A173,'Coverage Indicators - Section D'!$A$1:$A$100,0)+1)&lt;&gt;"",INDEX('Coverage Indicators - Section D'!R$1:R$100,MATCH('Print View'!$A173,'Coverage Indicators - Section D'!$A$1:$A$100,0)+1),""),"")&amp;CHAR(10)&amp;IFERROR(IF(INDEX('Coverage Indicators - Section D'!S$1:S$100,MATCH('Print View'!$A173,'Coverage Indicators - Section D'!$A$1:$A$100,0))&lt;&gt;"",FIXED(INDEX('Coverage Indicators - Section D'!S$1:S$100,MATCH('Print View'!$A173,'Coverage Indicators - Section D'!$A$1:$A$100,0))*100,2)&amp;"%",""),"")&amp;CHAR(10)&amp;IFERROR(IF(INDEX('Coverage Indicators - Section D'!T$1:T$100,MATCH('Print View'!$A173,'Coverage Indicators - Section D'!$A$1:$A$100,0))&lt;&gt;"",INDEX('Coverage Indicators - Section D'!T$1:T$100,MATCH('Print View'!$A173,'Coverage Indicators - Section D'!$A$1:$A$100,0)),""),"")</f>
        <v xml:space="preserve">/
</v>
      </c>
      <c r="N173" s="81" t="str">
        <f ca="1">IFERROR(IF(INDEX('Coverage Indicators - Section D'!U$1:U$100,MATCH('Print View'!$A173,'Coverage Indicators - Section D'!$A$1:$A$100,0))&lt;&gt;"",INDEX('Coverage Indicators - Section D'!U$1:U$100,MATCH('Print View'!$A173,'Coverage Indicators - Section D'!$A$1:$A$100,0)),""),"")&amp;"/"&amp;IFERROR(IF(INDEX('Coverage Indicators - Section D'!U$1:U$100,MATCH('Print View'!$A173,'Coverage Indicators - Section D'!$A$1:$A$100,0)+1)&lt;&gt;"",INDEX('Coverage Indicators - Section D'!U$1:U$100,MATCH('Print View'!$A173,'Coverage Indicators - Section D'!$A$1:$A$100,0)+1),""),"")&amp;CHAR(10)&amp;IFERROR(IF(INDEX('Coverage Indicators - Section D'!V$1:V$100,MATCH('Print View'!$A173,'Coverage Indicators - Section D'!$A$1:$A$100,0))&lt;&gt;"",FIXED(INDEX('Coverage Indicators - Section D'!V$1:V$100,MATCH('Print View'!$A173,'Coverage Indicators - Section D'!$A$1:$A$100,0))*100,2)&amp;"%",""),"")&amp;CHAR(10)&amp;IFERROR(IF(INDEX('Coverage Indicators - Section D'!W$1:W$100,MATCH('Print View'!$A173,'Coverage Indicators - Section D'!$A$1:$A$100,0))&lt;&gt;"",INDEX('Coverage Indicators - Section D'!W$1:W$100,MATCH('Print View'!$A173,'Coverage Indicators - Section D'!$A$1:$A$100,0)),""),"")</f>
        <v xml:space="preserve">/
</v>
      </c>
      <c r="O173" s="82" t="str">
        <f ca="1">IFERROR(IF(INDEX('Coverage Indicators - Section D'!X$1:X$100,MATCH('Print View'!$A173,'Coverage Indicators - Section D'!$A$1:$A$100,0))&lt;&gt;"",INDEX('Coverage Indicators - Section D'!X$1:X$100,MATCH('Print View'!$A173,'Coverage Indicators - Section D'!$A$1:$A$100,0)),""),"")&amp;"/"&amp;IFERROR(IF(INDEX('Coverage Indicators - Section D'!X$1:X$100,MATCH('Print View'!$A173,'Coverage Indicators - Section D'!$A$1:$A$100,0)+1)&lt;&gt;"",INDEX('Coverage Indicators - Section D'!X$1:X$100,MATCH('Print View'!$A173,'Coverage Indicators - Section D'!$A$1:$A$100,0)+1),""),"")&amp;CHAR(10)&amp;IFERROR(IF(INDEX('Coverage Indicators - Section D'!Y$1:Y$100,MATCH('Print View'!$A173,'Coverage Indicators - Section D'!$A$1:$A$100,0))&lt;&gt;"",FIXED(INDEX('Coverage Indicators - Section D'!Y$1:Y$100,MATCH('Print View'!$A173,'Coverage Indicators - Section D'!$A$1:$A$100,0))*100,2)&amp;"%",""),"")&amp;CHAR(10)&amp;IFERROR(IF(INDEX('Coverage Indicators - Section D'!Z$1:Z$100,MATCH('Print View'!$A173,'Coverage Indicators - Section D'!$A$1:$A$100,0))&lt;&gt;"",INDEX('Coverage Indicators - Section D'!Z$1:Z$100,MATCH('Print View'!$A173,'Coverage Indicators - Section D'!$A$1:$A$100,0)),""),"")</f>
        <v xml:space="preserve">/
</v>
      </c>
      <c r="P173" s="82" t="str">
        <f ca="1">IFERROR(IF(INDEX('Coverage Indicators - Section D'!AA$1:AA$100,MATCH('Print View'!$A173,'Coverage Indicators - Section D'!$A$1:$A$100,0))&lt;&gt;"",INDEX('Coverage Indicators - Section D'!AA$1:AA$100,MATCH('Print View'!$A173,'Coverage Indicators - Section D'!$A$1:$A$100,0)),""),"")&amp;"/"&amp;IFERROR(IF(INDEX('Coverage Indicators - Section D'!AA$1:AA$100,MATCH('Print View'!$A173,'Coverage Indicators - Section D'!$A$1:$A$100,0)+1)&lt;&gt;"",INDEX('Coverage Indicators - Section D'!AA$1:AA$100,MATCH('Print View'!$A173,'Coverage Indicators - Section D'!$A$1:$A$100,0)+1),""),"")&amp;CHAR(10)&amp;IFERROR(IF(INDEX('Coverage Indicators - Section D'!AB$1:AB$100,MATCH('Print View'!$A173,'Coverage Indicators - Section D'!$A$1:$A$100,0))&lt;&gt;"",FIXED(INDEX('Coverage Indicators - Section D'!AB$1:AB$100,MATCH('Print View'!$A173,'Coverage Indicators - Section D'!$A$1:$A$100,0))*100,2)&amp;"%",""),"")&amp;CHAR(10)&amp;IFERROR(IF(INDEX('Coverage Indicators - Section D'!AC$1:AC$100,MATCH('Print View'!$A173,'Coverage Indicators - Section D'!$A$1:$A$100,0))&lt;&gt;"",INDEX('Coverage Indicators - Section D'!AC$1:AC$100,MATCH('Print View'!$A173,'Coverage Indicators - Section D'!$A$1:$A$100,0)),""),"")</f>
        <v xml:space="preserve">/
</v>
      </c>
      <c r="Q173" s="82" t="str">
        <f ca="1">IFERROR(IF(INDEX('Coverage Indicators - Section D'!AD$1:AD$100,MATCH('Print View'!$A173,'Coverage Indicators - Section D'!$A$1:$A$100,0))&lt;&gt;"",INDEX('Coverage Indicators - Section D'!AD$1:AD$100,MATCH('Print View'!$A173,'Coverage Indicators - Section D'!$A$1:$A$100,0)),""),"")&amp;"/"&amp;IFERROR(IF(INDEX('Coverage Indicators - Section D'!AD$1:AD$100,MATCH('Print View'!$A173,'Coverage Indicators - Section D'!$A$1:$A$100,0)+1)&lt;&gt;"",INDEX('Coverage Indicators - Section D'!AD$1:AD$100,MATCH('Print View'!$A173,'Coverage Indicators - Section D'!$A$1:$A$100,0)+1),""),"")&amp;CHAR(10)&amp;IFERROR(IF(INDEX('Coverage Indicators - Section D'!AE$1:AE$100,MATCH('Print View'!$A173,'Coverage Indicators - Section D'!$A$1:$A$100,0))&lt;&gt;"",FIXED(INDEX('Coverage Indicators - Section D'!AE$1:AE$100,MATCH('Print View'!$A173,'Coverage Indicators - Section D'!$A$1:$A$100,0))*100,2)&amp;"%",""),"")&amp;CHAR(10)&amp;IFERROR(IF(INDEX('Coverage Indicators - Section D'!AF$1:AF$100,MATCH('Print View'!$A173,'Coverage Indicators - Section D'!$A$1:$A$100,0))&lt;&gt;"",INDEX('Coverage Indicators - Section D'!AF$1:AF$100,MATCH('Print View'!$A173,'Coverage Indicators - Section D'!$A$1:$A$100,0)),""),"")</f>
        <v xml:space="preserve">/
</v>
      </c>
      <c r="R173" s="82" t="str">
        <f ca="1">IFERROR(IF(INDEX('Coverage Indicators - Section D'!AG$1:AG$100,MATCH('Print View'!$A173,'Coverage Indicators - Section D'!$A$1:$A$100,0))&lt;&gt;"",INDEX('Coverage Indicators - Section D'!AG$1:AG$100,MATCH('Print View'!$A173,'Coverage Indicators - Section D'!$A$1:$A$100,0)),""),"")&amp;"/"&amp;IFERROR(IF(INDEX('Coverage Indicators - Section D'!AG$1:AG$100,MATCH('Print View'!$A173,'Coverage Indicators - Section D'!$A$1:$A$100,0)+1)&lt;&gt;"",INDEX('Coverage Indicators - Section D'!AG$1:AG$100,MATCH('Print View'!$A173,'Coverage Indicators - Section D'!$A$1:$A$100,0)+1),""),"")&amp;CHAR(10)&amp;IFERROR(IF(INDEX('Coverage Indicators - Section D'!AH$1:AH$100,MATCH('Print View'!$A173,'Coverage Indicators - Section D'!$A$1:$A$100,0))&lt;&gt;"",FIXED(INDEX('Coverage Indicators - Section D'!AH$1:AH$100,MATCH('Print View'!$A173,'Coverage Indicators - Section D'!$A$1:$A$100,0))*100,2)&amp;"%",""),"")&amp;CHAR(10)&amp;IFERROR(IF(INDEX('Coverage Indicators - Section D'!AI$1:AI$100,MATCH('Print View'!$A173,'Coverage Indicators - Section D'!$A$1:$A$100,0))&lt;&gt;"",INDEX('Coverage Indicators - Section D'!AI$1:AI$100,MATCH('Print View'!$A173,'Coverage Indicators - Section D'!$A$1:$A$100,0)),""),"")</f>
        <v xml:space="preserve">/
</v>
      </c>
      <c r="S173" s="82" t="str">
        <f ca="1">IFERROR(IF(INDEX('Coverage Indicators - Section D'!AJ$1:AJ$100,MATCH('Print View'!$A173,'Coverage Indicators - Section D'!$A$1:$A$100,0))&lt;&gt;"",INDEX('Coverage Indicators - Section D'!AJ$1:AJ$100,MATCH('Print View'!$A173,'Coverage Indicators - Section D'!$A$1:$A$100,0)),""),"")&amp;"/"&amp;IFERROR(IF(INDEX('Coverage Indicators - Section D'!AJ$1:AJ$100,MATCH('Print View'!$A173,'Coverage Indicators - Section D'!$A$1:$A$100,0)+1)&lt;&gt;"",INDEX('Coverage Indicators - Section D'!AJ$1:AJ$100,MATCH('Print View'!$A173,'Coverage Indicators - Section D'!$A$1:$A$100,0)+1),""),"")&amp;CHAR(10)&amp;IFERROR(IF(INDEX('Coverage Indicators - Section D'!AK$1:AK$100,MATCH('Print View'!$A173,'Coverage Indicators - Section D'!$A$1:$A$100,0))&lt;&gt;"",FIXED(INDEX('Coverage Indicators - Section D'!AK$1:AK$100,MATCH('Print View'!$A173,'Coverage Indicators - Section D'!$A$1:$A$100,0))*100,2)&amp;"%",""),"")&amp;CHAR(10)&amp;IFERROR(IF(INDEX('Coverage Indicators - Section D'!AL$1:AL$100,MATCH('Print View'!$A173,'Coverage Indicators - Section D'!$A$1:$A$100,0))&lt;&gt;"",INDEX('Coverage Indicators - Section D'!AL$1:AL$100,MATCH('Print View'!$A173,'Coverage Indicators - Section D'!$A$1:$A$100,0)),""),"")</f>
        <v xml:space="preserve">/
</v>
      </c>
      <c r="T173" s="52"/>
      <c r="U173" s="13"/>
      <c r="V173" s="13"/>
      <c r="W173" s="13"/>
      <c r="X173" s="13"/>
      <c r="Y173" s="13"/>
      <c r="Z173" s="13"/>
      <c r="AA173" s="13"/>
      <c r="AB173" s="13"/>
      <c r="AC173" s="13"/>
      <c r="AD173" s="13"/>
      <c r="AE173" s="13"/>
      <c r="AF173" s="13"/>
      <c r="AG173" s="13"/>
      <c r="AH173" s="13"/>
      <c r="AI173" s="13"/>
      <c r="AJ173" s="13"/>
      <c r="AK173" s="13"/>
      <c r="AL173" s="13"/>
      <c r="AM173" s="13"/>
      <c r="AN173" s="13"/>
      <c r="AO173" s="13" t="str">
        <f ca="1">IFERROR(IF(INDEX('Coverage Indicators - Section D'!AD$1:AD$110,MATCH('Print View'!$A173,'Coverage Indicators - Section D'!$A$1:$A$110,0))&lt;&gt;0,INDEX('Coverage Indicators - Section D'!AD$1:AD$110,MATCH('Print View'!$A173,'Coverage Indicators - Section D'!$A$1:$A$110,0)),""),"")</f>
        <v/>
      </c>
      <c r="AP173" s="13"/>
      <c r="AQ173" s="13"/>
      <c r="AR173" s="13"/>
      <c r="AS173" s="13"/>
      <c r="AT173" s="577" t="str">
        <f ca="1">CONCATENATE($A173,N$147)</f>
        <v>1331-Dec-25</v>
      </c>
      <c r="AU173" s="575" t="str">
        <f ca="1">CONCATENATE($A173,Q$147)</f>
        <v>1331-Dec-28</v>
      </c>
      <c r="AV173" s="575" t="str">
        <f>CONCATENATE($A173,V$147)</f>
        <v>13</v>
      </c>
      <c r="AW173" s="575" t="str">
        <f>CONCATENATE($A173,Y$147)</f>
        <v>13</v>
      </c>
      <c r="AX173" s="575" t="str">
        <f>CONCATENATE($A173,AB$147)</f>
        <v>13</v>
      </c>
      <c r="AY173" s="575" t="str">
        <f>CONCATENATE($A173,AE$147)</f>
        <v>13</v>
      </c>
      <c r="AZ173" s="575" t="str">
        <f>CONCATENATE($A173,AH$147)</f>
        <v>13</v>
      </c>
      <c r="BA173" s="575" t="str">
        <f>CONCATENATE($A173,AK$147)</f>
        <v>13</v>
      </c>
      <c r="BB173" s="96"/>
      <c r="BC173" s="97"/>
    </row>
    <row r="174" spans="1:55" s="16" customFormat="1" ht="88.35" customHeight="1">
      <c r="A174" s="608"/>
      <c r="B174" s="646" t="str">
        <f ca="1">IFERROR(IF(INDEX('Coverage Indicators - Section D'!AM$1:AM$110,MATCH('Print View'!$A173,'Coverage Indicators - Section D'!$A$1:$A$110,0))&lt;&gt;0,INDEX('Coverage Indicators - Section D'!AM$1:AM$110,MATCH('Print View'!$A173,'Coverage Indicators - Section D'!$A$1:$A$110,0)),""),"")</f>
        <v/>
      </c>
      <c r="C174" s="647"/>
      <c r="D174" s="647"/>
      <c r="E174" s="647"/>
      <c r="F174" s="647"/>
      <c r="G174" s="647"/>
      <c r="H174" s="647"/>
      <c r="I174" s="647"/>
      <c r="J174" s="647"/>
      <c r="K174" s="647"/>
      <c r="L174" s="647"/>
      <c r="M174" s="647"/>
      <c r="N174" s="647"/>
      <c r="O174" s="647"/>
      <c r="P174" s="647"/>
      <c r="Q174" s="647"/>
      <c r="R174" s="647"/>
      <c r="S174" s="648"/>
      <c r="T174" s="92"/>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577"/>
      <c r="AU174" s="575"/>
      <c r="AV174" s="575"/>
      <c r="AW174" s="575"/>
      <c r="AX174" s="575"/>
      <c r="AY174" s="575"/>
      <c r="AZ174" s="575"/>
      <c r="BA174" s="575"/>
      <c r="BB174" s="96"/>
      <c r="BC174" s="97"/>
    </row>
    <row r="175" spans="1:55" s="16" customFormat="1" ht="177" customHeight="1">
      <c r="A175" s="609">
        <v>14</v>
      </c>
      <c r="B175" s="83" t="str">
        <f ca="1">IFERROR(IF(INDEX('Coverage Indicators - Section D'!B$1:B$100,MATCH('Print View'!$A175,'Coverage Indicators - Section D'!$A$1:$A$100,0))&lt;&gt;0,INDEX('Coverage Indicators - Section D'!B$1:B$100,MATCH('Print View'!$A175,'Coverage Indicators - Section D'!$A$1:$A$100,0)),""),"")</f>
        <v/>
      </c>
      <c r="C175" s="83" t="str">
        <f ca="1">IFERROR(IF(INDEX('Coverage Indicators - Section D'!D$1:D$100,MATCH('Print View'!$A175,'Coverage Indicators - Section D'!$A$1:$A$100,0))&lt;&gt;0,INDEX('Coverage Indicators - Section D'!D$1:D$100,MATCH('Print View'!$A175,'Coverage Indicators - Section D'!$A$1:$A$100,0)),""),"")</f>
        <v/>
      </c>
      <c r="D175" s="83" t="str">
        <f ca="1">IFERROR(IF(INDEX('Coverage Indicators - Section D'!E$1:E$100,MATCH('Print View'!$A175,'Coverage Indicators - Section D'!$A$1:$A$100,0))&lt;&gt;0,INDEX('Coverage Indicators - Section D'!E$1:E$100,MATCH('Print View'!$A175,'Coverage Indicators - Section D'!$A$1:$A$100,0)),""),"")</f>
        <v/>
      </c>
      <c r="E175" s="45" t="str">
        <f ca="1">IFERROR(IF(INDEX('Coverage Indicators - Section D'!F$1:F$100,MATCH('Print View'!$A175,'Coverage Indicators - Section D'!$A$1:$A$100,0))&lt;&gt;"",INDEX('Coverage Indicators - Section D'!F$1:F$100,MATCH('Print View'!$A175,'Coverage Indicators - Section D'!$A$1:$A$100,0)),""),"")&amp;"/"&amp;IFERROR(IF(INDEX('Coverage Indicators - Section D'!F$1:F$100,MATCH('Print View'!$A175,'Coverage Indicators - Section D'!$A$1:$A$100,0)+1)&lt;&gt;"",INDEX('Coverage Indicators - Section D'!F$1:F$100,MATCH('Print View'!$A175,'Coverage Indicators - Section D'!$A$1:$A$100,0)+1),""),"")&amp;CHAR(10)&amp;IFERROR(IF(INDEX('Coverage Indicators - Section D'!G$1:G$100,MATCH('Print View'!$A175,'Coverage Indicators - Section D'!$A$1:$A$100,0))&lt;&gt;"",FIXED(INDEX('Coverage Indicators - Section D'!G$1:G$100,MATCH('Print View'!$A175,'Coverage Indicators - Section D'!$A$1:$A$100,0))*100,2)&amp;"%",""),"")</f>
        <v xml:space="preserve">/
</v>
      </c>
      <c r="F175" s="84" t="str">
        <f ca="1">IFERROR(IF(INDEX('Coverage Indicators - Section D'!H$1:H$100,MATCH('Print View'!$A175,'Coverage Indicators - Section D'!$A$1:$A$100,0))&lt;&gt;0,INDEX('Coverage Indicators - Section D'!H$1:H$100,MATCH('Print View'!$A175,'Coverage Indicators - Section D'!$A$1:$A$100,0)),""),"")&amp;CHAR(10)&amp;IFERROR(IF(INDEX('Coverage Indicators - Section D'!I$1:I$100,MATCH('Print View'!$A175,'Coverage Indicators - Section D'!$A$1:$A$100,0))&lt;&gt;0,INDEX('Coverage Indicators - Section D'!I$1:I$100,MATCH('Print View'!$A175,'Coverage Indicators - Section D'!$A$1:$A$100,0)),""),"")</f>
        <v xml:space="preserve">
</v>
      </c>
      <c r="G175" s="85" t="str">
        <f>IFERROR(IF(INDEX('Coverage Indicators - Section D'!J33:J62,MATCH('Print View'!$A175,'Coverage Indicators - Section D'!$A$9:$A$38,0))&lt;&gt;0,INDEX('Coverage Indicators - Section D'!J33:J62,MATCH('Print View'!$A175,'Coverage Indicators - Section D'!$A$9:$A$38,0)),""),"")</f>
        <v/>
      </c>
      <c r="H175" s="84" t="str">
        <f ca="1">IFERROR(IF(INDEX('Coverage Indicators - Section D'!K$1:K$100,MATCH('Print View'!$A175,'Coverage Indicators - Section D'!$A$1:$A$100,0))&lt;&gt;0,INDEX('Coverage Indicators - Section D'!K$1:K$100,MATCH('Print View'!$A175,'Coverage Indicators - Section D'!$A$1:$A$100,0)),""),"")</f>
        <v/>
      </c>
      <c r="I175" s="85" t="str">
        <f ca="1">IFERROR(IF(AND('Overview - Section A'!AN$5="Grant Making",OR(C175&lt;&gt;"",D175&lt;&gt;"")),Setup!I15,IF(INDEX('Coverage Indicators - Section D'!L$1:L$100,MATCH('Print View'!$A175,'Coverage Indicators - Section D'!$A$1:$A$100,0))&lt;&gt;0,INDEX('Coverage Indicators - Section D'!L$1:L$100,MATCH('Print View'!$A175,'Coverage Indicators - Section D'!$A$1:$A$100,0)),"")),"")</f>
        <v/>
      </c>
      <c r="J175" s="84" t="str">
        <f ca="1">IFERROR(IF(INDEX('Coverage Indicators - Section D'!M$1:M$100,MATCH('Print View'!$A175,'Coverage Indicators - Section D'!$A$1:$A$100,0))&lt;&gt;0,INDEX('Coverage Indicators - Section D'!M$1:M$100,MATCH('Print View'!$A175,'Coverage Indicators - Section D'!$A$1:$A$100,0)),""),"")&amp;CHAR(10)&amp;IFERROR(IF(INDEX('Coverage Indicators - Section D'!M$1:M$100,MATCH('Print View'!$A175,'Coverage Indicators - Section D'!$A$1:$A$100,0)+1)&lt;&gt;0,INDEX('Coverage Indicators - Section D'!M$1:M$100,MATCH('Print View'!$A175,'Coverage Indicators - Section D'!$A$1:$A$100,0)+1),""),"")</f>
        <v xml:space="preserve">
</v>
      </c>
      <c r="K175" s="84" t="str">
        <f ca="1">IFERROR(IF(INDEX('Coverage Indicators - Section D'!N$1:N$100,MATCH('Print View'!$A175,'Coverage Indicators - Section D'!$A$1:$A$100,0))&lt;&gt;0,INDEX('Coverage Indicators - Section D'!N$1:N$100,MATCH('Print View'!$A175,'Coverage Indicators - Section D'!$A$1:$A$100,0)),""),"")</f>
        <v/>
      </c>
      <c r="L175" s="88" t="str">
        <f ca="1">IFERROR(IF(INDEX('Coverage Indicators - Section D'!O$1:O$100,MATCH('Print View'!$A175,'Coverage Indicators - Section D'!$A$1:$A$100,0))&lt;&gt;"",INDEX('Coverage Indicators - Section D'!O$1:O$100,MATCH('Print View'!$A175,'Coverage Indicators - Section D'!$A$1:$A$100,0)),""),"")&amp;"/"&amp;IFERROR(IF(INDEX('Coverage Indicators - Section D'!O$1:O$100,MATCH('Print View'!$A175,'Coverage Indicators - Section D'!$A$1:$A$100,0)+1)&lt;&gt;"",INDEX('Coverage Indicators - Section D'!O$1:O$100,MATCH('Print View'!$A175,'Coverage Indicators - Section D'!$A$1:$A$100,0)+1),""),"")&amp;CHAR(10)&amp;IFERROR(IF(INDEX('Coverage Indicators - Section D'!P$1:P$100,MATCH('Print View'!$A175,'Coverage Indicators - Section D'!$A$1:$A$100,0))&lt;&gt;"",FIXED(INDEX('Coverage Indicators - Section D'!P$1:P$100,MATCH('Print View'!$A175,'Coverage Indicators - Section D'!$A$1:$A$100,0))*100,2)&amp;"%",""),"")&amp;CHAR(10)&amp;IFERROR(IF(INDEX('Coverage Indicators - Section D'!Q$1:Q$100,MATCH('Print View'!$A175,'Coverage Indicators - Section D'!$A$1:$A$100,0))&lt;&gt;"",INDEX('Coverage Indicators - Section D'!Q$1:Q$100,MATCH('Print View'!$A175,'Coverage Indicators - Section D'!$A$1:$A$100,0)),""),"")</f>
        <v xml:space="preserve">/
</v>
      </c>
      <c r="M175" s="88" t="str">
        <f ca="1">IFERROR(IF(INDEX('Coverage Indicators - Section D'!R$1:R$100,MATCH('Print View'!$A175,'Coverage Indicators - Section D'!$A$1:$A$100,0))&lt;&gt;"",INDEX('Coverage Indicators - Section D'!R$1:R$100,MATCH('Print View'!$A175,'Coverage Indicators - Section D'!$A$1:$A$100,0)),""),"")&amp;"/"&amp;IFERROR(IF(INDEX('Coverage Indicators - Section D'!R$1:R$100,MATCH('Print View'!$A175,'Coverage Indicators - Section D'!$A$1:$A$100,0)+1)&lt;&gt;"",INDEX('Coverage Indicators - Section D'!R$1:R$100,MATCH('Print View'!$A175,'Coverage Indicators - Section D'!$A$1:$A$100,0)+1),""),"")&amp;CHAR(10)&amp;IFERROR(IF(INDEX('Coverage Indicators - Section D'!S$1:S$100,MATCH('Print View'!$A175,'Coverage Indicators - Section D'!$A$1:$A$100,0))&lt;&gt;"",FIXED(INDEX('Coverage Indicators - Section D'!S$1:S$100,MATCH('Print View'!$A175,'Coverage Indicators - Section D'!$A$1:$A$100,0))*100,2)&amp;"%",""),"")&amp;CHAR(10)&amp;IFERROR(IF(INDEX('Coverage Indicators - Section D'!T$1:T$100,MATCH('Print View'!$A175,'Coverage Indicators - Section D'!$A$1:$A$100,0))&lt;&gt;"",INDEX('Coverage Indicators - Section D'!T$1:T$100,MATCH('Print View'!$A175,'Coverage Indicators - Section D'!$A$1:$A$100,0)),""),"")</f>
        <v xml:space="preserve">/
</v>
      </c>
      <c r="N175" s="88" t="str">
        <f ca="1">IFERROR(IF(INDEX('Coverage Indicators - Section D'!U$1:U$100,MATCH('Print View'!$A175,'Coverage Indicators - Section D'!$A$1:$A$100,0))&lt;&gt;"",INDEX('Coverage Indicators - Section D'!U$1:U$100,MATCH('Print View'!$A175,'Coverage Indicators - Section D'!$A$1:$A$100,0)),""),"")&amp;"/"&amp;IFERROR(IF(INDEX('Coverage Indicators - Section D'!U$1:U$100,MATCH('Print View'!$A175,'Coverage Indicators - Section D'!$A$1:$A$100,0)+1)&lt;&gt;"",INDEX('Coverage Indicators - Section D'!U$1:U$100,MATCH('Print View'!$A175,'Coverage Indicators - Section D'!$A$1:$A$100,0)+1),""),"")&amp;CHAR(10)&amp;IFERROR(IF(INDEX('Coverage Indicators - Section D'!V$1:V$100,MATCH('Print View'!$A175,'Coverage Indicators - Section D'!$A$1:$A$100,0))&lt;&gt;"",FIXED(INDEX('Coverage Indicators - Section D'!V$1:V$100,MATCH('Print View'!$A175,'Coverage Indicators - Section D'!$A$1:$A$100,0))*100,2)&amp;"%",""),"")&amp;CHAR(10)&amp;IFERROR(IF(INDEX('Coverage Indicators - Section D'!W$1:W$100,MATCH('Print View'!$A175,'Coverage Indicators - Section D'!$A$1:$A$100,0))&lt;&gt;"",INDEX('Coverage Indicators - Section D'!W$1:W$100,MATCH('Print View'!$A175,'Coverage Indicators - Section D'!$A$1:$A$100,0)),""),"")</f>
        <v xml:space="preserve">/
</v>
      </c>
      <c r="O175" s="88" t="str">
        <f ca="1">IFERROR(IF(INDEX('Coverage Indicators - Section D'!X$1:X$100,MATCH('Print View'!$A175,'Coverage Indicators - Section D'!$A$1:$A$100,0))&lt;&gt;"",INDEX('Coverage Indicators - Section D'!X$1:X$100,MATCH('Print View'!$A175,'Coverage Indicators - Section D'!$A$1:$A$100,0)),""),"")&amp;"/"&amp;IFERROR(IF(INDEX('Coverage Indicators - Section D'!X$1:X$100,MATCH('Print View'!$A175,'Coverage Indicators - Section D'!$A$1:$A$100,0)+1)&lt;&gt;"",INDEX('Coverage Indicators - Section D'!X$1:X$100,MATCH('Print View'!$A175,'Coverage Indicators - Section D'!$A$1:$A$100,0)+1),""),"")&amp;CHAR(10)&amp;IFERROR(IF(INDEX('Coverage Indicators - Section D'!Y$1:Y$100,MATCH('Print View'!$A175,'Coverage Indicators - Section D'!$A$1:$A$100,0))&lt;&gt;"",FIXED(INDEX('Coverage Indicators - Section D'!Y$1:Y$100,MATCH('Print View'!$A175,'Coverage Indicators - Section D'!$A$1:$A$100,0))*100,2)&amp;"%",""),"")&amp;CHAR(10)&amp;IFERROR(IF(INDEX('Coverage Indicators - Section D'!Z$1:Z$100,MATCH('Print View'!$A175,'Coverage Indicators - Section D'!$A$1:$A$100,0))&lt;&gt;"",INDEX('Coverage Indicators - Section D'!Z$1:Z$100,MATCH('Print View'!$A175,'Coverage Indicators - Section D'!$A$1:$A$100,0)),""),"")</f>
        <v xml:space="preserve">/
</v>
      </c>
      <c r="P175" s="88" t="str">
        <f ca="1">IFERROR(IF(INDEX('Coverage Indicators - Section D'!AA$1:AA$100,MATCH('Print View'!$A175,'Coverage Indicators - Section D'!$A$1:$A$100,0))&lt;&gt;"",INDEX('Coverage Indicators - Section D'!AA$1:AA$100,MATCH('Print View'!$A175,'Coverage Indicators - Section D'!$A$1:$A$100,0)),""),"")&amp;"/"&amp;IFERROR(IF(INDEX('Coverage Indicators - Section D'!AA$1:AA$100,MATCH('Print View'!$A175,'Coverage Indicators - Section D'!$A$1:$A$100,0)+1)&lt;&gt;"",INDEX('Coverage Indicators - Section D'!AA$1:AA$100,MATCH('Print View'!$A175,'Coverage Indicators - Section D'!$A$1:$A$100,0)+1),""),"")&amp;CHAR(10)&amp;IFERROR(IF(INDEX('Coverage Indicators - Section D'!AB$1:AB$100,MATCH('Print View'!$A175,'Coverage Indicators - Section D'!$A$1:$A$100,0))&lt;&gt;"",FIXED(INDEX('Coverage Indicators - Section D'!AB$1:AB$100,MATCH('Print View'!$A175,'Coverage Indicators - Section D'!$A$1:$A$100,0))*100,2)&amp;"%",""),"")&amp;CHAR(10)&amp;IFERROR(IF(INDEX('Coverage Indicators - Section D'!AC$1:AC$100,MATCH('Print View'!$A175,'Coverage Indicators - Section D'!$A$1:$A$100,0))&lt;&gt;"",INDEX('Coverage Indicators - Section D'!AC$1:AC$100,MATCH('Print View'!$A175,'Coverage Indicators - Section D'!$A$1:$A$100,0)),""),"")</f>
        <v xml:space="preserve">/
</v>
      </c>
      <c r="Q175" s="88" t="str">
        <f ca="1">IFERROR(IF(INDEX('Coverage Indicators - Section D'!AD$1:AD$100,MATCH('Print View'!$A175,'Coverage Indicators - Section D'!$A$1:$A$100,0))&lt;&gt;"",INDEX('Coverage Indicators - Section D'!AD$1:AD$100,MATCH('Print View'!$A175,'Coverage Indicators - Section D'!$A$1:$A$100,0)),""),"")&amp;"/"&amp;IFERROR(IF(INDEX('Coverage Indicators - Section D'!AD$1:AD$100,MATCH('Print View'!$A175,'Coverage Indicators - Section D'!$A$1:$A$100,0)+1)&lt;&gt;"",INDEX('Coverage Indicators - Section D'!AD$1:AD$100,MATCH('Print View'!$A175,'Coverage Indicators - Section D'!$A$1:$A$100,0)+1),""),"")&amp;CHAR(10)&amp;IFERROR(IF(INDEX('Coverage Indicators - Section D'!AE$1:AE$100,MATCH('Print View'!$A175,'Coverage Indicators - Section D'!$A$1:$A$100,0))&lt;&gt;"",FIXED(INDEX('Coverage Indicators - Section D'!AE$1:AE$100,MATCH('Print View'!$A175,'Coverage Indicators - Section D'!$A$1:$A$100,0))*100,2)&amp;"%",""),"")&amp;CHAR(10)&amp;IFERROR(IF(INDEX('Coverage Indicators - Section D'!AF$1:AF$100,MATCH('Print View'!$A175,'Coverage Indicators - Section D'!$A$1:$A$100,0))&lt;&gt;"",INDEX('Coverage Indicators - Section D'!AF$1:AF$100,MATCH('Print View'!$A175,'Coverage Indicators - Section D'!$A$1:$A$100,0)),""),"")</f>
        <v xml:space="preserve">/
</v>
      </c>
      <c r="R175" s="88" t="str">
        <f ca="1">IFERROR(IF(INDEX('Coverage Indicators - Section D'!AG$1:AG$100,MATCH('Print View'!$A175,'Coverage Indicators - Section D'!$A$1:$A$100,0))&lt;&gt;"",INDEX('Coverage Indicators - Section D'!AG$1:AG$100,MATCH('Print View'!$A175,'Coverage Indicators - Section D'!$A$1:$A$100,0)),""),"")&amp;"/"&amp;IFERROR(IF(INDEX('Coverage Indicators - Section D'!AG$1:AG$100,MATCH('Print View'!$A175,'Coverage Indicators - Section D'!$A$1:$A$100,0)+1)&lt;&gt;"",INDEX('Coverage Indicators - Section D'!AG$1:AG$100,MATCH('Print View'!$A175,'Coverage Indicators - Section D'!$A$1:$A$100,0)+1),""),"")&amp;CHAR(10)&amp;IFERROR(IF(INDEX('Coverage Indicators - Section D'!AH$1:AH$100,MATCH('Print View'!$A175,'Coverage Indicators - Section D'!$A$1:$A$100,0))&lt;&gt;"",FIXED(INDEX('Coverage Indicators - Section D'!AH$1:AH$100,MATCH('Print View'!$A175,'Coverage Indicators - Section D'!$A$1:$A$100,0))*100,2)&amp;"%",""),"")&amp;CHAR(10)&amp;IFERROR(IF(INDEX('Coverage Indicators - Section D'!AI$1:AI$100,MATCH('Print View'!$A175,'Coverage Indicators - Section D'!$A$1:$A$100,0))&lt;&gt;"",INDEX('Coverage Indicators - Section D'!AI$1:AI$100,MATCH('Print View'!$A175,'Coverage Indicators - Section D'!$A$1:$A$100,0)),""),"")</f>
        <v xml:space="preserve">/
</v>
      </c>
      <c r="S175" s="88" t="str">
        <f ca="1">IFERROR(IF(INDEX('Coverage Indicators - Section D'!AJ$1:AJ$100,MATCH('Print View'!$A175,'Coverage Indicators - Section D'!$A$1:$A$100,0))&lt;&gt;"",INDEX('Coverage Indicators - Section D'!AJ$1:AJ$100,MATCH('Print View'!$A175,'Coverage Indicators - Section D'!$A$1:$A$100,0)),""),"")&amp;"/"&amp;IFERROR(IF(INDEX('Coverage Indicators - Section D'!AJ$1:AJ$100,MATCH('Print View'!$A175,'Coverage Indicators - Section D'!$A$1:$A$100,0)+1)&lt;&gt;"",INDEX('Coverage Indicators - Section D'!AJ$1:AJ$100,MATCH('Print View'!$A175,'Coverage Indicators - Section D'!$A$1:$A$100,0)+1),""),"")&amp;CHAR(10)&amp;IFERROR(IF(INDEX('Coverage Indicators - Section D'!AK$1:AK$100,MATCH('Print View'!$A175,'Coverage Indicators - Section D'!$A$1:$A$100,0))&lt;&gt;"",FIXED(INDEX('Coverage Indicators - Section D'!AK$1:AK$100,MATCH('Print View'!$A175,'Coverage Indicators - Section D'!$A$1:$A$100,0))*100,2)&amp;"%",""),"")&amp;CHAR(10)&amp;IFERROR(IF(INDEX('Coverage Indicators - Section D'!AL$1:AL$100,MATCH('Print View'!$A175,'Coverage Indicators - Section D'!$A$1:$A$100,0))&lt;&gt;"",INDEX('Coverage Indicators - Section D'!AL$1:AL$100,MATCH('Print View'!$A175,'Coverage Indicators - Section D'!$A$1:$A$100,0)),""),"")</f>
        <v xml:space="preserve">/
</v>
      </c>
      <c r="T175" s="93"/>
      <c r="U175" s="13"/>
      <c r="V175" s="13"/>
      <c r="W175" s="13"/>
      <c r="X175" s="13"/>
      <c r="Y175" s="13"/>
      <c r="Z175" s="13"/>
      <c r="AA175" s="13"/>
      <c r="AB175" s="13"/>
      <c r="AC175" s="13"/>
      <c r="AD175" s="13"/>
      <c r="AE175" s="13"/>
      <c r="AF175" s="13"/>
      <c r="AG175" s="13"/>
      <c r="AH175" s="13"/>
      <c r="AI175" s="13"/>
      <c r="AJ175" s="13"/>
      <c r="AK175" s="13"/>
      <c r="AL175" s="13"/>
      <c r="AM175" s="13"/>
      <c r="AN175" s="13"/>
      <c r="AO175" s="13" t="str">
        <f ca="1">IFERROR(IF(INDEX('Coverage Indicators - Section D'!AD$1:AD$110,MATCH('Print View'!$A175,'Coverage Indicators - Section D'!$A$1:$A$110,0))&lt;&gt;0,INDEX('Coverage Indicators - Section D'!AD$1:AD$110,MATCH('Print View'!$A175,'Coverage Indicators - Section D'!$A$1:$A$110,0)),""),"")</f>
        <v/>
      </c>
      <c r="AP175" s="13"/>
      <c r="AQ175" s="13"/>
      <c r="AR175" s="13"/>
      <c r="AS175" s="13"/>
      <c r="AT175" s="577" t="str">
        <f ca="1">CONCATENATE($A175,N$147)</f>
        <v>1431-Dec-25</v>
      </c>
      <c r="AU175" s="575" t="str">
        <f ca="1">CONCATENATE($A175,Q$147)</f>
        <v>1431-Dec-28</v>
      </c>
      <c r="AV175" s="575" t="str">
        <f>CONCATENATE($A175,V$147)</f>
        <v>14</v>
      </c>
      <c r="AW175" s="575" t="str">
        <f>CONCATENATE($A175,Y$147)</f>
        <v>14</v>
      </c>
      <c r="AX175" s="575" t="str">
        <f>CONCATENATE($A175,AB$147)</f>
        <v>14</v>
      </c>
      <c r="AY175" s="575" t="str">
        <f>CONCATENATE($A175,AE$147)</f>
        <v>14</v>
      </c>
      <c r="AZ175" s="575" t="str">
        <f>CONCATENATE($A175,AH$147)</f>
        <v>14</v>
      </c>
      <c r="BA175" s="575" t="str">
        <f>CONCATENATE($A175,AK$147)</f>
        <v>14</v>
      </c>
      <c r="BB175" s="96"/>
      <c r="BC175" s="97"/>
    </row>
    <row r="176" spans="1:55" s="16" customFormat="1" ht="88.35" customHeight="1">
      <c r="A176" s="609"/>
      <c r="B176" s="630" t="str">
        <f ca="1">IFERROR(IF(INDEX('Coverage Indicators - Section D'!AM$1:AM$110,MATCH('Print View'!$A175,'Coverage Indicators - Section D'!$A$1:$A$110,0))&lt;&gt;0,INDEX('Coverage Indicators - Section D'!AM$1:AM$110,MATCH('Print View'!$A175,'Coverage Indicators - Section D'!$A$1:$A$110,0)),""),"")</f>
        <v/>
      </c>
      <c r="C176" s="631"/>
      <c r="D176" s="631"/>
      <c r="E176" s="631"/>
      <c r="F176" s="631"/>
      <c r="G176" s="631"/>
      <c r="H176" s="631"/>
      <c r="I176" s="632"/>
      <c r="J176" s="632"/>
      <c r="K176" s="632"/>
      <c r="L176" s="632"/>
      <c r="M176" s="632"/>
      <c r="N176" s="632"/>
      <c r="O176" s="632"/>
      <c r="P176" s="632"/>
      <c r="Q176" s="632"/>
      <c r="R176" s="632"/>
      <c r="S176" s="633"/>
      <c r="T176" s="94"/>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577"/>
      <c r="AU176" s="575"/>
      <c r="AV176" s="575"/>
      <c r="AW176" s="575"/>
      <c r="AX176" s="575"/>
      <c r="AY176" s="575"/>
      <c r="AZ176" s="575"/>
      <c r="BA176" s="575"/>
      <c r="BB176" s="96"/>
      <c r="BC176" s="97"/>
    </row>
    <row r="177" spans="1:55" s="16" customFormat="1" ht="177" customHeight="1">
      <c r="A177" s="608">
        <v>15</v>
      </c>
      <c r="B177" s="80" t="str">
        <f ca="1">IFERROR(IF(INDEX('Coverage Indicators - Section D'!B$1:B$100,MATCH('Print View'!$A177,'Coverage Indicators - Section D'!$A$1:$A$100,0))&lt;&gt;0,INDEX('Coverage Indicators - Section D'!B$1:B$100,MATCH('Print View'!$A177,'Coverage Indicators - Section D'!$A$1:$A$100,0)),""),"")</f>
        <v/>
      </c>
      <c r="C177" s="80" t="str">
        <f ca="1">IFERROR(IF(INDEX('Coverage Indicators - Section D'!D$1:D$100,MATCH('Print View'!$A177,'Coverage Indicators - Section D'!$A$1:$A$100,0))&lt;&gt;0,INDEX('Coverage Indicators - Section D'!D$1:D$100,MATCH('Print View'!$A177,'Coverage Indicators - Section D'!$A$1:$A$100,0)),""),"")</f>
        <v/>
      </c>
      <c r="D177" s="80" t="str">
        <f ca="1">IFERROR(IF(INDEX('Coverage Indicators - Section D'!E$1:E$100,MATCH('Print View'!$A177,'Coverage Indicators - Section D'!$A$1:$A$100,0))&lt;&gt;0,INDEX('Coverage Indicators - Section D'!E$1:E$100,MATCH('Print View'!$A177,'Coverage Indicators - Section D'!$A$1:$A$100,0)),""),"")</f>
        <v/>
      </c>
      <c r="E177" s="81" t="str">
        <f ca="1">IFERROR(IF(INDEX('Coverage Indicators - Section D'!F$1:F$100,MATCH('Print View'!$A177,'Coverage Indicators - Section D'!$A$1:$A$100,0))&lt;&gt;"",INDEX('Coverage Indicators - Section D'!F$1:F$100,MATCH('Print View'!$A177,'Coverage Indicators - Section D'!$A$1:$A$100,0)),""),"")&amp;"/"&amp;IFERROR(IF(INDEX('Coverage Indicators - Section D'!F$1:F$100,MATCH('Print View'!$A177,'Coverage Indicators - Section D'!$A$1:$A$100,0)+1)&lt;&gt;"",INDEX('Coverage Indicators - Section D'!F$1:F$100,MATCH('Print View'!$A177,'Coverage Indicators - Section D'!$A$1:$A$100,0)+1),""),"")&amp;CHAR(10)&amp;IFERROR(IF(INDEX('Coverage Indicators - Section D'!G$1:G$100,MATCH('Print View'!$A177,'Coverage Indicators - Section D'!$A$1:$A$100,0))&lt;&gt;"",FIXED(INDEX('Coverage Indicators - Section D'!G$1:G$100,MATCH('Print View'!$A177,'Coverage Indicators - Section D'!$A$1:$A$100,0))*100,2)&amp;"%",""),"")</f>
        <v xml:space="preserve">/
</v>
      </c>
      <c r="F177" s="82" t="str">
        <f ca="1">IFERROR(IF(INDEX('Coverage Indicators - Section D'!H$1:H$100,MATCH('Print View'!$A177,'Coverage Indicators - Section D'!$A$1:$A$100,0))&lt;&gt;0,INDEX('Coverage Indicators - Section D'!H$1:H$100,MATCH('Print View'!$A177,'Coverage Indicators - Section D'!$A$1:$A$100,0)),""),"")&amp;CHAR(10)&amp;IFERROR(IF(INDEX('Coverage Indicators - Section D'!I$1:I$100,MATCH('Print View'!$A177,'Coverage Indicators - Section D'!$A$1:$A$100,0))&lt;&gt;0,INDEX('Coverage Indicators - Section D'!I$1:I$100,MATCH('Print View'!$A177,'Coverage Indicators - Section D'!$A$1:$A$100,0)),""),"")</f>
        <v xml:space="preserve">
</v>
      </c>
      <c r="G177" s="41" t="str">
        <f>IFERROR(IF(INDEX('Coverage Indicators - Section D'!J37:J66,MATCH('Print View'!$A177,'Coverage Indicators - Section D'!$A$9:$A$38,0))&lt;&gt;0,INDEX('Coverage Indicators - Section D'!J37:J66,MATCH('Print View'!$A177,'Coverage Indicators - Section D'!$A$9:$A$38,0)),""),"")</f>
        <v/>
      </c>
      <c r="H177" s="42" t="str">
        <f ca="1">IFERROR(IF(INDEX('Coverage Indicators - Section D'!K$1:K$100,MATCH('Print View'!$A177,'Coverage Indicators - Section D'!$A$1:$A$100,0))&lt;&gt;0,INDEX('Coverage Indicators - Section D'!K$1:K$100,MATCH('Print View'!$A177,'Coverage Indicators - Section D'!$A$1:$A$100,0)),""),"")</f>
        <v/>
      </c>
      <c r="I177" s="41" t="str">
        <f ca="1">IFERROR(IF(AND('Overview - Section A'!AN$5="Grant Making",OR(C177&lt;&gt;"",D177&lt;&gt;"")),Setup!I15,IF(INDEX('Coverage Indicators - Section D'!L$1:L$100,MATCH('Print View'!$A177,'Coverage Indicators - Section D'!$A$1:$A$100,0))&lt;&gt;0,INDEX('Coverage Indicators - Section D'!L$1:L$100,MATCH('Print View'!$A177,'Coverage Indicators - Section D'!$A$1:$A$100,0)),"")),"")</f>
        <v/>
      </c>
      <c r="J177" s="81" t="str">
        <f ca="1">IFERROR(IF(INDEX('Coverage Indicators - Section D'!M$1:M$100,MATCH('Print View'!$A177,'Coverage Indicators - Section D'!$A$1:$A$100,0))&lt;&gt;0,INDEX('Coverage Indicators - Section D'!M$1:M$100,MATCH('Print View'!$A177,'Coverage Indicators - Section D'!$A$1:$A$100,0)),""),"")&amp;CHAR(10)&amp;IFERROR(IF(INDEX('Coverage Indicators - Section D'!M$1:M$100,MATCH('Print View'!$A177,'Coverage Indicators - Section D'!$A$1:$A$100,0)+1)&lt;&gt;0,INDEX('Coverage Indicators - Section D'!M$1:M$100,MATCH('Print View'!$A177,'Coverage Indicators - Section D'!$A$1:$A$100,0)+1),""),"")</f>
        <v xml:space="preserve">
</v>
      </c>
      <c r="K177" s="81" t="str">
        <f ca="1">IFERROR(IF(INDEX('Coverage Indicators - Section D'!N$1:N$100,MATCH('Print View'!$A177,'Coverage Indicators - Section D'!$A$1:$A$100,0))&lt;&gt;0,INDEX('Coverage Indicators - Section D'!N$1:N$100,MATCH('Print View'!$A177,'Coverage Indicators - Section D'!$A$1:$A$100,0)),""),"")</f>
        <v/>
      </c>
      <c r="L177" s="81" t="str">
        <f ca="1">IFERROR(IF(INDEX('Coverage Indicators - Section D'!O$1:O$100,MATCH('Print View'!$A177,'Coverage Indicators - Section D'!$A$1:$A$100,0))&lt;&gt;"",INDEX('Coverage Indicators - Section D'!O$1:O$100,MATCH('Print View'!$A177,'Coverage Indicators - Section D'!$A$1:$A$100,0)),""),"")&amp;"/"&amp;IFERROR(IF(INDEX('Coverage Indicators - Section D'!O$1:O$100,MATCH('Print View'!$A177,'Coverage Indicators - Section D'!$A$1:$A$100,0)+1)&lt;&gt;"",INDEX('Coverage Indicators - Section D'!O$1:O$100,MATCH('Print View'!$A177,'Coverage Indicators - Section D'!$A$1:$A$100,0)+1),""),"")&amp;CHAR(10)&amp;IFERROR(IF(INDEX('Coverage Indicators - Section D'!P$1:P$100,MATCH('Print View'!$A177,'Coverage Indicators - Section D'!$A$1:$A$100,0))&lt;&gt;"",FIXED(INDEX('Coverage Indicators - Section D'!P$1:P$100,MATCH('Print View'!$A177,'Coverage Indicators - Section D'!$A$1:$A$100,0))*100,2)&amp;"%",""),"")&amp;CHAR(10)&amp;IFERROR(IF(INDEX('Coverage Indicators - Section D'!Q$1:Q$100,MATCH('Print View'!$A177,'Coverage Indicators - Section D'!$A$1:$A$100,0))&lt;&gt;"",INDEX('Coverage Indicators - Section D'!Q$1:Q$100,MATCH('Print View'!$A177,'Coverage Indicators - Section D'!$A$1:$A$100,0)),""),"")</f>
        <v xml:space="preserve">/
</v>
      </c>
      <c r="M177" s="82" t="str">
        <f ca="1">IFERROR(IF(INDEX('Coverage Indicators - Section D'!R$1:R$100,MATCH('Print View'!$A177,'Coverage Indicators - Section D'!$A$1:$A$100,0))&lt;&gt;"",INDEX('Coverage Indicators - Section D'!R$1:R$100,MATCH('Print View'!$A177,'Coverage Indicators - Section D'!$A$1:$A$100,0)),""),"")&amp;"/"&amp;IFERROR(IF(INDEX('Coverage Indicators - Section D'!R$1:R$100,MATCH('Print View'!$A177,'Coverage Indicators - Section D'!$A$1:$A$100,0)+1)&lt;&gt;"",INDEX('Coverage Indicators - Section D'!R$1:R$100,MATCH('Print View'!$A177,'Coverage Indicators - Section D'!$A$1:$A$100,0)+1),""),"")&amp;CHAR(10)&amp;IFERROR(IF(INDEX('Coverage Indicators - Section D'!S$1:S$100,MATCH('Print View'!$A177,'Coverage Indicators - Section D'!$A$1:$A$100,0))&lt;&gt;"",FIXED(INDEX('Coverage Indicators - Section D'!S$1:S$100,MATCH('Print View'!$A177,'Coverage Indicators - Section D'!$A$1:$A$100,0))*100,2)&amp;"%",""),"")&amp;CHAR(10)&amp;IFERROR(IF(INDEX('Coverage Indicators - Section D'!T$1:T$100,MATCH('Print View'!$A177,'Coverage Indicators - Section D'!$A$1:$A$100,0))&lt;&gt;"",INDEX('Coverage Indicators - Section D'!T$1:T$100,MATCH('Print View'!$A177,'Coverage Indicators - Section D'!$A$1:$A$100,0)),""),"")</f>
        <v xml:space="preserve">/
</v>
      </c>
      <c r="N177" s="81" t="str">
        <f ca="1">IFERROR(IF(INDEX('Coverage Indicators - Section D'!U$1:U$100,MATCH('Print View'!$A177,'Coverage Indicators - Section D'!$A$1:$A$100,0))&lt;&gt;"",INDEX('Coverage Indicators - Section D'!U$1:U$100,MATCH('Print View'!$A177,'Coverage Indicators - Section D'!$A$1:$A$100,0)),""),"")&amp;"/"&amp;IFERROR(IF(INDEX('Coverage Indicators - Section D'!U$1:U$100,MATCH('Print View'!$A177,'Coverage Indicators - Section D'!$A$1:$A$100,0)+1)&lt;&gt;"",INDEX('Coverage Indicators - Section D'!U$1:U$100,MATCH('Print View'!$A177,'Coverage Indicators - Section D'!$A$1:$A$100,0)+1),""),"")&amp;CHAR(10)&amp;IFERROR(IF(INDEX('Coverage Indicators - Section D'!V$1:V$100,MATCH('Print View'!$A177,'Coverage Indicators - Section D'!$A$1:$A$100,0))&lt;&gt;"",FIXED(INDEX('Coverage Indicators - Section D'!V$1:V$100,MATCH('Print View'!$A177,'Coverage Indicators - Section D'!$A$1:$A$100,0))*100,2)&amp;"%",""),"")&amp;CHAR(10)&amp;IFERROR(IF(INDEX('Coverage Indicators - Section D'!W$1:W$100,MATCH('Print View'!$A177,'Coverage Indicators - Section D'!$A$1:$A$100,0))&lt;&gt;"",INDEX('Coverage Indicators - Section D'!W$1:W$100,MATCH('Print View'!$A177,'Coverage Indicators - Section D'!$A$1:$A$100,0)),""),"")</f>
        <v xml:space="preserve">/
</v>
      </c>
      <c r="O177" s="82" t="str">
        <f ca="1">IFERROR(IF(INDEX('Coverage Indicators - Section D'!X$1:X$100,MATCH('Print View'!$A177,'Coverage Indicators - Section D'!$A$1:$A$100,0))&lt;&gt;"",INDEX('Coverage Indicators - Section D'!X$1:X$100,MATCH('Print View'!$A177,'Coverage Indicators - Section D'!$A$1:$A$100,0)),""),"")&amp;"/"&amp;IFERROR(IF(INDEX('Coverage Indicators - Section D'!X$1:X$100,MATCH('Print View'!$A177,'Coverage Indicators - Section D'!$A$1:$A$100,0)+1)&lt;&gt;"",INDEX('Coverage Indicators - Section D'!X$1:X$100,MATCH('Print View'!$A177,'Coverage Indicators - Section D'!$A$1:$A$100,0)+1),""),"")&amp;CHAR(10)&amp;IFERROR(IF(INDEX('Coverage Indicators - Section D'!Y$1:Y$100,MATCH('Print View'!$A177,'Coverage Indicators - Section D'!$A$1:$A$100,0))&lt;&gt;"",FIXED(INDEX('Coverage Indicators - Section D'!Y$1:Y$100,MATCH('Print View'!$A177,'Coverage Indicators - Section D'!$A$1:$A$100,0))*100,2)&amp;"%",""),"")&amp;CHAR(10)&amp;IFERROR(IF(INDEX('Coverage Indicators - Section D'!Z$1:Z$100,MATCH('Print View'!$A177,'Coverage Indicators - Section D'!$A$1:$A$100,0))&lt;&gt;"",INDEX('Coverage Indicators - Section D'!Z$1:Z$100,MATCH('Print View'!$A177,'Coverage Indicators - Section D'!$A$1:$A$100,0)),""),"")</f>
        <v xml:space="preserve">/
</v>
      </c>
      <c r="P177" s="82" t="str">
        <f ca="1">IFERROR(IF(INDEX('Coverage Indicators - Section D'!AA$1:AA$100,MATCH('Print View'!$A177,'Coverage Indicators - Section D'!$A$1:$A$100,0))&lt;&gt;"",INDEX('Coverage Indicators - Section D'!AA$1:AA$100,MATCH('Print View'!$A177,'Coverage Indicators - Section D'!$A$1:$A$100,0)),""),"")&amp;"/"&amp;IFERROR(IF(INDEX('Coverage Indicators - Section D'!AA$1:AA$100,MATCH('Print View'!$A177,'Coverage Indicators - Section D'!$A$1:$A$100,0)+1)&lt;&gt;"",INDEX('Coverage Indicators - Section D'!AA$1:AA$100,MATCH('Print View'!$A177,'Coverage Indicators - Section D'!$A$1:$A$100,0)+1),""),"")&amp;CHAR(10)&amp;IFERROR(IF(INDEX('Coverage Indicators - Section D'!AB$1:AB$100,MATCH('Print View'!$A177,'Coverage Indicators - Section D'!$A$1:$A$100,0))&lt;&gt;"",FIXED(INDEX('Coverage Indicators - Section D'!AB$1:AB$100,MATCH('Print View'!$A177,'Coverage Indicators - Section D'!$A$1:$A$100,0))*100,2)&amp;"%",""),"")&amp;CHAR(10)&amp;IFERROR(IF(INDEX('Coverage Indicators - Section D'!AC$1:AC$100,MATCH('Print View'!$A177,'Coverage Indicators - Section D'!$A$1:$A$100,0))&lt;&gt;"",INDEX('Coverage Indicators - Section D'!AC$1:AC$100,MATCH('Print View'!$A177,'Coverage Indicators - Section D'!$A$1:$A$100,0)),""),"")</f>
        <v xml:space="preserve">/
</v>
      </c>
      <c r="Q177" s="82" t="str">
        <f ca="1">IFERROR(IF(INDEX('Coverage Indicators - Section D'!AD$1:AD$100,MATCH('Print View'!$A177,'Coverage Indicators - Section D'!$A$1:$A$100,0))&lt;&gt;"",INDEX('Coverage Indicators - Section D'!AD$1:AD$100,MATCH('Print View'!$A177,'Coverage Indicators - Section D'!$A$1:$A$100,0)),""),"")&amp;"/"&amp;IFERROR(IF(INDEX('Coverage Indicators - Section D'!AD$1:AD$100,MATCH('Print View'!$A177,'Coverage Indicators - Section D'!$A$1:$A$100,0)+1)&lt;&gt;"",INDEX('Coverage Indicators - Section D'!AD$1:AD$100,MATCH('Print View'!$A177,'Coverage Indicators - Section D'!$A$1:$A$100,0)+1),""),"")&amp;CHAR(10)&amp;IFERROR(IF(INDEX('Coverage Indicators - Section D'!AE$1:AE$100,MATCH('Print View'!$A177,'Coverage Indicators - Section D'!$A$1:$A$100,0))&lt;&gt;"",FIXED(INDEX('Coverage Indicators - Section D'!AE$1:AE$100,MATCH('Print View'!$A177,'Coverage Indicators - Section D'!$A$1:$A$100,0))*100,2)&amp;"%",""),"")&amp;CHAR(10)&amp;IFERROR(IF(INDEX('Coverage Indicators - Section D'!AF$1:AF$100,MATCH('Print View'!$A177,'Coverage Indicators - Section D'!$A$1:$A$100,0))&lt;&gt;"",INDEX('Coverage Indicators - Section D'!AF$1:AF$100,MATCH('Print View'!$A177,'Coverage Indicators - Section D'!$A$1:$A$100,0)),""),"")</f>
        <v xml:space="preserve">/
</v>
      </c>
      <c r="R177" s="82" t="str">
        <f ca="1">IFERROR(IF(INDEX('Coverage Indicators - Section D'!AG$1:AG$100,MATCH('Print View'!$A177,'Coverage Indicators - Section D'!$A$1:$A$100,0))&lt;&gt;"",INDEX('Coverage Indicators - Section D'!AG$1:AG$100,MATCH('Print View'!$A177,'Coverage Indicators - Section D'!$A$1:$A$100,0)),""),"")&amp;"/"&amp;IFERROR(IF(INDEX('Coverage Indicators - Section D'!AG$1:AG$100,MATCH('Print View'!$A177,'Coverage Indicators - Section D'!$A$1:$A$100,0)+1)&lt;&gt;"",INDEX('Coverage Indicators - Section D'!AG$1:AG$100,MATCH('Print View'!$A177,'Coverage Indicators - Section D'!$A$1:$A$100,0)+1),""),"")&amp;CHAR(10)&amp;IFERROR(IF(INDEX('Coverage Indicators - Section D'!AH$1:AH$100,MATCH('Print View'!$A177,'Coverage Indicators - Section D'!$A$1:$A$100,0))&lt;&gt;"",FIXED(INDEX('Coverage Indicators - Section D'!AH$1:AH$100,MATCH('Print View'!$A177,'Coverage Indicators - Section D'!$A$1:$A$100,0))*100,2)&amp;"%",""),"")&amp;CHAR(10)&amp;IFERROR(IF(INDEX('Coverage Indicators - Section D'!AI$1:AI$100,MATCH('Print View'!$A177,'Coverage Indicators - Section D'!$A$1:$A$100,0))&lt;&gt;"",INDEX('Coverage Indicators - Section D'!AI$1:AI$100,MATCH('Print View'!$A177,'Coverage Indicators - Section D'!$A$1:$A$100,0)),""),"")</f>
        <v xml:space="preserve">/
</v>
      </c>
      <c r="S177" s="82" t="str">
        <f ca="1">IFERROR(IF(INDEX('Coverage Indicators - Section D'!AJ$1:AJ$100,MATCH('Print View'!$A177,'Coverage Indicators - Section D'!$A$1:$A$100,0))&lt;&gt;"",INDEX('Coverage Indicators - Section D'!AJ$1:AJ$100,MATCH('Print View'!$A177,'Coverage Indicators - Section D'!$A$1:$A$100,0)),""),"")&amp;"/"&amp;IFERROR(IF(INDEX('Coverage Indicators - Section D'!AJ$1:AJ$100,MATCH('Print View'!$A177,'Coverage Indicators - Section D'!$A$1:$A$100,0)+1)&lt;&gt;"",INDEX('Coverage Indicators - Section D'!AJ$1:AJ$100,MATCH('Print View'!$A177,'Coverage Indicators - Section D'!$A$1:$A$100,0)+1),""),"")&amp;CHAR(10)&amp;IFERROR(IF(INDEX('Coverage Indicators - Section D'!AK$1:AK$100,MATCH('Print View'!$A177,'Coverage Indicators - Section D'!$A$1:$A$100,0))&lt;&gt;"",FIXED(INDEX('Coverage Indicators - Section D'!AK$1:AK$100,MATCH('Print View'!$A177,'Coverage Indicators - Section D'!$A$1:$A$100,0))*100,2)&amp;"%",""),"")&amp;CHAR(10)&amp;IFERROR(IF(INDEX('Coverage Indicators - Section D'!AL$1:AL$100,MATCH('Print View'!$A177,'Coverage Indicators - Section D'!$A$1:$A$100,0))&lt;&gt;"",INDEX('Coverage Indicators - Section D'!AL$1:AL$100,MATCH('Print View'!$A177,'Coverage Indicators - Section D'!$A$1:$A$100,0)),""),"")</f>
        <v xml:space="preserve">/
</v>
      </c>
      <c r="T177" s="52"/>
      <c r="U177" s="13"/>
      <c r="V177" s="13"/>
      <c r="W177" s="13"/>
      <c r="X177" s="13"/>
      <c r="Y177" s="13"/>
      <c r="Z177" s="13"/>
      <c r="AA177" s="13"/>
      <c r="AB177" s="13"/>
      <c r="AC177" s="13"/>
      <c r="AD177" s="13"/>
      <c r="AE177" s="13"/>
      <c r="AF177" s="13"/>
      <c r="AG177" s="13"/>
      <c r="AH177" s="13"/>
      <c r="AI177" s="13"/>
      <c r="AJ177" s="13"/>
      <c r="AK177" s="13"/>
      <c r="AL177" s="13"/>
      <c r="AM177" s="13"/>
      <c r="AN177" s="13"/>
      <c r="AO177" s="13" t="str">
        <f ca="1">IFERROR(IF(INDEX('Coverage Indicators - Section D'!AD$1:AD$110,MATCH('Print View'!$A177,'Coverage Indicators - Section D'!$A$1:$A$110,0))&lt;&gt;0,INDEX('Coverage Indicators - Section D'!AD$1:AD$110,MATCH('Print View'!$A177,'Coverage Indicators - Section D'!$A$1:$A$110,0)),""),"")</f>
        <v/>
      </c>
      <c r="AP177" s="13"/>
      <c r="AQ177" s="13"/>
      <c r="AR177" s="13"/>
      <c r="AS177" s="13"/>
      <c r="AT177" s="577" t="str">
        <f ca="1">CONCATENATE($A177,N$147)</f>
        <v>1531-Dec-25</v>
      </c>
      <c r="AU177" s="575" t="str">
        <f ca="1">CONCATENATE($A177,Q$147)</f>
        <v>1531-Dec-28</v>
      </c>
      <c r="AV177" s="575" t="str">
        <f>CONCATENATE($A177,V$147)</f>
        <v>15</v>
      </c>
      <c r="AW177" s="575" t="str">
        <f>CONCATENATE($A177,Y$147)</f>
        <v>15</v>
      </c>
      <c r="AX177" s="575" t="str">
        <f>CONCATENATE($A177,AB$147)</f>
        <v>15</v>
      </c>
      <c r="AY177" s="575" t="str">
        <f>CONCATENATE($A177,AE$147)</f>
        <v>15</v>
      </c>
      <c r="AZ177" s="575" t="str">
        <f>CONCATENATE($A177,AH$147)</f>
        <v>15</v>
      </c>
      <c r="BA177" s="575" t="str">
        <f>CONCATENATE($A177,AK$147)</f>
        <v>15</v>
      </c>
      <c r="BB177" s="96"/>
      <c r="BC177" s="97"/>
    </row>
    <row r="178" spans="1:55" s="16" customFormat="1" ht="88.35" customHeight="1">
      <c r="A178" s="608"/>
      <c r="B178" s="646" t="str">
        <f ca="1">IFERROR(IF(INDEX('Coverage Indicators - Section D'!AM$1:AM$110,MATCH('Print View'!$A177,'Coverage Indicators - Section D'!$A$1:$A$110,0))&lt;&gt;0,INDEX('Coverage Indicators - Section D'!AM$1:AM$110,MATCH('Print View'!$A177,'Coverage Indicators - Section D'!$A$1:$A$110,0)),""),"")</f>
        <v/>
      </c>
      <c r="C178" s="647"/>
      <c r="D178" s="647"/>
      <c r="E178" s="647"/>
      <c r="F178" s="647"/>
      <c r="G178" s="647"/>
      <c r="H178" s="647"/>
      <c r="I178" s="647"/>
      <c r="J178" s="647"/>
      <c r="K178" s="647"/>
      <c r="L178" s="647"/>
      <c r="M178" s="647"/>
      <c r="N178" s="647"/>
      <c r="O178" s="647"/>
      <c r="P178" s="647"/>
      <c r="Q178" s="647"/>
      <c r="R178" s="647"/>
      <c r="S178" s="648"/>
      <c r="T178" s="92"/>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577"/>
      <c r="AU178" s="575"/>
      <c r="AV178" s="575"/>
      <c r="AW178" s="575"/>
      <c r="AX178" s="575"/>
      <c r="AY178" s="575"/>
      <c r="AZ178" s="575"/>
      <c r="BA178" s="575"/>
      <c r="BB178" s="96"/>
      <c r="BC178" s="97"/>
    </row>
    <row r="179" spans="1:55" s="16" customFormat="1" ht="177" customHeight="1">
      <c r="A179" s="609">
        <v>16</v>
      </c>
      <c r="B179" s="83" t="str">
        <f ca="1">IFERROR(IF(INDEX('Coverage Indicators - Section D'!B$1:B$100,MATCH('Print View'!$A179,'Coverage Indicators - Section D'!$A$1:$A$100,0))&lt;&gt;0,INDEX('Coverage Indicators - Section D'!B$1:B$100,MATCH('Print View'!$A179,'Coverage Indicators - Section D'!$A$1:$A$100,0)),""),"")</f>
        <v/>
      </c>
      <c r="C179" s="83" t="str">
        <f ca="1">IFERROR(IF(INDEX('Coverage Indicators - Section D'!D$1:D$100,MATCH('Print View'!$A179,'Coverage Indicators - Section D'!$A$1:$A$100,0))&lt;&gt;0,INDEX('Coverage Indicators - Section D'!D$1:D$100,MATCH('Print View'!$A179,'Coverage Indicators - Section D'!$A$1:$A$100,0)),""),"")</f>
        <v/>
      </c>
      <c r="D179" s="83" t="str">
        <f ca="1">IFERROR(IF(INDEX('Coverage Indicators - Section D'!E$1:E$100,MATCH('Print View'!$A179,'Coverage Indicators - Section D'!$A$1:$A$100,0))&lt;&gt;0,INDEX('Coverage Indicators - Section D'!E$1:E$100,MATCH('Print View'!$A179,'Coverage Indicators - Section D'!$A$1:$A$100,0)),""),"")</f>
        <v/>
      </c>
      <c r="E179" s="45" t="str">
        <f ca="1">IFERROR(IF(INDEX('Coverage Indicators - Section D'!F$1:F$100,MATCH('Print View'!$A179,'Coverage Indicators - Section D'!$A$1:$A$100,0))&lt;&gt;"",INDEX('Coverage Indicators - Section D'!F$1:F$100,MATCH('Print View'!$A179,'Coverage Indicators - Section D'!$A$1:$A$100,0)),""),"")&amp;"/"&amp;IFERROR(IF(INDEX('Coverage Indicators - Section D'!F$1:F$100,MATCH('Print View'!$A179,'Coverage Indicators - Section D'!$A$1:$A$100,0)+1)&lt;&gt;"",INDEX('Coverage Indicators - Section D'!F$1:F$100,MATCH('Print View'!$A179,'Coverage Indicators - Section D'!$A$1:$A$100,0)+1),""),"")&amp;CHAR(10)&amp;IFERROR(IF(INDEX('Coverage Indicators - Section D'!G$1:G$100,MATCH('Print View'!$A179,'Coverage Indicators - Section D'!$A$1:$A$100,0))&lt;&gt;"",FIXED(INDEX('Coverage Indicators - Section D'!G$1:G$100,MATCH('Print View'!$A179,'Coverage Indicators - Section D'!$A$1:$A$100,0))*100,2)&amp;"%",""),"")</f>
        <v xml:space="preserve">/
</v>
      </c>
      <c r="F179" s="84" t="str">
        <f ca="1">IFERROR(IF(INDEX('Coverage Indicators - Section D'!H$1:H$100,MATCH('Print View'!$A179,'Coverage Indicators - Section D'!$A$1:$A$100,0))&lt;&gt;0,INDEX('Coverage Indicators - Section D'!H$1:H$100,MATCH('Print View'!$A179,'Coverage Indicators - Section D'!$A$1:$A$100,0)),""),"")&amp;CHAR(10)&amp;IFERROR(IF(INDEX('Coverage Indicators - Section D'!I$1:I$100,MATCH('Print View'!$A179,'Coverage Indicators - Section D'!$A$1:$A$100,0))&lt;&gt;0,INDEX('Coverage Indicators - Section D'!I$1:I$100,MATCH('Print View'!$A179,'Coverage Indicators - Section D'!$A$1:$A$100,0)),""),"")</f>
        <v xml:space="preserve">
</v>
      </c>
      <c r="G179" s="85" t="str">
        <f>IFERROR(IF(INDEX('Coverage Indicators - Section D'!J37:J66,MATCH('Print View'!$A179,'Coverage Indicators - Section D'!$A$9:$A$38,0))&lt;&gt;0,INDEX('Coverage Indicators - Section D'!J37:J66,MATCH('Print View'!$A179,'Coverage Indicators - Section D'!$A$9:$A$38,0)),""),"")</f>
        <v/>
      </c>
      <c r="H179" s="84" t="str">
        <f ca="1">IFERROR(IF(INDEX('Coverage Indicators - Section D'!K$1:K$100,MATCH('Print View'!$A179,'Coverage Indicators - Section D'!$A$1:$A$100,0))&lt;&gt;0,INDEX('Coverage Indicators - Section D'!K$1:K$100,MATCH('Print View'!$A179,'Coverage Indicators - Section D'!$A$1:$A$100,0)),""),"")</f>
        <v/>
      </c>
      <c r="I179" s="85" t="str">
        <f ca="1">IFERROR(IF(AND('Overview - Section A'!AN$5="Grant Making",OR(C179&lt;&gt;"",D179&lt;&gt;"")),Setup!I15,IF(INDEX('Coverage Indicators - Section D'!L$1:L$100,MATCH('Print View'!$A179,'Coverage Indicators - Section D'!$A$1:$A$100,0))&lt;&gt;0,INDEX('Coverage Indicators - Section D'!L$1:L$100,MATCH('Print View'!$A179,'Coverage Indicators - Section D'!$A$1:$A$100,0)),"")),"")</f>
        <v/>
      </c>
      <c r="J179" s="84" t="str">
        <f ca="1">IFERROR(IF(INDEX('Coverage Indicators - Section D'!M$1:M$100,MATCH('Print View'!$A179,'Coverage Indicators - Section D'!$A$1:$A$100,0))&lt;&gt;0,INDEX('Coverage Indicators - Section D'!M$1:M$100,MATCH('Print View'!$A179,'Coverage Indicators - Section D'!$A$1:$A$100,0)),""),"")&amp;CHAR(10)&amp;IFERROR(IF(INDEX('Coverage Indicators - Section D'!M$1:M$100,MATCH('Print View'!$A179,'Coverage Indicators - Section D'!$A$1:$A$100,0)+1)&lt;&gt;0,INDEX('Coverage Indicators - Section D'!M$1:M$100,MATCH('Print View'!$A179,'Coverage Indicators - Section D'!$A$1:$A$100,0)+1),""),"")</f>
        <v xml:space="preserve">
</v>
      </c>
      <c r="K179" s="84" t="str">
        <f ca="1">IFERROR(IF(INDEX('Coverage Indicators - Section D'!N$1:N$100,MATCH('Print View'!$A179,'Coverage Indicators - Section D'!$A$1:$A$100,0))&lt;&gt;0,INDEX('Coverage Indicators - Section D'!N$1:N$100,MATCH('Print View'!$A179,'Coverage Indicators - Section D'!$A$1:$A$100,0)),""),"")</f>
        <v/>
      </c>
      <c r="L179" s="88" t="str">
        <f ca="1">IFERROR(IF(INDEX('Coverage Indicators - Section D'!O$1:O$100,MATCH('Print View'!$A179,'Coverage Indicators - Section D'!$A$1:$A$100,0))&lt;&gt;"",INDEX('Coverage Indicators - Section D'!O$1:O$100,MATCH('Print View'!$A179,'Coverage Indicators - Section D'!$A$1:$A$100,0)),""),"")&amp;"/"&amp;IFERROR(IF(INDEX('Coverage Indicators - Section D'!O$1:O$100,MATCH('Print View'!$A179,'Coverage Indicators - Section D'!$A$1:$A$100,0)+1)&lt;&gt;"",INDEX('Coverage Indicators - Section D'!O$1:O$100,MATCH('Print View'!$A179,'Coverage Indicators - Section D'!$A$1:$A$100,0)+1),""),"")&amp;CHAR(10)&amp;IFERROR(IF(INDEX('Coverage Indicators - Section D'!P$1:P$100,MATCH('Print View'!$A179,'Coverage Indicators - Section D'!$A$1:$A$100,0))&lt;&gt;"",FIXED(INDEX('Coverage Indicators - Section D'!P$1:P$100,MATCH('Print View'!$A179,'Coverage Indicators - Section D'!$A$1:$A$100,0))*100,2)&amp;"%",""),"")&amp;CHAR(10)&amp;IFERROR(IF(INDEX('Coverage Indicators - Section D'!Q$1:Q$100,MATCH('Print View'!$A179,'Coverage Indicators - Section D'!$A$1:$A$100,0))&lt;&gt;"",INDEX('Coverage Indicators - Section D'!Q$1:Q$100,MATCH('Print View'!$A179,'Coverage Indicators - Section D'!$A$1:$A$100,0)),""),"")</f>
        <v xml:space="preserve">/
</v>
      </c>
      <c r="M179" s="88" t="str">
        <f ca="1">IFERROR(IF(INDEX('Coverage Indicators - Section D'!R$1:R$100,MATCH('Print View'!$A179,'Coverage Indicators - Section D'!$A$1:$A$100,0))&lt;&gt;"",INDEX('Coverage Indicators - Section D'!R$1:R$100,MATCH('Print View'!$A179,'Coverage Indicators - Section D'!$A$1:$A$100,0)),""),"")&amp;"/"&amp;IFERROR(IF(INDEX('Coverage Indicators - Section D'!R$1:R$100,MATCH('Print View'!$A179,'Coverage Indicators - Section D'!$A$1:$A$100,0)+1)&lt;&gt;"",INDEX('Coverage Indicators - Section D'!R$1:R$100,MATCH('Print View'!$A179,'Coverage Indicators - Section D'!$A$1:$A$100,0)+1),""),"")&amp;CHAR(10)&amp;IFERROR(IF(INDEX('Coverage Indicators - Section D'!S$1:S$100,MATCH('Print View'!$A179,'Coverage Indicators - Section D'!$A$1:$A$100,0))&lt;&gt;"",FIXED(INDEX('Coverage Indicators - Section D'!S$1:S$100,MATCH('Print View'!$A179,'Coverage Indicators - Section D'!$A$1:$A$100,0))*100,2)&amp;"%",""),"")&amp;CHAR(10)&amp;IFERROR(IF(INDEX('Coverage Indicators - Section D'!T$1:T$100,MATCH('Print View'!$A179,'Coverage Indicators - Section D'!$A$1:$A$100,0))&lt;&gt;"",INDEX('Coverage Indicators - Section D'!T$1:T$100,MATCH('Print View'!$A179,'Coverage Indicators - Section D'!$A$1:$A$100,0)),""),"")</f>
        <v xml:space="preserve">/
</v>
      </c>
      <c r="N179" s="88" t="str">
        <f ca="1">IFERROR(IF(INDEX('Coverage Indicators - Section D'!U$1:U$100,MATCH('Print View'!$A179,'Coverage Indicators - Section D'!$A$1:$A$100,0))&lt;&gt;"",INDEX('Coverage Indicators - Section D'!U$1:U$100,MATCH('Print View'!$A179,'Coverage Indicators - Section D'!$A$1:$A$100,0)),""),"")&amp;"/"&amp;IFERROR(IF(INDEX('Coverage Indicators - Section D'!U$1:U$100,MATCH('Print View'!$A179,'Coverage Indicators - Section D'!$A$1:$A$100,0)+1)&lt;&gt;"",INDEX('Coverage Indicators - Section D'!U$1:U$100,MATCH('Print View'!$A179,'Coverage Indicators - Section D'!$A$1:$A$100,0)+1),""),"")&amp;CHAR(10)&amp;IFERROR(IF(INDEX('Coverage Indicators - Section D'!V$1:V$100,MATCH('Print View'!$A179,'Coverage Indicators - Section D'!$A$1:$A$100,0))&lt;&gt;"",FIXED(INDEX('Coverage Indicators - Section D'!V$1:V$100,MATCH('Print View'!$A179,'Coverage Indicators - Section D'!$A$1:$A$100,0))*100,2)&amp;"%",""),"")&amp;CHAR(10)&amp;IFERROR(IF(INDEX('Coverage Indicators - Section D'!W$1:W$100,MATCH('Print View'!$A179,'Coverage Indicators - Section D'!$A$1:$A$100,0))&lt;&gt;"",INDEX('Coverage Indicators - Section D'!W$1:W$100,MATCH('Print View'!$A179,'Coverage Indicators - Section D'!$A$1:$A$100,0)),""),"")</f>
        <v xml:space="preserve">/
</v>
      </c>
      <c r="O179" s="88" t="str">
        <f ca="1">IFERROR(IF(INDEX('Coverage Indicators - Section D'!X$1:X$100,MATCH('Print View'!$A179,'Coverage Indicators - Section D'!$A$1:$A$100,0))&lt;&gt;"",INDEX('Coverage Indicators - Section D'!X$1:X$100,MATCH('Print View'!$A179,'Coverage Indicators - Section D'!$A$1:$A$100,0)),""),"")&amp;"/"&amp;IFERROR(IF(INDEX('Coverage Indicators - Section D'!X$1:X$100,MATCH('Print View'!$A179,'Coverage Indicators - Section D'!$A$1:$A$100,0)+1)&lt;&gt;"",INDEX('Coverage Indicators - Section D'!X$1:X$100,MATCH('Print View'!$A179,'Coverage Indicators - Section D'!$A$1:$A$100,0)+1),""),"")&amp;CHAR(10)&amp;IFERROR(IF(INDEX('Coverage Indicators - Section D'!Y$1:Y$100,MATCH('Print View'!$A179,'Coverage Indicators - Section D'!$A$1:$A$100,0))&lt;&gt;"",FIXED(INDEX('Coverage Indicators - Section D'!Y$1:Y$100,MATCH('Print View'!$A179,'Coverage Indicators - Section D'!$A$1:$A$100,0))*100,2)&amp;"%",""),"")&amp;CHAR(10)&amp;IFERROR(IF(INDEX('Coverage Indicators - Section D'!Z$1:Z$100,MATCH('Print View'!$A179,'Coverage Indicators - Section D'!$A$1:$A$100,0))&lt;&gt;"",INDEX('Coverage Indicators - Section D'!Z$1:Z$100,MATCH('Print View'!$A179,'Coverage Indicators - Section D'!$A$1:$A$100,0)),""),"")</f>
        <v xml:space="preserve">/
</v>
      </c>
      <c r="P179" s="88" t="str">
        <f ca="1">IFERROR(IF(INDEX('Coverage Indicators - Section D'!AA$1:AA$100,MATCH('Print View'!$A179,'Coverage Indicators - Section D'!$A$1:$A$100,0))&lt;&gt;"",INDEX('Coverage Indicators - Section D'!AA$1:AA$100,MATCH('Print View'!$A179,'Coverage Indicators - Section D'!$A$1:$A$100,0)),""),"")&amp;"/"&amp;IFERROR(IF(INDEX('Coverage Indicators - Section D'!AA$1:AA$100,MATCH('Print View'!$A179,'Coverage Indicators - Section D'!$A$1:$A$100,0)+1)&lt;&gt;"",INDEX('Coverage Indicators - Section D'!AA$1:AA$100,MATCH('Print View'!$A179,'Coverage Indicators - Section D'!$A$1:$A$100,0)+1),""),"")&amp;CHAR(10)&amp;IFERROR(IF(INDEX('Coverage Indicators - Section D'!AB$1:AB$100,MATCH('Print View'!$A179,'Coverage Indicators - Section D'!$A$1:$A$100,0))&lt;&gt;"",FIXED(INDEX('Coverage Indicators - Section D'!AB$1:AB$100,MATCH('Print View'!$A179,'Coverage Indicators - Section D'!$A$1:$A$100,0))*100,2)&amp;"%",""),"")&amp;CHAR(10)&amp;IFERROR(IF(INDEX('Coverage Indicators - Section D'!AC$1:AC$100,MATCH('Print View'!$A179,'Coverage Indicators - Section D'!$A$1:$A$100,0))&lt;&gt;"",INDEX('Coverage Indicators - Section D'!AC$1:AC$100,MATCH('Print View'!$A179,'Coverage Indicators - Section D'!$A$1:$A$100,0)),""),"")</f>
        <v xml:space="preserve">/
</v>
      </c>
      <c r="Q179" s="88" t="str">
        <f ca="1">IFERROR(IF(INDEX('Coverage Indicators - Section D'!AD$1:AD$100,MATCH('Print View'!$A179,'Coverage Indicators - Section D'!$A$1:$A$100,0))&lt;&gt;"",INDEX('Coverage Indicators - Section D'!AD$1:AD$100,MATCH('Print View'!$A179,'Coverage Indicators - Section D'!$A$1:$A$100,0)),""),"")&amp;"/"&amp;IFERROR(IF(INDEX('Coverage Indicators - Section D'!AD$1:AD$100,MATCH('Print View'!$A179,'Coverage Indicators - Section D'!$A$1:$A$100,0)+1)&lt;&gt;"",INDEX('Coverage Indicators - Section D'!AD$1:AD$100,MATCH('Print View'!$A179,'Coverage Indicators - Section D'!$A$1:$A$100,0)+1),""),"")&amp;CHAR(10)&amp;IFERROR(IF(INDEX('Coverage Indicators - Section D'!AE$1:AE$100,MATCH('Print View'!$A179,'Coverage Indicators - Section D'!$A$1:$A$100,0))&lt;&gt;"",FIXED(INDEX('Coverage Indicators - Section D'!AE$1:AE$100,MATCH('Print View'!$A179,'Coverage Indicators - Section D'!$A$1:$A$100,0))*100,2)&amp;"%",""),"")&amp;CHAR(10)&amp;IFERROR(IF(INDEX('Coverage Indicators - Section D'!AF$1:AF$100,MATCH('Print View'!$A179,'Coverage Indicators - Section D'!$A$1:$A$100,0))&lt;&gt;"",INDEX('Coverage Indicators - Section D'!AF$1:AF$100,MATCH('Print View'!$A179,'Coverage Indicators - Section D'!$A$1:$A$100,0)),""),"")</f>
        <v xml:space="preserve">/
</v>
      </c>
      <c r="R179" s="88" t="str">
        <f ca="1">IFERROR(IF(INDEX('Coverage Indicators - Section D'!AG$1:AG$100,MATCH('Print View'!$A179,'Coverage Indicators - Section D'!$A$1:$A$100,0))&lt;&gt;"",INDEX('Coverage Indicators - Section D'!AG$1:AG$100,MATCH('Print View'!$A179,'Coverage Indicators - Section D'!$A$1:$A$100,0)),""),"")&amp;"/"&amp;IFERROR(IF(INDEX('Coverage Indicators - Section D'!AG$1:AG$100,MATCH('Print View'!$A179,'Coverage Indicators - Section D'!$A$1:$A$100,0)+1)&lt;&gt;"",INDEX('Coverage Indicators - Section D'!AG$1:AG$100,MATCH('Print View'!$A179,'Coverage Indicators - Section D'!$A$1:$A$100,0)+1),""),"")&amp;CHAR(10)&amp;IFERROR(IF(INDEX('Coverage Indicators - Section D'!AH$1:AH$100,MATCH('Print View'!$A179,'Coverage Indicators - Section D'!$A$1:$A$100,0))&lt;&gt;"",FIXED(INDEX('Coverage Indicators - Section D'!AH$1:AH$100,MATCH('Print View'!$A179,'Coverage Indicators - Section D'!$A$1:$A$100,0))*100,2)&amp;"%",""),"")&amp;CHAR(10)&amp;IFERROR(IF(INDEX('Coverage Indicators - Section D'!AI$1:AI$100,MATCH('Print View'!$A179,'Coverage Indicators - Section D'!$A$1:$A$100,0))&lt;&gt;"",INDEX('Coverage Indicators - Section D'!AI$1:AI$100,MATCH('Print View'!$A179,'Coverage Indicators - Section D'!$A$1:$A$100,0)),""),"")</f>
        <v xml:space="preserve">/
</v>
      </c>
      <c r="S179" s="88" t="str">
        <f ca="1">IFERROR(IF(INDEX('Coverage Indicators - Section D'!AJ$1:AJ$100,MATCH('Print View'!$A179,'Coverage Indicators - Section D'!$A$1:$A$100,0))&lt;&gt;"",INDEX('Coverage Indicators - Section D'!AJ$1:AJ$100,MATCH('Print View'!$A179,'Coverage Indicators - Section D'!$A$1:$A$100,0)),""),"")&amp;"/"&amp;IFERROR(IF(INDEX('Coverage Indicators - Section D'!AJ$1:AJ$100,MATCH('Print View'!$A179,'Coverage Indicators - Section D'!$A$1:$A$100,0)+1)&lt;&gt;"",INDEX('Coverage Indicators - Section D'!AJ$1:AJ$100,MATCH('Print View'!$A179,'Coverage Indicators - Section D'!$A$1:$A$100,0)+1),""),"")&amp;CHAR(10)&amp;IFERROR(IF(INDEX('Coverage Indicators - Section D'!AK$1:AK$100,MATCH('Print View'!$A179,'Coverage Indicators - Section D'!$A$1:$A$100,0))&lt;&gt;"",FIXED(INDEX('Coverage Indicators - Section D'!AK$1:AK$100,MATCH('Print View'!$A179,'Coverage Indicators - Section D'!$A$1:$A$100,0))*100,2)&amp;"%",""),"")&amp;CHAR(10)&amp;IFERROR(IF(INDEX('Coverage Indicators - Section D'!AL$1:AL$100,MATCH('Print View'!$A179,'Coverage Indicators - Section D'!$A$1:$A$100,0))&lt;&gt;"",INDEX('Coverage Indicators - Section D'!AL$1:AL$100,MATCH('Print View'!$A179,'Coverage Indicators - Section D'!$A$1:$A$100,0)),""),"")</f>
        <v xml:space="preserve">/
</v>
      </c>
      <c r="T179" s="93"/>
      <c r="U179" s="13"/>
      <c r="V179" s="13"/>
      <c r="W179" s="13"/>
      <c r="X179" s="13"/>
      <c r="Y179" s="13"/>
      <c r="Z179" s="13"/>
      <c r="AA179" s="13"/>
      <c r="AB179" s="13"/>
      <c r="AC179" s="13"/>
      <c r="AD179" s="13"/>
      <c r="AE179" s="13"/>
      <c r="AF179" s="13"/>
      <c r="AG179" s="13"/>
      <c r="AH179" s="13"/>
      <c r="AI179" s="13"/>
      <c r="AJ179" s="13"/>
      <c r="AK179" s="13"/>
      <c r="AL179" s="13"/>
      <c r="AM179" s="13"/>
      <c r="AN179" s="13"/>
      <c r="AO179" s="13" t="str">
        <f ca="1">IFERROR(IF(INDEX('Coverage Indicators - Section D'!AD$1:AD$110,MATCH('Print View'!$A179,'Coverage Indicators - Section D'!$A$1:$A$110,0))&lt;&gt;0,INDEX('Coverage Indicators - Section D'!AD$1:AD$110,MATCH('Print View'!$A179,'Coverage Indicators - Section D'!$A$1:$A$110,0)),""),"")</f>
        <v/>
      </c>
      <c r="AP179" s="13"/>
      <c r="AQ179" s="13"/>
      <c r="AR179" s="13"/>
      <c r="AS179" s="13"/>
      <c r="AT179" s="577" t="str">
        <f ca="1">CONCATENATE($A179,N$147)</f>
        <v>1631-Dec-25</v>
      </c>
      <c r="AU179" s="575" t="str">
        <f ca="1">CONCATENATE($A179,Q$147)</f>
        <v>1631-Dec-28</v>
      </c>
      <c r="AV179" s="575" t="str">
        <f>CONCATENATE($A179,V$147)</f>
        <v>16</v>
      </c>
      <c r="AW179" s="575" t="str">
        <f>CONCATENATE($A179,Y$147)</f>
        <v>16</v>
      </c>
      <c r="AX179" s="575" t="str">
        <f>CONCATENATE($A179,AB$147)</f>
        <v>16</v>
      </c>
      <c r="AY179" s="575" t="str">
        <f>CONCATENATE($A179,AE$147)</f>
        <v>16</v>
      </c>
      <c r="AZ179" s="575" t="str">
        <f>CONCATENATE($A179,AH$147)</f>
        <v>16</v>
      </c>
      <c r="BA179" s="575" t="str">
        <f>CONCATENATE($A179,AK$147)</f>
        <v>16</v>
      </c>
      <c r="BB179" s="96"/>
      <c r="BC179" s="97"/>
    </row>
    <row r="180" spans="1:55" s="16" customFormat="1" ht="88.35" customHeight="1">
      <c r="A180" s="609"/>
      <c r="B180" s="630" t="str">
        <f ca="1">IFERROR(IF(INDEX('Coverage Indicators - Section D'!AM$1:AM$110,MATCH('Print View'!$A179,'Coverage Indicators - Section D'!$A$1:$A$110,0))&lt;&gt;0,INDEX('Coverage Indicators - Section D'!AM$1:AM$110,MATCH('Print View'!$A179,'Coverage Indicators - Section D'!$A$1:$A$110,0)),""),"")</f>
        <v/>
      </c>
      <c r="C180" s="631"/>
      <c r="D180" s="631"/>
      <c r="E180" s="631"/>
      <c r="F180" s="631"/>
      <c r="G180" s="631"/>
      <c r="H180" s="631"/>
      <c r="I180" s="632"/>
      <c r="J180" s="632"/>
      <c r="K180" s="632"/>
      <c r="L180" s="632"/>
      <c r="M180" s="632"/>
      <c r="N180" s="632"/>
      <c r="O180" s="632"/>
      <c r="P180" s="632"/>
      <c r="Q180" s="632"/>
      <c r="R180" s="632"/>
      <c r="S180" s="633"/>
      <c r="T180" s="94"/>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577"/>
      <c r="AU180" s="575"/>
      <c r="AV180" s="575"/>
      <c r="AW180" s="575"/>
      <c r="AX180" s="575"/>
      <c r="AY180" s="575"/>
      <c r="AZ180" s="575"/>
      <c r="BA180" s="575"/>
      <c r="BB180" s="96"/>
      <c r="BC180" s="97"/>
    </row>
    <row r="181" spans="1:55" s="16" customFormat="1" ht="177" customHeight="1">
      <c r="A181" s="608">
        <v>17</v>
      </c>
      <c r="B181" s="80" t="str">
        <f ca="1">IFERROR(IF(INDEX('Coverage Indicators - Section D'!B$1:B$100,MATCH('Print View'!$A181,'Coverage Indicators - Section D'!$A$1:$A$100,0))&lt;&gt;0,INDEX('Coverage Indicators - Section D'!B$1:B$100,MATCH('Print View'!$A181,'Coverage Indicators - Section D'!$A$1:$A$100,0)),""),"")</f>
        <v/>
      </c>
      <c r="C181" s="80" t="str">
        <f ca="1">IFERROR(IF(INDEX('Coverage Indicators - Section D'!D$1:D$100,MATCH('Print View'!$A181,'Coverage Indicators - Section D'!$A$1:$A$100,0))&lt;&gt;0,INDEX('Coverage Indicators - Section D'!D$1:D$100,MATCH('Print View'!$A181,'Coverage Indicators - Section D'!$A$1:$A$100,0)),""),"")</f>
        <v/>
      </c>
      <c r="D181" s="80" t="str">
        <f ca="1">IFERROR(IF(INDEX('Coverage Indicators - Section D'!E$1:E$100,MATCH('Print View'!$A181,'Coverage Indicators - Section D'!$A$1:$A$100,0))&lt;&gt;0,INDEX('Coverage Indicators - Section D'!E$1:E$100,MATCH('Print View'!$A181,'Coverage Indicators - Section D'!$A$1:$A$100,0)),""),"")</f>
        <v/>
      </c>
      <c r="E181" s="81" t="str">
        <f ca="1">IFERROR(IF(INDEX('Coverage Indicators - Section D'!F$1:F$100,MATCH('Print View'!$A181,'Coverage Indicators - Section D'!$A$1:$A$100,0))&lt;&gt;"",INDEX('Coverage Indicators - Section D'!F$1:F$100,MATCH('Print View'!$A181,'Coverage Indicators - Section D'!$A$1:$A$100,0)),""),"")&amp;"/"&amp;IFERROR(IF(INDEX('Coverage Indicators - Section D'!F$1:F$100,MATCH('Print View'!$A181,'Coverage Indicators - Section D'!$A$1:$A$100,0)+1)&lt;&gt;"",INDEX('Coverage Indicators - Section D'!F$1:F$100,MATCH('Print View'!$A181,'Coverage Indicators - Section D'!$A$1:$A$100,0)+1),""),"")&amp;CHAR(10)&amp;IFERROR(IF(INDEX('Coverage Indicators - Section D'!G$1:G$100,MATCH('Print View'!$A181,'Coverage Indicators - Section D'!$A$1:$A$100,0))&lt;&gt;"",FIXED(INDEX('Coverage Indicators - Section D'!G$1:G$100,MATCH('Print View'!$A181,'Coverage Indicators - Section D'!$A$1:$A$100,0))*100,2)&amp;"%",""),"")</f>
        <v xml:space="preserve">/
</v>
      </c>
      <c r="F181" s="82" t="str">
        <f ca="1">IFERROR(IF(INDEX('Coverage Indicators - Section D'!H$1:H$100,MATCH('Print View'!$A181,'Coverage Indicators - Section D'!$A$1:$A$100,0))&lt;&gt;0,INDEX('Coverage Indicators - Section D'!H$1:H$100,MATCH('Print View'!$A181,'Coverage Indicators - Section D'!$A$1:$A$100,0)),""),"")&amp;CHAR(10)&amp;IFERROR(IF(INDEX('Coverage Indicators - Section D'!I$1:I$100,MATCH('Print View'!$A181,'Coverage Indicators - Section D'!$A$1:$A$100,0))&lt;&gt;0,INDEX('Coverage Indicators - Section D'!I$1:I$100,MATCH('Print View'!$A181,'Coverage Indicators - Section D'!$A$1:$A$100,0)),""),"")</f>
        <v xml:space="preserve">
</v>
      </c>
      <c r="G181" s="41" t="str">
        <f ca="1">IFERROR(IF(INDEX('Coverage Indicators - Section D'!J41:J70,MATCH('Print View'!$A181,'Coverage Indicators - Section D'!$A$9:$A$38,0))&lt;&gt;0,INDEX('Coverage Indicators - Section D'!J41:J70,MATCH('Print View'!$A181,'Coverage Indicators - Section D'!$A$9:$A$38,0)),""),"")</f>
        <v/>
      </c>
      <c r="H181" s="42" t="str">
        <f ca="1">IFERROR(IF(INDEX('Coverage Indicators - Section D'!K$1:K$100,MATCH('Print View'!$A181,'Coverage Indicators - Section D'!$A$1:$A$100,0))&lt;&gt;0,INDEX('Coverage Indicators - Section D'!K$1:K$100,MATCH('Print View'!$A181,'Coverage Indicators - Section D'!$A$1:$A$100,0)),""),"")</f>
        <v/>
      </c>
      <c r="I181" s="41" t="str">
        <f ca="1">IFERROR(IF(AND('Overview - Section A'!AN$5="Grant Making",OR(C181&lt;&gt;"",D181&lt;&gt;"")),Setup!I15,IF(INDEX('Coverage Indicators - Section D'!L$1:L$100,MATCH('Print View'!$A181,'Coverage Indicators - Section D'!$A$1:$A$100,0))&lt;&gt;0,INDEX('Coverage Indicators - Section D'!L$1:L$100,MATCH('Print View'!$A181,'Coverage Indicators - Section D'!$A$1:$A$100,0)),"")),"")</f>
        <v/>
      </c>
      <c r="J181" s="81" t="str">
        <f ca="1">IFERROR(IF(INDEX('Coverage Indicators - Section D'!M$1:M$100,MATCH('Print View'!$A181,'Coverage Indicators - Section D'!$A$1:$A$100,0))&lt;&gt;0,INDEX('Coverage Indicators - Section D'!M$1:M$100,MATCH('Print View'!$A181,'Coverage Indicators - Section D'!$A$1:$A$100,0)),""),"")&amp;CHAR(10)&amp;IFERROR(IF(INDEX('Coverage Indicators - Section D'!M$1:M$100,MATCH('Print View'!$A181,'Coverage Indicators - Section D'!$A$1:$A$100,0)+1)&lt;&gt;0,INDEX('Coverage Indicators - Section D'!M$1:M$100,MATCH('Print View'!$A181,'Coverage Indicators - Section D'!$A$1:$A$100,0)+1),""),"")</f>
        <v xml:space="preserve">
</v>
      </c>
      <c r="K181" s="81" t="str">
        <f ca="1">IFERROR(IF(INDEX('Coverage Indicators - Section D'!N$1:N$100,MATCH('Print View'!$A181,'Coverage Indicators - Section D'!$A$1:$A$100,0))&lt;&gt;0,INDEX('Coverage Indicators - Section D'!N$1:N$100,MATCH('Print View'!$A181,'Coverage Indicators - Section D'!$A$1:$A$100,0)),""),"")</f>
        <v/>
      </c>
      <c r="L181" s="81" t="str">
        <f ca="1">IFERROR(IF(INDEX('Coverage Indicators - Section D'!O$1:O$100,MATCH('Print View'!$A181,'Coverage Indicators - Section D'!$A$1:$A$100,0))&lt;&gt;"",INDEX('Coverage Indicators - Section D'!O$1:O$100,MATCH('Print View'!$A181,'Coverage Indicators - Section D'!$A$1:$A$100,0)),""),"")&amp;"/"&amp;IFERROR(IF(INDEX('Coverage Indicators - Section D'!O$1:O$100,MATCH('Print View'!$A181,'Coverage Indicators - Section D'!$A$1:$A$100,0)+1)&lt;&gt;"",INDEX('Coverage Indicators - Section D'!O$1:O$100,MATCH('Print View'!$A181,'Coverage Indicators - Section D'!$A$1:$A$100,0)+1),""),"")&amp;CHAR(10)&amp;IFERROR(IF(INDEX('Coverage Indicators - Section D'!P$1:P$100,MATCH('Print View'!$A181,'Coverage Indicators - Section D'!$A$1:$A$100,0))&lt;&gt;"",FIXED(INDEX('Coverage Indicators - Section D'!P$1:P$100,MATCH('Print View'!$A181,'Coverage Indicators - Section D'!$A$1:$A$100,0))*100,2)&amp;"%",""),"")&amp;CHAR(10)&amp;IFERROR(IF(INDEX('Coverage Indicators - Section D'!Q$1:Q$100,MATCH('Print View'!$A181,'Coverage Indicators - Section D'!$A$1:$A$100,0))&lt;&gt;"",INDEX('Coverage Indicators - Section D'!Q$1:Q$100,MATCH('Print View'!$A181,'Coverage Indicators - Section D'!$A$1:$A$100,0)),""),"")</f>
        <v xml:space="preserve">/
</v>
      </c>
      <c r="M181" s="82" t="str">
        <f ca="1">IFERROR(IF(INDEX('Coverage Indicators - Section D'!R$1:R$100,MATCH('Print View'!$A181,'Coverage Indicators - Section D'!$A$1:$A$100,0))&lt;&gt;"",INDEX('Coverage Indicators - Section D'!R$1:R$100,MATCH('Print View'!$A181,'Coverage Indicators - Section D'!$A$1:$A$100,0)),""),"")&amp;"/"&amp;IFERROR(IF(INDEX('Coverage Indicators - Section D'!R$1:R$100,MATCH('Print View'!$A181,'Coverage Indicators - Section D'!$A$1:$A$100,0)+1)&lt;&gt;"",INDEX('Coverage Indicators - Section D'!R$1:R$100,MATCH('Print View'!$A181,'Coverage Indicators - Section D'!$A$1:$A$100,0)+1),""),"")&amp;CHAR(10)&amp;IFERROR(IF(INDEX('Coverage Indicators - Section D'!S$1:S$100,MATCH('Print View'!$A181,'Coverage Indicators - Section D'!$A$1:$A$100,0))&lt;&gt;"",FIXED(INDEX('Coverage Indicators - Section D'!S$1:S$100,MATCH('Print View'!$A181,'Coverage Indicators - Section D'!$A$1:$A$100,0))*100,2)&amp;"%",""),"")&amp;CHAR(10)&amp;IFERROR(IF(INDEX('Coverage Indicators - Section D'!T$1:T$100,MATCH('Print View'!$A181,'Coverage Indicators - Section D'!$A$1:$A$100,0))&lt;&gt;"",INDEX('Coverage Indicators - Section D'!T$1:T$100,MATCH('Print View'!$A181,'Coverage Indicators - Section D'!$A$1:$A$100,0)),""),"")</f>
        <v xml:space="preserve">/
</v>
      </c>
      <c r="N181" s="81" t="str">
        <f ca="1">IFERROR(IF(INDEX('Coverage Indicators - Section D'!U$1:U$100,MATCH('Print View'!$A181,'Coverage Indicators - Section D'!$A$1:$A$100,0))&lt;&gt;"",INDEX('Coverage Indicators - Section D'!U$1:U$100,MATCH('Print View'!$A181,'Coverage Indicators - Section D'!$A$1:$A$100,0)),""),"")&amp;"/"&amp;IFERROR(IF(INDEX('Coverage Indicators - Section D'!U$1:U$100,MATCH('Print View'!$A181,'Coverage Indicators - Section D'!$A$1:$A$100,0)+1)&lt;&gt;"",INDEX('Coverage Indicators - Section D'!U$1:U$100,MATCH('Print View'!$A181,'Coverage Indicators - Section D'!$A$1:$A$100,0)+1),""),"")&amp;CHAR(10)&amp;IFERROR(IF(INDEX('Coverage Indicators - Section D'!V$1:V$100,MATCH('Print View'!$A181,'Coverage Indicators - Section D'!$A$1:$A$100,0))&lt;&gt;"",FIXED(INDEX('Coverage Indicators - Section D'!V$1:V$100,MATCH('Print View'!$A181,'Coverage Indicators - Section D'!$A$1:$A$100,0))*100,2)&amp;"%",""),"")&amp;CHAR(10)&amp;IFERROR(IF(INDEX('Coverage Indicators - Section D'!W$1:W$100,MATCH('Print View'!$A181,'Coverage Indicators - Section D'!$A$1:$A$100,0))&lt;&gt;"",INDEX('Coverage Indicators - Section D'!W$1:W$100,MATCH('Print View'!$A181,'Coverage Indicators - Section D'!$A$1:$A$100,0)),""),"")</f>
        <v xml:space="preserve">/
</v>
      </c>
      <c r="O181" s="82" t="str">
        <f ca="1">IFERROR(IF(INDEX('Coverage Indicators - Section D'!X$1:X$100,MATCH('Print View'!$A181,'Coverage Indicators - Section D'!$A$1:$A$100,0))&lt;&gt;"",INDEX('Coverage Indicators - Section D'!X$1:X$100,MATCH('Print View'!$A181,'Coverage Indicators - Section D'!$A$1:$A$100,0)),""),"")&amp;"/"&amp;IFERROR(IF(INDEX('Coverage Indicators - Section D'!X$1:X$100,MATCH('Print View'!$A181,'Coverage Indicators - Section D'!$A$1:$A$100,0)+1)&lt;&gt;"",INDEX('Coverage Indicators - Section D'!X$1:X$100,MATCH('Print View'!$A181,'Coverage Indicators - Section D'!$A$1:$A$100,0)+1),""),"")&amp;CHAR(10)&amp;IFERROR(IF(INDEX('Coverage Indicators - Section D'!Y$1:Y$100,MATCH('Print View'!$A181,'Coverage Indicators - Section D'!$A$1:$A$100,0))&lt;&gt;"",FIXED(INDEX('Coverage Indicators - Section D'!Y$1:Y$100,MATCH('Print View'!$A181,'Coverage Indicators - Section D'!$A$1:$A$100,0))*100,2)&amp;"%",""),"")&amp;CHAR(10)&amp;IFERROR(IF(INDEX('Coverage Indicators - Section D'!Z$1:Z$100,MATCH('Print View'!$A181,'Coverage Indicators - Section D'!$A$1:$A$100,0))&lt;&gt;"",INDEX('Coverage Indicators - Section D'!Z$1:Z$100,MATCH('Print View'!$A181,'Coverage Indicators - Section D'!$A$1:$A$100,0)),""),"")</f>
        <v xml:space="preserve">/
</v>
      </c>
      <c r="P181" s="82" t="str">
        <f ca="1">IFERROR(IF(INDEX('Coverage Indicators - Section D'!AA$1:AA$100,MATCH('Print View'!$A181,'Coverage Indicators - Section D'!$A$1:$A$100,0))&lt;&gt;"",INDEX('Coverage Indicators - Section D'!AA$1:AA$100,MATCH('Print View'!$A181,'Coverage Indicators - Section D'!$A$1:$A$100,0)),""),"")&amp;"/"&amp;IFERROR(IF(INDEX('Coverage Indicators - Section D'!AA$1:AA$100,MATCH('Print View'!$A181,'Coverage Indicators - Section D'!$A$1:$A$100,0)+1)&lt;&gt;"",INDEX('Coverage Indicators - Section D'!AA$1:AA$100,MATCH('Print View'!$A181,'Coverage Indicators - Section D'!$A$1:$A$100,0)+1),""),"")&amp;CHAR(10)&amp;IFERROR(IF(INDEX('Coverage Indicators - Section D'!AB$1:AB$100,MATCH('Print View'!$A181,'Coverage Indicators - Section D'!$A$1:$A$100,0))&lt;&gt;"",FIXED(INDEX('Coverage Indicators - Section D'!AB$1:AB$100,MATCH('Print View'!$A181,'Coverage Indicators - Section D'!$A$1:$A$100,0))*100,2)&amp;"%",""),"")&amp;CHAR(10)&amp;IFERROR(IF(INDEX('Coverage Indicators - Section D'!AC$1:AC$100,MATCH('Print View'!$A181,'Coverage Indicators - Section D'!$A$1:$A$100,0))&lt;&gt;"",INDEX('Coverage Indicators - Section D'!AC$1:AC$100,MATCH('Print View'!$A181,'Coverage Indicators - Section D'!$A$1:$A$100,0)),""),"")</f>
        <v xml:space="preserve">/
</v>
      </c>
      <c r="Q181" s="82" t="str">
        <f ca="1">IFERROR(IF(INDEX('Coverage Indicators - Section D'!AD$1:AD$100,MATCH('Print View'!$A181,'Coverage Indicators - Section D'!$A$1:$A$100,0))&lt;&gt;"",INDEX('Coverage Indicators - Section D'!AD$1:AD$100,MATCH('Print View'!$A181,'Coverage Indicators - Section D'!$A$1:$A$100,0)),""),"")&amp;"/"&amp;IFERROR(IF(INDEX('Coverage Indicators - Section D'!AD$1:AD$100,MATCH('Print View'!$A181,'Coverage Indicators - Section D'!$A$1:$A$100,0)+1)&lt;&gt;"",INDEX('Coverage Indicators - Section D'!AD$1:AD$100,MATCH('Print View'!$A181,'Coverage Indicators - Section D'!$A$1:$A$100,0)+1),""),"")&amp;CHAR(10)&amp;IFERROR(IF(INDEX('Coverage Indicators - Section D'!AE$1:AE$100,MATCH('Print View'!$A181,'Coverage Indicators - Section D'!$A$1:$A$100,0))&lt;&gt;"",FIXED(INDEX('Coverage Indicators - Section D'!AE$1:AE$100,MATCH('Print View'!$A181,'Coverage Indicators - Section D'!$A$1:$A$100,0))*100,2)&amp;"%",""),"")&amp;CHAR(10)&amp;IFERROR(IF(INDEX('Coverage Indicators - Section D'!AF$1:AF$100,MATCH('Print View'!$A181,'Coverage Indicators - Section D'!$A$1:$A$100,0))&lt;&gt;"",INDEX('Coverage Indicators - Section D'!AF$1:AF$100,MATCH('Print View'!$A181,'Coverage Indicators - Section D'!$A$1:$A$100,0)),""),"")</f>
        <v xml:space="preserve">/
</v>
      </c>
      <c r="R181" s="82" t="str">
        <f ca="1">IFERROR(IF(INDEX('Coverage Indicators - Section D'!AG$1:AG$100,MATCH('Print View'!$A181,'Coverage Indicators - Section D'!$A$1:$A$100,0))&lt;&gt;"",INDEX('Coverage Indicators - Section D'!AG$1:AG$100,MATCH('Print View'!$A181,'Coverage Indicators - Section D'!$A$1:$A$100,0)),""),"")&amp;"/"&amp;IFERROR(IF(INDEX('Coverage Indicators - Section D'!AG$1:AG$100,MATCH('Print View'!$A181,'Coverage Indicators - Section D'!$A$1:$A$100,0)+1)&lt;&gt;"",INDEX('Coverage Indicators - Section D'!AG$1:AG$100,MATCH('Print View'!$A181,'Coverage Indicators - Section D'!$A$1:$A$100,0)+1),""),"")&amp;CHAR(10)&amp;IFERROR(IF(INDEX('Coverage Indicators - Section D'!AH$1:AH$100,MATCH('Print View'!$A181,'Coverage Indicators - Section D'!$A$1:$A$100,0))&lt;&gt;"",FIXED(INDEX('Coverage Indicators - Section D'!AH$1:AH$100,MATCH('Print View'!$A181,'Coverage Indicators - Section D'!$A$1:$A$100,0))*100,2)&amp;"%",""),"")&amp;CHAR(10)&amp;IFERROR(IF(INDEX('Coverage Indicators - Section D'!AI$1:AI$100,MATCH('Print View'!$A181,'Coverage Indicators - Section D'!$A$1:$A$100,0))&lt;&gt;"",INDEX('Coverage Indicators - Section D'!AI$1:AI$100,MATCH('Print View'!$A181,'Coverage Indicators - Section D'!$A$1:$A$100,0)),""),"")</f>
        <v xml:space="preserve">/
</v>
      </c>
      <c r="S181" s="82" t="str">
        <f ca="1">IFERROR(IF(INDEX('Coverage Indicators - Section D'!AJ$1:AJ$100,MATCH('Print View'!$A181,'Coverage Indicators - Section D'!$A$1:$A$100,0))&lt;&gt;"",INDEX('Coverage Indicators - Section D'!AJ$1:AJ$100,MATCH('Print View'!$A181,'Coverage Indicators - Section D'!$A$1:$A$100,0)),""),"")&amp;"/"&amp;IFERROR(IF(INDEX('Coverage Indicators - Section D'!AJ$1:AJ$100,MATCH('Print View'!$A181,'Coverage Indicators - Section D'!$A$1:$A$100,0)+1)&lt;&gt;"",INDEX('Coverage Indicators - Section D'!AJ$1:AJ$100,MATCH('Print View'!$A181,'Coverage Indicators - Section D'!$A$1:$A$100,0)+1),""),"")&amp;CHAR(10)&amp;IFERROR(IF(INDEX('Coverage Indicators - Section D'!AK$1:AK$100,MATCH('Print View'!$A181,'Coverage Indicators - Section D'!$A$1:$A$100,0))&lt;&gt;"",FIXED(INDEX('Coverage Indicators - Section D'!AK$1:AK$100,MATCH('Print View'!$A181,'Coverage Indicators - Section D'!$A$1:$A$100,0))*100,2)&amp;"%",""),"")&amp;CHAR(10)&amp;IFERROR(IF(INDEX('Coverage Indicators - Section D'!AL$1:AL$100,MATCH('Print View'!$A181,'Coverage Indicators - Section D'!$A$1:$A$100,0))&lt;&gt;"",INDEX('Coverage Indicators - Section D'!AL$1:AL$100,MATCH('Print View'!$A181,'Coverage Indicators - Section D'!$A$1:$A$100,0)),""),"")</f>
        <v xml:space="preserve">/
</v>
      </c>
      <c r="T181" s="52"/>
      <c r="U181" s="13"/>
      <c r="V181" s="13"/>
      <c r="W181" s="13"/>
      <c r="X181" s="13"/>
      <c r="Y181" s="13"/>
      <c r="Z181" s="13"/>
      <c r="AA181" s="13"/>
      <c r="AB181" s="13"/>
      <c r="AC181" s="13"/>
      <c r="AD181" s="13"/>
      <c r="AE181" s="13"/>
      <c r="AF181" s="13"/>
      <c r="AG181" s="13"/>
      <c r="AH181" s="13"/>
      <c r="AI181" s="13"/>
      <c r="AJ181" s="13"/>
      <c r="AK181" s="13"/>
      <c r="AL181" s="13"/>
      <c r="AM181" s="13"/>
      <c r="AN181" s="13"/>
      <c r="AO181" s="13" t="str">
        <f ca="1">IFERROR(IF(INDEX('Coverage Indicators - Section D'!AD$1:AD$110,MATCH('Print View'!$A181,'Coverage Indicators - Section D'!$A$1:$A$110,0))&lt;&gt;0,INDEX('Coverage Indicators - Section D'!AD$1:AD$110,MATCH('Print View'!$A181,'Coverage Indicators - Section D'!$A$1:$A$110,0)),""),"")</f>
        <v/>
      </c>
      <c r="AP181" s="13"/>
      <c r="AQ181" s="13"/>
      <c r="AR181" s="13"/>
      <c r="AS181" s="13"/>
      <c r="AT181" s="577" t="str">
        <f ca="1">CONCATENATE($A181,N$147)</f>
        <v>1731-Dec-25</v>
      </c>
      <c r="AU181" s="575" t="str">
        <f ca="1">CONCATENATE($A181,Q$147)</f>
        <v>1731-Dec-28</v>
      </c>
      <c r="AV181" s="575" t="str">
        <f>CONCATENATE($A181,V$147)</f>
        <v>17</v>
      </c>
      <c r="AW181" s="575" t="str">
        <f>CONCATENATE($A181,Y$147)</f>
        <v>17</v>
      </c>
      <c r="AX181" s="575" t="str">
        <f>CONCATENATE($A181,AB$147)</f>
        <v>17</v>
      </c>
      <c r="AY181" s="575" t="str">
        <f>CONCATENATE($A181,AE$147)</f>
        <v>17</v>
      </c>
      <c r="AZ181" s="575" t="str">
        <f>CONCATENATE($A181,AH$147)</f>
        <v>17</v>
      </c>
      <c r="BA181" s="575" t="str">
        <f>CONCATENATE($A181,AK$147)</f>
        <v>17</v>
      </c>
      <c r="BB181" s="96"/>
      <c r="BC181" s="97"/>
    </row>
    <row r="182" spans="1:55" s="16" customFormat="1" ht="88.35" customHeight="1">
      <c r="A182" s="608"/>
      <c r="B182" s="646" t="str">
        <f ca="1">IFERROR(IF(INDEX('Coverage Indicators - Section D'!AM$1:AM$110,MATCH('Print View'!$A181,'Coverage Indicators - Section D'!$A$1:$A$110,0))&lt;&gt;0,INDEX('Coverage Indicators - Section D'!AM$1:AM$110,MATCH('Print View'!$A181,'Coverage Indicators - Section D'!$A$1:$A$110,0)),""),"")</f>
        <v/>
      </c>
      <c r="C182" s="647"/>
      <c r="D182" s="647"/>
      <c r="E182" s="647"/>
      <c r="F182" s="647"/>
      <c r="G182" s="647"/>
      <c r="H182" s="647"/>
      <c r="I182" s="647"/>
      <c r="J182" s="647"/>
      <c r="K182" s="647"/>
      <c r="L182" s="647"/>
      <c r="M182" s="647"/>
      <c r="N182" s="647"/>
      <c r="O182" s="647"/>
      <c r="P182" s="647"/>
      <c r="Q182" s="647"/>
      <c r="R182" s="647"/>
      <c r="S182" s="648"/>
      <c r="T182" s="92"/>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577"/>
      <c r="AU182" s="575"/>
      <c r="AV182" s="575"/>
      <c r="AW182" s="575"/>
      <c r="AX182" s="575"/>
      <c r="AY182" s="575"/>
      <c r="AZ182" s="575"/>
      <c r="BA182" s="575"/>
      <c r="BB182" s="96"/>
      <c r="BC182" s="97"/>
    </row>
    <row r="183" spans="1:55" s="16" customFormat="1" ht="177" customHeight="1">
      <c r="A183" s="609">
        <v>18</v>
      </c>
      <c r="B183" s="83" t="str">
        <f ca="1">IFERROR(IF(INDEX('Coverage Indicators - Section D'!B$1:B$100,MATCH('Print View'!$A183,'Coverage Indicators - Section D'!$A$1:$A$100,0))&lt;&gt;0,INDEX('Coverage Indicators - Section D'!B$1:B$100,MATCH('Print View'!$A183,'Coverage Indicators - Section D'!$A$1:$A$100,0)),""),"")</f>
        <v/>
      </c>
      <c r="C183" s="83" t="str">
        <f ca="1">IFERROR(IF(INDEX('Coverage Indicators - Section D'!D$1:D$100,MATCH('Print View'!$A183,'Coverage Indicators - Section D'!$A$1:$A$100,0))&lt;&gt;0,INDEX('Coverage Indicators - Section D'!D$1:D$100,MATCH('Print View'!$A183,'Coverage Indicators - Section D'!$A$1:$A$100,0)),""),"")</f>
        <v/>
      </c>
      <c r="D183" s="83" t="str">
        <f ca="1">IFERROR(IF(INDEX('Coverage Indicators - Section D'!E$1:E$100,MATCH('Print View'!$A183,'Coverage Indicators - Section D'!$A$1:$A$100,0))&lt;&gt;0,INDEX('Coverage Indicators - Section D'!E$1:E$100,MATCH('Print View'!$A183,'Coverage Indicators - Section D'!$A$1:$A$100,0)),""),"")</f>
        <v/>
      </c>
      <c r="E183" s="45" t="str">
        <f ca="1">IFERROR(IF(INDEX('Coverage Indicators - Section D'!F$1:F$100,MATCH('Print View'!$A183,'Coverage Indicators - Section D'!$A$1:$A$100,0))&lt;&gt;"",INDEX('Coverage Indicators - Section D'!F$1:F$100,MATCH('Print View'!$A183,'Coverage Indicators - Section D'!$A$1:$A$100,0)),""),"")&amp;"/"&amp;IFERROR(IF(INDEX('Coverage Indicators - Section D'!F$1:F$100,MATCH('Print View'!$A183,'Coverage Indicators - Section D'!$A$1:$A$100,0)+1)&lt;&gt;"",INDEX('Coverage Indicators - Section D'!F$1:F$100,MATCH('Print View'!$A183,'Coverage Indicators - Section D'!$A$1:$A$100,0)+1),""),"")&amp;CHAR(10)&amp;IFERROR(IF(INDEX('Coverage Indicators - Section D'!G$1:G$100,MATCH('Print View'!$A183,'Coverage Indicators - Section D'!$A$1:$A$100,0))&lt;&gt;"",FIXED(INDEX('Coverage Indicators - Section D'!G$1:G$100,MATCH('Print View'!$A183,'Coverage Indicators - Section D'!$A$1:$A$100,0))*100,2)&amp;"%",""),"")</f>
        <v xml:space="preserve">/
</v>
      </c>
      <c r="F183" s="84" t="str">
        <f ca="1">IFERROR(IF(INDEX('Coverage Indicators - Section D'!H$1:H$100,MATCH('Print View'!$A183,'Coverage Indicators - Section D'!$A$1:$A$100,0))&lt;&gt;0,INDEX('Coverage Indicators - Section D'!H$1:H$100,MATCH('Print View'!$A183,'Coverage Indicators - Section D'!$A$1:$A$100,0)),""),"")&amp;CHAR(10)&amp;IFERROR(IF(INDEX('Coverage Indicators - Section D'!I$1:I$100,MATCH('Print View'!$A183,'Coverage Indicators - Section D'!$A$1:$A$100,0))&lt;&gt;0,INDEX('Coverage Indicators - Section D'!I$1:I$100,MATCH('Print View'!$A183,'Coverage Indicators - Section D'!$A$1:$A$100,0)),""),"")</f>
        <v xml:space="preserve">
</v>
      </c>
      <c r="G183" s="85" t="str">
        <f ca="1">IFERROR(IF(INDEX('Coverage Indicators - Section D'!J41:J70,MATCH('Print View'!$A183,'Coverage Indicators - Section D'!$A$9:$A$38,0))&lt;&gt;0,INDEX('Coverage Indicators - Section D'!J41:J70,MATCH('Print View'!$A183,'Coverage Indicators - Section D'!$A$9:$A$38,0)),""),"")</f>
        <v/>
      </c>
      <c r="H183" s="84" t="str">
        <f ca="1">IFERROR(IF(INDEX('Coverage Indicators - Section D'!K$1:K$100,MATCH('Print View'!$A183,'Coverage Indicators - Section D'!$A$1:$A$100,0))&lt;&gt;0,INDEX('Coverage Indicators - Section D'!K$1:K$100,MATCH('Print View'!$A183,'Coverage Indicators - Section D'!$A$1:$A$100,0)),""),"")</f>
        <v/>
      </c>
      <c r="I183" s="85" t="str">
        <f ca="1">IFERROR(IF(AND('Overview - Section A'!AN$5="Grant Making",OR(C183&lt;&gt;"",D183&lt;&gt;"")),Setup!I15,IF(INDEX('Coverage Indicators - Section D'!L$1:L$100,MATCH('Print View'!$A183,'Coverage Indicators - Section D'!$A$1:$A$100,0))&lt;&gt;0,INDEX('Coverage Indicators - Section D'!L$1:L$100,MATCH('Print View'!$A183,'Coverage Indicators - Section D'!$A$1:$A$100,0)),"")),"")</f>
        <v/>
      </c>
      <c r="J183" s="84" t="str">
        <f ca="1">IFERROR(IF(INDEX('Coverage Indicators - Section D'!M$1:M$100,MATCH('Print View'!$A183,'Coverage Indicators - Section D'!$A$1:$A$100,0))&lt;&gt;0,INDEX('Coverage Indicators - Section D'!M$1:M$100,MATCH('Print View'!$A183,'Coverage Indicators - Section D'!$A$1:$A$100,0)),""),"")&amp;CHAR(10)&amp;IFERROR(IF(INDEX('Coverage Indicators - Section D'!M$1:M$100,MATCH('Print View'!$A183,'Coverage Indicators - Section D'!$A$1:$A$100,0)+1)&lt;&gt;0,INDEX('Coverage Indicators - Section D'!M$1:M$100,MATCH('Print View'!$A183,'Coverage Indicators - Section D'!$A$1:$A$100,0)+1),""),"")</f>
        <v xml:space="preserve">
</v>
      </c>
      <c r="K183" s="84" t="str">
        <f ca="1">IFERROR(IF(INDEX('Coverage Indicators - Section D'!N$1:N$100,MATCH('Print View'!$A183,'Coverage Indicators - Section D'!$A$1:$A$100,0))&lt;&gt;0,INDEX('Coverage Indicators - Section D'!N$1:N$100,MATCH('Print View'!$A183,'Coverage Indicators - Section D'!$A$1:$A$100,0)),""),"")</f>
        <v/>
      </c>
      <c r="L183" s="88" t="str">
        <f ca="1">IFERROR(IF(INDEX('Coverage Indicators - Section D'!O$1:O$100,MATCH('Print View'!$A183,'Coverage Indicators - Section D'!$A$1:$A$100,0))&lt;&gt;"",INDEX('Coverage Indicators - Section D'!O$1:O$100,MATCH('Print View'!$A183,'Coverage Indicators - Section D'!$A$1:$A$100,0)),""),"")&amp;"/"&amp;IFERROR(IF(INDEX('Coverage Indicators - Section D'!O$1:O$100,MATCH('Print View'!$A183,'Coverage Indicators - Section D'!$A$1:$A$100,0)+1)&lt;&gt;"",INDEX('Coverage Indicators - Section D'!O$1:O$100,MATCH('Print View'!$A183,'Coverage Indicators - Section D'!$A$1:$A$100,0)+1),""),"")&amp;CHAR(10)&amp;IFERROR(IF(INDEX('Coverage Indicators - Section D'!P$1:P$100,MATCH('Print View'!$A183,'Coverage Indicators - Section D'!$A$1:$A$100,0))&lt;&gt;"",FIXED(INDEX('Coverage Indicators - Section D'!P$1:P$100,MATCH('Print View'!$A183,'Coverage Indicators - Section D'!$A$1:$A$100,0))*100,2)&amp;"%",""),"")&amp;CHAR(10)&amp;IFERROR(IF(INDEX('Coverage Indicators - Section D'!Q$1:Q$100,MATCH('Print View'!$A183,'Coverage Indicators - Section D'!$A$1:$A$100,0))&lt;&gt;"",INDEX('Coverage Indicators - Section D'!Q$1:Q$100,MATCH('Print View'!$A183,'Coverage Indicators - Section D'!$A$1:$A$100,0)),""),"")</f>
        <v xml:space="preserve">/
</v>
      </c>
      <c r="M183" s="88" t="str">
        <f ca="1">IFERROR(IF(INDEX('Coverage Indicators - Section D'!R$1:R$100,MATCH('Print View'!$A183,'Coverage Indicators - Section D'!$A$1:$A$100,0))&lt;&gt;"",INDEX('Coverage Indicators - Section D'!R$1:R$100,MATCH('Print View'!$A183,'Coverage Indicators - Section D'!$A$1:$A$100,0)),""),"")&amp;"/"&amp;IFERROR(IF(INDEX('Coverage Indicators - Section D'!R$1:R$100,MATCH('Print View'!$A183,'Coverage Indicators - Section D'!$A$1:$A$100,0)+1)&lt;&gt;"",INDEX('Coverage Indicators - Section D'!R$1:R$100,MATCH('Print View'!$A183,'Coverage Indicators - Section D'!$A$1:$A$100,0)+1),""),"")&amp;CHAR(10)&amp;IFERROR(IF(INDEX('Coverage Indicators - Section D'!S$1:S$100,MATCH('Print View'!$A183,'Coverage Indicators - Section D'!$A$1:$A$100,0))&lt;&gt;"",FIXED(INDEX('Coverage Indicators - Section D'!S$1:S$100,MATCH('Print View'!$A183,'Coverage Indicators - Section D'!$A$1:$A$100,0))*100,2)&amp;"%",""),"")&amp;CHAR(10)&amp;IFERROR(IF(INDEX('Coverage Indicators - Section D'!T$1:T$100,MATCH('Print View'!$A183,'Coverage Indicators - Section D'!$A$1:$A$100,0))&lt;&gt;"",INDEX('Coverage Indicators - Section D'!T$1:T$100,MATCH('Print View'!$A183,'Coverage Indicators - Section D'!$A$1:$A$100,0)),""),"")</f>
        <v xml:space="preserve">/
</v>
      </c>
      <c r="N183" s="88" t="str">
        <f ca="1">IFERROR(IF(INDEX('Coverage Indicators - Section D'!U$1:U$100,MATCH('Print View'!$A183,'Coverage Indicators - Section D'!$A$1:$A$100,0))&lt;&gt;"",INDEX('Coverage Indicators - Section D'!U$1:U$100,MATCH('Print View'!$A183,'Coverage Indicators - Section D'!$A$1:$A$100,0)),""),"")&amp;"/"&amp;IFERROR(IF(INDEX('Coverage Indicators - Section D'!U$1:U$100,MATCH('Print View'!$A183,'Coverage Indicators - Section D'!$A$1:$A$100,0)+1)&lt;&gt;"",INDEX('Coverage Indicators - Section D'!U$1:U$100,MATCH('Print View'!$A183,'Coverage Indicators - Section D'!$A$1:$A$100,0)+1),""),"")&amp;CHAR(10)&amp;IFERROR(IF(INDEX('Coverage Indicators - Section D'!V$1:V$100,MATCH('Print View'!$A183,'Coverage Indicators - Section D'!$A$1:$A$100,0))&lt;&gt;"",FIXED(INDEX('Coverage Indicators - Section D'!V$1:V$100,MATCH('Print View'!$A183,'Coverage Indicators - Section D'!$A$1:$A$100,0))*100,2)&amp;"%",""),"")&amp;CHAR(10)&amp;IFERROR(IF(INDEX('Coverage Indicators - Section D'!W$1:W$100,MATCH('Print View'!$A183,'Coverage Indicators - Section D'!$A$1:$A$100,0))&lt;&gt;"",INDEX('Coverage Indicators - Section D'!W$1:W$100,MATCH('Print View'!$A183,'Coverage Indicators - Section D'!$A$1:$A$100,0)),""),"")</f>
        <v xml:space="preserve">/
</v>
      </c>
      <c r="O183" s="88" t="str">
        <f ca="1">IFERROR(IF(INDEX('Coverage Indicators - Section D'!X$1:X$100,MATCH('Print View'!$A183,'Coverage Indicators - Section D'!$A$1:$A$100,0))&lt;&gt;"",INDEX('Coverage Indicators - Section D'!X$1:X$100,MATCH('Print View'!$A183,'Coverage Indicators - Section D'!$A$1:$A$100,0)),""),"")&amp;"/"&amp;IFERROR(IF(INDEX('Coverage Indicators - Section D'!X$1:X$100,MATCH('Print View'!$A183,'Coverage Indicators - Section D'!$A$1:$A$100,0)+1)&lt;&gt;"",INDEX('Coverage Indicators - Section D'!X$1:X$100,MATCH('Print View'!$A183,'Coverage Indicators - Section D'!$A$1:$A$100,0)+1),""),"")&amp;CHAR(10)&amp;IFERROR(IF(INDEX('Coverage Indicators - Section D'!Y$1:Y$100,MATCH('Print View'!$A183,'Coverage Indicators - Section D'!$A$1:$A$100,0))&lt;&gt;"",FIXED(INDEX('Coverage Indicators - Section D'!Y$1:Y$100,MATCH('Print View'!$A183,'Coverage Indicators - Section D'!$A$1:$A$100,0))*100,2)&amp;"%",""),"")&amp;CHAR(10)&amp;IFERROR(IF(INDEX('Coverage Indicators - Section D'!Z$1:Z$100,MATCH('Print View'!$A183,'Coverage Indicators - Section D'!$A$1:$A$100,0))&lt;&gt;"",INDEX('Coverage Indicators - Section D'!Z$1:Z$100,MATCH('Print View'!$A183,'Coverage Indicators - Section D'!$A$1:$A$100,0)),""),"")</f>
        <v xml:space="preserve">/
</v>
      </c>
      <c r="P183" s="88" t="str">
        <f ca="1">IFERROR(IF(INDEX('Coverage Indicators - Section D'!AA$1:AA$100,MATCH('Print View'!$A183,'Coverage Indicators - Section D'!$A$1:$A$100,0))&lt;&gt;"",INDEX('Coverage Indicators - Section D'!AA$1:AA$100,MATCH('Print View'!$A183,'Coverage Indicators - Section D'!$A$1:$A$100,0)),""),"")&amp;"/"&amp;IFERROR(IF(INDEX('Coverage Indicators - Section D'!AA$1:AA$100,MATCH('Print View'!$A183,'Coverage Indicators - Section D'!$A$1:$A$100,0)+1)&lt;&gt;"",INDEX('Coverage Indicators - Section D'!AA$1:AA$100,MATCH('Print View'!$A183,'Coverage Indicators - Section D'!$A$1:$A$100,0)+1),""),"")&amp;CHAR(10)&amp;IFERROR(IF(INDEX('Coverage Indicators - Section D'!AB$1:AB$100,MATCH('Print View'!$A183,'Coverage Indicators - Section D'!$A$1:$A$100,0))&lt;&gt;"",FIXED(INDEX('Coverage Indicators - Section D'!AB$1:AB$100,MATCH('Print View'!$A183,'Coverage Indicators - Section D'!$A$1:$A$100,0))*100,2)&amp;"%",""),"")&amp;CHAR(10)&amp;IFERROR(IF(INDEX('Coverage Indicators - Section D'!AC$1:AC$100,MATCH('Print View'!$A183,'Coverage Indicators - Section D'!$A$1:$A$100,0))&lt;&gt;"",INDEX('Coverage Indicators - Section D'!AC$1:AC$100,MATCH('Print View'!$A183,'Coverage Indicators - Section D'!$A$1:$A$100,0)),""),"")</f>
        <v xml:space="preserve">/
</v>
      </c>
      <c r="Q183" s="88" t="str">
        <f ca="1">IFERROR(IF(INDEX('Coverage Indicators - Section D'!AD$1:AD$100,MATCH('Print View'!$A183,'Coverage Indicators - Section D'!$A$1:$A$100,0))&lt;&gt;"",INDEX('Coverage Indicators - Section D'!AD$1:AD$100,MATCH('Print View'!$A183,'Coverage Indicators - Section D'!$A$1:$A$100,0)),""),"")&amp;"/"&amp;IFERROR(IF(INDEX('Coverage Indicators - Section D'!AD$1:AD$100,MATCH('Print View'!$A183,'Coverage Indicators - Section D'!$A$1:$A$100,0)+1)&lt;&gt;"",INDEX('Coverage Indicators - Section D'!AD$1:AD$100,MATCH('Print View'!$A183,'Coverage Indicators - Section D'!$A$1:$A$100,0)+1),""),"")&amp;CHAR(10)&amp;IFERROR(IF(INDEX('Coverage Indicators - Section D'!AE$1:AE$100,MATCH('Print View'!$A183,'Coverage Indicators - Section D'!$A$1:$A$100,0))&lt;&gt;"",FIXED(INDEX('Coverage Indicators - Section D'!AE$1:AE$100,MATCH('Print View'!$A183,'Coverage Indicators - Section D'!$A$1:$A$100,0))*100,2)&amp;"%",""),"")&amp;CHAR(10)&amp;IFERROR(IF(INDEX('Coverage Indicators - Section D'!AF$1:AF$100,MATCH('Print View'!$A183,'Coverage Indicators - Section D'!$A$1:$A$100,0))&lt;&gt;"",INDEX('Coverage Indicators - Section D'!AF$1:AF$100,MATCH('Print View'!$A183,'Coverage Indicators - Section D'!$A$1:$A$100,0)),""),"")</f>
        <v xml:space="preserve">/
</v>
      </c>
      <c r="R183" s="88" t="str">
        <f ca="1">IFERROR(IF(INDEX('Coverage Indicators - Section D'!AG$1:AG$100,MATCH('Print View'!$A183,'Coverage Indicators - Section D'!$A$1:$A$100,0))&lt;&gt;"",INDEX('Coverage Indicators - Section D'!AG$1:AG$100,MATCH('Print View'!$A183,'Coverage Indicators - Section D'!$A$1:$A$100,0)),""),"")&amp;"/"&amp;IFERROR(IF(INDEX('Coverage Indicators - Section D'!AG$1:AG$100,MATCH('Print View'!$A183,'Coverage Indicators - Section D'!$A$1:$A$100,0)+1)&lt;&gt;"",INDEX('Coverage Indicators - Section D'!AG$1:AG$100,MATCH('Print View'!$A183,'Coverage Indicators - Section D'!$A$1:$A$100,0)+1),""),"")&amp;CHAR(10)&amp;IFERROR(IF(INDEX('Coverage Indicators - Section D'!AH$1:AH$100,MATCH('Print View'!$A183,'Coverage Indicators - Section D'!$A$1:$A$100,0))&lt;&gt;"",FIXED(INDEX('Coverage Indicators - Section D'!AH$1:AH$100,MATCH('Print View'!$A183,'Coverage Indicators - Section D'!$A$1:$A$100,0))*100,2)&amp;"%",""),"")&amp;CHAR(10)&amp;IFERROR(IF(INDEX('Coverage Indicators - Section D'!AI$1:AI$100,MATCH('Print View'!$A183,'Coverage Indicators - Section D'!$A$1:$A$100,0))&lt;&gt;"",INDEX('Coverage Indicators - Section D'!AI$1:AI$100,MATCH('Print View'!$A183,'Coverage Indicators - Section D'!$A$1:$A$100,0)),""),"")</f>
        <v xml:space="preserve">/
</v>
      </c>
      <c r="S183" s="88" t="str">
        <f ca="1">IFERROR(IF(INDEX('Coverage Indicators - Section D'!AJ$1:AJ$100,MATCH('Print View'!$A183,'Coverage Indicators - Section D'!$A$1:$A$100,0))&lt;&gt;"",INDEX('Coverage Indicators - Section D'!AJ$1:AJ$100,MATCH('Print View'!$A183,'Coverage Indicators - Section D'!$A$1:$A$100,0)),""),"")&amp;"/"&amp;IFERROR(IF(INDEX('Coverage Indicators - Section D'!AJ$1:AJ$100,MATCH('Print View'!$A183,'Coverage Indicators - Section D'!$A$1:$A$100,0)+1)&lt;&gt;"",INDEX('Coverage Indicators - Section D'!AJ$1:AJ$100,MATCH('Print View'!$A183,'Coverage Indicators - Section D'!$A$1:$A$100,0)+1),""),"")&amp;CHAR(10)&amp;IFERROR(IF(INDEX('Coverage Indicators - Section D'!AK$1:AK$100,MATCH('Print View'!$A183,'Coverage Indicators - Section D'!$A$1:$A$100,0))&lt;&gt;"",FIXED(INDEX('Coverage Indicators - Section D'!AK$1:AK$100,MATCH('Print View'!$A183,'Coverage Indicators - Section D'!$A$1:$A$100,0))*100,2)&amp;"%",""),"")&amp;CHAR(10)&amp;IFERROR(IF(INDEX('Coverage Indicators - Section D'!AL$1:AL$100,MATCH('Print View'!$A183,'Coverage Indicators - Section D'!$A$1:$A$100,0))&lt;&gt;"",INDEX('Coverage Indicators - Section D'!AL$1:AL$100,MATCH('Print View'!$A183,'Coverage Indicators - Section D'!$A$1:$A$100,0)),""),"")</f>
        <v xml:space="preserve">/
</v>
      </c>
      <c r="T183" s="93"/>
      <c r="U183" s="13"/>
      <c r="V183" s="13"/>
      <c r="W183" s="13"/>
      <c r="X183" s="13"/>
      <c r="Y183" s="13"/>
      <c r="Z183" s="13"/>
      <c r="AA183" s="13"/>
      <c r="AB183" s="13"/>
      <c r="AC183" s="13"/>
      <c r="AD183" s="13"/>
      <c r="AE183" s="13"/>
      <c r="AF183" s="13"/>
      <c r="AG183" s="13"/>
      <c r="AH183" s="13"/>
      <c r="AI183" s="13"/>
      <c r="AJ183" s="13"/>
      <c r="AK183" s="13"/>
      <c r="AL183" s="13"/>
      <c r="AM183" s="13"/>
      <c r="AN183" s="13"/>
      <c r="AO183" s="13" t="str">
        <f ca="1">IFERROR(IF(INDEX('Coverage Indicators - Section D'!AD$1:AD$110,MATCH('Print View'!$A183,'Coverage Indicators - Section D'!$A$1:$A$110,0))&lt;&gt;0,INDEX('Coverage Indicators - Section D'!AD$1:AD$110,MATCH('Print View'!$A183,'Coverage Indicators - Section D'!$A$1:$A$110,0)),""),"")</f>
        <v/>
      </c>
      <c r="AP183" s="13"/>
      <c r="AQ183" s="13"/>
      <c r="AR183" s="13"/>
      <c r="AS183" s="13"/>
      <c r="AT183" s="577" t="str">
        <f ca="1">CONCATENATE($A183,N$147)</f>
        <v>1831-Dec-25</v>
      </c>
      <c r="AU183" s="575" t="str">
        <f ca="1">CONCATENATE($A183,Q$147)</f>
        <v>1831-Dec-28</v>
      </c>
      <c r="AV183" s="575" t="str">
        <f>CONCATENATE($A183,V$147)</f>
        <v>18</v>
      </c>
      <c r="AW183" s="575" t="str">
        <f>CONCATENATE($A183,Y$147)</f>
        <v>18</v>
      </c>
      <c r="AX183" s="575" t="str">
        <f>CONCATENATE($A183,AB$147)</f>
        <v>18</v>
      </c>
      <c r="AY183" s="575" t="str">
        <f>CONCATENATE($A183,AE$147)</f>
        <v>18</v>
      </c>
      <c r="AZ183" s="575" t="str">
        <f>CONCATENATE($A183,AH$147)</f>
        <v>18</v>
      </c>
      <c r="BA183" s="575" t="str">
        <f>CONCATENATE($A183,AK$147)</f>
        <v>18</v>
      </c>
      <c r="BB183" s="96"/>
      <c r="BC183" s="97"/>
    </row>
    <row r="184" spans="1:55" s="16" customFormat="1" ht="88.35" customHeight="1">
      <c r="A184" s="609"/>
      <c r="B184" s="630" t="str">
        <f ca="1">IFERROR(IF(INDEX('Coverage Indicators - Section D'!AM$1:AM$110,MATCH('Print View'!$A183,'Coverage Indicators - Section D'!$A$1:$A$110,0))&lt;&gt;0,INDEX('Coverage Indicators - Section D'!AM$1:AM$110,MATCH('Print View'!$A183,'Coverage Indicators - Section D'!$A$1:$A$110,0)),""),"")</f>
        <v/>
      </c>
      <c r="C184" s="631"/>
      <c r="D184" s="631"/>
      <c r="E184" s="631"/>
      <c r="F184" s="631"/>
      <c r="G184" s="631"/>
      <c r="H184" s="631"/>
      <c r="I184" s="632"/>
      <c r="J184" s="632"/>
      <c r="K184" s="632"/>
      <c r="L184" s="632"/>
      <c r="M184" s="632"/>
      <c r="N184" s="632"/>
      <c r="O184" s="632"/>
      <c r="P184" s="632"/>
      <c r="Q184" s="632"/>
      <c r="R184" s="632"/>
      <c r="S184" s="633"/>
      <c r="T184" s="94"/>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577"/>
      <c r="AU184" s="575"/>
      <c r="AV184" s="575"/>
      <c r="AW184" s="575"/>
      <c r="AX184" s="575"/>
      <c r="AY184" s="575"/>
      <c r="AZ184" s="575"/>
      <c r="BA184" s="575"/>
      <c r="BB184" s="96"/>
      <c r="BC184" s="97"/>
    </row>
    <row r="185" spans="1:55" s="16" customFormat="1" ht="177" customHeight="1">
      <c r="A185" s="608">
        <v>19</v>
      </c>
      <c r="B185" s="80" t="str">
        <f ca="1">IFERROR(IF(INDEX('Coverage Indicators - Section D'!B$1:B$100,MATCH('Print View'!$A185,'Coverage Indicators - Section D'!$A$1:$A$100,0))&lt;&gt;0,INDEX('Coverage Indicators - Section D'!B$1:B$100,MATCH('Print View'!$A185,'Coverage Indicators - Section D'!$A$1:$A$100,0)),""),"")</f>
        <v/>
      </c>
      <c r="C185" s="80" t="str">
        <f ca="1">IFERROR(IF(INDEX('Coverage Indicators - Section D'!D$1:D$100,MATCH('Print View'!$A185,'Coverage Indicators - Section D'!$A$1:$A$100,0))&lt;&gt;0,INDEX('Coverage Indicators - Section D'!D$1:D$100,MATCH('Print View'!$A185,'Coverage Indicators - Section D'!$A$1:$A$100,0)),""),"")</f>
        <v/>
      </c>
      <c r="D185" s="80" t="str">
        <f ca="1">IFERROR(IF(INDEX('Coverage Indicators - Section D'!E$1:E$100,MATCH('Print View'!$A185,'Coverage Indicators - Section D'!$A$1:$A$100,0))&lt;&gt;0,INDEX('Coverage Indicators - Section D'!E$1:E$100,MATCH('Print View'!$A185,'Coverage Indicators - Section D'!$A$1:$A$100,0)),""),"")</f>
        <v/>
      </c>
      <c r="E185" s="81" t="str">
        <f ca="1">IFERROR(IF(INDEX('Coverage Indicators - Section D'!F$1:F$100,MATCH('Print View'!$A185,'Coverage Indicators - Section D'!$A$1:$A$100,0))&lt;&gt;"",INDEX('Coverage Indicators - Section D'!F$1:F$100,MATCH('Print View'!$A185,'Coverage Indicators - Section D'!$A$1:$A$100,0)),""),"")&amp;"/"&amp;IFERROR(IF(INDEX('Coverage Indicators - Section D'!F$1:F$100,MATCH('Print View'!$A185,'Coverage Indicators - Section D'!$A$1:$A$100,0)+1)&lt;&gt;"",INDEX('Coverage Indicators - Section D'!F$1:F$100,MATCH('Print View'!$A185,'Coverage Indicators - Section D'!$A$1:$A$100,0)+1),""),"")&amp;CHAR(10)&amp;IFERROR(IF(INDEX('Coverage Indicators - Section D'!G$1:G$100,MATCH('Print View'!$A185,'Coverage Indicators - Section D'!$A$1:$A$100,0))&lt;&gt;"",FIXED(INDEX('Coverage Indicators - Section D'!G$1:G$100,MATCH('Print View'!$A185,'Coverage Indicators - Section D'!$A$1:$A$100,0))*100,2)&amp;"%",""),"")</f>
        <v xml:space="preserve">/
</v>
      </c>
      <c r="F185" s="82" t="str">
        <f ca="1">IFERROR(IF(INDEX('Coverage Indicators - Section D'!H$1:H$100,MATCH('Print View'!$A185,'Coverage Indicators - Section D'!$A$1:$A$100,0))&lt;&gt;0,INDEX('Coverage Indicators - Section D'!H$1:H$100,MATCH('Print View'!$A185,'Coverage Indicators - Section D'!$A$1:$A$100,0)),""),"")&amp;CHAR(10)&amp;IFERROR(IF(INDEX('Coverage Indicators - Section D'!I$1:I$100,MATCH('Print View'!$A185,'Coverage Indicators - Section D'!$A$1:$A$100,0))&lt;&gt;0,INDEX('Coverage Indicators - Section D'!I$1:I$100,MATCH('Print View'!$A185,'Coverage Indicators - Section D'!$A$1:$A$100,0)),""),"")</f>
        <v xml:space="preserve">
</v>
      </c>
      <c r="G185" s="41" t="str">
        <f ca="1">IFERROR(IF(INDEX('Coverage Indicators - Section D'!J45:J74,MATCH('Print View'!$A185,'Coverage Indicators - Section D'!$A$9:$A$38,0))&lt;&gt;0,INDEX('Coverage Indicators - Section D'!J45:J74,MATCH('Print View'!$A185,'Coverage Indicators - Section D'!$A$9:$A$38,0)),""),"")</f>
        <v/>
      </c>
      <c r="H185" s="42" t="str">
        <f ca="1">IFERROR(IF(INDEX('Coverage Indicators - Section D'!K$1:K$100,MATCH('Print View'!$A185,'Coverage Indicators - Section D'!$A$1:$A$100,0))&lt;&gt;0,INDEX('Coverage Indicators - Section D'!K$1:K$100,MATCH('Print View'!$A185,'Coverage Indicators - Section D'!$A$1:$A$100,0)),""),"")</f>
        <v/>
      </c>
      <c r="I185" s="41" t="str">
        <f ca="1">IFERROR(IF(AND('Overview - Section A'!AN$5="Grant Making",OR(C185&lt;&gt;"",D185&lt;&gt;"")),Setup!I15,IF(INDEX('Coverage Indicators - Section D'!L$1:L$100,MATCH('Print View'!$A185,'Coverage Indicators - Section D'!$A$1:$A$100,0))&lt;&gt;0,INDEX('Coverage Indicators - Section D'!L$1:L$100,MATCH('Print View'!$A185,'Coverage Indicators - Section D'!$A$1:$A$100,0)),"")),"")</f>
        <v/>
      </c>
      <c r="J185" s="81" t="str">
        <f ca="1">IFERROR(IF(INDEX('Coverage Indicators - Section D'!M$1:M$100,MATCH('Print View'!$A185,'Coverage Indicators - Section D'!$A$1:$A$100,0))&lt;&gt;0,INDEX('Coverage Indicators - Section D'!M$1:M$100,MATCH('Print View'!$A185,'Coverage Indicators - Section D'!$A$1:$A$100,0)),""),"")&amp;CHAR(10)&amp;IFERROR(IF(INDEX('Coverage Indicators - Section D'!M$1:M$100,MATCH('Print View'!$A185,'Coverage Indicators - Section D'!$A$1:$A$100,0)+1)&lt;&gt;0,INDEX('Coverage Indicators - Section D'!M$1:M$100,MATCH('Print View'!$A185,'Coverage Indicators - Section D'!$A$1:$A$100,0)+1),""),"")</f>
        <v xml:space="preserve">
</v>
      </c>
      <c r="K185" s="81" t="str">
        <f ca="1">IFERROR(IF(INDEX('Coverage Indicators - Section D'!N$1:N$100,MATCH('Print View'!$A185,'Coverage Indicators - Section D'!$A$1:$A$100,0))&lt;&gt;0,INDEX('Coverage Indicators - Section D'!N$1:N$100,MATCH('Print View'!$A185,'Coverage Indicators - Section D'!$A$1:$A$100,0)),""),"")</f>
        <v/>
      </c>
      <c r="L185" s="81" t="str">
        <f ca="1">IFERROR(IF(INDEX('Coverage Indicators - Section D'!O$1:O$100,MATCH('Print View'!$A185,'Coverage Indicators - Section D'!$A$1:$A$100,0))&lt;&gt;"",INDEX('Coverage Indicators - Section D'!O$1:O$100,MATCH('Print View'!$A185,'Coverage Indicators - Section D'!$A$1:$A$100,0)),""),"")&amp;"/"&amp;IFERROR(IF(INDEX('Coverage Indicators - Section D'!O$1:O$100,MATCH('Print View'!$A185,'Coverage Indicators - Section D'!$A$1:$A$100,0)+1)&lt;&gt;"",INDEX('Coverage Indicators - Section D'!O$1:O$100,MATCH('Print View'!$A185,'Coverage Indicators - Section D'!$A$1:$A$100,0)+1),""),"")&amp;CHAR(10)&amp;IFERROR(IF(INDEX('Coverage Indicators - Section D'!P$1:P$100,MATCH('Print View'!$A185,'Coverage Indicators - Section D'!$A$1:$A$100,0))&lt;&gt;"",FIXED(INDEX('Coverage Indicators - Section D'!P$1:P$100,MATCH('Print View'!$A185,'Coverage Indicators - Section D'!$A$1:$A$100,0))*100,2)&amp;"%",""),"")&amp;CHAR(10)&amp;IFERROR(IF(INDEX('Coverage Indicators - Section D'!Q$1:Q$100,MATCH('Print View'!$A185,'Coverage Indicators - Section D'!$A$1:$A$100,0))&lt;&gt;"",INDEX('Coverage Indicators - Section D'!Q$1:Q$100,MATCH('Print View'!$A185,'Coverage Indicators - Section D'!$A$1:$A$100,0)),""),"")</f>
        <v xml:space="preserve">/
</v>
      </c>
      <c r="M185" s="82" t="str">
        <f ca="1">IFERROR(IF(INDEX('Coverage Indicators - Section D'!R$1:R$100,MATCH('Print View'!$A185,'Coverage Indicators - Section D'!$A$1:$A$100,0))&lt;&gt;"",INDEX('Coverage Indicators - Section D'!R$1:R$100,MATCH('Print View'!$A185,'Coverage Indicators - Section D'!$A$1:$A$100,0)),""),"")&amp;"/"&amp;IFERROR(IF(INDEX('Coverage Indicators - Section D'!R$1:R$100,MATCH('Print View'!$A185,'Coverage Indicators - Section D'!$A$1:$A$100,0)+1)&lt;&gt;"",INDEX('Coverage Indicators - Section D'!R$1:R$100,MATCH('Print View'!$A185,'Coverage Indicators - Section D'!$A$1:$A$100,0)+1),""),"")&amp;CHAR(10)&amp;IFERROR(IF(INDEX('Coverage Indicators - Section D'!S$1:S$100,MATCH('Print View'!$A185,'Coverage Indicators - Section D'!$A$1:$A$100,0))&lt;&gt;"",FIXED(INDEX('Coverage Indicators - Section D'!S$1:S$100,MATCH('Print View'!$A185,'Coverage Indicators - Section D'!$A$1:$A$100,0))*100,2)&amp;"%",""),"")&amp;CHAR(10)&amp;IFERROR(IF(INDEX('Coverage Indicators - Section D'!T$1:T$100,MATCH('Print View'!$A185,'Coverage Indicators - Section D'!$A$1:$A$100,0))&lt;&gt;"",INDEX('Coverage Indicators - Section D'!T$1:T$100,MATCH('Print View'!$A185,'Coverage Indicators - Section D'!$A$1:$A$100,0)),""),"")</f>
        <v xml:space="preserve">/
</v>
      </c>
      <c r="N185" s="81" t="str">
        <f ca="1">IFERROR(IF(INDEX('Coverage Indicators - Section D'!U$1:U$100,MATCH('Print View'!$A185,'Coverage Indicators - Section D'!$A$1:$A$100,0))&lt;&gt;"",INDEX('Coverage Indicators - Section D'!U$1:U$100,MATCH('Print View'!$A185,'Coverage Indicators - Section D'!$A$1:$A$100,0)),""),"")&amp;"/"&amp;IFERROR(IF(INDEX('Coverage Indicators - Section D'!U$1:U$100,MATCH('Print View'!$A185,'Coverage Indicators - Section D'!$A$1:$A$100,0)+1)&lt;&gt;"",INDEX('Coverage Indicators - Section D'!U$1:U$100,MATCH('Print View'!$A185,'Coverage Indicators - Section D'!$A$1:$A$100,0)+1),""),"")&amp;CHAR(10)&amp;IFERROR(IF(INDEX('Coverage Indicators - Section D'!V$1:V$100,MATCH('Print View'!$A185,'Coverage Indicators - Section D'!$A$1:$A$100,0))&lt;&gt;"",FIXED(INDEX('Coverage Indicators - Section D'!V$1:V$100,MATCH('Print View'!$A185,'Coverage Indicators - Section D'!$A$1:$A$100,0))*100,2)&amp;"%",""),"")&amp;CHAR(10)&amp;IFERROR(IF(INDEX('Coverage Indicators - Section D'!W$1:W$100,MATCH('Print View'!$A185,'Coverage Indicators - Section D'!$A$1:$A$100,0))&lt;&gt;"",INDEX('Coverage Indicators - Section D'!W$1:W$100,MATCH('Print View'!$A185,'Coverage Indicators - Section D'!$A$1:$A$100,0)),""),"")</f>
        <v xml:space="preserve">/
</v>
      </c>
      <c r="O185" s="82" t="str">
        <f ca="1">IFERROR(IF(INDEX('Coverage Indicators - Section D'!X$1:X$100,MATCH('Print View'!$A185,'Coverage Indicators - Section D'!$A$1:$A$100,0))&lt;&gt;"",INDEX('Coverage Indicators - Section D'!X$1:X$100,MATCH('Print View'!$A185,'Coverage Indicators - Section D'!$A$1:$A$100,0)),""),"")&amp;"/"&amp;IFERROR(IF(INDEX('Coverage Indicators - Section D'!X$1:X$100,MATCH('Print View'!$A185,'Coverage Indicators - Section D'!$A$1:$A$100,0)+1)&lt;&gt;"",INDEX('Coverage Indicators - Section D'!X$1:X$100,MATCH('Print View'!$A185,'Coverage Indicators - Section D'!$A$1:$A$100,0)+1),""),"")&amp;CHAR(10)&amp;IFERROR(IF(INDEX('Coverage Indicators - Section D'!Y$1:Y$100,MATCH('Print View'!$A185,'Coverage Indicators - Section D'!$A$1:$A$100,0))&lt;&gt;"",FIXED(INDEX('Coverage Indicators - Section D'!Y$1:Y$100,MATCH('Print View'!$A185,'Coverage Indicators - Section D'!$A$1:$A$100,0))*100,2)&amp;"%",""),"")&amp;CHAR(10)&amp;IFERROR(IF(INDEX('Coverage Indicators - Section D'!Z$1:Z$100,MATCH('Print View'!$A185,'Coverage Indicators - Section D'!$A$1:$A$100,0))&lt;&gt;"",INDEX('Coverage Indicators - Section D'!Z$1:Z$100,MATCH('Print View'!$A185,'Coverage Indicators - Section D'!$A$1:$A$100,0)),""),"")</f>
        <v xml:space="preserve">/
</v>
      </c>
      <c r="P185" s="82" t="str">
        <f ca="1">IFERROR(IF(INDEX('Coverage Indicators - Section D'!AA$1:AA$100,MATCH('Print View'!$A185,'Coverage Indicators - Section D'!$A$1:$A$100,0))&lt;&gt;"",INDEX('Coverage Indicators - Section D'!AA$1:AA$100,MATCH('Print View'!$A185,'Coverage Indicators - Section D'!$A$1:$A$100,0)),""),"")&amp;"/"&amp;IFERROR(IF(INDEX('Coverage Indicators - Section D'!AA$1:AA$100,MATCH('Print View'!$A185,'Coverage Indicators - Section D'!$A$1:$A$100,0)+1)&lt;&gt;"",INDEX('Coverage Indicators - Section D'!AA$1:AA$100,MATCH('Print View'!$A185,'Coverage Indicators - Section D'!$A$1:$A$100,0)+1),""),"")&amp;CHAR(10)&amp;IFERROR(IF(INDEX('Coverage Indicators - Section D'!AB$1:AB$100,MATCH('Print View'!$A185,'Coverage Indicators - Section D'!$A$1:$A$100,0))&lt;&gt;"",FIXED(INDEX('Coverage Indicators - Section D'!AB$1:AB$100,MATCH('Print View'!$A185,'Coverage Indicators - Section D'!$A$1:$A$100,0))*100,2)&amp;"%",""),"")&amp;CHAR(10)&amp;IFERROR(IF(INDEX('Coverage Indicators - Section D'!AC$1:AC$100,MATCH('Print View'!$A185,'Coverage Indicators - Section D'!$A$1:$A$100,0))&lt;&gt;"",INDEX('Coverage Indicators - Section D'!AC$1:AC$100,MATCH('Print View'!$A185,'Coverage Indicators - Section D'!$A$1:$A$100,0)),""),"")</f>
        <v xml:space="preserve">/
</v>
      </c>
      <c r="Q185" s="82" t="str">
        <f ca="1">IFERROR(IF(INDEX('Coverage Indicators - Section D'!AD$1:AD$100,MATCH('Print View'!$A185,'Coverage Indicators - Section D'!$A$1:$A$100,0))&lt;&gt;"",INDEX('Coverage Indicators - Section D'!AD$1:AD$100,MATCH('Print View'!$A185,'Coverage Indicators - Section D'!$A$1:$A$100,0)),""),"")&amp;"/"&amp;IFERROR(IF(INDEX('Coverage Indicators - Section D'!AD$1:AD$100,MATCH('Print View'!$A185,'Coverage Indicators - Section D'!$A$1:$A$100,0)+1)&lt;&gt;"",INDEX('Coverage Indicators - Section D'!AD$1:AD$100,MATCH('Print View'!$A185,'Coverage Indicators - Section D'!$A$1:$A$100,0)+1),""),"")&amp;CHAR(10)&amp;IFERROR(IF(INDEX('Coverage Indicators - Section D'!AE$1:AE$100,MATCH('Print View'!$A185,'Coverage Indicators - Section D'!$A$1:$A$100,0))&lt;&gt;"",FIXED(INDEX('Coverage Indicators - Section D'!AE$1:AE$100,MATCH('Print View'!$A185,'Coverage Indicators - Section D'!$A$1:$A$100,0))*100,2)&amp;"%",""),"")&amp;CHAR(10)&amp;IFERROR(IF(INDEX('Coverage Indicators - Section D'!AF$1:AF$100,MATCH('Print View'!$A185,'Coverage Indicators - Section D'!$A$1:$A$100,0))&lt;&gt;"",INDEX('Coverage Indicators - Section D'!AF$1:AF$100,MATCH('Print View'!$A185,'Coverage Indicators - Section D'!$A$1:$A$100,0)),""),"")</f>
        <v xml:space="preserve">/
</v>
      </c>
      <c r="R185" s="82" t="str">
        <f ca="1">IFERROR(IF(INDEX('Coverage Indicators - Section D'!AG$1:AG$100,MATCH('Print View'!$A185,'Coverage Indicators - Section D'!$A$1:$A$100,0))&lt;&gt;"",INDEX('Coverage Indicators - Section D'!AG$1:AG$100,MATCH('Print View'!$A185,'Coverage Indicators - Section D'!$A$1:$A$100,0)),""),"")&amp;"/"&amp;IFERROR(IF(INDEX('Coverage Indicators - Section D'!AG$1:AG$100,MATCH('Print View'!$A185,'Coverage Indicators - Section D'!$A$1:$A$100,0)+1)&lt;&gt;"",INDEX('Coverage Indicators - Section D'!AG$1:AG$100,MATCH('Print View'!$A185,'Coverage Indicators - Section D'!$A$1:$A$100,0)+1),""),"")&amp;CHAR(10)&amp;IFERROR(IF(INDEX('Coverage Indicators - Section D'!AH$1:AH$100,MATCH('Print View'!$A185,'Coverage Indicators - Section D'!$A$1:$A$100,0))&lt;&gt;"",FIXED(INDEX('Coverage Indicators - Section D'!AH$1:AH$100,MATCH('Print View'!$A185,'Coverage Indicators - Section D'!$A$1:$A$100,0))*100,2)&amp;"%",""),"")&amp;CHAR(10)&amp;IFERROR(IF(INDEX('Coverage Indicators - Section D'!AI$1:AI$100,MATCH('Print View'!$A185,'Coverage Indicators - Section D'!$A$1:$A$100,0))&lt;&gt;"",INDEX('Coverage Indicators - Section D'!AI$1:AI$100,MATCH('Print View'!$A185,'Coverage Indicators - Section D'!$A$1:$A$100,0)),""),"")</f>
        <v xml:space="preserve">/
</v>
      </c>
      <c r="S185" s="82" t="str">
        <f ca="1">IFERROR(IF(INDEX('Coverage Indicators - Section D'!AJ$1:AJ$100,MATCH('Print View'!$A185,'Coverage Indicators - Section D'!$A$1:$A$100,0))&lt;&gt;"",INDEX('Coverage Indicators - Section D'!AJ$1:AJ$100,MATCH('Print View'!$A185,'Coverage Indicators - Section D'!$A$1:$A$100,0)),""),"")&amp;"/"&amp;IFERROR(IF(INDEX('Coverage Indicators - Section D'!AJ$1:AJ$100,MATCH('Print View'!$A185,'Coverage Indicators - Section D'!$A$1:$A$100,0)+1)&lt;&gt;"",INDEX('Coverage Indicators - Section D'!AJ$1:AJ$100,MATCH('Print View'!$A185,'Coverage Indicators - Section D'!$A$1:$A$100,0)+1),""),"")&amp;CHAR(10)&amp;IFERROR(IF(INDEX('Coverage Indicators - Section D'!AK$1:AK$100,MATCH('Print View'!$A185,'Coverage Indicators - Section D'!$A$1:$A$100,0))&lt;&gt;"",FIXED(INDEX('Coverage Indicators - Section D'!AK$1:AK$100,MATCH('Print View'!$A185,'Coverage Indicators - Section D'!$A$1:$A$100,0))*100,2)&amp;"%",""),"")&amp;CHAR(10)&amp;IFERROR(IF(INDEX('Coverage Indicators - Section D'!AL$1:AL$100,MATCH('Print View'!$A185,'Coverage Indicators - Section D'!$A$1:$A$100,0))&lt;&gt;"",INDEX('Coverage Indicators - Section D'!AL$1:AL$100,MATCH('Print View'!$A185,'Coverage Indicators - Section D'!$A$1:$A$100,0)),""),"")</f>
        <v xml:space="preserve">/
</v>
      </c>
      <c r="T185" s="52"/>
      <c r="U185" s="13"/>
      <c r="V185" s="13"/>
      <c r="W185" s="13"/>
      <c r="X185" s="13"/>
      <c r="Y185" s="13"/>
      <c r="Z185" s="13"/>
      <c r="AA185" s="13"/>
      <c r="AB185" s="13"/>
      <c r="AC185" s="13"/>
      <c r="AD185" s="13"/>
      <c r="AE185" s="13"/>
      <c r="AF185" s="13"/>
      <c r="AG185" s="13"/>
      <c r="AH185" s="13"/>
      <c r="AI185" s="13"/>
      <c r="AJ185" s="13"/>
      <c r="AK185" s="13"/>
      <c r="AL185" s="13"/>
      <c r="AM185" s="13"/>
      <c r="AN185" s="13"/>
      <c r="AO185" s="13" t="str">
        <f ca="1">IFERROR(IF(INDEX('Coverage Indicators - Section D'!AD$1:AD$110,MATCH('Print View'!$A185,'Coverage Indicators - Section D'!$A$1:$A$110,0))&lt;&gt;0,INDEX('Coverage Indicators - Section D'!AD$1:AD$110,MATCH('Print View'!$A185,'Coverage Indicators - Section D'!$A$1:$A$110,0)),""),"")</f>
        <v/>
      </c>
      <c r="AP185" s="13"/>
      <c r="AQ185" s="13"/>
      <c r="AR185" s="13"/>
      <c r="AS185" s="13"/>
      <c r="AT185" s="577" t="str">
        <f ca="1">CONCATENATE($A185,N$147)</f>
        <v>1931-Dec-25</v>
      </c>
      <c r="AU185" s="575" t="str">
        <f ca="1">CONCATENATE($A185,Q$147)</f>
        <v>1931-Dec-28</v>
      </c>
      <c r="AV185" s="575" t="str">
        <f>CONCATENATE($A185,V$147)</f>
        <v>19</v>
      </c>
      <c r="AW185" s="575" t="str">
        <f>CONCATENATE($A185,Y$147)</f>
        <v>19</v>
      </c>
      <c r="AX185" s="575" t="str">
        <f>CONCATENATE($A185,AB$147)</f>
        <v>19</v>
      </c>
      <c r="AY185" s="575" t="str">
        <f>CONCATENATE($A185,AE$147)</f>
        <v>19</v>
      </c>
      <c r="AZ185" s="575" t="str">
        <f>CONCATENATE($A185,AH$147)</f>
        <v>19</v>
      </c>
      <c r="BA185" s="575" t="str">
        <f>CONCATENATE($A185,AK$147)</f>
        <v>19</v>
      </c>
      <c r="BB185" s="96"/>
      <c r="BC185" s="97"/>
    </row>
    <row r="186" spans="1:55" s="16" customFormat="1" ht="88.35" customHeight="1">
      <c r="A186" s="608"/>
      <c r="B186" s="646" t="str">
        <f ca="1">IFERROR(IF(INDEX('Coverage Indicators - Section D'!AM$1:AM$110,MATCH('Print View'!$A185,'Coverage Indicators - Section D'!$A$1:$A$110,0))&lt;&gt;0,INDEX('Coverage Indicators - Section D'!AM$1:AM$110,MATCH('Print View'!$A185,'Coverage Indicators - Section D'!$A$1:$A$110,0)),""),"")</f>
        <v/>
      </c>
      <c r="C186" s="647"/>
      <c r="D186" s="647"/>
      <c r="E186" s="647"/>
      <c r="F186" s="647"/>
      <c r="G186" s="647"/>
      <c r="H186" s="647"/>
      <c r="I186" s="647"/>
      <c r="J186" s="647"/>
      <c r="K186" s="647"/>
      <c r="L186" s="647"/>
      <c r="M186" s="647"/>
      <c r="N186" s="647"/>
      <c r="O186" s="647"/>
      <c r="P186" s="647"/>
      <c r="Q186" s="647"/>
      <c r="R186" s="647"/>
      <c r="S186" s="648"/>
      <c r="T186" s="92"/>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577"/>
      <c r="AU186" s="575"/>
      <c r="AV186" s="575"/>
      <c r="AW186" s="575"/>
      <c r="AX186" s="575"/>
      <c r="AY186" s="575"/>
      <c r="AZ186" s="575"/>
      <c r="BA186" s="575"/>
      <c r="BB186" s="96"/>
      <c r="BC186" s="97"/>
    </row>
    <row r="187" spans="1:55" s="16" customFormat="1" ht="177" customHeight="1">
      <c r="A187" s="609">
        <v>20</v>
      </c>
      <c r="B187" s="83" t="str">
        <f ca="1">IFERROR(IF(INDEX('Coverage Indicators - Section D'!B$1:B$100,MATCH('Print View'!$A187,'Coverage Indicators - Section D'!$A$1:$A$100,0))&lt;&gt;0,INDEX('Coverage Indicators - Section D'!B$1:B$100,MATCH('Print View'!$A187,'Coverage Indicators - Section D'!$A$1:$A$100,0)),""),"")</f>
        <v/>
      </c>
      <c r="C187" s="83" t="str">
        <f ca="1">IFERROR(IF(INDEX('Coverage Indicators - Section D'!D$1:D$100,MATCH('Print View'!$A187,'Coverage Indicators - Section D'!$A$1:$A$100,0))&lt;&gt;0,INDEX('Coverage Indicators - Section D'!D$1:D$100,MATCH('Print View'!$A187,'Coverage Indicators - Section D'!$A$1:$A$100,0)),""),"")</f>
        <v/>
      </c>
      <c r="D187" s="83" t="str">
        <f ca="1">IFERROR(IF(INDEX('Coverage Indicators - Section D'!E$1:E$100,MATCH('Print View'!$A187,'Coverage Indicators - Section D'!$A$1:$A$100,0))&lt;&gt;0,INDEX('Coverage Indicators - Section D'!E$1:E$100,MATCH('Print View'!$A187,'Coverage Indicators - Section D'!$A$1:$A$100,0)),""),"")</f>
        <v/>
      </c>
      <c r="E187" s="45" t="str">
        <f ca="1">IFERROR(IF(INDEX('Coverage Indicators - Section D'!F$1:F$100,MATCH('Print View'!$A187,'Coverage Indicators - Section D'!$A$1:$A$100,0))&lt;&gt;"",INDEX('Coverage Indicators - Section D'!F$1:F$100,MATCH('Print View'!$A187,'Coverage Indicators - Section D'!$A$1:$A$100,0)),""),"")&amp;"/"&amp;IFERROR(IF(INDEX('Coverage Indicators - Section D'!F$1:F$100,MATCH('Print View'!$A187,'Coverage Indicators - Section D'!$A$1:$A$100,0)+1)&lt;&gt;"",INDEX('Coverage Indicators - Section D'!F$1:F$100,MATCH('Print View'!$A187,'Coverage Indicators - Section D'!$A$1:$A$100,0)+1),""),"")&amp;CHAR(10)&amp;IFERROR(IF(INDEX('Coverage Indicators - Section D'!G$1:G$100,MATCH('Print View'!$A187,'Coverage Indicators - Section D'!$A$1:$A$100,0))&lt;&gt;"",FIXED(INDEX('Coverage Indicators - Section D'!G$1:G$100,MATCH('Print View'!$A187,'Coverage Indicators - Section D'!$A$1:$A$100,0))*100,2)&amp;"%",""),"")</f>
        <v xml:space="preserve">/
</v>
      </c>
      <c r="F187" s="84" t="str">
        <f ca="1">IFERROR(IF(INDEX('Coverage Indicators - Section D'!H$1:H$100,MATCH('Print View'!$A187,'Coverage Indicators - Section D'!$A$1:$A$100,0))&lt;&gt;0,INDEX('Coverage Indicators - Section D'!H$1:H$100,MATCH('Print View'!$A187,'Coverage Indicators - Section D'!$A$1:$A$100,0)),""),"")&amp;CHAR(10)&amp;IFERROR(IF(INDEX('Coverage Indicators - Section D'!I$1:I$100,MATCH('Print View'!$A187,'Coverage Indicators - Section D'!$A$1:$A$100,0))&lt;&gt;0,INDEX('Coverage Indicators - Section D'!I$1:I$100,MATCH('Print View'!$A187,'Coverage Indicators - Section D'!$A$1:$A$100,0)),""),"")</f>
        <v xml:space="preserve">
</v>
      </c>
      <c r="G187" s="85" t="str">
        <f ca="1">IFERROR(IF(INDEX('Coverage Indicators - Section D'!J45:J74,MATCH('Print View'!$A187,'Coverage Indicators - Section D'!$A$9:$A$38,0))&lt;&gt;0,INDEX('Coverage Indicators - Section D'!J45:J74,MATCH('Print View'!$A187,'Coverage Indicators - Section D'!$A$9:$A$38,0)),""),"")</f>
        <v/>
      </c>
      <c r="H187" s="84" t="str">
        <f ca="1">IFERROR(IF(INDEX('Coverage Indicators - Section D'!K$1:K$100,MATCH('Print View'!$A187,'Coverage Indicators - Section D'!$A$1:$A$100,0))&lt;&gt;0,INDEX('Coverage Indicators - Section D'!K$1:K$100,MATCH('Print View'!$A187,'Coverage Indicators - Section D'!$A$1:$A$100,0)),""),"")</f>
        <v/>
      </c>
      <c r="I187" s="85" t="str">
        <f ca="1">IFERROR(IF(AND('Overview - Section A'!AN$5="Grant Making",OR(C187&lt;&gt;"",D187&lt;&gt;"")),Setup!I15,IF(INDEX('Coverage Indicators - Section D'!L$1:L$100,MATCH('Print View'!$A187,'Coverage Indicators - Section D'!$A$1:$A$100,0))&lt;&gt;0,INDEX('Coverage Indicators - Section D'!L$1:L$100,MATCH('Print View'!$A187,'Coverage Indicators - Section D'!$A$1:$A$100,0)),"")),"")</f>
        <v/>
      </c>
      <c r="J187" s="84" t="str">
        <f ca="1">IFERROR(IF(INDEX('Coverage Indicators - Section D'!M$1:M$100,MATCH('Print View'!$A187,'Coverage Indicators - Section D'!$A$1:$A$100,0))&lt;&gt;0,INDEX('Coverage Indicators - Section D'!M$1:M$100,MATCH('Print View'!$A187,'Coverage Indicators - Section D'!$A$1:$A$100,0)),""),"")&amp;CHAR(10)&amp;IFERROR(IF(INDEX('Coverage Indicators - Section D'!M$1:M$100,MATCH('Print View'!$A187,'Coverage Indicators - Section D'!$A$1:$A$100,0)+1)&lt;&gt;0,INDEX('Coverage Indicators - Section D'!M$1:M$100,MATCH('Print View'!$A187,'Coverage Indicators - Section D'!$A$1:$A$100,0)+1),""),"")</f>
        <v xml:space="preserve">
</v>
      </c>
      <c r="K187" s="84" t="str">
        <f ca="1">IFERROR(IF(INDEX('Coverage Indicators - Section D'!N$1:N$100,MATCH('Print View'!$A187,'Coverage Indicators - Section D'!$A$1:$A$100,0))&lt;&gt;0,INDEX('Coverage Indicators - Section D'!N$1:N$100,MATCH('Print View'!$A187,'Coverage Indicators - Section D'!$A$1:$A$100,0)),""),"")</f>
        <v/>
      </c>
      <c r="L187" s="88" t="str">
        <f ca="1">IFERROR(IF(INDEX('Coverage Indicators - Section D'!O$1:O$100,MATCH('Print View'!$A187,'Coverage Indicators - Section D'!$A$1:$A$100,0))&lt;&gt;"",INDEX('Coverage Indicators - Section D'!O$1:O$100,MATCH('Print View'!$A187,'Coverage Indicators - Section D'!$A$1:$A$100,0)),""),"")&amp;"/"&amp;IFERROR(IF(INDEX('Coverage Indicators - Section D'!O$1:O$100,MATCH('Print View'!$A187,'Coverage Indicators - Section D'!$A$1:$A$100,0)+1)&lt;&gt;"",INDEX('Coverage Indicators - Section D'!O$1:O$100,MATCH('Print View'!$A187,'Coverage Indicators - Section D'!$A$1:$A$100,0)+1),""),"")&amp;CHAR(10)&amp;IFERROR(IF(INDEX('Coverage Indicators - Section D'!P$1:P$100,MATCH('Print View'!$A187,'Coverage Indicators - Section D'!$A$1:$A$100,0))&lt;&gt;"",FIXED(INDEX('Coverage Indicators - Section D'!P$1:P$100,MATCH('Print View'!$A187,'Coverage Indicators - Section D'!$A$1:$A$100,0))*100,2)&amp;"%",""),"")&amp;CHAR(10)&amp;IFERROR(IF(INDEX('Coverage Indicators - Section D'!Q$1:Q$100,MATCH('Print View'!$A187,'Coverage Indicators - Section D'!$A$1:$A$100,0))&lt;&gt;"",INDEX('Coverage Indicators - Section D'!Q$1:Q$100,MATCH('Print View'!$A187,'Coverage Indicators - Section D'!$A$1:$A$100,0)),""),"")</f>
        <v xml:space="preserve">/
</v>
      </c>
      <c r="M187" s="88" t="str">
        <f ca="1">IFERROR(IF(INDEX('Coverage Indicators - Section D'!R$1:R$100,MATCH('Print View'!$A187,'Coverage Indicators - Section D'!$A$1:$A$100,0))&lt;&gt;"",INDEX('Coverage Indicators - Section D'!R$1:R$100,MATCH('Print View'!$A187,'Coverage Indicators - Section D'!$A$1:$A$100,0)),""),"")&amp;"/"&amp;IFERROR(IF(INDEX('Coverage Indicators - Section D'!R$1:R$100,MATCH('Print View'!$A187,'Coverage Indicators - Section D'!$A$1:$A$100,0)+1)&lt;&gt;"",INDEX('Coverage Indicators - Section D'!R$1:R$100,MATCH('Print View'!$A187,'Coverage Indicators - Section D'!$A$1:$A$100,0)+1),""),"")&amp;CHAR(10)&amp;IFERROR(IF(INDEX('Coverage Indicators - Section D'!S$1:S$100,MATCH('Print View'!$A187,'Coverage Indicators - Section D'!$A$1:$A$100,0))&lt;&gt;"",FIXED(INDEX('Coverage Indicators - Section D'!S$1:S$100,MATCH('Print View'!$A187,'Coverage Indicators - Section D'!$A$1:$A$100,0))*100,2)&amp;"%",""),"")&amp;CHAR(10)&amp;IFERROR(IF(INDEX('Coverage Indicators - Section D'!T$1:T$100,MATCH('Print View'!$A187,'Coverage Indicators - Section D'!$A$1:$A$100,0))&lt;&gt;"",INDEX('Coverage Indicators - Section D'!T$1:T$100,MATCH('Print View'!$A187,'Coverage Indicators - Section D'!$A$1:$A$100,0)),""),"")</f>
        <v xml:space="preserve">/
</v>
      </c>
      <c r="N187" s="88" t="str">
        <f ca="1">IFERROR(IF(INDEX('Coverage Indicators - Section D'!U$1:U$100,MATCH('Print View'!$A187,'Coverage Indicators - Section D'!$A$1:$A$100,0))&lt;&gt;"",INDEX('Coverage Indicators - Section D'!U$1:U$100,MATCH('Print View'!$A187,'Coverage Indicators - Section D'!$A$1:$A$100,0)),""),"")&amp;"/"&amp;IFERROR(IF(INDEX('Coverage Indicators - Section D'!U$1:U$100,MATCH('Print View'!$A187,'Coverage Indicators - Section D'!$A$1:$A$100,0)+1)&lt;&gt;"",INDEX('Coverage Indicators - Section D'!U$1:U$100,MATCH('Print View'!$A187,'Coverage Indicators - Section D'!$A$1:$A$100,0)+1),""),"")&amp;CHAR(10)&amp;IFERROR(IF(INDEX('Coverage Indicators - Section D'!V$1:V$100,MATCH('Print View'!$A187,'Coverage Indicators - Section D'!$A$1:$A$100,0))&lt;&gt;"",FIXED(INDEX('Coverage Indicators - Section D'!V$1:V$100,MATCH('Print View'!$A187,'Coverage Indicators - Section D'!$A$1:$A$100,0))*100,2)&amp;"%",""),"")&amp;CHAR(10)&amp;IFERROR(IF(INDEX('Coverage Indicators - Section D'!W$1:W$100,MATCH('Print View'!$A187,'Coverage Indicators - Section D'!$A$1:$A$100,0))&lt;&gt;"",INDEX('Coverage Indicators - Section D'!W$1:W$100,MATCH('Print View'!$A187,'Coverage Indicators - Section D'!$A$1:$A$100,0)),""),"")</f>
        <v xml:space="preserve">/
</v>
      </c>
      <c r="O187" s="88" t="str">
        <f ca="1">IFERROR(IF(INDEX('Coverage Indicators - Section D'!X$1:X$100,MATCH('Print View'!$A187,'Coverage Indicators - Section D'!$A$1:$A$100,0))&lt;&gt;"",INDEX('Coverage Indicators - Section D'!X$1:X$100,MATCH('Print View'!$A187,'Coverage Indicators - Section D'!$A$1:$A$100,0)),""),"")&amp;"/"&amp;IFERROR(IF(INDEX('Coverage Indicators - Section D'!X$1:X$100,MATCH('Print View'!$A187,'Coverage Indicators - Section D'!$A$1:$A$100,0)+1)&lt;&gt;"",INDEX('Coverage Indicators - Section D'!X$1:X$100,MATCH('Print View'!$A187,'Coverage Indicators - Section D'!$A$1:$A$100,0)+1),""),"")&amp;CHAR(10)&amp;IFERROR(IF(INDEX('Coverage Indicators - Section D'!Y$1:Y$100,MATCH('Print View'!$A187,'Coverage Indicators - Section D'!$A$1:$A$100,0))&lt;&gt;"",FIXED(INDEX('Coverage Indicators - Section D'!Y$1:Y$100,MATCH('Print View'!$A187,'Coverage Indicators - Section D'!$A$1:$A$100,0))*100,2)&amp;"%",""),"")&amp;CHAR(10)&amp;IFERROR(IF(INDEX('Coverage Indicators - Section D'!Z$1:Z$100,MATCH('Print View'!$A187,'Coverage Indicators - Section D'!$A$1:$A$100,0))&lt;&gt;"",INDEX('Coverage Indicators - Section D'!Z$1:Z$100,MATCH('Print View'!$A187,'Coverage Indicators - Section D'!$A$1:$A$100,0)),""),"")</f>
        <v xml:space="preserve">/
</v>
      </c>
      <c r="P187" s="88" t="str">
        <f ca="1">IFERROR(IF(INDEX('Coverage Indicators - Section D'!AA$1:AA$100,MATCH('Print View'!$A187,'Coverage Indicators - Section D'!$A$1:$A$100,0))&lt;&gt;"",INDEX('Coverage Indicators - Section D'!AA$1:AA$100,MATCH('Print View'!$A187,'Coverage Indicators - Section D'!$A$1:$A$100,0)),""),"")&amp;"/"&amp;IFERROR(IF(INDEX('Coverage Indicators - Section D'!AA$1:AA$100,MATCH('Print View'!$A187,'Coverage Indicators - Section D'!$A$1:$A$100,0)+1)&lt;&gt;"",INDEX('Coverage Indicators - Section D'!AA$1:AA$100,MATCH('Print View'!$A187,'Coverage Indicators - Section D'!$A$1:$A$100,0)+1),""),"")&amp;CHAR(10)&amp;IFERROR(IF(INDEX('Coverage Indicators - Section D'!AB$1:AB$100,MATCH('Print View'!$A187,'Coverage Indicators - Section D'!$A$1:$A$100,0))&lt;&gt;"",FIXED(INDEX('Coverage Indicators - Section D'!AB$1:AB$100,MATCH('Print View'!$A187,'Coverage Indicators - Section D'!$A$1:$A$100,0))*100,2)&amp;"%",""),"")&amp;CHAR(10)&amp;IFERROR(IF(INDEX('Coverage Indicators - Section D'!AC$1:AC$100,MATCH('Print View'!$A187,'Coverage Indicators - Section D'!$A$1:$A$100,0))&lt;&gt;"",INDEX('Coverage Indicators - Section D'!AC$1:AC$100,MATCH('Print View'!$A187,'Coverage Indicators - Section D'!$A$1:$A$100,0)),""),"")</f>
        <v xml:space="preserve">/
</v>
      </c>
      <c r="Q187" s="88" t="str">
        <f ca="1">IFERROR(IF(INDEX('Coverage Indicators - Section D'!AD$1:AD$100,MATCH('Print View'!$A187,'Coverage Indicators - Section D'!$A$1:$A$100,0))&lt;&gt;"",INDEX('Coverage Indicators - Section D'!AD$1:AD$100,MATCH('Print View'!$A187,'Coverage Indicators - Section D'!$A$1:$A$100,0)),""),"")&amp;"/"&amp;IFERROR(IF(INDEX('Coverage Indicators - Section D'!AD$1:AD$100,MATCH('Print View'!$A187,'Coverage Indicators - Section D'!$A$1:$A$100,0)+1)&lt;&gt;"",INDEX('Coverage Indicators - Section D'!AD$1:AD$100,MATCH('Print View'!$A187,'Coverage Indicators - Section D'!$A$1:$A$100,0)+1),""),"")&amp;CHAR(10)&amp;IFERROR(IF(INDEX('Coverage Indicators - Section D'!AE$1:AE$100,MATCH('Print View'!$A187,'Coverage Indicators - Section D'!$A$1:$A$100,0))&lt;&gt;"",FIXED(INDEX('Coverage Indicators - Section D'!AE$1:AE$100,MATCH('Print View'!$A187,'Coverage Indicators - Section D'!$A$1:$A$100,0))*100,2)&amp;"%",""),"")&amp;CHAR(10)&amp;IFERROR(IF(INDEX('Coverage Indicators - Section D'!AF$1:AF$100,MATCH('Print View'!$A187,'Coverage Indicators - Section D'!$A$1:$A$100,0))&lt;&gt;"",INDEX('Coverage Indicators - Section D'!AF$1:AF$100,MATCH('Print View'!$A187,'Coverage Indicators - Section D'!$A$1:$A$100,0)),""),"")</f>
        <v xml:space="preserve">/
</v>
      </c>
      <c r="R187" s="88" t="str">
        <f ca="1">IFERROR(IF(INDEX('Coverage Indicators - Section D'!AG$1:AG$100,MATCH('Print View'!$A187,'Coverage Indicators - Section D'!$A$1:$A$100,0))&lt;&gt;"",INDEX('Coverage Indicators - Section D'!AG$1:AG$100,MATCH('Print View'!$A187,'Coverage Indicators - Section D'!$A$1:$A$100,0)),""),"")&amp;"/"&amp;IFERROR(IF(INDEX('Coverage Indicators - Section D'!AG$1:AG$100,MATCH('Print View'!$A187,'Coverage Indicators - Section D'!$A$1:$A$100,0)+1)&lt;&gt;"",INDEX('Coverage Indicators - Section D'!AG$1:AG$100,MATCH('Print View'!$A187,'Coverage Indicators - Section D'!$A$1:$A$100,0)+1),""),"")&amp;CHAR(10)&amp;IFERROR(IF(INDEX('Coverage Indicators - Section D'!AH$1:AH$100,MATCH('Print View'!$A187,'Coverage Indicators - Section D'!$A$1:$A$100,0))&lt;&gt;"",FIXED(INDEX('Coverage Indicators - Section D'!AH$1:AH$100,MATCH('Print View'!$A187,'Coverage Indicators - Section D'!$A$1:$A$100,0))*100,2)&amp;"%",""),"")&amp;CHAR(10)&amp;IFERROR(IF(INDEX('Coverage Indicators - Section D'!AI$1:AI$100,MATCH('Print View'!$A187,'Coverage Indicators - Section D'!$A$1:$A$100,0))&lt;&gt;"",INDEX('Coverage Indicators - Section D'!AI$1:AI$100,MATCH('Print View'!$A187,'Coverage Indicators - Section D'!$A$1:$A$100,0)),""),"")</f>
        <v xml:space="preserve">/
</v>
      </c>
      <c r="S187" s="88" t="str">
        <f ca="1">IFERROR(IF(INDEX('Coverage Indicators - Section D'!AJ$1:AJ$100,MATCH('Print View'!$A187,'Coverage Indicators - Section D'!$A$1:$A$100,0))&lt;&gt;"",INDEX('Coverage Indicators - Section D'!AJ$1:AJ$100,MATCH('Print View'!$A187,'Coverage Indicators - Section D'!$A$1:$A$100,0)),""),"")&amp;"/"&amp;IFERROR(IF(INDEX('Coverage Indicators - Section D'!AJ$1:AJ$100,MATCH('Print View'!$A187,'Coverage Indicators - Section D'!$A$1:$A$100,0)+1)&lt;&gt;"",INDEX('Coverage Indicators - Section D'!AJ$1:AJ$100,MATCH('Print View'!$A187,'Coverage Indicators - Section D'!$A$1:$A$100,0)+1),""),"")&amp;CHAR(10)&amp;IFERROR(IF(INDEX('Coverage Indicators - Section D'!AK$1:AK$100,MATCH('Print View'!$A187,'Coverage Indicators - Section D'!$A$1:$A$100,0))&lt;&gt;"",FIXED(INDEX('Coverage Indicators - Section D'!AK$1:AK$100,MATCH('Print View'!$A187,'Coverage Indicators - Section D'!$A$1:$A$100,0))*100,2)&amp;"%",""),"")&amp;CHAR(10)&amp;IFERROR(IF(INDEX('Coverage Indicators - Section D'!AL$1:AL$100,MATCH('Print View'!$A187,'Coverage Indicators - Section D'!$A$1:$A$100,0))&lt;&gt;"",INDEX('Coverage Indicators - Section D'!AL$1:AL$100,MATCH('Print View'!$A187,'Coverage Indicators - Section D'!$A$1:$A$100,0)),""),"")</f>
        <v xml:space="preserve">/
</v>
      </c>
      <c r="T187" s="93"/>
      <c r="U187" s="13"/>
      <c r="V187" s="13"/>
      <c r="W187" s="13"/>
      <c r="X187" s="13"/>
      <c r="Y187" s="13"/>
      <c r="Z187" s="13"/>
      <c r="AA187" s="13"/>
      <c r="AB187" s="13"/>
      <c r="AC187" s="13"/>
      <c r="AD187" s="13"/>
      <c r="AE187" s="13"/>
      <c r="AF187" s="13"/>
      <c r="AG187" s="13"/>
      <c r="AH187" s="13"/>
      <c r="AI187" s="13"/>
      <c r="AJ187" s="13"/>
      <c r="AK187" s="13"/>
      <c r="AL187" s="13"/>
      <c r="AM187" s="13"/>
      <c r="AN187" s="13"/>
      <c r="AO187" s="13" t="str">
        <f ca="1">IFERROR(IF(INDEX('Coverage Indicators - Section D'!AD$1:AD$110,MATCH('Print View'!$A187,'Coverage Indicators - Section D'!$A$1:$A$110,0))&lt;&gt;0,INDEX('Coverage Indicators - Section D'!AD$1:AD$110,MATCH('Print View'!$A187,'Coverage Indicators - Section D'!$A$1:$A$110,0)),""),"")</f>
        <v/>
      </c>
      <c r="AP187" s="13"/>
      <c r="AQ187" s="13"/>
      <c r="AR187" s="13"/>
      <c r="AS187" s="13"/>
      <c r="AT187" s="577" t="str">
        <f ca="1">CONCATENATE($A187,N$147)</f>
        <v>2031-Dec-25</v>
      </c>
      <c r="AU187" s="575" t="str">
        <f ca="1">CONCATENATE($A187,Q$147)</f>
        <v>2031-Dec-28</v>
      </c>
      <c r="AV187" s="575" t="str">
        <f>CONCATENATE($A187,V$147)</f>
        <v>20</v>
      </c>
      <c r="AW187" s="575" t="str">
        <f>CONCATENATE($A187,Y$147)</f>
        <v>20</v>
      </c>
      <c r="AX187" s="575" t="str">
        <f>CONCATENATE($A187,AB$147)</f>
        <v>20</v>
      </c>
      <c r="AY187" s="575" t="str">
        <f>CONCATENATE($A187,AE$147)</f>
        <v>20</v>
      </c>
      <c r="AZ187" s="575" t="str">
        <f>CONCATENATE($A187,AH$147)</f>
        <v>20</v>
      </c>
      <c r="BA187" s="575" t="str">
        <f>CONCATENATE($A187,AK$147)</f>
        <v>20</v>
      </c>
      <c r="BB187" s="96"/>
      <c r="BC187" s="97"/>
    </row>
    <row r="188" spans="1:55" s="16" customFormat="1" ht="88.35" customHeight="1">
      <c r="A188" s="609"/>
      <c r="B188" s="630" t="str">
        <f ca="1">IFERROR(IF(INDEX('Coverage Indicators - Section D'!AM$1:AM$110,MATCH('Print View'!$A187,'Coverage Indicators - Section D'!$A$1:$A$110,0))&lt;&gt;0,INDEX('Coverage Indicators - Section D'!AM$1:AM$110,MATCH('Print View'!$A187,'Coverage Indicators - Section D'!$A$1:$A$110,0)),""),"")</f>
        <v/>
      </c>
      <c r="C188" s="631"/>
      <c r="D188" s="631"/>
      <c r="E188" s="631"/>
      <c r="F188" s="631"/>
      <c r="G188" s="631"/>
      <c r="H188" s="631"/>
      <c r="I188" s="632"/>
      <c r="J188" s="632"/>
      <c r="K188" s="632"/>
      <c r="L188" s="632"/>
      <c r="M188" s="632"/>
      <c r="N188" s="632"/>
      <c r="O188" s="632"/>
      <c r="P188" s="632"/>
      <c r="Q188" s="632"/>
      <c r="R188" s="632"/>
      <c r="S188" s="633"/>
      <c r="T188" s="94"/>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577"/>
      <c r="AU188" s="575"/>
      <c r="AV188" s="575"/>
      <c r="AW188" s="575"/>
      <c r="AX188" s="575"/>
      <c r="AY188" s="575"/>
      <c r="AZ188" s="575"/>
      <c r="BA188" s="575"/>
      <c r="BB188" s="96"/>
      <c r="BC188" s="97"/>
    </row>
    <row r="189" spans="1:55" s="16" customFormat="1" ht="177" customHeight="1">
      <c r="A189" s="608">
        <v>21</v>
      </c>
      <c r="B189" s="80" t="str">
        <f ca="1">IFERROR(IF(INDEX('Coverage Indicators - Section D'!B$1:B$100,MATCH('Print View'!$A189,'Coverage Indicators - Section D'!$A$1:$A$100,0))&lt;&gt;0,INDEX('Coverage Indicators - Section D'!B$1:B$100,MATCH('Print View'!$A189,'Coverage Indicators - Section D'!$A$1:$A$100,0)),""),"")</f>
        <v/>
      </c>
      <c r="C189" s="80" t="str">
        <f ca="1">IFERROR(IF(INDEX('Coverage Indicators - Section D'!D$1:D$100,MATCH('Print View'!$A189,'Coverage Indicators - Section D'!$A$1:$A$100,0))&lt;&gt;0,INDEX('Coverage Indicators - Section D'!D$1:D$100,MATCH('Print View'!$A189,'Coverage Indicators - Section D'!$A$1:$A$100,0)),""),"")</f>
        <v/>
      </c>
      <c r="D189" s="80" t="str">
        <f ca="1">IFERROR(IF(INDEX('Coverage Indicators - Section D'!E$1:E$100,MATCH('Print View'!$A189,'Coverage Indicators - Section D'!$A$1:$A$100,0))&lt;&gt;0,INDEX('Coverage Indicators - Section D'!E$1:E$100,MATCH('Print View'!$A189,'Coverage Indicators - Section D'!$A$1:$A$100,0)),""),"")</f>
        <v/>
      </c>
      <c r="E189" s="81" t="str">
        <f ca="1">IFERROR(IF(INDEX('Coverage Indicators - Section D'!F$1:F$100,MATCH('Print View'!$A189,'Coverage Indicators - Section D'!$A$1:$A$100,0))&lt;&gt;"",INDEX('Coverage Indicators - Section D'!F$1:F$100,MATCH('Print View'!$A189,'Coverage Indicators - Section D'!$A$1:$A$100,0)),""),"")&amp;"/"&amp;IFERROR(IF(INDEX('Coverage Indicators - Section D'!F$1:F$100,MATCH('Print View'!$A189,'Coverage Indicators - Section D'!$A$1:$A$100,0)+1)&lt;&gt;"",INDEX('Coverage Indicators - Section D'!F$1:F$100,MATCH('Print View'!$A189,'Coverage Indicators - Section D'!$A$1:$A$100,0)+1),""),"")&amp;CHAR(10)&amp;IFERROR(IF(INDEX('Coverage Indicators - Section D'!G$1:G$100,MATCH('Print View'!$A189,'Coverage Indicators - Section D'!$A$1:$A$100,0))&lt;&gt;"",FIXED(INDEX('Coverage Indicators - Section D'!G$1:G$100,MATCH('Print View'!$A189,'Coverage Indicators - Section D'!$A$1:$A$100,0))*100,2)&amp;"%",""),"")</f>
        <v xml:space="preserve">/
</v>
      </c>
      <c r="F189" s="82" t="str">
        <f ca="1">IFERROR(IF(INDEX('Coverage Indicators - Section D'!H$1:H$100,MATCH('Print View'!$A189,'Coverage Indicators - Section D'!$A$1:$A$100,0))&lt;&gt;0,INDEX('Coverage Indicators - Section D'!H$1:H$100,MATCH('Print View'!$A189,'Coverage Indicators - Section D'!$A$1:$A$100,0)),""),"")&amp;CHAR(10)&amp;IFERROR(IF(INDEX('Coverage Indicators - Section D'!I$1:I$100,MATCH('Print View'!$A189,'Coverage Indicators - Section D'!$A$1:$A$100,0))&lt;&gt;0,INDEX('Coverage Indicators - Section D'!I$1:I$100,MATCH('Print View'!$A189,'Coverage Indicators - Section D'!$A$1:$A$100,0)),""),"")</f>
        <v xml:space="preserve">
</v>
      </c>
      <c r="G189" s="41" t="str">
        <f ca="1">IFERROR(IF(INDEX('Coverage Indicators - Section D'!J49:J78,MATCH('Print View'!$A189,'Coverage Indicators - Section D'!$A$9:$A$38,0))&lt;&gt;0,INDEX('Coverage Indicators - Section D'!J49:J78,MATCH('Print View'!$A189,'Coverage Indicators - Section D'!$A$9:$A$38,0)),""),"")</f>
        <v/>
      </c>
      <c r="H189" s="42" t="str">
        <f ca="1">IFERROR(IF(INDEX('Coverage Indicators - Section D'!K$1:K$100,MATCH('Print View'!$A189,'Coverage Indicators - Section D'!$A$1:$A$100,0))&lt;&gt;0,INDEX('Coverage Indicators - Section D'!K$1:K$100,MATCH('Print View'!$A189,'Coverage Indicators - Section D'!$A$1:$A$100,0)),""),"")</f>
        <v/>
      </c>
      <c r="I189" s="41" t="str">
        <f ca="1">IFERROR(IF(AND('Overview - Section A'!AN$5="Grant Making",OR(C189&lt;&gt;"",D189&lt;&gt;"")),Setup!I15,IF(INDEX('Coverage Indicators - Section D'!L$1:L$100,MATCH('Print View'!$A189,'Coverage Indicators - Section D'!$A$1:$A$100,0))&lt;&gt;0,INDEX('Coverage Indicators - Section D'!L$1:L$100,MATCH('Print View'!$A189,'Coverage Indicators - Section D'!$A$1:$A$100,0)),"")),"")</f>
        <v/>
      </c>
      <c r="J189" s="81" t="str">
        <f ca="1">IFERROR(IF(INDEX('Coverage Indicators - Section D'!M$1:M$100,MATCH('Print View'!$A189,'Coverage Indicators - Section D'!$A$1:$A$100,0))&lt;&gt;0,INDEX('Coverage Indicators - Section D'!M$1:M$100,MATCH('Print View'!$A189,'Coverage Indicators - Section D'!$A$1:$A$100,0)),""),"")&amp;CHAR(10)&amp;IFERROR(IF(INDEX('Coverage Indicators - Section D'!M$1:M$100,MATCH('Print View'!$A189,'Coverage Indicators - Section D'!$A$1:$A$100,0)+1)&lt;&gt;0,INDEX('Coverage Indicators - Section D'!M$1:M$100,MATCH('Print View'!$A189,'Coverage Indicators - Section D'!$A$1:$A$100,0)+1),""),"")</f>
        <v xml:space="preserve">
</v>
      </c>
      <c r="K189" s="81" t="str">
        <f ca="1">IFERROR(IF(INDEX('Coverage Indicators - Section D'!N$1:N$100,MATCH('Print View'!$A189,'Coverage Indicators - Section D'!$A$1:$A$100,0))&lt;&gt;0,INDEX('Coverage Indicators - Section D'!N$1:N$100,MATCH('Print View'!$A189,'Coverage Indicators - Section D'!$A$1:$A$100,0)),""),"")</f>
        <v/>
      </c>
      <c r="L189" s="81" t="str">
        <f ca="1">IFERROR(IF(INDEX('Coverage Indicators - Section D'!O$1:O$100,MATCH('Print View'!$A189,'Coverage Indicators - Section D'!$A$1:$A$100,0))&lt;&gt;"",INDEX('Coverage Indicators - Section D'!O$1:O$100,MATCH('Print View'!$A189,'Coverage Indicators - Section D'!$A$1:$A$100,0)),""),"")&amp;"/"&amp;IFERROR(IF(INDEX('Coverage Indicators - Section D'!O$1:O$100,MATCH('Print View'!$A189,'Coverage Indicators - Section D'!$A$1:$A$100,0)+1)&lt;&gt;"",INDEX('Coverage Indicators - Section D'!O$1:O$100,MATCH('Print View'!$A189,'Coverage Indicators - Section D'!$A$1:$A$100,0)+1),""),"")&amp;CHAR(10)&amp;IFERROR(IF(INDEX('Coverage Indicators - Section D'!P$1:P$100,MATCH('Print View'!$A189,'Coverage Indicators - Section D'!$A$1:$A$100,0))&lt;&gt;"",FIXED(INDEX('Coverage Indicators - Section D'!P$1:P$100,MATCH('Print View'!$A189,'Coverage Indicators - Section D'!$A$1:$A$100,0))*100,2)&amp;"%",""),"")&amp;CHAR(10)&amp;IFERROR(IF(INDEX('Coverage Indicators - Section D'!Q$1:Q$100,MATCH('Print View'!$A189,'Coverage Indicators - Section D'!$A$1:$A$100,0))&lt;&gt;"",INDEX('Coverage Indicators - Section D'!Q$1:Q$100,MATCH('Print View'!$A189,'Coverage Indicators - Section D'!$A$1:$A$100,0)),""),"")</f>
        <v xml:space="preserve">/
</v>
      </c>
      <c r="M189" s="82" t="str">
        <f ca="1">IFERROR(IF(INDEX('Coverage Indicators - Section D'!R$1:R$100,MATCH('Print View'!$A189,'Coverage Indicators - Section D'!$A$1:$A$100,0))&lt;&gt;"",INDEX('Coverage Indicators - Section D'!R$1:R$100,MATCH('Print View'!$A189,'Coverage Indicators - Section D'!$A$1:$A$100,0)),""),"")&amp;"/"&amp;IFERROR(IF(INDEX('Coverage Indicators - Section D'!R$1:R$100,MATCH('Print View'!$A189,'Coverage Indicators - Section D'!$A$1:$A$100,0)+1)&lt;&gt;"",INDEX('Coverage Indicators - Section D'!R$1:R$100,MATCH('Print View'!$A189,'Coverage Indicators - Section D'!$A$1:$A$100,0)+1),""),"")&amp;CHAR(10)&amp;IFERROR(IF(INDEX('Coverage Indicators - Section D'!S$1:S$100,MATCH('Print View'!$A189,'Coverage Indicators - Section D'!$A$1:$A$100,0))&lt;&gt;"",FIXED(INDEX('Coverage Indicators - Section D'!S$1:S$100,MATCH('Print View'!$A189,'Coverage Indicators - Section D'!$A$1:$A$100,0))*100,2)&amp;"%",""),"")&amp;CHAR(10)&amp;IFERROR(IF(INDEX('Coverage Indicators - Section D'!T$1:T$100,MATCH('Print View'!$A189,'Coverage Indicators - Section D'!$A$1:$A$100,0))&lt;&gt;"",INDEX('Coverage Indicators - Section D'!T$1:T$100,MATCH('Print View'!$A189,'Coverage Indicators - Section D'!$A$1:$A$100,0)),""),"")</f>
        <v xml:space="preserve">/
</v>
      </c>
      <c r="N189" s="81" t="str">
        <f ca="1">IFERROR(IF(INDEX('Coverage Indicators - Section D'!U$1:U$100,MATCH('Print View'!$A189,'Coverage Indicators - Section D'!$A$1:$A$100,0))&lt;&gt;"",INDEX('Coverage Indicators - Section D'!U$1:U$100,MATCH('Print View'!$A189,'Coverage Indicators - Section D'!$A$1:$A$100,0)),""),"")&amp;"/"&amp;IFERROR(IF(INDEX('Coverage Indicators - Section D'!U$1:U$100,MATCH('Print View'!$A189,'Coverage Indicators - Section D'!$A$1:$A$100,0)+1)&lt;&gt;"",INDEX('Coverage Indicators - Section D'!U$1:U$100,MATCH('Print View'!$A189,'Coverage Indicators - Section D'!$A$1:$A$100,0)+1),""),"")&amp;CHAR(10)&amp;IFERROR(IF(INDEX('Coverage Indicators - Section D'!V$1:V$100,MATCH('Print View'!$A189,'Coverage Indicators - Section D'!$A$1:$A$100,0))&lt;&gt;"",FIXED(INDEX('Coverage Indicators - Section D'!V$1:V$100,MATCH('Print View'!$A189,'Coverage Indicators - Section D'!$A$1:$A$100,0))*100,2)&amp;"%",""),"")&amp;CHAR(10)&amp;IFERROR(IF(INDEX('Coverage Indicators - Section D'!W$1:W$100,MATCH('Print View'!$A189,'Coverage Indicators - Section D'!$A$1:$A$100,0))&lt;&gt;"",INDEX('Coverage Indicators - Section D'!W$1:W$100,MATCH('Print View'!$A189,'Coverage Indicators - Section D'!$A$1:$A$100,0)),""),"")</f>
        <v xml:space="preserve">/
</v>
      </c>
      <c r="O189" s="82" t="str">
        <f ca="1">IFERROR(IF(INDEX('Coverage Indicators - Section D'!X$1:X$100,MATCH('Print View'!$A189,'Coverage Indicators - Section D'!$A$1:$A$100,0))&lt;&gt;"",INDEX('Coverage Indicators - Section D'!X$1:X$100,MATCH('Print View'!$A189,'Coverage Indicators - Section D'!$A$1:$A$100,0)),""),"")&amp;"/"&amp;IFERROR(IF(INDEX('Coverage Indicators - Section D'!X$1:X$100,MATCH('Print View'!$A189,'Coverage Indicators - Section D'!$A$1:$A$100,0)+1)&lt;&gt;"",INDEX('Coverage Indicators - Section D'!X$1:X$100,MATCH('Print View'!$A189,'Coverage Indicators - Section D'!$A$1:$A$100,0)+1),""),"")&amp;CHAR(10)&amp;IFERROR(IF(INDEX('Coverage Indicators - Section D'!Y$1:Y$100,MATCH('Print View'!$A189,'Coverage Indicators - Section D'!$A$1:$A$100,0))&lt;&gt;"",FIXED(INDEX('Coverage Indicators - Section D'!Y$1:Y$100,MATCH('Print View'!$A189,'Coverage Indicators - Section D'!$A$1:$A$100,0))*100,2)&amp;"%",""),"")&amp;CHAR(10)&amp;IFERROR(IF(INDEX('Coverage Indicators - Section D'!Z$1:Z$100,MATCH('Print View'!$A189,'Coverage Indicators - Section D'!$A$1:$A$100,0))&lt;&gt;"",INDEX('Coverage Indicators - Section D'!Z$1:Z$100,MATCH('Print View'!$A189,'Coverage Indicators - Section D'!$A$1:$A$100,0)),""),"")</f>
        <v xml:space="preserve">/
</v>
      </c>
      <c r="P189" s="82" t="str">
        <f ca="1">IFERROR(IF(INDEX('Coverage Indicators - Section D'!AA$1:AA$100,MATCH('Print View'!$A189,'Coverage Indicators - Section D'!$A$1:$A$100,0))&lt;&gt;"",INDEX('Coverage Indicators - Section D'!AA$1:AA$100,MATCH('Print View'!$A189,'Coverage Indicators - Section D'!$A$1:$A$100,0)),""),"")&amp;"/"&amp;IFERROR(IF(INDEX('Coverage Indicators - Section D'!AA$1:AA$100,MATCH('Print View'!$A189,'Coverage Indicators - Section D'!$A$1:$A$100,0)+1)&lt;&gt;"",INDEX('Coverage Indicators - Section D'!AA$1:AA$100,MATCH('Print View'!$A189,'Coverage Indicators - Section D'!$A$1:$A$100,0)+1),""),"")&amp;CHAR(10)&amp;IFERROR(IF(INDEX('Coverage Indicators - Section D'!AB$1:AB$100,MATCH('Print View'!$A189,'Coverage Indicators - Section D'!$A$1:$A$100,0))&lt;&gt;"",FIXED(INDEX('Coverage Indicators - Section D'!AB$1:AB$100,MATCH('Print View'!$A189,'Coverage Indicators - Section D'!$A$1:$A$100,0))*100,2)&amp;"%",""),"")&amp;CHAR(10)&amp;IFERROR(IF(INDEX('Coverage Indicators - Section D'!AC$1:AC$100,MATCH('Print View'!$A189,'Coverage Indicators - Section D'!$A$1:$A$100,0))&lt;&gt;"",INDEX('Coverage Indicators - Section D'!AC$1:AC$100,MATCH('Print View'!$A189,'Coverage Indicators - Section D'!$A$1:$A$100,0)),""),"")</f>
        <v xml:space="preserve">/
</v>
      </c>
      <c r="Q189" s="82" t="str">
        <f ca="1">IFERROR(IF(INDEX('Coverage Indicators - Section D'!AD$1:AD$100,MATCH('Print View'!$A189,'Coverage Indicators - Section D'!$A$1:$A$100,0))&lt;&gt;"",INDEX('Coverage Indicators - Section D'!AD$1:AD$100,MATCH('Print View'!$A189,'Coverage Indicators - Section D'!$A$1:$A$100,0)),""),"")&amp;"/"&amp;IFERROR(IF(INDEX('Coverage Indicators - Section D'!AD$1:AD$100,MATCH('Print View'!$A189,'Coverage Indicators - Section D'!$A$1:$A$100,0)+1)&lt;&gt;"",INDEX('Coverage Indicators - Section D'!AD$1:AD$100,MATCH('Print View'!$A189,'Coverage Indicators - Section D'!$A$1:$A$100,0)+1),""),"")&amp;CHAR(10)&amp;IFERROR(IF(INDEX('Coverage Indicators - Section D'!AE$1:AE$100,MATCH('Print View'!$A189,'Coverage Indicators - Section D'!$A$1:$A$100,0))&lt;&gt;"",FIXED(INDEX('Coverage Indicators - Section D'!AE$1:AE$100,MATCH('Print View'!$A189,'Coverage Indicators - Section D'!$A$1:$A$100,0))*100,2)&amp;"%",""),"")&amp;CHAR(10)&amp;IFERROR(IF(INDEX('Coverage Indicators - Section D'!AF$1:AF$100,MATCH('Print View'!$A189,'Coverage Indicators - Section D'!$A$1:$A$100,0))&lt;&gt;"",INDEX('Coverage Indicators - Section D'!AF$1:AF$100,MATCH('Print View'!$A189,'Coverage Indicators - Section D'!$A$1:$A$100,0)),""),"")</f>
        <v xml:space="preserve">/
</v>
      </c>
      <c r="R189" s="82" t="str">
        <f ca="1">IFERROR(IF(INDEX('Coverage Indicators - Section D'!AG$1:AG$100,MATCH('Print View'!$A189,'Coverage Indicators - Section D'!$A$1:$A$100,0))&lt;&gt;"",INDEX('Coverage Indicators - Section D'!AG$1:AG$100,MATCH('Print View'!$A189,'Coverage Indicators - Section D'!$A$1:$A$100,0)),""),"")&amp;"/"&amp;IFERROR(IF(INDEX('Coverage Indicators - Section D'!AG$1:AG$100,MATCH('Print View'!$A189,'Coverage Indicators - Section D'!$A$1:$A$100,0)+1)&lt;&gt;"",INDEX('Coverage Indicators - Section D'!AG$1:AG$100,MATCH('Print View'!$A189,'Coverage Indicators - Section D'!$A$1:$A$100,0)+1),""),"")&amp;CHAR(10)&amp;IFERROR(IF(INDEX('Coverage Indicators - Section D'!AH$1:AH$100,MATCH('Print View'!$A189,'Coverage Indicators - Section D'!$A$1:$A$100,0))&lt;&gt;"",FIXED(INDEX('Coverage Indicators - Section D'!AH$1:AH$100,MATCH('Print View'!$A189,'Coverage Indicators - Section D'!$A$1:$A$100,0))*100,2)&amp;"%",""),"")&amp;CHAR(10)&amp;IFERROR(IF(INDEX('Coverage Indicators - Section D'!AI$1:AI$100,MATCH('Print View'!$A189,'Coverage Indicators - Section D'!$A$1:$A$100,0))&lt;&gt;"",INDEX('Coverage Indicators - Section D'!AI$1:AI$100,MATCH('Print View'!$A189,'Coverage Indicators - Section D'!$A$1:$A$100,0)),""),"")</f>
        <v xml:space="preserve">/
</v>
      </c>
      <c r="S189" s="82" t="str">
        <f ca="1">IFERROR(IF(INDEX('Coverage Indicators - Section D'!AJ$1:AJ$100,MATCH('Print View'!$A189,'Coverage Indicators - Section D'!$A$1:$A$100,0))&lt;&gt;"",INDEX('Coverage Indicators - Section D'!AJ$1:AJ$100,MATCH('Print View'!$A189,'Coverage Indicators - Section D'!$A$1:$A$100,0)),""),"")&amp;"/"&amp;IFERROR(IF(INDEX('Coverage Indicators - Section D'!AJ$1:AJ$100,MATCH('Print View'!$A189,'Coverage Indicators - Section D'!$A$1:$A$100,0)+1)&lt;&gt;"",INDEX('Coverage Indicators - Section D'!AJ$1:AJ$100,MATCH('Print View'!$A189,'Coverage Indicators - Section D'!$A$1:$A$100,0)+1),""),"")&amp;CHAR(10)&amp;IFERROR(IF(INDEX('Coverage Indicators - Section D'!AK$1:AK$100,MATCH('Print View'!$A189,'Coverage Indicators - Section D'!$A$1:$A$100,0))&lt;&gt;"",FIXED(INDEX('Coverage Indicators - Section D'!AK$1:AK$100,MATCH('Print View'!$A189,'Coverage Indicators - Section D'!$A$1:$A$100,0))*100,2)&amp;"%",""),"")&amp;CHAR(10)&amp;IFERROR(IF(INDEX('Coverage Indicators - Section D'!AL$1:AL$100,MATCH('Print View'!$A189,'Coverage Indicators - Section D'!$A$1:$A$100,0))&lt;&gt;"",INDEX('Coverage Indicators - Section D'!AL$1:AL$100,MATCH('Print View'!$A189,'Coverage Indicators - Section D'!$A$1:$A$100,0)),""),"")</f>
        <v xml:space="preserve">/
</v>
      </c>
      <c r="T189" s="52"/>
      <c r="U189" s="13"/>
      <c r="V189" s="13"/>
      <c r="W189" s="13"/>
      <c r="X189" s="13"/>
      <c r="Y189" s="13"/>
      <c r="Z189" s="13"/>
      <c r="AA189" s="13"/>
      <c r="AB189" s="13"/>
      <c r="AC189" s="13"/>
      <c r="AD189" s="13"/>
      <c r="AE189" s="13"/>
      <c r="AF189" s="13"/>
      <c r="AG189" s="13"/>
      <c r="AH189" s="13"/>
      <c r="AI189" s="13"/>
      <c r="AJ189" s="13"/>
      <c r="AK189" s="13"/>
      <c r="AL189" s="13"/>
      <c r="AM189" s="13"/>
      <c r="AN189" s="13"/>
      <c r="AO189" s="13" t="str">
        <f ca="1">IFERROR(IF(INDEX('Coverage Indicators - Section D'!AD$1:AD$110,MATCH('Print View'!$A189,'Coverage Indicators - Section D'!$A$1:$A$110,0))&lt;&gt;0,INDEX('Coverage Indicators - Section D'!AD$1:AD$110,MATCH('Print View'!$A189,'Coverage Indicators - Section D'!$A$1:$A$110,0)),""),"")</f>
        <v/>
      </c>
      <c r="AP189" s="13"/>
      <c r="AQ189" s="13"/>
      <c r="AR189" s="13"/>
      <c r="AS189" s="13"/>
      <c r="AT189" s="577" t="str">
        <f ca="1">CONCATENATE($A189,N$147)</f>
        <v>2131-Dec-25</v>
      </c>
      <c r="AU189" s="575" t="str">
        <f ca="1">CONCATENATE($A189,Q$147)</f>
        <v>2131-Dec-28</v>
      </c>
      <c r="AV189" s="575" t="str">
        <f>CONCATENATE($A189,V$147)</f>
        <v>21</v>
      </c>
      <c r="AW189" s="575" t="str">
        <f>CONCATENATE($A189,Y$147)</f>
        <v>21</v>
      </c>
      <c r="AX189" s="575" t="str">
        <f>CONCATENATE($A189,AB$147)</f>
        <v>21</v>
      </c>
      <c r="AY189" s="575" t="str">
        <f>CONCATENATE($A189,AE$147)</f>
        <v>21</v>
      </c>
      <c r="AZ189" s="575" t="str">
        <f>CONCATENATE($A189,AH$147)</f>
        <v>21</v>
      </c>
      <c r="BA189" s="575" t="str">
        <f>CONCATENATE($A189,AK$147)</f>
        <v>21</v>
      </c>
      <c r="BB189" s="96"/>
      <c r="BC189" s="97"/>
    </row>
    <row r="190" spans="1:55" s="16" customFormat="1" ht="88.35" customHeight="1">
      <c r="A190" s="608"/>
      <c r="B190" s="646" t="str">
        <f ca="1">IFERROR(IF(INDEX('Coverage Indicators - Section D'!AM$1:AM$110,MATCH('Print View'!$A189,'Coverage Indicators - Section D'!$A$1:$A$110,0))&lt;&gt;0,INDEX('Coverage Indicators - Section D'!AM$1:AM$110,MATCH('Print View'!$A189,'Coverage Indicators - Section D'!$A$1:$A$110,0)),""),"")</f>
        <v/>
      </c>
      <c r="C190" s="647"/>
      <c r="D190" s="647"/>
      <c r="E190" s="647"/>
      <c r="F190" s="647"/>
      <c r="G190" s="647"/>
      <c r="H190" s="647"/>
      <c r="I190" s="647"/>
      <c r="J190" s="647"/>
      <c r="K190" s="647"/>
      <c r="L190" s="647"/>
      <c r="M190" s="647"/>
      <c r="N190" s="647"/>
      <c r="O190" s="647"/>
      <c r="P190" s="647"/>
      <c r="Q190" s="647"/>
      <c r="R190" s="647"/>
      <c r="S190" s="648"/>
      <c r="T190" s="92"/>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577"/>
      <c r="AU190" s="575"/>
      <c r="AV190" s="575"/>
      <c r="AW190" s="575"/>
      <c r="AX190" s="575"/>
      <c r="AY190" s="575"/>
      <c r="AZ190" s="575"/>
      <c r="BA190" s="575"/>
      <c r="BB190" s="96"/>
      <c r="BC190" s="97"/>
    </row>
    <row r="191" spans="1:55" s="16" customFormat="1" ht="177" customHeight="1">
      <c r="A191" s="609">
        <v>22</v>
      </c>
      <c r="B191" s="83" t="str">
        <f ca="1">IFERROR(IF(INDEX('Coverage Indicators - Section D'!B$1:B$100,MATCH('Print View'!$A191,'Coverage Indicators - Section D'!$A$1:$A$100,0))&lt;&gt;0,INDEX('Coverage Indicators - Section D'!B$1:B$100,MATCH('Print View'!$A191,'Coverage Indicators - Section D'!$A$1:$A$100,0)),""),"")</f>
        <v/>
      </c>
      <c r="C191" s="83" t="str">
        <f ca="1">IFERROR(IF(INDEX('Coverage Indicators - Section D'!D$1:D$100,MATCH('Print View'!$A191,'Coverage Indicators - Section D'!$A$1:$A$100,0))&lt;&gt;0,INDEX('Coverage Indicators - Section D'!D$1:D$100,MATCH('Print View'!$A191,'Coverage Indicators - Section D'!$A$1:$A$100,0)),""),"")</f>
        <v/>
      </c>
      <c r="D191" s="83" t="str">
        <f ca="1">IFERROR(IF(INDEX('Coverage Indicators - Section D'!E$1:E$100,MATCH('Print View'!$A191,'Coverage Indicators - Section D'!$A$1:$A$100,0))&lt;&gt;0,INDEX('Coverage Indicators - Section D'!E$1:E$100,MATCH('Print View'!$A191,'Coverage Indicators - Section D'!$A$1:$A$100,0)),""),"")</f>
        <v/>
      </c>
      <c r="E191" s="45" t="str">
        <f ca="1">IFERROR(IF(INDEX('Coverage Indicators - Section D'!F$1:F$100,MATCH('Print View'!$A191,'Coverage Indicators - Section D'!$A$1:$A$100,0))&lt;&gt;"",INDEX('Coverage Indicators - Section D'!F$1:F$100,MATCH('Print View'!$A191,'Coverage Indicators - Section D'!$A$1:$A$100,0)),""),"")&amp;"/"&amp;IFERROR(IF(INDEX('Coverage Indicators - Section D'!F$1:F$100,MATCH('Print View'!$A191,'Coverage Indicators - Section D'!$A$1:$A$100,0)+1)&lt;&gt;"",INDEX('Coverage Indicators - Section D'!F$1:F$100,MATCH('Print View'!$A191,'Coverage Indicators - Section D'!$A$1:$A$100,0)+1),""),"")&amp;CHAR(10)&amp;IFERROR(IF(INDEX('Coverage Indicators - Section D'!G$1:G$100,MATCH('Print View'!$A191,'Coverage Indicators - Section D'!$A$1:$A$100,0))&lt;&gt;"",FIXED(INDEX('Coverage Indicators - Section D'!G$1:G$100,MATCH('Print View'!$A191,'Coverage Indicators - Section D'!$A$1:$A$100,0))*100,2)&amp;"%",""),"")</f>
        <v xml:space="preserve">/
</v>
      </c>
      <c r="F191" s="84" t="str">
        <f ca="1">IFERROR(IF(INDEX('Coverage Indicators - Section D'!H$1:H$100,MATCH('Print View'!$A191,'Coverage Indicators - Section D'!$A$1:$A$100,0))&lt;&gt;0,INDEX('Coverage Indicators - Section D'!H$1:H$100,MATCH('Print View'!$A191,'Coverage Indicators - Section D'!$A$1:$A$100,0)),""),"")&amp;CHAR(10)&amp;IFERROR(IF(INDEX('Coverage Indicators - Section D'!I$1:I$100,MATCH('Print View'!$A191,'Coverage Indicators - Section D'!$A$1:$A$100,0))&lt;&gt;0,INDEX('Coverage Indicators - Section D'!I$1:I$100,MATCH('Print View'!$A191,'Coverage Indicators - Section D'!$A$1:$A$100,0)),""),"")</f>
        <v xml:space="preserve">
</v>
      </c>
      <c r="G191" s="85" t="str">
        <f ca="1">IFERROR(IF(INDEX('Coverage Indicators - Section D'!J49:J78,MATCH('Print View'!$A191,'Coverage Indicators - Section D'!$A$9:$A$38,0))&lt;&gt;0,INDEX('Coverage Indicators - Section D'!J49:J78,MATCH('Print View'!$A191,'Coverage Indicators - Section D'!$A$9:$A$38,0)),""),"")</f>
        <v/>
      </c>
      <c r="H191" s="84" t="str">
        <f ca="1">IFERROR(IF(INDEX('Coverage Indicators - Section D'!K$1:K$100,MATCH('Print View'!$A191,'Coverage Indicators - Section D'!$A$1:$A$100,0))&lt;&gt;0,INDEX('Coverage Indicators - Section D'!K$1:K$100,MATCH('Print View'!$A191,'Coverage Indicators - Section D'!$A$1:$A$100,0)),""),"")</f>
        <v/>
      </c>
      <c r="I191" s="85" t="str">
        <f ca="1">IFERROR(IF(AND('Overview - Section A'!AN$5="Grant Making",OR(C191&lt;&gt;"",D191&lt;&gt;"")),Setup!I15,IF(INDEX('Coverage Indicators - Section D'!L$1:L$100,MATCH('Print View'!$A191,'Coverage Indicators - Section D'!$A$1:$A$100,0))&lt;&gt;0,INDEX('Coverage Indicators - Section D'!L$1:L$100,MATCH('Print View'!$A191,'Coverage Indicators - Section D'!$A$1:$A$100,0)),"")),"")</f>
        <v/>
      </c>
      <c r="J191" s="84" t="str">
        <f ca="1">IFERROR(IF(INDEX('Coverage Indicators - Section D'!M$1:M$100,MATCH('Print View'!$A191,'Coverage Indicators - Section D'!$A$1:$A$100,0))&lt;&gt;0,INDEX('Coverage Indicators - Section D'!M$1:M$100,MATCH('Print View'!$A191,'Coverage Indicators - Section D'!$A$1:$A$100,0)),""),"")&amp;CHAR(10)&amp;IFERROR(IF(INDEX('Coverage Indicators - Section D'!M$1:M$100,MATCH('Print View'!$A191,'Coverage Indicators - Section D'!$A$1:$A$100,0)+1)&lt;&gt;0,INDEX('Coverage Indicators - Section D'!M$1:M$100,MATCH('Print View'!$A191,'Coverage Indicators - Section D'!$A$1:$A$100,0)+1),""),"")</f>
        <v xml:space="preserve">
</v>
      </c>
      <c r="K191" s="84" t="str">
        <f ca="1">IFERROR(IF(INDEX('Coverage Indicators - Section D'!N$1:N$100,MATCH('Print View'!$A191,'Coverage Indicators - Section D'!$A$1:$A$100,0))&lt;&gt;0,INDEX('Coverage Indicators - Section D'!N$1:N$100,MATCH('Print View'!$A191,'Coverage Indicators - Section D'!$A$1:$A$100,0)),""),"")</f>
        <v/>
      </c>
      <c r="L191" s="88" t="str">
        <f ca="1">IFERROR(IF(INDEX('Coverage Indicators - Section D'!O$1:O$100,MATCH('Print View'!$A191,'Coverage Indicators - Section D'!$A$1:$A$100,0))&lt;&gt;"",INDEX('Coverage Indicators - Section D'!O$1:O$100,MATCH('Print View'!$A191,'Coverage Indicators - Section D'!$A$1:$A$100,0)),""),"")&amp;"/"&amp;IFERROR(IF(INDEX('Coverage Indicators - Section D'!O$1:O$100,MATCH('Print View'!$A191,'Coverage Indicators - Section D'!$A$1:$A$100,0)+1)&lt;&gt;"",INDEX('Coverage Indicators - Section D'!O$1:O$100,MATCH('Print View'!$A191,'Coverage Indicators - Section D'!$A$1:$A$100,0)+1),""),"")&amp;CHAR(10)&amp;IFERROR(IF(INDEX('Coverage Indicators - Section D'!P$1:P$100,MATCH('Print View'!$A191,'Coverage Indicators - Section D'!$A$1:$A$100,0))&lt;&gt;"",FIXED(INDEX('Coverage Indicators - Section D'!P$1:P$100,MATCH('Print View'!$A191,'Coverage Indicators - Section D'!$A$1:$A$100,0))*100,2)&amp;"%",""),"")&amp;CHAR(10)&amp;IFERROR(IF(INDEX('Coverage Indicators - Section D'!Q$1:Q$100,MATCH('Print View'!$A191,'Coverage Indicators - Section D'!$A$1:$A$100,0))&lt;&gt;"",INDEX('Coverage Indicators - Section D'!Q$1:Q$100,MATCH('Print View'!$A191,'Coverage Indicators - Section D'!$A$1:$A$100,0)),""),"")</f>
        <v xml:space="preserve">/
</v>
      </c>
      <c r="M191" s="88" t="str">
        <f ca="1">IFERROR(IF(INDEX('Coverage Indicators - Section D'!R$1:R$100,MATCH('Print View'!$A191,'Coverage Indicators - Section D'!$A$1:$A$100,0))&lt;&gt;"",INDEX('Coverage Indicators - Section D'!R$1:R$100,MATCH('Print View'!$A191,'Coverage Indicators - Section D'!$A$1:$A$100,0)),""),"")&amp;"/"&amp;IFERROR(IF(INDEX('Coverage Indicators - Section D'!R$1:R$100,MATCH('Print View'!$A191,'Coverage Indicators - Section D'!$A$1:$A$100,0)+1)&lt;&gt;"",INDEX('Coverage Indicators - Section D'!R$1:R$100,MATCH('Print View'!$A191,'Coverage Indicators - Section D'!$A$1:$A$100,0)+1),""),"")&amp;CHAR(10)&amp;IFERROR(IF(INDEX('Coverage Indicators - Section D'!S$1:S$100,MATCH('Print View'!$A191,'Coverage Indicators - Section D'!$A$1:$A$100,0))&lt;&gt;"",FIXED(INDEX('Coverage Indicators - Section D'!S$1:S$100,MATCH('Print View'!$A191,'Coverage Indicators - Section D'!$A$1:$A$100,0))*100,2)&amp;"%",""),"")&amp;CHAR(10)&amp;IFERROR(IF(INDEX('Coverage Indicators - Section D'!T$1:T$100,MATCH('Print View'!$A191,'Coverage Indicators - Section D'!$A$1:$A$100,0))&lt;&gt;"",INDEX('Coverage Indicators - Section D'!T$1:T$100,MATCH('Print View'!$A191,'Coverage Indicators - Section D'!$A$1:$A$100,0)),""),"")</f>
        <v xml:space="preserve">/
</v>
      </c>
      <c r="N191" s="88" t="str">
        <f ca="1">IFERROR(IF(INDEX('Coverage Indicators - Section D'!U$1:U$100,MATCH('Print View'!$A191,'Coverage Indicators - Section D'!$A$1:$A$100,0))&lt;&gt;"",INDEX('Coverage Indicators - Section D'!U$1:U$100,MATCH('Print View'!$A191,'Coverage Indicators - Section D'!$A$1:$A$100,0)),""),"")&amp;"/"&amp;IFERROR(IF(INDEX('Coverage Indicators - Section D'!U$1:U$100,MATCH('Print View'!$A191,'Coverage Indicators - Section D'!$A$1:$A$100,0)+1)&lt;&gt;"",INDEX('Coverage Indicators - Section D'!U$1:U$100,MATCH('Print View'!$A191,'Coverage Indicators - Section D'!$A$1:$A$100,0)+1),""),"")&amp;CHAR(10)&amp;IFERROR(IF(INDEX('Coverage Indicators - Section D'!V$1:V$100,MATCH('Print View'!$A191,'Coverage Indicators - Section D'!$A$1:$A$100,0))&lt;&gt;"",FIXED(INDEX('Coverage Indicators - Section D'!V$1:V$100,MATCH('Print View'!$A191,'Coverage Indicators - Section D'!$A$1:$A$100,0))*100,2)&amp;"%",""),"")&amp;CHAR(10)&amp;IFERROR(IF(INDEX('Coverage Indicators - Section D'!W$1:W$100,MATCH('Print View'!$A191,'Coverage Indicators - Section D'!$A$1:$A$100,0))&lt;&gt;"",INDEX('Coverage Indicators - Section D'!W$1:W$100,MATCH('Print View'!$A191,'Coverage Indicators - Section D'!$A$1:$A$100,0)),""),"")</f>
        <v xml:space="preserve">/
</v>
      </c>
      <c r="O191" s="88" t="str">
        <f ca="1">IFERROR(IF(INDEX('Coverage Indicators - Section D'!X$1:X$100,MATCH('Print View'!$A191,'Coverage Indicators - Section D'!$A$1:$A$100,0))&lt;&gt;"",INDEX('Coverage Indicators - Section D'!X$1:X$100,MATCH('Print View'!$A191,'Coverage Indicators - Section D'!$A$1:$A$100,0)),""),"")&amp;"/"&amp;IFERROR(IF(INDEX('Coverage Indicators - Section D'!X$1:X$100,MATCH('Print View'!$A191,'Coverage Indicators - Section D'!$A$1:$A$100,0)+1)&lt;&gt;"",INDEX('Coverage Indicators - Section D'!X$1:X$100,MATCH('Print View'!$A191,'Coverage Indicators - Section D'!$A$1:$A$100,0)+1),""),"")&amp;CHAR(10)&amp;IFERROR(IF(INDEX('Coverage Indicators - Section D'!Y$1:Y$100,MATCH('Print View'!$A191,'Coverage Indicators - Section D'!$A$1:$A$100,0))&lt;&gt;"",FIXED(INDEX('Coverage Indicators - Section D'!Y$1:Y$100,MATCH('Print View'!$A191,'Coverage Indicators - Section D'!$A$1:$A$100,0))*100,2)&amp;"%",""),"")&amp;CHAR(10)&amp;IFERROR(IF(INDEX('Coverage Indicators - Section D'!Z$1:Z$100,MATCH('Print View'!$A191,'Coverage Indicators - Section D'!$A$1:$A$100,0))&lt;&gt;"",INDEX('Coverage Indicators - Section D'!Z$1:Z$100,MATCH('Print View'!$A191,'Coverage Indicators - Section D'!$A$1:$A$100,0)),""),"")</f>
        <v xml:space="preserve">/
</v>
      </c>
      <c r="P191" s="88" t="str">
        <f ca="1">IFERROR(IF(INDEX('Coverage Indicators - Section D'!AA$1:AA$100,MATCH('Print View'!$A191,'Coverage Indicators - Section D'!$A$1:$A$100,0))&lt;&gt;"",INDEX('Coverage Indicators - Section D'!AA$1:AA$100,MATCH('Print View'!$A191,'Coverage Indicators - Section D'!$A$1:$A$100,0)),""),"")&amp;"/"&amp;IFERROR(IF(INDEX('Coverage Indicators - Section D'!AA$1:AA$100,MATCH('Print View'!$A191,'Coverage Indicators - Section D'!$A$1:$A$100,0)+1)&lt;&gt;"",INDEX('Coverage Indicators - Section D'!AA$1:AA$100,MATCH('Print View'!$A191,'Coverage Indicators - Section D'!$A$1:$A$100,0)+1),""),"")&amp;CHAR(10)&amp;IFERROR(IF(INDEX('Coverage Indicators - Section D'!AB$1:AB$100,MATCH('Print View'!$A191,'Coverage Indicators - Section D'!$A$1:$A$100,0))&lt;&gt;"",FIXED(INDEX('Coverage Indicators - Section D'!AB$1:AB$100,MATCH('Print View'!$A191,'Coverage Indicators - Section D'!$A$1:$A$100,0))*100,2)&amp;"%",""),"")&amp;CHAR(10)&amp;IFERROR(IF(INDEX('Coverage Indicators - Section D'!AC$1:AC$100,MATCH('Print View'!$A191,'Coverage Indicators - Section D'!$A$1:$A$100,0))&lt;&gt;"",INDEX('Coverage Indicators - Section D'!AC$1:AC$100,MATCH('Print View'!$A191,'Coverage Indicators - Section D'!$A$1:$A$100,0)),""),"")</f>
        <v xml:space="preserve">/
</v>
      </c>
      <c r="Q191" s="88" t="str">
        <f ca="1">IFERROR(IF(INDEX('Coverage Indicators - Section D'!AD$1:AD$100,MATCH('Print View'!$A191,'Coverage Indicators - Section D'!$A$1:$A$100,0))&lt;&gt;"",INDEX('Coverage Indicators - Section D'!AD$1:AD$100,MATCH('Print View'!$A191,'Coverage Indicators - Section D'!$A$1:$A$100,0)),""),"")&amp;"/"&amp;IFERROR(IF(INDEX('Coverage Indicators - Section D'!AD$1:AD$100,MATCH('Print View'!$A191,'Coverage Indicators - Section D'!$A$1:$A$100,0)+1)&lt;&gt;"",INDEX('Coverage Indicators - Section D'!AD$1:AD$100,MATCH('Print View'!$A191,'Coverage Indicators - Section D'!$A$1:$A$100,0)+1),""),"")&amp;CHAR(10)&amp;IFERROR(IF(INDEX('Coverage Indicators - Section D'!AE$1:AE$100,MATCH('Print View'!$A191,'Coverage Indicators - Section D'!$A$1:$A$100,0))&lt;&gt;"",FIXED(INDEX('Coverage Indicators - Section D'!AE$1:AE$100,MATCH('Print View'!$A191,'Coverage Indicators - Section D'!$A$1:$A$100,0))*100,2)&amp;"%",""),"")&amp;CHAR(10)&amp;IFERROR(IF(INDEX('Coverage Indicators - Section D'!AF$1:AF$100,MATCH('Print View'!$A191,'Coverage Indicators - Section D'!$A$1:$A$100,0))&lt;&gt;"",INDEX('Coverage Indicators - Section D'!AF$1:AF$100,MATCH('Print View'!$A191,'Coverage Indicators - Section D'!$A$1:$A$100,0)),""),"")</f>
        <v xml:space="preserve">/
</v>
      </c>
      <c r="R191" s="88" t="str">
        <f ca="1">IFERROR(IF(INDEX('Coverage Indicators - Section D'!AG$1:AG$100,MATCH('Print View'!$A191,'Coverage Indicators - Section D'!$A$1:$A$100,0))&lt;&gt;"",INDEX('Coverage Indicators - Section D'!AG$1:AG$100,MATCH('Print View'!$A191,'Coverage Indicators - Section D'!$A$1:$A$100,0)),""),"")&amp;"/"&amp;IFERROR(IF(INDEX('Coverage Indicators - Section D'!AG$1:AG$100,MATCH('Print View'!$A191,'Coverage Indicators - Section D'!$A$1:$A$100,0)+1)&lt;&gt;"",INDEX('Coverage Indicators - Section D'!AG$1:AG$100,MATCH('Print View'!$A191,'Coverage Indicators - Section D'!$A$1:$A$100,0)+1),""),"")&amp;CHAR(10)&amp;IFERROR(IF(INDEX('Coverage Indicators - Section D'!AH$1:AH$100,MATCH('Print View'!$A191,'Coverage Indicators - Section D'!$A$1:$A$100,0))&lt;&gt;"",FIXED(INDEX('Coverage Indicators - Section D'!AH$1:AH$100,MATCH('Print View'!$A191,'Coverage Indicators - Section D'!$A$1:$A$100,0))*100,2)&amp;"%",""),"")&amp;CHAR(10)&amp;IFERROR(IF(INDEX('Coverage Indicators - Section D'!AI$1:AI$100,MATCH('Print View'!$A191,'Coverage Indicators - Section D'!$A$1:$A$100,0))&lt;&gt;"",INDEX('Coverage Indicators - Section D'!AI$1:AI$100,MATCH('Print View'!$A191,'Coverage Indicators - Section D'!$A$1:$A$100,0)),""),"")</f>
        <v xml:space="preserve">/
</v>
      </c>
      <c r="S191" s="88" t="str">
        <f ca="1">IFERROR(IF(INDEX('Coverage Indicators - Section D'!AJ$1:AJ$100,MATCH('Print View'!$A191,'Coverage Indicators - Section D'!$A$1:$A$100,0))&lt;&gt;"",INDEX('Coverage Indicators - Section D'!AJ$1:AJ$100,MATCH('Print View'!$A191,'Coverage Indicators - Section D'!$A$1:$A$100,0)),""),"")&amp;"/"&amp;IFERROR(IF(INDEX('Coverage Indicators - Section D'!AJ$1:AJ$100,MATCH('Print View'!$A191,'Coverage Indicators - Section D'!$A$1:$A$100,0)+1)&lt;&gt;"",INDEX('Coverage Indicators - Section D'!AJ$1:AJ$100,MATCH('Print View'!$A191,'Coverage Indicators - Section D'!$A$1:$A$100,0)+1),""),"")&amp;CHAR(10)&amp;IFERROR(IF(INDEX('Coverage Indicators - Section D'!AK$1:AK$100,MATCH('Print View'!$A191,'Coverage Indicators - Section D'!$A$1:$A$100,0))&lt;&gt;"",FIXED(INDEX('Coverage Indicators - Section D'!AK$1:AK$100,MATCH('Print View'!$A191,'Coverage Indicators - Section D'!$A$1:$A$100,0))*100,2)&amp;"%",""),"")&amp;CHAR(10)&amp;IFERROR(IF(INDEX('Coverage Indicators - Section D'!AL$1:AL$100,MATCH('Print View'!$A191,'Coverage Indicators - Section D'!$A$1:$A$100,0))&lt;&gt;"",INDEX('Coverage Indicators - Section D'!AL$1:AL$100,MATCH('Print View'!$A191,'Coverage Indicators - Section D'!$A$1:$A$100,0)),""),"")</f>
        <v xml:space="preserve">/
</v>
      </c>
      <c r="T191" s="93"/>
      <c r="U191" s="13"/>
      <c r="V191" s="13"/>
      <c r="W191" s="13"/>
      <c r="X191" s="13"/>
      <c r="Y191" s="13"/>
      <c r="Z191" s="13"/>
      <c r="AA191" s="13"/>
      <c r="AB191" s="13"/>
      <c r="AC191" s="13"/>
      <c r="AD191" s="13"/>
      <c r="AE191" s="13"/>
      <c r="AF191" s="13"/>
      <c r="AG191" s="13"/>
      <c r="AH191" s="13"/>
      <c r="AI191" s="13"/>
      <c r="AJ191" s="13"/>
      <c r="AK191" s="13"/>
      <c r="AL191" s="13"/>
      <c r="AM191" s="13"/>
      <c r="AN191" s="13"/>
      <c r="AO191" s="13" t="str">
        <f ca="1">IFERROR(IF(INDEX('Coverage Indicators - Section D'!AD$1:AD$110,MATCH('Print View'!$A191,'Coverage Indicators - Section D'!$A$1:$A$110,0))&lt;&gt;0,INDEX('Coverage Indicators - Section D'!AD$1:AD$110,MATCH('Print View'!$A191,'Coverage Indicators - Section D'!$A$1:$A$110,0)),""),"")</f>
        <v/>
      </c>
      <c r="AP191" s="13"/>
      <c r="AQ191" s="13"/>
      <c r="AR191" s="13"/>
      <c r="AS191" s="13"/>
      <c r="AT191" s="577" t="str">
        <f ca="1">CONCATENATE($A191,N$147)</f>
        <v>2231-Dec-25</v>
      </c>
      <c r="AU191" s="575" t="str">
        <f ca="1">CONCATENATE($A191,Q$147)</f>
        <v>2231-Dec-28</v>
      </c>
      <c r="AV191" s="575" t="str">
        <f>CONCATENATE($A191,V$147)</f>
        <v>22</v>
      </c>
      <c r="AW191" s="575" t="str">
        <f>CONCATENATE($A191,Y$147)</f>
        <v>22</v>
      </c>
      <c r="AX191" s="575" t="str">
        <f>CONCATENATE($A191,AB$147)</f>
        <v>22</v>
      </c>
      <c r="AY191" s="575" t="str">
        <f>CONCATENATE($A191,AE$147)</f>
        <v>22</v>
      </c>
      <c r="AZ191" s="575" t="str">
        <f>CONCATENATE($A191,AH$147)</f>
        <v>22</v>
      </c>
      <c r="BA191" s="575" t="str">
        <f>CONCATENATE($A191,AK$147)</f>
        <v>22</v>
      </c>
      <c r="BB191" s="96"/>
      <c r="BC191" s="97"/>
    </row>
    <row r="192" spans="1:55" s="16" customFormat="1" ht="88.35" customHeight="1">
      <c r="A192" s="609"/>
      <c r="B192" s="630" t="str">
        <f ca="1">IFERROR(IF(INDEX('Coverage Indicators - Section D'!AM$1:AM$110,MATCH('Print View'!$A191,'Coverage Indicators - Section D'!$A$1:$A$110,0))&lt;&gt;0,INDEX('Coverage Indicators - Section D'!AM$1:AM$110,MATCH('Print View'!$A191,'Coverage Indicators - Section D'!$A$1:$A$110,0)),""),"")</f>
        <v/>
      </c>
      <c r="C192" s="631"/>
      <c r="D192" s="631"/>
      <c r="E192" s="631"/>
      <c r="F192" s="631"/>
      <c r="G192" s="631"/>
      <c r="H192" s="631"/>
      <c r="I192" s="632"/>
      <c r="J192" s="632"/>
      <c r="K192" s="632"/>
      <c r="L192" s="632"/>
      <c r="M192" s="632"/>
      <c r="N192" s="632"/>
      <c r="O192" s="632"/>
      <c r="P192" s="632"/>
      <c r="Q192" s="632"/>
      <c r="R192" s="632"/>
      <c r="S192" s="633"/>
      <c r="T192" s="94"/>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577"/>
      <c r="AU192" s="575"/>
      <c r="AV192" s="575"/>
      <c r="AW192" s="575"/>
      <c r="AX192" s="575"/>
      <c r="AY192" s="575"/>
      <c r="AZ192" s="575"/>
      <c r="BA192" s="575"/>
      <c r="BB192" s="96"/>
      <c r="BC192" s="97"/>
    </row>
    <row r="193" spans="1:55" s="16" customFormat="1" ht="177" customHeight="1">
      <c r="A193" s="608">
        <v>23</v>
      </c>
      <c r="B193" s="80" t="str">
        <f ca="1">IFERROR(IF(INDEX('Coverage Indicators - Section D'!B$1:B$100,MATCH('Print View'!$A193,'Coverage Indicators - Section D'!$A$1:$A$100,0))&lt;&gt;0,INDEX('Coverage Indicators - Section D'!B$1:B$100,MATCH('Print View'!$A193,'Coverage Indicators - Section D'!$A$1:$A$100,0)),""),"")</f>
        <v/>
      </c>
      <c r="C193" s="80" t="str">
        <f ca="1">IFERROR(IF(INDEX('Coverage Indicators - Section D'!D$1:D$100,MATCH('Print View'!$A193,'Coverage Indicators - Section D'!$A$1:$A$100,0))&lt;&gt;0,INDEX('Coverage Indicators - Section D'!D$1:D$100,MATCH('Print View'!$A193,'Coverage Indicators - Section D'!$A$1:$A$100,0)),""),"")</f>
        <v/>
      </c>
      <c r="D193" s="80" t="str">
        <f ca="1">IFERROR(IF(INDEX('Coverage Indicators - Section D'!E$1:E$100,MATCH('Print View'!$A193,'Coverage Indicators - Section D'!$A$1:$A$100,0))&lt;&gt;0,INDEX('Coverage Indicators - Section D'!E$1:E$100,MATCH('Print View'!$A193,'Coverage Indicators - Section D'!$A$1:$A$100,0)),""),"")</f>
        <v/>
      </c>
      <c r="E193" s="81" t="str">
        <f ca="1">IFERROR(IF(INDEX('Coverage Indicators - Section D'!F$1:F$100,MATCH('Print View'!$A193,'Coverage Indicators - Section D'!$A$1:$A$100,0))&lt;&gt;"",INDEX('Coverage Indicators - Section D'!F$1:F$100,MATCH('Print View'!$A193,'Coverage Indicators - Section D'!$A$1:$A$100,0)),""),"")&amp;"/"&amp;IFERROR(IF(INDEX('Coverage Indicators - Section D'!F$1:F$100,MATCH('Print View'!$A193,'Coverage Indicators - Section D'!$A$1:$A$100,0)+1)&lt;&gt;"",INDEX('Coverage Indicators - Section D'!F$1:F$100,MATCH('Print View'!$A193,'Coverage Indicators - Section D'!$A$1:$A$100,0)+1),""),"")&amp;CHAR(10)&amp;IFERROR(IF(INDEX('Coverage Indicators - Section D'!G$1:G$100,MATCH('Print View'!$A193,'Coverage Indicators - Section D'!$A$1:$A$100,0))&lt;&gt;"",FIXED(INDEX('Coverage Indicators - Section D'!G$1:G$100,MATCH('Print View'!$A193,'Coverage Indicators - Section D'!$A$1:$A$100,0))*100,2)&amp;"%",""),"")</f>
        <v xml:space="preserve">/
</v>
      </c>
      <c r="F193" s="82" t="str">
        <f ca="1">IFERROR(IF(INDEX('Coverage Indicators - Section D'!H$1:H$100,MATCH('Print View'!$A193,'Coverage Indicators - Section D'!$A$1:$A$100,0))&lt;&gt;0,INDEX('Coverage Indicators - Section D'!H$1:H$100,MATCH('Print View'!$A193,'Coverage Indicators - Section D'!$A$1:$A$100,0)),""),"")&amp;CHAR(10)&amp;IFERROR(IF(INDEX('Coverage Indicators - Section D'!I$1:I$100,MATCH('Print View'!$A193,'Coverage Indicators - Section D'!$A$1:$A$100,0))&lt;&gt;0,INDEX('Coverage Indicators - Section D'!I$1:I$100,MATCH('Print View'!$A193,'Coverage Indicators - Section D'!$A$1:$A$100,0)),""),"")</f>
        <v xml:space="preserve">
</v>
      </c>
      <c r="G193" s="41" t="str">
        <f ca="1">IFERROR(IF(INDEX('Coverage Indicators - Section D'!J53:J82,MATCH('Print View'!$A193,'Coverage Indicators - Section D'!$A$9:$A$38,0))&lt;&gt;0,INDEX('Coverage Indicators - Section D'!J53:J82,MATCH('Print View'!$A193,'Coverage Indicators - Section D'!$A$9:$A$38,0)),""),"")</f>
        <v/>
      </c>
      <c r="H193" s="42" t="str">
        <f ca="1">IFERROR(IF(INDEX('Coverage Indicators - Section D'!K$1:K$100,MATCH('Print View'!$A193,'Coverage Indicators - Section D'!$A$1:$A$100,0))&lt;&gt;0,INDEX('Coverage Indicators - Section D'!K$1:K$100,MATCH('Print View'!$A193,'Coverage Indicators - Section D'!$A$1:$A$100,0)),""),"")</f>
        <v/>
      </c>
      <c r="I193" s="41" t="str">
        <f ca="1">IFERROR(IF(AND('Overview - Section A'!AN$5="Grant Making",OR(C193&lt;&gt;"",D193&lt;&gt;"")),Setup!I15,IF(INDEX('Coverage Indicators - Section D'!L$1:L$100,MATCH('Print View'!$A193,'Coverage Indicators - Section D'!$A$1:$A$100,0))&lt;&gt;0,INDEX('Coverage Indicators - Section D'!L$1:L$100,MATCH('Print View'!$A193,'Coverage Indicators - Section D'!$A$1:$A$100,0)),"")),"")</f>
        <v/>
      </c>
      <c r="J193" s="81" t="str">
        <f ca="1">IFERROR(IF(INDEX('Coverage Indicators - Section D'!M$1:M$100,MATCH('Print View'!$A193,'Coverage Indicators - Section D'!$A$1:$A$100,0))&lt;&gt;0,INDEX('Coverage Indicators - Section D'!M$1:M$100,MATCH('Print View'!$A193,'Coverage Indicators - Section D'!$A$1:$A$100,0)),""),"")&amp;CHAR(10)&amp;IFERROR(IF(INDEX('Coverage Indicators - Section D'!M$1:M$100,MATCH('Print View'!$A193,'Coverage Indicators - Section D'!$A$1:$A$100,0)+1)&lt;&gt;0,INDEX('Coverage Indicators - Section D'!M$1:M$100,MATCH('Print View'!$A193,'Coverage Indicators - Section D'!$A$1:$A$100,0)+1),""),"")</f>
        <v xml:space="preserve">
</v>
      </c>
      <c r="K193" s="81" t="str">
        <f ca="1">IFERROR(IF(INDEX('Coverage Indicators - Section D'!N$1:N$100,MATCH('Print View'!$A193,'Coverage Indicators - Section D'!$A$1:$A$100,0))&lt;&gt;0,INDEX('Coverage Indicators - Section D'!N$1:N$100,MATCH('Print View'!$A193,'Coverage Indicators - Section D'!$A$1:$A$100,0)),""),"")</f>
        <v/>
      </c>
      <c r="L193" s="81" t="str">
        <f ca="1">IFERROR(IF(INDEX('Coverage Indicators - Section D'!O$1:O$100,MATCH('Print View'!$A193,'Coverage Indicators - Section D'!$A$1:$A$100,0))&lt;&gt;"",INDEX('Coverage Indicators - Section D'!O$1:O$100,MATCH('Print View'!$A193,'Coverage Indicators - Section D'!$A$1:$A$100,0)),""),"")&amp;"/"&amp;IFERROR(IF(INDEX('Coverage Indicators - Section D'!O$1:O$100,MATCH('Print View'!$A193,'Coverage Indicators - Section D'!$A$1:$A$100,0)+1)&lt;&gt;"",INDEX('Coverage Indicators - Section D'!O$1:O$100,MATCH('Print View'!$A193,'Coverage Indicators - Section D'!$A$1:$A$100,0)+1),""),"")&amp;CHAR(10)&amp;IFERROR(IF(INDEX('Coverage Indicators - Section D'!P$1:P$100,MATCH('Print View'!$A193,'Coverage Indicators - Section D'!$A$1:$A$100,0))&lt;&gt;"",FIXED(INDEX('Coverage Indicators - Section D'!P$1:P$100,MATCH('Print View'!$A193,'Coverage Indicators - Section D'!$A$1:$A$100,0))*100,2)&amp;"%",""),"")&amp;CHAR(10)&amp;IFERROR(IF(INDEX('Coverage Indicators - Section D'!Q$1:Q$100,MATCH('Print View'!$A193,'Coverage Indicators - Section D'!$A$1:$A$100,0))&lt;&gt;"",INDEX('Coverage Indicators - Section D'!Q$1:Q$100,MATCH('Print View'!$A193,'Coverage Indicators - Section D'!$A$1:$A$100,0)),""),"")</f>
        <v xml:space="preserve">/
</v>
      </c>
      <c r="M193" s="82" t="str">
        <f ca="1">IFERROR(IF(INDEX('Coverage Indicators - Section D'!R$1:R$100,MATCH('Print View'!$A193,'Coverage Indicators - Section D'!$A$1:$A$100,0))&lt;&gt;"",INDEX('Coverage Indicators - Section D'!R$1:R$100,MATCH('Print View'!$A193,'Coverage Indicators - Section D'!$A$1:$A$100,0)),""),"")&amp;"/"&amp;IFERROR(IF(INDEX('Coverage Indicators - Section D'!R$1:R$100,MATCH('Print View'!$A193,'Coverage Indicators - Section D'!$A$1:$A$100,0)+1)&lt;&gt;"",INDEX('Coverage Indicators - Section D'!R$1:R$100,MATCH('Print View'!$A193,'Coverage Indicators - Section D'!$A$1:$A$100,0)+1),""),"")&amp;CHAR(10)&amp;IFERROR(IF(INDEX('Coverage Indicators - Section D'!S$1:S$100,MATCH('Print View'!$A193,'Coverage Indicators - Section D'!$A$1:$A$100,0))&lt;&gt;"",FIXED(INDEX('Coverage Indicators - Section D'!S$1:S$100,MATCH('Print View'!$A193,'Coverage Indicators - Section D'!$A$1:$A$100,0))*100,2)&amp;"%",""),"")&amp;CHAR(10)&amp;IFERROR(IF(INDEX('Coverage Indicators - Section D'!T$1:T$100,MATCH('Print View'!$A193,'Coverage Indicators - Section D'!$A$1:$A$100,0))&lt;&gt;"",INDEX('Coverage Indicators - Section D'!T$1:T$100,MATCH('Print View'!$A193,'Coverage Indicators - Section D'!$A$1:$A$100,0)),""),"")</f>
        <v xml:space="preserve">/
</v>
      </c>
      <c r="N193" s="81" t="str">
        <f ca="1">IFERROR(IF(INDEX('Coverage Indicators - Section D'!U$1:U$100,MATCH('Print View'!$A193,'Coverage Indicators - Section D'!$A$1:$A$100,0))&lt;&gt;"",INDEX('Coverage Indicators - Section D'!U$1:U$100,MATCH('Print View'!$A193,'Coverage Indicators - Section D'!$A$1:$A$100,0)),""),"")&amp;"/"&amp;IFERROR(IF(INDEX('Coverage Indicators - Section D'!U$1:U$100,MATCH('Print View'!$A193,'Coverage Indicators - Section D'!$A$1:$A$100,0)+1)&lt;&gt;"",INDEX('Coverage Indicators - Section D'!U$1:U$100,MATCH('Print View'!$A193,'Coverage Indicators - Section D'!$A$1:$A$100,0)+1),""),"")&amp;CHAR(10)&amp;IFERROR(IF(INDEX('Coverage Indicators - Section D'!V$1:V$100,MATCH('Print View'!$A193,'Coverage Indicators - Section D'!$A$1:$A$100,0))&lt;&gt;"",FIXED(INDEX('Coverage Indicators - Section D'!V$1:V$100,MATCH('Print View'!$A193,'Coverage Indicators - Section D'!$A$1:$A$100,0))*100,2)&amp;"%",""),"")&amp;CHAR(10)&amp;IFERROR(IF(INDEX('Coverage Indicators - Section D'!W$1:W$100,MATCH('Print View'!$A193,'Coverage Indicators - Section D'!$A$1:$A$100,0))&lt;&gt;"",INDEX('Coverage Indicators - Section D'!W$1:W$100,MATCH('Print View'!$A193,'Coverage Indicators - Section D'!$A$1:$A$100,0)),""),"")</f>
        <v xml:space="preserve">/
</v>
      </c>
      <c r="O193" s="82" t="str">
        <f ca="1">IFERROR(IF(INDEX('Coverage Indicators - Section D'!X$1:X$100,MATCH('Print View'!$A193,'Coverage Indicators - Section D'!$A$1:$A$100,0))&lt;&gt;"",INDEX('Coverage Indicators - Section D'!X$1:X$100,MATCH('Print View'!$A193,'Coverage Indicators - Section D'!$A$1:$A$100,0)),""),"")&amp;"/"&amp;IFERROR(IF(INDEX('Coverage Indicators - Section D'!X$1:X$100,MATCH('Print View'!$A193,'Coverage Indicators - Section D'!$A$1:$A$100,0)+1)&lt;&gt;"",INDEX('Coverage Indicators - Section D'!X$1:X$100,MATCH('Print View'!$A193,'Coverage Indicators - Section D'!$A$1:$A$100,0)+1),""),"")&amp;CHAR(10)&amp;IFERROR(IF(INDEX('Coverage Indicators - Section D'!Y$1:Y$100,MATCH('Print View'!$A193,'Coverage Indicators - Section D'!$A$1:$A$100,0))&lt;&gt;"",FIXED(INDEX('Coverage Indicators - Section D'!Y$1:Y$100,MATCH('Print View'!$A193,'Coverage Indicators - Section D'!$A$1:$A$100,0))*100,2)&amp;"%",""),"")&amp;CHAR(10)&amp;IFERROR(IF(INDEX('Coverage Indicators - Section D'!Z$1:Z$100,MATCH('Print View'!$A193,'Coverage Indicators - Section D'!$A$1:$A$100,0))&lt;&gt;"",INDEX('Coverage Indicators - Section D'!Z$1:Z$100,MATCH('Print View'!$A193,'Coverage Indicators - Section D'!$A$1:$A$100,0)),""),"")</f>
        <v xml:space="preserve">/
</v>
      </c>
      <c r="P193" s="82" t="str">
        <f ca="1">IFERROR(IF(INDEX('Coverage Indicators - Section D'!AA$1:AA$100,MATCH('Print View'!$A193,'Coverage Indicators - Section D'!$A$1:$A$100,0))&lt;&gt;"",INDEX('Coverage Indicators - Section D'!AA$1:AA$100,MATCH('Print View'!$A193,'Coverage Indicators - Section D'!$A$1:$A$100,0)),""),"")&amp;"/"&amp;IFERROR(IF(INDEX('Coverage Indicators - Section D'!AA$1:AA$100,MATCH('Print View'!$A193,'Coverage Indicators - Section D'!$A$1:$A$100,0)+1)&lt;&gt;"",INDEX('Coverage Indicators - Section D'!AA$1:AA$100,MATCH('Print View'!$A193,'Coverage Indicators - Section D'!$A$1:$A$100,0)+1),""),"")&amp;CHAR(10)&amp;IFERROR(IF(INDEX('Coverage Indicators - Section D'!AB$1:AB$100,MATCH('Print View'!$A193,'Coverage Indicators - Section D'!$A$1:$A$100,0))&lt;&gt;"",FIXED(INDEX('Coverage Indicators - Section D'!AB$1:AB$100,MATCH('Print View'!$A193,'Coverage Indicators - Section D'!$A$1:$A$100,0))*100,2)&amp;"%",""),"")&amp;CHAR(10)&amp;IFERROR(IF(INDEX('Coverage Indicators - Section D'!AC$1:AC$100,MATCH('Print View'!$A193,'Coverage Indicators - Section D'!$A$1:$A$100,0))&lt;&gt;"",INDEX('Coverage Indicators - Section D'!AC$1:AC$100,MATCH('Print View'!$A193,'Coverage Indicators - Section D'!$A$1:$A$100,0)),""),"")</f>
        <v xml:space="preserve">/
</v>
      </c>
      <c r="Q193" s="82" t="str">
        <f ca="1">IFERROR(IF(INDEX('Coverage Indicators - Section D'!AD$1:AD$100,MATCH('Print View'!$A193,'Coverage Indicators - Section D'!$A$1:$A$100,0))&lt;&gt;"",INDEX('Coverage Indicators - Section D'!AD$1:AD$100,MATCH('Print View'!$A193,'Coverage Indicators - Section D'!$A$1:$A$100,0)),""),"")&amp;"/"&amp;IFERROR(IF(INDEX('Coverage Indicators - Section D'!AD$1:AD$100,MATCH('Print View'!$A193,'Coverage Indicators - Section D'!$A$1:$A$100,0)+1)&lt;&gt;"",INDEX('Coverage Indicators - Section D'!AD$1:AD$100,MATCH('Print View'!$A193,'Coverage Indicators - Section D'!$A$1:$A$100,0)+1),""),"")&amp;CHAR(10)&amp;IFERROR(IF(INDEX('Coverage Indicators - Section D'!AE$1:AE$100,MATCH('Print View'!$A193,'Coverage Indicators - Section D'!$A$1:$A$100,0))&lt;&gt;"",FIXED(INDEX('Coverage Indicators - Section D'!AE$1:AE$100,MATCH('Print View'!$A193,'Coverage Indicators - Section D'!$A$1:$A$100,0))*100,2)&amp;"%",""),"")&amp;CHAR(10)&amp;IFERROR(IF(INDEX('Coverage Indicators - Section D'!AF$1:AF$100,MATCH('Print View'!$A193,'Coverage Indicators - Section D'!$A$1:$A$100,0))&lt;&gt;"",INDEX('Coverage Indicators - Section D'!AF$1:AF$100,MATCH('Print View'!$A193,'Coverage Indicators - Section D'!$A$1:$A$100,0)),""),"")</f>
        <v xml:space="preserve">/
</v>
      </c>
      <c r="R193" s="82" t="str">
        <f ca="1">IFERROR(IF(INDEX('Coverage Indicators - Section D'!AG$1:AG$100,MATCH('Print View'!$A193,'Coverage Indicators - Section D'!$A$1:$A$100,0))&lt;&gt;"",INDEX('Coverage Indicators - Section D'!AG$1:AG$100,MATCH('Print View'!$A193,'Coverage Indicators - Section D'!$A$1:$A$100,0)),""),"")&amp;"/"&amp;IFERROR(IF(INDEX('Coverage Indicators - Section D'!AG$1:AG$100,MATCH('Print View'!$A193,'Coverage Indicators - Section D'!$A$1:$A$100,0)+1)&lt;&gt;"",INDEX('Coverage Indicators - Section D'!AG$1:AG$100,MATCH('Print View'!$A193,'Coverage Indicators - Section D'!$A$1:$A$100,0)+1),""),"")&amp;CHAR(10)&amp;IFERROR(IF(INDEX('Coverage Indicators - Section D'!AH$1:AH$100,MATCH('Print View'!$A193,'Coverage Indicators - Section D'!$A$1:$A$100,0))&lt;&gt;"",FIXED(INDEX('Coverage Indicators - Section D'!AH$1:AH$100,MATCH('Print View'!$A193,'Coverage Indicators - Section D'!$A$1:$A$100,0))*100,2)&amp;"%",""),"")&amp;CHAR(10)&amp;IFERROR(IF(INDEX('Coverage Indicators - Section D'!AI$1:AI$100,MATCH('Print View'!$A193,'Coverage Indicators - Section D'!$A$1:$A$100,0))&lt;&gt;"",INDEX('Coverage Indicators - Section D'!AI$1:AI$100,MATCH('Print View'!$A193,'Coverage Indicators - Section D'!$A$1:$A$100,0)),""),"")</f>
        <v xml:space="preserve">/
</v>
      </c>
      <c r="S193" s="82" t="str">
        <f ca="1">IFERROR(IF(INDEX('Coverage Indicators - Section D'!AJ$1:AJ$100,MATCH('Print View'!$A193,'Coverage Indicators - Section D'!$A$1:$A$100,0))&lt;&gt;"",INDEX('Coverage Indicators - Section D'!AJ$1:AJ$100,MATCH('Print View'!$A193,'Coverage Indicators - Section D'!$A$1:$A$100,0)),""),"")&amp;"/"&amp;IFERROR(IF(INDEX('Coverage Indicators - Section D'!AJ$1:AJ$100,MATCH('Print View'!$A193,'Coverage Indicators - Section D'!$A$1:$A$100,0)+1)&lt;&gt;"",INDEX('Coverage Indicators - Section D'!AJ$1:AJ$100,MATCH('Print View'!$A193,'Coverage Indicators - Section D'!$A$1:$A$100,0)+1),""),"")&amp;CHAR(10)&amp;IFERROR(IF(INDEX('Coverage Indicators - Section D'!AK$1:AK$100,MATCH('Print View'!$A193,'Coverage Indicators - Section D'!$A$1:$A$100,0))&lt;&gt;"",FIXED(INDEX('Coverage Indicators - Section D'!AK$1:AK$100,MATCH('Print View'!$A193,'Coverage Indicators - Section D'!$A$1:$A$100,0))*100,2)&amp;"%",""),"")&amp;CHAR(10)&amp;IFERROR(IF(INDEX('Coverage Indicators - Section D'!AL$1:AL$100,MATCH('Print View'!$A193,'Coverage Indicators - Section D'!$A$1:$A$100,0))&lt;&gt;"",INDEX('Coverage Indicators - Section D'!AL$1:AL$100,MATCH('Print View'!$A193,'Coverage Indicators - Section D'!$A$1:$A$100,0)),""),"")</f>
        <v xml:space="preserve">/
</v>
      </c>
      <c r="T193" s="52"/>
      <c r="U193" s="13"/>
      <c r="V193" s="13"/>
      <c r="W193" s="13"/>
      <c r="X193" s="13"/>
      <c r="Y193" s="13"/>
      <c r="Z193" s="13"/>
      <c r="AA193" s="13"/>
      <c r="AB193" s="13"/>
      <c r="AC193" s="13"/>
      <c r="AD193" s="13"/>
      <c r="AE193" s="13"/>
      <c r="AF193" s="13"/>
      <c r="AG193" s="13"/>
      <c r="AH193" s="13"/>
      <c r="AI193" s="13"/>
      <c r="AJ193" s="13"/>
      <c r="AK193" s="13"/>
      <c r="AL193" s="13"/>
      <c r="AM193" s="13"/>
      <c r="AN193" s="13"/>
      <c r="AO193" s="13" t="str">
        <f ca="1">IFERROR(IF(INDEX('Coverage Indicators - Section D'!AD$1:AD$110,MATCH('Print View'!$A193,'Coverage Indicators - Section D'!$A$1:$A$110,0))&lt;&gt;0,INDEX('Coverage Indicators - Section D'!AD$1:AD$110,MATCH('Print View'!$A193,'Coverage Indicators - Section D'!$A$1:$A$110,0)),""),"")</f>
        <v/>
      </c>
      <c r="AP193" s="13"/>
      <c r="AQ193" s="13"/>
      <c r="AR193" s="13"/>
      <c r="AS193" s="13"/>
      <c r="AT193" s="577" t="str">
        <f ca="1">CONCATENATE($A193,N$147)</f>
        <v>2331-Dec-25</v>
      </c>
      <c r="AU193" s="575" t="str">
        <f ca="1">CONCATENATE($A193,Q$147)</f>
        <v>2331-Dec-28</v>
      </c>
      <c r="AV193" s="575" t="str">
        <f>CONCATENATE($A193,V$147)</f>
        <v>23</v>
      </c>
      <c r="AW193" s="575" t="str">
        <f>CONCATENATE($A193,Y$147)</f>
        <v>23</v>
      </c>
      <c r="AX193" s="575" t="str">
        <f>CONCATENATE($A193,AB$147)</f>
        <v>23</v>
      </c>
      <c r="AY193" s="575" t="str">
        <f>CONCATENATE($A193,AE$147)</f>
        <v>23</v>
      </c>
      <c r="AZ193" s="575" t="str">
        <f>CONCATENATE($A193,AH$147)</f>
        <v>23</v>
      </c>
      <c r="BA193" s="575" t="str">
        <f>CONCATENATE($A193,AK$147)</f>
        <v>23</v>
      </c>
      <c r="BB193" s="96"/>
      <c r="BC193" s="97"/>
    </row>
    <row r="194" spans="1:55" s="16" customFormat="1" ht="88.35" customHeight="1">
      <c r="A194" s="608"/>
      <c r="B194" s="646" t="str">
        <f ca="1">IFERROR(IF(INDEX('Coverage Indicators - Section D'!AM$1:AM$110,MATCH('Print View'!$A193,'Coverage Indicators - Section D'!$A$1:$A$110,0))&lt;&gt;0,INDEX('Coverage Indicators - Section D'!AM$1:AM$110,MATCH('Print View'!$A193,'Coverage Indicators - Section D'!$A$1:$A$110,0)),""),"")</f>
        <v/>
      </c>
      <c r="C194" s="647"/>
      <c r="D194" s="647"/>
      <c r="E194" s="647"/>
      <c r="F194" s="647"/>
      <c r="G194" s="647"/>
      <c r="H194" s="647"/>
      <c r="I194" s="647"/>
      <c r="J194" s="647"/>
      <c r="K194" s="647"/>
      <c r="L194" s="647"/>
      <c r="M194" s="647"/>
      <c r="N194" s="647"/>
      <c r="O194" s="647"/>
      <c r="P194" s="647"/>
      <c r="Q194" s="647"/>
      <c r="R194" s="647"/>
      <c r="S194" s="648"/>
      <c r="T194" s="92"/>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577"/>
      <c r="AU194" s="575"/>
      <c r="AV194" s="575"/>
      <c r="AW194" s="575"/>
      <c r="AX194" s="575"/>
      <c r="AY194" s="575"/>
      <c r="AZ194" s="575"/>
      <c r="BA194" s="575"/>
      <c r="BB194" s="96"/>
      <c r="BC194" s="97"/>
    </row>
    <row r="195" spans="1:55" s="16" customFormat="1" ht="177" customHeight="1">
      <c r="A195" s="609">
        <v>24</v>
      </c>
      <c r="B195" s="83" t="str">
        <f ca="1">IFERROR(IF(INDEX('Coverage Indicators - Section D'!B$1:B$100,MATCH('Print View'!$A195,'Coverage Indicators - Section D'!$A$1:$A$100,0))&lt;&gt;0,INDEX('Coverage Indicators - Section D'!B$1:B$100,MATCH('Print View'!$A195,'Coverage Indicators - Section D'!$A$1:$A$100,0)),""),"")</f>
        <v/>
      </c>
      <c r="C195" s="83" t="str">
        <f ca="1">IFERROR(IF(INDEX('Coverage Indicators - Section D'!D$1:D$100,MATCH('Print View'!$A195,'Coverage Indicators - Section D'!$A$1:$A$100,0))&lt;&gt;0,INDEX('Coverage Indicators - Section D'!D$1:D$100,MATCH('Print View'!$A195,'Coverage Indicators - Section D'!$A$1:$A$100,0)),""),"")</f>
        <v/>
      </c>
      <c r="D195" s="83" t="str">
        <f ca="1">IFERROR(IF(INDEX('Coverage Indicators - Section D'!E$1:E$100,MATCH('Print View'!$A195,'Coverage Indicators - Section D'!$A$1:$A$100,0))&lt;&gt;0,INDEX('Coverage Indicators - Section D'!E$1:E$100,MATCH('Print View'!$A195,'Coverage Indicators - Section D'!$A$1:$A$100,0)),""),"")</f>
        <v/>
      </c>
      <c r="E195" s="45" t="str">
        <f ca="1">IFERROR(IF(INDEX('Coverage Indicators - Section D'!F$1:F$100,MATCH('Print View'!$A195,'Coverage Indicators - Section D'!$A$1:$A$100,0))&lt;&gt;"",INDEX('Coverage Indicators - Section D'!F$1:F$100,MATCH('Print View'!$A195,'Coverage Indicators - Section D'!$A$1:$A$100,0)),""),"")&amp;"/"&amp;IFERROR(IF(INDEX('Coverage Indicators - Section D'!F$1:F$100,MATCH('Print View'!$A195,'Coverage Indicators - Section D'!$A$1:$A$100,0)+1)&lt;&gt;"",INDEX('Coverage Indicators - Section D'!F$1:F$100,MATCH('Print View'!$A195,'Coverage Indicators - Section D'!$A$1:$A$100,0)+1),""),"")&amp;CHAR(10)&amp;IFERROR(IF(INDEX('Coverage Indicators - Section D'!G$1:G$100,MATCH('Print View'!$A195,'Coverage Indicators - Section D'!$A$1:$A$100,0))&lt;&gt;"",FIXED(INDEX('Coverage Indicators - Section D'!G$1:G$100,MATCH('Print View'!$A195,'Coverage Indicators - Section D'!$A$1:$A$100,0))*100,2)&amp;"%",""),"")</f>
        <v xml:space="preserve">/
</v>
      </c>
      <c r="F195" s="84" t="str">
        <f ca="1">IFERROR(IF(INDEX('Coverage Indicators - Section D'!H$1:H$100,MATCH('Print View'!$A195,'Coverage Indicators - Section D'!$A$1:$A$100,0))&lt;&gt;0,INDEX('Coverage Indicators - Section D'!H$1:H$100,MATCH('Print View'!$A195,'Coverage Indicators - Section D'!$A$1:$A$100,0)),""),"")&amp;CHAR(10)&amp;IFERROR(IF(INDEX('Coverage Indicators - Section D'!I$1:I$100,MATCH('Print View'!$A195,'Coverage Indicators - Section D'!$A$1:$A$100,0))&lt;&gt;0,INDEX('Coverage Indicators - Section D'!I$1:I$100,MATCH('Print View'!$A195,'Coverage Indicators - Section D'!$A$1:$A$100,0)),""),"")</f>
        <v xml:space="preserve">
</v>
      </c>
      <c r="G195" s="85" t="str">
        <f ca="1">IFERROR(IF(INDEX('Coverage Indicators - Section D'!J53:J82,MATCH('Print View'!$A195,'Coverage Indicators - Section D'!$A$9:$A$38,0))&lt;&gt;0,INDEX('Coverage Indicators - Section D'!J53:J82,MATCH('Print View'!$A195,'Coverage Indicators - Section D'!$A$9:$A$38,0)),""),"")</f>
        <v/>
      </c>
      <c r="H195" s="84" t="str">
        <f ca="1">IFERROR(IF(INDEX('Coverage Indicators - Section D'!K$1:K$100,MATCH('Print View'!$A195,'Coverage Indicators - Section D'!$A$1:$A$100,0))&lt;&gt;0,INDEX('Coverage Indicators - Section D'!K$1:K$100,MATCH('Print View'!$A195,'Coverage Indicators - Section D'!$A$1:$A$100,0)),""),"")</f>
        <v/>
      </c>
      <c r="I195" s="85" t="str">
        <f ca="1">IFERROR(IF(AND('Overview - Section A'!AN$5="Grant Making",OR(C195&lt;&gt;"",D195&lt;&gt;"")),Setup!I15,IF(INDEX('Coverage Indicators - Section D'!L$1:L$100,MATCH('Print View'!$A195,'Coverage Indicators - Section D'!$A$1:$A$100,0))&lt;&gt;0,INDEX('Coverage Indicators - Section D'!L$1:L$100,MATCH('Print View'!$A195,'Coverage Indicators - Section D'!$A$1:$A$100,0)),"")),"")</f>
        <v/>
      </c>
      <c r="J195" s="84" t="str">
        <f ca="1">IFERROR(IF(INDEX('Coverage Indicators - Section D'!M$1:M$100,MATCH('Print View'!$A195,'Coverage Indicators - Section D'!$A$1:$A$100,0))&lt;&gt;0,INDEX('Coverage Indicators - Section D'!M$1:M$100,MATCH('Print View'!$A195,'Coverage Indicators - Section D'!$A$1:$A$100,0)),""),"")&amp;CHAR(10)&amp;IFERROR(IF(INDEX('Coverage Indicators - Section D'!M$1:M$100,MATCH('Print View'!$A195,'Coverage Indicators - Section D'!$A$1:$A$100,0)+1)&lt;&gt;0,INDEX('Coverage Indicators - Section D'!M$1:M$100,MATCH('Print View'!$A195,'Coverage Indicators - Section D'!$A$1:$A$100,0)+1),""),"")</f>
        <v xml:space="preserve">
</v>
      </c>
      <c r="K195" s="84" t="str">
        <f ca="1">IFERROR(IF(INDEX('Coverage Indicators - Section D'!N$1:N$100,MATCH('Print View'!$A195,'Coverage Indicators - Section D'!$A$1:$A$100,0))&lt;&gt;0,INDEX('Coverage Indicators - Section D'!N$1:N$100,MATCH('Print View'!$A195,'Coverage Indicators - Section D'!$A$1:$A$100,0)),""),"")</f>
        <v/>
      </c>
      <c r="L195" s="88" t="str">
        <f ca="1">IFERROR(IF(INDEX('Coverage Indicators - Section D'!O$1:O$100,MATCH('Print View'!$A195,'Coverage Indicators - Section D'!$A$1:$A$100,0))&lt;&gt;"",INDEX('Coverage Indicators - Section D'!O$1:O$100,MATCH('Print View'!$A195,'Coverage Indicators - Section D'!$A$1:$A$100,0)),""),"")&amp;"/"&amp;IFERROR(IF(INDEX('Coverage Indicators - Section D'!O$1:O$100,MATCH('Print View'!$A195,'Coverage Indicators - Section D'!$A$1:$A$100,0)+1)&lt;&gt;"",INDEX('Coverage Indicators - Section D'!O$1:O$100,MATCH('Print View'!$A195,'Coverage Indicators - Section D'!$A$1:$A$100,0)+1),""),"")&amp;CHAR(10)&amp;IFERROR(IF(INDEX('Coverage Indicators - Section D'!P$1:P$100,MATCH('Print View'!$A195,'Coverage Indicators - Section D'!$A$1:$A$100,0))&lt;&gt;"",FIXED(INDEX('Coverage Indicators - Section D'!P$1:P$100,MATCH('Print View'!$A195,'Coverage Indicators - Section D'!$A$1:$A$100,0))*100,2)&amp;"%",""),"")&amp;CHAR(10)&amp;IFERROR(IF(INDEX('Coverage Indicators - Section D'!Q$1:Q$100,MATCH('Print View'!$A195,'Coverage Indicators - Section D'!$A$1:$A$100,0))&lt;&gt;"",INDEX('Coverage Indicators - Section D'!Q$1:Q$100,MATCH('Print View'!$A195,'Coverage Indicators - Section D'!$A$1:$A$100,0)),""),"")</f>
        <v xml:space="preserve">/
</v>
      </c>
      <c r="M195" s="88" t="str">
        <f ca="1">IFERROR(IF(INDEX('Coverage Indicators - Section D'!R$1:R$100,MATCH('Print View'!$A195,'Coverage Indicators - Section D'!$A$1:$A$100,0))&lt;&gt;"",INDEX('Coverage Indicators - Section D'!R$1:R$100,MATCH('Print View'!$A195,'Coverage Indicators - Section D'!$A$1:$A$100,0)),""),"")&amp;"/"&amp;IFERROR(IF(INDEX('Coverage Indicators - Section D'!R$1:R$100,MATCH('Print View'!$A195,'Coverage Indicators - Section D'!$A$1:$A$100,0)+1)&lt;&gt;"",INDEX('Coverage Indicators - Section D'!R$1:R$100,MATCH('Print View'!$A195,'Coverage Indicators - Section D'!$A$1:$A$100,0)+1),""),"")&amp;CHAR(10)&amp;IFERROR(IF(INDEX('Coverage Indicators - Section D'!S$1:S$100,MATCH('Print View'!$A195,'Coverage Indicators - Section D'!$A$1:$A$100,0))&lt;&gt;"",FIXED(INDEX('Coverage Indicators - Section D'!S$1:S$100,MATCH('Print View'!$A195,'Coverage Indicators - Section D'!$A$1:$A$100,0))*100,2)&amp;"%",""),"")&amp;CHAR(10)&amp;IFERROR(IF(INDEX('Coverage Indicators - Section D'!T$1:T$100,MATCH('Print View'!$A195,'Coverage Indicators - Section D'!$A$1:$A$100,0))&lt;&gt;"",INDEX('Coverage Indicators - Section D'!T$1:T$100,MATCH('Print View'!$A195,'Coverage Indicators - Section D'!$A$1:$A$100,0)),""),"")</f>
        <v xml:space="preserve">/
</v>
      </c>
      <c r="N195" s="88" t="str">
        <f ca="1">IFERROR(IF(INDEX('Coverage Indicators - Section D'!U$1:U$100,MATCH('Print View'!$A195,'Coverage Indicators - Section D'!$A$1:$A$100,0))&lt;&gt;"",INDEX('Coverage Indicators - Section D'!U$1:U$100,MATCH('Print View'!$A195,'Coverage Indicators - Section D'!$A$1:$A$100,0)),""),"")&amp;"/"&amp;IFERROR(IF(INDEX('Coverage Indicators - Section D'!U$1:U$100,MATCH('Print View'!$A195,'Coverage Indicators - Section D'!$A$1:$A$100,0)+1)&lt;&gt;"",INDEX('Coverage Indicators - Section D'!U$1:U$100,MATCH('Print View'!$A195,'Coverage Indicators - Section D'!$A$1:$A$100,0)+1),""),"")&amp;CHAR(10)&amp;IFERROR(IF(INDEX('Coverage Indicators - Section D'!V$1:V$100,MATCH('Print View'!$A195,'Coverage Indicators - Section D'!$A$1:$A$100,0))&lt;&gt;"",FIXED(INDEX('Coverage Indicators - Section D'!V$1:V$100,MATCH('Print View'!$A195,'Coverage Indicators - Section D'!$A$1:$A$100,0))*100,2)&amp;"%",""),"")&amp;CHAR(10)&amp;IFERROR(IF(INDEX('Coverage Indicators - Section D'!W$1:W$100,MATCH('Print View'!$A195,'Coverage Indicators - Section D'!$A$1:$A$100,0))&lt;&gt;"",INDEX('Coverage Indicators - Section D'!W$1:W$100,MATCH('Print View'!$A195,'Coverage Indicators - Section D'!$A$1:$A$100,0)),""),"")</f>
        <v xml:space="preserve">/
</v>
      </c>
      <c r="O195" s="88" t="str">
        <f ca="1">IFERROR(IF(INDEX('Coverage Indicators - Section D'!X$1:X$100,MATCH('Print View'!$A195,'Coverage Indicators - Section D'!$A$1:$A$100,0))&lt;&gt;"",INDEX('Coverage Indicators - Section D'!X$1:X$100,MATCH('Print View'!$A195,'Coverage Indicators - Section D'!$A$1:$A$100,0)),""),"")&amp;"/"&amp;IFERROR(IF(INDEX('Coverage Indicators - Section D'!X$1:X$100,MATCH('Print View'!$A195,'Coverage Indicators - Section D'!$A$1:$A$100,0)+1)&lt;&gt;"",INDEX('Coverage Indicators - Section D'!X$1:X$100,MATCH('Print View'!$A195,'Coverage Indicators - Section D'!$A$1:$A$100,0)+1),""),"")&amp;CHAR(10)&amp;IFERROR(IF(INDEX('Coverage Indicators - Section D'!Y$1:Y$100,MATCH('Print View'!$A195,'Coverage Indicators - Section D'!$A$1:$A$100,0))&lt;&gt;"",FIXED(INDEX('Coverage Indicators - Section D'!Y$1:Y$100,MATCH('Print View'!$A195,'Coverage Indicators - Section D'!$A$1:$A$100,0))*100,2)&amp;"%",""),"")&amp;CHAR(10)&amp;IFERROR(IF(INDEX('Coverage Indicators - Section D'!Z$1:Z$100,MATCH('Print View'!$A195,'Coverage Indicators - Section D'!$A$1:$A$100,0))&lt;&gt;"",INDEX('Coverage Indicators - Section D'!Z$1:Z$100,MATCH('Print View'!$A195,'Coverage Indicators - Section D'!$A$1:$A$100,0)),""),"")</f>
        <v xml:space="preserve">/
</v>
      </c>
      <c r="P195" s="88" t="str">
        <f ca="1">IFERROR(IF(INDEX('Coverage Indicators - Section D'!AA$1:AA$100,MATCH('Print View'!$A195,'Coverage Indicators - Section D'!$A$1:$A$100,0))&lt;&gt;"",INDEX('Coverage Indicators - Section D'!AA$1:AA$100,MATCH('Print View'!$A195,'Coverage Indicators - Section D'!$A$1:$A$100,0)),""),"")&amp;"/"&amp;IFERROR(IF(INDEX('Coverage Indicators - Section D'!AA$1:AA$100,MATCH('Print View'!$A195,'Coverage Indicators - Section D'!$A$1:$A$100,0)+1)&lt;&gt;"",INDEX('Coverage Indicators - Section D'!AA$1:AA$100,MATCH('Print View'!$A195,'Coverage Indicators - Section D'!$A$1:$A$100,0)+1),""),"")&amp;CHAR(10)&amp;IFERROR(IF(INDEX('Coverage Indicators - Section D'!AB$1:AB$100,MATCH('Print View'!$A195,'Coverage Indicators - Section D'!$A$1:$A$100,0))&lt;&gt;"",FIXED(INDEX('Coverage Indicators - Section D'!AB$1:AB$100,MATCH('Print View'!$A195,'Coverage Indicators - Section D'!$A$1:$A$100,0))*100,2)&amp;"%",""),"")&amp;CHAR(10)&amp;IFERROR(IF(INDEX('Coverage Indicators - Section D'!AC$1:AC$100,MATCH('Print View'!$A195,'Coverage Indicators - Section D'!$A$1:$A$100,0))&lt;&gt;"",INDEX('Coverage Indicators - Section D'!AC$1:AC$100,MATCH('Print View'!$A195,'Coverage Indicators - Section D'!$A$1:$A$100,0)),""),"")</f>
        <v xml:space="preserve">/
</v>
      </c>
      <c r="Q195" s="88" t="str">
        <f ca="1">IFERROR(IF(INDEX('Coverage Indicators - Section D'!AD$1:AD$100,MATCH('Print View'!$A195,'Coverage Indicators - Section D'!$A$1:$A$100,0))&lt;&gt;"",INDEX('Coverage Indicators - Section D'!AD$1:AD$100,MATCH('Print View'!$A195,'Coverage Indicators - Section D'!$A$1:$A$100,0)),""),"")&amp;"/"&amp;IFERROR(IF(INDEX('Coverage Indicators - Section D'!AD$1:AD$100,MATCH('Print View'!$A195,'Coverage Indicators - Section D'!$A$1:$A$100,0)+1)&lt;&gt;"",INDEX('Coverage Indicators - Section D'!AD$1:AD$100,MATCH('Print View'!$A195,'Coverage Indicators - Section D'!$A$1:$A$100,0)+1),""),"")&amp;CHAR(10)&amp;IFERROR(IF(INDEX('Coverage Indicators - Section D'!AE$1:AE$100,MATCH('Print View'!$A195,'Coverage Indicators - Section D'!$A$1:$A$100,0))&lt;&gt;"",FIXED(INDEX('Coverage Indicators - Section D'!AE$1:AE$100,MATCH('Print View'!$A195,'Coverage Indicators - Section D'!$A$1:$A$100,0))*100,2)&amp;"%",""),"")&amp;CHAR(10)&amp;IFERROR(IF(INDEX('Coverage Indicators - Section D'!AF$1:AF$100,MATCH('Print View'!$A195,'Coverage Indicators - Section D'!$A$1:$A$100,0))&lt;&gt;"",INDEX('Coverage Indicators - Section D'!AF$1:AF$100,MATCH('Print View'!$A195,'Coverage Indicators - Section D'!$A$1:$A$100,0)),""),"")</f>
        <v xml:space="preserve">/
</v>
      </c>
      <c r="R195" s="88" t="str">
        <f ca="1">IFERROR(IF(INDEX('Coverage Indicators - Section D'!AG$1:AG$100,MATCH('Print View'!$A195,'Coverage Indicators - Section D'!$A$1:$A$100,0))&lt;&gt;"",INDEX('Coverage Indicators - Section D'!AG$1:AG$100,MATCH('Print View'!$A195,'Coverage Indicators - Section D'!$A$1:$A$100,0)),""),"")&amp;"/"&amp;IFERROR(IF(INDEX('Coverage Indicators - Section D'!AG$1:AG$100,MATCH('Print View'!$A195,'Coverage Indicators - Section D'!$A$1:$A$100,0)+1)&lt;&gt;"",INDEX('Coverage Indicators - Section D'!AG$1:AG$100,MATCH('Print View'!$A195,'Coverage Indicators - Section D'!$A$1:$A$100,0)+1),""),"")&amp;CHAR(10)&amp;IFERROR(IF(INDEX('Coverage Indicators - Section D'!AH$1:AH$100,MATCH('Print View'!$A195,'Coverage Indicators - Section D'!$A$1:$A$100,0))&lt;&gt;"",FIXED(INDEX('Coverage Indicators - Section D'!AH$1:AH$100,MATCH('Print View'!$A195,'Coverage Indicators - Section D'!$A$1:$A$100,0))*100,2)&amp;"%",""),"")&amp;CHAR(10)&amp;IFERROR(IF(INDEX('Coverage Indicators - Section D'!AI$1:AI$100,MATCH('Print View'!$A195,'Coverage Indicators - Section D'!$A$1:$A$100,0))&lt;&gt;"",INDEX('Coverage Indicators - Section D'!AI$1:AI$100,MATCH('Print View'!$A195,'Coverage Indicators - Section D'!$A$1:$A$100,0)),""),"")</f>
        <v xml:space="preserve">/
</v>
      </c>
      <c r="S195" s="88" t="str">
        <f ca="1">IFERROR(IF(INDEX('Coverage Indicators - Section D'!AJ$1:AJ$100,MATCH('Print View'!$A195,'Coverage Indicators - Section D'!$A$1:$A$100,0))&lt;&gt;"",INDEX('Coverage Indicators - Section D'!AJ$1:AJ$100,MATCH('Print View'!$A195,'Coverage Indicators - Section D'!$A$1:$A$100,0)),""),"")&amp;"/"&amp;IFERROR(IF(INDEX('Coverage Indicators - Section D'!AJ$1:AJ$100,MATCH('Print View'!$A195,'Coverage Indicators - Section D'!$A$1:$A$100,0)+1)&lt;&gt;"",INDEX('Coverage Indicators - Section D'!AJ$1:AJ$100,MATCH('Print View'!$A195,'Coverage Indicators - Section D'!$A$1:$A$100,0)+1),""),"")&amp;CHAR(10)&amp;IFERROR(IF(INDEX('Coverage Indicators - Section D'!AK$1:AK$100,MATCH('Print View'!$A195,'Coverage Indicators - Section D'!$A$1:$A$100,0))&lt;&gt;"",FIXED(INDEX('Coverage Indicators - Section D'!AK$1:AK$100,MATCH('Print View'!$A195,'Coverage Indicators - Section D'!$A$1:$A$100,0))*100,2)&amp;"%",""),"")&amp;CHAR(10)&amp;IFERROR(IF(INDEX('Coverage Indicators - Section D'!AL$1:AL$100,MATCH('Print View'!$A195,'Coverage Indicators - Section D'!$A$1:$A$100,0))&lt;&gt;"",INDEX('Coverage Indicators - Section D'!AL$1:AL$100,MATCH('Print View'!$A195,'Coverage Indicators - Section D'!$A$1:$A$100,0)),""),"")</f>
        <v xml:space="preserve">/
</v>
      </c>
      <c r="T195" s="93"/>
      <c r="U195" s="13"/>
      <c r="V195" s="13"/>
      <c r="W195" s="13"/>
      <c r="X195" s="13"/>
      <c r="Y195" s="13"/>
      <c r="Z195" s="13"/>
      <c r="AA195" s="13"/>
      <c r="AB195" s="13"/>
      <c r="AC195" s="13"/>
      <c r="AD195" s="13"/>
      <c r="AE195" s="13"/>
      <c r="AF195" s="13"/>
      <c r="AG195" s="13"/>
      <c r="AH195" s="13"/>
      <c r="AI195" s="13"/>
      <c r="AJ195" s="13"/>
      <c r="AK195" s="13"/>
      <c r="AL195" s="13"/>
      <c r="AM195" s="13"/>
      <c r="AN195" s="13"/>
      <c r="AO195" s="13" t="str">
        <f ca="1">IFERROR(IF(INDEX('Coverage Indicators - Section D'!AD$1:AD$110,MATCH('Print View'!$A195,'Coverage Indicators - Section D'!$A$1:$A$110,0))&lt;&gt;0,INDEX('Coverage Indicators - Section D'!AD$1:AD$110,MATCH('Print View'!$A195,'Coverage Indicators - Section D'!$A$1:$A$110,0)),""),"")</f>
        <v/>
      </c>
      <c r="AP195" s="13"/>
      <c r="AQ195" s="13"/>
      <c r="AR195" s="13"/>
      <c r="AS195" s="13"/>
      <c r="AT195" s="577" t="str">
        <f ca="1">CONCATENATE($A195,N$147)</f>
        <v>2431-Dec-25</v>
      </c>
      <c r="AU195" s="575" t="str">
        <f ca="1">CONCATENATE($A195,Q$147)</f>
        <v>2431-Dec-28</v>
      </c>
      <c r="AV195" s="575" t="str">
        <f>CONCATENATE($A195,V$147)</f>
        <v>24</v>
      </c>
      <c r="AW195" s="575" t="str">
        <f>CONCATENATE($A195,Y$147)</f>
        <v>24</v>
      </c>
      <c r="AX195" s="575" t="str">
        <f>CONCATENATE($A195,AB$147)</f>
        <v>24</v>
      </c>
      <c r="AY195" s="575" t="str">
        <f>CONCATENATE($A195,AE$147)</f>
        <v>24</v>
      </c>
      <c r="AZ195" s="575" t="str">
        <f>CONCATENATE($A195,AH$147)</f>
        <v>24</v>
      </c>
      <c r="BA195" s="575" t="str">
        <f>CONCATENATE($A195,AK$147)</f>
        <v>24</v>
      </c>
      <c r="BB195" s="96"/>
      <c r="BC195" s="97"/>
    </row>
    <row r="196" spans="1:55" s="16" customFormat="1" ht="88.35" customHeight="1">
      <c r="A196" s="609"/>
      <c r="B196" s="630" t="str">
        <f ca="1">IFERROR(IF(INDEX('Coverage Indicators - Section D'!AM$1:AM$110,MATCH('Print View'!$A195,'Coverage Indicators - Section D'!$A$1:$A$110,0))&lt;&gt;0,INDEX('Coverage Indicators - Section D'!AM$1:AM$110,MATCH('Print View'!$A195,'Coverage Indicators - Section D'!$A$1:$A$110,0)),""),"")</f>
        <v/>
      </c>
      <c r="C196" s="631"/>
      <c r="D196" s="631"/>
      <c r="E196" s="631"/>
      <c r="F196" s="631"/>
      <c r="G196" s="631"/>
      <c r="H196" s="631"/>
      <c r="I196" s="632"/>
      <c r="J196" s="632"/>
      <c r="K196" s="632"/>
      <c r="L196" s="632"/>
      <c r="M196" s="632"/>
      <c r="N196" s="632"/>
      <c r="O196" s="632"/>
      <c r="P196" s="632"/>
      <c r="Q196" s="632"/>
      <c r="R196" s="632"/>
      <c r="S196" s="633"/>
      <c r="T196" s="94"/>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577"/>
      <c r="AU196" s="575"/>
      <c r="AV196" s="575"/>
      <c r="AW196" s="575"/>
      <c r="AX196" s="575"/>
      <c r="AY196" s="575"/>
      <c r="AZ196" s="575"/>
      <c r="BA196" s="575"/>
      <c r="BB196" s="96"/>
      <c r="BC196" s="97"/>
    </row>
    <row r="197" spans="1:55" s="16" customFormat="1" ht="177" customHeight="1">
      <c r="A197" s="608">
        <v>25</v>
      </c>
      <c r="B197" s="80" t="str">
        <f ca="1">IFERROR(IF(INDEX('Coverage Indicators - Section D'!B$1:B$100,MATCH('Print View'!$A197,'Coverage Indicators - Section D'!$A$1:$A$100,0))&lt;&gt;0,INDEX('Coverage Indicators - Section D'!B$1:B$100,MATCH('Print View'!$A197,'Coverage Indicators - Section D'!$A$1:$A$100,0)),""),"")</f>
        <v/>
      </c>
      <c r="C197" s="80" t="str">
        <f ca="1">IFERROR(IF(INDEX('Coverage Indicators - Section D'!D$1:D$100,MATCH('Print View'!$A197,'Coverage Indicators - Section D'!$A$1:$A$100,0))&lt;&gt;0,INDEX('Coverage Indicators - Section D'!D$1:D$100,MATCH('Print View'!$A197,'Coverage Indicators - Section D'!$A$1:$A$100,0)),""),"")</f>
        <v/>
      </c>
      <c r="D197" s="80" t="str">
        <f ca="1">IFERROR(IF(INDEX('Coverage Indicators - Section D'!E$1:E$100,MATCH('Print View'!$A197,'Coverage Indicators - Section D'!$A$1:$A$100,0))&lt;&gt;0,INDEX('Coverage Indicators - Section D'!E$1:E$100,MATCH('Print View'!$A197,'Coverage Indicators - Section D'!$A$1:$A$100,0)),""),"")</f>
        <v/>
      </c>
      <c r="E197" s="81" t="str">
        <f ca="1">IFERROR(IF(INDEX('Coverage Indicators - Section D'!F$1:F$100,MATCH('Print View'!$A197,'Coverage Indicators - Section D'!$A$1:$A$100,0))&lt;&gt;"",INDEX('Coverage Indicators - Section D'!F$1:F$100,MATCH('Print View'!$A197,'Coverage Indicators - Section D'!$A$1:$A$100,0)),""),"")&amp;"/"&amp;IFERROR(IF(INDEX('Coverage Indicators - Section D'!F$1:F$100,MATCH('Print View'!$A197,'Coverage Indicators - Section D'!$A$1:$A$100,0)+1)&lt;&gt;"",INDEX('Coverage Indicators - Section D'!F$1:F$100,MATCH('Print View'!$A197,'Coverage Indicators - Section D'!$A$1:$A$100,0)+1),""),"")&amp;CHAR(10)&amp;IFERROR(IF(INDEX('Coverage Indicators - Section D'!G$1:G$100,MATCH('Print View'!$A197,'Coverage Indicators - Section D'!$A$1:$A$100,0))&lt;&gt;"",FIXED(INDEX('Coverage Indicators - Section D'!G$1:G$100,MATCH('Print View'!$A197,'Coverage Indicators - Section D'!$A$1:$A$100,0))*100,2)&amp;"%",""),"")</f>
        <v xml:space="preserve">/
</v>
      </c>
      <c r="F197" s="82" t="str">
        <f ca="1">IFERROR(IF(INDEX('Coverage Indicators - Section D'!H$1:H$100,MATCH('Print View'!$A197,'Coverage Indicators - Section D'!$A$1:$A$100,0))&lt;&gt;0,INDEX('Coverage Indicators - Section D'!H$1:H$100,MATCH('Print View'!$A197,'Coverage Indicators - Section D'!$A$1:$A$100,0)),""),"")&amp;CHAR(10)&amp;IFERROR(IF(INDEX('Coverage Indicators - Section D'!I$1:I$100,MATCH('Print View'!$A197,'Coverage Indicators - Section D'!$A$1:$A$100,0))&lt;&gt;0,INDEX('Coverage Indicators - Section D'!I$1:I$100,MATCH('Print View'!$A197,'Coverage Indicators - Section D'!$A$1:$A$100,0)),""),"")</f>
        <v xml:space="preserve">
</v>
      </c>
      <c r="G197" s="41" t="str">
        <f ca="1">IFERROR(IF(INDEX('Coverage Indicators - Section D'!J57:J86,MATCH('Print View'!$A197,'Coverage Indicators - Section D'!$A$9:$A$38,0))&lt;&gt;0,INDEX('Coverage Indicators - Section D'!J57:J86,MATCH('Print View'!$A197,'Coverage Indicators - Section D'!$A$9:$A$38,0)),""),"")</f>
        <v/>
      </c>
      <c r="H197" s="42" t="str">
        <f ca="1">IFERROR(IF(INDEX('Coverage Indicators - Section D'!K$1:K$100,MATCH('Print View'!$A197,'Coverage Indicators - Section D'!$A$1:$A$100,0))&lt;&gt;0,INDEX('Coverage Indicators - Section D'!K$1:K$100,MATCH('Print View'!$A197,'Coverage Indicators - Section D'!$A$1:$A$100,0)),""),"")</f>
        <v/>
      </c>
      <c r="I197" s="41" t="str">
        <f ca="1">IFERROR(IF(AND('Overview - Section A'!AN$5="Grant Making",OR(C197&lt;&gt;"",D197&lt;&gt;"")),Setup!I15,IF(INDEX('Coverage Indicators - Section D'!L$1:L$100,MATCH('Print View'!$A197,'Coverage Indicators - Section D'!$A$1:$A$100,0))&lt;&gt;0,INDEX('Coverage Indicators - Section D'!L$1:L$100,MATCH('Print View'!$A197,'Coverage Indicators - Section D'!$A$1:$A$100,0)),"")),"")</f>
        <v/>
      </c>
      <c r="J197" s="81" t="str">
        <f ca="1">IFERROR(IF(INDEX('Coverage Indicators - Section D'!M$1:M$100,MATCH('Print View'!$A197,'Coverage Indicators - Section D'!$A$1:$A$100,0))&lt;&gt;0,INDEX('Coverage Indicators - Section D'!M$1:M$100,MATCH('Print View'!$A197,'Coverage Indicators - Section D'!$A$1:$A$100,0)),""),"")&amp;CHAR(10)&amp;IFERROR(IF(INDEX('Coverage Indicators - Section D'!M$1:M$100,MATCH('Print View'!$A197,'Coverage Indicators - Section D'!$A$1:$A$100,0)+1)&lt;&gt;0,INDEX('Coverage Indicators - Section D'!M$1:M$100,MATCH('Print View'!$A197,'Coverage Indicators - Section D'!$A$1:$A$100,0)+1),""),"")</f>
        <v xml:space="preserve">
</v>
      </c>
      <c r="K197" s="81" t="str">
        <f ca="1">IFERROR(IF(INDEX('Coverage Indicators - Section D'!N$1:N$100,MATCH('Print View'!$A197,'Coverage Indicators - Section D'!$A$1:$A$100,0))&lt;&gt;0,INDEX('Coverage Indicators - Section D'!N$1:N$100,MATCH('Print View'!$A197,'Coverage Indicators - Section D'!$A$1:$A$100,0)),""),"")</f>
        <v/>
      </c>
      <c r="L197" s="81" t="str">
        <f ca="1">IFERROR(IF(INDEX('Coverage Indicators - Section D'!O$1:O$100,MATCH('Print View'!$A197,'Coverage Indicators - Section D'!$A$1:$A$100,0))&lt;&gt;"",INDEX('Coverage Indicators - Section D'!O$1:O$100,MATCH('Print View'!$A197,'Coverage Indicators - Section D'!$A$1:$A$100,0)),""),"")&amp;"/"&amp;IFERROR(IF(INDEX('Coverage Indicators - Section D'!O$1:O$100,MATCH('Print View'!$A197,'Coverage Indicators - Section D'!$A$1:$A$100,0)+1)&lt;&gt;"",INDEX('Coverage Indicators - Section D'!O$1:O$100,MATCH('Print View'!$A197,'Coverage Indicators - Section D'!$A$1:$A$100,0)+1),""),"")&amp;CHAR(10)&amp;IFERROR(IF(INDEX('Coverage Indicators - Section D'!P$1:P$100,MATCH('Print View'!$A197,'Coverage Indicators - Section D'!$A$1:$A$100,0))&lt;&gt;"",FIXED(INDEX('Coverage Indicators - Section D'!P$1:P$100,MATCH('Print View'!$A197,'Coverage Indicators - Section D'!$A$1:$A$100,0))*100,2)&amp;"%",""),"")&amp;CHAR(10)&amp;IFERROR(IF(INDEX('Coverage Indicators - Section D'!Q$1:Q$100,MATCH('Print View'!$A197,'Coverage Indicators - Section D'!$A$1:$A$100,0))&lt;&gt;"",INDEX('Coverage Indicators - Section D'!Q$1:Q$100,MATCH('Print View'!$A197,'Coverage Indicators - Section D'!$A$1:$A$100,0)),""),"")</f>
        <v xml:space="preserve">/
</v>
      </c>
      <c r="M197" s="82" t="str">
        <f ca="1">IFERROR(IF(INDEX('Coverage Indicators - Section D'!R$1:R$100,MATCH('Print View'!$A197,'Coverage Indicators - Section D'!$A$1:$A$100,0))&lt;&gt;"",INDEX('Coverage Indicators - Section D'!R$1:R$100,MATCH('Print View'!$A197,'Coverage Indicators - Section D'!$A$1:$A$100,0)),""),"")&amp;"/"&amp;IFERROR(IF(INDEX('Coverage Indicators - Section D'!R$1:R$100,MATCH('Print View'!$A197,'Coverage Indicators - Section D'!$A$1:$A$100,0)+1)&lt;&gt;"",INDEX('Coverage Indicators - Section D'!R$1:R$100,MATCH('Print View'!$A197,'Coverage Indicators - Section D'!$A$1:$A$100,0)+1),""),"")&amp;CHAR(10)&amp;IFERROR(IF(INDEX('Coverage Indicators - Section D'!S$1:S$100,MATCH('Print View'!$A197,'Coverage Indicators - Section D'!$A$1:$A$100,0))&lt;&gt;"",FIXED(INDEX('Coverage Indicators - Section D'!S$1:S$100,MATCH('Print View'!$A197,'Coverage Indicators - Section D'!$A$1:$A$100,0))*100,2)&amp;"%",""),"")&amp;CHAR(10)&amp;IFERROR(IF(INDEX('Coverage Indicators - Section D'!T$1:T$100,MATCH('Print View'!$A197,'Coverage Indicators - Section D'!$A$1:$A$100,0))&lt;&gt;"",INDEX('Coverage Indicators - Section D'!T$1:T$100,MATCH('Print View'!$A197,'Coverage Indicators - Section D'!$A$1:$A$100,0)),""),"")</f>
        <v xml:space="preserve">/
</v>
      </c>
      <c r="N197" s="81" t="str">
        <f ca="1">IFERROR(IF(INDEX('Coverage Indicators - Section D'!U$1:U$100,MATCH('Print View'!$A197,'Coverage Indicators - Section D'!$A$1:$A$100,0))&lt;&gt;"",INDEX('Coverage Indicators - Section D'!U$1:U$100,MATCH('Print View'!$A197,'Coverage Indicators - Section D'!$A$1:$A$100,0)),""),"")&amp;"/"&amp;IFERROR(IF(INDEX('Coverage Indicators - Section D'!U$1:U$100,MATCH('Print View'!$A197,'Coverage Indicators - Section D'!$A$1:$A$100,0)+1)&lt;&gt;"",INDEX('Coverage Indicators - Section D'!U$1:U$100,MATCH('Print View'!$A197,'Coverage Indicators - Section D'!$A$1:$A$100,0)+1),""),"")&amp;CHAR(10)&amp;IFERROR(IF(INDEX('Coverage Indicators - Section D'!V$1:V$100,MATCH('Print View'!$A197,'Coverage Indicators - Section D'!$A$1:$A$100,0))&lt;&gt;"",FIXED(INDEX('Coverage Indicators - Section D'!V$1:V$100,MATCH('Print View'!$A197,'Coverage Indicators - Section D'!$A$1:$A$100,0))*100,2)&amp;"%",""),"")&amp;CHAR(10)&amp;IFERROR(IF(INDEX('Coverage Indicators - Section D'!W$1:W$100,MATCH('Print View'!$A197,'Coverage Indicators - Section D'!$A$1:$A$100,0))&lt;&gt;"",INDEX('Coverage Indicators - Section D'!W$1:W$100,MATCH('Print View'!$A197,'Coverage Indicators - Section D'!$A$1:$A$100,0)),""),"")</f>
        <v xml:space="preserve">/
</v>
      </c>
      <c r="O197" s="82" t="str">
        <f ca="1">IFERROR(IF(INDEX('Coverage Indicators - Section D'!X$1:X$100,MATCH('Print View'!$A197,'Coverage Indicators - Section D'!$A$1:$A$100,0))&lt;&gt;"",INDEX('Coverage Indicators - Section D'!X$1:X$100,MATCH('Print View'!$A197,'Coverage Indicators - Section D'!$A$1:$A$100,0)),""),"")&amp;"/"&amp;IFERROR(IF(INDEX('Coverage Indicators - Section D'!X$1:X$100,MATCH('Print View'!$A197,'Coverage Indicators - Section D'!$A$1:$A$100,0)+1)&lt;&gt;"",INDEX('Coverage Indicators - Section D'!X$1:X$100,MATCH('Print View'!$A197,'Coverage Indicators - Section D'!$A$1:$A$100,0)+1),""),"")&amp;CHAR(10)&amp;IFERROR(IF(INDEX('Coverage Indicators - Section D'!Y$1:Y$100,MATCH('Print View'!$A197,'Coverage Indicators - Section D'!$A$1:$A$100,0))&lt;&gt;"",FIXED(INDEX('Coverage Indicators - Section D'!Y$1:Y$100,MATCH('Print View'!$A197,'Coverage Indicators - Section D'!$A$1:$A$100,0))*100,2)&amp;"%",""),"")&amp;CHAR(10)&amp;IFERROR(IF(INDEX('Coverage Indicators - Section D'!Z$1:Z$100,MATCH('Print View'!$A197,'Coverage Indicators - Section D'!$A$1:$A$100,0))&lt;&gt;"",INDEX('Coverage Indicators - Section D'!Z$1:Z$100,MATCH('Print View'!$A197,'Coverage Indicators - Section D'!$A$1:$A$100,0)),""),"")</f>
        <v xml:space="preserve">/
</v>
      </c>
      <c r="P197" s="82" t="str">
        <f ca="1">IFERROR(IF(INDEX('Coverage Indicators - Section D'!AA$1:AA$100,MATCH('Print View'!$A197,'Coverage Indicators - Section D'!$A$1:$A$100,0))&lt;&gt;"",INDEX('Coverage Indicators - Section D'!AA$1:AA$100,MATCH('Print View'!$A197,'Coverage Indicators - Section D'!$A$1:$A$100,0)),""),"")&amp;"/"&amp;IFERROR(IF(INDEX('Coverage Indicators - Section D'!AA$1:AA$100,MATCH('Print View'!$A197,'Coverage Indicators - Section D'!$A$1:$A$100,0)+1)&lt;&gt;"",INDEX('Coverage Indicators - Section D'!AA$1:AA$100,MATCH('Print View'!$A197,'Coverage Indicators - Section D'!$A$1:$A$100,0)+1),""),"")&amp;CHAR(10)&amp;IFERROR(IF(INDEX('Coverage Indicators - Section D'!AB$1:AB$100,MATCH('Print View'!$A197,'Coverage Indicators - Section D'!$A$1:$A$100,0))&lt;&gt;"",FIXED(INDEX('Coverage Indicators - Section D'!AB$1:AB$100,MATCH('Print View'!$A197,'Coverage Indicators - Section D'!$A$1:$A$100,0))*100,2)&amp;"%",""),"")&amp;CHAR(10)&amp;IFERROR(IF(INDEX('Coverage Indicators - Section D'!AC$1:AC$100,MATCH('Print View'!$A197,'Coverage Indicators - Section D'!$A$1:$A$100,0))&lt;&gt;"",INDEX('Coverage Indicators - Section D'!AC$1:AC$100,MATCH('Print View'!$A197,'Coverage Indicators - Section D'!$A$1:$A$100,0)),""),"")</f>
        <v xml:space="preserve">/
</v>
      </c>
      <c r="Q197" s="82" t="str">
        <f ca="1">IFERROR(IF(INDEX('Coverage Indicators - Section D'!AD$1:AD$100,MATCH('Print View'!$A197,'Coverage Indicators - Section D'!$A$1:$A$100,0))&lt;&gt;"",INDEX('Coverage Indicators - Section D'!AD$1:AD$100,MATCH('Print View'!$A197,'Coverage Indicators - Section D'!$A$1:$A$100,0)),""),"")&amp;"/"&amp;IFERROR(IF(INDEX('Coverage Indicators - Section D'!AD$1:AD$100,MATCH('Print View'!$A197,'Coverage Indicators - Section D'!$A$1:$A$100,0)+1)&lt;&gt;"",INDEX('Coverage Indicators - Section D'!AD$1:AD$100,MATCH('Print View'!$A197,'Coverage Indicators - Section D'!$A$1:$A$100,0)+1),""),"")&amp;CHAR(10)&amp;IFERROR(IF(INDEX('Coverage Indicators - Section D'!AE$1:AE$100,MATCH('Print View'!$A197,'Coverage Indicators - Section D'!$A$1:$A$100,0))&lt;&gt;"",FIXED(INDEX('Coverage Indicators - Section D'!AE$1:AE$100,MATCH('Print View'!$A197,'Coverage Indicators - Section D'!$A$1:$A$100,0))*100,2)&amp;"%",""),"")&amp;CHAR(10)&amp;IFERROR(IF(INDEX('Coverage Indicators - Section D'!AF$1:AF$100,MATCH('Print View'!$A197,'Coverage Indicators - Section D'!$A$1:$A$100,0))&lt;&gt;"",INDEX('Coverage Indicators - Section D'!AF$1:AF$100,MATCH('Print View'!$A197,'Coverage Indicators - Section D'!$A$1:$A$100,0)),""),"")</f>
        <v xml:space="preserve">/
</v>
      </c>
      <c r="R197" s="82" t="str">
        <f ca="1">IFERROR(IF(INDEX('Coverage Indicators - Section D'!AG$1:AG$100,MATCH('Print View'!$A197,'Coverage Indicators - Section D'!$A$1:$A$100,0))&lt;&gt;"",INDEX('Coverage Indicators - Section D'!AG$1:AG$100,MATCH('Print View'!$A197,'Coverage Indicators - Section D'!$A$1:$A$100,0)),""),"")&amp;"/"&amp;IFERROR(IF(INDEX('Coverage Indicators - Section D'!AG$1:AG$100,MATCH('Print View'!$A197,'Coverage Indicators - Section D'!$A$1:$A$100,0)+1)&lt;&gt;"",INDEX('Coverage Indicators - Section D'!AG$1:AG$100,MATCH('Print View'!$A197,'Coverage Indicators - Section D'!$A$1:$A$100,0)+1),""),"")&amp;CHAR(10)&amp;IFERROR(IF(INDEX('Coverage Indicators - Section D'!AH$1:AH$100,MATCH('Print View'!$A197,'Coverage Indicators - Section D'!$A$1:$A$100,0))&lt;&gt;"",FIXED(INDEX('Coverage Indicators - Section D'!AH$1:AH$100,MATCH('Print View'!$A197,'Coverage Indicators - Section D'!$A$1:$A$100,0))*100,2)&amp;"%",""),"")&amp;CHAR(10)&amp;IFERROR(IF(INDEX('Coverage Indicators - Section D'!AI$1:AI$100,MATCH('Print View'!$A197,'Coverage Indicators - Section D'!$A$1:$A$100,0))&lt;&gt;"",INDEX('Coverage Indicators - Section D'!AI$1:AI$100,MATCH('Print View'!$A197,'Coverage Indicators - Section D'!$A$1:$A$100,0)),""),"")</f>
        <v xml:space="preserve">/
</v>
      </c>
      <c r="S197" s="82" t="str">
        <f ca="1">IFERROR(IF(INDEX('Coverage Indicators - Section D'!AJ$1:AJ$100,MATCH('Print View'!$A197,'Coverage Indicators - Section D'!$A$1:$A$100,0))&lt;&gt;"",INDEX('Coverage Indicators - Section D'!AJ$1:AJ$100,MATCH('Print View'!$A197,'Coverage Indicators - Section D'!$A$1:$A$100,0)),""),"")&amp;"/"&amp;IFERROR(IF(INDEX('Coverage Indicators - Section D'!AJ$1:AJ$100,MATCH('Print View'!$A197,'Coverage Indicators - Section D'!$A$1:$A$100,0)+1)&lt;&gt;"",INDEX('Coverage Indicators - Section D'!AJ$1:AJ$100,MATCH('Print View'!$A197,'Coverage Indicators - Section D'!$A$1:$A$100,0)+1),""),"")&amp;CHAR(10)&amp;IFERROR(IF(INDEX('Coverage Indicators - Section D'!AK$1:AK$100,MATCH('Print View'!$A197,'Coverage Indicators - Section D'!$A$1:$A$100,0))&lt;&gt;"",FIXED(INDEX('Coverage Indicators - Section D'!AK$1:AK$100,MATCH('Print View'!$A197,'Coverage Indicators - Section D'!$A$1:$A$100,0))*100,2)&amp;"%",""),"")&amp;CHAR(10)&amp;IFERROR(IF(INDEX('Coverage Indicators - Section D'!AL$1:AL$100,MATCH('Print View'!$A197,'Coverage Indicators - Section D'!$A$1:$A$100,0))&lt;&gt;"",INDEX('Coverage Indicators - Section D'!AL$1:AL$100,MATCH('Print View'!$A197,'Coverage Indicators - Section D'!$A$1:$A$100,0)),""),"")</f>
        <v xml:space="preserve">/
</v>
      </c>
      <c r="T197" s="52"/>
      <c r="U197" s="13"/>
      <c r="V197" s="13"/>
      <c r="W197" s="13"/>
      <c r="X197" s="13"/>
      <c r="Y197" s="13"/>
      <c r="Z197" s="13"/>
      <c r="AA197" s="13"/>
      <c r="AB197" s="13"/>
      <c r="AC197" s="13"/>
      <c r="AD197" s="13"/>
      <c r="AE197" s="13"/>
      <c r="AF197" s="13"/>
      <c r="AG197" s="13"/>
      <c r="AH197" s="13"/>
      <c r="AI197" s="13"/>
      <c r="AJ197" s="13"/>
      <c r="AK197" s="13"/>
      <c r="AL197" s="13"/>
      <c r="AM197" s="13"/>
      <c r="AN197" s="13"/>
      <c r="AO197" s="13" t="str">
        <f ca="1">IFERROR(IF(INDEX('Coverage Indicators - Section D'!AD$1:AD$110,MATCH('Print View'!$A197,'Coverage Indicators - Section D'!$A$1:$A$110,0))&lt;&gt;0,INDEX('Coverage Indicators - Section D'!AD$1:AD$110,MATCH('Print View'!$A197,'Coverage Indicators - Section D'!$A$1:$A$110,0)),""),"")</f>
        <v/>
      </c>
      <c r="AP197" s="13"/>
      <c r="AQ197" s="13"/>
      <c r="AR197" s="13"/>
      <c r="AS197" s="13"/>
      <c r="AT197" s="577" t="str">
        <f ca="1">CONCATENATE($A197,N$147)</f>
        <v>2531-Dec-25</v>
      </c>
      <c r="AU197" s="575" t="str">
        <f ca="1">CONCATENATE($A197,Q$147)</f>
        <v>2531-Dec-28</v>
      </c>
      <c r="AV197" s="575" t="str">
        <f>CONCATENATE($A197,V$147)</f>
        <v>25</v>
      </c>
      <c r="AW197" s="575" t="str">
        <f>CONCATENATE($A197,Y$147)</f>
        <v>25</v>
      </c>
      <c r="AX197" s="575" t="str">
        <f>CONCATENATE($A197,AB$147)</f>
        <v>25</v>
      </c>
      <c r="AY197" s="575" t="str">
        <f>CONCATENATE($A197,AE$147)</f>
        <v>25</v>
      </c>
      <c r="AZ197" s="575" t="str">
        <f>CONCATENATE($A197,AH$147)</f>
        <v>25</v>
      </c>
      <c r="BA197" s="575" t="str">
        <f>CONCATENATE($A197,AK$147)</f>
        <v>25</v>
      </c>
      <c r="BB197" s="96"/>
      <c r="BC197" s="97"/>
    </row>
    <row r="198" spans="1:55" s="16" customFormat="1" ht="88.35" customHeight="1">
      <c r="A198" s="608"/>
      <c r="B198" s="646" t="str">
        <f ca="1">IFERROR(IF(INDEX('Coverage Indicators - Section D'!AM$1:AM$110,MATCH('Print View'!$A197,'Coverage Indicators - Section D'!$A$1:$A$110,0))&lt;&gt;0,INDEX('Coverage Indicators - Section D'!AM$1:AM$110,MATCH('Print View'!$A197,'Coverage Indicators - Section D'!$A$1:$A$110,0)),""),"")</f>
        <v/>
      </c>
      <c r="C198" s="647"/>
      <c r="D198" s="647"/>
      <c r="E198" s="647"/>
      <c r="F198" s="647"/>
      <c r="G198" s="647"/>
      <c r="H198" s="647"/>
      <c r="I198" s="647"/>
      <c r="J198" s="647"/>
      <c r="K198" s="647"/>
      <c r="L198" s="647"/>
      <c r="M198" s="647"/>
      <c r="N198" s="647"/>
      <c r="O198" s="647"/>
      <c r="P198" s="647"/>
      <c r="Q198" s="647"/>
      <c r="R198" s="647"/>
      <c r="S198" s="648"/>
      <c r="T198" s="92"/>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577"/>
      <c r="AU198" s="575"/>
      <c r="AV198" s="575"/>
      <c r="AW198" s="575"/>
      <c r="AX198" s="575"/>
      <c r="AY198" s="575"/>
      <c r="AZ198" s="575"/>
      <c r="BA198" s="575"/>
      <c r="BB198" s="96"/>
      <c r="BC198" s="97"/>
    </row>
    <row r="199" spans="1:55" s="16" customFormat="1" ht="177" customHeight="1">
      <c r="A199" s="609">
        <v>26</v>
      </c>
      <c r="B199" s="83" t="str">
        <f ca="1">IFERROR(IF(INDEX('Coverage Indicators - Section D'!B$1:B$100,MATCH('Print View'!$A199,'Coverage Indicators - Section D'!$A$1:$A$100,0))&lt;&gt;0,INDEX('Coverage Indicators - Section D'!B$1:B$100,MATCH('Print View'!$A199,'Coverage Indicators - Section D'!$A$1:$A$100,0)),""),"")</f>
        <v/>
      </c>
      <c r="C199" s="83" t="str">
        <f ca="1">IFERROR(IF(INDEX('Coverage Indicators - Section D'!D$1:D$100,MATCH('Print View'!$A199,'Coverage Indicators - Section D'!$A$1:$A$100,0))&lt;&gt;0,INDEX('Coverage Indicators - Section D'!D$1:D$100,MATCH('Print View'!$A199,'Coverage Indicators - Section D'!$A$1:$A$100,0)),""),"")</f>
        <v/>
      </c>
      <c r="D199" s="83" t="str">
        <f ca="1">IFERROR(IF(INDEX('Coverage Indicators - Section D'!E$1:E$100,MATCH('Print View'!$A199,'Coverage Indicators - Section D'!$A$1:$A$100,0))&lt;&gt;0,INDEX('Coverage Indicators - Section D'!E$1:E$100,MATCH('Print View'!$A199,'Coverage Indicators - Section D'!$A$1:$A$100,0)),""),"")</f>
        <v/>
      </c>
      <c r="E199" s="45" t="str">
        <f ca="1">IFERROR(IF(INDEX('Coverage Indicators - Section D'!F$1:F$100,MATCH('Print View'!$A199,'Coverage Indicators - Section D'!$A$1:$A$100,0))&lt;&gt;"",INDEX('Coverage Indicators - Section D'!F$1:F$100,MATCH('Print View'!$A199,'Coverage Indicators - Section D'!$A$1:$A$100,0)),""),"")&amp;"/"&amp;IFERROR(IF(INDEX('Coverage Indicators - Section D'!F$1:F$100,MATCH('Print View'!$A199,'Coverage Indicators - Section D'!$A$1:$A$100,0)+1)&lt;&gt;"",INDEX('Coverage Indicators - Section D'!F$1:F$100,MATCH('Print View'!$A199,'Coverage Indicators - Section D'!$A$1:$A$100,0)+1),""),"")&amp;CHAR(10)&amp;IFERROR(IF(INDEX('Coverage Indicators - Section D'!G$1:G$100,MATCH('Print View'!$A199,'Coverage Indicators - Section D'!$A$1:$A$100,0))&lt;&gt;"",FIXED(INDEX('Coverage Indicators - Section D'!G$1:G$100,MATCH('Print View'!$A199,'Coverage Indicators - Section D'!$A$1:$A$100,0))*100,2)&amp;"%",""),"")</f>
        <v xml:space="preserve">/
</v>
      </c>
      <c r="F199" s="84" t="str">
        <f ca="1">IFERROR(IF(INDEX('Coverage Indicators - Section D'!H$1:H$100,MATCH('Print View'!$A199,'Coverage Indicators - Section D'!$A$1:$A$100,0))&lt;&gt;0,INDEX('Coverage Indicators - Section D'!H$1:H$100,MATCH('Print View'!$A199,'Coverage Indicators - Section D'!$A$1:$A$100,0)),""),"")&amp;CHAR(10)&amp;IFERROR(IF(INDEX('Coverage Indicators - Section D'!I$1:I$100,MATCH('Print View'!$A199,'Coverage Indicators - Section D'!$A$1:$A$100,0))&lt;&gt;0,INDEX('Coverage Indicators - Section D'!I$1:I$100,MATCH('Print View'!$A199,'Coverage Indicators - Section D'!$A$1:$A$100,0)),""),"")</f>
        <v xml:space="preserve">
</v>
      </c>
      <c r="G199" s="85" t="str">
        <f ca="1">IFERROR(IF(INDEX('Coverage Indicators - Section D'!J57:J86,MATCH('Print View'!$A199,'Coverage Indicators - Section D'!$A$9:$A$38,0))&lt;&gt;0,INDEX('Coverage Indicators - Section D'!J57:J86,MATCH('Print View'!$A199,'Coverage Indicators - Section D'!$A$9:$A$38,0)),""),"")</f>
        <v/>
      </c>
      <c r="H199" s="84" t="str">
        <f ca="1">IFERROR(IF(INDEX('Coverage Indicators - Section D'!K$1:K$100,MATCH('Print View'!$A199,'Coverage Indicators - Section D'!$A$1:$A$100,0))&lt;&gt;0,INDEX('Coverage Indicators - Section D'!K$1:K$100,MATCH('Print View'!$A199,'Coverage Indicators - Section D'!$A$1:$A$100,0)),""),"")</f>
        <v/>
      </c>
      <c r="I199" s="85" t="str">
        <f ca="1">IFERROR(IF(AND('Overview - Section A'!AN$5="Grant Making",OR(C199&lt;&gt;"",D199&lt;&gt;"")),Setup!I15,IF(INDEX('Coverage Indicators - Section D'!L$1:L$100,MATCH('Print View'!$A199,'Coverage Indicators - Section D'!$A$1:$A$100,0))&lt;&gt;0,INDEX('Coverage Indicators - Section D'!L$1:L$100,MATCH('Print View'!$A199,'Coverage Indicators - Section D'!$A$1:$A$100,0)),"")),"")</f>
        <v/>
      </c>
      <c r="J199" s="84" t="str">
        <f ca="1">IFERROR(IF(INDEX('Coverage Indicators - Section D'!M$1:M$100,MATCH('Print View'!$A199,'Coverage Indicators - Section D'!$A$1:$A$100,0))&lt;&gt;0,INDEX('Coverage Indicators - Section D'!M$1:M$100,MATCH('Print View'!$A199,'Coverage Indicators - Section D'!$A$1:$A$100,0)),""),"")&amp;CHAR(10)&amp;IFERROR(IF(INDEX('Coverage Indicators - Section D'!M$1:M$100,MATCH('Print View'!$A199,'Coverage Indicators - Section D'!$A$1:$A$100,0)+1)&lt;&gt;0,INDEX('Coverage Indicators - Section D'!M$1:M$100,MATCH('Print View'!$A199,'Coverage Indicators - Section D'!$A$1:$A$100,0)+1),""),"")</f>
        <v xml:space="preserve">
</v>
      </c>
      <c r="K199" s="84" t="str">
        <f ca="1">IFERROR(IF(INDEX('Coverage Indicators - Section D'!N$1:N$100,MATCH('Print View'!$A199,'Coverage Indicators - Section D'!$A$1:$A$100,0))&lt;&gt;0,INDEX('Coverage Indicators - Section D'!N$1:N$100,MATCH('Print View'!$A199,'Coverage Indicators - Section D'!$A$1:$A$100,0)),""),"")</f>
        <v/>
      </c>
      <c r="L199" s="88" t="str">
        <f ca="1">IFERROR(IF(INDEX('Coverage Indicators - Section D'!O$1:O$100,MATCH('Print View'!$A199,'Coverage Indicators - Section D'!$A$1:$A$100,0))&lt;&gt;"",INDEX('Coverage Indicators - Section D'!O$1:O$100,MATCH('Print View'!$A199,'Coverage Indicators - Section D'!$A$1:$A$100,0)),""),"")&amp;"/"&amp;IFERROR(IF(INDEX('Coverage Indicators - Section D'!O$1:O$100,MATCH('Print View'!$A199,'Coverage Indicators - Section D'!$A$1:$A$100,0)+1)&lt;&gt;"",INDEX('Coverage Indicators - Section D'!O$1:O$100,MATCH('Print View'!$A199,'Coverage Indicators - Section D'!$A$1:$A$100,0)+1),""),"")&amp;CHAR(10)&amp;IFERROR(IF(INDEX('Coverage Indicators - Section D'!P$1:P$100,MATCH('Print View'!$A199,'Coverage Indicators - Section D'!$A$1:$A$100,0))&lt;&gt;"",FIXED(INDEX('Coverage Indicators - Section D'!P$1:P$100,MATCH('Print View'!$A199,'Coverage Indicators - Section D'!$A$1:$A$100,0))*100,2)&amp;"%",""),"")&amp;CHAR(10)&amp;IFERROR(IF(INDEX('Coverage Indicators - Section D'!Q$1:Q$100,MATCH('Print View'!$A199,'Coverage Indicators - Section D'!$A$1:$A$100,0))&lt;&gt;"",INDEX('Coverage Indicators - Section D'!Q$1:Q$100,MATCH('Print View'!$A199,'Coverage Indicators - Section D'!$A$1:$A$100,0)),""),"")</f>
        <v xml:space="preserve">/
</v>
      </c>
      <c r="M199" s="88" t="str">
        <f ca="1">IFERROR(IF(INDEX('Coverage Indicators - Section D'!R$1:R$100,MATCH('Print View'!$A199,'Coverage Indicators - Section D'!$A$1:$A$100,0))&lt;&gt;"",INDEX('Coverage Indicators - Section D'!R$1:R$100,MATCH('Print View'!$A199,'Coverage Indicators - Section D'!$A$1:$A$100,0)),""),"")&amp;"/"&amp;IFERROR(IF(INDEX('Coverage Indicators - Section D'!R$1:R$100,MATCH('Print View'!$A199,'Coverage Indicators - Section D'!$A$1:$A$100,0)+1)&lt;&gt;"",INDEX('Coverage Indicators - Section D'!R$1:R$100,MATCH('Print View'!$A199,'Coverage Indicators - Section D'!$A$1:$A$100,0)+1),""),"")&amp;CHAR(10)&amp;IFERROR(IF(INDEX('Coverage Indicators - Section D'!S$1:S$100,MATCH('Print View'!$A199,'Coverage Indicators - Section D'!$A$1:$A$100,0))&lt;&gt;"",FIXED(INDEX('Coverage Indicators - Section D'!S$1:S$100,MATCH('Print View'!$A199,'Coverage Indicators - Section D'!$A$1:$A$100,0))*100,2)&amp;"%",""),"")&amp;CHAR(10)&amp;IFERROR(IF(INDEX('Coverage Indicators - Section D'!T$1:T$100,MATCH('Print View'!$A199,'Coverage Indicators - Section D'!$A$1:$A$100,0))&lt;&gt;"",INDEX('Coverage Indicators - Section D'!T$1:T$100,MATCH('Print View'!$A199,'Coverage Indicators - Section D'!$A$1:$A$100,0)),""),"")</f>
        <v xml:space="preserve">/
</v>
      </c>
      <c r="N199" s="88" t="str">
        <f ca="1">IFERROR(IF(INDEX('Coverage Indicators - Section D'!U$1:U$100,MATCH('Print View'!$A199,'Coverage Indicators - Section D'!$A$1:$A$100,0))&lt;&gt;"",INDEX('Coverage Indicators - Section D'!U$1:U$100,MATCH('Print View'!$A199,'Coverage Indicators - Section D'!$A$1:$A$100,0)),""),"")&amp;"/"&amp;IFERROR(IF(INDEX('Coverage Indicators - Section D'!U$1:U$100,MATCH('Print View'!$A199,'Coverage Indicators - Section D'!$A$1:$A$100,0)+1)&lt;&gt;"",INDEX('Coverage Indicators - Section D'!U$1:U$100,MATCH('Print View'!$A199,'Coverage Indicators - Section D'!$A$1:$A$100,0)+1),""),"")&amp;CHAR(10)&amp;IFERROR(IF(INDEX('Coverage Indicators - Section D'!V$1:V$100,MATCH('Print View'!$A199,'Coverage Indicators - Section D'!$A$1:$A$100,0))&lt;&gt;"",FIXED(INDEX('Coverage Indicators - Section D'!V$1:V$100,MATCH('Print View'!$A199,'Coverage Indicators - Section D'!$A$1:$A$100,0))*100,2)&amp;"%",""),"")&amp;CHAR(10)&amp;IFERROR(IF(INDEX('Coverage Indicators - Section D'!W$1:W$100,MATCH('Print View'!$A199,'Coverage Indicators - Section D'!$A$1:$A$100,0))&lt;&gt;"",INDEX('Coverage Indicators - Section D'!W$1:W$100,MATCH('Print View'!$A199,'Coverage Indicators - Section D'!$A$1:$A$100,0)),""),"")</f>
        <v xml:space="preserve">/
</v>
      </c>
      <c r="O199" s="88" t="str">
        <f ca="1">IFERROR(IF(INDEX('Coverage Indicators - Section D'!X$1:X$100,MATCH('Print View'!$A199,'Coverage Indicators - Section D'!$A$1:$A$100,0))&lt;&gt;"",INDEX('Coverage Indicators - Section D'!X$1:X$100,MATCH('Print View'!$A199,'Coverage Indicators - Section D'!$A$1:$A$100,0)),""),"")&amp;"/"&amp;IFERROR(IF(INDEX('Coverage Indicators - Section D'!X$1:X$100,MATCH('Print View'!$A199,'Coverage Indicators - Section D'!$A$1:$A$100,0)+1)&lt;&gt;"",INDEX('Coverage Indicators - Section D'!X$1:X$100,MATCH('Print View'!$A199,'Coverage Indicators - Section D'!$A$1:$A$100,0)+1),""),"")&amp;CHAR(10)&amp;IFERROR(IF(INDEX('Coverage Indicators - Section D'!Y$1:Y$100,MATCH('Print View'!$A199,'Coverage Indicators - Section D'!$A$1:$A$100,0))&lt;&gt;"",FIXED(INDEX('Coverage Indicators - Section D'!Y$1:Y$100,MATCH('Print View'!$A199,'Coverage Indicators - Section D'!$A$1:$A$100,0))*100,2)&amp;"%",""),"")&amp;CHAR(10)&amp;IFERROR(IF(INDEX('Coverage Indicators - Section D'!Z$1:Z$100,MATCH('Print View'!$A199,'Coverage Indicators - Section D'!$A$1:$A$100,0))&lt;&gt;"",INDEX('Coverage Indicators - Section D'!Z$1:Z$100,MATCH('Print View'!$A199,'Coverage Indicators - Section D'!$A$1:$A$100,0)),""),"")</f>
        <v xml:space="preserve">/
</v>
      </c>
      <c r="P199" s="88" t="str">
        <f ca="1">IFERROR(IF(INDEX('Coverage Indicators - Section D'!AA$1:AA$100,MATCH('Print View'!$A199,'Coverage Indicators - Section D'!$A$1:$A$100,0))&lt;&gt;"",INDEX('Coverage Indicators - Section D'!AA$1:AA$100,MATCH('Print View'!$A199,'Coverage Indicators - Section D'!$A$1:$A$100,0)),""),"")&amp;"/"&amp;IFERROR(IF(INDEX('Coverage Indicators - Section D'!AA$1:AA$100,MATCH('Print View'!$A199,'Coverage Indicators - Section D'!$A$1:$A$100,0)+1)&lt;&gt;"",INDEX('Coverage Indicators - Section D'!AA$1:AA$100,MATCH('Print View'!$A199,'Coverage Indicators - Section D'!$A$1:$A$100,0)+1),""),"")&amp;CHAR(10)&amp;IFERROR(IF(INDEX('Coverage Indicators - Section D'!AB$1:AB$100,MATCH('Print View'!$A199,'Coverage Indicators - Section D'!$A$1:$A$100,0))&lt;&gt;"",FIXED(INDEX('Coverage Indicators - Section D'!AB$1:AB$100,MATCH('Print View'!$A199,'Coverage Indicators - Section D'!$A$1:$A$100,0))*100,2)&amp;"%",""),"")&amp;CHAR(10)&amp;IFERROR(IF(INDEX('Coverage Indicators - Section D'!AC$1:AC$100,MATCH('Print View'!$A199,'Coverage Indicators - Section D'!$A$1:$A$100,0))&lt;&gt;"",INDEX('Coverage Indicators - Section D'!AC$1:AC$100,MATCH('Print View'!$A199,'Coverage Indicators - Section D'!$A$1:$A$100,0)),""),"")</f>
        <v xml:space="preserve">/
</v>
      </c>
      <c r="Q199" s="88" t="str">
        <f ca="1">IFERROR(IF(INDEX('Coverage Indicators - Section D'!AD$1:AD$100,MATCH('Print View'!$A199,'Coverage Indicators - Section D'!$A$1:$A$100,0))&lt;&gt;"",INDEX('Coverage Indicators - Section D'!AD$1:AD$100,MATCH('Print View'!$A199,'Coverage Indicators - Section D'!$A$1:$A$100,0)),""),"")&amp;"/"&amp;IFERROR(IF(INDEX('Coverage Indicators - Section D'!AD$1:AD$100,MATCH('Print View'!$A199,'Coverage Indicators - Section D'!$A$1:$A$100,0)+1)&lt;&gt;"",INDEX('Coverage Indicators - Section D'!AD$1:AD$100,MATCH('Print View'!$A199,'Coverage Indicators - Section D'!$A$1:$A$100,0)+1),""),"")&amp;CHAR(10)&amp;IFERROR(IF(INDEX('Coverage Indicators - Section D'!AE$1:AE$100,MATCH('Print View'!$A199,'Coverage Indicators - Section D'!$A$1:$A$100,0))&lt;&gt;"",FIXED(INDEX('Coverage Indicators - Section D'!AE$1:AE$100,MATCH('Print View'!$A199,'Coverage Indicators - Section D'!$A$1:$A$100,0))*100,2)&amp;"%",""),"")&amp;CHAR(10)&amp;IFERROR(IF(INDEX('Coverage Indicators - Section D'!AF$1:AF$100,MATCH('Print View'!$A199,'Coverage Indicators - Section D'!$A$1:$A$100,0))&lt;&gt;"",INDEX('Coverage Indicators - Section D'!AF$1:AF$100,MATCH('Print View'!$A199,'Coverage Indicators - Section D'!$A$1:$A$100,0)),""),"")</f>
        <v xml:space="preserve">/
</v>
      </c>
      <c r="R199" s="88" t="str">
        <f ca="1">IFERROR(IF(INDEX('Coverage Indicators - Section D'!AG$1:AG$100,MATCH('Print View'!$A199,'Coverage Indicators - Section D'!$A$1:$A$100,0))&lt;&gt;"",INDEX('Coverage Indicators - Section D'!AG$1:AG$100,MATCH('Print View'!$A199,'Coverage Indicators - Section D'!$A$1:$A$100,0)),""),"")&amp;"/"&amp;IFERROR(IF(INDEX('Coverage Indicators - Section D'!AG$1:AG$100,MATCH('Print View'!$A199,'Coverage Indicators - Section D'!$A$1:$A$100,0)+1)&lt;&gt;"",INDEX('Coverage Indicators - Section D'!AG$1:AG$100,MATCH('Print View'!$A199,'Coverage Indicators - Section D'!$A$1:$A$100,0)+1),""),"")&amp;CHAR(10)&amp;IFERROR(IF(INDEX('Coverage Indicators - Section D'!AH$1:AH$100,MATCH('Print View'!$A199,'Coverage Indicators - Section D'!$A$1:$A$100,0))&lt;&gt;"",FIXED(INDEX('Coverage Indicators - Section D'!AH$1:AH$100,MATCH('Print View'!$A199,'Coverage Indicators - Section D'!$A$1:$A$100,0))*100,2)&amp;"%",""),"")&amp;CHAR(10)&amp;IFERROR(IF(INDEX('Coverage Indicators - Section D'!AI$1:AI$100,MATCH('Print View'!$A199,'Coverage Indicators - Section D'!$A$1:$A$100,0))&lt;&gt;"",INDEX('Coverage Indicators - Section D'!AI$1:AI$100,MATCH('Print View'!$A199,'Coverage Indicators - Section D'!$A$1:$A$100,0)),""),"")</f>
        <v xml:space="preserve">/
</v>
      </c>
      <c r="S199" s="88" t="str">
        <f ca="1">IFERROR(IF(INDEX('Coverage Indicators - Section D'!AJ$1:AJ$100,MATCH('Print View'!$A199,'Coverage Indicators - Section D'!$A$1:$A$100,0))&lt;&gt;"",INDEX('Coverage Indicators - Section D'!AJ$1:AJ$100,MATCH('Print View'!$A199,'Coverage Indicators - Section D'!$A$1:$A$100,0)),""),"")&amp;"/"&amp;IFERROR(IF(INDEX('Coverage Indicators - Section D'!AJ$1:AJ$100,MATCH('Print View'!$A199,'Coverage Indicators - Section D'!$A$1:$A$100,0)+1)&lt;&gt;"",INDEX('Coverage Indicators - Section D'!AJ$1:AJ$100,MATCH('Print View'!$A199,'Coverage Indicators - Section D'!$A$1:$A$100,0)+1),""),"")&amp;CHAR(10)&amp;IFERROR(IF(INDEX('Coverage Indicators - Section D'!AK$1:AK$100,MATCH('Print View'!$A199,'Coverage Indicators - Section D'!$A$1:$A$100,0))&lt;&gt;"",FIXED(INDEX('Coverage Indicators - Section D'!AK$1:AK$100,MATCH('Print View'!$A199,'Coverage Indicators - Section D'!$A$1:$A$100,0))*100,2)&amp;"%",""),"")&amp;CHAR(10)&amp;IFERROR(IF(INDEX('Coverage Indicators - Section D'!AL$1:AL$100,MATCH('Print View'!$A199,'Coverage Indicators - Section D'!$A$1:$A$100,0))&lt;&gt;"",INDEX('Coverage Indicators - Section D'!AL$1:AL$100,MATCH('Print View'!$A199,'Coverage Indicators - Section D'!$A$1:$A$100,0)),""),"")</f>
        <v xml:space="preserve">/
</v>
      </c>
      <c r="T199" s="93"/>
      <c r="U199" s="13"/>
      <c r="V199" s="13"/>
      <c r="W199" s="13"/>
      <c r="X199" s="13"/>
      <c r="Y199" s="13"/>
      <c r="Z199" s="13"/>
      <c r="AA199" s="13"/>
      <c r="AB199" s="13"/>
      <c r="AC199" s="13"/>
      <c r="AD199" s="13"/>
      <c r="AE199" s="13"/>
      <c r="AF199" s="13"/>
      <c r="AG199" s="13"/>
      <c r="AH199" s="13"/>
      <c r="AI199" s="13"/>
      <c r="AJ199" s="13"/>
      <c r="AK199" s="13"/>
      <c r="AL199" s="13"/>
      <c r="AM199" s="13"/>
      <c r="AN199" s="13"/>
      <c r="AO199" s="13" t="str">
        <f ca="1">IFERROR(IF(INDEX('Coverage Indicators - Section D'!AD$1:AD$110,MATCH('Print View'!$A199,'Coverage Indicators - Section D'!$A$1:$A$110,0))&lt;&gt;0,INDEX('Coverage Indicators - Section D'!AD$1:AD$110,MATCH('Print View'!$A199,'Coverage Indicators - Section D'!$A$1:$A$110,0)),""),"")</f>
        <v/>
      </c>
      <c r="AP199" s="13"/>
      <c r="AQ199" s="13"/>
      <c r="AR199" s="13"/>
      <c r="AS199" s="13"/>
      <c r="AT199" s="577" t="str">
        <f ca="1">CONCATENATE($A199,N$147)</f>
        <v>2631-Dec-25</v>
      </c>
      <c r="AU199" s="575" t="str">
        <f ca="1">CONCATENATE($A199,Q$147)</f>
        <v>2631-Dec-28</v>
      </c>
      <c r="AV199" s="575" t="str">
        <f>CONCATENATE($A199,V$147)</f>
        <v>26</v>
      </c>
      <c r="AW199" s="575" t="str">
        <f>CONCATENATE($A199,Y$147)</f>
        <v>26</v>
      </c>
      <c r="AX199" s="575" t="str">
        <f>CONCATENATE($A199,AB$147)</f>
        <v>26</v>
      </c>
      <c r="AY199" s="575" t="str">
        <f>CONCATENATE($A199,AE$147)</f>
        <v>26</v>
      </c>
      <c r="AZ199" s="575" t="str">
        <f>CONCATENATE($A199,AH$147)</f>
        <v>26</v>
      </c>
      <c r="BA199" s="575" t="str">
        <f>CONCATENATE($A199,AK$147)</f>
        <v>26</v>
      </c>
      <c r="BB199" s="96"/>
      <c r="BC199" s="97"/>
    </row>
    <row r="200" spans="1:55" s="16" customFormat="1" ht="88.35" customHeight="1">
      <c r="A200" s="609"/>
      <c r="B200" s="630" t="str">
        <f ca="1">IFERROR(IF(INDEX('Coverage Indicators - Section D'!AM$1:AM$110,MATCH('Print View'!$A199,'Coverage Indicators - Section D'!$A$1:$A$110,0))&lt;&gt;0,INDEX('Coverage Indicators - Section D'!AM$1:AM$110,MATCH('Print View'!$A199,'Coverage Indicators - Section D'!$A$1:$A$110,0)),""),"")</f>
        <v/>
      </c>
      <c r="C200" s="631"/>
      <c r="D200" s="631"/>
      <c r="E200" s="631"/>
      <c r="F200" s="631"/>
      <c r="G200" s="631"/>
      <c r="H200" s="631"/>
      <c r="I200" s="632"/>
      <c r="J200" s="632"/>
      <c r="K200" s="632"/>
      <c r="L200" s="632"/>
      <c r="M200" s="632"/>
      <c r="N200" s="632"/>
      <c r="O200" s="632"/>
      <c r="P200" s="632"/>
      <c r="Q200" s="632"/>
      <c r="R200" s="632"/>
      <c r="S200" s="633"/>
      <c r="T200" s="94"/>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577"/>
      <c r="AU200" s="575"/>
      <c r="AV200" s="575"/>
      <c r="AW200" s="575"/>
      <c r="AX200" s="575"/>
      <c r="AY200" s="575"/>
      <c r="AZ200" s="575"/>
      <c r="BA200" s="575"/>
      <c r="BB200" s="96"/>
      <c r="BC200" s="97"/>
    </row>
    <row r="201" spans="1:55" s="16" customFormat="1" ht="177" customHeight="1">
      <c r="A201" s="608">
        <v>27</v>
      </c>
      <c r="B201" s="80" t="str">
        <f ca="1">IFERROR(IF(INDEX('Coverage Indicators - Section D'!B$1:B$100,MATCH('Print View'!$A201,'Coverage Indicators - Section D'!$A$1:$A$100,0))&lt;&gt;0,INDEX('Coverage Indicators - Section D'!B$1:B$100,MATCH('Print View'!$A201,'Coverage Indicators - Section D'!$A$1:$A$100,0)),""),"")</f>
        <v/>
      </c>
      <c r="C201" s="80" t="str">
        <f ca="1">IFERROR(IF(INDEX('Coverage Indicators - Section D'!D$1:D$100,MATCH('Print View'!$A201,'Coverage Indicators - Section D'!$A$1:$A$100,0))&lt;&gt;0,INDEX('Coverage Indicators - Section D'!D$1:D$100,MATCH('Print View'!$A201,'Coverage Indicators - Section D'!$A$1:$A$100,0)),""),"")</f>
        <v/>
      </c>
      <c r="D201" s="80" t="str">
        <f ca="1">IFERROR(IF(INDEX('Coverage Indicators - Section D'!E$1:E$100,MATCH('Print View'!$A201,'Coverage Indicators - Section D'!$A$1:$A$100,0))&lt;&gt;0,INDEX('Coverage Indicators - Section D'!E$1:E$100,MATCH('Print View'!$A201,'Coverage Indicators - Section D'!$A$1:$A$100,0)),""),"")</f>
        <v/>
      </c>
      <c r="E201" s="81" t="str">
        <f ca="1">IFERROR(IF(INDEX('Coverage Indicators - Section D'!F$1:F$100,MATCH('Print View'!$A201,'Coverage Indicators - Section D'!$A$1:$A$100,0))&lt;&gt;"",INDEX('Coverage Indicators - Section D'!F$1:F$100,MATCH('Print View'!$A201,'Coverage Indicators - Section D'!$A$1:$A$100,0)),""),"")&amp;"/"&amp;IFERROR(IF(INDEX('Coverage Indicators - Section D'!F$1:F$100,MATCH('Print View'!$A201,'Coverage Indicators - Section D'!$A$1:$A$100,0)+1)&lt;&gt;"",INDEX('Coverage Indicators - Section D'!F$1:F$100,MATCH('Print View'!$A201,'Coverage Indicators - Section D'!$A$1:$A$100,0)+1),""),"")&amp;CHAR(10)&amp;IFERROR(IF(INDEX('Coverage Indicators - Section D'!G$1:G$100,MATCH('Print View'!$A201,'Coverage Indicators - Section D'!$A$1:$A$100,0))&lt;&gt;"",FIXED(INDEX('Coverage Indicators - Section D'!G$1:G$100,MATCH('Print View'!$A201,'Coverage Indicators - Section D'!$A$1:$A$100,0))*100,2)&amp;"%",""),"")</f>
        <v xml:space="preserve">/
</v>
      </c>
      <c r="F201" s="82" t="str">
        <f ca="1">IFERROR(IF(INDEX('Coverage Indicators - Section D'!H$1:H$100,MATCH('Print View'!$A201,'Coverage Indicators - Section D'!$A$1:$A$100,0))&lt;&gt;0,INDEX('Coverage Indicators - Section D'!H$1:H$100,MATCH('Print View'!$A201,'Coverage Indicators - Section D'!$A$1:$A$100,0)),""),"")&amp;CHAR(10)&amp;IFERROR(IF(INDEX('Coverage Indicators - Section D'!I$1:I$100,MATCH('Print View'!$A201,'Coverage Indicators - Section D'!$A$1:$A$100,0))&lt;&gt;0,INDEX('Coverage Indicators - Section D'!I$1:I$100,MATCH('Print View'!$A201,'Coverage Indicators - Section D'!$A$1:$A$100,0)),""),"")</f>
        <v xml:space="preserve">
</v>
      </c>
      <c r="G201" s="41" t="str">
        <f ca="1">IFERROR(IF(INDEX('Coverage Indicators - Section D'!J61:J90,MATCH('Print View'!$A201,'Coverage Indicators - Section D'!$A$9:$A$38,0))&lt;&gt;0,INDEX('Coverage Indicators - Section D'!J61:J90,MATCH('Print View'!$A201,'Coverage Indicators - Section D'!$A$9:$A$38,0)),""),"")</f>
        <v/>
      </c>
      <c r="H201" s="42" t="str">
        <f ca="1">IFERROR(IF(INDEX('Coverage Indicators - Section D'!K$1:K$100,MATCH('Print View'!$A201,'Coverage Indicators - Section D'!$A$1:$A$100,0))&lt;&gt;0,INDEX('Coverage Indicators - Section D'!K$1:K$100,MATCH('Print View'!$A201,'Coverage Indicators - Section D'!$A$1:$A$100,0)),""),"")</f>
        <v/>
      </c>
      <c r="I201" s="41" t="str">
        <f ca="1">IFERROR(IF(AND('Overview - Section A'!AN$5="Grant Making",OR(C201&lt;&gt;"",D201&lt;&gt;"")),Setup!I15,IF(INDEX('Coverage Indicators - Section D'!L$1:L$100,MATCH('Print View'!$A201,'Coverage Indicators - Section D'!$A$1:$A$100,0))&lt;&gt;0,INDEX('Coverage Indicators - Section D'!L$1:L$100,MATCH('Print View'!$A201,'Coverage Indicators - Section D'!$A$1:$A$100,0)),"")),"")</f>
        <v/>
      </c>
      <c r="J201" s="81" t="str">
        <f ca="1">IFERROR(IF(INDEX('Coverage Indicators - Section D'!M$1:M$100,MATCH('Print View'!$A201,'Coverage Indicators - Section D'!$A$1:$A$100,0))&lt;&gt;0,INDEX('Coverage Indicators - Section D'!M$1:M$100,MATCH('Print View'!$A201,'Coverage Indicators - Section D'!$A$1:$A$100,0)),""),"")&amp;CHAR(10)&amp;IFERROR(IF(INDEX('Coverage Indicators - Section D'!M$1:M$100,MATCH('Print View'!$A201,'Coverage Indicators - Section D'!$A$1:$A$100,0)+1)&lt;&gt;0,INDEX('Coverage Indicators - Section D'!M$1:M$100,MATCH('Print View'!$A201,'Coverage Indicators - Section D'!$A$1:$A$100,0)+1),""),"")</f>
        <v xml:space="preserve">
</v>
      </c>
      <c r="K201" s="81" t="str">
        <f ca="1">IFERROR(IF(INDEX('Coverage Indicators - Section D'!N$1:N$100,MATCH('Print View'!$A201,'Coverage Indicators - Section D'!$A$1:$A$100,0))&lt;&gt;0,INDEX('Coverage Indicators - Section D'!N$1:N$100,MATCH('Print View'!$A201,'Coverage Indicators - Section D'!$A$1:$A$100,0)),""),"")</f>
        <v/>
      </c>
      <c r="L201" s="81" t="str">
        <f ca="1">IFERROR(IF(INDEX('Coverage Indicators - Section D'!O$1:O$100,MATCH('Print View'!$A201,'Coverage Indicators - Section D'!$A$1:$A$100,0))&lt;&gt;"",INDEX('Coverage Indicators - Section D'!O$1:O$100,MATCH('Print View'!$A201,'Coverage Indicators - Section D'!$A$1:$A$100,0)),""),"")&amp;"/"&amp;IFERROR(IF(INDEX('Coverage Indicators - Section D'!O$1:O$100,MATCH('Print View'!$A201,'Coverage Indicators - Section D'!$A$1:$A$100,0)+1)&lt;&gt;"",INDEX('Coverage Indicators - Section D'!O$1:O$100,MATCH('Print View'!$A201,'Coverage Indicators - Section D'!$A$1:$A$100,0)+1),""),"")&amp;CHAR(10)&amp;IFERROR(IF(INDEX('Coverage Indicators - Section D'!P$1:P$100,MATCH('Print View'!$A201,'Coverage Indicators - Section D'!$A$1:$A$100,0))&lt;&gt;"",FIXED(INDEX('Coverage Indicators - Section D'!P$1:P$100,MATCH('Print View'!$A201,'Coverage Indicators - Section D'!$A$1:$A$100,0))*100,2)&amp;"%",""),"")&amp;CHAR(10)&amp;IFERROR(IF(INDEX('Coverage Indicators - Section D'!Q$1:Q$100,MATCH('Print View'!$A201,'Coverage Indicators - Section D'!$A$1:$A$100,0))&lt;&gt;"",INDEX('Coverage Indicators - Section D'!Q$1:Q$100,MATCH('Print View'!$A201,'Coverage Indicators - Section D'!$A$1:$A$100,0)),""),"")</f>
        <v xml:space="preserve">/
</v>
      </c>
      <c r="M201" s="82" t="str">
        <f ca="1">IFERROR(IF(INDEX('Coverage Indicators - Section D'!R$1:R$100,MATCH('Print View'!$A201,'Coverage Indicators - Section D'!$A$1:$A$100,0))&lt;&gt;"",INDEX('Coverage Indicators - Section D'!R$1:R$100,MATCH('Print View'!$A201,'Coverage Indicators - Section D'!$A$1:$A$100,0)),""),"")&amp;"/"&amp;IFERROR(IF(INDEX('Coverage Indicators - Section D'!R$1:R$100,MATCH('Print View'!$A201,'Coverage Indicators - Section D'!$A$1:$A$100,0)+1)&lt;&gt;"",INDEX('Coverage Indicators - Section D'!R$1:R$100,MATCH('Print View'!$A201,'Coverage Indicators - Section D'!$A$1:$A$100,0)+1),""),"")&amp;CHAR(10)&amp;IFERROR(IF(INDEX('Coverage Indicators - Section D'!S$1:S$100,MATCH('Print View'!$A201,'Coverage Indicators - Section D'!$A$1:$A$100,0))&lt;&gt;"",FIXED(INDEX('Coverage Indicators - Section D'!S$1:S$100,MATCH('Print View'!$A201,'Coverage Indicators - Section D'!$A$1:$A$100,0))*100,2)&amp;"%",""),"")&amp;CHAR(10)&amp;IFERROR(IF(INDEX('Coverage Indicators - Section D'!T$1:T$100,MATCH('Print View'!$A201,'Coverage Indicators - Section D'!$A$1:$A$100,0))&lt;&gt;"",INDEX('Coverage Indicators - Section D'!T$1:T$100,MATCH('Print View'!$A201,'Coverage Indicators - Section D'!$A$1:$A$100,0)),""),"")</f>
        <v xml:space="preserve">/
</v>
      </c>
      <c r="N201" s="81" t="str">
        <f ca="1">IFERROR(IF(INDEX('Coverage Indicators - Section D'!U$1:U$100,MATCH('Print View'!$A201,'Coverage Indicators - Section D'!$A$1:$A$100,0))&lt;&gt;"",INDEX('Coverage Indicators - Section D'!U$1:U$100,MATCH('Print View'!$A201,'Coverage Indicators - Section D'!$A$1:$A$100,0)),""),"")&amp;"/"&amp;IFERROR(IF(INDEX('Coverage Indicators - Section D'!U$1:U$100,MATCH('Print View'!$A201,'Coverage Indicators - Section D'!$A$1:$A$100,0)+1)&lt;&gt;"",INDEX('Coverage Indicators - Section D'!U$1:U$100,MATCH('Print View'!$A201,'Coverage Indicators - Section D'!$A$1:$A$100,0)+1),""),"")&amp;CHAR(10)&amp;IFERROR(IF(INDEX('Coverage Indicators - Section D'!V$1:V$100,MATCH('Print View'!$A201,'Coverage Indicators - Section D'!$A$1:$A$100,0))&lt;&gt;"",FIXED(INDEX('Coverage Indicators - Section D'!V$1:V$100,MATCH('Print View'!$A201,'Coverage Indicators - Section D'!$A$1:$A$100,0))*100,2)&amp;"%",""),"")&amp;CHAR(10)&amp;IFERROR(IF(INDEX('Coverage Indicators - Section D'!W$1:W$100,MATCH('Print View'!$A201,'Coverage Indicators - Section D'!$A$1:$A$100,0))&lt;&gt;"",INDEX('Coverage Indicators - Section D'!W$1:W$100,MATCH('Print View'!$A201,'Coverage Indicators - Section D'!$A$1:$A$100,0)),""),"")</f>
        <v xml:space="preserve">/
</v>
      </c>
      <c r="O201" s="82" t="str">
        <f ca="1">IFERROR(IF(INDEX('Coverage Indicators - Section D'!X$1:X$100,MATCH('Print View'!$A201,'Coverage Indicators - Section D'!$A$1:$A$100,0))&lt;&gt;"",INDEX('Coverage Indicators - Section D'!X$1:X$100,MATCH('Print View'!$A201,'Coverage Indicators - Section D'!$A$1:$A$100,0)),""),"")&amp;"/"&amp;IFERROR(IF(INDEX('Coverage Indicators - Section D'!X$1:X$100,MATCH('Print View'!$A201,'Coverage Indicators - Section D'!$A$1:$A$100,0)+1)&lt;&gt;"",INDEX('Coverage Indicators - Section D'!X$1:X$100,MATCH('Print View'!$A201,'Coverage Indicators - Section D'!$A$1:$A$100,0)+1),""),"")&amp;CHAR(10)&amp;IFERROR(IF(INDEX('Coverage Indicators - Section D'!Y$1:Y$100,MATCH('Print View'!$A201,'Coverage Indicators - Section D'!$A$1:$A$100,0))&lt;&gt;"",FIXED(INDEX('Coverage Indicators - Section D'!Y$1:Y$100,MATCH('Print View'!$A201,'Coverage Indicators - Section D'!$A$1:$A$100,0))*100,2)&amp;"%",""),"")&amp;CHAR(10)&amp;IFERROR(IF(INDEX('Coverage Indicators - Section D'!Z$1:Z$100,MATCH('Print View'!$A201,'Coverage Indicators - Section D'!$A$1:$A$100,0))&lt;&gt;"",INDEX('Coverage Indicators - Section D'!Z$1:Z$100,MATCH('Print View'!$A201,'Coverage Indicators - Section D'!$A$1:$A$100,0)),""),"")</f>
        <v xml:space="preserve">/
</v>
      </c>
      <c r="P201" s="82" t="str">
        <f ca="1">IFERROR(IF(INDEX('Coverage Indicators - Section D'!AA$1:AA$100,MATCH('Print View'!$A201,'Coverage Indicators - Section D'!$A$1:$A$100,0))&lt;&gt;"",INDEX('Coverage Indicators - Section D'!AA$1:AA$100,MATCH('Print View'!$A201,'Coverage Indicators - Section D'!$A$1:$A$100,0)),""),"")&amp;"/"&amp;IFERROR(IF(INDEX('Coverage Indicators - Section D'!AA$1:AA$100,MATCH('Print View'!$A201,'Coverage Indicators - Section D'!$A$1:$A$100,0)+1)&lt;&gt;"",INDEX('Coverage Indicators - Section D'!AA$1:AA$100,MATCH('Print View'!$A201,'Coverage Indicators - Section D'!$A$1:$A$100,0)+1),""),"")&amp;CHAR(10)&amp;IFERROR(IF(INDEX('Coverage Indicators - Section D'!AB$1:AB$100,MATCH('Print View'!$A201,'Coverage Indicators - Section D'!$A$1:$A$100,0))&lt;&gt;"",FIXED(INDEX('Coverage Indicators - Section D'!AB$1:AB$100,MATCH('Print View'!$A201,'Coverage Indicators - Section D'!$A$1:$A$100,0))*100,2)&amp;"%",""),"")&amp;CHAR(10)&amp;IFERROR(IF(INDEX('Coverage Indicators - Section D'!AC$1:AC$100,MATCH('Print View'!$A201,'Coverage Indicators - Section D'!$A$1:$A$100,0))&lt;&gt;"",INDEX('Coverage Indicators - Section D'!AC$1:AC$100,MATCH('Print View'!$A201,'Coverage Indicators - Section D'!$A$1:$A$100,0)),""),"")</f>
        <v xml:space="preserve">/
</v>
      </c>
      <c r="Q201" s="82" t="str">
        <f ca="1">IFERROR(IF(INDEX('Coverage Indicators - Section D'!AD$1:AD$100,MATCH('Print View'!$A201,'Coverage Indicators - Section D'!$A$1:$A$100,0))&lt;&gt;"",INDEX('Coverage Indicators - Section D'!AD$1:AD$100,MATCH('Print View'!$A201,'Coverage Indicators - Section D'!$A$1:$A$100,0)),""),"")&amp;"/"&amp;IFERROR(IF(INDEX('Coverage Indicators - Section D'!AD$1:AD$100,MATCH('Print View'!$A201,'Coverage Indicators - Section D'!$A$1:$A$100,0)+1)&lt;&gt;"",INDEX('Coverage Indicators - Section D'!AD$1:AD$100,MATCH('Print View'!$A201,'Coverage Indicators - Section D'!$A$1:$A$100,0)+1),""),"")&amp;CHAR(10)&amp;IFERROR(IF(INDEX('Coverage Indicators - Section D'!AE$1:AE$100,MATCH('Print View'!$A201,'Coverage Indicators - Section D'!$A$1:$A$100,0))&lt;&gt;"",FIXED(INDEX('Coverage Indicators - Section D'!AE$1:AE$100,MATCH('Print View'!$A201,'Coverage Indicators - Section D'!$A$1:$A$100,0))*100,2)&amp;"%",""),"")&amp;CHAR(10)&amp;IFERROR(IF(INDEX('Coverage Indicators - Section D'!AF$1:AF$100,MATCH('Print View'!$A201,'Coverage Indicators - Section D'!$A$1:$A$100,0))&lt;&gt;"",INDEX('Coverage Indicators - Section D'!AF$1:AF$100,MATCH('Print View'!$A201,'Coverage Indicators - Section D'!$A$1:$A$100,0)),""),"")</f>
        <v xml:space="preserve">/
</v>
      </c>
      <c r="R201" s="82" t="str">
        <f ca="1">IFERROR(IF(INDEX('Coverage Indicators - Section D'!AG$1:AG$100,MATCH('Print View'!$A201,'Coverage Indicators - Section D'!$A$1:$A$100,0))&lt;&gt;"",INDEX('Coverage Indicators - Section D'!AG$1:AG$100,MATCH('Print View'!$A201,'Coverage Indicators - Section D'!$A$1:$A$100,0)),""),"")&amp;"/"&amp;IFERROR(IF(INDEX('Coverage Indicators - Section D'!AG$1:AG$100,MATCH('Print View'!$A201,'Coverage Indicators - Section D'!$A$1:$A$100,0)+1)&lt;&gt;"",INDEX('Coverage Indicators - Section D'!AG$1:AG$100,MATCH('Print View'!$A201,'Coverage Indicators - Section D'!$A$1:$A$100,0)+1),""),"")&amp;CHAR(10)&amp;IFERROR(IF(INDEX('Coverage Indicators - Section D'!AH$1:AH$100,MATCH('Print View'!$A201,'Coverage Indicators - Section D'!$A$1:$A$100,0))&lt;&gt;"",FIXED(INDEX('Coverage Indicators - Section D'!AH$1:AH$100,MATCH('Print View'!$A201,'Coverage Indicators - Section D'!$A$1:$A$100,0))*100,2)&amp;"%",""),"")&amp;CHAR(10)&amp;IFERROR(IF(INDEX('Coverage Indicators - Section D'!AI$1:AI$100,MATCH('Print View'!$A201,'Coverage Indicators - Section D'!$A$1:$A$100,0))&lt;&gt;"",INDEX('Coverage Indicators - Section D'!AI$1:AI$100,MATCH('Print View'!$A201,'Coverage Indicators - Section D'!$A$1:$A$100,0)),""),"")</f>
        <v xml:space="preserve">/
</v>
      </c>
      <c r="S201" s="82" t="str">
        <f ca="1">IFERROR(IF(INDEX('Coverage Indicators - Section D'!AJ$1:AJ$100,MATCH('Print View'!$A201,'Coverage Indicators - Section D'!$A$1:$A$100,0))&lt;&gt;"",INDEX('Coverage Indicators - Section D'!AJ$1:AJ$100,MATCH('Print View'!$A201,'Coverage Indicators - Section D'!$A$1:$A$100,0)),""),"")&amp;"/"&amp;IFERROR(IF(INDEX('Coverage Indicators - Section D'!AJ$1:AJ$100,MATCH('Print View'!$A201,'Coverage Indicators - Section D'!$A$1:$A$100,0)+1)&lt;&gt;"",INDEX('Coverage Indicators - Section D'!AJ$1:AJ$100,MATCH('Print View'!$A201,'Coverage Indicators - Section D'!$A$1:$A$100,0)+1),""),"")&amp;CHAR(10)&amp;IFERROR(IF(INDEX('Coverage Indicators - Section D'!AK$1:AK$100,MATCH('Print View'!$A201,'Coverage Indicators - Section D'!$A$1:$A$100,0))&lt;&gt;"",FIXED(INDEX('Coverage Indicators - Section D'!AK$1:AK$100,MATCH('Print View'!$A201,'Coverage Indicators - Section D'!$A$1:$A$100,0))*100,2)&amp;"%",""),"")&amp;CHAR(10)&amp;IFERROR(IF(INDEX('Coverage Indicators - Section D'!AL$1:AL$100,MATCH('Print View'!$A201,'Coverage Indicators - Section D'!$A$1:$A$100,0))&lt;&gt;"",INDEX('Coverage Indicators - Section D'!AL$1:AL$100,MATCH('Print View'!$A201,'Coverage Indicators - Section D'!$A$1:$A$100,0)),""),"")</f>
        <v xml:space="preserve">/
</v>
      </c>
      <c r="T201" s="52"/>
      <c r="U201" s="13"/>
      <c r="V201" s="13"/>
      <c r="W201" s="13"/>
      <c r="X201" s="13"/>
      <c r="Y201" s="13"/>
      <c r="Z201" s="13"/>
      <c r="AA201" s="13"/>
      <c r="AB201" s="13"/>
      <c r="AC201" s="13"/>
      <c r="AD201" s="13"/>
      <c r="AE201" s="13"/>
      <c r="AF201" s="13"/>
      <c r="AG201" s="13"/>
      <c r="AH201" s="13"/>
      <c r="AI201" s="13"/>
      <c r="AJ201" s="13"/>
      <c r="AK201" s="13"/>
      <c r="AL201" s="13"/>
      <c r="AM201" s="13"/>
      <c r="AN201" s="13"/>
      <c r="AO201" s="13" t="str">
        <f ca="1">IFERROR(IF(INDEX('Coverage Indicators - Section D'!AD$1:AD$110,MATCH('Print View'!$A201,'Coverage Indicators - Section D'!$A$1:$A$110,0))&lt;&gt;0,INDEX('Coverage Indicators - Section D'!AD$1:AD$110,MATCH('Print View'!$A201,'Coverage Indicators - Section D'!$A$1:$A$110,0)),""),"")</f>
        <v/>
      </c>
      <c r="AP201" s="13"/>
      <c r="AQ201" s="13"/>
      <c r="AR201" s="13"/>
      <c r="AS201" s="13"/>
      <c r="AT201" s="577" t="str">
        <f ca="1">CONCATENATE($A201,N$147)</f>
        <v>2731-Dec-25</v>
      </c>
      <c r="AU201" s="575" t="str">
        <f ca="1">CONCATENATE($A201,Q$147)</f>
        <v>2731-Dec-28</v>
      </c>
      <c r="AV201" s="575" t="str">
        <f>CONCATENATE($A201,V$147)</f>
        <v>27</v>
      </c>
      <c r="AW201" s="575" t="str">
        <f>CONCATENATE($A201,Y$147)</f>
        <v>27</v>
      </c>
      <c r="AX201" s="575" t="str">
        <f>CONCATENATE($A201,AB$147)</f>
        <v>27</v>
      </c>
      <c r="AY201" s="575" t="str">
        <f>CONCATENATE($A201,AE$147)</f>
        <v>27</v>
      </c>
      <c r="AZ201" s="575" t="str">
        <f>CONCATENATE($A201,AH$147)</f>
        <v>27</v>
      </c>
      <c r="BA201" s="575" t="str">
        <f>CONCATENATE($A201,AK$147)</f>
        <v>27</v>
      </c>
      <c r="BB201" s="96"/>
      <c r="BC201" s="97"/>
    </row>
    <row r="202" spans="1:55" s="16" customFormat="1" ht="88.35" customHeight="1">
      <c r="A202" s="608"/>
      <c r="B202" s="646" t="str">
        <f ca="1">IFERROR(IF(INDEX('Coverage Indicators - Section D'!AM$1:AM$110,MATCH('Print View'!$A201,'Coverage Indicators - Section D'!$A$1:$A$110,0))&lt;&gt;0,INDEX('Coverage Indicators - Section D'!AM$1:AM$110,MATCH('Print View'!$A201,'Coverage Indicators - Section D'!$A$1:$A$110,0)),""),"")</f>
        <v/>
      </c>
      <c r="C202" s="647"/>
      <c r="D202" s="647"/>
      <c r="E202" s="647"/>
      <c r="F202" s="647"/>
      <c r="G202" s="647"/>
      <c r="H202" s="647"/>
      <c r="I202" s="647"/>
      <c r="J202" s="647"/>
      <c r="K202" s="647"/>
      <c r="L202" s="647"/>
      <c r="M202" s="647"/>
      <c r="N202" s="647"/>
      <c r="O202" s="647"/>
      <c r="P202" s="647"/>
      <c r="Q202" s="647"/>
      <c r="R202" s="647"/>
      <c r="S202" s="648"/>
      <c r="T202" s="92"/>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577"/>
      <c r="AU202" s="575"/>
      <c r="AV202" s="575"/>
      <c r="AW202" s="575"/>
      <c r="AX202" s="575"/>
      <c r="AY202" s="575"/>
      <c r="AZ202" s="575"/>
      <c r="BA202" s="575"/>
      <c r="BB202" s="96"/>
      <c r="BC202" s="97"/>
    </row>
    <row r="203" spans="1:55" s="16" customFormat="1" ht="177" customHeight="1">
      <c r="A203" s="609">
        <v>28</v>
      </c>
      <c r="B203" s="83" t="str">
        <f ca="1">IFERROR(IF(INDEX('Coverage Indicators - Section D'!B$1:B$100,MATCH('Print View'!$A203,'Coverage Indicators - Section D'!$A$1:$A$100,0))&lt;&gt;0,INDEX('Coverage Indicators - Section D'!B$1:B$100,MATCH('Print View'!$A203,'Coverage Indicators - Section D'!$A$1:$A$100,0)),""),"")</f>
        <v/>
      </c>
      <c r="C203" s="83" t="str">
        <f ca="1">IFERROR(IF(INDEX('Coverage Indicators - Section D'!D$1:D$100,MATCH('Print View'!$A203,'Coverage Indicators - Section D'!$A$1:$A$100,0))&lt;&gt;0,INDEX('Coverage Indicators - Section D'!D$1:D$100,MATCH('Print View'!$A203,'Coverage Indicators - Section D'!$A$1:$A$100,0)),""),"")</f>
        <v/>
      </c>
      <c r="D203" s="83" t="str">
        <f ca="1">IFERROR(IF(INDEX('Coverage Indicators - Section D'!E$1:E$100,MATCH('Print View'!$A203,'Coverage Indicators - Section D'!$A$1:$A$100,0))&lt;&gt;0,INDEX('Coverage Indicators - Section D'!E$1:E$100,MATCH('Print View'!$A203,'Coverage Indicators - Section D'!$A$1:$A$100,0)),""),"")</f>
        <v/>
      </c>
      <c r="E203" s="45" t="str">
        <f ca="1">IFERROR(IF(INDEX('Coverage Indicators - Section D'!F$1:F$100,MATCH('Print View'!$A203,'Coverage Indicators - Section D'!$A$1:$A$100,0))&lt;&gt;"",INDEX('Coverage Indicators - Section D'!F$1:F$100,MATCH('Print View'!$A203,'Coverage Indicators - Section D'!$A$1:$A$100,0)),""),"")&amp;"/"&amp;IFERROR(IF(INDEX('Coverage Indicators - Section D'!F$1:F$100,MATCH('Print View'!$A203,'Coverage Indicators - Section D'!$A$1:$A$100,0)+1)&lt;&gt;"",INDEX('Coverage Indicators - Section D'!F$1:F$100,MATCH('Print View'!$A203,'Coverage Indicators - Section D'!$A$1:$A$100,0)+1),""),"")&amp;CHAR(10)&amp;IFERROR(IF(INDEX('Coverage Indicators - Section D'!G$1:G$100,MATCH('Print View'!$A203,'Coverage Indicators - Section D'!$A$1:$A$100,0))&lt;&gt;"",FIXED(INDEX('Coverage Indicators - Section D'!G$1:G$100,MATCH('Print View'!$A203,'Coverage Indicators - Section D'!$A$1:$A$100,0))*100,2)&amp;"%",""),"")</f>
        <v xml:space="preserve">/
</v>
      </c>
      <c r="F203" s="84" t="str">
        <f ca="1">IFERROR(IF(INDEX('Coverage Indicators - Section D'!H$1:H$100,MATCH('Print View'!$A203,'Coverage Indicators - Section D'!$A$1:$A$100,0))&lt;&gt;0,INDEX('Coverage Indicators - Section D'!H$1:H$100,MATCH('Print View'!$A203,'Coverage Indicators - Section D'!$A$1:$A$100,0)),""),"")&amp;CHAR(10)&amp;IFERROR(IF(INDEX('Coverage Indicators - Section D'!I$1:I$100,MATCH('Print View'!$A203,'Coverage Indicators - Section D'!$A$1:$A$100,0))&lt;&gt;0,INDEX('Coverage Indicators - Section D'!I$1:I$100,MATCH('Print View'!$A203,'Coverage Indicators - Section D'!$A$1:$A$100,0)),""),"")</f>
        <v xml:space="preserve">
</v>
      </c>
      <c r="G203" s="85" t="str">
        <f ca="1">IFERROR(IF(INDEX('Coverage Indicators - Section D'!J61:J90,MATCH('Print View'!$A203,'Coverage Indicators - Section D'!$A$9:$A$38,0))&lt;&gt;0,INDEX('Coverage Indicators - Section D'!J61:J90,MATCH('Print View'!$A203,'Coverage Indicators - Section D'!$A$9:$A$38,0)),""),"")</f>
        <v/>
      </c>
      <c r="H203" s="84" t="str">
        <f ca="1">IFERROR(IF(INDEX('Coverage Indicators - Section D'!K$1:K$100,MATCH('Print View'!$A203,'Coverage Indicators - Section D'!$A$1:$A$100,0))&lt;&gt;0,INDEX('Coverage Indicators - Section D'!K$1:K$100,MATCH('Print View'!$A203,'Coverage Indicators - Section D'!$A$1:$A$100,0)),""),"")</f>
        <v/>
      </c>
      <c r="I203" s="85" t="str">
        <f ca="1">IFERROR(IF(AND('Overview - Section A'!AN$5="Grant Making",OR(C203&lt;&gt;"",D203&lt;&gt;"")),Setup!I15,IF(INDEX('Coverage Indicators - Section D'!L$1:L$100,MATCH('Print View'!$A203,'Coverage Indicators - Section D'!$A$1:$A$100,0))&lt;&gt;0,INDEX('Coverage Indicators - Section D'!L$1:L$100,MATCH('Print View'!$A203,'Coverage Indicators - Section D'!$A$1:$A$100,0)),"")),"")</f>
        <v/>
      </c>
      <c r="J203" s="84" t="str">
        <f ca="1">IFERROR(IF(INDEX('Coverage Indicators - Section D'!M$1:M$100,MATCH('Print View'!$A203,'Coverage Indicators - Section D'!$A$1:$A$100,0))&lt;&gt;0,INDEX('Coverage Indicators - Section D'!M$1:M$100,MATCH('Print View'!$A203,'Coverage Indicators - Section D'!$A$1:$A$100,0)),""),"")&amp;CHAR(10)&amp;IFERROR(IF(INDEX('Coverage Indicators - Section D'!M$1:M$100,MATCH('Print View'!$A203,'Coverage Indicators - Section D'!$A$1:$A$100,0)+1)&lt;&gt;0,INDEX('Coverage Indicators - Section D'!M$1:M$100,MATCH('Print View'!$A203,'Coverage Indicators - Section D'!$A$1:$A$100,0)+1),""),"")</f>
        <v xml:space="preserve">
</v>
      </c>
      <c r="K203" s="84" t="str">
        <f ca="1">IFERROR(IF(INDEX('Coverage Indicators - Section D'!N$1:N$100,MATCH('Print View'!$A203,'Coverage Indicators - Section D'!$A$1:$A$100,0))&lt;&gt;0,INDEX('Coverage Indicators - Section D'!N$1:N$100,MATCH('Print View'!$A203,'Coverage Indicators - Section D'!$A$1:$A$100,0)),""),"")</f>
        <v/>
      </c>
      <c r="L203" s="88" t="str">
        <f ca="1">IFERROR(IF(INDEX('Coverage Indicators - Section D'!O$1:O$100,MATCH('Print View'!$A203,'Coverage Indicators - Section D'!$A$1:$A$100,0))&lt;&gt;"",INDEX('Coverage Indicators - Section D'!O$1:O$100,MATCH('Print View'!$A203,'Coverage Indicators - Section D'!$A$1:$A$100,0)),""),"")&amp;"/"&amp;IFERROR(IF(INDEX('Coverage Indicators - Section D'!O$1:O$100,MATCH('Print View'!$A203,'Coverage Indicators - Section D'!$A$1:$A$100,0)+1)&lt;&gt;"",INDEX('Coverage Indicators - Section D'!O$1:O$100,MATCH('Print View'!$A203,'Coverage Indicators - Section D'!$A$1:$A$100,0)+1),""),"")&amp;CHAR(10)&amp;IFERROR(IF(INDEX('Coverage Indicators - Section D'!P$1:P$100,MATCH('Print View'!$A203,'Coverage Indicators - Section D'!$A$1:$A$100,0))&lt;&gt;"",FIXED(INDEX('Coverage Indicators - Section D'!P$1:P$100,MATCH('Print View'!$A203,'Coverage Indicators - Section D'!$A$1:$A$100,0))*100,2)&amp;"%",""),"")&amp;CHAR(10)&amp;IFERROR(IF(INDEX('Coverage Indicators - Section D'!Q$1:Q$100,MATCH('Print View'!$A203,'Coverage Indicators - Section D'!$A$1:$A$100,0))&lt;&gt;"",INDEX('Coverage Indicators - Section D'!Q$1:Q$100,MATCH('Print View'!$A203,'Coverage Indicators - Section D'!$A$1:$A$100,0)),""),"")</f>
        <v xml:space="preserve">/
</v>
      </c>
      <c r="M203" s="88" t="str">
        <f ca="1">IFERROR(IF(INDEX('Coverage Indicators - Section D'!R$1:R$100,MATCH('Print View'!$A203,'Coverage Indicators - Section D'!$A$1:$A$100,0))&lt;&gt;"",INDEX('Coverage Indicators - Section D'!R$1:R$100,MATCH('Print View'!$A203,'Coverage Indicators - Section D'!$A$1:$A$100,0)),""),"")&amp;"/"&amp;IFERROR(IF(INDEX('Coverage Indicators - Section D'!R$1:R$100,MATCH('Print View'!$A203,'Coverage Indicators - Section D'!$A$1:$A$100,0)+1)&lt;&gt;"",INDEX('Coverage Indicators - Section D'!R$1:R$100,MATCH('Print View'!$A203,'Coverage Indicators - Section D'!$A$1:$A$100,0)+1),""),"")&amp;CHAR(10)&amp;IFERROR(IF(INDEX('Coverage Indicators - Section D'!S$1:S$100,MATCH('Print View'!$A203,'Coverage Indicators - Section D'!$A$1:$A$100,0))&lt;&gt;"",FIXED(INDEX('Coverage Indicators - Section D'!S$1:S$100,MATCH('Print View'!$A203,'Coverage Indicators - Section D'!$A$1:$A$100,0))*100,2)&amp;"%",""),"")&amp;CHAR(10)&amp;IFERROR(IF(INDEX('Coverage Indicators - Section D'!T$1:T$100,MATCH('Print View'!$A203,'Coverage Indicators - Section D'!$A$1:$A$100,0))&lt;&gt;"",INDEX('Coverage Indicators - Section D'!T$1:T$100,MATCH('Print View'!$A203,'Coverage Indicators - Section D'!$A$1:$A$100,0)),""),"")</f>
        <v xml:space="preserve">/
</v>
      </c>
      <c r="N203" s="88" t="str">
        <f ca="1">IFERROR(IF(INDEX('Coverage Indicators - Section D'!U$1:U$100,MATCH('Print View'!$A203,'Coverage Indicators - Section D'!$A$1:$A$100,0))&lt;&gt;"",INDEX('Coverage Indicators - Section D'!U$1:U$100,MATCH('Print View'!$A203,'Coverage Indicators - Section D'!$A$1:$A$100,0)),""),"")&amp;"/"&amp;IFERROR(IF(INDEX('Coverage Indicators - Section D'!U$1:U$100,MATCH('Print View'!$A203,'Coverage Indicators - Section D'!$A$1:$A$100,0)+1)&lt;&gt;"",INDEX('Coverage Indicators - Section D'!U$1:U$100,MATCH('Print View'!$A203,'Coverage Indicators - Section D'!$A$1:$A$100,0)+1),""),"")&amp;CHAR(10)&amp;IFERROR(IF(INDEX('Coverage Indicators - Section D'!V$1:V$100,MATCH('Print View'!$A203,'Coverage Indicators - Section D'!$A$1:$A$100,0))&lt;&gt;"",FIXED(INDEX('Coverage Indicators - Section D'!V$1:V$100,MATCH('Print View'!$A203,'Coverage Indicators - Section D'!$A$1:$A$100,0))*100,2)&amp;"%",""),"")&amp;CHAR(10)&amp;IFERROR(IF(INDEX('Coverage Indicators - Section D'!W$1:W$100,MATCH('Print View'!$A203,'Coverage Indicators - Section D'!$A$1:$A$100,0))&lt;&gt;"",INDEX('Coverage Indicators - Section D'!W$1:W$100,MATCH('Print View'!$A203,'Coverage Indicators - Section D'!$A$1:$A$100,0)),""),"")</f>
        <v xml:space="preserve">/
</v>
      </c>
      <c r="O203" s="88" t="str">
        <f ca="1">IFERROR(IF(INDEX('Coverage Indicators - Section D'!X$1:X$100,MATCH('Print View'!$A203,'Coverage Indicators - Section D'!$A$1:$A$100,0))&lt;&gt;"",INDEX('Coverage Indicators - Section D'!X$1:X$100,MATCH('Print View'!$A203,'Coverage Indicators - Section D'!$A$1:$A$100,0)),""),"")&amp;"/"&amp;IFERROR(IF(INDEX('Coverage Indicators - Section D'!X$1:X$100,MATCH('Print View'!$A203,'Coverage Indicators - Section D'!$A$1:$A$100,0)+1)&lt;&gt;"",INDEX('Coverage Indicators - Section D'!X$1:X$100,MATCH('Print View'!$A203,'Coverage Indicators - Section D'!$A$1:$A$100,0)+1),""),"")&amp;CHAR(10)&amp;IFERROR(IF(INDEX('Coverage Indicators - Section D'!Y$1:Y$100,MATCH('Print View'!$A203,'Coverage Indicators - Section D'!$A$1:$A$100,0))&lt;&gt;"",FIXED(INDEX('Coverage Indicators - Section D'!Y$1:Y$100,MATCH('Print View'!$A203,'Coverage Indicators - Section D'!$A$1:$A$100,0))*100,2)&amp;"%",""),"")&amp;CHAR(10)&amp;IFERROR(IF(INDEX('Coverage Indicators - Section D'!Z$1:Z$100,MATCH('Print View'!$A203,'Coverage Indicators - Section D'!$A$1:$A$100,0))&lt;&gt;"",INDEX('Coverage Indicators - Section D'!Z$1:Z$100,MATCH('Print View'!$A203,'Coverage Indicators - Section D'!$A$1:$A$100,0)),""),"")</f>
        <v xml:space="preserve">/
</v>
      </c>
      <c r="P203" s="88" t="str">
        <f ca="1">IFERROR(IF(INDEX('Coverage Indicators - Section D'!AA$1:AA$100,MATCH('Print View'!$A203,'Coverage Indicators - Section D'!$A$1:$A$100,0))&lt;&gt;"",INDEX('Coverage Indicators - Section D'!AA$1:AA$100,MATCH('Print View'!$A203,'Coverage Indicators - Section D'!$A$1:$A$100,0)),""),"")&amp;"/"&amp;IFERROR(IF(INDEX('Coverage Indicators - Section D'!AA$1:AA$100,MATCH('Print View'!$A203,'Coverage Indicators - Section D'!$A$1:$A$100,0)+1)&lt;&gt;"",INDEX('Coverage Indicators - Section D'!AA$1:AA$100,MATCH('Print View'!$A203,'Coverage Indicators - Section D'!$A$1:$A$100,0)+1),""),"")&amp;CHAR(10)&amp;IFERROR(IF(INDEX('Coverage Indicators - Section D'!AB$1:AB$100,MATCH('Print View'!$A203,'Coverage Indicators - Section D'!$A$1:$A$100,0))&lt;&gt;"",FIXED(INDEX('Coverage Indicators - Section D'!AB$1:AB$100,MATCH('Print View'!$A203,'Coverage Indicators - Section D'!$A$1:$A$100,0))*100,2)&amp;"%",""),"")&amp;CHAR(10)&amp;IFERROR(IF(INDEX('Coverage Indicators - Section D'!AC$1:AC$100,MATCH('Print View'!$A203,'Coverage Indicators - Section D'!$A$1:$A$100,0))&lt;&gt;"",INDEX('Coverage Indicators - Section D'!AC$1:AC$100,MATCH('Print View'!$A203,'Coverage Indicators - Section D'!$A$1:$A$100,0)),""),"")</f>
        <v xml:space="preserve">/
</v>
      </c>
      <c r="Q203" s="88" t="str">
        <f ca="1">IFERROR(IF(INDEX('Coverage Indicators - Section D'!AD$1:AD$100,MATCH('Print View'!$A203,'Coverage Indicators - Section D'!$A$1:$A$100,0))&lt;&gt;"",INDEX('Coverage Indicators - Section D'!AD$1:AD$100,MATCH('Print View'!$A203,'Coverage Indicators - Section D'!$A$1:$A$100,0)),""),"")&amp;"/"&amp;IFERROR(IF(INDEX('Coverage Indicators - Section D'!AD$1:AD$100,MATCH('Print View'!$A203,'Coverage Indicators - Section D'!$A$1:$A$100,0)+1)&lt;&gt;"",INDEX('Coverage Indicators - Section D'!AD$1:AD$100,MATCH('Print View'!$A203,'Coverage Indicators - Section D'!$A$1:$A$100,0)+1),""),"")&amp;CHAR(10)&amp;IFERROR(IF(INDEX('Coverage Indicators - Section D'!AE$1:AE$100,MATCH('Print View'!$A203,'Coverage Indicators - Section D'!$A$1:$A$100,0))&lt;&gt;"",FIXED(INDEX('Coverage Indicators - Section D'!AE$1:AE$100,MATCH('Print View'!$A203,'Coverage Indicators - Section D'!$A$1:$A$100,0))*100,2)&amp;"%",""),"")&amp;CHAR(10)&amp;IFERROR(IF(INDEX('Coverage Indicators - Section D'!AF$1:AF$100,MATCH('Print View'!$A203,'Coverage Indicators - Section D'!$A$1:$A$100,0))&lt;&gt;"",INDEX('Coverage Indicators - Section D'!AF$1:AF$100,MATCH('Print View'!$A203,'Coverage Indicators - Section D'!$A$1:$A$100,0)),""),"")</f>
        <v xml:space="preserve">/
</v>
      </c>
      <c r="R203" s="88" t="str">
        <f ca="1">IFERROR(IF(INDEX('Coverage Indicators - Section D'!AG$1:AG$100,MATCH('Print View'!$A203,'Coverage Indicators - Section D'!$A$1:$A$100,0))&lt;&gt;"",INDEX('Coverage Indicators - Section D'!AG$1:AG$100,MATCH('Print View'!$A203,'Coverage Indicators - Section D'!$A$1:$A$100,0)),""),"")&amp;"/"&amp;IFERROR(IF(INDEX('Coverage Indicators - Section D'!AG$1:AG$100,MATCH('Print View'!$A203,'Coverage Indicators - Section D'!$A$1:$A$100,0)+1)&lt;&gt;"",INDEX('Coverage Indicators - Section D'!AG$1:AG$100,MATCH('Print View'!$A203,'Coverage Indicators - Section D'!$A$1:$A$100,0)+1),""),"")&amp;CHAR(10)&amp;IFERROR(IF(INDEX('Coverage Indicators - Section D'!AH$1:AH$100,MATCH('Print View'!$A203,'Coverage Indicators - Section D'!$A$1:$A$100,0))&lt;&gt;"",FIXED(INDEX('Coverage Indicators - Section D'!AH$1:AH$100,MATCH('Print View'!$A203,'Coverage Indicators - Section D'!$A$1:$A$100,0))*100,2)&amp;"%",""),"")&amp;CHAR(10)&amp;IFERROR(IF(INDEX('Coverage Indicators - Section D'!AI$1:AI$100,MATCH('Print View'!$A203,'Coverage Indicators - Section D'!$A$1:$A$100,0))&lt;&gt;"",INDEX('Coverage Indicators - Section D'!AI$1:AI$100,MATCH('Print View'!$A203,'Coverage Indicators - Section D'!$A$1:$A$100,0)),""),"")</f>
        <v xml:space="preserve">/
</v>
      </c>
      <c r="S203" s="88" t="str">
        <f ca="1">IFERROR(IF(INDEX('Coverage Indicators - Section D'!AJ$1:AJ$100,MATCH('Print View'!$A203,'Coverage Indicators - Section D'!$A$1:$A$100,0))&lt;&gt;"",INDEX('Coverage Indicators - Section D'!AJ$1:AJ$100,MATCH('Print View'!$A203,'Coverage Indicators - Section D'!$A$1:$A$100,0)),""),"")&amp;"/"&amp;IFERROR(IF(INDEX('Coverage Indicators - Section D'!AJ$1:AJ$100,MATCH('Print View'!$A203,'Coverage Indicators - Section D'!$A$1:$A$100,0)+1)&lt;&gt;"",INDEX('Coverage Indicators - Section D'!AJ$1:AJ$100,MATCH('Print View'!$A203,'Coverage Indicators - Section D'!$A$1:$A$100,0)+1),""),"")&amp;CHAR(10)&amp;IFERROR(IF(INDEX('Coverage Indicators - Section D'!AK$1:AK$100,MATCH('Print View'!$A203,'Coverage Indicators - Section D'!$A$1:$A$100,0))&lt;&gt;"",FIXED(INDEX('Coverage Indicators - Section D'!AK$1:AK$100,MATCH('Print View'!$A203,'Coverage Indicators - Section D'!$A$1:$A$100,0))*100,2)&amp;"%",""),"")&amp;CHAR(10)&amp;IFERROR(IF(INDEX('Coverage Indicators - Section D'!AL$1:AL$100,MATCH('Print View'!$A203,'Coverage Indicators - Section D'!$A$1:$A$100,0))&lt;&gt;"",INDEX('Coverage Indicators - Section D'!AL$1:AL$100,MATCH('Print View'!$A203,'Coverage Indicators - Section D'!$A$1:$A$100,0)),""),"")</f>
        <v xml:space="preserve">/
</v>
      </c>
      <c r="T203" s="93"/>
      <c r="U203" s="13"/>
      <c r="V203" s="13"/>
      <c r="W203" s="13"/>
      <c r="X203" s="13"/>
      <c r="Y203" s="13"/>
      <c r="Z203" s="13"/>
      <c r="AA203" s="13"/>
      <c r="AB203" s="13"/>
      <c r="AC203" s="13"/>
      <c r="AD203" s="13"/>
      <c r="AE203" s="13"/>
      <c r="AF203" s="13"/>
      <c r="AG203" s="13"/>
      <c r="AH203" s="13"/>
      <c r="AI203" s="13"/>
      <c r="AJ203" s="13"/>
      <c r="AK203" s="13"/>
      <c r="AL203" s="13"/>
      <c r="AM203" s="13"/>
      <c r="AN203" s="13"/>
      <c r="AO203" s="13" t="str">
        <f ca="1">IFERROR(IF(INDEX('Coverage Indicators - Section D'!AD$1:AD$110,MATCH('Print View'!$A203,'Coverage Indicators - Section D'!$A$1:$A$110,0))&lt;&gt;0,INDEX('Coverage Indicators - Section D'!AD$1:AD$110,MATCH('Print View'!$A203,'Coverage Indicators - Section D'!$A$1:$A$110,0)),""),"")</f>
        <v/>
      </c>
      <c r="AP203" s="13"/>
      <c r="AQ203" s="13"/>
      <c r="AR203" s="13"/>
      <c r="AS203" s="13"/>
      <c r="AT203" s="577" t="str">
        <f ca="1">CONCATENATE($A203,N$147)</f>
        <v>2831-Dec-25</v>
      </c>
      <c r="AU203" s="575" t="str">
        <f ca="1">CONCATENATE($A203,Q$147)</f>
        <v>2831-Dec-28</v>
      </c>
      <c r="AV203" s="575" t="str">
        <f>CONCATENATE($A203,V$147)</f>
        <v>28</v>
      </c>
      <c r="AW203" s="575" t="str">
        <f>CONCATENATE($A203,Y$147)</f>
        <v>28</v>
      </c>
      <c r="AX203" s="575" t="str">
        <f>CONCATENATE($A203,AB$147)</f>
        <v>28</v>
      </c>
      <c r="AY203" s="575" t="str">
        <f>CONCATENATE($A203,AE$147)</f>
        <v>28</v>
      </c>
      <c r="AZ203" s="575" t="str">
        <f>CONCATENATE($A203,AH$147)</f>
        <v>28</v>
      </c>
      <c r="BA203" s="575" t="str">
        <f>CONCATENATE($A203,AK$147)</f>
        <v>28</v>
      </c>
      <c r="BB203" s="96"/>
      <c r="BC203" s="97"/>
    </row>
    <row r="204" spans="1:55" s="16" customFormat="1" ht="88.35" customHeight="1">
      <c r="A204" s="609"/>
      <c r="B204" s="630" t="str">
        <f ca="1">IFERROR(IF(INDEX('Coverage Indicators - Section D'!AM$1:AM$110,MATCH('Print View'!$A203,'Coverage Indicators - Section D'!$A$1:$A$110,0))&lt;&gt;0,INDEX('Coverage Indicators - Section D'!AM$1:AM$110,MATCH('Print View'!$A203,'Coverage Indicators - Section D'!$A$1:$A$110,0)),""),"")</f>
        <v/>
      </c>
      <c r="C204" s="631"/>
      <c r="D204" s="631"/>
      <c r="E204" s="631"/>
      <c r="F204" s="631"/>
      <c r="G204" s="631"/>
      <c r="H204" s="631"/>
      <c r="I204" s="632"/>
      <c r="J204" s="632"/>
      <c r="K204" s="632"/>
      <c r="L204" s="632"/>
      <c r="M204" s="632"/>
      <c r="N204" s="632"/>
      <c r="O204" s="632"/>
      <c r="P204" s="632"/>
      <c r="Q204" s="632"/>
      <c r="R204" s="632"/>
      <c r="S204" s="633"/>
      <c r="T204" s="94"/>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577"/>
      <c r="AU204" s="575"/>
      <c r="AV204" s="575"/>
      <c r="AW204" s="575"/>
      <c r="AX204" s="575"/>
      <c r="AY204" s="575"/>
      <c r="AZ204" s="575"/>
      <c r="BA204" s="575"/>
      <c r="BB204" s="96"/>
      <c r="BC204" s="97"/>
    </row>
    <row r="205" spans="1:55" s="16" customFormat="1" ht="177" customHeight="1">
      <c r="A205" s="608">
        <v>29</v>
      </c>
      <c r="B205" s="80" t="str">
        <f ca="1">IFERROR(IF(INDEX('Coverage Indicators - Section D'!B$1:B$100,MATCH('Print View'!$A205,'Coverage Indicators - Section D'!$A$1:$A$100,0))&lt;&gt;0,INDEX('Coverage Indicators - Section D'!B$1:B$100,MATCH('Print View'!$A205,'Coverage Indicators - Section D'!$A$1:$A$100,0)),""),"")</f>
        <v/>
      </c>
      <c r="C205" s="80" t="str">
        <f ca="1">IFERROR(IF(INDEX('Coverage Indicators - Section D'!D$1:D$100,MATCH('Print View'!$A205,'Coverage Indicators - Section D'!$A$1:$A$100,0))&lt;&gt;0,INDEX('Coverage Indicators - Section D'!D$1:D$100,MATCH('Print View'!$A205,'Coverage Indicators - Section D'!$A$1:$A$100,0)),""),"")</f>
        <v/>
      </c>
      <c r="D205" s="80" t="str">
        <f ca="1">IFERROR(IF(INDEX('Coverage Indicators - Section D'!E$1:E$100,MATCH('Print View'!$A205,'Coverage Indicators - Section D'!$A$1:$A$100,0))&lt;&gt;0,INDEX('Coverage Indicators - Section D'!E$1:E$100,MATCH('Print View'!$A205,'Coverage Indicators - Section D'!$A$1:$A$100,0)),""),"")</f>
        <v/>
      </c>
      <c r="E205" s="81" t="str">
        <f ca="1">IFERROR(IF(INDEX('Coverage Indicators - Section D'!F$1:F$100,MATCH('Print View'!$A205,'Coverage Indicators - Section D'!$A$1:$A$100,0))&lt;&gt;"",INDEX('Coverage Indicators - Section D'!F$1:F$100,MATCH('Print View'!$A205,'Coverage Indicators - Section D'!$A$1:$A$100,0)),""),"")&amp;"/"&amp;IFERROR(IF(INDEX('Coverage Indicators - Section D'!F$1:F$100,MATCH('Print View'!$A205,'Coverage Indicators - Section D'!$A$1:$A$100,0)+1)&lt;&gt;"",INDEX('Coverage Indicators - Section D'!F$1:F$100,MATCH('Print View'!$A205,'Coverage Indicators - Section D'!$A$1:$A$100,0)+1),""),"")&amp;CHAR(10)&amp;IFERROR(IF(INDEX('Coverage Indicators - Section D'!G$1:G$100,MATCH('Print View'!$A205,'Coverage Indicators - Section D'!$A$1:$A$100,0))&lt;&gt;"",FIXED(INDEX('Coverage Indicators - Section D'!G$1:G$100,MATCH('Print View'!$A205,'Coverage Indicators - Section D'!$A$1:$A$100,0))*100,2)&amp;"%",""),"")</f>
        <v xml:space="preserve">/
</v>
      </c>
      <c r="F205" s="82" t="str">
        <f ca="1">IFERROR(IF(INDEX('Coverage Indicators - Section D'!H$1:H$100,MATCH('Print View'!$A205,'Coverage Indicators - Section D'!$A$1:$A$100,0))&lt;&gt;0,INDEX('Coverage Indicators - Section D'!H$1:H$100,MATCH('Print View'!$A205,'Coverage Indicators - Section D'!$A$1:$A$100,0)),""),"")&amp;CHAR(10)&amp;IFERROR(IF(INDEX('Coverage Indicators - Section D'!I$1:I$100,MATCH('Print View'!$A205,'Coverage Indicators - Section D'!$A$1:$A$100,0))&lt;&gt;0,INDEX('Coverage Indicators - Section D'!I$1:I$100,MATCH('Print View'!$A205,'Coverage Indicators - Section D'!$A$1:$A$100,0)),""),"")</f>
        <v xml:space="preserve">
</v>
      </c>
      <c r="G205" s="41" t="str">
        <f ca="1">IFERROR(IF(INDEX('Coverage Indicators - Section D'!J65:J94,MATCH('Print View'!$A205,'Coverage Indicators - Section D'!$A$9:$A$38,0))&lt;&gt;0,INDEX('Coverage Indicators - Section D'!J65:J94,MATCH('Print View'!$A205,'Coverage Indicators - Section D'!$A$9:$A$38,0)),""),"")</f>
        <v/>
      </c>
      <c r="H205" s="42" t="str">
        <f ca="1">IFERROR(IF(INDEX('Coverage Indicators - Section D'!K$1:K$100,MATCH('Print View'!$A205,'Coverage Indicators - Section D'!$A$1:$A$100,0))&lt;&gt;0,INDEX('Coverage Indicators - Section D'!K$1:K$100,MATCH('Print View'!$A205,'Coverage Indicators - Section D'!$A$1:$A$100,0)),""),"")</f>
        <v/>
      </c>
      <c r="I205" s="41" t="str">
        <f ca="1">IFERROR(IF(AND('Overview - Section A'!AN$5="Grant Making",OR(C205&lt;&gt;"",D205&lt;&gt;"")),Setup!I15,IF(INDEX('Coverage Indicators - Section D'!L$1:L$100,MATCH('Print View'!$A205,'Coverage Indicators - Section D'!$A$1:$A$100,0))&lt;&gt;0,INDEX('Coverage Indicators - Section D'!L$1:L$100,MATCH('Print View'!$A205,'Coverage Indicators - Section D'!$A$1:$A$100,0)),"")),"")</f>
        <v/>
      </c>
      <c r="J205" s="81" t="str">
        <f ca="1">IFERROR(IF(INDEX('Coverage Indicators - Section D'!M$1:M$100,MATCH('Print View'!$A205,'Coverage Indicators - Section D'!$A$1:$A$100,0))&lt;&gt;0,INDEX('Coverage Indicators - Section D'!M$1:M$100,MATCH('Print View'!$A205,'Coverage Indicators - Section D'!$A$1:$A$100,0)),""),"")&amp;CHAR(10)&amp;IFERROR(IF(INDEX('Coverage Indicators - Section D'!M$1:M$100,MATCH('Print View'!$A205,'Coverage Indicators - Section D'!$A$1:$A$100,0)+1)&lt;&gt;0,INDEX('Coverage Indicators - Section D'!M$1:M$100,MATCH('Print View'!$A205,'Coverage Indicators - Section D'!$A$1:$A$100,0)+1),""),"")</f>
        <v xml:space="preserve">
</v>
      </c>
      <c r="K205" s="81" t="str">
        <f ca="1">IFERROR(IF(INDEX('Coverage Indicators - Section D'!N$1:N$100,MATCH('Print View'!$A205,'Coverage Indicators - Section D'!$A$1:$A$100,0))&lt;&gt;0,INDEX('Coverage Indicators - Section D'!N$1:N$100,MATCH('Print View'!$A205,'Coverage Indicators - Section D'!$A$1:$A$100,0)),""),"")</f>
        <v/>
      </c>
      <c r="L205" s="81" t="str">
        <f ca="1">IFERROR(IF(INDEX('Coverage Indicators - Section D'!O$1:O$100,MATCH('Print View'!$A205,'Coverage Indicators - Section D'!$A$1:$A$100,0))&lt;&gt;"",INDEX('Coverage Indicators - Section D'!O$1:O$100,MATCH('Print View'!$A205,'Coverage Indicators - Section D'!$A$1:$A$100,0)),""),"")&amp;"/"&amp;IFERROR(IF(INDEX('Coverage Indicators - Section D'!O$1:O$100,MATCH('Print View'!$A205,'Coverage Indicators - Section D'!$A$1:$A$100,0)+1)&lt;&gt;"",INDEX('Coverage Indicators - Section D'!O$1:O$100,MATCH('Print View'!$A205,'Coverage Indicators - Section D'!$A$1:$A$100,0)+1),""),"")&amp;CHAR(10)&amp;IFERROR(IF(INDEX('Coverage Indicators - Section D'!P$1:P$100,MATCH('Print View'!$A205,'Coverage Indicators - Section D'!$A$1:$A$100,0))&lt;&gt;"",FIXED(INDEX('Coverage Indicators - Section D'!P$1:P$100,MATCH('Print View'!$A205,'Coverage Indicators - Section D'!$A$1:$A$100,0))*100,2)&amp;"%",""),"")&amp;CHAR(10)&amp;IFERROR(IF(INDEX('Coverage Indicators - Section D'!Q$1:Q$100,MATCH('Print View'!$A205,'Coverage Indicators - Section D'!$A$1:$A$100,0))&lt;&gt;"",INDEX('Coverage Indicators - Section D'!Q$1:Q$100,MATCH('Print View'!$A205,'Coverage Indicators - Section D'!$A$1:$A$100,0)),""),"")</f>
        <v xml:space="preserve">/
</v>
      </c>
      <c r="M205" s="82" t="str">
        <f ca="1">IFERROR(IF(INDEX('Coverage Indicators - Section D'!R$1:R$100,MATCH('Print View'!$A205,'Coverage Indicators - Section D'!$A$1:$A$100,0))&lt;&gt;"",INDEX('Coverage Indicators - Section D'!R$1:R$100,MATCH('Print View'!$A205,'Coverage Indicators - Section D'!$A$1:$A$100,0)),""),"")&amp;"/"&amp;IFERROR(IF(INDEX('Coverage Indicators - Section D'!R$1:R$100,MATCH('Print View'!$A205,'Coverage Indicators - Section D'!$A$1:$A$100,0)+1)&lt;&gt;"",INDEX('Coverage Indicators - Section D'!R$1:R$100,MATCH('Print View'!$A205,'Coverage Indicators - Section D'!$A$1:$A$100,0)+1),""),"")&amp;CHAR(10)&amp;IFERROR(IF(INDEX('Coverage Indicators - Section D'!S$1:S$100,MATCH('Print View'!$A205,'Coverage Indicators - Section D'!$A$1:$A$100,0))&lt;&gt;"",FIXED(INDEX('Coverage Indicators - Section D'!S$1:S$100,MATCH('Print View'!$A205,'Coverage Indicators - Section D'!$A$1:$A$100,0))*100,2)&amp;"%",""),"")&amp;CHAR(10)&amp;IFERROR(IF(INDEX('Coverage Indicators - Section D'!T$1:T$100,MATCH('Print View'!$A205,'Coverage Indicators - Section D'!$A$1:$A$100,0))&lt;&gt;"",INDEX('Coverage Indicators - Section D'!T$1:T$100,MATCH('Print View'!$A205,'Coverage Indicators - Section D'!$A$1:$A$100,0)),""),"")</f>
        <v xml:space="preserve">/
</v>
      </c>
      <c r="N205" s="81" t="str">
        <f ca="1">IFERROR(IF(INDEX('Coverage Indicators - Section D'!U$1:U$100,MATCH('Print View'!$A205,'Coverage Indicators - Section D'!$A$1:$A$100,0))&lt;&gt;"",INDEX('Coverage Indicators - Section D'!U$1:U$100,MATCH('Print View'!$A205,'Coverage Indicators - Section D'!$A$1:$A$100,0)),""),"")&amp;"/"&amp;IFERROR(IF(INDEX('Coverage Indicators - Section D'!U$1:U$100,MATCH('Print View'!$A205,'Coverage Indicators - Section D'!$A$1:$A$100,0)+1)&lt;&gt;"",INDEX('Coverage Indicators - Section D'!U$1:U$100,MATCH('Print View'!$A205,'Coverage Indicators - Section D'!$A$1:$A$100,0)+1),""),"")&amp;CHAR(10)&amp;IFERROR(IF(INDEX('Coverage Indicators - Section D'!V$1:V$100,MATCH('Print View'!$A205,'Coverage Indicators - Section D'!$A$1:$A$100,0))&lt;&gt;"",FIXED(INDEX('Coverage Indicators - Section D'!V$1:V$100,MATCH('Print View'!$A205,'Coverage Indicators - Section D'!$A$1:$A$100,0))*100,2)&amp;"%",""),"")&amp;CHAR(10)&amp;IFERROR(IF(INDEX('Coverage Indicators - Section D'!W$1:W$100,MATCH('Print View'!$A205,'Coverage Indicators - Section D'!$A$1:$A$100,0))&lt;&gt;"",INDEX('Coverage Indicators - Section D'!W$1:W$100,MATCH('Print View'!$A205,'Coverage Indicators - Section D'!$A$1:$A$100,0)),""),"")</f>
        <v xml:space="preserve">/
</v>
      </c>
      <c r="O205" s="82" t="str">
        <f ca="1">IFERROR(IF(INDEX('Coverage Indicators - Section D'!X$1:X$100,MATCH('Print View'!$A205,'Coverage Indicators - Section D'!$A$1:$A$100,0))&lt;&gt;"",INDEX('Coverage Indicators - Section D'!X$1:X$100,MATCH('Print View'!$A205,'Coverage Indicators - Section D'!$A$1:$A$100,0)),""),"")&amp;"/"&amp;IFERROR(IF(INDEX('Coverage Indicators - Section D'!X$1:X$100,MATCH('Print View'!$A205,'Coverage Indicators - Section D'!$A$1:$A$100,0)+1)&lt;&gt;"",INDEX('Coverage Indicators - Section D'!X$1:X$100,MATCH('Print View'!$A205,'Coverage Indicators - Section D'!$A$1:$A$100,0)+1),""),"")&amp;CHAR(10)&amp;IFERROR(IF(INDEX('Coverage Indicators - Section D'!Y$1:Y$100,MATCH('Print View'!$A205,'Coverage Indicators - Section D'!$A$1:$A$100,0))&lt;&gt;"",FIXED(INDEX('Coverage Indicators - Section D'!Y$1:Y$100,MATCH('Print View'!$A205,'Coverage Indicators - Section D'!$A$1:$A$100,0))*100,2)&amp;"%",""),"")&amp;CHAR(10)&amp;IFERROR(IF(INDEX('Coverage Indicators - Section D'!Z$1:Z$100,MATCH('Print View'!$A205,'Coverage Indicators - Section D'!$A$1:$A$100,0))&lt;&gt;"",INDEX('Coverage Indicators - Section D'!Z$1:Z$100,MATCH('Print View'!$A205,'Coverage Indicators - Section D'!$A$1:$A$100,0)),""),"")</f>
        <v xml:space="preserve">/
</v>
      </c>
      <c r="P205" s="82" t="str">
        <f ca="1">IFERROR(IF(INDEX('Coverage Indicators - Section D'!AA$1:AA$100,MATCH('Print View'!$A205,'Coverage Indicators - Section D'!$A$1:$A$100,0))&lt;&gt;"",INDEX('Coverage Indicators - Section D'!AA$1:AA$100,MATCH('Print View'!$A205,'Coverage Indicators - Section D'!$A$1:$A$100,0)),""),"")&amp;"/"&amp;IFERROR(IF(INDEX('Coverage Indicators - Section D'!AA$1:AA$100,MATCH('Print View'!$A205,'Coverage Indicators - Section D'!$A$1:$A$100,0)+1)&lt;&gt;"",INDEX('Coverage Indicators - Section D'!AA$1:AA$100,MATCH('Print View'!$A205,'Coverage Indicators - Section D'!$A$1:$A$100,0)+1),""),"")&amp;CHAR(10)&amp;IFERROR(IF(INDEX('Coverage Indicators - Section D'!AB$1:AB$100,MATCH('Print View'!$A205,'Coverage Indicators - Section D'!$A$1:$A$100,0))&lt;&gt;"",FIXED(INDEX('Coverage Indicators - Section D'!AB$1:AB$100,MATCH('Print View'!$A205,'Coverage Indicators - Section D'!$A$1:$A$100,0))*100,2)&amp;"%",""),"")&amp;CHAR(10)&amp;IFERROR(IF(INDEX('Coverage Indicators - Section D'!AC$1:AC$100,MATCH('Print View'!$A205,'Coverage Indicators - Section D'!$A$1:$A$100,0))&lt;&gt;"",INDEX('Coverage Indicators - Section D'!AC$1:AC$100,MATCH('Print View'!$A205,'Coverage Indicators - Section D'!$A$1:$A$100,0)),""),"")</f>
        <v xml:space="preserve">/
</v>
      </c>
      <c r="Q205" s="82" t="str">
        <f ca="1">IFERROR(IF(INDEX('Coverage Indicators - Section D'!AD$1:AD$100,MATCH('Print View'!$A205,'Coverage Indicators - Section D'!$A$1:$A$100,0))&lt;&gt;"",INDEX('Coverage Indicators - Section D'!AD$1:AD$100,MATCH('Print View'!$A205,'Coverage Indicators - Section D'!$A$1:$A$100,0)),""),"")&amp;"/"&amp;IFERROR(IF(INDEX('Coverage Indicators - Section D'!AD$1:AD$100,MATCH('Print View'!$A205,'Coverage Indicators - Section D'!$A$1:$A$100,0)+1)&lt;&gt;"",INDEX('Coverage Indicators - Section D'!AD$1:AD$100,MATCH('Print View'!$A205,'Coverage Indicators - Section D'!$A$1:$A$100,0)+1),""),"")&amp;CHAR(10)&amp;IFERROR(IF(INDEX('Coverage Indicators - Section D'!AE$1:AE$100,MATCH('Print View'!$A205,'Coverage Indicators - Section D'!$A$1:$A$100,0))&lt;&gt;"",FIXED(INDEX('Coverage Indicators - Section D'!AE$1:AE$100,MATCH('Print View'!$A205,'Coverage Indicators - Section D'!$A$1:$A$100,0))*100,2)&amp;"%",""),"")&amp;CHAR(10)&amp;IFERROR(IF(INDEX('Coverage Indicators - Section D'!AF$1:AF$100,MATCH('Print View'!$A205,'Coverage Indicators - Section D'!$A$1:$A$100,0))&lt;&gt;"",INDEX('Coverage Indicators - Section D'!AF$1:AF$100,MATCH('Print View'!$A205,'Coverage Indicators - Section D'!$A$1:$A$100,0)),""),"")</f>
        <v xml:space="preserve">/
</v>
      </c>
      <c r="R205" s="82" t="str">
        <f ca="1">IFERROR(IF(INDEX('Coverage Indicators - Section D'!AG$1:AG$100,MATCH('Print View'!$A205,'Coverage Indicators - Section D'!$A$1:$A$100,0))&lt;&gt;"",INDEX('Coverage Indicators - Section D'!AG$1:AG$100,MATCH('Print View'!$A205,'Coverage Indicators - Section D'!$A$1:$A$100,0)),""),"")&amp;"/"&amp;IFERROR(IF(INDEX('Coverage Indicators - Section D'!AG$1:AG$100,MATCH('Print View'!$A205,'Coverage Indicators - Section D'!$A$1:$A$100,0)+1)&lt;&gt;"",INDEX('Coverage Indicators - Section D'!AG$1:AG$100,MATCH('Print View'!$A205,'Coverage Indicators - Section D'!$A$1:$A$100,0)+1),""),"")&amp;CHAR(10)&amp;IFERROR(IF(INDEX('Coverage Indicators - Section D'!AH$1:AH$100,MATCH('Print View'!$A205,'Coverage Indicators - Section D'!$A$1:$A$100,0))&lt;&gt;"",FIXED(INDEX('Coverage Indicators - Section D'!AH$1:AH$100,MATCH('Print View'!$A205,'Coverage Indicators - Section D'!$A$1:$A$100,0))*100,2)&amp;"%",""),"")&amp;CHAR(10)&amp;IFERROR(IF(INDEX('Coverage Indicators - Section D'!AI$1:AI$100,MATCH('Print View'!$A205,'Coverage Indicators - Section D'!$A$1:$A$100,0))&lt;&gt;"",INDEX('Coverage Indicators - Section D'!AI$1:AI$100,MATCH('Print View'!$A205,'Coverage Indicators - Section D'!$A$1:$A$100,0)),""),"")</f>
        <v xml:space="preserve">/
</v>
      </c>
      <c r="S205" s="82" t="str">
        <f ca="1">IFERROR(IF(INDEX('Coverage Indicators - Section D'!AJ$1:AJ$100,MATCH('Print View'!$A205,'Coverage Indicators - Section D'!$A$1:$A$100,0))&lt;&gt;"",INDEX('Coverage Indicators - Section D'!AJ$1:AJ$100,MATCH('Print View'!$A205,'Coverage Indicators - Section D'!$A$1:$A$100,0)),""),"")&amp;"/"&amp;IFERROR(IF(INDEX('Coverage Indicators - Section D'!AJ$1:AJ$100,MATCH('Print View'!$A205,'Coverage Indicators - Section D'!$A$1:$A$100,0)+1)&lt;&gt;"",INDEX('Coverage Indicators - Section D'!AJ$1:AJ$100,MATCH('Print View'!$A205,'Coverage Indicators - Section D'!$A$1:$A$100,0)+1),""),"")&amp;CHAR(10)&amp;IFERROR(IF(INDEX('Coverage Indicators - Section D'!AK$1:AK$100,MATCH('Print View'!$A205,'Coverage Indicators - Section D'!$A$1:$A$100,0))&lt;&gt;"",FIXED(INDEX('Coverage Indicators - Section D'!AK$1:AK$100,MATCH('Print View'!$A205,'Coverage Indicators - Section D'!$A$1:$A$100,0))*100,2)&amp;"%",""),"")&amp;CHAR(10)&amp;IFERROR(IF(INDEX('Coverage Indicators - Section D'!AL$1:AL$100,MATCH('Print View'!$A205,'Coverage Indicators - Section D'!$A$1:$A$100,0))&lt;&gt;"",INDEX('Coverage Indicators - Section D'!AL$1:AL$100,MATCH('Print View'!$A205,'Coverage Indicators - Section D'!$A$1:$A$100,0)),""),"")</f>
        <v xml:space="preserve">/
</v>
      </c>
      <c r="T205" s="52"/>
      <c r="U205" s="13"/>
      <c r="V205" s="13"/>
      <c r="W205" s="13"/>
      <c r="X205" s="13"/>
      <c r="Y205" s="13"/>
      <c r="Z205" s="13"/>
      <c r="AA205" s="13"/>
      <c r="AB205" s="13"/>
      <c r="AC205" s="13"/>
      <c r="AD205" s="13"/>
      <c r="AE205" s="13"/>
      <c r="AF205" s="13"/>
      <c r="AG205" s="13"/>
      <c r="AH205" s="13"/>
      <c r="AI205" s="13"/>
      <c r="AJ205" s="13"/>
      <c r="AK205" s="13"/>
      <c r="AL205" s="13"/>
      <c r="AM205" s="13"/>
      <c r="AN205" s="13"/>
      <c r="AO205" s="13" t="str">
        <f ca="1">IFERROR(IF(INDEX('Coverage Indicators - Section D'!AD$1:AD$110,MATCH('Print View'!$A205,'Coverage Indicators - Section D'!$A$1:$A$110,0))&lt;&gt;0,INDEX('Coverage Indicators - Section D'!AD$1:AD$110,MATCH('Print View'!$A205,'Coverage Indicators - Section D'!$A$1:$A$110,0)),""),"")</f>
        <v/>
      </c>
      <c r="AP205" s="13"/>
      <c r="AQ205" s="13"/>
      <c r="AR205" s="13"/>
      <c r="AS205" s="13"/>
      <c r="AT205" s="577" t="str">
        <f ca="1">CONCATENATE($A205,N$147)</f>
        <v>2931-Dec-25</v>
      </c>
      <c r="AU205" s="575" t="str">
        <f ca="1">CONCATENATE($A205,Q$147)</f>
        <v>2931-Dec-28</v>
      </c>
      <c r="AV205" s="575" t="str">
        <f>CONCATENATE($A205,V$147)</f>
        <v>29</v>
      </c>
      <c r="AW205" s="575" t="str">
        <f>CONCATENATE($A205,Y$147)</f>
        <v>29</v>
      </c>
      <c r="AX205" s="575" t="str">
        <f>CONCATENATE($A205,AB$147)</f>
        <v>29</v>
      </c>
      <c r="AY205" s="575" t="str">
        <f>CONCATENATE($A205,AE$147)</f>
        <v>29</v>
      </c>
      <c r="AZ205" s="575" t="str">
        <f>CONCATENATE($A205,AH$147)</f>
        <v>29</v>
      </c>
      <c r="BA205" s="575" t="str">
        <f>CONCATENATE($A205,AK$147)</f>
        <v>29</v>
      </c>
      <c r="BB205" s="96"/>
      <c r="BC205" s="97"/>
    </row>
    <row r="206" spans="1:55" s="16" customFormat="1" ht="88.35" customHeight="1">
      <c r="A206" s="608"/>
      <c r="B206" s="646" t="str">
        <f ca="1">IFERROR(IF(INDEX('Coverage Indicators - Section D'!AM$1:AM$110,MATCH('Print View'!$A205,'Coverage Indicators - Section D'!$A$1:$A$110,0))&lt;&gt;0,INDEX('Coverage Indicators - Section D'!AM$1:AM$110,MATCH('Print View'!$A205,'Coverage Indicators - Section D'!$A$1:$A$110,0)),""),"")</f>
        <v/>
      </c>
      <c r="C206" s="647"/>
      <c r="D206" s="647"/>
      <c r="E206" s="647"/>
      <c r="F206" s="647"/>
      <c r="G206" s="647"/>
      <c r="H206" s="647"/>
      <c r="I206" s="647"/>
      <c r="J206" s="647"/>
      <c r="K206" s="647"/>
      <c r="L206" s="647"/>
      <c r="M206" s="647"/>
      <c r="N206" s="647"/>
      <c r="O206" s="647"/>
      <c r="P206" s="647"/>
      <c r="Q206" s="647"/>
      <c r="R206" s="647"/>
      <c r="S206" s="648"/>
      <c r="T206" s="92"/>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577"/>
      <c r="AU206" s="575"/>
      <c r="AV206" s="575"/>
      <c r="AW206" s="575"/>
      <c r="AX206" s="575"/>
      <c r="AY206" s="575"/>
      <c r="AZ206" s="575"/>
      <c r="BA206" s="575"/>
      <c r="BB206" s="96"/>
      <c r="BC206" s="97"/>
    </row>
    <row r="207" spans="1:55" s="16" customFormat="1" ht="177" customHeight="1">
      <c r="A207" s="609">
        <v>30</v>
      </c>
      <c r="B207" s="83" t="str">
        <f ca="1">IFERROR(IF(INDEX('Coverage Indicators - Section D'!B$1:B$100,MATCH('Print View'!$A207,'Coverage Indicators - Section D'!$A$1:$A$100,0))&lt;&gt;0,INDEX('Coverage Indicators - Section D'!B$1:B$100,MATCH('Print View'!$A207,'Coverage Indicators - Section D'!$A$1:$A$100,0)),""),"")</f>
        <v/>
      </c>
      <c r="C207" s="83" t="str">
        <f ca="1">IFERROR(IF(INDEX('Coverage Indicators - Section D'!D$1:D$100,MATCH('Print View'!$A207,'Coverage Indicators - Section D'!$A$1:$A$100,0))&lt;&gt;0,INDEX('Coverage Indicators - Section D'!D$1:D$100,MATCH('Print View'!$A207,'Coverage Indicators - Section D'!$A$1:$A$100,0)),""),"")</f>
        <v/>
      </c>
      <c r="D207" s="83" t="str">
        <f ca="1">IFERROR(IF(INDEX('Coverage Indicators - Section D'!E$1:E$100,MATCH('Print View'!$A207,'Coverage Indicators - Section D'!$A$1:$A$100,0))&lt;&gt;0,INDEX('Coverage Indicators - Section D'!E$1:E$100,MATCH('Print View'!$A207,'Coverage Indicators - Section D'!$A$1:$A$100,0)),""),"")</f>
        <v/>
      </c>
      <c r="E207" s="45" t="str">
        <f ca="1">IFERROR(IF(INDEX('Coverage Indicators - Section D'!F$1:F$100,MATCH('Print View'!$A207,'Coverage Indicators - Section D'!$A$1:$A$100,0))&lt;&gt;"",INDEX('Coverage Indicators - Section D'!F$1:F$100,MATCH('Print View'!$A207,'Coverage Indicators - Section D'!$A$1:$A$100,0)),""),"")&amp;"/"&amp;IFERROR(IF(INDEX('Coverage Indicators - Section D'!F$1:F$100,MATCH('Print View'!$A207,'Coverage Indicators - Section D'!$A$1:$A$100,0)+1)&lt;&gt;"",INDEX('Coverage Indicators - Section D'!F$1:F$100,MATCH('Print View'!$A207,'Coverage Indicators - Section D'!$A$1:$A$100,0)+1),""),"")&amp;CHAR(10)&amp;IFERROR(IF(INDEX('Coverage Indicators - Section D'!G$1:G$100,MATCH('Print View'!$A207,'Coverage Indicators - Section D'!$A$1:$A$100,0))&lt;&gt;"",FIXED(INDEX('Coverage Indicators - Section D'!G$1:G$100,MATCH('Print View'!$A207,'Coverage Indicators - Section D'!$A$1:$A$100,0))*100,2)&amp;"%",""),"")</f>
        <v xml:space="preserve">/
</v>
      </c>
      <c r="F207" s="84" t="str">
        <f ca="1">IFERROR(IF(INDEX('Coverage Indicators - Section D'!H$1:H$100,MATCH('Print View'!$A207,'Coverage Indicators - Section D'!$A$1:$A$100,0))&lt;&gt;0,INDEX('Coverage Indicators - Section D'!H$1:H$100,MATCH('Print View'!$A207,'Coverage Indicators - Section D'!$A$1:$A$100,0)),""),"")&amp;CHAR(10)&amp;IFERROR(IF(INDEX('Coverage Indicators - Section D'!I$1:I$100,MATCH('Print View'!$A207,'Coverage Indicators - Section D'!$A$1:$A$100,0))&lt;&gt;0,INDEX('Coverage Indicators - Section D'!I$1:I$100,MATCH('Print View'!$A207,'Coverage Indicators - Section D'!$A$1:$A$100,0)),""),"")</f>
        <v xml:space="preserve">
</v>
      </c>
      <c r="G207" s="85" t="str">
        <f ca="1">IFERROR(IF(INDEX('Coverage Indicators - Section D'!J65:J94,MATCH('Print View'!$A207,'Coverage Indicators - Section D'!$A$9:$A$38,0))&lt;&gt;0,INDEX('Coverage Indicators - Section D'!J65:J94,MATCH('Print View'!$A207,'Coverage Indicators - Section D'!$A$9:$A$38,0)),""),"")</f>
        <v/>
      </c>
      <c r="H207" s="84" t="str">
        <f ca="1">IFERROR(IF(INDEX('Coverage Indicators - Section D'!K$1:K$100,MATCH('Print View'!$A207,'Coverage Indicators - Section D'!$A$1:$A$100,0))&lt;&gt;0,INDEX('Coverage Indicators - Section D'!K$1:K$100,MATCH('Print View'!$A207,'Coverage Indicators - Section D'!$A$1:$A$100,0)),""),"")</f>
        <v/>
      </c>
      <c r="I207" s="85" t="str">
        <f ca="1">IFERROR(IF(AND('Overview - Section A'!AN$5="Grant Making",OR(C207&lt;&gt;"",D207&lt;&gt;"")),Setup!I15,IF(INDEX('Coverage Indicators - Section D'!L$1:L$100,MATCH('Print View'!$A207,'Coverage Indicators - Section D'!$A$1:$A$100,0))&lt;&gt;0,INDEX('Coverage Indicators - Section D'!L$1:L$100,MATCH('Print View'!$A207,'Coverage Indicators - Section D'!$A$1:$A$100,0)),"")),"")</f>
        <v/>
      </c>
      <c r="J207" s="84" t="str">
        <f ca="1">IFERROR(IF(INDEX('Coverage Indicators - Section D'!M$1:M$100,MATCH('Print View'!$A207,'Coverage Indicators - Section D'!$A$1:$A$100,0))&lt;&gt;0,INDEX('Coverage Indicators - Section D'!M$1:M$100,MATCH('Print View'!$A207,'Coverage Indicators - Section D'!$A$1:$A$100,0)),""),"")&amp;CHAR(10)&amp;IFERROR(IF(INDEX('Coverage Indicators - Section D'!M$1:M$100,MATCH('Print View'!$A207,'Coverage Indicators - Section D'!$A$1:$A$100,0)+1)&lt;&gt;0,INDEX('Coverage Indicators - Section D'!M$1:M$100,MATCH('Print View'!$A207,'Coverage Indicators - Section D'!$A$1:$A$100,0)+1),""),"")</f>
        <v xml:space="preserve">
</v>
      </c>
      <c r="K207" s="84" t="str">
        <f ca="1">IFERROR(IF(INDEX('Coverage Indicators - Section D'!N$1:N$100,MATCH('Print View'!$A207,'Coverage Indicators - Section D'!$A$1:$A$100,0))&lt;&gt;0,INDEX('Coverage Indicators - Section D'!N$1:N$100,MATCH('Print View'!$A207,'Coverage Indicators - Section D'!$A$1:$A$100,0)),""),"")</f>
        <v/>
      </c>
      <c r="L207" s="88" t="str">
        <f ca="1">IFERROR(IF(INDEX('Coverage Indicators - Section D'!O$1:O$100,MATCH('Print View'!$A207,'Coverage Indicators - Section D'!$A$1:$A$100,0))&lt;&gt;"",INDEX('Coverage Indicators - Section D'!O$1:O$100,MATCH('Print View'!$A207,'Coverage Indicators - Section D'!$A$1:$A$100,0)),""),"")&amp;"/"&amp;IFERROR(IF(INDEX('Coverage Indicators - Section D'!O$1:O$100,MATCH('Print View'!$A207,'Coverage Indicators - Section D'!$A$1:$A$100,0)+1)&lt;&gt;"",INDEX('Coverage Indicators - Section D'!O$1:O$100,MATCH('Print View'!$A207,'Coverage Indicators - Section D'!$A$1:$A$100,0)+1),""),"")&amp;CHAR(10)&amp;IFERROR(IF(INDEX('Coverage Indicators - Section D'!P$1:P$100,MATCH('Print View'!$A207,'Coverage Indicators - Section D'!$A$1:$A$100,0))&lt;&gt;"",FIXED(INDEX('Coverage Indicators - Section D'!P$1:P$100,MATCH('Print View'!$A207,'Coverage Indicators - Section D'!$A$1:$A$100,0))*100,2)&amp;"%",""),"")&amp;CHAR(10)&amp;IFERROR(IF(INDEX('Coverage Indicators - Section D'!Q$1:Q$100,MATCH('Print View'!$A207,'Coverage Indicators - Section D'!$A$1:$A$100,0))&lt;&gt;"",INDEX('Coverage Indicators - Section D'!Q$1:Q$100,MATCH('Print View'!$A207,'Coverage Indicators - Section D'!$A$1:$A$100,0)),""),"")</f>
        <v xml:space="preserve">/
</v>
      </c>
      <c r="M207" s="88" t="str">
        <f ca="1">IFERROR(IF(INDEX('Coverage Indicators - Section D'!R$1:R$100,MATCH('Print View'!$A207,'Coverage Indicators - Section D'!$A$1:$A$100,0))&lt;&gt;"",INDEX('Coverage Indicators - Section D'!R$1:R$100,MATCH('Print View'!$A207,'Coverage Indicators - Section D'!$A$1:$A$100,0)),""),"")&amp;"/"&amp;IFERROR(IF(INDEX('Coverage Indicators - Section D'!R$1:R$100,MATCH('Print View'!$A207,'Coverage Indicators - Section D'!$A$1:$A$100,0)+1)&lt;&gt;"",INDEX('Coverage Indicators - Section D'!R$1:R$100,MATCH('Print View'!$A207,'Coverage Indicators - Section D'!$A$1:$A$100,0)+1),""),"")&amp;CHAR(10)&amp;IFERROR(IF(INDEX('Coverage Indicators - Section D'!S$1:S$100,MATCH('Print View'!$A207,'Coverage Indicators - Section D'!$A$1:$A$100,0))&lt;&gt;"",FIXED(INDEX('Coverage Indicators - Section D'!S$1:S$100,MATCH('Print View'!$A207,'Coverage Indicators - Section D'!$A$1:$A$100,0))*100,2)&amp;"%",""),"")&amp;CHAR(10)&amp;IFERROR(IF(INDEX('Coverage Indicators - Section D'!T$1:T$100,MATCH('Print View'!$A207,'Coverage Indicators - Section D'!$A$1:$A$100,0))&lt;&gt;"",INDEX('Coverage Indicators - Section D'!T$1:T$100,MATCH('Print View'!$A207,'Coverage Indicators - Section D'!$A$1:$A$100,0)),""),"")</f>
        <v xml:space="preserve">/
</v>
      </c>
      <c r="N207" s="88" t="str">
        <f ca="1">IFERROR(IF(INDEX('Coverage Indicators - Section D'!U$1:U$100,MATCH('Print View'!$A207,'Coverage Indicators - Section D'!$A$1:$A$100,0))&lt;&gt;"",INDEX('Coverage Indicators - Section D'!U$1:U$100,MATCH('Print View'!$A207,'Coverage Indicators - Section D'!$A$1:$A$100,0)),""),"")&amp;"/"&amp;IFERROR(IF(INDEX('Coverage Indicators - Section D'!U$1:U$100,MATCH('Print View'!$A207,'Coverage Indicators - Section D'!$A$1:$A$100,0)+1)&lt;&gt;"",INDEX('Coverage Indicators - Section D'!U$1:U$100,MATCH('Print View'!$A207,'Coverage Indicators - Section D'!$A$1:$A$100,0)+1),""),"")&amp;CHAR(10)&amp;IFERROR(IF(INDEX('Coverage Indicators - Section D'!V$1:V$100,MATCH('Print View'!$A207,'Coverage Indicators - Section D'!$A$1:$A$100,0))&lt;&gt;"",FIXED(INDEX('Coverage Indicators - Section D'!V$1:V$100,MATCH('Print View'!$A207,'Coverage Indicators - Section D'!$A$1:$A$100,0))*100,2)&amp;"%",""),"")&amp;CHAR(10)&amp;IFERROR(IF(INDEX('Coverage Indicators - Section D'!W$1:W$100,MATCH('Print View'!$A207,'Coverage Indicators - Section D'!$A$1:$A$100,0))&lt;&gt;"",INDEX('Coverage Indicators - Section D'!W$1:W$100,MATCH('Print View'!$A207,'Coverage Indicators - Section D'!$A$1:$A$100,0)),""),"")</f>
        <v xml:space="preserve">/
</v>
      </c>
      <c r="O207" s="88" t="str">
        <f ca="1">IFERROR(IF(INDEX('Coverage Indicators - Section D'!X$1:X$100,MATCH('Print View'!$A207,'Coverage Indicators - Section D'!$A$1:$A$100,0))&lt;&gt;"",INDEX('Coverage Indicators - Section D'!X$1:X$100,MATCH('Print View'!$A207,'Coverage Indicators - Section D'!$A$1:$A$100,0)),""),"")&amp;"/"&amp;IFERROR(IF(INDEX('Coverage Indicators - Section D'!X$1:X$100,MATCH('Print View'!$A207,'Coverage Indicators - Section D'!$A$1:$A$100,0)+1)&lt;&gt;"",INDEX('Coverage Indicators - Section D'!X$1:X$100,MATCH('Print View'!$A207,'Coverage Indicators - Section D'!$A$1:$A$100,0)+1),""),"")&amp;CHAR(10)&amp;IFERROR(IF(INDEX('Coverage Indicators - Section D'!Y$1:Y$100,MATCH('Print View'!$A207,'Coverage Indicators - Section D'!$A$1:$A$100,0))&lt;&gt;"",FIXED(INDEX('Coverage Indicators - Section D'!Y$1:Y$100,MATCH('Print View'!$A207,'Coverage Indicators - Section D'!$A$1:$A$100,0))*100,2)&amp;"%",""),"")&amp;CHAR(10)&amp;IFERROR(IF(INDEX('Coverage Indicators - Section D'!Z$1:Z$100,MATCH('Print View'!$A207,'Coverage Indicators - Section D'!$A$1:$A$100,0))&lt;&gt;"",INDEX('Coverage Indicators - Section D'!Z$1:Z$100,MATCH('Print View'!$A207,'Coverage Indicators - Section D'!$A$1:$A$100,0)),""),"")</f>
        <v xml:space="preserve">/
</v>
      </c>
      <c r="P207" s="88" t="str">
        <f ca="1">IFERROR(IF(INDEX('Coverage Indicators - Section D'!AA$1:AA$100,MATCH('Print View'!$A207,'Coverage Indicators - Section D'!$A$1:$A$100,0))&lt;&gt;"",INDEX('Coverage Indicators - Section D'!AA$1:AA$100,MATCH('Print View'!$A207,'Coverage Indicators - Section D'!$A$1:$A$100,0)),""),"")&amp;"/"&amp;IFERROR(IF(INDEX('Coverage Indicators - Section D'!AA$1:AA$100,MATCH('Print View'!$A207,'Coverage Indicators - Section D'!$A$1:$A$100,0)+1)&lt;&gt;"",INDEX('Coverage Indicators - Section D'!AA$1:AA$100,MATCH('Print View'!$A207,'Coverage Indicators - Section D'!$A$1:$A$100,0)+1),""),"")&amp;CHAR(10)&amp;IFERROR(IF(INDEX('Coverage Indicators - Section D'!AB$1:AB$100,MATCH('Print View'!$A207,'Coverage Indicators - Section D'!$A$1:$A$100,0))&lt;&gt;"",FIXED(INDEX('Coverage Indicators - Section D'!AB$1:AB$100,MATCH('Print View'!$A207,'Coverage Indicators - Section D'!$A$1:$A$100,0))*100,2)&amp;"%",""),"")&amp;CHAR(10)&amp;IFERROR(IF(INDEX('Coverage Indicators - Section D'!AC$1:AC$100,MATCH('Print View'!$A207,'Coverage Indicators - Section D'!$A$1:$A$100,0))&lt;&gt;"",INDEX('Coverage Indicators - Section D'!AC$1:AC$100,MATCH('Print View'!$A207,'Coverage Indicators - Section D'!$A$1:$A$100,0)),""),"")</f>
        <v xml:space="preserve">/
</v>
      </c>
      <c r="Q207" s="88" t="str">
        <f ca="1">IFERROR(IF(INDEX('Coverage Indicators - Section D'!AD$1:AD$100,MATCH('Print View'!$A207,'Coverage Indicators - Section D'!$A$1:$A$100,0))&lt;&gt;"",INDEX('Coverage Indicators - Section D'!AD$1:AD$100,MATCH('Print View'!$A207,'Coverage Indicators - Section D'!$A$1:$A$100,0)),""),"")&amp;"/"&amp;IFERROR(IF(INDEX('Coverage Indicators - Section D'!AD$1:AD$100,MATCH('Print View'!$A207,'Coverage Indicators - Section D'!$A$1:$A$100,0)+1)&lt;&gt;"",INDEX('Coverage Indicators - Section D'!AD$1:AD$100,MATCH('Print View'!$A207,'Coverage Indicators - Section D'!$A$1:$A$100,0)+1),""),"")&amp;CHAR(10)&amp;IFERROR(IF(INDEX('Coverage Indicators - Section D'!AE$1:AE$100,MATCH('Print View'!$A207,'Coverage Indicators - Section D'!$A$1:$A$100,0))&lt;&gt;"",FIXED(INDEX('Coverage Indicators - Section D'!AE$1:AE$100,MATCH('Print View'!$A207,'Coverage Indicators - Section D'!$A$1:$A$100,0))*100,2)&amp;"%",""),"")&amp;CHAR(10)&amp;IFERROR(IF(INDEX('Coverage Indicators - Section D'!AF$1:AF$100,MATCH('Print View'!$A207,'Coverage Indicators - Section D'!$A$1:$A$100,0))&lt;&gt;"",INDEX('Coverage Indicators - Section D'!AF$1:AF$100,MATCH('Print View'!$A207,'Coverage Indicators - Section D'!$A$1:$A$100,0)),""),"")</f>
        <v xml:space="preserve">/
</v>
      </c>
      <c r="R207" s="88" t="str">
        <f ca="1">IFERROR(IF(INDEX('Coverage Indicators - Section D'!AG$1:AG$100,MATCH('Print View'!$A207,'Coverage Indicators - Section D'!$A$1:$A$100,0))&lt;&gt;"",INDEX('Coverage Indicators - Section D'!AG$1:AG$100,MATCH('Print View'!$A207,'Coverage Indicators - Section D'!$A$1:$A$100,0)),""),"")&amp;"/"&amp;IFERROR(IF(INDEX('Coverage Indicators - Section D'!AG$1:AG$100,MATCH('Print View'!$A207,'Coverage Indicators - Section D'!$A$1:$A$100,0)+1)&lt;&gt;"",INDEX('Coverage Indicators - Section D'!AG$1:AG$100,MATCH('Print View'!$A207,'Coverage Indicators - Section D'!$A$1:$A$100,0)+1),""),"")&amp;CHAR(10)&amp;IFERROR(IF(INDEX('Coverage Indicators - Section D'!AH$1:AH$100,MATCH('Print View'!$A207,'Coverage Indicators - Section D'!$A$1:$A$100,0))&lt;&gt;"",FIXED(INDEX('Coverage Indicators - Section D'!AH$1:AH$100,MATCH('Print View'!$A207,'Coverage Indicators - Section D'!$A$1:$A$100,0))*100,2)&amp;"%",""),"")&amp;CHAR(10)&amp;IFERROR(IF(INDEX('Coverage Indicators - Section D'!AI$1:AI$100,MATCH('Print View'!$A207,'Coverage Indicators - Section D'!$A$1:$A$100,0))&lt;&gt;"",INDEX('Coverage Indicators - Section D'!AI$1:AI$100,MATCH('Print View'!$A207,'Coverage Indicators - Section D'!$A$1:$A$100,0)),""),"")</f>
        <v xml:space="preserve">/
</v>
      </c>
      <c r="S207" s="88" t="str">
        <f ca="1">IFERROR(IF(INDEX('Coverage Indicators - Section D'!AJ$1:AJ$100,MATCH('Print View'!$A207,'Coverage Indicators - Section D'!$A$1:$A$100,0))&lt;&gt;"",INDEX('Coverage Indicators - Section D'!AJ$1:AJ$100,MATCH('Print View'!$A207,'Coverage Indicators - Section D'!$A$1:$A$100,0)),""),"")&amp;"/"&amp;IFERROR(IF(INDEX('Coverage Indicators - Section D'!AJ$1:AJ$100,MATCH('Print View'!$A207,'Coverage Indicators - Section D'!$A$1:$A$100,0)+1)&lt;&gt;"",INDEX('Coverage Indicators - Section D'!AJ$1:AJ$100,MATCH('Print View'!$A207,'Coverage Indicators - Section D'!$A$1:$A$100,0)+1),""),"")&amp;CHAR(10)&amp;IFERROR(IF(INDEX('Coverage Indicators - Section D'!AK$1:AK$100,MATCH('Print View'!$A207,'Coverage Indicators - Section D'!$A$1:$A$100,0))&lt;&gt;"",FIXED(INDEX('Coverage Indicators - Section D'!AK$1:AK$100,MATCH('Print View'!$A207,'Coverage Indicators - Section D'!$A$1:$A$100,0))*100,2)&amp;"%",""),"")&amp;CHAR(10)&amp;IFERROR(IF(INDEX('Coverage Indicators - Section D'!AL$1:AL$100,MATCH('Print View'!$A207,'Coverage Indicators - Section D'!$A$1:$A$100,0))&lt;&gt;"",INDEX('Coverage Indicators - Section D'!AL$1:AL$100,MATCH('Print View'!$A207,'Coverage Indicators - Section D'!$A$1:$A$100,0)),""),"")</f>
        <v xml:space="preserve">/
</v>
      </c>
      <c r="T207" s="93"/>
      <c r="U207" s="13"/>
      <c r="V207" s="13"/>
      <c r="W207" s="13"/>
      <c r="X207" s="13"/>
      <c r="Y207" s="13"/>
      <c r="Z207" s="13"/>
      <c r="AA207" s="13"/>
      <c r="AB207" s="13"/>
      <c r="AC207" s="13"/>
      <c r="AD207" s="13"/>
      <c r="AE207" s="13"/>
      <c r="AF207" s="13"/>
      <c r="AG207" s="13"/>
      <c r="AH207" s="13"/>
      <c r="AI207" s="13"/>
      <c r="AJ207" s="13"/>
      <c r="AK207" s="13"/>
      <c r="AL207" s="13"/>
      <c r="AM207" s="13"/>
      <c r="AN207" s="13"/>
      <c r="AO207" s="13" t="str">
        <f ca="1">IFERROR(IF(INDEX('Coverage Indicators - Section D'!AD$1:AD$110,MATCH('Print View'!$A207,'Coverage Indicators - Section D'!$A$1:$A$110,0))&lt;&gt;0,INDEX('Coverage Indicators - Section D'!AD$1:AD$110,MATCH('Print View'!$A207,'Coverage Indicators - Section D'!$A$1:$A$110,0)),""),"")</f>
        <v/>
      </c>
      <c r="AP207" s="13"/>
      <c r="AQ207" s="13"/>
      <c r="AR207" s="13"/>
      <c r="AS207" s="13"/>
      <c r="AT207" s="577"/>
      <c r="AU207" s="575" t="str">
        <f ca="1">CONCATENATE($A207,Q$147)</f>
        <v>3031-Dec-28</v>
      </c>
      <c r="AV207" s="575" t="str">
        <f>CONCATENATE($A207,V$147)</f>
        <v>30</v>
      </c>
      <c r="AW207" s="575" t="str">
        <f>CONCATENATE($A207,Y$147)</f>
        <v>30</v>
      </c>
      <c r="AX207" s="575" t="str">
        <f>CONCATENATE($A207,AB$147)</f>
        <v>30</v>
      </c>
      <c r="AY207" s="575" t="str">
        <f>CONCATENATE($A207,AE$147)</f>
        <v>30</v>
      </c>
      <c r="AZ207" s="575" t="str">
        <f>CONCATENATE($A207,AH$147)</f>
        <v>30</v>
      </c>
      <c r="BA207" s="575" t="str">
        <f>CONCATENATE($A207,AK$147)</f>
        <v>30</v>
      </c>
      <c r="BB207" s="96"/>
      <c r="BC207" s="97"/>
    </row>
    <row r="208" spans="1:55" ht="88.35" customHeight="1">
      <c r="A208" s="657"/>
      <c r="B208" s="630" t="str">
        <f ca="1">IFERROR(IF(INDEX('Coverage Indicators - Section D'!AM$1:AM$110,MATCH('Print View'!$A207,'Coverage Indicators - Section D'!$A$1:$A$110,0))&lt;&gt;0,INDEX('Coverage Indicators - Section D'!AM$1:AM$110,MATCH('Print View'!$A207,'Coverage Indicators - Section D'!$A$1:$A$110,0)),""),"")</f>
        <v/>
      </c>
      <c r="C208" s="631"/>
      <c r="D208" s="631"/>
      <c r="E208" s="631"/>
      <c r="F208" s="631"/>
      <c r="G208" s="631"/>
      <c r="H208" s="631"/>
      <c r="I208" s="632"/>
      <c r="J208" s="632"/>
      <c r="K208" s="632"/>
      <c r="L208" s="632"/>
      <c r="M208" s="632"/>
      <c r="N208" s="632"/>
      <c r="O208" s="632"/>
      <c r="P208" s="632"/>
      <c r="Q208" s="632"/>
      <c r="R208" s="632"/>
      <c r="S208" s="633"/>
      <c r="T208" s="94"/>
      <c r="U208" s="13"/>
      <c r="V208" s="13"/>
      <c r="W208" s="13"/>
      <c r="X208" s="13"/>
      <c r="Y208" s="13"/>
      <c r="Z208" s="13"/>
      <c r="AA208" s="13"/>
      <c r="AB208" s="13"/>
      <c r="AC208" s="13"/>
      <c r="AD208" s="13"/>
      <c r="AE208" s="13"/>
      <c r="AF208" s="13"/>
      <c r="AG208" s="13"/>
      <c r="AH208" s="13"/>
      <c r="AI208" s="13"/>
      <c r="AJ208" s="13"/>
      <c r="AK208" s="13"/>
      <c r="AL208" s="13"/>
      <c r="AM208" s="13"/>
      <c r="AN208" s="13"/>
      <c r="AO208" s="13"/>
      <c r="AQ208" s="13"/>
      <c r="AR208" s="13"/>
      <c r="AS208" s="13"/>
      <c r="AT208" s="577"/>
      <c r="AU208" s="575"/>
      <c r="AV208" s="575"/>
      <c r="AW208" s="575"/>
      <c r="AX208" s="575"/>
      <c r="AY208" s="575"/>
      <c r="AZ208" s="575"/>
      <c r="BA208" s="575"/>
      <c r="BB208" s="54"/>
    </row>
    <row r="209" spans="1:86">
      <c r="A209" s="57"/>
      <c r="B209" s="98"/>
      <c r="C209" s="57"/>
      <c r="D209" s="57"/>
      <c r="E209" s="57"/>
      <c r="F209" s="57"/>
      <c r="G209" s="57"/>
      <c r="H209" s="57"/>
      <c r="I209" s="57"/>
      <c r="J209" s="57"/>
      <c r="K209" s="57"/>
      <c r="L209" s="57"/>
      <c r="M209" s="57"/>
      <c r="N209" s="57"/>
      <c r="O209" s="57"/>
      <c r="P209" s="57"/>
      <c r="Q209" s="57"/>
      <c r="R209" s="57"/>
      <c r="S209" s="57"/>
      <c r="T209" s="57"/>
      <c r="U209" s="13"/>
      <c r="V209" s="13"/>
      <c r="W209" s="13"/>
      <c r="X209" s="13"/>
      <c r="Y209" s="13"/>
      <c r="Z209" s="13"/>
      <c r="AA209" s="13"/>
      <c r="AB209" s="13"/>
      <c r="AC209" s="13"/>
      <c r="AD209" s="13"/>
      <c r="AE209" s="13"/>
      <c r="AF209" s="13"/>
      <c r="AG209" s="13"/>
      <c r="AH209" s="13"/>
      <c r="AI209" s="13"/>
      <c r="AJ209" s="13"/>
      <c r="AK209" s="13"/>
      <c r="AL209" s="13"/>
      <c r="AM209" s="13"/>
      <c r="AN209" s="13"/>
      <c r="AO209" s="13"/>
      <c r="AQ209" s="13"/>
      <c r="AR209" s="13"/>
      <c r="AS209" s="13"/>
      <c r="AT209" s="22"/>
      <c r="AU209" s="54"/>
      <c r="AV209" s="54"/>
      <c r="AW209" s="54"/>
      <c r="AX209" s="54"/>
      <c r="AY209" s="54"/>
      <c r="AZ209" s="54"/>
      <c r="BA209" s="54"/>
      <c r="BB209" s="54"/>
    </row>
    <row r="210" spans="1:86">
      <c r="A210" s="57"/>
      <c r="B210" s="57"/>
      <c r="C210" s="57"/>
      <c r="D210" s="57"/>
      <c r="E210" s="57"/>
      <c r="F210" s="57"/>
      <c r="G210" s="57"/>
      <c r="H210" s="57"/>
      <c r="I210" s="57"/>
      <c r="J210" s="57"/>
      <c r="K210" s="57"/>
      <c r="L210" s="57"/>
      <c r="M210" s="57"/>
      <c r="N210" s="57"/>
      <c r="O210" s="57"/>
      <c r="P210" s="57"/>
      <c r="Q210" s="57"/>
      <c r="R210" s="57"/>
      <c r="S210" s="57"/>
      <c r="T210" s="57"/>
      <c r="U210" s="13"/>
      <c r="V210" s="13"/>
      <c r="W210" s="13"/>
      <c r="X210" s="13"/>
      <c r="Y210" s="13"/>
      <c r="Z210" s="13"/>
      <c r="AA210" s="13"/>
      <c r="AB210" s="13"/>
      <c r="AC210" s="13"/>
      <c r="AD210" s="13"/>
      <c r="AE210" s="13"/>
      <c r="AF210" s="13"/>
      <c r="AG210" s="13"/>
      <c r="AH210" s="13"/>
      <c r="AI210" s="13"/>
      <c r="AJ210" s="13"/>
      <c r="AK210" s="13"/>
      <c r="AL210" s="13"/>
      <c r="AM210" s="13"/>
      <c r="AN210" s="13"/>
      <c r="AO210" s="13"/>
      <c r="AQ210" s="13"/>
      <c r="AR210" s="13"/>
      <c r="AS210" s="13"/>
      <c r="AT210" s="22"/>
      <c r="AU210" s="54"/>
      <c r="AV210" s="54"/>
      <c r="AW210" s="54"/>
      <c r="AX210" s="54"/>
      <c r="AY210" s="54"/>
      <c r="AZ210" s="54"/>
      <c r="BA210" s="54"/>
      <c r="BB210" s="54"/>
    </row>
    <row r="211" spans="1:86">
      <c r="A211" s="57"/>
      <c r="B211" s="57"/>
      <c r="C211" s="57"/>
      <c r="D211" s="57"/>
      <c r="E211" s="57"/>
      <c r="F211" s="57"/>
      <c r="G211" s="57"/>
      <c r="H211" s="57"/>
      <c r="I211" s="57"/>
      <c r="J211" s="57"/>
      <c r="K211" s="57"/>
      <c r="L211" s="57"/>
      <c r="M211" s="57"/>
      <c r="N211" s="57"/>
      <c r="O211" s="57"/>
      <c r="P211" s="57"/>
      <c r="Q211" s="57"/>
      <c r="R211" s="57"/>
      <c r="S211" s="57"/>
      <c r="T211" s="57"/>
      <c r="U211" s="13"/>
      <c r="V211" s="13"/>
      <c r="W211" s="13"/>
      <c r="X211" s="13"/>
      <c r="Y211" s="13"/>
      <c r="Z211" s="13"/>
      <c r="AA211" s="13"/>
      <c r="AB211" s="13"/>
      <c r="AC211" s="13"/>
      <c r="AD211" s="13"/>
      <c r="AE211" s="13"/>
      <c r="AF211" s="13"/>
      <c r="AG211" s="13"/>
      <c r="AH211" s="13"/>
      <c r="AI211" s="13"/>
      <c r="AJ211" s="13"/>
      <c r="AK211" s="13"/>
      <c r="AL211" s="13"/>
      <c r="AM211" s="13"/>
      <c r="AN211" s="13"/>
      <c r="AO211" s="13"/>
      <c r="AQ211" s="13"/>
      <c r="AR211" s="13"/>
      <c r="AS211" s="13"/>
      <c r="AT211" s="22"/>
      <c r="AU211" s="54"/>
      <c r="AV211" s="54"/>
      <c r="AW211" s="54"/>
      <c r="AX211" s="54"/>
      <c r="AY211" s="54"/>
      <c r="AZ211" s="54"/>
      <c r="BA211" s="54"/>
      <c r="BB211" s="54"/>
    </row>
    <row r="212" spans="1:86">
      <c r="A212" s="57"/>
      <c r="B212" s="98"/>
      <c r="C212" s="57"/>
      <c r="D212" s="57"/>
      <c r="E212" s="57"/>
      <c r="F212" s="57"/>
      <c r="G212" s="57"/>
      <c r="H212" s="57"/>
      <c r="I212" s="57"/>
      <c r="J212" s="57"/>
      <c r="K212" s="57"/>
      <c r="L212" s="57"/>
      <c r="M212" s="57"/>
      <c r="N212" s="57"/>
      <c r="O212" s="57"/>
      <c r="P212" s="57"/>
      <c r="Q212" s="57"/>
      <c r="R212" s="57"/>
      <c r="S212" s="57"/>
      <c r="T212" s="57"/>
      <c r="U212" s="13"/>
      <c r="V212" s="13"/>
      <c r="W212" s="13"/>
      <c r="X212" s="13"/>
      <c r="Y212" s="13"/>
      <c r="Z212" s="13"/>
      <c r="AA212" s="13"/>
      <c r="AB212" s="13"/>
      <c r="AC212" s="13"/>
      <c r="AD212" s="13"/>
      <c r="AE212" s="13"/>
      <c r="AF212" s="13"/>
      <c r="AG212" s="13"/>
      <c r="AH212" s="13"/>
      <c r="AI212" s="13"/>
      <c r="AJ212" s="13"/>
      <c r="AK212" s="13"/>
      <c r="AL212" s="13"/>
      <c r="AM212" s="13"/>
      <c r="AN212" s="13"/>
      <c r="AO212" s="13"/>
      <c r="AQ212" s="13"/>
      <c r="AR212" s="13"/>
      <c r="AS212" s="13"/>
      <c r="AT212" s="22"/>
      <c r="AU212" s="54"/>
      <c r="AV212" s="54"/>
      <c r="AW212" s="54"/>
      <c r="AX212" s="54"/>
      <c r="AY212" s="54"/>
      <c r="AZ212" s="54"/>
      <c r="BA212" s="54"/>
      <c r="BB212" s="54"/>
    </row>
    <row r="213" spans="1:86" ht="45.75" customHeight="1">
      <c r="A213" s="649" t="str">
        <f ca="1">Translations!A98</f>
        <v>Medidas de seguimiento al plan de trabajo</v>
      </c>
      <c r="B213" s="650"/>
      <c r="C213" s="650"/>
      <c r="D213" s="650"/>
      <c r="E213" s="650"/>
      <c r="F213" s="650"/>
      <c r="G213" s="650"/>
      <c r="H213" s="650"/>
      <c r="I213" s="650"/>
      <c r="J213" s="650"/>
      <c r="K213" s="650"/>
      <c r="L213" s="650"/>
      <c r="M213" s="650"/>
      <c r="N213" s="650"/>
      <c r="O213" s="650"/>
      <c r="P213" s="650"/>
      <c r="Q213" s="650"/>
      <c r="R213" s="650"/>
      <c r="S213" s="650"/>
      <c r="T213" s="57"/>
      <c r="U213" s="13"/>
      <c r="V213" s="13"/>
      <c r="W213" s="13"/>
      <c r="X213" s="13"/>
      <c r="Y213" s="13"/>
      <c r="Z213" s="13"/>
      <c r="AA213" s="13"/>
      <c r="AB213" s="13"/>
      <c r="AC213" s="13"/>
      <c r="AD213" s="13"/>
      <c r="AE213" s="13"/>
      <c r="AF213" s="13"/>
      <c r="AG213" s="13"/>
      <c r="AH213" s="13"/>
      <c r="AI213" s="13"/>
      <c r="AJ213" s="13"/>
      <c r="AK213" s="13"/>
      <c r="AL213" s="13"/>
      <c r="AM213" s="13"/>
      <c r="AN213" s="13"/>
      <c r="AO213" s="13"/>
      <c r="AQ213" s="13"/>
      <c r="AR213" s="13"/>
      <c r="AS213" s="13"/>
      <c r="AT213" s="22"/>
      <c r="AU213" s="54"/>
      <c r="AV213" s="54"/>
      <c r="AW213" s="54"/>
      <c r="AX213" s="54"/>
      <c r="AY213" s="54"/>
      <c r="AZ213" s="54"/>
      <c r="BA213" s="54"/>
      <c r="BB213" s="54"/>
    </row>
    <row r="214" spans="1:86" ht="45.75" customHeight="1">
      <c r="A214" s="57"/>
      <c r="B214" s="57"/>
      <c r="C214" s="57"/>
      <c r="D214" s="57"/>
      <c r="E214" s="57"/>
      <c r="F214" s="57"/>
      <c r="G214" s="57"/>
      <c r="H214" s="57"/>
      <c r="I214" s="57"/>
      <c r="J214" s="57"/>
      <c r="K214" s="57"/>
      <c r="L214" s="57"/>
      <c r="M214" s="57"/>
      <c r="N214" s="57"/>
      <c r="O214" s="57"/>
      <c r="P214" s="57"/>
      <c r="Q214" s="57"/>
      <c r="R214" s="57"/>
      <c r="S214" s="57"/>
      <c r="T214" s="57"/>
      <c r="U214" s="13"/>
      <c r="V214" s="13"/>
      <c r="W214" s="13"/>
      <c r="X214" s="13"/>
      <c r="Y214" s="13"/>
      <c r="Z214" s="13"/>
      <c r="AA214" s="13"/>
      <c r="AB214" s="13"/>
      <c r="AC214" s="13"/>
      <c r="AD214" s="13"/>
      <c r="AE214" s="13"/>
      <c r="AF214" s="13"/>
      <c r="AG214" s="13"/>
      <c r="AH214" s="13"/>
      <c r="AI214" s="13"/>
      <c r="AJ214" s="13"/>
      <c r="AK214" s="13"/>
      <c r="AL214" s="13"/>
      <c r="AM214" s="13"/>
      <c r="AN214" s="13"/>
      <c r="AO214" s="13"/>
      <c r="AQ214" s="13"/>
      <c r="AR214" s="13"/>
      <c r="AS214" s="13"/>
    </row>
    <row r="215" spans="1:86" ht="45.75" hidden="1" customHeight="1">
      <c r="A215" s="57"/>
      <c r="B215" s="57"/>
      <c r="C215" s="57"/>
      <c r="D215" s="57"/>
      <c r="E215" s="57"/>
      <c r="F215" s="57"/>
      <c r="G215" s="57"/>
      <c r="H215" s="57"/>
      <c r="I215" s="57"/>
      <c r="J215" s="57"/>
      <c r="K215" s="57"/>
      <c r="L215" s="57"/>
      <c r="M215" s="57"/>
      <c r="N215" s="57"/>
      <c r="O215" s="57"/>
      <c r="P215" s="57"/>
      <c r="Q215" s="57"/>
      <c r="R215" s="57"/>
      <c r="S215" s="57"/>
      <c r="T215" s="57"/>
      <c r="U215" s="13"/>
      <c r="V215" s="13"/>
      <c r="W215" s="13"/>
      <c r="X215" s="13"/>
      <c r="Y215" s="13"/>
      <c r="Z215" s="13"/>
      <c r="AA215" s="13"/>
      <c r="AB215" s="13"/>
      <c r="AC215" s="13"/>
      <c r="AD215" s="13"/>
      <c r="AE215" s="13"/>
      <c r="AF215" s="13"/>
      <c r="AG215" s="13"/>
      <c r="AH215" s="13"/>
      <c r="AI215" s="13"/>
      <c r="AJ215" s="13"/>
      <c r="AK215" s="13"/>
      <c r="AL215" s="13"/>
      <c r="AM215" s="13"/>
      <c r="AN215" s="13"/>
      <c r="AO215" s="13"/>
      <c r="AQ215" s="13"/>
      <c r="AR215" s="13"/>
      <c r="AS215" s="13"/>
    </row>
    <row r="216" spans="1:86" ht="45.75" hidden="1" customHeight="1">
      <c r="A216" s="57"/>
      <c r="B216" s="57"/>
      <c r="C216" s="57"/>
      <c r="D216" s="57"/>
      <c r="E216" s="57"/>
      <c r="F216" s="57"/>
      <c r="G216" s="57"/>
      <c r="H216" s="57"/>
      <c r="I216" s="57"/>
      <c r="J216" s="57"/>
      <c r="K216" s="57"/>
      <c r="L216" s="57"/>
      <c r="M216" s="57"/>
      <c r="N216" s="57"/>
      <c r="O216" s="57"/>
      <c r="P216" s="57"/>
      <c r="Q216" s="57"/>
      <c r="R216" s="57"/>
      <c r="S216" s="57"/>
      <c r="T216" s="57"/>
      <c r="U216" s="13"/>
      <c r="V216" s="13"/>
      <c r="W216" s="13"/>
      <c r="X216" s="13"/>
      <c r="Y216" s="13"/>
      <c r="Z216" s="13"/>
      <c r="AA216" s="13"/>
      <c r="AB216" s="13"/>
      <c r="AC216" s="13"/>
      <c r="AD216" s="13"/>
      <c r="AE216" s="13"/>
      <c r="AF216" s="13"/>
      <c r="AG216" s="13"/>
      <c r="AH216" s="13"/>
      <c r="AI216" s="13"/>
      <c r="AJ216" s="13"/>
      <c r="AK216" s="13"/>
      <c r="AL216" s="13"/>
      <c r="AM216" s="13"/>
      <c r="AN216" s="13"/>
      <c r="AO216" s="13"/>
      <c r="AQ216" s="13"/>
      <c r="AR216" s="13"/>
      <c r="AS216" s="13"/>
    </row>
    <row r="217" spans="1:86" ht="45.75" hidden="1" customHeight="1">
      <c r="A217" s="57"/>
      <c r="B217" s="57"/>
      <c r="C217" s="57"/>
      <c r="D217" s="57"/>
      <c r="E217" s="57"/>
      <c r="F217" s="57"/>
      <c r="G217" s="57"/>
      <c r="H217" s="57"/>
      <c r="I217" s="57"/>
      <c r="J217" s="57"/>
      <c r="K217" s="57"/>
      <c r="L217" s="57"/>
      <c r="M217" s="57"/>
      <c r="N217" s="57"/>
      <c r="O217" s="57"/>
      <c r="P217" s="57"/>
      <c r="Q217" s="57"/>
      <c r="R217" s="57"/>
      <c r="S217" s="57"/>
      <c r="T217" s="57"/>
      <c r="U217" s="13"/>
      <c r="V217" s="13"/>
      <c r="W217" s="13"/>
      <c r="X217" s="13"/>
      <c r="Y217" s="13"/>
      <c r="Z217" s="13"/>
      <c r="AA217" s="13"/>
      <c r="AB217" s="13"/>
      <c r="AC217" s="13"/>
      <c r="AD217" s="13"/>
      <c r="AE217" s="13"/>
      <c r="AF217" s="13"/>
      <c r="AG217" s="13"/>
      <c r="AH217" s="13"/>
      <c r="AI217" s="13"/>
      <c r="AJ217" s="13"/>
      <c r="AK217" s="13"/>
      <c r="AL217" s="13"/>
      <c r="AM217" s="13"/>
      <c r="AN217" s="13"/>
      <c r="AO217" s="13"/>
      <c r="AQ217" s="13"/>
      <c r="AR217" s="13"/>
      <c r="AS217" s="13"/>
    </row>
    <row r="218" spans="1:86">
      <c r="A218" s="57"/>
      <c r="B218" s="98"/>
      <c r="C218" s="57"/>
      <c r="D218" s="57"/>
      <c r="E218" s="57"/>
      <c r="F218" s="57"/>
      <c r="G218" s="57"/>
      <c r="H218" s="57"/>
      <c r="I218" s="57"/>
      <c r="J218" s="57"/>
      <c r="K218" s="57"/>
      <c r="L218" s="57"/>
      <c r="M218" s="57"/>
      <c r="N218" s="57"/>
      <c r="O218" s="57"/>
      <c r="P218" s="57"/>
      <c r="Q218" s="57"/>
      <c r="R218" s="57"/>
      <c r="S218" s="57"/>
      <c r="T218" s="57"/>
      <c r="U218" s="13"/>
      <c r="V218" s="13"/>
      <c r="W218" s="13"/>
      <c r="X218" s="13"/>
      <c r="Y218" s="13"/>
      <c r="Z218" s="13"/>
      <c r="AA218" s="13"/>
      <c r="AB218" s="13"/>
      <c r="AC218" s="13"/>
      <c r="AD218" s="13"/>
      <c r="AE218" s="13"/>
      <c r="AF218" s="13"/>
      <c r="AG218" s="13"/>
      <c r="AH218" s="13"/>
      <c r="AI218" s="13"/>
      <c r="AJ218" s="13"/>
      <c r="AK218" s="13"/>
      <c r="AL218" s="13"/>
      <c r="AM218" s="13"/>
      <c r="AN218" s="13"/>
      <c r="AO218" s="13"/>
      <c r="AQ218" s="13"/>
      <c r="AR218" s="13"/>
      <c r="AS218" s="13"/>
    </row>
    <row r="219" spans="1:86" ht="28.5">
      <c r="A219" s="99"/>
      <c r="B219" s="100"/>
      <c r="C219" s="100"/>
      <c r="D219" s="100"/>
      <c r="E219" s="100"/>
      <c r="F219" s="100"/>
      <c r="G219" s="100"/>
      <c r="H219" s="651"/>
      <c r="I219" s="652"/>
      <c r="J219" s="652"/>
      <c r="K219" s="653"/>
      <c r="L219" s="651"/>
      <c r="M219" s="652"/>
      <c r="N219" s="652"/>
      <c r="O219" s="653"/>
      <c r="P219" s="106"/>
      <c r="Q219" s="107"/>
      <c r="R219" s="107"/>
      <c r="S219" s="107"/>
      <c r="T219" s="108"/>
      <c r="U219" s="13"/>
      <c r="V219" s="13"/>
      <c r="W219" s="13"/>
      <c r="X219" s="13"/>
      <c r="Y219" s="13"/>
      <c r="Z219" s="13"/>
      <c r="AA219" s="13"/>
      <c r="AB219" s="13"/>
      <c r="AC219" s="13"/>
      <c r="AD219" s="13"/>
      <c r="AE219" s="13"/>
      <c r="AF219" s="13"/>
      <c r="AG219" s="13"/>
      <c r="AH219" s="13"/>
      <c r="AI219" s="13"/>
      <c r="AJ219" s="13"/>
      <c r="AK219" s="13"/>
      <c r="AL219" s="13"/>
      <c r="AM219" s="13"/>
      <c r="AN219" s="13"/>
      <c r="AO219" s="13"/>
      <c r="AQ219" s="13"/>
      <c r="AR219" s="13"/>
      <c r="AS219" s="13"/>
      <c r="AT219" s="13"/>
      <c r="AU219" s="13"/>
      <c r="AV219" s="13"/>
      <c r="AW219" s="13"/>
      <c r="AX219" s="13"/>
      <c r="AY219" s="13"/>
      <c r="AZ219" s="13"/>
      <c r="BA219" s="13"/>
      <c r="BB219" s="13"/>
      <c r="BC219" s="13"/>
    </row>
    <row r="220" spans="1:86" ht="87" customHeight="1">
      <c r="A220" s="101" t="str">
        <f ca="1">Translations!A91</f>
        <v>No.</v>
      </c>
      <c r="B220" s="102" t="str">
        <f ca="1">Translations!A28</f>
        <v>Módulos</v>
      </c>
      <c r="C220" s="102" t="str">
        <f ca="1">Translations!A35</f>
        <v>Población</v>
      </c>
      <c r="D220" s="102" t="str">
        <f ca="1">Translations!A46</f>
        <v>Intervención</v>
      </c>
      <c r="E220" s="102" t="str">
        <f ca="1">Translations!A85</f>
        <v>Actividad clave</v>
      </c>
      <c r="F220" s="102" t="str">
        <f ca="1">Translations!A52</f>
        <v>Receptor principal responsible</v>
      </c>
      <c r="G220" s="102" t="str">
        <f ca="1">Translations!A53</f>
        <v>País</v>
      </c>
      <c r="H220" s="103" t="str">
        <f ca="1">Translations!A100</f>
        <v>Fechas</v>
      </c>
      <c r="I220" s="654" t="str">
        <f ca="1">Translations!A99</f>
        <v>Hitos</v>
      </c>
      <c r="J220" s="654"/>
      <c r="K220" s="654"/>
      <c r="L220" s="654"/>
      <c r="M220" s="655"/>
      <c r="N220" s="656" t="str">
        <f ca="1">Translations!A87</f>
        <v>Criterios para la finalización</v>
      </c>
      <c r="O220" s="654"/>
      <c r="P220" s="654"/>
      <c r="Q220" s="654"/>
      <c r="R220" s="654"/>
      <c r="S220" s="654"/>
      <c r="T220" s="109"/>
      <c r="U220" s="13"/>
      <c r="V220" s="13"/>
      <c r="W220" s="13"/>
      <c r="X220" s="13"/>
      <c r="Y220" s="13"/>
      <c r="Z220" s="13"/>
      <c r="AA220" s="13"/>
      <c r="AB220" s="13"/>
      <c r="AC220" s="13"/>
      <c r="AD220" s="13"/>
      <c r="AE220" s="13"/>
      <c r="AF220" s="13"/>
      <c r="AG220" s="13"/>
      <c r="AH220" s="13"/>
      <c r="AI220" s="13"/>
      <c r="AJ220" s="13"/>
      <c r="AK220" s="13"/>
      <c r="AL220" s="13"/>
      <c r="AM220" s="13"/>
      <c r="AN220" s="13"/>
      <c r="AO220" s="13"/>
      <c r="AQ220" s="13"/>
      <c r="AR220" s="13"/>
      <c r="AS220" s="13"/>
      <c r="AT220" s="13"/>
      <c r="AU220" s="13"/>
      <c r="AV220" s="13"/>
      <c r="AW220" s="13"/>
      <c r="AX220" s="13"/>
      <c r="AY220" s="13"/>
      <c r="AZ220" s="13"/>
      <c r="BA220" s="13"/>
      <c r="BB220" s="13"/>
      <c r="BC220" s="13"/>
    </row>
    <row r="221" spans="1:86" ht="60" customHeight="1">
      <c r="A221" s="602">
        <v>1</v>
      </c>
      <c r="B221" s="590" t="str">
        <f ca="1">IFERROR(IF(INDEX('WPTM - Section F'!B$1:B$100,MATCH('Print View'!$A221,'WPTM - Section F'!$A$1:$A$100,0))&lt;&gt;0,INDEX('WPTM - Section F'!B$1:B$100,MATCH('Print View'!$A221,'WPTM - Section F'!$A$1:$A$100,0)),""),"")</f>
        <v>Servicios diferenciados de diagnóstico del VIH</v>
      </c>
      <c r="C221" s="587" t="str">
        <f ca="1">IFERROR(IF(INDEX('WPTM - Section F'!C$1:C$100,MATCH('Print View'!$A221,'WPTM - Section F'!$A$1:$A$100,0))&lt;&gt;0,INDEX('WPTM - Section F'!C$1:C$100,MATCH('Print View'!$A221,'WPTM - Section F'!$A$1:$A$100,0)),""),"")</f>
        <v>Trabajadoras sexuales y sus clientes, GB-HSH, Trans</v>
      </c>
      <c r="D221" s="590" t="str">
        <f ca="1">IFERROR(IF(INDEX('WPTM - Section F'!D$1:D$100,MATCH('Print View'!$A221,'WPTM - Section F'!$A$1:$A$100,0))&lt;&gt;0,INDEX('WPTM - Section F'!D$1:D$100,MATCH('Print View'!$A221,'WPTM - Section F'!$A$1:$A$100,0)),""),"")</f>
        <v>Pruebas a nivel comunitario</v>
      </c>
      <c r="E221" s="590" t="str">
        <f ca="1">IFERROR(IF(INDEX('WPTM - Section F'!E$1:E$100,MATCH('Print View'!$A221,'WPTM - Section F'!$A$1:$A$100,0))&lt;&gt;0,INDEX('WPTM - Section F'!E$1:E$100,MATCH('Print View'!$A221,'WPTM - Section F'!$A$1:$A$100,0)),""),"")</f>
        <v>Realizar la encuesta biológica y comportamental integrada para obtener una estimación del tamaño de las poblaciones de trabajadoras sexuales en las ciudades de La Paz, El Alto, Cochabamba y Santa Cruz</v>
      </c>
      <c r="F221" s="590" t="str">
        <f ca="1">IFERROR(IF(INDEX('WPTM - Section F'!F$1:F$100,MATCH('Print View'!$A221,'WPTM - Section F'!$A$1:$A$100,0))&lt;&gt;0,INDEX('WPTM - Section F'!F$1:F$100,MATCH('Print View'!$A221,'WPTM - Section F'!$A$1:$A$100,0)),""),"")</f>
        <v>United Nations Development Programme</v>
      </c>
      <c r="G221" s="640" t="str">
        <f ca="1">IFERROR(IF(INDEX('WPTM - Section F'!G$1:G$100,MATCH('Print View'!$A221,'WPTM - Section F'!$A$1:$A$100,0))&lt;&gt;0,INDEX('WPTM - Section F'!G$1:G$100,MATCH('Print View'!$A221,'WPTM - Section F'!$A$1:$A$100,0)),""),"")</f>
        <v>Bolivia (Plurinational State)</v>
      </c>
      <c r="H221" s="104" t="str">
        <f ca="1">IF(IFERROR(INDEX('Overview - Section A'!$A$47:$A$54,MATCH(D$23,'Overview - Section A'!$B$47:$B$54,0)),"")="","",TEXT(IFERROR(INDEX('Overview - Section A'!$A$47:$A$54,MATCH(D$23,'Overview - Section A'!$B$47:$B$54,0)),""),Setup!$A$33)&amp;" to "&amp;TEXT(IFERROR(INDEX('Overview - Section A'!$E$47:$E$54,MATCH(D$23,'Overview - Section A'!$B$47:$B$54,0)),""),Setup!$A$33))</f>
        <v>1-Jan-23 to 31-Dec-23</v>
      </c>
      <c r="I221" s="605" t="str">
        <f ca="1">IFERROR(IF(INDEX('WPTM - Section F'!J$1:J$100,MATCH('Print View'!$A221,'WPTM - Section F'!$A$1:$A$100,0))&lt;&gt;0,INDEX('WPTM - Section F'!J$1:J$100,MATCH('Print View'!$A221,'WPTM - Section F'!$A$1:$A$100,0)),""),"")</f>
        <v>The country has completed the biological and behavioral survey and an estimate of the size of the sex worker populations, including those without a health card, has been obtained by geographic area allowing for the development of differentiated packages of services.</v>
      </c>
      <c r="J221" s="606"/>
      <c r="K221" s="606"/>
      <c r="L221" s="606"/>
      <c r="M221" s="607"/>
      <c r="N221" s="605" t="str">
        <f ca="1">IFERROR(IF(INDEX('WPTM - Section F'!K$1:K$100,MATCH('Print View'!$A221,'WPTM - Section F'!$A$1:$A$100,0))&lt;&gt;"",INDEX('WPTM - Section F'!K$1:K$100,MATCH('Print View'!$A221,'WPTM - Section F'!$A$1:$A$100,0)),""),"")</f>
        <v>Not started (0): The PR submits no progress against the milestones for the period.
Initiated (1): Principal Recipient submits a draft survey report.
Advanced (2): The Principal Recipient submits a final survey report validated by the Ministry of Health and stakeholders.
Completed (3): The PR submits a final survey report validated by the MoH and stakeholders, and evidence that it has been used by the MoH as a basis for the development of differentiated packages of services for FSW</v>
      </c>
      <c r="O221" s="606"/>
      <c r="P221" s="606"/>
      <c r="Q221" s="606"/>
      <c r="R221" s="606"/>
      <c r="S221" s="607"/>
      <c r="T221" s="110"/>
      <c r="U221" s="13"/>
      <c r="V221" s="13"/>
      <c r="W221" s="13"/>
      <c r="X221" s="13"/>
      <c r="Y221" s="13"/>
      <c r="Z221" s="13"/>
      <c r="AA221" s="13"/>
      <c r="AB221" s="13"/>
      <c r="AC221" s="13"/>
      <c r="AD221" s="13"/>
      <c r="AE221" s="13"/>
      <c r="AF221" s="13"/>
      <c r="AG221" s="13"/>
      <c r="AH221" s="13"/>
      <c r="AI221" s="13"/>
      <c r="AJ221" s="13"/>
      <c r="AK221" s="13"/>
      <c r="AL221" s="13"/>
      <c r="AM221" s="13"/>
      <c r="AN221" s="13"/>
      <c r="AO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row>
    <row r="222" spans="1:86" ht="60" customHeight="1">
      <c r="A222" s="603"/>
      <c r="B222" s="591"/>
      <c r="C222" s="588"/>
      <c r="D222" s="591"/>
      <c r="E222" s="591"/>
      <c r="F222" s="591"/>
      <c r="G222" s="641"/>
      <c r="H222" s="104" t="str">
        <f ca="1">IF(IFERROR(INDEX('Overview - Section A'!$A$47:$A$54,MATCH(D$24,'Overview - Section A'!$B$47:$B$54,0)),"")="","",TEXT(IFERROR(INDEX('Overview - Section A'!$A$47:$A$54,MATCH(D$24,'Overview - Section A'!$B$47:$B$54,0)),""),Setup!$A$33)&amp;" to "&amp;TEXT(IFERROR(INDEX('Overview - Section A'!$E$47:$E$54,MATCH(D$24,'Overview - Section A'!$B$47:$B$54,0)),""),Setup!$A$33))</f>
        <v>1-Jan-24 to 31-Dec-24</v>
      </c>
      <c r="I222" s="605" t="str">
        <f ca="1">IFERROR(IF(INDEX('WPTM - Section F'!N$1:N$100,MATCH('Print View'!$A221,'WPTM - Section F'!$A$1:$A$100,0))&lt;&gt;0,INDEX('WPTM - Section F'!N$1:N$100,MATCH('Print View'!$A221,'WPTM - Section F'!$A$1:$A$100,0)),""),"")</f>
        <v/>
      </c>
      <c r="J222" s="606"/>
      <c r="K222" s="606"/>
      <c r="L222" s="606"/>
      <c r="M222" s="607"/>
      <c r="N222" s="605" t="str">
        <f ca="1">IFERROR(IF(INDEX('WPTM - Section F'!O$1:O$100,MATCH('Print View'!$A221,'WPTM - Section F'!$A$1:$A$100,0))&lt;&gt;0,INDEX('WPTM - Section F'!O$1:O$100,MATCH('Print View'!$A221,'WPTM - Section F'!$A$1:$A$100,0)),""),"")</f>
        <v/>
      </c>
      <c r="O222" s="606"/>
      <c r="P222" s="606"/>
      <c r="Q222" s="606"/>
      <c r="R222" s="606"/>
      <c r="S222" s="607"/>
      <c r="T222" s="110"/>
      <c r="U222" s="13"/>
      <c r="V222" s="13"/>
      <c r="W222" s="13"/>
      <c r="X222" s="13"/>
      <c r="Y222" s="13"/>
      <c r="Z222" s="13"/>
      <c r="AA222" s="13"/>
      <c r="AB222" s="13"/>
      <c r="AC222" s="13"/>
      <c r="AD222" s="13"/>
      <c r="AE222" s="13"/>
      <c r="AF222" s="13"/>
      <c r="AG222" s="13"/>
      <c r="AH222" s="13"/>
      <c r="AI222" s="13"/>
      <c r="AJ222" s="13"/>
      <c r="AK222" s="13"/>
      <c r="AL222" s="13"/>
      <c r="AM222" s="13"/>
      <c r="AN222" s="13"/>
      <c r="AO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row>
    <row r="223" spans="1:86" ht="60" customHeight="1">
      <c r="A223" s="603"/>
      <c r="B223" s="591"/>
      <c r="C223" s="588"/>
      <c r="D223" s="591"/>
      <c r="E223" s="591"/>
      <c r="F223" s="591"/>
      <c r="G223" s="641"/>
      <c r="H223" s="104" t="str">
        <f ca="1">IF(IFERROR(INDEX('Overview - Section A'!$A$47:$A$54,MATCH(D$25,'Overview - Section A'!$B$47:$B$54,0)),"")="","",TEXT(IFERROR(INDEX('Overview - Section A'!$A$47:$A$54,MATCH(D$25,'Overview - Section A'!$B$47:$B$54,0)),""),Setup!$A$33)&amp;" to "&amp;TEXT(IFERROR(INDEX('Overview - Section A'!$E$47:$E$54,MATCH(D$25,'Overview - Section A'!$B$47:$B$54,0)),""),Setup!$A$33))</f>
        <v>1-Jan-25 to 31-Dec-25</v>
      </c>
      <c r="I223" s="605" t="str">
        <f ca="1">IFERROR(IF(INDEX('WPTM - Section F'!R$1:R$100,MATCH('Print View'!$A221,'WPTM - Section F'!$A$1:$A$100,0))&lt;&gt;0,INDEX('WPTM - Section F'!R$1:R$100,MATCH('Print View'!$A221,'WPTM - Section F'!$A$1:$A$100,0)),""),"")</f>
        <v/>
      </c>
      <c r="J223" s="606"/>
      <c r="K223" s="606"/>
      <c r="L223" s="606"/>
      <c r="M223" s="607"/>
      <c r="N223" s="605" t="str">
        <f ca="1">IFERROR(IF(INDEX('WPTM - Section F'!S$1:S$100,MATCH('Print View'!$A221,'WPTM - Section F'!$A$1:$A$100,0))&lt;&gt;0,INDEX('WPTM - Section F'!S$1:S$100,MATCH('Print View'!$A221,'WPTM - Section F'!$A$1:$A$100,0)),""),"")</f>
        <v/>
      </c>
      <c r="O223" s="606"/>
      <c r="P223" s="606"/>
      <c r="Q223" s="606"/>
      <c r="R223" s="606"/>
      <c r="S223" s="607"/>
      <c r="T223" s="110"/>
      <c r="U223" s="13"/>
      <c r="V223" s="13"/>
      <c r="W223" s="13"/>
      <c r="X223" s="13"/>
      <c r="Y223" s="13"/>
      <c r="Z223" s="13"/>
      <c r="AA223" s="13"/>
      <c r="AB223" s="13"/>
      <c r="AC223" s="13"/>
      <c r="AD223" s="13"/>
      <c r="AE223" s="13"/>
      <c r="AF223" s="13"/>
      <c r="AG223" s="13"/>
      <c r="AH223" s="13"/>
      <c r="AI223" s="13"/>
      <c r="AJ223" s="13"/>
      <c r="AK223" s="13"/>
      <c r="AL223" s="13"/>
      <c r="AM223" s="13"/>
      <c r="AN223" s="13"/>
      <c r="AO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row>
    <row r="224" spans="1:86" ht="60" customHeight="1">
      <c r="A224" s="603"/>
      <c r="B224" s="591"/>
      <c r="C224" s="588"/>
      <c r="D224" s="591"/>
      <c r="E224" s="591"/>
      <c r="F224" s="591"/>
      <c r="G224" s="641"/>
      <c r="H224" s="104" t="str">
        <f ca="1">IF(IFERROR(INDEX('Overview - Section A'!$A$47:$A$54,MATCH(D$26,'Overview - Section A'!$B$47:$B$54,0)),"")="","",TEXT(IFERROR(INDEX('Overview - Section A'!$A$47:$A$54,MATCH(D$26,'Overview - Section A'!$B$47:$B$54,0)),""),Setup!$A$33)&amp;" to "&amp;TEXT(IFERROR(INDEX('Overview - Section A'!$E$47:$E$54,MATCH(D$26,'Overview - Section A'!$B$47:$B$54,0)),""),Setup!$A$33))</f>
        <v>1-Jan-26 to 31-Dec-26</v>
      </c>
      <c r="I224" s="605" t="str">
        <f ca="1">IFERROR(IF(INDEX('WPTM - Section F'!V$1:V$100,MATCH('Print View'!$A221,'WPTM - Section F'!$A$1:$A$100,0))&lt;&gt;0,INDEX('WPTM - Section F'!V$1:V$100,MATCH('Print View'!$A221,'WPTM - Section F'!$A$1:$A$100,0)),""),"")</f>
        <v/>
      </c>
      <c r="J224" s="606"/>
      <c r="K224" s="606"/>
      <c r="L224" s="606"/>
      <c r="M224" s="607"/>
      <c r="N224" s="605" t="str">
        <f ca="1">IFERROR(IF(INDEX('WPTM - Section F'!W$1:W$100,MATCH('Print View'!$A221,'WPTM - Section F'!$A$1:$A$100,0))&lt;&gt;0,INDEX('WPTM - Section F'!W$1:W$100,MATCH('Print View'!$A221,'WPTM - Section F'!$A$1:$A$100,0)),""),"")</f>
        <v/>
      </c>
      <c r="O224" s="606"/>
      <c r="P224" s="606"/>
      <c r="Q224" s="606"/>
      <c r="R224" s="606"/>
      <c r="S224" s="607"/>
      <c r="T224" s="110"/>
      <c r="U224" s="13"/>
      <c r="V224" s="13"/>
      <c r="W224" s="13"/>
      <c r="X224" s="13"/>
      <c r="Y224" s="13"/>
      <c r="Z224" s="13"/>
      <c r="AA224" s="13"/>
      <c r="AB224" s="13"/>
      <c r="AC224" s="13"/>
      <c r="AD224" s="13"/>
      <c r="AE224" s="13"/>
      <c r="AF224" s="13"/>
      <c r="AG224" s="13"/>
      <c r="AH224" s="13"/>
      <c r="AI224" s="13"/>
      <c r="AJ224" s="13"/>
      <c r="AK224" s="13"/>
      <c r="AL224" s="13"/>
      <c r="AM224" s="13"/>
      <c r="AN224" s="13"/>
      <c r="AO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row>
    <row r="225" spans="1:86" ht="60" customHeight="1">
      <c r="A225" s="603"/>
      <c r="B225" s="591"/>
      <c r="C225" s="588"/>
      <c r="D225" s="591"/>
      <c r="E225" s="591"/>
      <c r="F225" s="591"/>
      <c r="G225" s="641"/>
      <c r="H225" s="104" t="str">
        <f ca="1">IF(IFERROR(INDEX('Overview - Section A'!$A$47:$A$54,MATCH(D$27,'Overview - Section A'!$B$47:$B$54,0)),"")="","",TEXT(IFERROR(INDEX('Overview - Section A'!$A$47:$A$54,MATCH(D$27,'Overview - Section A'!$B$47:$B$54,0)),""),Setup!$A$33)&amp;" to "&amp;TEXT(IFERROR(INDEX('Overview - Section A'!$E$47:$E$54,MATCH(D$27,'Overview - Section A'!$B$47:$B$54,0)),""),Setup!$A$33))</f>
        <v>1-Jan-27 to 31-Dec-27</v>
      </c>
      <c r="I225" s="605" t="str">
        <f ca="1">IFERROR(IF(INDEX('WPTM - Section F'!Z$1:Z$100,MATCH('Print View'!$A221,'WPTM - Section F'!$A$1:$A$100,0))&lt;&gt;0,INDEX('WPTM - Section F'!Z$1:Z$100,MATCH('Print View'!$A221,'WPTM - Section F'!$A$1:$A$100,0)),""),"")</f>
        <v/>
      </c>
      <c r="J225" s="606"/>
      <c r="K225" s="606"/>
      <c r="L225" s="606"/>
      <c r="M225" s="607"/>
      <c r="N225" s="605" t="str">
        <f ca="1">IFERROR(IF(INDEX('WPTM - Section F'!AA$1:AA$100,MATCH('Print View'!$A221,'WPTM - Section F'!$A$1:$A$100,0))&lt;&gt;0,INDEX('WPTM - Section F'!AA$1:AA$100,MATCH('Print View'!$A221,'WPTM - Section F'!$A$1:$A$100,0)),""),"")</f>
        <v/>
      </c>
      <c r="O225" s="606"/>
      <c r="P225" s="606"/>
      <c r="Q225" s="606"/>
      <c r="R225" s="606"/>
      <c r="S225" s="607"/>
      <c r="T225" s="110"/>
      <c r="U225" s="13"/>
      <c r="V225" s="13"/>
      <c r="W225" s="13"/>
      <c r="X225" s="13"/>
      <c r="Y225" s="13"/>
      <c r="Z225" s="13"/>
      <c r="AA225" s="13"/>
      <c r="AB225" s="13"/>
      <c r="AC225" s="13"/>
      <c r="AD225" s="13"/>
      <c r="AE225" s="13"/>
      <c r="AF225" s="13"/>
      <c r="AG225" s="13"/>
      <c r="AH225" s="13"/>
      <c r="AI225" s="13"/>
      <c r="AJ225" s="13"/>
      <c r="AK225" s="13"/>
      <c r="AL225" s="13"/>
      <c r="AM225" s="13"/>
      <c r="AN225" s="13"/>
      <c r="AO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row>
    <row r="226" spans="1:86" ht="60" customHeight="1">
      <c r="A226" s="603"/>
      <c r="B226" s="591"/>
      <c r="C226" s="588"/>
      <c r="D226" s="591"/>
      <c r="E226" s="591"/>
      <c r="F226" s="591"/>
      <c r="G226" s="641"/>
      <c r="H226" s="104" t="str">
        <f ca="1">IF(IFERROR(INDEX('Overview - Section A'!$A$47:$A$54,MATCH(D$28,'Overview - Section A'!$B$47:$B$54,0)),"")="","",TEXT(IFERROR(INDEX('Overview - Section A'!$A$47:$A$54,MATCH(D$28,'Overview - Section A'!$B$47:$B$54,0)),""),Setup!$A$33)&amp;" to "&amp;TEXT(IFERROR(INDEX('Overview - Section A'!$E$47:$E$54,MATCH(D$28,'Overview - Section A'!$B$47:$B$54,0)),""),Setup!$A$33))</f>
        <v>1-Jan-28 to 31-Dec-28</v>
      </c>
      <c r="I226" s="605" t="str">
        <f ca="1">IFERROR(IF(INDEX('WPTM - Section F'!AD$1:AD$100,MATCH('Print View'!$A221,'WPTM - Section F'!$A$1:$A$100,0))&lt;&gt;0,INDEX('WPTM - Section F'!AD$1:AD$100,MATCH('Print View'!$A221,'WPTM - Section F'!$A$1:$A$100,0)),""),"")</f>
        <v/>
      </c>
      <c r="J226" s="606"/>
      <c r="K226" s="606"/>
      <c r="L226" s="606"/>
      <c r="M226" s="607"/>
      <c r="N226" s="605" t="str">
        <f ca="1">IFERROR(IF(INDEX('WPTM - Section F'!AE$1:AE$100,MATCH('Print View'!$A221,'WPTM - Section F'!$A$1:$A$100,0))&lt;&gt;0,INDEX('WPTM - Section F'!AE$1:AE$100,MATCH('Print View'!$A221,'WPTM - Section F'!$A$1:$A$100,0)),""),"")</f>
        <v/>
      </c>
      <c r="O226" s="606"/>
      <c r="P226" s="606"/>
      <c r="Q226" s="606"/>
      <c r="R226" s="606"/>
      <c r="S226" s="607"/>
      <c r="T226" s="110"/>
      <c r="U226" s="13"/>
      <c r="V226" s="13"/>
      <c r="W226" s="13"/>
      <c r="X226" s="13"/>
      <c r="Y226" s="13"/>
      <c r="Z226" s="13"/>
      <c r="AA226" s="13"/>
      <c r="AB226" s="13"/>
      <c r="AC226" s="13"/>
      <c r="AD226" s="13"/>
      <c r="AE226" s="13"/>
      <c r="AF226" s="13"/>
      <c r="AG226" s="13"/>
      <c r="AH226" s="13"/>
      <c r="AI226" s="13"/>
      <c r="AJ226" s="13"/>
      <c r="AK226" s="13"/>
      <c r="AL226" s="13"/>
      <c r="AM226" s="13"/>
      <c r="AN226" s="13"/>
      <c r="AO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row>
    <row r="227" spans="1:86" ht="60" customHeight="1">
      <c r="A227" s="603"/>
      <c r="B227" s="592"/>
      <c r="C227" s="589"/>
      <c r="D227" s="592"/>
      <c r="E227" s="592"/>
      <c r="F227" s="592"/>
      <c r="G227" s="642"/>
      <c r="H227" s="104" t="str">
        <f ca="1">IF(IFERROR(INDEX('Overview - Section A'!$A$47:$A$54,MATCH(D$29,'Overview - Section A'!$B$47:$B$54,0)),"")="","",TEXT(IFERROR(INDEX('Overview - Section A'!$A$47:$A$54,MATCH(D$29,'Overview - Section A'!$B$47:$B$54,0)),""),Setup!$A$33)&amp;" to "&amp;TEXT(IFERROR(INDEX('Overview - Section A'!$E$47:$E$54,MATCH(D$29,'Overview - Section A'!$B$47:$B$54,0)),""),Setup!$A$33))</f>
        <v/>
      </c>
      <c r="I227" s="605" t="str">
        <f ca="1">IFERROR(IF(INDEX('WPTM - Section F'!AH$1:AH$100,MATCH('Print View'!$A221,'WPTM - Section F'!$A$1:$A$100,0))&lt;&gt;0,INDEX('WPTM - Section F'!AH$1:AH$100,MATCH('Print View'!$A221,'WPTM - Section F'!$A$1:$A$100,0)),""),"")</f>
        <v/>
      </c>
      <c r="J227" s="606"/>
      <c r="K227" s="606"/>
      <c r="L227" s="606"/>
      <c r="M227" s="607"/>
      <c r="N227" s="605" t="str">
        <f ca="1">IFERROR(IF(INDEX('WPTM - Section F'!AI$1:AI$100,MATCH('Print View'!$A221,'WPTM - Section F'!$A$1:$A$100,0))&lt;&gt;0,INDEX('WPTM - Section F'!AI$1:AI$100,MATCH('Print View'!$A221,'WPTM - Section F'!$A$1:$A$100,0)),""),"")</f>
        <v/>
      </c>
      <c r="O227" s="606"/>
      <c r="P227" s="606"/>
      <c r="Q227" s="606"/>
      <c r="R227" s="606"/>
      <c r="S227" s="607"/>
      <c r="T227" s="110"/>
      <c r="U227" s="13"/>
      <c r="V227" s="13"/>
      <c r="W227" s="13"/>
      <c r="X227" s="13"/>
      <c r="Y227" s="13"/>
      <c r="Z227" s="13"/>
      <c r="AA227" s="13"/>
      <c r="AB227" s="13"/>
      <c r="AC227" s="13"/>
      <c r="AD227" s="13"/>
      <c r="AE227" s="13"/>
      <c r="AF227" s="13"/>
      <c r="AG227" s="13"/>
      <c r="AH227" s="13"/>
      <c r="AI227" s="13"/>
      <c r="AJ227" s="13"/>
      <c r="AK227" s="13"/>
      <c r="AL227" s="13"/>
      <c r="AM227" s="13"/>
      <c r="AN227" s="13"/>
      <c r="AO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row>
    <row r="228" spans="1:86" ht="60" customHeight="1">
      <c r="A228" s="604"/>
      <c r="B228" s="637" t="str">
        <f ca="1">IFERROR(IF(INDEX('WPTM - Section F'!AV$1:AV$100,MATCH('Print View'!$A221,'WPTM - Section F'!$A$1:$A$100,0))&lt;&gt;0,INDEX('WPTM - Section F'!AV$1:AV$100,MATCH('Print View'!$A221,'WPTM - Section F'!$A$1:$A$100,0)),""),"")</f>
        <v/>
      </c>
      <c r="C228" s="638"/>
      <c r="D228" s="638"/>
      <c r="E228" s="638"/>
      <c r="F228" s="638"/>
      <c r="G228" s="638"/>
      <c r="H228" s="638"/>
      <c r="I228" s="638"/>
      <c r="J228" s="638"/>
      <c r="K228" s="638"/>
      <c r="L228" s="638"/>
      <c r="M228" s="638"/>
      <c r="N228" s="638"/>
      <c r="O228" s="638"/>
      <c r="P228" s="638"/>
      <c r="Q228" s="638"/>
      <c r="R228" s="638"/>
      <c r="S228" s="639"/>
      <c r="T228" s="111"/>
      <c r="U228" s="13"/>
      <c r="V228" s="13"/>
      <c r="W228" s="13"/>
      <c r="X228" s="13"/>
      <c r="Y228" s="13"/>
      <c r="Z228" s="13"/>
      <c r="AA228" s="13"/>
      <c r="AB228" s="13"/>
      <c r="AC228" s="13"/>
      <c r="AD228" s="13"/>
      <c r="AE228" s="13"/>
      <c r="AF228" s="13"/>
      <c r="AG228" s="13"/>
      <c r="AH228" s="13"/>
      <c r="AI228" s="13"/>
      <c r="AJ228" s="13"/>
      <c r="AK228" s="13"/>
      <c r="AL228" s="13"/>
      <c r="AM228" s="13"/>
      <c r="AN228" s="13"/>
      <c r="AO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row>
    <row r="229" spans="1:86" s="18" customFormat="1" ht="60" customHeight="1">
      <c r="A229" s="610">
        <v>2</v>
      </c>
      <c r="B229" s="581" t="str">
        <f ca="1">IFERROR(IF(INDEX('WPTM - Section F'!B$1:B$100,MATCH('Print View'!$A229,'WPTM - Section F'!$A$1:$A$100,0))&lt;&gt;0,INDEX('WPTM - Section F'!B$1:B$100,MATCH('Print View'!$A229,'WPTM - Section F'!$A$1:$A$100,0)),""),"")</f>
        <v>Prevención</v>
      </c>
      <c r="C229" s="584" t="str">
        <f ca="1">IFERROR(IF(INDEX('WPTM - Section F'!C$1:C$100,MATCH('Print View'!$A229,'WPTM - Section F'!$A$1:$A$100,0))&lt;&gt;0,INDEX('WPTM - Section F'!C$1:C$100,MATCH('Print View'!$A229,'WPTM - Section F'!$A$1:$A$100,0)),""),"")</f>
        <v>GB-HSH, Trans</v>
      </c>
      <c r="D229" s="581" t="str">
        <f ca="1">IFERROR(IF(INDEX('WPTM - Section F'!D$1:D$100,MATCH('Print View'!$A229,'WPTM - Section F'!$A$1:$A$100,0))&lt;&gt;0,INDEX('WPTM - Section F'!D$1:D$100,MATCH('Print View'!$A229,'WPTM - Section F'!$A$1:$A$100,0)),""),"")</f>
        <v>PrEP</v>
      </c>
      <c r="E229" s="581" t="str">
        <f ca="1">IFERROR(IF(INDEX('WPTM - Section F'!E$1:E$100,MATCH('Print View'!$A229,'WPTM - Section F'!$A$1:$A$100,0))&lt;&gt;0,INDEX('WPTM - Section F'!E$1:E$100,MATCH('Print View'!$A229,'WPTM - Section F'!$A$1:$A$100,0)),""),"")</f>
        <v xml:space="preserve">Elaboracion de plan expansion de PrEP a escala nacional basado en las lecciones aprendidas de los pilotos </v>
      </c>
      <c r="F229" s="581" t="str">
        <f ca="1">IFERROR(IF(INDEX('WPTM - Section F'!F$1:F$100,MATCH('Print View'!$A229,'WPTM - Section F'!$A$1:$A$100,0))&lt;&gt;0,INDEX('WPTM - Section F'!F$1:F$100,MATCH('Print View'!$A229,'WPTM - Section F'!$A$1:$A$100,0)),""),"")</f>
        <v>United Nations Development Programme</v>
      </c>
      <c r="G229" s="643" t="str">
        <f ca="1">IFERROR(IF(INDEX('WPTM - Section F'!G$1:G$100,MATCH('Print View'!$A229,'WPTM - Section F'!$A$1:$A$100,0))&lt;&gt;0,INDEX('WPTM - Section F'!G$1:G$100,MATCH('Print View'!$A229,'WPTM - Section F'!$A$1:$A$100,0)),""),"")</f>
        <v>Bolivia (Plurinational State)</v>
      </c>
      <c r="H229" s="105" t="str">
        <f ca="1">IF(IFERROR(INDEX('Overview - Section A'!$A$47:$A$54,MATCH(D$23,'Overview - Section A'!$B$47:$B$54,0)),"")="","",TEXT(IFERROR(INDEX('Overview - Section A'!$A$47:$A$54,MATCH(D$23,'Overview - Section A'!$B$47:$B$54,0)),""),Setup!$A$33)&amp;" to "&amp;TEXT(IFERROR(INDEX('Overview - Section A'!$E$47:$E$54,MATCH(D$23,'Overview - Section A'!$B$47:$B$54,0)),""),Setup!$A$33))</f>
        <v>1-Jan-23 to 31-Dec-23</v>
      </c>
      <c r="I229" s="596" t="str">
        <f ca="1">IFERROR(IF(INDEX('WPTM - Section F'!J$1:J$100,MATCH('Print View'!$A229,'WPTM - Section F'!$A$1:$A$100,0))&lt;&gt;0,INDEX('WPTM - Section F'!J$1:J$100,MATCH('Print View'!$A229,'WPTM - Section F'!$A$1:$A$100,0)),""),"")</f>
        <v>Completion of the pilot study to evaluate the feasibility and acceptability of PrEP according to the protocol developed jointly with PAHO, as part of the combined prevention package offered to the MSM GB Trans population in the cities of Santa Cruz de la Sierra and Cochabamba.</v>
      </c>
      <c r="J229" s="597"/>
      <c r="K229" s="597"/>
      <c r="L229" s="597"/>
      <c r="M229" s="598"/>
      <c r="N229" s="596" t="str">
        <f ca="1">IFERROR(IF(INDEX('WPTM - Section F'!K$1:K$100,MATCH('Print View'!$A229,'WPTM - Section F'!$A$1:$A$100,0))&lt;&gt;0,INDEX('WPTM - Section F'!K$1:K$100,MATCH('Print View'!$A229,'WPTM - Section F'!$A$1:$A$100,0)),""),"")</f>
        <v>Not started (0): The PR submits no progress against the milestones for the period.
Initiated (1): Principal Recipient submits a draft pilot report.
Advanced (2): Principal Recipient submits final survey report validated by MOH and stakeholders.
Completed (3): Principal Recipient submits a final survey report validated by the MoH and stakeholders, and evidence that it has been used by the MoH as a basis for the development of differentiated packages of services for FSW.</v>
      </c>
      <c r="O229" s="597"/>
      <c r="P229" s="597"/>
      <c r="Q229" s="597"/>
      <c r="R229" s="597"/>
      <c r="S229" s="597"/>
      <c r="T229" s="112"/>
    </row>
    <row r="230" spans="1:86" s="18" customFormat="1" ht="60" customHeight="1">
      <c r="A230" s="611"/>
      <c r="B230" s="582"/>
      <c r="C230" s="585"/>
      <c r="D230" s="582"/>
      <c r="E230" s="582"/>
      <c r="F230" s="582"/>
      <c r="G230" s="644"/>
      <c r="H230" s="105" t="str">
        <f ca="1">IF(IFERROR(INDEX('Overview - Section A'!$A$47:$A$54,MATCH(D$24,'Overview - Section A'!$B$47:$B$54,0)),"")="","",TEXT(IFERROR(INDEX('Overview - Section A'!$A$47:$A$54,MATCH(D$24,'Overview - Section A'!$B$47:$B$54,0)),""),Setup!$A$33)&amp;" to "&amp;TEXT(IFERROR(INDEX('Overview - Section A'!$E$47:$E$54,MATCH(D$24,'Overview - Section A'!$B$47:$B$54,0)),""),Setup!$A$33))</f>
        <v>1-Jan-24 to 31-Dec-24</v>
      </c>
      <c r="I230" s="596" t="str">
        <f ca="1">IFERROR(IF(INDEX('WPTM - Section F'!N$1:N$100,MATCH('Print View'!$A229,'WPTM - Section F'!$A$1:$A$100,0))&lt;&gt;0,INDEX('WPTM - Section F'!N$1:N$100,MATCH('Print View'!$A229,'WPTM - Section F'!$A$1:$A$100,0)),""),"")</f>
        <v>Finalization of the costed nationwide PrEP expansion plan based on the outcome of the pilot study.</v>
      </c>
      <c r="J230" s="597"/>
      <c r="K230" s="597"/>
      <c r="L230" s="597"/>
      <c r="M230" s="598"/>
      <c r="N230" s="596" t="str">
        <f ca="1">IFERROR(IF(INDEX('WPTM - Section F'!O$1:O$100,MATCH('Print View'!$A229,'WPTM - Section F'!$A$1:$A$100,0))&lt;&gt;0,INDEX('WPTM - Section F'!O$1:O$100,MATCH('Print View'!$A229,'WPTM - Section F'!$A$1:$A$100,0)),""),"")</f>
        <v>Not started (0): The PR submits no progress against the milestones for the period.
Initiated (1): Principal Recipient submits a draft expansion plan.
Advanced (2): Principal Recipient submits a final costed expansion plan validated by the MOH and stakeholders.
Completed (3): The PR submits a final costed expansion plan validated by the MoH and stakeholders, and evidence of plan execution (PrEP performance indicator report).</v>
      </c>
      <c r="O230" s="597"/>
      <c r="P230" s="597"/>
      <c r="Q230" s="597"/>
      <c r="R230" s="597"/>
      <c r="S230" s="597"/>
      <c r="T230" s="112"/>
    </row>
    <row r="231" spans="1:86" s="18" customFormat="1" ht="60" customHeight="1">
      <c r="A231" s="611"/>
      <c r="B231" s="582"/>
      <c r="C231" s="585"/>
      <c r="D231" s="582"/>
      <c r="E231" s="582"/>
      <c r="F231" s="582"/>
      <c r="G231" s="644"/>
      <c r="H231" s="105" t="str">
        <f ca="1">IF(IFERROR(INDEX('Overview - Section A'!$A$47:$A$54,MATCH(D$25,'Overview - Section A'!$B$47:$B$54,0)),"")="","",TEXT(IFERROR(INDEX('Overview - Section A'!$A$47:$A$54,MATCH(D$25,'Overview - Section A'!$B$47:$B$54,0)),""),Setup!$A$33)&amp;" to "&amp;TEXT(IFERROR(INDEX('Overview - Section A'!$E$47:$E$54,MATCH(D$25,'Overview - Section A'!$B$47:$B$54,0)),""),Setup!$A$33))</f>
        <v>1-Jan-25 to 31-Dec-25</v>
      </c>
      <c r="I231" s="596" t="str">
        <f ca="1">IFERROR(IF(INDEX('WPTM - Section F'!R$1:R$100,MATCH('Print View'!$A229,'WPTM - Section F'!$A$1:$A$100,0))&lt;&gt;0,INDEX('WPTM - Section F'!R$1:R$100,MATCH('Print View'!$A229,'WPTM - Section F'!$A$1:$A$100,0)),""),"")</f>
        <v/>
      </c>
      <c r="J231" s="597"/>
      <c r="K231" s="597"/>
      <c r="L231" s="597"/>
      <c r="M231" s="598"/>
      <c r="N231" s="596" t="str">
        <f ca="1">IFERROR(IF(INDEX('WPTM - Section F'!S$1:S$100,MATCH('Print View'!$A229,'WPTM - Section F'!$A$1:$A$100,0))&lt;&gt;0,INDEX('WPTM - Section F'!S$1:S$100,MATCH('Print View'!$A229,'WPTM - Section F'!$A$1:$A$100,0)),""),"")</f>
        <v/>
      </c>
      <c r="O231" s="597"/>
      <c r="P231" s="597"/>
      <c r="Q231" s="597"/>
      <c r="R231" s="597"/>
      <c r="S231" s="597"/>
      <c r="T231" s="112"/>
    </row>
    <row r="232" spans="1:86" s="18" customFormat="1" ht="60" customHeight="1">
      <c r="A232" s="611"/>
      <c r="B232" s="582"/>
      <c r="C232" s="585"/>
      <c r="D232" s="582"/>
      <c r="E232" s="582"/>
      <c r="F232" s="582"/>
      <c r="G232" s="644"/>
      <c r="H232" s="105" t="str">
        <f ca="1">IF(IFERROR(INDEX('Overview - Section A'!$A$47:$A$54,MATCH(D$26,'Overview - Section A'!$B$47:$B$54,0)),"")="","",TEXT(IFERROR(INDEX('Overview - Section A'!$A$47:$A$54,MATCH(D$26,'Overview - Section A'!$B$47:$B$54,0)),""),Setup!$A$33)&amp;" to "&amp;TEXT(IFERROR(INDEX('Overview - Section A'!$E$47:$E$54,MATCH(D$26,'Overview - Section A'!$B$47:$B$54,0)),""),Setup!$A$33))</f>
        <v>1-Jan-26 to 31-Dec-26</v>
      </c>
      <c r="I232" s="596" t="str">
        <f ca="1">IFERROR(IF(INDEX('WPTM - Section F'!V$1:V$100,MATCH('Print View'!$A229,'WPTM - Section F'!$A$1:$A$100,0))&lt;&gt;0,INDEX('WPTM - Section F'!V$1:V$100,MATCH('Print View'!$A229,'WPTM - Section F'!$A$1:$A$100,0)),""),"")</f>
        <v/>
      </c>
      <c r="J232" s="597"/>
      <c r="K232" s="597"/>
      <c r="L232" s="597"/>
      <c r="M232" s="598"/>
      <c r="N232" s="596" t="str">
        <f ca="1">IFERROR(IF(INDEX('WPTM - Section F'!W$1:W$100,MATCH('Print View'!$A229,'WPTM - Section F'!$A$1:$A$100,0))&lt;&gt;0,INDEX('WPTM - Section F'!W$1:W$100,MATCH('Print View'!$A229,'WPTM - Section F'!$A$1:$A$100,0)),""),"")</f>
        <v/>
      </c>
      <c r="O232" s="597"/>
      <c r="P232" s="597"/>
      <c r="Q232" s="597"/>
      <c r="R232" s="597"/>
      <c r="S232" s="597"/>
      <c r="T232" s="112"/>
    </row>
    <row r="233" spans="1:86" s="18" customFormat="1" ht="60" customHeight="1">
      <c r="A233" s="611"/>
      <c r="B233" s="582"/>
      <c r="C233" s="585"/>
      <c r="D233" s="582"/>
      <c r="E233" s="582"/>
      <c r="F233" s="582"/>
      <c r="G233" s="644"/>
      <c r="H233" s="105" t="str">
        <f ca="1">IF(IFERROR(INDEX('Overview - Section A'!$A$47:$A$54,MATCH(D$27,'Overview - Section A'!$B$47:$B$54,0)),"")="","",TEXT(IFERROR(INDEX('Overview - Section A'!$A$47:$A$54,MATCH(D$27,'Overview - Section A'!$B$47:$B$54,0)),""),Setup!$A$33)&amp;" to "&amp;TEXT(IFERROR(INDEX('Overview - Section A'!$E$47:$E$54,MATCH(D$27,'Overview - Section A'!$B$47:$B$54,0)),""),Setup!$A$33))</f>
        <v>1-Jan-27 to 31-Dec-27</v>
      </c>
      <c r="I233" s="596" t="str">
        <f ca="1">IFERROR(IF(INDEX('WPTM - Section F'!Z$1:Z$100,MATCH('Print View'!$A229,'WPTM - Section F'!$A$1:$A$100,0))&lt;&gt;0,INDEX('WPTM - Section F'!Z$1:Z$100,MATCH('Print View'!$A229,'WPTM - Section F'!$A$1:$A$100,0)),""),"")</f>
        <v/>
      </c>
      <c r="J233" s="597"/>
      <c r="K233" s="597"/>
      <c r="L233" s="597"/>
      <c r="M233" s="598"/>
      <c r="N233" s="596" t="str">
        <f ca="1">IFERROR(IF(INDEX('WPTM - Section F'!AA$1:AA$100,MATCH('Print View'!$A229,'WPTM - Section F'!$A$1:$A$100,0))&lt;&gt;0,INDEX('WPTM - Section F'!AA$1:AA$100,MATCH('Print View'!$A229,'WPTM - Section F'!$A$1:$A$100,0)),""),"")</f>
        <v/>
      </c>
      <c r="O233" s="597"/>
      <c r="P233" s="597"/>
      <c r="Q233" s="597"/>
      <c r="R233" s="597"/>
      <c r="S233" s="597"/>
      <c r="T233" s="112"/>
    </row>
    <row r="234" spans="1:86" s="18" customFormat="1" ht="60" customHeight="1">
      <c r="A234" s="611"/>
      <c r="B234" s="582"/>
      <c r="C234" s="585"/>
      <c r="D234" s="582"/>
      <c r="E234" s="582"/>
      <c r="F234" s="582"/>
      <c r="G234" s="644"/>
      <c r="H234" s="105" t="str">
        <f ca="1">IF(IFERROR(INDEX('Overview - Section A'!$A$47:$A$54,MATCH(D$28,'Overview - Section A'!$B$47:$B$54,0)),"")="","",TEXT(IFERROR(INDEX('Overview - Section A'!$A$47:$A$54,MATCH(D$28,'Overview - Section A'!$B$47:$B$54,0)),""),Setup!$A$33)&amp;" to "&amp;TEXT(IFERROR(INDEX('Overview - Section A'!$E$47:$E$54,MATCH(D$28,'Overview - Section A'!$B$47:$B$54,0)),""),Setup!$A$33))</f>
        <v>1-Jan-28 to 31-Dec-28</v>
      </c>
      <c r="I234" s="596" t="str">
        <f ca="1">IFERROR(IF(INDEX('WPTM - Section F'!AD$1:AD$100,MATCH('Print View'!$A229,'WPTM - Section F'!$A$1:$A$100,0))&lt;&gt;0,INDEX('WPTM - Section F'!AD$1:AD$100,MATCH('Print View'!$A229,'WPTM - Section F'!$A$1:$A$100,0)),""),"")</f>
        <v/>
      </c>
      <c r="J234" s="597"/>
      <c r="K234" s="597"/>
      <c r="L234" s="597"/>
      <c r="M234" s="598"/>
      <c r="N234" s="596" t="str">
        <f ca="1">IFERROR(IF(INDEX('WPTM - Section F'!AE$1:AE$100,MATCH('Print View'!$A229,'WPTM - Section F'!$A$1:$A$100,0))&lt;&gt;0,INDEX('WPTM - Section F'!AE$1:AE$100,MATCH('Print View'!$A229,'WPTM - Section F'!$A$1:$A$100,0)),""),"")</f>
        <v/>
      </c>
      <c r="O234" s="597"/>
      <c r="P234" s="597"/>
      <c r="Q234" s="597"/>
      <c r="R234" s="597"/>
      <c r="S234" s="597"/>
      <c r="T234" s="112"/>
    </row>
    <row r="235" spans="1:86" s="18" customFormat="1" ht="60" customHeight="1">
      <c r="A235" s="611"/>
      <c r="B235" s="583"/>
      <c r="C235" s="586"/>
      <c r="D235" s="583"/>
      <c r="E235" s="583"/>
      <c r="F235" s="583"/>
      <c r="G235" s="645"/>
      <c r="H235" s="105" t="str">
        <f ca="1">IF(IFERROR(INDEX('Overview - Section A'!$A$47:$A$54,MATCH(D$29,'Overview - Section A'!$B$47:$B$54,0)),"")="","",TEXT(IFERROR(INDEX('Overview - Section A'!$A$47:$A$54,MATCH(D$29,'Overview - Section A'!$B$47:$B$54,0)),""),Setup!$A$33)&amp;" to "&amp;TEXT(IFERROR(INDEX('Overview - Section A'!$E$47:$E$54,MATCH(D$29,'Overview - Section A'!$B$47:$B$54,0)),""),Setup!$A$33))</f>
        <v/>
      </c>
      <c r="I235" s="596" t="str">
        <f ca="1">IFERROR(IF(INDEX('WPTM - Section F'!AH$1:AH$100,MATCH('Print View'!$A229,'WPTM - Section F'!$A$1:$A$100,0))&lt;&gt;0,INDEX('WPTM - Section F'!AH$1:AH$100,MATCH('Print View'!$A229,'WPTM - Section F'!$A$1:$A$100,0)),""),"")</f>
        <v/>
      </c>
      <c r="J235" s="597"/>
      <c r="K235" s="597"/>
      <c r="L235" s="597"/>
      <c r="M235" s="598"/>
      <c r="N235" s="596" t="str">
        <f ca="1">IFERROR(IF(INDEX('WPTM - Section F'!AI$1:AI$100,MATCH('Print View'!$A229,'WPTM - Section F'!$A$1:$A$100,0))&lt;&gt;0,INDEX('WPTM - Section F'!AI$1:AI$100,MATCH('Print View'!$A229,'WPTM - Section F'!$A$1:$A$100,0)),""),"")</f>
        <v/>
      </c>
      <c r="O235" s="597"/>
      <c r="P235" s="597"/>
      <c r="Q235" s="597"/>
      <c r="R235" s="597"/>
      <c r="S235" s="597"/>
      <c r="T235" s="112"/>
    </row>
    <row r="236" spans="1:86" s="18" customFormat="1" ht="60" customHeight="1">
      <c r="A236" s="612"/>
      <c r="B236" s="593" t="str">
        <f ca="1">IFERROR(IF(INDEX('WPTM - Section F'!AV$1:AV$100,MATCH('Print View'!$A229,'WPTM - Section F'!$A$1:$A$100,0))&lt;&gt;0,INDEX('WPTM - Section F'!AV$1:AV$100,MATCH('Print View'!$A229,'WPTM - Section F'!$A$1:$A$100,0)),""),"")</f>
        <v/>
      </c>
      <c r="C236" s="594"/>
      <c r="D236" s="594"/>
      <c r="E236" s="594"/>
      <c r="F236" s="594"/>
      <c r="G236" s="594"/>
      <c r="H236" s="594"/>
      <c r="I236" s="594"/>
      <c r="J236" s="594"/>
      <c r="K236" s="594"/>
      <c r="L236" s="594"/>
      <c r="M236" s="594"/>
      <c r="N236" s="594"/>
      <c r="O236" s="594"/>
      <c r="P236" s="594"/>
      <c r="Q236" s="594"/>
      <c r="R236" s="594"/>
      <c r="S236" s="595"/>
      <c r="T236" s="94"/>
    </row>
    <row r="237" spans="1:86" ht="60" customHeight="1">
      <c r="A237" s="602">
        <v>3</v>
      </c>
      <c r="B237" s="590" t="str">
        <f ca="1">IFERROR(IF(INDEX('WPTM - Section F'!B$1:B$100,MATCH('Print View'!$A237,'WPTM - Section F'!$A$1:$A$100,0))&lt;&gt;0,INDEX('WPTM - Section F'!B$1:B$100,MATCH('Print View'!$A237,'WPTM - Section F'!$A$1:$A$100,0)),""),"")</f>
        <v>Atención y prevención de la tuberculosis</v>
      </c>
      <c r="C237" s="587" t="str">
        <f ca="1">IFERROR(IF(INDEX('WPTM - Section F'!C$1:C$100,MATCH('Print View'!$A237,'WPTM - Section F'!$A$1:$A$100,0))&lt;&gt;0,INDEX('WPTM - Section F'!C$1:C$100,MATCH('Print View'!$A237,'WPTM - Section F'!$A$1:$A$100,0)),""),"")</f>
        <v>Población General</v>
      </c>
      <c r="D237" s="590" t="str">
        <f ca="1">IFERROR(IF(INDEX('WPTM - Section F'!D$1:D$100,MATCH('Print View'!$A237,'WPTM - Section F'!$A$1:$A$100,0))&lt;&gt;0,INDEX('WPTM - Section F'!D$1:D$100,MATCH('Print View'!$A237,'WPTM - Section F'!$A$1:$A$100,0)),""),"")</f>
        <v>Detección y diagnóstico de casos (Atención y prevención de la tuberculosis)</v>
      </c>
      <c r="E237" s="590" t="str">
        <f ca="1">IFERROR(IF(INDEX('WPTM - Section F'!E$1:E$100,MATCH('Print View'!$A237,'WPTM - Section F'!$A$1:$A$100,0))&lt;&gt;0,INDEX('WPTM - Section F'!E$1:E$100,MATCH('Print View'!$A237,'WPTM - Section F'!$A$1:$A$100,0)),""),"")</f>
        <v>Expansión gradual del acceso al GeneXpert MTB/RIF como primer método diagnostico a todo caso SR o con TB presuntiva</v>
      </c>
      <c r="F237" s="590" t="str">
        <f ca="1">IFERROR(IF(INDEX('WPTM - Section F'!F$1:F$100,MATCH('Print View'!$A237,'WPTM - Section F'!$A$1:$A$100,0))&lt;&gt;0,INDEX('WPTM - Section F'!F$1:F$100,MATCH('Print View'!$A237,'WPTM - Section F'!$A$1:$A$100,0)),""),"")</f>
        <v>United Nations Development Programme</v>
      </c>
      <c r="G237" s="578" t="str">
        <f ca="1">IFERROR(IF(INDEX('WPTM - Section F'!G$1:G$100,MATCH('Print View'!$A237,'WPTM - Section F'!$A$1:$A$100,0))&lt;&gt;0,INDEX('WPTM - Section F'!G$1:G$100,MATCH('Print View'!$A237,'WPTM - Section F'!$A$1:$A$100,0)),""),"")</f>
        <v>Bolivia (Plurinational State)</v>
      </c>
      <c r="H237" s="104" t="str">
        <f ca="1">IF(IFERROR(INDEX('Overview - Section A'!$A$47:$A$54,MATCH(D$23,'Overview - Section A'!$B$47:$B$54,0)),"")="","",TEXT(IFERROR(INDEX('Overview - Section A'!$A$47:$A$54,MATCH(D$23,'Overview - Section A'!$B$47:$B$54,0)),""),Setup!$A$33)&amp;" to "&amp;TEXT(IFERROR(INDEX('Overview - Section A'!$E$47:$E$54,MATCH(D$23,'Overview - Section A'!$B$47:$B$54,0)),""),Setup!$A$33))</f>
        <v>1-Jan-23 to 31-Dec-23</v>
      </c>
      <c r="I237" s="605" t="str">
        <f ca="1">IFERROR(IF(INDEX('WPTM - Section F'!J$1:J$100,MATCH('Print View'!$A237,'WPTM - Section F'!$A$1:$A$100,0))&lt;&gt;0,INDEX('WPTM - Section F'!J$1:J$100,MATCH('Print View'!$A237,'WPTM - Section F'!$A$1:$A$100,0)),""),"")</f>
        <v xml:space="preserve">Reports on the expansion of GeneXpert MTB/RIF as a method of diagnosis to all SR in the 9 capital cities of Bolivia (Urbana) that concentrates 80% of the cases of Tuberculosis at the national level. </v>
      </c>
      <c r="J237" s="606"/>
      <c r="K237" s="606"/>
      <c r="L237" s="606"/>
      <c r="M237" s="607"/>
      <c r="N237" s="605" t="str">
        <f ca="1">IFERROR(IF(INDEX('WPTM - Section F'!K$1:K$100,MATCH('Print View'!$A237,'WPTM - Section F'!$A$1:$A$100,0))&lt;&gt;0,INDEX('WPTM - Section F'!K$1:K$100,MATCH('Print View'!$A237,'WPTM - Section F'!$A$1:$A$100,0)),""),"")</f>
        <v>Not started (0): The PR submits no progress against the milestones for the period.
Initiated (1): The Principal Recipient submits a draft report.
Advanced (2): The Principal Recipient submits a final survey report                                                                                                                                                 Completed (3): The Principal Recipient submits a final survey report validated by the Ministry of Health and stakeholders.</v>
      </c>
      <c r="O237" s="606"/>
      <c r="P237" s="606"/>
      <c r="Q237" s="606"/>
      <c r="R237" s="606"/>
      <c r="S237" s="607"/>
      <c r="T237" s="111"/>
      <c r="U237" s="13"/>
      <c r="V237" s="13"/>
      <c r="W237" s="13"/>
      <c r="X237" s="13"/>
      <c r="Y237" s="13"/>
      <c r="Z237" s="13"/>
      <c r="AA237" s="13"/>
      <c r="AB237" s="13"/>
      <c r="AC237" s="13"/>
      <c r="AD237" s="13"/>
      <c r="AE237" s="13"/>
      <c r="AF237" s="13"/>
      <c r="AG237" s="13"/>
      <c r="AH237" s="13"/>
      <c r="AI237" s="13"/>
      <c r="AJ237" s="13"/>
      <c r="AK237" s="13"/>
      <c r="AL237" s="13"/>
      <c r="AM237" s="13"/>
      <c r="AN237" s="13"/>
      <c r="AO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row>
    <row r="238" spans="1:86" ht="60" customHeight="1">
      <c r="A238" s="603"/>
      <c r="B238" s="591"/>
      <c r="C238" s="588"/>
      <c r="D238" s="591"/>
      <c r="E238" s="591"/>
      <c r="F238" s="591"/>
      <c r="G238" s="579"/>
      <c r="H238" s="104" t="str">
        <f ca="1">IF(IFERROR(INDEX('Overview - Section A'!$A$47:$A$54,MATCH(D$24,'Overview - Section A'!$B$47:$B$54,0)),"")="","",TEXT(IFERROR(INDEX('Overview - Section A'!$A$47:$A$54,MATCH(D$24,'Overview - Section A'!$B$47:$B$54,0)),""),Setup!$A$33)&amp;" to "&amp;TEXT(IFERROR(INDEX('Overview - Section A'!$E$47:$E$54,MATCH(D$24,'Overview - Section A'!$B$47:$B$54,0)),""),Setup!$A$33))</f>
        <v>1-Jan-24 to 31-Dec-24</v>
      </c>
      <c r="I238" s="605" t="str">
        <f ca="1">IFERROR(IF(INDEX('WPTM - Section F'!N$1:N$100,MATCH('Print View'!$A237,'WPTM - Section F'!$A$1:$A$100,0))&lt;&gt;0,INDEX('WPTM - Section F'!N$1:N$100,MATCH('Print View'!$A237,'WPTM - Section F'!$A$1:$A$100,0)),""),"")</f>
        <v>Reports on the expansion of GeneXpert MTB/RIF as a diagnostic method to all SR in intermediate cities in rural areas with high incidence of Tuberculosis.</v>
      </c>
      <c r="J238" s="606"/>
      <c r="K238" s="606"/>
      <c r="L238" s="606"/>
      <c r="M238" s="607"/>
      <c r="N238" s="605" t="str">
        <f ca="1">IFERROR(IF(INDEX('WPTM - Section F'!O$1:O$100,MATCH('Print View'!$A237,'WPTM - Section F'!$A$1:$A$100,0))&lt;&gt;0,INDEX('WPTM - Section F'!O$1:O$100,MATCH('Print View'!$A237,'WPTM - Section F'!$A$1:$A$100,0)),""),"")</f>
        <v>Not started (0): The PR submits no progress against the milestones for the period.
Initiated (1): The Principal Recipient submits a draft report.
Advanced (2): The Principal Recipient submits a final survey report                                                                                                                                                           Completed (3): The Principal Recipient submits a final survey report validated by the Ministry of Health and stakeholders.</v>
      </c>
      <c r="O238" s="606"/>
      <c r="P238" s="606"/>
      <c r="Q238" s="606"/>
      <c r="R238" s="606"/>
      <c r="S238" s="607"/>
      <c r="T238" s="111"/>
      <c r="U238" s="13"/>
      <c r="V238" s="13"/>
      <c r="W238" s="13"/>
      <c r="X238" s="13"/>
      <c r="Y238" s="13"/>
      <c r="Z238" s="13"/>
      <c r="AA238" s="13"/>
      <c r="AB238" s="13"/>
      <c r="AC238" s="13"/>
      <c r="AD238" s="13"/>
      <c r="AE238" s="13"/>
      <c r="AF238" s="13"/>
      <c r="AG238" s="13"/>
      <c r="AH238" s="13"/>
      <c r="AI238" s="13"/>
      <c r="AJ238" s="13"/>
      <c r="AK238" s="13"/>
      <c r="AL238" s="13"/>
      <c r="AM238" s="13"/>
      <c r="AN238" s="13"/>
      <c r="AO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row>
    <row r="239" spans="1:86" ht="60" customHeight="1">
      <c r="A239" s="603"/>
      <c r="B239" s="591"/>
      <c r="C239" s="588"/>
      <c r="D239" s="591"/>
      <c r="E239" s="591"/>
      <c r="F239" s="591"/>
      <c r="G239" s="579"/>
      <c r="H239" s="104" t="str">
        <f ca="1">IF(IFERROR(INDEX('Overview - Section A'!$A$47:$A$54,MATCH(D$25,'Overview - Section A'!$B$47:$B$54,0)),"")="","",TEXT(IFERROR(INDEX('Overview - Section A'!$A$47:$A$54,MATCH(D$25,'Overview - Section A'!$B$47:$B$54,0)),""),Setup!$A$33)&amp;" to "&amp;TEXT(IFERROR(INDEX('Overview - Section A'!$E$47:$E$54,MATCH(D$25,'Overview - Section A'!$B$47:$B$54,0)),""),Setup!$A$33))</f>
        <v>1-Jan-25 to 31-Dec-25</v>
      </c>
      <c r="I239" s="605" t="str">
        <f ca="1">IFERROR(IF(INDEX('WPTM - Section F'!R$1:R$100,MATCH('Print View'!$A237,'WPTM - Section F'!$A$1:$A$100,0))&lt;&gt;0,INDEX('WPTM - Section F'!R$1:R$100,MATCH('Print View'!$A237,'WPTM - Section F'!$A$1:$A$100,0)),""),"")</f>
        <v/>
      </c>
      <c r="J239" s="606"/>
      <c r="K239" s="606"/>
      <c r="L239" s="606"/>
      <c r="M239" s="607"/>
      <c r="N239" s="605" t="str">
        <f ca="1">IFERROR(IF(INDEX('WPTM - Section F'!S$1:S$100,MATCH('Print View'!$A237,'WPTM - Section F'!$A$1:$A$100,0))&lt;&gt;0,INDEX('WPTM - Section F'!S$1:S$100,MATCH('Print View'!$A237,'WPTM - Section F'!$A$1:$A$100,0)),""),"")</f>
        <v/>
      </c>
      <c r="O239" s="606"/>
      <c r="P239" s="606"/>
      <c r="Q239" s="606"/>
      <c r="R239" s="606"/>
      <c r="S239" s="607"/>
      <c r="T239" s="111"/>
      <c r="U239" s="13"/>
      <c r="V239" s="13"/>
      <c r="W239" s="13"/>
      <c r="X239" s="13"/>
      <c r="Y239" s="13"/>
      <c r="Z239" s="13"/>
      <c r="AA239" s="13"/>
      <c r="AB239" s="13"/>
      <c r="AC239" s="13"/>
      <c r="AD239" s="13"/>
      <c r="AE239" s="13"/>
      <c r="AF239" s="13"/>
      <c r="AG239" s="13"/>
      <c r="AH239" s="13"/>
      <c r="AI239" s="13"/>
      <c r="AJ239" s="13"/>
      <c r="AK239" s="13"/>
      <c r="AL239" s="13"/>
      <c r="AM239" s="13"/>
      <c r="AN239" s="13"/>
      <c r="AO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row>
    <row r="240" spans="1:86" ht="60" customHeight="1">
      <c r="A240" s="603"/>
      <c r="B240" s="591"/>
      <c r="C240" s="588"/>
      <c r="D240" s="591"/>
      <c r="E240" s="591"/>
      <c r="F240" s="591"/>
      <c r="G240" s="579"/>
      <c r="H240" s="104" t="str">
        <f ca="1">IF(IFERROR(INDEX('Overview - Section A'!$A$47:$A$54,MATCH(D$26,'Overview - Section A'!$B$47:$B$54,0)),"")="","",TEXT(IFERROR(INDEX('Overview - Section A'!$A$47:$A$54,MATCH(D$26,'Overview - Section A'!$B$47:$B$54,0)),""),Setup!$A$33)&amp;" to "&amp;TEXT(IFERROR(INDEX('Overview - Section A'!$E$47:$E$54,MATCH(D$26,'Overview - Section A'!$B$47:$B$54,0)),""),Setup!$A$33))</f>
        <v>1-Jan-26 to 31-Dec-26</v>
      </c>
      <c r="I240" s="605" t="str">
        <f ca="1">IFERROR(IF(INDEX('WPTM - Section F'!V$1:V$100,MATCH('Print View'!$A237,'WPTM - Section F'!$A$1:$A$100,0))&lt;&gt;0,INDEX('WPTM - Section F'!V$1:V$100,MATCH('Print View'!$A237,'WPTM - Section F'!$A$1:$A$100,0)),""),"")</f>
        <v/>
      </c>
      <c r="J240" s="606"/>
      <c r="K240" s="606"/>
      <c r="L240" s="606"/>
      <c r="M240" s="607"/>
      <c r="N240" s="605" t="str">
        <f ca="1">IFERROR(IF(INDEX('WPTM - Section F'!W$1:W$100,MATCH('Print View'!$A237,'WPTM - Section F'!$A$1:$A$100,0))&lt;&gt;0,INDEX('WPTM - Section F'!W$1:W$100,MATCH('Print View'!$A237,'WPTM - Section F'!$A$1:$A$100,0)),""),"")</f>
        <v/>
      </c>
      <c r="O240" s="606"/>
      <c r="P240" s="606"/>
      <c r="Q240" s="606"/>
      <c r="R240" s="606"/>
      <c r="S240" s="607"/>
      <c r="T240" s="111"/>
      <c r="U240" s="13"/>
      <c r="V240" s="13"/>
      <c r="W240" s="13"/>
      <c r="X240" s="13"/>
      <c r="Y240" s="13"/>
      <c r="Z240" s="13"/>
      <c r="AA240" s="13"/>
      <c r="AB240" s="13"/>
      <c r="AC240" s="13"/>
      <c r="AD240" s="13"/>
      <c r="AE240" s="13"/>
      <c r="AF240" s="13"/>
      <c r="AG240" s="13"/>
      <c r="AH240" s="13"/>
      <c r="AI240" s="13"/>
      <c r="AJ240" s="13"/>
      <c r="AK240" s="13"/>
      <c r="AL240" s="13"/>
      <c r="AM240" s="13"/>
      <c r="AN240" s="13"/>
      <c r="AO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row>
    <row r="241" spans="1:86" ht="60" customHeight="1">
      <c r="A241" s="603"/>
      <c r="B241" s="591"/>
      <c r="C241" s="588"/>
      <c r="D241" s="591"/>
      <c r="E241" s="591"/>
      <c r="F241" s="591"/>
      <c r="G241" s="579"/>
      <c r="H241" s="104" t="str">
        <f ca="1">IF(IFERROR(INDEX('Overview - Section A'!$A$47:$A$54,MATCH(D$27,'Overview - Section A'!$B$47:$B$54,0)),"")="","",TEXT(IFERROR(INDEX('Overview - Section A'!$A$47:$A$54,MATCH(D$27,'Overview - Section A'!$B$47:$B$54,0)),""),Setup!$A$33)&amp;" to "&amp;TEXT(IFERROR(INDEX('Overview - Section A'!$E$47:$E$54,MATCH(D$27,'Overview - Section A'!$B$47:$B$54,0)),""),Setup!$A$33))</f>
        <v>1-Jan-27 to 31-Dec-27</v>
      </c>
      <c r="I241" s="605" t="str">
        <f ca="1">IFERROR(IF(INDEX('WPTM - Section F'!Z$1:Z$100,MATCH('Print View'!$A237,'WPTM - Section F'!$A$1:$A$100,0))&lt;&gt;0,INDEX('WPTM - Section F'!Z$1:Z$100,MATCH('Print View'!$A237,'WPTM - Section F'!$A$1:$A$100,0)),""),"")</f>
        <v/>
      </c>
      <c r="J241" s="606"/>
      <c r="K241" s="606"/>
      <c r="L241" s="606"/>
      <c r="M241" s="607"/>
      <c r="N241" s="605" t="str">
        <f ca="1">IFERROR(IF(INDEX('WPTM - Section F'!AA$1:AA$100,MATCH('Print View'!$A237,'WPTM - Section F'!$A$1:$A$100,0))&lt;&gt;0,INDEX('WPTM - Section F'!AA$1:AA$100,MATCH('Print View'!$A237,'WPTM - Section F'!$A$1:$A$100,0)),""),"")</f>
        <v/>
      </c>
      <c r="O241" s="606"/>
      <c r="P241" s="606"/>
      <c r="Q241" s="606"/>
      <c r="R241" s="606"/>
      <c r="S241" s="607"/>
      <c r="T241" s="111"/>
      <c r="U241" s="13"/>
      <c r="V241" s="13"/>
      <c r="W241" s="13"/>
      <c r="X241" s="13"/>
      <c r="Y241" s="13"/>
      <c r="Z241" s="13"/>
      <c r="AA241" s="13"/>
      <c r="AB241" s="13"/>
      <c r="AC241" s="13"/>
      <c r="AD241" s="13"/>
      <c r="AE241" s="13"/>
      <c r="AF241" s="13"/>
      <c r="AG241" s="13"/>
      <c r="AH241" s="13"/>
      <c r="AI241" s="13"/>
      <c r="AJ241" s="13"/>
      <c r="AK241" s="13"/>
      <c r="AL241" s="13"/>
      <c r="AM241" s="13"/>
      <c r="AN241" s="13"/>
      <c r="AO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row>
    <row r="242" spans="1:86" ht="60" customHeight="1">
      <c r="A242" s="603"/>
      <c r="B242" s="591"/>
      <c r="C242" s="588"/>
      <c r="D242" s="591"/>
      <c r="E242" s="591"/>
      <c r="F242" s="591"/>
      <c r="G242" s="579"/>
      <c r="H242" s="104" t="str">
        <f ca="1">IF(IFERROR(INDEX('Overview - Section A'!$A$47:$A$54,MATCH(D$28,'Overview - Section A'!$B$47:$B$54,0)),"")="","",TEXT(IFERROR(INDEX('Overview - Section A'!$A$47:$A$54,MATCH(D$28,'Overview - Section A'!$B$47:$B$54,0)),""),Setup!$A$33)&amp;" to "&amp;TEXT(IFERROR(INDEX('Overview - Section A'!$E$47:$E$54,MATCH(D$28,'Overview - Section A'!$B$47:$B$54,0)),""),Setup!$A$33))</f>
        <v>1-Jan-28 to 31-Dec-28</v>
      </c>
      <c r="I242" s="605" t="str">
        <f ca="1">IFERROR(IF(INDEX('WPTM - Section F'!AD$1:AD$100,MATCH('Print View'!$A237,'WPTM - Section F'!$A$1:$A$100,0))&lt;&gt;0,INDEX('WPTM - Section F'!AD$1:AD$100,MATCH('Print View'!$A237,'WPTM - Section F'!$A$1:$A$100,0)),""),"")</f>
        <v/>
      </c>
      <c r="J242" s="606"/>
      <c r="K242" s="606"/>
      <c r="L242" s="606"/>
      <c r="M242" s="607"/>
      <c r="N242" s="605" t="str">
        <f ca="1">IFERROR(IF(INDEX('WPTM - Section F'!AE$1:AE$100,MATCH('Print View'!$A237,'WPTM - Section F'!$A$1:$A$100,0))&lt;&gt;0,INDEX('WPTM - Section F'!AE$1:AE$100,MATCH('Print View'!$A237,'WPTM - Section F'!$A$1:$A$100,0)),""),"")</f>
        <v/>
      </c>
      <c r="O242" s="606"/>
      <c r="P242" s="606"/>
      <c r="Q242" s="606"/>
      <c r="R242" s="606"/>
      <c r="S242" s="607"/>
      <c r="T242" s="111"/>
      <c r="U242" s="13"/>
      <c r="V242" s="13"/>
      <c r="W242" s="13"/>
      <c r="X242" s="13"/>
      <c r="Y242" s="13"/>
      <c r="Z242" s="13"/>
      <c r="AA242" s="13"/>
      <c r="AB242" s="13"/>
      <c r="AC242" s="13"/>
      <c r="AD242" s="13"/>
      <c r="AE242" s="13"/>
      <c r="AF242" s="13"/>
      <c r="AG242" s="13"/>
      <c r="AH242" s="13"/>
      <c r="AI242" s="13"/>
      <c r="AJ242" s="13"/>
      <c r="AK242" s="13"/>
      <c r="AL242" s="13"/>
      <c r="AM242" s="13"/>
      <c r="AN242" s="13"/>
      <c r="AO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row>
    <row r="243" spans="1:86" ht="60" customHeight="1">
      <c r="A243" s="603"/>
      <c r="B243" s="592"/>
      <c r="C243" s="589"/>
      <c r="D243" s="592"/>
      <c r="E243" s="592"/>
      <c r="F243" s="592"/>
      <c r="G243" s="580"/>
      <c r="H243" s="104" t="str">
        <f ca="1">IF(IFERROR(INDEX('Overview - Section A'!$A$47:$A$54,MATCH(D$29,'Overview - Section A'!$B$47:$B$54,0)),"")="","",TEXT(IFERROR(INDEX('Overview - Section A'!$A$47:$A$54,MATCH(D$29,'Overview - Section A'!$B$47:$B$54,0)),""),Setup!$A$33)&amp;" to "&amp;TEXT(IFERROR(INDEX('Overview - Section A'!$E$47:$E$54,MATCH(D$29,'Overview - Section A'!$B$47:$B$54,0)),""),Setup!$A$33))</f>
        <v/>
      </c>
      <c r="I243" s="605" t="str">
        <f ca="1">IFERROR(IF(INDEX('WPTM - Section F'!AH$1:AH$100,MATCH('Print View'!$A237,'WPTM - Section F'!$A$1:$A$100,0))&lt;&gt;0,INDEX('WPTM - Section F'!AH$1:AH$100,MATCH('Print View'!$A237,'WPTM - Section F'!$A$1:$A$100,0)),""),"")</f>
        <v/>
      </c>
      <c r="J243" s="606"/>
      <c r="K243" s="606"/>
      <c r="L243" s="606"/>
      <c r="M243" s="607"/>
      <c r="N243" s="605" t="str">
        <f ca="1">IFERROR(IF(INDEX('WPTM - Section F'!AI$1:AI$100,MATCH('Print View'!$A237,'WPTM - Section F'!$A$1:$A$100,0))&lt;&gt;0,INDEX('WPTM - Section F'!AI$1:AI$100,MATCH('Print View'!$A237,'WPTM - Section F'!$A$1:$A$100,0)),""),"")</f>
        <v/>
      </c>
      <c r="O243" s="606"/>
      <c r="P243" s="606"/>
      <c r="Q243" s="606"/>
      <c r="R243" s="606"/>
      <c r="S243" s="607"/>
      <c r="T243" s="111"/>
      <c r="U243" s="13"/>
      <c r="V243" s="13"/>
      <c r="W243" s="13"/>
      <c r="X243" s="13"/>
      <c r="Y243" s="13"/>
      <c r="Z243" s="13"/>
      <c r="AA243" s="13"/>
      <c r="AB243" s="13"/>
      <c r="AC243" s="13"/>
      <c r="AD243" s="13"/>
      <c r="AE243" s="13"/>
      <c r="AF243" s="13"/>
      <c r="AG243" s="13"/>
      <c r="AH243" s="13"/>
      <c r="AI243" s="13"/>
      <c r="AJ243" s="13"/>
      <c r="AK243" s="13"/>
      <c r="AL243" s="13"/>
      <c r="AM243" s="13"/>
      <c r="AN243" s="13"/>
      <c r="AO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row>
    <row r="244" spans="1:86" ht="60" customHeight="1">
      <c r="A244" s="603"/>
      <c r="B244" s="637" t="str">
        <f ca="1">IFERROR(IF(INDEX('WPTM - Section F'!AV$1:AV$100,MATCH('Print View'!$A237,'WPTM - Section F'!$A$1:$A$100,0))&lt;&gt;0,INDEX('WPTM - Section F'!AV$1:AV$100,MATCH('Print View'!$A237,'WPTM - Section F'!$A$1:$A$100,0)),""),"")</f>
        <v/>
      </c>
      <c r="C244" s="638"/>
      <c r="D244" s="638"/>
      <c r="E244" s="638"/>
      <c r="F244" s="638"/>
      <c r="G244" s="638"/>
      <c r="H244" s="638"/>
      <c r="I244" s="638"/>
      <c r="J244" s="638"/>
      <c r="K244" s="638"/>
      <c r="L244" s="638"/>
      <c r="M244" s="638"/>
      <c r="N244" s="638"/>
      <c r="O244" s="638"/>
      <c r="P244" s="638"/>
      <c r="Q244" s="638"/>
      <c r="R244" s="638"/>
      <c r="S244" s="639"/>
      <c r="T244" s="111"/>
      <c r="U244" s="13"/>
      <c r="V244" s="13"/>
      <c r="W244" s="13"/>
      <c r="X244" s="13"/>
      <c r="Y244" s="13"/>
      <c r="Z244" s="13"/>
      <c r="AA244" s="13"/>
      <c r="AB244" s="13"/>
      <c r="AC244" s="13"/>
      <c r="AD244" s="13"/>
      <c r="AE244" s="13"/>
      <c r="AF244" s="13"/>
      <c r="AG244" s="13"/>
      <c r="AH244" s="13"/>
      <c r="AI244" s="13"/>
      <c r="AJ244" s="13"/>
      <c r="AK244" s="13"/>
      <c r="AL244" s="13"/>
      <c r="AM244" s="13"/>
      <c r="AN244" s="13"/>
      <c r="AO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row>
    <row r="245" spans="1:86" s="18" customFormat="1" ht="60" customHeight="1">
      <c r="A245" s="599">
        <v>4</v>
      </c>
      <c r="B245" s="581" t="str">
        <f ca="1">IFERROR(IF(INDEX('WPTM - Section F'!B$1:B$100,MATCH('Print View'!$A245,'WPTM - Section F'!$A$1:$A$100,0))&lt;&gt;0,INDEX('WPTM - Section F'!B$1:B$100,MATCH('Print View'!$A245,'WPTM - Section F'!$A$1:$A$100,0)),""),"")</f>
        <v>Tuberculosis multirresistente</v>
      </c>
      <c r="C245" s="584" t="str">
        <f ca="1">IFERROR(IF(INDEX('WPTM - Section F'!C$1:C$100,MATCH('Print View'!$A245,'WPTM - Section F'!$A$1:$A$100,0))&lt;&gt;0,INDEX('WPTM - Section F'!C$1:C$100,MATCH('Print View'!$A245,'WPTM - Section F'!$A$1:$A$100,0)),""),"")</f>
        <v>Población General</v>
      </c>
      <c r="D245" s="581" t="str">
        <f ca="1">IFERROR(IF(INDEX('WPTM - Section F'!D$1:D$100,MATCH('Print View'!$A245,'WPTM - Section F'!$A$1:$A$100,0))&lt;&gt;0,INDEX('WPTM - Section F'!D$1:D$100,MATCH('Print View'!$A245,'WPTM - Section F'!$A$1:$A$100,0)),""),"")</f>
        <v>Tratamiento (Tuberculosis multirresistente)</v>
      </c>
      <c r="E245" s="581" t="str">
        <f ca="1">IFERROR(IF(INDEX('WPTM - Section F'!E$1:E$100,MATCH('Print View'!$A245,'WPTM - Section F'!$A$1:$A$100,0))&lt;&gt;0,INDEX('WPTM - Section F'!E$1:E$100,MATCH('Print View'!$A245,'WPTM - Section F'!$A$1:$A$100,0)),""),"")</f>
        <v>Implementación a esquemas acortado totalmente orales para la tuberculosis resistente a la rifampicina</v>
      </c>
      <c r="F245" s="581" t="str">
        <f ca="1">IFERROR(IF(INDEX('WPTM - Section F'!F$1:F$100,MATCH('Print View'!$A245,'WPTM - Section F'!$A$1:$A$100,0))&lt;&gt;0,INDEX('WPTM - Section F'!F$1:F$100,MATCH('Print View'!$A245,'WPTM - Section F'!$A$1:$A$100,0)),""),"")</f>
        <v>United Nations Development Programme</v>
      </c>
      <c r="G245" s="581" t="str">
        <f ca="1">IFERROR(IF(INDEX('WPTM - Section F'!G$1:G$100,MATCH('Print View'!A245,'WPTM - Section F'!$A$1:$A$100,0))&lt;&gt;0,INDEX('WPTM - Section F'!G$1:G$100,MATCH('Print View'!A245,'WPTM - Section F'!$A$1:$A$100,0)),""),"")</f>
        <v>Bolivia (Plurinational State)</v>
      </c>
      <c r="H245" s="105" t="str">
        <f ca="1">IF(IFERROR(INDEX('Overview - Section A'!$A$47:$A$54,MATCH(D$23,'Overview - Section A'!$B$47:$B$54,0)),"")="","",TEXT(IFERROR(INDEX('Overview - Section A'!$A$47:$A$54,MATCH(D$23,'Overview - Section A'!$B$47:$B$54,0)),""),Setup!$A$33)&amp;" to "&amp;TEXT(IFERROR(INDEX('Overview - Section A'!$E$47:$E$54,MATCH(D$23,'Overview - Section A'!$B$47:$B$54,0)),""),Setup!$A$33))</f>
        <v>1-Jan-23 to 31-Dec-23</v>
      </c>
      <c r="I245" s="596" t="str">
        <f ca="1">IFERROR(IF(INDEX('WPTM - Section F'!J$1:J$100,MATCH('Print View'!$A245,'WPTM - Section F'!$A$1:$A$100,0))&lt;&gt;0,INDEX('WPTM - Section F'!J$1:J$100,MATCH('Print View'!$A245,'WPTM - Section F'!$A$1:$A$100,0)),""),"")</f>
        <v>Completion of the study "Short, all-oral treatment regimens for rifampicin-resistant tuberculosis".</v>
      </c>
      <c r="J245" s="597"/>
      <c r="K245" s="597"/>
      <c r="L245" s="597"/>
      <c r="M245" s="598"/>
      <c r="N245" s="596" t="str">
        <f ca="1">IFERROR(IF(INDEX('WPTM - Section F'!K$1:K$100,MATCH('Print View'!$A245,'WPTM - Section F'!$A$1:$A$100,0))&lt;&gt;0,INDEX('WPTM - Section F'!K$1:K$100,MATCH('Print View'!$A245,'WPTM - Section F'!$A$1:$A$100,0)),""),"")</f>
        <v>Not started (0): The PR submits no progress against the milestones for the period.
Initiated (1): The Principal Recipient submits a draft report.
Advanced (2): The Principal Recipient submits a final survey report                                                                                                                                                    Completed (3): The Principal Recipient submits a final survey report validated by the Ministry of Health and stakeholders.</v>
      </c>
      <c r="O245" s="597"/>
      <c r="P245" s="597"/>
      <c r="Q245" s="597"/>
      <c r="R245" s="597"/>
      <c r="S245" s="597"/>
      <c r="T245" s="94"/>
    </row>
    <row r="246" spans="1:86" s="18" customFormat="1" ht="60" customHeight="1">
      <c r="A246" s="600"/>
      <c r="B246" s="582"/>
      <c r="C246" s="585"/>
      <c r="D246" s="582"/>
      <c r="E246" s="582"/>
      <c r="F246" s="582"/>
      <c r="G246" s="582"/>
      <c r="H246" s="105" t="str">
        <f ca="1">IF(IFERROR(INDEX('Overview - Section A'!$A$47:$A$54,MATCH(D$24,'Overview - Section A'!$B$47:$B$54,0)),"")="","",TEXT(IFERROR(INDEX('Overview - Section A'!$A$47:$A$54,MATCH(D$24,'Overview - Section A'!$B$47:$B$54,0)),""),Setup!$A$33)&amp;" to "&amp;TEXT(IFERROR(INDEX('Overview - Section A'!$E$47:$E$54,MATCH(D$24,'Overview - Section A'!$B$47:$B$54,0)),""),Setup!$A$33))</f>
        <v>1-Jan-24 to 31-Dec-24</v>
      </c>
      <c r="I246" s="596" t="str">
        <f ca="1">IFERROR(IF(INDEX('WPTM - Section F'!J$1:J$100,MATCH('Print View'!$A245,'WPTM - Section F'!$A$1:$A$100,0))&lt;&gt;0,INDEX('WPTM - Section F'!J$1:J$100,MATCH('Print View'!$A245,'WPTM - Section F'!$A$1:$A$100,0)),""),"")</f>
        <v>Completion of the study "Short, all-oral treatment regimens for rifampicin-resistant tuberculosis".</v>
      </c>
      <c r="J246" s="597"/>
      <c r="K246" s="597"/>
      <c r="L246" s="597"/>
      <c r="M246" s="598"/>
      <c r="N246" s="596" t="str">
        <f ca="1">IFERROR(IF(INDEX('WPTM - Section F'!O$1:O$100,MATCH('Print View'!$A245,'WPTM - Section F'!$A$1:$A$100,0))&lt;&gt;0,INDEX('WPTM - Section F'!O$1:O$100,MATCH('Print View'!$A245,'WPTM - Section F'!$A$1:$A$100,0)),""),"")</f>
        <v>Not started (0): The PR submits no progress against the milestones for the period.
Initiated (1): The Principal Recipient submits a draft report.
Advanced (2): Principal Recipient submits a final survey report                                                                                                                                                                    Completed (3): Principal Recipient submits a final survey report validated by the MOH and stakeholders.</v>
      </c>
      <c r="O246" s="597"/>
      <c r="P246" s="597"/>
      <c r="Q246" s="597"/>
      <c r="R246" s="597"/>
      <c r="S246" s="597"/>
      <c r="T246" s="94"/>
    </row>
    <row r="247" spans="1:86" s="18" customFormat="1" ht="60" customHeight="1">
      <c r="A247" s="600"/>
      <c r="B247" s="582"/>
      <c r="C247" s="585"/>
      <c r="D247" s="582"/>
      <c r="E247" s="582"/>
      <c r="F247" s="582"/>
      <c r="G247" s="582"/>
      <c r="H247" s="105" t="str">
        <f ca="1">IF(IFERROR(INDEX('Overview - Section A'!$A$47:$A$54,MATCH(D$25,'Overview - Section A'!$B$47:$B$54,0)),"")="","",TEXT(IFERROR(INDEX('Overview - Section A'!$A$47:$A$54,MATCH(D$25,'Overview - Section A'!$B$47:$B$54,0)),""),Setup!$A$33)&amp;" to "&amp;TEXT(IFERROR(INDEX('Overview - Section A'!$E$47:$E$54,MATCH(D$25,'Overview - Section A'!$B$47:$B$54,0)),""),Setup!$A$33))</f>
        <v>1-Jan-25 to 31-Dec-25</v>
      </c>
      <c r="I247" s="596" t="str">
        <f ca="1">IFERROR(IF(INDEX('WPTM - Section F'!R$1:R$100,MATCH('Print View'!$A245,'WPTM - Section F'!$A$1:$A$100,0))&lt;&gt;0,INDEX('WPTM - Section F'!R$1:R$100,MATCH('Print View'!$A245,'WPTM - Section F'!$A$1:$A$100,0)),""),"")</f>
        <v/>
      </c>
      <c r="J247" s="597"/>
      <c r="K247" s="597"/>
      <c r="L247" s="597"/>
      <c r="M247" s="598"/>
      <c r="N247" s="596" t="str">
        <f ca="1">IFERROR(IF(INDEX('WPTM - Section F'!S$1:S$100,MATCH('Print View'!$A245,'WPTM - Section F'!$A$1:$A$100,0))&lt;&gt;0,INDEX('WPTM - Section F'!S$1:S$100,MATCH('Print View'!$A245,'WPTM - Section F'!$A$1:$A$100,0)),""),"")</f>
        <v/>
      </c>
      <c r="O247" s="597"/>
      <c r="P247" s="597"/>
      <c r="Q247" s="597"/>
      <c r="R247" s="597"/>
      <c r="S247" s="597"/>
      <c r="T247" s="94"/>
    </row>
    <row r="248" spans="1:86" s="18" customFormat="1" ht="60" customHeight="1">
      <c r="A248" s="600"/>
      <c r="B248" s="582"/>
      <c r="C248" s="585"/>
      <c r="D248" s="582"/>
      <c r="E248" s="582"/>
      <c r="F248" s="582"/>
      <c r="G248" s="582"/>
      <c r="H248" s="105" t="str">
        <f ca="1">IF(IFERROR(INDEX('Overview - Section A'!$A$47:$A$54,MATCH(D$26,'Overview - Section A'!$B$47:$B$54,0)),"")="","",TEXT(IFERROR(INDEX('Overview - Section A'!$A$47:$A$54,MATCH(D$26,'Overview - Section A'!$B$47:$B$54,0)),""),Setup!$A$33)&amp;" to "&amp;TEXT(IFERROR(INDEX('Overview - Section A'!$E$47:$E$54,MATCH(D$26,'Overview - Section A'!$B$47:$B$54,0)),""),Setup!$A$33))</f>
        <v>1-Jan-26 to 31-Dec-26</v>
      </c>
      <c r="I248" s="596" t="str">
        <f ca="1">IFERROR(IF(INDEX('WPTM - Section F'!V$1:V$100,MATCH('Print View'!$A245,'WPTM - Section F'!$A$1:$A$100,0))&lt;&gt;0,INDEX('WPTM - Section F'!V$1:V$100,MATCH('Print View'!$A245,'WPTM - Section F'!$A$1:$A$100,0)),""),"")</f>
        <v/>
      </c>
      <c r="J248" s="597"/>
      <c r="K248" s="597"/>
      <c r="L248" s="597"/>
      <c r="M248" s="598"/>
      <c r="N248" s="596" t="str">
        <f ca="1">IFERROR(IF(INDEX('WPTM - Section F'!W$1:W$100,MATCH('Print View'!$A245,'WPTM - Section F'!$A$1:$A$100,0))&lt;&gt;0,INDEX('WPTM - Section F'!W$1:W$100,MATCH('Print View'!$A245,'WPTM - Section F'!$A$1:$A$100,0)),""),"")</f>
        <v/>
      </c>
      <c r="O248" s="597"/>
      <c r="P248" s="597"/>
      <c r="Q248" s="597"/>
      <c r="R248" s="597"/>
      <c r="S248" s="597"/>
      <c r="T248" s="94"/>
    </row>
    <row r="249" spans="1:86" s="18" customFormat="1" ht="60" customHeight="1">
      <c r="A249" s="600"/>
      <c r="B249" s="582"/>
      <c r="C249" s="585"/>
      <c r="D249" s="582"/>
      <c r="E249" s="582"/>
      <c r="F249" s="582"/>
      <c r="G249" s="582"/>
      <c r="H249" s="105" t="str">
        <f ca="1">IF(IFERROR(INDEX('Overview - Section A'!$A$47:$A$54,MATCH(D$27,'Overview - Section A'!$B$47:$B$54,0)),"")="","",TEXT(IFERROR(INDEX('Overview - Section A'!$A$47:$A$54,MATCH(D$27,'Overview - Section A'!$B$47:$B$54,0)),""),Setup!$A$33)&amp;" to "&amp;TEXT(IFERROR(INDEX('Overview - Section A'!$E$47:$E$54,MATCH(D$27,'Overview - Section A'!$B$47:$B$54,0)),""),Setup!$A$33))</f>
        <v>1-Jan-27 to 31-Dec-27</v>
      </c>
      <c r="I249" s="596" t="str">
        <f ca="1">IFERROR(IF(INDEX('WPTM - Section F'!Z$1:Z$100,MATCH('Print View'!$A245,'WPTM - Section F'!$A$1:$A$100,0))&lt;&gt;0,INDEX('WPTM - Section F'!Z$1:Z$100,MATCH('Print View'!$A245,'WPTM - Section F'!$A$1:$A$100,0)),""),"")</f>
        <v/>
      </c>
      <c r="J249" s="597"/>
      <c r="K249" s="597"/>
      <c r="L249" s="597"/>
      <c r="M249" s="598"/>
      <c r="N249" s="596" t="str">
        <f ca="1">IFERROR(IF(INDEX('WPTM - Section F'!AA$1:AA$100,MATCH('Print View'!$A245,'WPTM - Section F'!$A$1:$A$100,0))&lt;&gt;0,INDEX('WPTM - Section F'!AA$1:AA$100,MATCH('Print View'!$A245,'WPTM - Section F'!$A$1:$A$100,0)),""),"")</f>
        <v/>
      </c>
      <c r="O249" s="597"/>
      <c r="P249" s="597"/>
      <c r="Q249" s="597"/>
      <c r="R249" s="597"/>
      <c r="S249" s="597"/>
      <c r="T249" s="94"/>
    </row>
    <row r="250" spans="1:86" s="18" customFormat="1" ht="60" customHeight="1">
      <c r="A250" s="600"/>
      <c r="B250" s="582"/>
      <c r="C250" s="585"/>
      <c r="D250" s="582"/>
      <c r="E250" s="582"/>
      <c r="F250" s="582"/>
      <c r="G250" s="582"/>
      <c r="H250" s="105" t="str">
        <f ca="1">IF(IFERROR(INDEX('Overview - Section A'!$A$47:$A$54,MATCH(D$28,'Overview - Section A'!$B$47:$B$54,0)),"")="","",TEXT(IFERROR(INDEX('Overview - Section A'!$A$47:$A$54,MATCH(D$28,'Overview - Section A'!$B$47:$B$54,0)),""),Setup!$A$33)&amp;" to "&amp;TEXT(IFERROR(INDEX('Overview - Section A'!$E$47:$E$54,MATCH(D$28,'Overview - Section A'!$B$47:$B$54,0)),""),Setup!$A$33))</f>
        <v>1-Jan-28 to 31-Dec-28</v>
      </c>
      <c r="I250" s="596" t="str">
        <f ca="1">IFERROR(IF(INDEX('WPTM - Section F'!AD$1:AD$100,MATCH('Print View'!$A245,'WPTM - Section F'!$A$1:$A$100,0))&lt;&gt;0,INDEX('WPTM - Section F'!AD$1:AD$100,MATCH('Print View'!$A245,'WPTM - Section F'!$A$1:$A$100,0)),""),"")</f>
        <v/>
      </c>
      <c r="J250" s="597"/>
      <c r="K250" s="597"/>
      <c r="L250" s="597"/>
      <c r="M250" s="598"/>
      <c r="N250" s="596" t="str">
        <f ca="1">IFERROR(IF(INDEX('WPTM - Section F'!AE$1:AE$100,MATCH('Print View'!$A245,'WPTM - Section F'!$A$1:$A$100,0))&lt;&gt;0,INDEX('WPTM - Section F'!AE$1:AE$100,MATCH('Print View'!$A245,'WPTM - Section F'!$A$1:$A$100,0)),""),"")</f>
        <v/>
      </c>
      <c r="O250" s="597"/>
      <c r="P250" s="597"/>
      <c r="Q250" s="597"/>
      <c r="R250" s="597"/>
      <c r="S250" s="597"/>
      <c r="T250" s="94"/>
    </row>
    <row r="251" spans="1:86" s="18" customFormat="1" ht="60" customHeight="1">
      <c r="A251" s="600"/>
      <c r="B251" s="583"/>
      <c r="C251" s="586"/>
      <c r="D251" s="583"/>
      <c r="E251" s="583"/>
      <c r="F251" s="583"/>
      <c r="G251" s="583"/>
      <c r="H251" s="105" t="str">
        <f ca="1">IF(IFERROR(INDEX('Overview - Section A'!$A$47:$A$54,MATCH(D$29,'Overview - Section A'!$B$47:$B$54,0)),"")="","",TEXT(IFERROR(INDEX('Overview - Section A'!$A$47:$A$54,MATCH(D$29,'Overview - Section A'!$B$47:$B$54,0)),""),Setup!$A$33)&amp;" to "&amp;TEXT(IFERROR(INDEX('Overview - Section A'!$E$47:$E$54,MATCH(D$29,'Overview - Section A'!$B$47:$B$54,0)),""),Setup!$A$33))</f>
        <v/>
      </c>
      <c r="I251" s="596" t="str">
        <f ca="1">IFERROR(IF(INDEX('WPTM - Section F'!AH$1:AH$100,MATCH('Print View'!$A245,'WPTM - Section F'!$A$1:$A$100,0))&lt;&gt;0,INDEX('WPTM - Section F'!AH$1:AH$100,MATCH('Print View'!$A245,'WPTM - Section F'!$A$1:$A$100,0)),""),"")</f>
        <v/>
      </c>
      <c r="J251" s="597"/>
      <c r="K251" s="597"/>
      <c r="L251" s="597"/>
      <c r="M251" s="598"/>
      <c r="N251" s="596" t="str">
        <f ca="1">IFERROR(IF(INDEX('WPTM - Section F'!AI$1:AI$100,MATCH('Print View'!$A245,'WPTM - Section F'!$A$1:$A$100,0))&lt;&gt;0,INDEX('WPTM - Section F'!AI$1:AI$100,MATCH('Print View'!$A245,'WPTM - Section F'!$A$1:$A$100,0)),""),"")</f>
        <v/>
      </c>
      <c r="O251" s="597"/>
      <c r="P251" s="597"/>
      <c r="Q251" s="597"/>
      <c r="R251" s="597"/>
      <c r="S251" s="597"/>
      <c r="T251" s="94"/>
    </row>
    <row r="252" spans="1:86" s="18" customFormat="1" ht="60" customHeight="1">
      <c r="A252" s="601"/>
      <c r="B252" s="593" t="str">
        <f ca="1">IFERROR(IF(INDEX('WPTM - Section F'!AV$1:AV$100,MATCH('Print View'!$A245,'WPTM - Section F'!$A$1:$A$100,0))&lt;&gt;0,INDEX('WPTM - Section F'!AV$1:AV$100,MATCH('Print View'!$A245,'WPTM - Section F'!$A$1:$A$100,0)),""),"")</f>
        <v/>
      </c>
      <c r="C252" s="594"/>
      <c r="D252" s="594"/>
      <c r="E252" s="594"/>
      <c r="F252" s="594"/>
      <c r="G252" s="594"/>
      <c r="H252" s="594"/>
      <c r="I252" s="594"/>
      <c r="J252" s="594"/>
      <c r="K252" s="594"/>
      <c r="L252" s="594"/>
      <c r="M252" s="594"/>
      <c r="N252" s="594"/>
      <c r="O252" s="594"/>
      <c r="P252" s="594"/>
      <c r="Q252" s="594"/>
      <c r="R252" s="594"/>
      <c r="S252" s="595"/>
      <c r="T252" s="94"/>
    </row>
    <row r="253" spans="1:86" ht="60" customHeight="1">
      <c r="A253" s="602">
        <v>5</v>
      </c>
      <c r="B253" s="590" t="str">
        <f ca="1">IFERROR(IF(INDEX('WPTM - Section F'!B$1:B$100,MATCH('Print View'!$A253,'WPTM - Section F'!$A$1:$A$100,0))&lt;&gt;0,INDEX('WPTM - Section F'!B$1:B$100,MATCH('Print View'!$A253,'WPTM - Section F'!$A$1:$A$100,0)),""),"")</f>
        <v/>
      </c>
      <c r="C253" s="587" t="str">
        <f ca="1">IFERROR(IF(INDEX('WPTM - Section F'!C$1:C$100,MATCH('Print View'!$A253,'WPTM - Section F'!$A$1:$A$100,0))&lt;&gt;0,INDEX('WPTM - Section F'!C$1:C$100,MATCH('Print View'!$A253,'WPTM - Section F'!$A$1:$A$100,0)),""),"")</f>
        <v/>
      </c>
      <c r="D253" s="590" t="str">
        <f ca="1">IFERROR(IF(INDEX('WPTM - Section F'!D$1:D$100,MATCH('Print View'!$A253,'WPTM - Section F'!$A$1:$A$100,0))&lt;&gt;0,INDEX('WPTM - Section F'!D$1:D$100,MATCH('Print View'!$A253,'WPTM - Section F'!$A$1:$A$100,0)),""),"")</f>
        <v/>
      </c>
      <c r="E253" s="590" t="str">
        <f ca="1">IFERROR(IF(INDEX('WPTM - Section F'!E$1:E$100,MATCH('Print View'!$A253,'WPTM - Section F'!$A$1:$A$100,0))&lt;&gt;0,INDEX('WPTM - Section F'!E$1:E$100,MATCH('Print View'!$A253,'WPTM - Section F'!$A$1:$A$100,0)),""),"")</f>
        <v/>
      </c>
      <c r="F253" s="590" t="str">
        <f ca="1">IFERROR(IF(INDEX('WPTM - Section F'!F$1:F$100,MATCH('Print View'!$A253,'WPTM - Section F'!$A$1:$A$100,0))&lt;&gt;0,INDEX('WPTM - Section F'!F$1:F$100,MATCH('Print View'!$A253,'WPTM - Section F'!$A$1:$A$100,0)),""),"")</f>
        <v/>
      </c>
      <c r="G253" s="578" t="str">
        <f ca="1">IFERROR(IF(INDEX('WPTM - Section F'!G$1:G$100,MATCH('Print View'!$A253,'WPTM - Section F'!$A$1:$A$100,0))&lt;&gt;0,INDEX('WPTM - Section F'!G$1:G$100,MATCH('Print View'!$A253,'WPTM - Section F'!$A$1:$A$100,0)),""),"")</f>
        <v/>
      </c>
      <c r="H253" s="104" t="str">
        <f ca="1">IF(IFERROR(INDEX('Overview - Section A'!$A$47:$A$54,MATCH(D$23,'Overview - Section A'!$B$47:$B$54,0)),"")="","",TEXT(IFERROR(INDEX('Overview - Section A'!$A$47:$A$54,MATCH(D$23,'Overview - Section A'!$B$47:$B$54,0)),""),Setup!$A$33)&amp;" to "&amp;TEXT(IFERROR(INDEX('Overview - Section A'!$E$47:$E$54,MATCH(D$23,'Overview - Section A'!$B$47:$B$54,0)),""),Setup!$A$33))</f>
        <v>1-Jan-23 to 31-Dec-23</v>
      </c>
      <c r="I253" s="605" t="str">
        <f ca="1">IFERROR(IF(INDEX('WPTM - Section F'!J$1:J$100,MATCH('Print View'!$A253,'WPTM - Section F'!$A$1:$A$100,0))&lt;&gt;0,INDEX('WPTM - Section F'!J$1:J$100,MATCH('Print View'!$A253,'WPTM - Section F'!$A$1:$A$100,0)),""),"")</f>
        <v/>
      </c>
      <c r="J253" s="606"/>
      <c r="K253" s="606"/>
      <c r="L253" s="606"/>
      <c r="M253" s="607"/>
      <c r="N253" s="605" t="str">
        <f ca="1">IFERROR(IF(INDEX('WPTM - Section F'!K$1:K$100,MATCH('Print View'!$A253,'WPTM - Section F'!$A$1:$A$100,0))&lt;&gt;0,INDEX('WPTM - Section F'!K$1:K$100,MATCH('Print View'!$A253,'WPTM - Section F'!$A$1:$A$100,0)),""),"")</f>
        <v/>
      </c>
      <c r="O253" s="606"/>
      <c r="P253" s="606"/>
      <c r="Q253" s="606"/>
      <c r="R253" s="606"/>
      <c r="S253" s="607"/>
      <c r="T253" s="111"/>
      <c r="U253" s="13"/>
      <c r="V253" s="13"/>
      <c r="W253" s="13"/>
      <c r="X253" s="13"/>
      <c r="Y253" s="13"/>
      <c r="Z253" s="13"/>
      <c r="AA253" s="13"/>
      <c r="AB253" s="13"/>
      <c r="AC253" s="13"/>
      <c r="AD253" s="13"/>
      <c r="AE253" s="13"/>
      <c r="AF253" s="13"/>
      <c r="AG253" s="13"/>
      <c r="AH253" s="13"/>
      <c r="AI253" s="13"/>
      <c r="AJ253" s="13"/>
      <c r="AK253" s="13"/>
      <c r="AL253" s="13"/>
      <c r="AM253" s="13"/>
      <c r="AN253" s="13"/>
      <c r="AO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row>
    <row r="254" spans="1:86" ht="60" customHeight="1">
      <c r="A254" s="603">
        <v>34</v>
      </c>
      <c r="B254" s="591"/>
      <c r="C254" s="588" t="str">
        <f ca="1">IFERROR(IF(INDEX('WPTM - Section F'!C$1:C$100,MATCH('Print View'!$A254,'WPTM - Section F'!$A$1:$A$100,0))&lt;&gt;0,INDEX('WPTM - Section F'!C$1:C$100,MATCH('Print View'!$A254,'WPTM - Section F'!$A$1:$A$100,0)),""),"")</f>
        <v/>
      </c>
      <c r="D254" s="591"/>
      <c r="E254" s="591"/>
      <c r="F254" s="591"/>
      <c r="G254" s="579" t="str">
        <f ca="1">IFERROR(IF(INDEX('WPTM - Section F'!G$1:G$100,MATCH('Print View'!$A254,'WPTM - Section F'!$A$1:$A$100,0))&lt;&gt;0,INDEX('WPTM - Section F'!G$1:G$100,MATCH('Print View'!$A254,'WPTM - Section F'!$A$1:$A$100,0)),""),"")</f>
        <v/>
      </c>
      <c r="H254" s="104" t="str">
        <f ca="1">IF(IFERROR(INDEX('Overview - Section A'!$A$47:$A$54,MATCH(D$24,'Overview - Section A'!$B$47:$B$54,0)),"")="","",TEXT(IFERROR(INDEX('Overview - Section A'!$A$47:$A$54,MATCH(D$24,'Overview - Section A'!$B$47:$B$54,0)),""),Setup!$A$33)&amp;" to "&amp;TEXT(IFERROR(INDEX('Overview - Section A'!$E$47:$E$54,MATCH(D$24,'Overview - Section A'!$B$47:$B$54,0)),""),Setup!$A$33))</f>
        <v>1-Jan-24 to 31-Dec-24</v>
      </c>
      <c r="I254" s="605" t="str">
        <f ca="1">IFERROR(IF(INDEX('WPTM - Section F'!N$1:N$100,MATCH('Print View'!$A253,'WPTM - Section F'!$A$1:$A$100,0))&lt;&gt;0,INDEX('WPTM - Section F'!N$1:N$100,MATCH('Print View'!$A253,'WPTM - Section F'!$A$1:$A$100,0)),""),"")</f>
        <v/>
      </c>
      <c r="J254" s="606"/>
      <c r="K254" s="606"/>
      <c r="L254" s="606"/>
      <c r="M254" s="607"/>
      <c r="N254" s="605" t="str">
        <f ca="1">IFERROR(IF(INDEX('WPTM - Section F'!O$1:O$100,MATCH('Print View'!$A253,'WPTM - Section F'!$A$1:$A$100,0))&lt;&gt;0,INDEX('WPTM - Section F'!O$1:O$100,MATCH('Print View'!$A253,'WPTM - Section F'!$A$1:$A$100,0)),""),"")</f>
        <v/>
      </c>
      <c r="O254" s="606"/>
      <c r="P254" s="606"/>
      <c r="Q254" s="606"/>
      <c r="R254" s="606"/>
      <c r="S254" s="607"/>
      <c r="T254" s="111"/>
      <c r="U254" s="13"/>
      <c r="V254" s="13"/>
      <c r="W254" s="13"/>
      <c r="X254" s="13"/>
      <c r="Y254" s="13"/>
      <c r="Z254" s="13"/>
      <c r="AA254" s="13"/>
      <c r="AB254" s="13"/>
      <c r="AC254" s="13"/>
      <c r="AD254" s="13"/>
      <c r="AE254" s="13"/>
      <c r="AF254" s="13"/>
      <c r="AG254" s="13"/>
      <c r="AH254" s="13"/>
      <c r="AI254" s="13"/>
      <c r="AJ254" s="13"/>
      <c r="AK254" s="13"/>
      <c r="AL254" s="13"/>
      <c r="AM254" s="13"/>
      <c r="AN254" s="13"/>
      <c r="AO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row>
    <row r="255" spans="1:86" ht="60" customHeight="1">
      <c r="A255" s="603">
        <v>35</v>
      </c>
      <c r="B255" s="591"/>
      <c r="C255" s="588" t="str">
        <f ca="1">IFERROR(IF(INDEX('WPTM - Section F'!C$1:C$100,MATCH('Print View'!$A255,'WPTM - Section F'!$A$1:$A$100,0))&lt;&gt;0,INDEX('WPTM - Section F'!C$1:C$100,MATCH('Print View'!$A255,'WPTM - Section F'!$A$1:$A$100,0)),""),"")</f>
        <v/>
      </c>
      <c r="D255" s="591"/>
      <c r="E255" s="591"/>
      <c r="F255" s="591"/>
      <c r="G255" s="579" t="str">
        <f ca="1">IFERROR(IF(INDEX('WPTM - Section F'!G$1:G$100,MATCH('Print View'!$A255,'WPTM - Section F'!$A$1:$A$100,0))&lt;&gt;0,INDEX('WPTM - Section F'!G$1:G$100,MATCH('Print View'!$A255,'WPTM - Section F'!$A$1:$A$100,0)),""),"")</f>
        <v/>
      </c>
      <c r="H255" s="104" t="str">
        <f ca="1">IF(IFERROR(INDEX('Overview - Section A'!$A$47:$A$54,MATCH(D$25,'Overview - Section A'!$B$47:$B$54,0)),"")="","",TEXT(IFERROR(INDEX('Overview - Section A'!$A$47:$A$54,MATCH(D$25,'Overview - Section A'!$B$47:$B$54,0)),""),Setup!$A$33)&amp;" to "&amp;TEXT(IFERROR(INDEX('Overview - Section A'!$E$47:$E$54,MATCH(D$25,'Overview - Section A'!$B$47:$B$54,0)),""),Setup!$A$33))</f>
        <v>1-Jan-25 to 31-Dec-25</v>
      </c>
      <c r="I255" s="605" t="str">
        <f ca="1">IFERROR(IF(INDEX('WPTM - Section F'!R$1:R$100,MATCH('Print View'!$A253,'WPTM - Section F'!$A$1:$A$100,0))&lt;&gt;0,INDEX('WPTM - Section F'!R$1:R$100,MATCH('Print View'!$A253,'WPTM - Section F'!$A$1:$A$100,0)),""),"")</f>
        <v/>
      </c>
      <c r="J255" s="606"/>
      <c r="K255" s="606"/>
      <c r="L255" s="606"/>
      <c r="M255" s="607"/>
      <c r="N255" s="605" t="str">
        <f ca="1">IFERROR(IF(INDEX('WPTM - Section F'!S$1:S$100,MATCH('Print View'!$A253,'WPTM - Section F'!$A$1:$A$100,0))&lt;&gt;0,INDEX('WPTM - Section F'!S$1:S$100,MATCH('Print View'!$A253,'WPTM - Section F'!$A$1:$A$100,0)),""),"")</f>
        <v/>
      </c>
      <c r="O255" s="606"/>
      <c r="P255" s="606"/>
      <c r="Q255" s="606"/>
      <c r="R255" s="606"/>
      <c r="S255" s="607"/>
      <c r="T255" s="111"/>
      <c r="U255" s="13"/>
      <c r="V255" s="13"/>
      <c r="W255" s="13"/>
      <c r="X255" s="13"/>
      <c r="Y255" s="13"/>
      <c r="Z255" s="13"/>
      <c r="AA255" s="13"/>
      <c r="AB255" s="13"/>
      <c r="AC255" s="13"/>
      <c r="AD255" s="13"/>
      <c r="AE255" s="13"/>
      <c r="AF255" s="13"/>
      <c r="AG255" s="13"/>
      <c r="AH255" s="13"/>
      <c r="AI255" s="13"/>
      <c r="AJ255" s="13"/>
      <c r="AK255" s="13"/>
      <c r="AL255" s="13"/>
      <c r="AM255" s="13"/>
      <c r="AN255" s="13"/>
      <c r="AO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row>
    <row r="256" spans="1:86" ht="60" customHeight="1">
      <c r="A256" s="603">
        <v>36</v>
      </c>
      <c r="B256" s="591"/>
      <c r="C256" s="588" t="str">
        <f ca="1">IFERROR(IF(INDEX('WPTM - Section F'!C$1:C$100,MATCH('Print View'!$A256,'WPTM - Section F'!$A$1:$A$100,0))&lt;&gt;0,INDEX('WPTM - Section F'!C$1:C$100,MATCH('Print View'!$A256,'WPTM - Section F'!$A$1:$A$100,0)),""),"")</f>
        <v/>
      </c>
      <c r="D256" s="591"/>
      <c r="E256" s="591"/>
      <c r="F256" s="591"/>
      <c r="G256" s="579" t="str">
        <f ca="1">IFERROR(IF(INDEX('WPTM - Section F'!G$1:G$100,MATCH('Print View'!$A256,'WPTM - Section F'!$A$1:$A$100,0))&lt;&gt;0,INDEX('WPTM - Section F'!G$1:G$100,MATCH('Print View'!$A256,'WPTM - Section F'!$A$1:$A$100,0)),""),"")</f>
        <v/>
      </c>
      <c r="H256" s="104" t="str">
        <f ca="1">IF(IFERROR(INDEX('Overview - Section A'!$A$47:$A$54,MATCH(D$26,'Overview - Section A'!$B$47:$B$54,0)),"")="","",TEXT(IFERROR(INDEX('Overview - Section A'!$A$47:$A$54,MATCH(D$26,'Overview - Section A'!$B$47:$B$54,0)),""),Setup!$A$33)&amp;" to "&amp;TEXT(IFERROR(INDEX('Overview - Section A'!$E$47:$E$54,MATCH(D$26,'Overview - Section A'!$B$47:$B$54,0)),""),Setup!$A$33))</f>
        <v>1-Jan-26 to 31-Dec-26</v>
      </c>
      <c r="I256" s="605" t="str">
        <f ca="1">IFERROR(IF(INDEX('WPTM - Section F'!V$1:V$100,MATCH('Print View'!$A253,'WPTM - Section F'!$A$1:$A$100,0))&lt;&gt;0,INDEX('WPTM - Section F'!V$1:V$100,MATCH('Print View'!$A253,'WPTM - Section F'!$A$1:$A$100,0)),""),"")</f>
        <v/>
      </c>
      <c r="J256" s="606"/>
      <c r="K256" s="606"/>
      <c r="L256" s="606"/>
      <c r="M256" s="607"/>
      <c r="N256" s="605" t="str">
        <f ca="1">IFERROR(IF(INDEX('WPTM - Section F'!W$1:W$100,MATCH('Print View'!$A253,'WPTM - Section F'!$A$1:$A$100,0))&lt;&gt;0,INDEX('WPTM - Section F'!W$1:W$100,MATCH('Print View'!$A253,'WPTM - Section F'!$A$1:$A$100,0)),""),"")</f>
        <v/>
      </c>
      <c r="O256" s="606"/>
      <c r="P256" s="606"/>
      <c r="Q256" s="606"/>
      <c r="R256" s="606"/>
      <c r="S256" s="607"/>
      <c r="T256" s="111"/>
      <c r="U256" s="13"/>
      <c r="V256" s="13"/>
      <c r="W256" s="13"/>
      <c r="X256" s="13"/>
      <c r="Y256" s="13"/>
      <c r="Z256" s="13"/>
      <c r="AA256" s="13"/>
      <c r="AB256" s="13"/>
      <c r="AC256" s="13"/>
      <c r="AD256" s="13"/>
      <c r="AE256" s="13"/>
      <c r="AF256" s="13"/>
      <c r="AG256" s="13"/>
      <c r="AH256" s="13"/>
      <c r="AI256" s="13"/>
      <c r="AJ256" s="13"/>
      <c r="AK256" s="13"/>
      <c r="AL256" s="13"/>
      <c r="AM256" s="13"/>
      <c r="AN256" s="13"/>
      <c r="AO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row>
    <row r="257" spans="1:86" ht="60" customHeight="1">
      <c r="A257" s="603">
        <v>37</v>
      </c>
      <c r="B257" s="591"/>
      <c r="C257" s="588" t="str">
        <f ca="1">IFERROR(IF(INDEX('WPTM - Section F'!C$1:C$100,MATCH('Print View'!$A257,'WPTM - Section F'!$A$1:$A$100,0))&lt;&gt;0,INDEX('WPTM - Section F'!C$1:C$100,MATCH('Print View'!$A257,'WPTM - Section F'!$A$1:$A$100,0)),""),"")</f>
        <v/>
      </c>
      <c r="D257" s="591"/>
      <c r="E257" s="591"/>
      <c r="F257" s="591"/>
      <c r="G257" s="579" t="str">
        <f ca="1">IFERROR(IF(INDEX('WPTM - Section F'!G$1:G$100,MATCH('Print View'!$A257,'WPTM - Section F'!$A$1:$A$100,0))&lt;&gt;0,INDEX('WPTM - Section F'!G$1:G$100,MATCH('Print View'!$A257,'WPTM - Section F'!$A$1:$A$100,0)),""),"")</f>
        <v/>
      </c>
      <c r="H257" s="104" t="str">
        <f ca="1">IF(IFERROR(INDEX('Overview - Section A'!$A$47:$A$54,MATCH(D$27,'Overview - Section A'!$B$47:$B$54,0)),"")="","",TEXT(IFERROR(INDEX('Overview - Section A'!$A$47:$A$54,MATCH(D$27,'Overview - Section A'!$B$47:$B$54,0)),""),Setup!$A$33)&amp;" to "&amp;TEXT(IFERROR(INDEX('Overview - Section A'!$E$47:$E$54,MATCH(D$27,'Overview - Section A'!$B$47:$B$54,0)),""),Setup!$A$33))</f>
        <v>1-Jan-27 to 31-Dec-27</v>
      </c>
      <c r="I257" s="605" t="str">
        <f ca="1">IFERROR(IF(INDEX('WPTM - Section F'!Z$1:Z$100,MATCH('Print View'!$A253,'WPTM - Section F'!$A$1:$A$100,0))&lt;&gt;0,INDEX('WPTM - Section F'!Z$1:Z$100,MATCH('Print View'!$A253,'WPTM - Section F'!$A$1:$A$100,0)),""),"")</f>
        <v/>
      </c>
      <c r="J257" s="606"/>
      <c r="K257" s="606"/>
      <c r="L257" s="606"/>
      <c r="M257" s="607"/>
      <c r="N257" s="605" t="str">
        <f ca="1">IFERROR(IF(INDEX('WPTM - Section F'!AA$1:AA$100,MATCH('Print View'!$A253,'WPTM - Section F'!$A$1:$A$100,0))&lt;&gt;0,INDEX('WPTM - Section F'!AA$1:AA$100,MATCH('Print View'!$A253,'WPTM - Section F'!$A$1:$A$100,0)),""),"")</f>
        <v/>
      </c>
      <c r="O257" s="606"/>
      <c r="P257" s="606"/>
      <c r="Q257" s="606"/>
      <c r="R257" s="606"/>
      <c r="S257" s="607"/>
      <c r="T257" s="111"/>
      <c r="U257" s="13"/>
      <c r="V257" s="13"/>
      <c r="W257" s="13"/>
      <c r="X257" s="13"/>
      <c r="Y257" s="13"/>
      <c r="Z257" s="13"/>
      <c r="AA257" s="13"/>
      <c r="AB257" s="13"/>
      <c r="AC257" s="13"/>
      <c r="AD257" s="13"/>
      <c r="AE257" s="13"/>
      <c r="AF257" s="13"/>
      <c r="AG257" s="13"/>
      <c r="AH257" s="13"/>
      <c r="AI257" s="13"/>
      <c r="AJ257" s="13"/>
      <c r="AK257" s="13"/>
      <c r="AL257" s="13"/>
      <c r="AM257" s="13"/>
      <c r="AN257" s="13"/>
      <c r="AO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row>
    <row r="258" spans="1:86" ht="60" customHeight="1">
      <c r="A258" s="603">
        <v>38</v>
      </c>
      <c r="B258" s="591"/>
      <c r="C258" s="588" t="str">
        <f ca="1">IFERROR(IF(INDEX('WPTM - Section F'!C$1:C$100,MATCH('Print View'!$A258,'WPTM - Section F'!$A$1:$A$100,0))&lt;&gt;0,INDEX('WPTM - Section F'!C$1:C$100,MATCH('Print View'!$A258,'WPTM - Section F'!$A$1:$A$100,0)),""),"")</f>
        <v/>
      </c>
      <c r="D258" s="591"/>
      <c r="E258" s="591"/>
      <c r="F258" s="591"/>
      <c r="G258" s="579" t="str">
        <f ca="1">IFERROR(IF(INDEX('WPTM - Section F'!G$1:G$100,MATCH('Print View'!$A258,'WPTM - Section F'!$A$1:$A$100,0))&lt;&gt;0,INDEX('WPTM - Section F'!G$1:G$100,MATCH('Print View'!$A258,'WPTM - Section F'!$A$1:$A$100,0)),""),"")</f>
        <v/>
      </c>
      <c r="H258" s="104" t="str">
        <f ca="1">IF(IFERROR(INDEX('Overview - Section A'!$A$47:$A$54,MATCH(D$28,'Overview - Section A'!$B$47:$B$54,0)),"")="","",TEXT(IFERROR(INDEX('Overview - Section A'!$A$47:$A$54,MATCH(D$28,'Overview - Section A'!$B$47:$B$54,0)),""),Setup!$A$33)&amp;" to "&amp;TEXT(IFERROR(INDEX('Overview - Section A'!$E$47:$E$54,MATCH(D$28,'Overview - Section A'!$B$47:$B$54,0)),""),Setup!$A$33))</f>
        <v>1-Jan-28 to 31-Dec-28</v>
      </c>
      <c r="I258" s="605" t="str">
        <f ca="1">IFERROR(IF(INDEX('WPTM - Section F'!AD$1:AD$100,MATCH('Print View'!$A253,'WPTM - Section F'!$A$1:$A$100,0))&lt;&gt;0,INDEX('WPTM - Section F'!AD$1:AD$100,MATCH('Print View'!$A253,'WPTM - Section F'!$A$1:$A$100,0)),""),"")</f>
        <v/>
      </c>
      <c r="J258" s="606"/>
      <c r="K258" s="606"/>
      <c r="L258" s="606"/>
      <c r="M258" s="607"/>
      <c r="N258" s="605" t="str">
        <f ca="1">IFERROR(IF(INDEX('WPTM - Section F'!AE$1:AE$100,MATCH('Print View'!$A253,'WPTM - Section F'!$A$1:$A$100,0))&lt;&gt;0,INDEX('WPTM - Section F'!AE$1:AE$100,MATCH('Print View'!$A253,'WPTM - Section F'!$A$1:$A$100,0)),""),"")</f>
        <v/>
      </c>
      <c r="O258" s="606"/>
      <c r="P258" s="606"/>
      <c r="Q258" s="606"/>
      <c r="R258" s="606"/>
      <c r="S258" s="607"/>
      <c r="T258" s="111"/>
      <c r="U258" s="13"/>
      <c r="V258" s="13"/>
      <c r="W258" s="13"/>
      <c r="X258" s="13"/>
      <c r="Y258" s="13"/>
      <c r="Z258" s="13"/>
      <c r="AA258" s="13"/>
      <c r="AB258" s="13"/>
      <c r="AC258" s="13"/>
      <c r="AD258" s="13"/>
      <c r="AE258" s="13"/>
      <c r="AF258" s="13"/>
      <c r="AG258" s="13"/>
      <c r="AH258" s="13"/>
      <c r="AI258" s="13"/>
      <c r="AJ258" s="13"/>
      <c r="AK258" s="13"/>
      <c r="AL258" s="13"/>
      <c r="AM258" s="13"/>
      <c r="AN258" s="13"/>
      <c r="AO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row>
    <row r="259" spans="1:86" ht="60" customHeight="1">
      <c r="A259" s="603">
        <v>39</v>
      </c>
      <c r="B259" s="592"/>
      <c r="C259" s="589" t="str">
        <f ca="1">IFERROR(IF(INDEX('WPTM - Section F'!C$1:C$100,MATCH('Print View'!$A259,'WPTM - Section F'!$A$1:$A$100,0))&lt;&gt;0,INDEX('WPTM - Section F'!C$1:C$100,MATCH('Print View'!$A259,'WPTM - Section F'!$A$1:$A$100,0)),""),"")</f>
        <v/>
      </c>
      <c r="D259" s="592"/>
      <c r="E259" s="592"/>
      <c r="F259" s="592"/>
      <c r="G259" s="580" t="str">
        <f ca="1">IFERROR(IF(INDEX('WPTM - Section F'!G$1:G$100,MATCH('Print View'!$A259,'WPTM - Section F'!$A$1:$A$100,0))&lt;&gt;0,INDEX('WPTM - Section F'!G$1:G$100,MATCH('Print View'!$A259,'WPTM - Section F'!$A$1:$A$100,0)),""),"")</f>
        <v/>
      </c>
      <c r="H259" s="104" t="str">
        <f ca="1">IF(IFERROR(INDEX('Overview - Section A'!$A$47:$A$54,MATCH(D$29,'Overview - Section A'!$B$47:$B$54,0)),"")="","",TEXT(IFERROR(INDEX('Overview - Section A'!$A$47:$A$54,MATCH(D$29,'Overview - Section A'!$B$47:$B$54,0)),""),Setup!$A$33)&amp;" to "&amp;TEXT(IFERROR(INDEX('Overview - Section A'!$E$47:$E$54,MATCH(D$29,'Overview - Section A'!$B$47:$B$54,0)),""),Setup!$A$33))</f>
        <v/>
      </c>
      <c r="I259" s="605" t="str">
        <f ca="1">IFERROR(IF(INDEX('WPTM - Section F'!AH$1:AH$100,MATCH('Print View'!$A253,'WPTM - Section F'!$A$1:$A$100,0))&lt;&gt;0,INDEX('WPTM - Section F'!AH$1:AH$100,MATCH('Print View'!$A253,'WPTM - Section F'!$A$1:$A$100,0)),""),"")</f>
        <v/>
      </c>
      <c r="J259" s="606"/>
      <c r="K259" s="606"/>
      <c r="L259" s="606"/>
      <c r="M259" s="607"/>
      <c r="N259" s="605" t="str">
        <f ca="1">IFERROR(IF(INDEX('WPTM - Section F'!AI$1:AI$100,MATCH('Print View'!$A253,'WPTM - Section F'!$A$1:$A$100,0))&lt;&gt;0,INDEX('WPTM - Section F'!AI$1:AI$100,MATCH('Print View'!$A253,'WPTM - Section F'!$A$1:$A$100,0)),""),"")</f>
        <v/>
      </c>
      <c r="O259" s="606"/>
      <c r="P259" s="606"/>
      <c r="Q259" s="606"/>
      <c r="R259" s="606"/>
      <c r="S259" s="607"/>
      <c r="T259" s="111"/>
      <c r="U259" s="13"/>
      <c r="V259" s="13"/>
      <c r="W259" s="13"/>
      <c r="X259" s="13"/>
      <c r="Y259" s="13"/>
      <c r="Z259" s="13"/>
      <c r="AA259" s="13"/>
      <c r="AB259" s="13"/>
      <c r="AC259" s="13"/>
      <c r="AD259" s="13"/>
      <c r="AE259" s="13"/>
      <c r="AF259" s="13"/>
      <c r="AG259" s="13"/>
      <c r="AH259" s="13"/>
      <c r="AI259" s="13"/>
      <c r="AJ259" s="13"/>
      <c r="AK259" s="13"/>
      <c r="AL259" s="13"/>
      <c r="AM259" s="13"/>
      <c r="AN259" s="13"/>
      <c r="AO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row>
    <row r="260" spans="1:86" ht="60" customHeight="1">
      <c r="A260" s="604">
        <v>40</v>
      </c>
      <c r="B260" s="637" t="str">
        <f ca="1">IFERROR(IF(INDEX('WPTM - Section F'!AV$1:AV$100,MATCH('Print View'!$A253,'WPTM - Section F'!$A$1:$A$100,0))&lt;&gt;0,INDEX('WPTM - Section F'!AV$1:AV$100,MATCH('Print View'!$A253,'WPTM - Section F'!$A$1:$A$100,0)),""),"")</f>
        <v/>
      </c>
      <c r="C260" s="638"/>
      <c r="D260" s="638"/>
      <c r="E260" s="638"/>
      <c r="F260" s="638"/>
      <c r="G260" s="638"/>
      <c r="H260" s="638"/>
      <c r="I260" s="638"/>
      <c r="J260" s="638"/>
      <c r="K260" s="638"/>
      <c r="L260" s="638"/>
      <c r="M260" s="638"/>
      <c r="N260" s="638"/>
      <c r="O260" s="638"/>
      <c r="P260" s="638"/>
      <c r="Q260" s="638"/>
      <c r="R260" s="638"/>
      <c r="S260" s="639"/>
      <c r="T260" s="111"/>
      <c r="U260" s="13"/>
      <c r="V260" s="13"/>
      <c r="W260" s="13"/>
      <c r="X260" s="13"/>
      <c r="Y260" s="13"/>
      <c r="Z260" s="13"/>
      <c r="AA260" s="13"/>
      <c r="AB260" s="13"/>
      <c r="AC260" s="13"/>
      <c r="AD260" s="13"/>
      <c r="AE260" s="13"/>
      <c r="AF260" s="13"/>
      <c r="AG260" s="13"/>
      <c r="AH260" s="13"/>
      <c r="AI260" s="13"/>
      <c r="AJ260" s="13"/>
      <c r="AK260" s="13"/>
      <c r="AL260" s="13"/>
      <c r="AM260" s="13"/>
      <c r="AN260" s="13"/>
      <c r="AO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row>
    <row r="261" spans="1:86" s="18" customFormat="1" ht="60" customHeight="1">
      <c r="A261" s="599">
        <v>6</v>
      </c>
      <c r="B261" s="581" t="str">
        <f ca="1">IFERROR(IF(INDEX('WPTM - Section F'!B$1:B$100,MATCH('Print View'!$A261,'WPTM - Section F'!$A$1:$A$100,0))&lt;&gt;0,INDEX('WPTM - Section F'!B$1:B$100,MATCH('Print View'!$A261,'WPTM - Section F'!$A$1:$A$100,0)),""),"")</f>
        <v/>
      </c>
      <c r="C261" s="584" t="str">
        <f ca="1">IFERROR(IF(INDEX('WPTM - Section F'!C$1:C$100,MATCH('Print View'!$A261,'WPTM - Section F'!$A$1:$A$100,0))&lt;&gt;0,INDEX('WPTM - Section F'!C$1:C$100,MATCH('Print View'!$A261,'WPTM - Section F'!$A$1:$A$100,0)),""),"")</f>
        <v/>
      </c>
      <c r="D261" s="581" t="str">
        <f ca="1">IFERROR(IF(INDEX('WPTM - Section F'!D$1:D$100,MATCH('Print View'!$A261,'WPTM - Section F'!$A$1:$A$100,0))&lt;&gt;0,INDEX('WPTM - Section F'!D$1:D$100,MATCH('Print View'!$A261,'WPTM - Section F'!$A$1:$A$100,0)),""),"")</f>
        <v/>
      </c>
      <c r="E261" s="581" t="str">
        <f ca="1">IFERROR(IF(INDEX('WPTM - Section F'!E$1:E$100,MATCH('Print View'!$A261,'WPTM - Section F'!$A$1:$A$100,0))&lt;&gt;0,INDEX('WPTM - Section F'!E$1:E$100,MATCH('Print View'!$A261,'WPTM - Section F'!$A$1:$A$100,0)),""),"")</f>
        <v/>
      </c>
      <c r="F261" s="581" t="str">
        <f ca="1">IFERROR(IF(INDEX('WPTM - Section F'!F$1:F$100,MATCH('Print View'!$A261,'WPTM - Section F'!$A$1:$A$100,0))&lt;&gt;0,INDEX('WPTM - Section F'!F$1:F$100,MATCH('Print View'!$A261,'WPTM - Section F'!$A$1:$A$100,0)),""),"")</f>
        <v/>
      </c>
      <c r="G261" s="584" t="str">
        <f ca="1">IFERROR(IF(INDEX('WPTM - Section F'!G$1:G$100,MATCH('Print View'!$A261,'WPTM - Section F'!$A$1:$A$100,0))&lt;&gt;0,INDEX('WPTM - Section F'!G$1:G$100,MATCH('Print View'!$A261,'WPTM - Section F'!$A$1:$A$100,0)),""),"")</f>
        <v/>
      </c>
      <c r="H261" s="105" t="str">
        <f ca="1">IF(IFERROR(INDEX('Overview - Section A'!$A$47:$A$54,MATCH(D$23,'Overview - Section A'!$B$47:$B$54,0)),"")="","",TEXT(IFERROR(INDEX('Overview - Section A'!$A$47:$A$54,MATCH(D$23,'Overview - Section A'!$B$47:$B$54,0)),""),Setup!$A$33)&amp;" to "&amp;TEXT(IFERROR(INDEX('Overview - Section A'!$E$47:$E$54,MATCH(D$23,'Overview - Section A'!$B$47:$B$54,0)),""),Setup!$A$33))</f>
        <v>1-Jan-23 to 31-Dec-23</v>
      </c>
      <c r="I261" s="596" t="str">
        <f ca="1">IFERROR(IF(INDEX('WPTM - Section F'!J$1:J$100,MATCH('Print View'!$A261,'WPTM - Section F'!$A$1:$A$100,0))&lt;&gt;0,INDEX('WPTM - Section F'!J$1:J$100,MATCH('Print View'!$A261,'WPTM - Section F'!$A$1:$A$100,0)),""),"")</f>
        <v/>
      </c>
      <c r="J261" s="597"/>
      <c r="K261" s="597"/>
      <c r="L261" s="597"/>
      <c r="M261" s="598"/>
      <c r="N261" s="596" t="str">
        <f ca="1">IFERROR(IF(INDEX('WPTM - Section F'!K$1:K$100,MATCH('Print View'!$A261,'WPTM - Section F'!$A$1:$A$100,0))&lt;&gt;0,INDEX('WPTM - Section F'!K$1:K$100,MATCH('Print View'!$A261,'WPTM - Section F'!$A$1:$A$100,0)),""),"")</f>
        <v/>
      </c>
      <c r="O261" s="597"/>
      <c r="P261" s="597"/>
      <c r="Q261" s="597"/>
      <c r="R261" s="597"/>
      <c r="S261" s="597"/>
      <c r="T261" s="94"/>
    </row>
    <row r="262" spans="1:86" s="18" customFormat="1" ht="60" customHeight="1">
      <c r="A262" s="600">
        <v>42</v>
      </c>
      <c r="B262" s="582"/>
      <c r="C262" s="585" t="str">
        <f ca="1">IFERROR(IF(INDEX('WPTM - Section F'!C$1:C$100,MATCH('Print View'!$A262,'WPTM - Section F'!$A$1:$A$100,0))&lt;&gt;0,INDEX('WPTM - Section F'!C$1:C$100,MATCH('Print View'!$A262,'WPTM - Section F'!$A$1:$A$100,0)),""),"")</f>
        <v/>
      </c>
      <c r="D262" s="582"/>
      <c r="E262" s="582"/>
      <c r="F262" s="582"/>
      <c r="G262" s="585" t="str">
        <f ca="1">IFERROR(IF(INDEX('WPTM - Section F'!G$1:G$100,MATCH('Print View'!$A262,'WPTM - Section F'!$A$1:$A$100,0))&lt;&gt;0,INDEX('WPTM - Section F'!G$1:G$100,MATCH('Print View'!$A262,'WPTM - Section F'!$A$1:$A$100,0)),""),"")</f>
        <v/>
      </c>
      <c r="H262" s="105" t="str">
        <f ca="1">IF(IFERROR(INDEX('Overview - Section A'!$A$47:$A$54,MATCH(D$24,'Overview - Section A'!$B$47:$B$54,0)),"")="","",TEXT(IFERROR(INDEX('Overview - Section A'!$A$47:$A$54,MATCH(D$24,'Overview - Section A'!$B$47:$B$54,0)),""),Setup!$A$33)&amp;" to "&amp;TEXT(IFERROR(INDEX('Overview - Section A'!$E$47:$E$54,MATCH(D$24,'Overview - Section A'!$B$47:$B$54,0)),""),Setup!$A$33))</f>
        <v>1-Jan-24 to 31-Dec-24</v>
      </c>
      <c r="I262" s="596" t="str">
        <f ca="1">IFERROR(IF(INDEX('WPTM - Section F'!J$1:J$100,MATCH('Print View'!$A261,'WPTM - Section F'!$A$1:$A$100,0))&lt;&gt;0,INDEX('WPTM - Section F'!J$1:J$100,MATCH('Print View'!$A261,'WPTM - Section F'!$A$1:$A$100,0)),""),"")</f>
        <v/>
      </c>
      <c r="J262" s="597"/>
      <c r="K262" s="597"/>
      <c r="L262" s="597"/>
      <c r="M262" s="598"/>
      <c r="N262" s="596" t="str">
        <f ca="1">IFERROR(IF(INDEX('WPTM - Section F'!O$1:O$100,MATCH('Print View'!$A261,'WPTM - Section F'!$A$1:$A$100,0))&lt;&gt;0,INDEX('WPTM - Section F'!O$1:O$100,MATCH('Print View'!$A261,'WPTM - Section F'!$A$1:$A$100,0)),""),"")</f>
        <v/>
      </c>
      <c r="O262" s="597"/>
      <c r="P262" s="597"/>
      <c r="Q262" s="597"/>
      <c r="R262" s="597"/>
      <c r="S262" s="597"/>
      <c r="T262" s="94"/>
    </row>
    <row r="263" spans="1:86" s="18" customFormat="1" ht="60" customHeight="1">
      <c r="A263" s="600">
        <v>43</v>
      </c>
      <c r="B263" s="582"/>
      <c r="C263" s="585" t="str">
        <f ca="1">IFERROR(IF(INDEX('WPTM - Section F'!C$1:C$100,MATCH('Print View'!$A263,'WPTM - Section F'!$A$1:$A$100,0))&lt;&gt;0,INDEX('WPTM - Section F'!C$1:C$100,MATCH('Print View'!$A263,'WPTM - Section F'!$A$1:$A$100,0)),""),"")</f>
        <v/>
      </c>
      <c r="D263" s="582"/>
      <c r="E263" s="582"/>
      <c r="F263" s="582"/>
      <c r="G263" s="585" t="str">
        <f ca="1">IFERROR(IF(INDEX('WPTM - Section F'!G$1:G$100,MATCH('Print View'!$A263,'WPTM - Section F'!$A$1:$A$100,0))&lt;&gt;0,INDEX('WPTM - Section F'!G$1:G$100,MATCH('Print View'!$A263,'WPTM - Section F'!$A$1:$A$100,0)),""),"")</f>
        <v/>
      </c>
      <c r="H263" s="105" t="str">
        <f ca="1">IF(IFERROR(INDEX('Overview - Section A'!$A$47:$A$54,MATCH(D$25,'Overview - Section A'!$B$47:$B$54,0)),"")="","",TEXT(IFERROR(INDEX('Overview - Section A'!$A$47:$A$54,MATCH(D$25,'Overview - Section A'!$B$47:$B$54,0)),""),Setup!$A$33)&amp;" to "&amp;TEXT(IFERROR(INDEX('Overview - Section A'!$E$47:$E$54,MATCH(D$25,'Overview - Section A'!$B$47:$B$54,0)),""),Setup!$A$33))</f>
        <v>1-Jan-25 to 31-Dec-25</v>
      </c>
      <c r="I263" s="596" t="str">
        <f ca="1">IFERROR(IF(INDEX('WPTM - Section F'!R$1:R$100,MATCH('Print View'!$A261,'WPTM - Section F'!$A$1:$A$100,0))&lt;&gt;0,INDEX('WPTM - Section F'!R$1:R$100,MATCH('Print View'!$A261,'WPTM - Section F'!$A$1:$A$100,0)),""),"")</f>
        <v/>
      </c>
      <c r="J263" s="597"/>
      <c r="K263" s="597"/>
      <c r="L263" s="597"/>
      <c r="M263" s="598"/>
      <c r="N263" s="596" t="str">
        <f ca="1">IFERROR(IF(INDEX('WPTM - Section F'!S$1:S$100,MATCH('Print View'!$A261,'WPTM - Section F'!$A$1:$A$100,0))&lt;&gt;0,INDEX('WPTM - Section F'!S$1:S$100,MATCH('Print View'!$A261,'WPTM - Section F'!$A$1:$A$100,0)),""),"")</f>
        <v/>
      </c>
      <c r="O263" s="597"/>
      <c r="P263" s="597"/>
      <c r="Q263" s="597"/>
      <c r="R263" s="597"/>
      <c r="S263" s="597"/>
      <c r="T263" s="94"/>
    </row>
    <row r="264" spans="1:86" s="18" customFormat="1" ht="60" customHeight="1">
      <c r="A264" s="600">
        <v>44</v>
      </c>
      <c r="B264" s="582"/>
      <c r="C264" s="585" t="str">
        <f ca="1">IFERROR(IF(INDEX('WPTM - Section F'!C$1:C$100,MATCH('Print View'!$A264,'WPTM - Section F'!$A$1:$A$100,0))&lt;&gt;0,INDEX('WPTM - Section F'!C$1:C$100,MATCH('Print View'!$A264,'WPTM - Section F'!$A$1:$A$100,0)),""),"")</f>
        <v/>
      </c>
      <c r="D264" s="582"/>
      <c r="E264" s="582"/>
      <c r="F264" s="582"/>
      <c r="G264" s="585" t="str">
        <f ca="1">IFERROR(IF(INDEX('WPTM - Section F'!G$1:G$100,MATCH('Print View'!$A264,'WPTM - Section F'!$A$1:$A$100,0))&lt;&gt;0,INDEX('WPTM - Section F'!G$1:G$100,MATCH('Print View'!$A264,'WPTM - Section F'!$A$1:$A$100,0)),""),"")</f>
        <v/>
      </c>
      <c r="H264" s="105" t="str">
        <f ca="1">IF(IFERROR(INDEX('Overview - Section A'!$A$47:$A$54,MATCH(D$26,'Overview - Section A'!$B$47:$B$54,0)),"")="","",TEXT(IFERROR(INDEX('Overview - Section A'!$A$47:$A$54,MATCH(D$26,'Overview - Section A'!$B$47:$B$54,0)),""),Setup!$A$33)&amp;" to "&amp;TEXT(IFERROR(INDEX('Overview - Section A'!$E$47:$E$54,MATCH(D$26,'Overview - Section A'!$B$47:$B$54,0)),""),Setup!$A$33))</f>
        <v>1-Jan-26 to 31-Dec-26</v>
      </c>
      <c r="I264" s="596" t="str">
        <f ca="1">IFERROR(IF(INDEX('WPTM - Section F'!V$1:V$100,MATCH('Print View'!$A261,'WPTM - Section F'!$A$1:$A$100,0))&lt;&gt;0,INDEX('WPTM - Section F'!V$1:V$100,MATCH('Print View'!$A261,'WPTM - Section F'!$A$1:$A$100,0)),""),"")</f>
        <v/>
      </c>
      <c r="J264" s="597"/>
      <c r="K264" s="597"/>
      <c r="L264" s="597"/>
      <c r="M264" s="598"/>
      <c r="N264" s="596" t="str">
        <f ca="1">IFERROR(IF(INDEX('WPTM - Section F'!W$1:W$100,MATCH('Print View'!$A261,'WPTM - Section F'!$A$1:$A$100,0))&lt;&gt;0,INDEX('WPTM - Section F'!W$1:W$100,MATCH('Print View'!$A261,'WPTM - Section F'!$A$1:$A$100,0)),""),"")</f>
        <v/>
      </c>
      <c r="O264" s="597"/>
      <c r="P264" s="597"/>
      <c r="Q264" s="597"/>
      <c r="R264" s="597"/>
      <c r="S264" s="597"/>
      <c r="T264" s="94"/>
    </row>
    <row r="265" spans="1:86" s="18" customFormat="1" ht="60" customHeight="1">
      <c r="A265" s="600">
        <v>45</v>
      </c>
      <c r="B265" s="582"/>
      <c r="C265" s="585" t="str">
        <f ca="1">IFERROR(IF(INDEX('WPTM - Section F'!C$1:C$100,MATCH('Print View'!$A265,'WPTM - Section F'!$A$1:$A$100,0))&lt;&gt;0,INDEX('WPTM - Section F'!C$1:C$100,MATCH('Print View'!$A265,'WPTM - Section F'!$A$1:$A$100,0)),""),"")</f>
        <v/>
      </c>
      <c r="D265" s="582"/>
      <c r="E265" s="582"/>
      <c r="F265" s="582"/>
      <c r="G265" s="585" t="str">
        <f ca="1">IFERROR(IF(INDEX('WPTM - Section F'!G$1:G$100,MATCH('Print View'!$A265,'WPTM - Section F'!$A$1:$A$100,0))&lt;&gt;0,INDEX('WPTM - Section F'!G$1:G$100,MATCH('Print View'!$A265,'WPTM - Section F'!$A$1:$A$100,0)),""),"")</f>
        <v/>
      </c>
      <c r="H265" s="105" t="str">
        <f ca="1">IF(IFERROR(INDEX('Overview - Section A'!$A$47:$A$54,MATCH(D$27,'Overview - Section A'!$B$47:$B$54,0)),"")="","",TEXT(IFERROR(INDEX('Overview - Section A'!$A$47:$A$54,MATCH(D$27,'Overview - Section A'!$B$47:$B$54,0)),""),Setup!$A$33)&amp;" to "&amp;TEXT(IFERROR(INDEX('Overview - Section A'!$E$47:$E$54,MATCH(D$27,'Overview - Section A'!$B$47:$B$54,0)),""),Setup!$A$33))</f>
        <v>1-Jan-27 to 31-Dec-27</v>
      </c>
      <c r="I265" s="596" t="str">
        <f ca="1">IFERROR(IF(INDEX('WPTM - Section F'!Z$1:Z$100,MATCH('Print View'!$A261,'WPTM - Section F'!$A$1:$A$100,0))&lt;&gt;0,INDEX('WPTM - Section F'!Z$1:Z$100,MATCH('Print View'!$A261,'WPTM - Section F'!$A$1:$A$100,0)),""),"")</f>
        <v/>
      </c>
      <c r="J265" s="597"/>
      <c r="K265" s="597"/>
      <c r="L265" s="597"/>
      <c r="M265" s="598"/>
      <c r="N265" s="596" t="str">
        <f ca="1">IFERROR(IF(INDEX('WPTM - Section F'!AA$1:AA$100,MATCH('Print View'!$A261,'WPTM - Section F'!$A$1:$A$100,0))&lt;&gt;0,INDEX('WPTM - Section F'!AA$1:AA$100,MATCH('Print View'!$A261,'WPTM - Section F'!$A$1:$A$100,0)),""),"")</f>
        <v/>
      </c>
      <c r="O265" s="597"/>
      <c r="P265" s="597"/>
      <c r="Q265" s="597"/>
      <c r="R265" s="597"/>
      <c r="S265" s="597"/>
      <c r="T265" s="94"/>
    </row>
    <row r="266" spans="1:86" s="18" customFormat="1" ht="60" customHeight="1">
      <c r="A266" s="600">
        <v>46</v>
      </c>
      <c r="B266" s="582"/>
      <c r="C266" s="585" t="str">
        <f ca="1">IFERROR(IF(INDEX('WPTM - Section F'!C$1:C$100,MATCH('Print View'!$A266,'WPTM - Section F'!$A$1:$A$100,0))&lt;&gt;0,INDEX('WPTM - Section F'!C$1:C$100,MATCH('Print View'!$A266,'WPTM - Section F'!$A$1:$A$100,0)),""),"")</f>
        <v/>
      </c>
      <c r="D266" s="582"/>
      <c r="E266" s="582"/>
      <c r="F266" s="582"/>
      <c r="G266" s="585" t="str">
        <f ca="1">IFERROR(IF(INDEX('WPTM - Section F'!G$1:G$100,MATCH('Print View'!$A266,'WPTM - Section F'!$A$1:$A$100,0))&lt;&gt;0,INDEX('WPTM - Section F'!G$1:G$100,MATCH('Print View'!$A266,'WPTM - Section F'!$A$1:$A$100,0)),""),"")</f>
        <v/>
      </c>
      <c r="H266" s="105" t="str">
        <f ca="1">IF(IFERROR(INDEX('Overview - Section A'!$A$47:$A$54,MATCH(D$28,'Overview - Section A'!$B$47:$B$54,0)),"")="","",TEXT(IFERROR(INDEX('Overview - Section A'!$A$47:$A$54,MATCH(D$28,'Overview - Section A'!$B$47:$B$54,0)),""),Setup!$A$33)&amp;" to "&amp;TEXT(IFERROR(INDEX('Overview - Section A'!$E$47:$E$54,MATCH(D$28,'Overview - Section A'!$B$47:$B$54,0)),""),Setup!$A$33))</f>
        <v>1-Jan-28 to 31-Dec-28</v>
      </c>
      <c r="I266" s="596" t="str">
        <f ca="1">IFERROR(IF(INDEX('WPTM - Section F'!AD$1:AD$100,MATCH('Print View'!$A261,'WPTM - Section F'!$A$1:$A$100,0))&lt;&gt;0,INDEX('WPTM - Section F'!AD$1:AD$100,MATCH('Print View'!$A261,'WPTM - Section F'!$A$1:$A$100,0)),""),"")</f>
        <v/>
      </c>
      <c r="J266" s="597"/>
      <c r="K266" s="597"/>
      <c r="L266" s="597"/>
      <c r="M266" s="598"/>
      <c r="N266" s="596" t="str">
        <f ca="1">IFERROR(IF(INDEX('WPTM - Section F'!AE$1:AE$100,MATCH('Print View'!$A261,'WPTM - Section F'!$A$1:$A$100,0))&lt;&gt;0,INDEX('WPTM - Section F'!AE$1:AE$100,MATCH('Print View'!$A261,'WPTM - Section F'!$A$1:$A$100,0)),""),"")</f>
        <v/>
      </c>
      <c r="O266" s="597"/>
      <c r="P266" s="597"/>
      <c r="Q266" s="597"/>
      <c r="R266" s="597"/>
      <c r="S266" s="597"/>
      <c r="T266" s="94"/>
    </row>
    <row r="267" spans="1:86" s="18" customFormat="1" ht="60" customHeight="1">
      <c r="A267" s="600">
        <v>47</v>
      </c>
      <c r="B267" s="583"/>
      <c r="C267" s="586" t="str">
        <f ca="1">IFERROR(IF(INDEX('WPTM - Section F'!C$1:C$100,MATCH('Print View'!$A267,'WPTM - Section F'!$A$1:$A$100,0))&lt;&gt;0,INDEX('WPTM - Section F'!C$1:C$100,MATCH('Print View'!$A267,'WPTM - Section F'!$A$1:$A$100,0)),""),"")</f>
        <v/>
      </c>
      <c r="D267" s="583"/>
      <c r="E267" s="583"/>
      <c r="F267" s="583"/>
      <c r="G267" s="586" t="str">
        <f ca="1">IFERROR(IF(INDEX('WPTM - Section F'!G$1:G$100,MATCH('Print View'!$A267,'WPTM - Section F'!$A$1:$A$100,0))&lt;&gt;0,INDEX('WPTM - Section F'!G$1:G$100,MATCH('Print View'!$A267,'WPTM - Section F'!$A$1:$A$100,0)),""),"")</f>
        <v/>
      </c>
      <c r="H267" s="105" t="str">
        <f ca="1">IF(IFERROR(INDEX('Overview - Section A'!$A$47:$A$54,MATCH(D$29,'Overview - Section A'!$B$47:$B$54,0)),"")="","",TEXT(IFERROR(INDEX('Overview - Section A'!$A$47:$A$54,MATCH(D$29,'Overview - Section A'!$B$47:$B$54,0)),""),Setup!$A$33)&amp;" to "&amp;TEXT(IFERROR(INDEX('Overview - Section A'!$E$47:$E$54,MATCH(D$29,'Overview - Section A'!$B$47:$B$54,0)),""),Setup!$A$33))</f>
        <v/>
      </c>
      <c r="I267" s="596" t="str">
        <f ca="1">IFERROR(IF(INDEX('WPTM - Section F'!AH$1:AH$100,MATCH('Print View'!$A261,'WPTM - Section F'!$A$1:$A$100,0))&lt;&gt;0,INDEX('WPTM - Section F'!AH$1:AH$100,MATCH('Print View'!$A261,'WPTM - Section F'!$A$1:$A$100,0)),""),"")</f>
        <v/>
      </c>
      <c r="J267" s="597"/>
      <c r="K267" s="597"/>
      <c r="L267" s="597"/>
      <c r="M267" s="598"/>
      <c r="N267" s="596" t="str">
        <f ca="1">IFERROR(IF(INDEX('WPTM - Section F'!AI$1:AI$100,MATCH('Print View'!$A261,'WPTM - Section F'!$A$1:$A$100,0))&lt;&gt;0,INDEX('WPTM - Section F'!AI$1:AI$100,MATCH('Print View'!$A261,'WPTM - Section F'!$A$1:$A$100,0)),""),"")</f>
        <v/>
      </c>
      <c r="O267" s="597"/>
      <c r="P267" s="597"/>
      <c r="Q267" s="597"/>
      <c r="R267" s="597"/>
      <c r="S267" s="597"/>
      <c r="T267" s="94"/>
    </row>
    <row r="268" spans="1:86" s="18" customFormat="1" ht="60" customHeight="1">
      <c r="A268" s="601">
        <v>48</v>
      </c>
      <c r="B268" s="593" t="str">
        <f ca="1">IFERROR(IF(INDEX('WPTM - Section F'!AV$1:AV$100,MATCH('Print View'!$A261,'WPTM - Section F'!$A$1:$A$100,0))&lt;&gt;0,INDEX('WPTM - Section F'!AV$1:AV$100,MATCH('Print View'!$A261,'WPTM - Section F'!$A$1:$A$100,0)),""),"")</f>
        <v/>
      </c>
      <c r="C268" s="594"/>
      <c r="D268" s="594"/>
      <c r="E268" s="594"/>
      <c r="F268" s="594"/>
      <c r="G268" s="594"/>
      <c r="H268" s="594"/>
      <c r="I268" s="594"/>
      <c r="J268" s="594"/>
      <c r="K268" s="594"/>
      <c r="L268" s="594"/>
      <c r="M268" s="594"/>
      <c r="N268" s="594"/>
      <c r="O268" s="594"/>
      <c r="P268" s="594"/>
      <c r="Q268" s="594"/>
      <c r="R268" s="594"/>
      <c r="S268" s="595"/>
      <c r="T268" s="94"/>
    </row>
    <row r="269" spans="1:86" ht="60" customHeight="1">
      <c r="A269" s="602">
        <v>7</v>
      </c>
      <c r="B269" s="590" t="str">
        <f ca="1">IFERROR(IF(INDEX('WPTM - Section F'!B$1:B$100,MATCH('Print View'!$A269,'WPTM - Section F'!$A$1:$A$100,0))&lt;&gt;0,INDEX('WPTM - Section F'!B$1:B$100,MATCH('Print View'!$A269,'WPTM - Section F'!$A$1:$A$100,0)),""),"")</f>
        <v/>
      </c>
      <c r="C269" s="587" t="str">
        <f ca="1">IFERROR(IF(INDEX('WPTM - Section F'!C$1:C$100,MATCH('Print View'!$A269,'WPTM - Section F'!$A$1:$A$100,0))&lt;&gt;0,INDEX('WPTM - Section F'!C$1:C$100,MATCH('Print View'!$A269,'WPTM - Section F'!$A$1:$A$100,0)),""),"")</f>
        <v/>
      </c>
      <c r="D269" s="590" t="str">
        <f ca="1">IFERROR(IF(INDEX('WPTM - Section F'!D$1:D$100,MATCH('Print View'!$A269,'WPTM - Section F'!$A$1:$A$100,0))&lt;&gt;0,INDEX('WPTM - Section F'!D$1:D$100,MATCH('Print View'!$A269,'WPTM - Section F'!$A$1:$A$100,0)),""),"")</f>
        <v/>
      </c>
      <c r="E269" s="590" t="str">
        <f ca="1">IFERROR(IF(INDEX('WPTM - Section F'!E$1:E$100,MATCH('Print View'!$A269,'WPTM - Section F'!$A$1:$A$100,0))&lt;&gt;0,INDEX('WPTM - Section F'!E$1:E$100,MATCH('Print View'!$A269,'WPTM - Section F'!$A$1:$A$100,0)),""),"")</f>
        <v/>
      </c>
      <c r="F269" s="590" t="str">
        <f ca="1">IFERROR(IF(INDEX('WPTM - Section F'!F$1:F$100,MATCH('Print View'!$A269,'WPTM - Section F'!$A$1:$A$100,0))&lt;&gt;0,INDEX('WPTM - Section F'!F$1:F$100,MATCH('Print View'!$A269,'WPTM - Section F'!$A$1:$A$100,0)),""),"")</f>
        <v/>
      </c>
      <c r="G269" s="587" t="str">
        <f ca="1">IFERROR(IF(INDEX('WPTM - Section F'!G$1:G$100,MATCH('Print View'!$A269,'WPTM - Section F'!$A$1:$A$100,0))&lt;&gt;0,INDEX('WPTM - Section F'!G$1:G$100,MATCH('Print View'!$A269,'WPTM - Section F'!$A$1:$A$100,0)),""),"")</f>
        <v/>
      </c>
      <c r="H269" s="104" t="str">
        <f ca="1">IF(IFERROR(INDEX('Overview - Section A'!$A$47:$A$54,MATCH(D$23,'Overview - Section A'!$B$47:$B$54,0)),"")="","",TEXT(IFERROR(INDEX('Overview - Section A'!$A$47:$A$54,MATCH(D$23,'Overview - Section A'!$B$47:$B$54,0)),""),Setup!$A$33)&amp;" to "&amp;TEXT(IFERROR(INDEX('Overview - Section A'!$E$47:$E$54,MATCH(D$23,'Overview - Section A'!$B$47:$B$54,0)),""),Setup!$A$33))</f>
        <v>1-Jan-23 to 31-Dec-23</v>
      </c>
      <c r="I269" s="605" t="str">
        <f ca="1">IFERROR(IF(INDEX('WPTM - Section F'!J$1:J$100,MATCH('Print View'!$A269,'WPTM - Section F'!$A$1:$A$100,0))&lt;&gt;0,INDEX('WPTM - Section F'!J$1:J$100,MATCH('Print View'!$A269,'WPTM - Section F'!$A$1:$A$100,0)),""),"")</f>
        <v/>
      </c>
      <c r="J269" s="606"/>
      <c r="K269" s="606"/>
      <c r="L269" s="606"/>
      <c r="M269" s="607"/>
      <c r="N269" s="605" t="str">
        <f ca="1">IFERROR(IF(INDEX('WPTM - Section F'!K$1:K$100,MATCH('Print View'!$A269,'WPTM - Section F'!$A$1:$A$100,0))&lt;&gt;0,INDEX('WPTM - Section F'!K$1:K$100,MATCH('Print View'!$A269,'WPTM - Section F'!$A$1:$A$100,0)),""),"")</f>
        <v/>
      </c>
      <c r="O269" s="606"/>
      <c r="P269" s="606"/>
      <c r="Q269" s="606"/>
      <c r="R269" s="606"/>
      <c r="S269" s="607"/>
      <c r="T269" s="113"/>
      <c r="U269" s="13"/>
      <c r="V269" s="13"/>
      <c r="W269" s="13"/>
      <c r="X269" s="13"/>
      <c r="Y269" s="13"/>
      <c r="Z269" s="13"/>
      <c r="AA269" s="13"/>
      <c r="AB269" s="13"/>
      <c r="AC269" s="13"/>
      <c r="AD269" s="13"/>
      <c r="AE269" s="13"/>
      <c r="AF269" s="13"/>
      <c r="AG269" s="13"/>
      <c r="AH269" s="13"/>
      <c r="AI269" s="13"/>
      <c r="AJ269" s="13"/>
      <c r="AK269" s="13"/>
      <c r="AL269" s="13"/>
      <c r="AM269" s="13"/>
      <c r="AN269" s="13"/>
      <c r="AO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row>
    <row r="270" spans="1:86" ht="60" customHeight="1">
      <c r="A270" s="603">
        <v>50</v>
      </c>
      <c r="B270" s="591"/>
      <c r="C270" s="588" t="str">
        <f ca="1">IFERROR(IF(INDEX('WPTM - Section F'!C$1:C$100,MATCH('Print View'!$A270,'WPTM - Section F'!$A$1:$A$100,0))&lt;&gt;0,INDEX('WPTM - Section F'!C$1:C$100,MATCH('Print View'!$A270,'WPTM - Section F'!$A$1:$A$100,0)),""),"")</f>
        <v/>
      </c>
      <c r="D270" s="591"/>
      <c r="E270" s="591"/>
      <c r="F270" s="591"/>
      <c r="G270" s="588" t="str">
        <f ca="1">IFERROR(IF(INDEX('WPTM - Section F'!G$1:G$100,MATCH('Print View'!$A270,'WPTM - Section F'!$A$1:$A$100,0))&lt;&gt;0,INDEX('WPTM - Section F'!G$1:G$100,MATCH('Print View'!$A270,'WPTM - Section F'!$A$1:$A$100,0)),""),"")</f>
        <v/>
      </c>
      <c r="H270" s="104" t="str">
        <f ca="1">IF(IFERROR(INDEX('Overview - Section A'!$A$47:$A$54,MATCH(D$24,'Overview - Section A'!$B$47:$B$54,0)),"")="","",TEXT(IFERROR(INDEX('Overview - Section A'!$A$47:$A$54,MATCH(D$24,'Overview - Section A'!$B$47:$B$54,0)),""),Setup!$A$33)&amp;" to "&amp;TEXT(IFERROR(INDEX('Overview - Section A'!$E$47:$E$54,MATCH(D$24,'Overview - Section A'!$B$47:$B$54,0)),""),Setup!$A$33))</f>
        <v>1-Jan-24 to 31-Dec-24</v>
      </c>
      <c r="I270" s="605" t="str">
        <f ca="1">IFERROR(IF(INDEX('WPTM - Section F'!N$1:N$100,MATCH('Print View'!$A269,'WPTM - Section F'!$A$1:$A$100,0))&lt;&gt;0,INDEX('WPTM - Section F'!N$1:N$100,MATCH('Print View'!$A269,'WPTM - Section F'!$A$1:$A$100,0)),""),"")</f>
        <v/>
      </c>
      <c r="J270" s="606"/>
      <c r="K270" s="606"/>
      <c r="L270" s="606"/>
      <c r="M270" s="607"/>
      <c r="N270" s="605" t="str">
        <f ca="1">IFERROR(IF(INDEX('WPTM - Section F'!O$1:O$100,MATCH('Print View'!$A269,'WPTM - Section F'!$A$1:$A$100,0))&lt;&gt;0,INDEX('WPTM - Section F'!O$1:O$100,MATCH('Print View'!$A269,'WPTM - Section F'!$A$1:$A$100,0)),""),"")</f>
        <v/>
      </c>
      <c r="O270" s="606"/>
      <c r="P270" s="606"/>
      <c r="Q270" s="606"/>
      <c r="R270" s="606"/>
      <c r="S270" s="607"/>
      <c r="T270" s="113"/>
      <c r="U270" s="13"/>
      <c r="V270" s="13"/>
      <c r="W270" s="13"/>
      <c r="X270" s="13"/>
      <c r="Y270" s="13"/>
      <c r="Z270" s="13"/>
      <c r="AA270" s="13"/>
      <c r="AB270" s="13"/>
      <c r="AC270"/>
      <c r="AD270"/>
      <c r="AE270"/>
      <c r="AF270"/>
      <c r="AG270"/>
      <c r="AH270"/>
      <c r="AI270"/>
      <c r="AJ270"/>
      <c r="AK270"/>
      <c r="AL270"/>
      <c r="AM270"/>
      <c r="AN270"/>
      <c r="AO270"/>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row>
    <row r="271" spans="1:86" ht="60" customHeight="1">
      <c r="A271" s="603">
        <v>51</v>
      </c>
      <c r="B271" s="591"/>
      <c r="C271" s="588" t="str">
        <f ca="1">IFERROR(IF(INDEX('WPTM - Section F'!C$1:C$100,MATCH('Print View'!$A271,'WPTM - Section F'!$A$1:$A$100,0))&lt;&gt;0,INDEX('WPTM - Section F'!C$1:C$100,MATCH('Print View'!$A271,'WPTM - Section F'!$A$1:$A$100,0)),""),"")</f>
        <v/>
      </c>
      <c r="D271" s="591"/>
      <c r="E271" s="591"/>
      <c r="F271" s="591"/>
      <c r="G271" s="588" t="str">
        <f ca="1">IFERROR(IF(INDEX('WPTM - Section F'!G$1:G$100,MATCH('Print View'!$A271,'WPTM - Section F'!$A$1:$A$100,0))&lt;&gt;0,INDEX('WPTM - Section F'!G$1:G$100,MATCH('Print View'!$A271,'WPTM - Section F'!$A$1:$A$100,0)),""),"")</f>
        <v/>
      </c>
      <c r="H271" s="104" t="str">
        <f ca="1">IF(IFERROR(INDEX('Overview - Section A'!$A$47:$A$54,MATCH(D$25,'Overview - Section A'!$B$47:$B$54,0)),"")="","",TEXT(IFERROR(INDEX('Overview - Section A'!$A$47:$A$54,MATCH(D$25,'Overview - Section A'!$B$47:$B$54,0)),""),Setup!$A$33)&amp;" to "&amp;TEXT(IFERROR(INDEX('Overview - Section A'!$E$47:$E$54,MATCH(D$25,'Overview - Section A'!$B$47:$B$54,0)),""),Setup!$A$33))</f>
        <v>1-Jan-25 to 31-Dec-25</v>
      </c>
      <c r="I271" s="605" t="str">
        <f ca="1">IFERROR(IF(INDEX('WPTM - Section F'!R$1:R$100,MATCH('Print View'!$A269,'WPTM - Section F'!$A$1:$A$100,0))&lt;&gt;0,INDEX('WPTM - Section F'!R$1:R$100,MATCH('Print View'!$A269,'WPTM - Section F'!$A$1:$A$100,0)),""),"")</f>
        <v/>
      </c>
      <c r="J271" s="606"/>
      <c r="K271" s="606"/>
      <c r="L271" s="606"/>
      <c r="M271" s="607"/>
      <c r="N271" s="605" t="str">
        <f ca="1">IFERROR(IF(INDEX('WPTM - Section F'!S$1:S$100,MATCH('Print View'!$A269,'WPTM - Section F'!$A$1:$A$100,0))&lt;&gt;0,INDEX('WPTM - Section F'!S$1:S$100,MATCH('Print View'!$A269,'WPTM - Section F'!$A$1:$A$100,0)),""),"")</f>
        <v/>
      </c>
      <c r="O271" s="606"/>
      <c r="P271" s="606"/>
      <c r="Q271" s="606"/>
      <c r="R271" s="606"/>
      <c r="S271" s="607"/>
      <c r="T271" s="113"/>
      <c r="U271" s="13"/>
      <c r="V271" s="13"/>
      <c r="W271" s="13"/>
      <c r="X271" s="13"/>
      <c r="Y271" s="13"/>
      <c r="Z271" s="13"/>
      <c r="AA271" s="13"/>
      <c r="AB271" s="13"/>
      <c r="AC271"/>
      <c r="AD271"/>
      <c r="AE271"/>
      <c r="AF271"/>
      <c r="AG271"/>
      <c r="AH271"/>
      <c r="AI271"/>
      <c r="AJ271"/>
      <c r="AK271"/>
      <c r="AL271"/>
      <c r="AM271"/>
      <c r="AN271"/>
      <c r="AO271"/>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row>
    <row r="272" spans="1:86" ht="60" customHeight="1">
      <c r="A272" s="603">
        <v>52</v>
      </c>
      <c r="B272" s="591"/>
      <c r="C272" s="588" t="str">
        <f ca="1">IFERROR(IF(INDEX('WPTM - Section F'!C$1:C$100,MATCH('Print View'!$A272,'WPTM - Section F'!$A$1:$A$100,0))&lt;&gt;0,INDEX('WPTM - Section F'!C$1:C$100,MATCH('Print View'!$A272,'WPTM - Section F'!$A$1:$A$100,0)),""),"")</f>
        <v/>
      </c>
      <c r="D272" s="591"/>
      <c r="E272" s="591"/>
      <c r="F272" s="591"/>
      <c r="G272" s="588" t="str">
        <f ca="1">IFERROR(IF(INDEX('WPTM - Section F'!G$1:G$100,MATCH('Print View'!$A272,'WPTM - Section F'!$A$1:$A$100,0))&lt;&gt;0,INDEX('WPTM - Section F'!G$1:G$100,MATCH('Print View'!$A272,'WPTM - Section F'!$A$1:$A$100,0)),""),"")</f>
        <v/>
      </c>
      <c r="H272" s="104" t="str">
        <f ca="1">IF(IFERROR(INDEX('Overview - Section A'!$A$47:$A$54,MATCH(D$26,'Overview - Section A'!$B$47:$B$54,0)),"")="","",TEXT(IFERROR(INDEX('Overview - Section A'!$A$47:$A$54,MATCH(D$26,'Overview - Section A'!$B$47:$B$54,0)),""),Setup!$A$33)&amp;" to "&amp;TEXT(IFERROR(INDEX('Overview - Section A'!$E$47:$E$54,MATCH(D$26,'Overview - Section A'!$B$47:$B$54,0)),""),Setup!$A$33))</f>
        <v>1-Jan-26 to 31-Dec-26</v>
      </c>
      <c r="I272" s="605" t="str">
        <f ca="1">IFERROR(IF(INDEX('WPTM - Section F'!V$1:V$100,MATCH('Print View'!$A269,'WPTM - Section F'!$A$1:$A$100,0))&lt;&gt;0,INDEX('WPTM - Section F'!V$1:V$100,MATCH('Print View'!$A269,'WPTM - Section F'!$A$1:$A$100,0)),""),"")</f>
        <v/>
      </c>
      <c r="J272" s="606"/>
      <c r="K272" s="606"/>
      <c r="L272" s="606"/>
      <c r="M272" s="607"/>
      <c r="N272" s="605" t="str">
        <f ca="1">IFERROR(IF(INDEX('WPTM - Section F'!W$1:W$100,MATCH('Print View'!$A269,'WPTM - Section F'!$A$1:$A$100,0))&lt;&gt;0,INDEX('WPTM - Section F'!W$1:W$100,MATCH('Print View'!$A269,'WPTM - Section F'!$A$1:$A$100,0)),""),"")</f>
        <v/>
      </c>
      <c r="O272" s="606"/>
      <c r="P272" s="606"/>
      <c r="Q272" s="606"/>
      <c r="R272" s="606"/>
      <c r="S272" s="607"/>
      <c r="T272" s="113"/>
      <c r="U272" s="13"/>
      <c r="V272" s="13"/>
      <c r="W272" s="13"/>
      <c r="X272" s="13"/>
      <c r="Y272" s="13"/>
      <c r="Z272" s="13"/>
      <c r="AA272" s="13"/>
      <c r="AB272" s="13"/>
      <c r="AC272"/>
      <c r="AD272"/>
      <c r="AE272"/>
      <c r="AF272"/>
      <c r="AG272"/>
      <c r="AH272"/>
      <c r="AI272"/>
      <c r="AJ272"/>
      <c r="AK272"/>
      <c r="AL272"/>
      <c r="AM272"/>
      <c r="AN272"/>
      <c r="AO272"/>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row>
    <row r="273" spans="1:86" ht="60" customHeight="1">
      <c r="A273" s="603">
        <v>53</v>
      </c>
      <c r="B273" s="591"/>
      <c r="C273" s="588" t="str">
        <f ca="1">IFERROR(IF(INDEX('WPTM - Section F'!C$1:C$100,MATCH('Print View'!$A273,'WPTM - Section F'!$A$1:$A$100,0))&lt;&gt;0,INDEX('WPTM - Section F'!C$1:C$100,MATCH('Print View'!$A273,'WPTM - Section F'!$A$1:$A$100,0)),""),"")</f>
        <v/>
      </c>
      <c r="D273" s="591"/>
      <c r="E273" s="591"/>
      <c r="F273" s="591"/>
      <c r="G273" s="588" t="str">
        <f ca="1">IFERROR(IF(INDEX('WPTM - Section F'!G$1:G$100,MATCH('Print View'!$A273,'WPTM - Section F'!$A$1:$A$100,0))&lt;&gt;0,INDEX('WPTM - Section F'!G$1:G$100,MATCH('Print View'!$A273,'WPTM - Section F'!$A$1:$A$100,0)),""),"")</f>
        <v/>
      </c>
      <c r="H273" s="104" t="str">
        <f ca="1">IF(IFERROR(INDEX('Overview - Section A'!$A$47:$A$54,MATCH(D$27,'Overview - Section A'!$B$47:$B$54,0)),"")="","",TEXT(IFERROR(INDEX('Overview - Section A'!$A$47:$A$54,MATCH(D$27,'Overview - Section A'!$B$47:$B$54,0)),""),Setup!$A$33)&amp;" to "&amp;TEXT(IFERROR(INDEX('Overview - Section A'!$E$47:$E$54,MATCH(D$27,'Overview - Section A'!$B$47:$B$54,0)),""),Setup!$A$33))</f>
        <v>1-Jan-27 to 31-Dec-27</v>
      </c>
      <c r="I273" s="605" t="str">
        <f ca="1">IFERROR(IF(INDEX('WPTM - Section F'!Z$1:Z$100,MATCH('Print View'!$A269,'WPTM - Section F'!$A$1:$A$100,0))&lt;&gt;0,INDEX('WPTM - Section F'!Z$1:Z$100,MATCH('Print View'!$A269,'WPTM - Section F'!$A$1:$A$100,0)),""),"")</f>
        <v/>
      </c>
      <c r="J273" s="606"/>
      <c r="K273" s="606"/>
      <c r="L273" s="606"/>
      <c r="M273" s="607"/>
      <c r="N273" s="605" t="str">
        <f ca="1">IFERROR(IF(INDEX('WPTM - Section F'!AA$1:AA$100,MATCH('Print View'!$A269,'WPTM - Section F'!$A$1:$A$100,0))&lt;&gt;0,INDEX('WPTM - Section F'!AA$1:AA$100,MATCH('Print View'!$A269,'WPTM - Section F'!$A$1:$A$100,0)),""),"")</f>
        <v/>
      </c>
      <c r="O273" s="606"/>
      <c r="P273" s="606"/>
      <c r="Q273" s="606"/>
      <c r="R273" s="606"/>
      <c r="S273" s="607"/>
      <c r="T273" s="113"/>
      <c r="U273" s="13"/>
      <c r="V273" s="13"/>
      <c r="W273" s="13"/>
      <c r="X273" s="13"/>
      <c r="Y273" s="13"/>
      <c r="Z273" s="13"/>
      <c r="AA273" s="13"/>
      <c r="AB273" s="13"/>
      <c r="AC273"/>
      <c r="AD273"/>
      <c r="AE273"/>
      <c r="AF273"/>
      <c r="AG273"/>
      <c r="AH273"/>
      <c r="AI273"/>
      <c r="AJ273"/>
      <c r="AK273"/>
      <c r="AL273"/>
      <c r="AM273"/>
      <c r="AN273"/>
      <c r="AO27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row>
    <row r="274" spans="1:86" ht="60" customHeight="1">
      <c r="A274" s="603">
        <v>54</v>
      </c>
      <c r="B274" s="591"/>
      <c r="C274" s="588" t="str">
        <f ca="1">IFERROR(IF(INDEX('WPTM - Section F'!C$1:C$100,MATCH('Print View'!$A274,'WPTM - Section F'!$A$1:$A$100,0))&lt;&gt;0,INDEX('WPTM - Section F'!C$1:C$100,MATCH('Print View'!$A274,'WPTM - Section F'!$A$1:$A$100,0)),""),"")</f>
        <v/>
      </c>
      <c r="D274" s="591"/>
      <c r="E274" s="591"/>
      <c r="F274" s="591"/>
      <c r="G274" s="588" t="str">
        <f ca="1">IFERROR(IF(INDEX('WPTM - Section F'!G$1:G$100,MATCH('Print View'!$A274,'WPTM - Section F'!$A$1:$A$100,0))&lt;&gt;0,INDEX('WPTM - Section F'!G$1:G$100,MATCH('Print View'!$A274,'WPTM - Section F'!$A$1:$A$100,0)),""),"")</f>
        <v/>
      </c>
      <c r="H274" s="104" t="str">
        <f ca="1">IF(IFERROR(INDEX('Overview - Section A'!$A$47:$A$54,MATCH(D$28,'Overview - Section A'!$B$47:$B$54,0)),"")="","",TEXT(IFERROR(INDEX('Overview - Section A'!$A$47:$A$54,MATCH(D$28,'Overview - Section A'!$B$47:$B$54,0)),""),Setup!$A$33)&amp;" to "&amp;TEXT(IFERROR(INDEX('Overview - Section A'!$E$47:$E$54,MATCH(D$28,'Overview - Section A'!$B$47:$B$54,0)),""),Setup!$A$33))</f>
        <v>1-Jan-28 to 31-Dec-28</v>
      </c>
      <c r="I274" s="605" t="str">
        <f ca="1">IFERROR(IF(INDEX('WPTM - Section F'!AD$1:AD$100,MATCH('Print View'!$A269,'WPTM - Section F'!$A$1:$A$100,0))&lt;&gt;0,INDEX('WPTM - Section F'!AD$1:AD$100,MATCH('Print View'!$A269,'WPTM - Section F'!$A$1:$A$100,0)),""),"")</f>
        <v/>
      </c>
      <c r="J274" s="606"/>
      <c r="K274" s="606"/>
      <c r="L274" s="606"/>
      <c r="M274" s="607"/>
      <c r="N274" s="605" t="str">
        <f ca="1">IFERROR(IF(INDEX('WPTM - Section F'!AE$1:AE$100,MATCH('Print View'!$A269,'WPTM - Section F'!$A$1:$A$100,0))&lt;&gt;0,INDEX('WPTM - Section F'!AE$1:AE$100,MATCH('Print View'!$A269,'WPTM - Section F'!$A$1:$A$100,0)),""),"")</f>
        <v/>
      </c>
      <c r="O274" s="606"/>
      <c r="P274" s="606"/>
      <c r="Q274" s="606"/>
      <c r="R274" s="606"/>
      <c r="S274" s="607"/>
      <c r="T274" s="113"/>
      <c r="U274" s="13"/>
      <c r="V274" s="13"/>
      <c r="W274" s="13"/>
      <c r="X274" s="13"/>
      <c r="Y274" s="13"/>
      <c r="Z274" s="13"/>
      <c r="AA274" s="13"/>
      <c r="AB274" s="13"/>
      <c r="AC274"/>
      <c r="AD274"/>
      <c r="AE274"/>
      <c r="AF274"/>
      <c r="AG274"/>
      <c r="AH274"/>
      <c r="AI274"/>
      <c r="AJ274"/>
      <c r="AK274"/>
      <c r="AL274"/>
      <c r="AM274"/>
      <c r="AN274"/>
      <c r="AO274"/>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row>
    <row r="275" spans="1:86" ht="60" customHeight="1">
      <c r="A275" s="603">
        <v>55</v>
      </c>
      <c r="B275" s="592"/>
      <c r="C275" s="589" t="str">
        <f ca="1">IFERROR(IF(INDEX('WPTM - Section F'!C$1:C$100,MATCH('Print View'!$A275,'WPTM - Section F'!$A$1:$A$100,0))&lt;&gt;0,INDEX('WPTM - Section F'!C$1:C$100,MATCH('Print View'!$A275,'WPTM - Section F'!$A$1:$A$100,0)),""),"")</f>
        <v/>
      </c>
      <c r="D275" s="592"/>
      <c r="E275" s="592"/>
      <c r="F275" s="592"/>
      <c r="G275" s="589" t="str">
        <f ca="1">IFERROR(IF(INDEX('WPTM - Section F'!G$1:G$100,MATCH('Print View'!$A275,'WPTM - Section F'!$A$1:$A$100,0))&lt;&gt;0,INDEX('WPTM - Section F'!G$1:G$100,MATCH('Print View'!$A275,'WPTM - Section F'!$A$1:$A$100,0)),""),"")</f>
        <v/>
      </c>
      <c r="H275" s="104" t="str">
        <f ca="1">IF(IFERROR(INDEX('Overview - Section A'!$A$47:$A$54,MATCH(D$29,'Overview - Section A'!$B$47:$B$54,0)),"")="","",TEXT(IFERROR(INDEX('Overview - Section A'!$A$47:$A$54,MATCH(D$29,'Overview - Section A'!$B$47:$B$54,0)),""),Setup!$A$33)&amp;" to "&amp;TEXT(IFERROR(INDEX('Overview - Section A'!$E$47:$E$54,MATCH(D$29,'Overview - Section A'!$B$47:$B$54,0)),""),Setup!$A$33))</f>
        <v/>
      </c>
      <c r="I275" s="605" t="str">
        <f ca="1">IFERROR(IF(INDEX('WPTM - Section F'!AH$1:AH$100,MATCH('Print View'!$A269,'WPTM - Section F'!$A$1:$A$100,0))&lt;&gt;0,INDEX('WPTM - Section F'!AH$1:AH$100,MATCH('Print View'!$A269,'WPTM - Section F'!$A$1:$A$100,0)),""),"")</f>
        <v/>
      </c>
      <c r="J275" s="606"/>
      <c r="K275" s="606"/>
      <c r="L275" s="606"/>
      <c r="M275" s="607"/>
      <c r="N275" s="605" t="str">
        <f ca="1">IFERROR(IF(INDEX('WPTM - Section F'!AI$1:AI$100,MATCH('Print View'!$A269,'WPTM - Section F'!$A$1:$A$100,0))&lt;&gt;0,INDEX('WPTM - Section F'!AI$1:AI$100,MATCH('Print View'!$A269,'WPTM - Section F'!$A$1:$A$100,0)),""),"")</f>
        <v/>
      </c>
      <c r="O275" s="606"/>
      <c r="P275" s="606"/>
      <c r="Q275" s="606"/>
      <c r="R275" s="606"/>
      <c r="S275" s="607"/>
      <c r="T275" s="113"/>
      <c r="U275" s="13"/>
      <c r="V275" s="13"/>
      <c r="W275" s="13"/>
      <c r="X275" s="13"/>
      <c r="Y275" s="13"/>
      <c r="Z275" s="13"/>
      <c r="AA275" s="13"/>
      <c r="AB275" s="13"/>
      <c r="AC275"/>
      <c r="AD275"/>
      <c r="AE275"/>
      <c r="AF275"/>
      <c r="AG275"/>
      <c r="AH275"/>
      <c r="AI275"/>
      <c r="AJ275"/>
      <c r="AK275"/>
      <c r="AL275"/>
      <c r="AM275"/>
      <c r="AN275"/>
      <c r="AO275"/>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row>
    <row r="276" spans="1:86" ht="60" customHeight="1">
      <c r="A276" s="604">
        <v>56</v>
      </c>
      <c r="B276" s="637" t="str">
        <f ca="1">IFERROR(IF(INDEX('WPTM - Section F'!AV$1:AV$100,MATCH('Print View'!$A269,'WPTM - Section F'!$A$1:$A$100,0))&lt;&gt;0,INDEX('WPTM - Section F'!AV$1:AV$100,MATCH('Print View'!$A269,'WPTM - Section F'!$A$1:$A$100,0)),""),"")</f>
        <v/>
      </c>
      <c r="C276" s="638"/>
      <c r="D276" s="638"/>
      <c r="E276" s="638"/>
      <c r="F276" s="638"/>
      <c r="G276" s="638"/>
      <c r="H276" s="638"/>
      <c r="I276" s="638"/>
      <c r="J276" s="638"/>
      <c r="K276" s="638"/>
      <c r="L276" s="638"/>
      <c r="M276" s="638"/>
      <c r="N276" s="638"/>
      <c r="O276" s="638"/>
      <c r="P276" s="638"/>
      <c r="Q276" s="638"/>
      <c r="R276" s="638"/>
      <c r="S276" s="639"/>
      <c r="T276" s="111"/>
      <c r="U276" s="13"/>
      <c r="V276" s="13"/>
      <c r="W276" s="13"/>
      <c r="X276" s="13"/>
      <c r="Y276" s="13"/>
      <c r="Z276" s="13"/>
      <c r="AA276" s="13"/>
      <c r="AB276" s="13"/>
      <c r="AC276"/>
      <c r="AD276"/>
      <c r="AE276"/>
      <c r="AF276"/>
      <c r="AG276"/>
      <c r="AH276"/>
      <c r="AI276"/>
      <c r="AJ276"/>
      <c r="AK276"/>
      <c r="AL276"/>
      <c r="AM276"/>
      <c r="AN276"/>
      <c r="AO276"/>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row>
    <row r="277" spans="1:86" s="18" customFormat="1" ht="60" customHeight="1">
      <c r="A277" s="599">
        <v>8</v>
      </c>
      <c r="B277" s="581" t="str">
        <f ca="1">IFERROR(IF(INDEX('WPTM - Section F'!B$1:B$100,MATCH('Print View'!$A277,'WPTM - Section F'!$A$1:$A$100,0))&lt;&gt;0,INDEX('WPTM - Section F'!B$1:B$100,MATCH('Print View'!$A277,'WPTM - Section F'!$A$1:$A$100,0)),""),"")</f>
        <v/>
      </c>
      <c r="C277" s="584" t="str">
        <f ca="1">IFERROR(IF(INDEX('WPTM - Section F'!C$1:C$100,MATCH('Print View'!$A277,'WPTM - Section F'!$A$1:$A$100,0))&lt;&gt;0,INDEX('WPTM - Section F'!C$1:C$100,MATCH('Print View'!$A277,'WPTM - Section F'!$A$1:$A$100,0)),""),"")</f>
        <v/>
      </c>
      <c r="D277" s="581" t="str">
        <f ca="1">IFERROR(IF(INDEX('WPTM - Section F'!D$1:D$100,MATCH('Print View'!$A277,'WPTM - Section F'!$A$1:$A$100,0))&lt;&gt;0,INDEX('WPTM - Section F'!D$1:D$100,MATCH('Print View'!$A277,'WPTM - Section F'!$A$1:$A$100,0)),""),"")</f>
        <v/>
      </c>
      <c r="E277" s="581" t="str">
        <f ca="1">IFERROR(IF(INDEX('WPTM - Section F'!E$1:E$100,MATCH('Print View'!$A277,'WPTM - Section F'!$A$1:$A$100,0))&lt;&gt;0,INDEX('WPTM - Section F'!E$1:E$100,MATCH('Print View'!$A277,'WPTM - Section F'!$A$1:$A$100,0)),""),"")</f>
        <v/>
      </c>
      <c r="F277" s="581" t="str">
        <f ca="1">IFERROR(IF(INDEX('WPTM - Section F'!F$1:F$100,MATCH('Print View'!$A277,'WPTM - Section F'!$A$1:$A$100,0))&lt;&gt;0,INDEX('WPTM - Section F'!F$1:F$100,MATCH('Print View'!$A277,'WPTM - Section F'!$A$1:$A$100,0)),""),"")</f>
        <v/>
      </c>
      <c r="G277" s="584" t="str">
        <f ca="1">IFERROR(IF(INDEX('WPTM - Section F'!G$1:G$100,MATCH('Print View'!$A277,'WPTM - Section F'!$A$1:$A$100,0))&lt;&gt;0,INDEX('WPTM - Section F'!G$1:G$100,MATCH('Print View'!$A277,'WPTM - Section F'!$A$1:$A$100,0)),""),"")</f>
        <v/>
      </c>
      <c r="H277" s="105" t="str">
        <f ca="1">IF(IFERROR(INDEX('Overview - Section A'!$A$47:$A$54,MATCH(D$23,'Overview - Section A'!$B$47:$B$54,0)),"")="","",TEXT(IFERROR(INDEX('Overview - Section A'!$A$47:$A$54,MATCH(D$23,'Overview - Section A'!$B$47:$B$54,0)),""),Setup!$A$33)&amp;" to "&amp;TEXT(IFERROR(INDEX('Overview - Section A'!$E$47:$E$54,MATCH(D$23,'Overview - Section A'!$B$47:$B$54,0)),""),Setup!$A$33))</f>
        <v>1-Jan-23 to 31-Dec-23</v>
      </c>
      <c r="I277" s="596" t="str">
        <f ca="1">IFERROR(IF(INDEX('WPTM - Section F'!J$1:J$100,MATCH('Print View'!$A277,'WPTM - Section F'!$A$1:$A$100,0))&lt;&gt;0,INDEX('WPTM - Section F'!J$1:J$100,MATCH('Print View'!$A277,'WPTM - Section F'!$A$1:$A$100,0)),""),"")</f>
        <v/>
      </c>
      <c r="J277" s="597"/>
      <c r="K277" s="597"/>
      <c r="L277" s="597"/>
      <c r="M277" s="598"/>
      <c r="N277" s="596" t="str">
        <f ca="1">IFERROR(IF(INDEX('WPTM - Section F'!K$1:K$100,MATCH('Print View'!$A277,'WPTM - Section F'!$A$1:$A$100,0))&lt;&gt;0,INDEX('WPTM - Section F'!K$1:K$100,MATCH('Print View'!$A277,'WPTM - Section F'!$A$1:$A$100,0)),""),"")</f>
        <v/>
      </c>
      <c r="O277" s="597"/>
      <c r="P277" s="597"/>
      <c r="Q277" s="597"/>
      <c r="R277" s="597"/>
      <c r="S277" s="597"/>
      <c r="T277" s="94"/>
      <c r="AC277" s="114"/>
      <c r="AD277" s="114"/>
      <c r="AE277" s="114"/>
      <c r="AF277" s="114"/>
      <c r="AG277" s="114"/>
      <c r="AH277" s="114"/>
      <c r="AI277" s="114"/>
      <c r="AJ277" s="114"/>
      <c r="AK277" s="114"/>
      <c r="AL277" s="114"/>
      <c r="AM277" s="114"/>
      <c r="AN277" s="114"/>
      <c r="AO277" s="114"/>
    </row>
    <row r="278" spans="1:86" s="18" customFormat="1" ht="60" customHeight="1">
      <c r="A278" s="600">
        <v>58</v>
      </c>
      <c r="B278" s="582"/>
      <c r="C278" s="585" t="str">
        <f ca="1">IFERROR(IF(INDEX('WPTM - Section F'!C$1:C$100,MATCH('Print View'!$A278,'WPTM - Section F'!$A$1:$A$100,0))&lt;&gt;0,INDEX('WPTM - Section F'!C$1:C$100,MATCH('Print View'!$A278,'WPTM - Section F'!$A$1:$A$100,0)),""),"")</f>
        <v/>
      </c>
      <c r="D278" s="582"/>
      <c r="E278" s="582"/>
      <c r="F278" s="582"/>
      <c r="G278" s="585" t="str">
        <f ca="1">IFERROR(IF(INDEX('WPTM - Section F'!G$1:G$100,MATCH('Print View'!$A278,'WPTM - Section F'!$A$1:$A$100,0))&lt;&gt;0,INDEX('WPTM - Section F'!G$1:G$100,MATCH('Print View'!$A278,'WPTM - Section F'!$A$1:$A$100,0)),""),"")</f>
        <v/>
      </c>
      <c r="H278" s="105" t="str">
        <f ca="1">IF(IFERROR(INDEX('Overview - Section A'!$A$47:$A$54,MATCH(D$24,'Overview - Section A'!$B$47:$B$54,0)),"")="","",TEXT(IFERROR(INDEX('Overview - Section A'!$A$47:$A$54,MATCH(D$24,'Overview - Section A'!$B$47:$B$54,0)),""),Setup!$A$33)&amp;" to "&amp;TEXT(IFERROR(INDEX('Overview - Section A'!$E$47:$E$54,MATCH(D$24,'Overview - Section A'!$B$47:$B$54,0)),""),Setup!$A$33))</f>
        <v>1-Jan-24 to 31-Dec-24</v>
      </c>
      <c r="I278" s="596" t="str">
        <f ca="1">IFERROR(IF(INDEX('WPTM - Section F'!J$1:J$100,MATCH('Print View'!$A277,'WPTM - Section F'!$A$1:$A$100,0))&lt;&gt;0,INDEX('WPTM - Section F'!J$1:J$100,MATCH('Print View'!$A277,'WPTM - Section F'!$A$1:$A$100,0)),""),"")</f>
        <v/>
      </c>
      <c r="J278" s="597"/>
      <c r="K278" s="597"/>
      <c r="L278" s="597"/>
      <c r="M278" s="598"/>
      <c r="N278" s="596" t="str">
        <f ca="1">IFERROR(IF(INDEX('WPTM - Section F'!O$1:O$100,MATCH('Print View'!$A277,'WPTM - Section F'!$A$1:$A$100,0))&lt;&gt;0,INDEX('WPTM - Section F'!O$1:O$100,MATCH('Print View'!$A277,'WPTM - Section F'!$A$1:$A$100,0)),""),"")</f>
        <v/>
      </c>
      <c r="O278" s="597"/>
      <c r="P278" s="597"/>
      <c r="Q278" s="597"/>
      <c r="R278" s="597"/>
      <c r="S278" s="597"/>
      <c r="T278" s="94"/>
      <c r="AC278" s="114"/>
      <c r="AD278" s="114"/>
      <c r="AE278" s="114"/>
      <c r="AF278" s="114"/>
      <c r="AG278" s="114"/>
      <c r="AH278" s="114"/>
      <c r="AI278" s="114"/>
      <c r="AJ278" s="114"/>
      <c r="AK278" s="114"/>
      <c r="AL278" s="114"/>
      <c r="AM278" s="114"/>
      <c r="AN278" s="114"/>
      <c r="AO278" s="114"/>
    </row>
    <row r="279" spans="1:86" s="18" customFormat="1" ht="60" customHeight="1">
      <c r="A279" s="600">
        <v>59</v>
      </c>
      <c r="B279" s="582"/>
      <c r="C279" s="585" t="str">
        <f ca="1">IFERROR(IF(INDEX('WPTM - Section F'!C$1:C$100,MATCH('Print View'!$A279,'WPTM - Section F'!$A$1:$A$100,0))&lt;&gt;0,INDEX('WPTM - Section F'!C$1:C$100,MATCH('Print View'!$A279,'WPTM - Section F'!$A$1:$A$100,0)),""),"")</f>
        <v/>
      </c>
      <c r="D279" s="582"/>
      <c r="E279" s="582"/>
      <c r="F279" s="582"/>
      <c r="G279" s="585" t="str">
        <f ca="1">IFERROR(IF(INDEX('WPTM - Section F'!G$1:G$100,MATCH('Print View'!$A279,'WPTM - Section F'!$A$1:$A$100,0))&lt;&gt;0,INDEX('WPTM - Section F'!G$1:G$100,MATCH('Print View'!$A279,'WPTM - Section F'!$A$1:$A$100,0)),""),"")</f>
        <v/>
      </c>
      <c r="H279" s="105" t="str">
        <f ca="1">IF(IFERROR(INDEX('Overview - Section A'!$A$47:$A$54,MATCH(D$25,'Overview - Section A'!$B$47:$B$54,0)),"")="","",TEXT(IFERROR(INDEX('Overview - Section A'!$A$47:$A$54,MATCH(D$25,'Overview - Section A'!$B$47:$B$54,0)),""),Setup!$A$33)&amp;" to "&amp;TEXT(IFERROR(INDEX('Overview - Section A'!$E$47:$E$54,MATCH(D$25,'Overview - Section A'!$B$47:$B$54,0)),""),Setup!$A$33))</f>
        <v>1-Jan-25 to 31-Dec-25</v>
      </c>
      <c r="I279" s="596" t="str">
        <f ca="1">IFERROR(IF(INDEX('WPTM - Section F'!R$1:R$100,MATCH('Print View'!$A277,'WPTM - Section F'!$A$1:$A$100,0))&lt;&gt;0,INDEX('WPTM - Section F'!R$1:R$100,MATCH('Print View'!$A277,'WPTM - Section F'!$A$1:$A$100,0)),""),"")</f>
        <v/>
      </c>
      <c r="J279" s="597"/>
      <c r="K279" s="597"/>
      <c r="L279" s="597"/>
      <c r="M279" s="598"/>
      <c r="N279" s="596" t="str">
        <f ca="1">IFERROR(IF(INDEX('WPTM - Section F'!S$1:S$100,MATCH('Print View'!$A277,'WPTM - Section F'!$A$1:$A$100,0))&lt;&gt;0,INDEX('WPTM - Section F'!S$1:S$100,MATCH('Print View'!$A277,'WPTM - Section F'!$A$1:$A$100,0)),""),"")</f>
        <v/>
      </c>
      <c r="O279" s="597"/>
      <c r="P279" s="597"/>
      <c r="Q279" s="597"/>
      <c r="R279" s="597"/>
      <c r="S279" s="597"/>
      <c r="T279" s="94"/>
      <c r="AC279" s="114"/>
      <c r="AD279" s="114"/>
      <c r="AE279" s="114"/>
      <c r="AF279" s="114"/>
      <c r="AG279" s="114"/>
      <c r="AH279" s="114"/>
      <c r="AI279" s="114"/>
      <c r="AJ279" s="114"/>
      <c r="AK279" s="114"/>
      <c r="AL279" s="114"/>
      <c r="AM279" s="114"/>
      <c r="AN279" s="114"/>
      <c r="AO279" s="114"/>
    </row>
    <row r="280" spans="1:86" s="18" customFormat="1" ht="60" customHeight="1">
      <c r="A280" s="600">
        <v>60</v>
      </c>
      <c r="B280" s="582"/>
      <c r="C280" s="585" t="str">
        <f ca="1">IFERROR(IF(INDEX('WPTM - Section F'!C$1:C$100,MATCH('Print View'!$A280,'WPTM - Section F'!$A$1:$A$100,0))&lt;&gt;0,INDEX('WPTM - Section F'!C$1:C$100,MATCH('Print View'!$A280,'WPTM - Section F'!$A$1:$A$100,0)),""),"")</f>
        <v/>
      </c>
      <c r="D280" s="582"/>
      <c r="E280" s="582"/>
      <c r="F280" s="582"/>
      <c r="G280" s="585" t="str">
        <f ca="1">IFERROR(IF(INDEX('WPTM - Section F'!G$1:G$100,MATCH('Print View'!$A280,'WPTM - Section F'!$A$1:$A$100,0))&lt;&gt;0,INDEX('WPTM - Section F'!G$1:G$100,MATCH('Print View'!$A280,'WPTM - Section F'!$A$1:$A$100,0)),""),"")</f>
        <v/>
      </c>
      <c r="H280" s="105" t="str">
        <f ca="1">IF(IFERROR(INDEX('Overview - Section A'!$A$47:$A$54,MATCH(D$26,'Overview - Section A'!$B$47:$B$54,0)),"")="","",TEXT(IFERROR(INDEX('Overview - Section A'!$A$47:$A$54,MATCH(D$26,'Overview - Section A'!$B$47:$B$54,0)),""),Setup!$A$33)&amp;" to "&amp;TEXT(IFERROR(INDEX('Overview - Section A'!$E$47:$E$54,MATCH(D$26,'Overview - Section A'!$B$47:$B$54,0)),""),Setup!$A$33))</f>
        <v>1-Jan-26 to 31-Dec-26</v>
      </c>
      <c r="I280" s="596" t="str">
        <f ca="1">IFERROR(IF(INDEX('WPTM - Section F'!V$1:V$100,MATCH('Print View'!$A277,'WPTM - Section F'!$A$1:$A$100,0))&lt;&gt;0,INDEX('WPTM - Section F'!V$1:V$100,MATCH('Print View'!$A277,'WPTM - Section F'!$A$1:$A$100,0)),""),"")</f>
        <v/>
      </c>
      <c r="J280" s="597"/>
      <c r="K280" s="597"/>
      <c r="L280" s="597"/>
      <c r="M280" s="598"/>
      <c r="N280" s="596" t="str">
        <f ca="1">IFERROR(IF(INDEX('WPTM - Section F'!W$1:W$100,MATCH('Print View'!$A277,'WPTM - Section F'!$A$1:$A$100,0))&lt;&gt;0,INDEX('WPTM - Section F'!W$1:W$100,MATCH('Print View'!$A277,'WPTM - Section F'!$A$1:$A$100,0)),""),"")</f>
        <v/>
      </c>
      <c r="O280" s="597"/>
      <c r="P280" s="597"/>
      <c r="Q280" s="597"/>
      <c r="R280" s="597"/>
      <c r="S280" s="597"/>
      <c r="T280" s="94"/>
      <c r="AC280" s="114"/>
      <c r="AD280" s="114"/>
      <c r="AE280" s="114"/>
      <c r="AF280" s="114"/>
      <c r="AG280" s="114"/>
      <c r="AH280" s="114"/>
      <c r="AI280" s="114"/>
      <c r="AJ280" s="114"/>
      <c r="AK280" s="114"/>
      <c r="AL280" s="114"/>
      <c r="AM280" s="114"/>
      <c r="AN280" s="114"/>
      <c r="AO280" s="114"/>
    </row>
    <row r="281" spans="1:86" s="18" customFormat="1" ht="60" customHeight="1">
      <c r="A281" s="600">
        <v>61</v>
      </c>
      <c r="B281" s="582"/>
      <c r="C281" s="585" t="str">
        <f ca="1">IFERROR(IF(INDEX('WPTM - Section F'!C$1:C$100,MATCH('Print View'!$A281,'WPTM - Section F'!$A$1:$A$100,0))&lt;&gt;0,INDEX('WPTM - Section F'!C$1:C$100,MATCH('Print View'!$A281,'WPTM - Section F'!$A$1:$A$100,0)),""),"")</f>
        <v/>
      </c>
      <c r="D281" s="582"/>
      <c r="E281" s="582"/>
      <c r="F281" s="582"/>
      <c r="G281" s="585" t="str">
        <f ca="1">IFERROR(IF(INDEX('WPTM - Section F'!G$1:G$100,MATCH('Print View'!$A281,'WPTM - Section F'!$A$1:$A$100,0))&lt;&gt;0,INDEX('WPTM - Section F'!G$1:G$100,MATCH('Print View'!$A281,'WPTM - Section F'!$A$1:$A$100,0)),""),"")</f>
        <v/>
      </c>
      <c r="H281" s="105" t="str">
        <f ca="1">IF(IFERROR(INDEX('Overview - Section A'!$A$47:$A$54,MATCH(D$27,'Overview - Section A'!$B$47:$B$54,0)),"")="","",TEXT(IFERROR(INDEX('Overview - Section A'!$A$47:$A$54,MATCH(D$27,'Overview - Section A'!$B$47:$B$54,0)),""),Setup!$A$33)&amp;" to "&amp;TEXT(IFERROR(INDEX('Overview - Section A'!$E$47:$E$54,MATCH(D$27,'Overview - Section A'!$B$47:$B$54,0)),""),Setup!$A$33))</f>
        <v>1-Jan-27 to 31-Dec-27</v>
      </c>
      <c r="I281" s="596" t="str">
        <f ca="1">IFERROR(IF(INDEX('WPTM - Section F'!Z$1:Z$100,MATCH('Print View'!$A277,'WPTM - Section F'!$A$1:$A$100,0))&lt;&gt;0,INDEX('WPTM - Section F'!Z$1:Z$100,MATCH('Print View'!$A277,'WPTM - Section F'!$A$1:$A$100,0)),""),"")</f>
        <v/>
      </c>
      <c r="J281" s="597"/>
      <c r="K281" s="597"/>
      <c r="L281" s="597"/>
      <c r="M281" s="598"/>
      <c r="N281" s="596" t="str">
        <f ca="1">IFERROR(IF(INDEX('WPTM - Section F'!AA$1:AA$100,MATCH('Print View'!$A277,'WPTM - Section F'!$A$1:$A$100,0))&lt;&gt;0,INDEX('WPTM - Section F'!AA$1:AA$100,MATCH('Print View'!$A277,'WPTM - Section F'!$A$1:$A$100,0)),""),"")</f>
        <v/>
      </c>
      <c r="O281" s="597"/>
      <c r="P281" s="597"/>
      <c r="Q281" s="597"/>
      <c r="R281" s="597"/>
      <c r="S281" s="597"/>
      <c r="T281" s="94"/>
      <c r="AC281" s="114"/>
      <c r="AD281" s="114"/>
      <c r="AE281" s="114"/>
      <c r="AF281" s="114"/>
      <c r="AG281" s="114"/>
      <c r="AH281" s="114"/>
      <c r="AI281" s="114"/>
      <c r="AJ281" s="114"/>
      <c r="AK281" s="114"/>
      <c r="AL281" s="114"/>
      <c r="AM281" s="114"/>
      <c r="AN281" s="114"/>
      <c r="AO281" s="114"/>
    </row>
    <row r="282" spans="1:86" s="18" customFormat="1" ht="60" customHeight="1">
      <c r="A282" s="600">
        <v>62</v>
      </c>
      <c r="B282" s="582"/>
      <c r="C282" s="585" t="str">
        <f ca="1">IFERROR(IF(INDEX('WPTM - Section F'!C$1:C$100,MATCH('Print View'!$A282,'WPTM - Section F'!$A$1:$A$100,0))&lt;&gt;0,INDEX('WPTM - Section F'!C$1:C$100,MATCH('Print View'!$A282,'WPTM - Section F'!$A$1:$A$100,0)),""),"")</f>
        <v/>
      </c>
      <c r="D282" s="582"/>
      <c r="E282" s="582"/>
      <c r="F282" s="582"/>
      <c r="G282" s="585" t="str">
        <f ca="1">IFERROR(IF(INDEX('WPTM - Section F'!G$1:G$100,MATCH('Print View'!$A282,'WPTM - Section F'!$A$1:$A$100,0))&lt;&gt;0,INDEX('WPTM - Section F'!G$1:G$100,MATCH('Print View'!$A282,'WPTM - Section F'!$A$1:$A$100,0)),""),"")</f>
        <v/>
      </c>
      <c r="H282" s="105" t="str">
        <f ca="1">IF(IFERROR(INDEX('Overview - Section A'!$A$47:$A$54,MATCH(D$28,'Overview - Section A'!$B$47:$B$54,0)),"")="","",TEXT(IFERROR(INDEX('Overview - Section A'!$A$47:$A$54,MATCH(D$28,'Overview - Section A'!$B$47:$B$54,0)),""),Setup!$A$33)&amp;" to "&amp;TEXT(IFERROR(INDEX('Overview - Section A'!$E$47:$E$54,MATCH(D$28,'Overview - Section A'!$B$47:$B$54,0)),""),Setup!$A$33))</f>
        <v>1-Jan-28 to 31-Dec-28</v>
      </c>
      <c r="I282" s="596" t="str">
        <f ca="1">IFERROR(IF(INDEX('WPTM - Section F'!AD$1:AD$100,MATCH('Print View'!$A277,'WPTM - Section F'!$A$1:$A$100,0))&lt;&gt;0,INDEX('WPTM - Section F'!AD$1:AD$100,MATCH('Print View'!$A277,'WPTM - Section F'!$A$1:$A$100,0)),""),"")</f>
        <v/>
      </c>
      <c r="J282" s="597"/>
      <c r="K282" s="597"/>
      <c r="L282" s="597"/>
      <c r="M282" s="598"/>
      <c r="N282" s="596" t="str">
        <f ca="1">IFERROR(IF(INDEX('WPTM - Section F'!AE$1:AE$100,MATCH('Print View'!$A277,'WPTM - Section F'!$A$1:$A$100,0))&lt;&gt;0,INDEX('WPTM - Section F'!AE$1:AE$100,MATCH('Print View'!$A277,'WPTM - Section F'!$A$1:$A$100,0)),""),"")</f>
        <v/>
      </c>
      <c r="O282" s="597"/>
      <c r="P282" s="597"/>
      <c r="Q282" s="597"/>
      <c r="R282" s="597"/>
      <c r="S282" s="597"/>
      <c r="T282" s="94"/>
      <c r="AC282" s="114"/>
      <c r="AD282" s="114"/>
      <c r="AE282" s="114"/>
      <c r="AF282" s="114"/>
      <c r="AG282" s="114"/>
      <c r="AH282" s="114"/>
      <c r="AI282" s="114"/>
      <c r="AJ282" s="114"/>
      <c r="AK282" s="114"/>
      <c r="AL282" s="114"/>
      <c r="AM282" s="114"/>
      <c r="AN282" s="114"/>
      <c r="AO282" s="114"/>
    </row>
    <row r="283" spans="1:86" s="18" customFormat="1" ht="60" customHeight="1">
      <c r="A283" s="600">
        <v>63</v>
      </c>
      <c r="B283" s="583"/>
      <c r="C283" s="586" t="str">
        <f ca="1">IFERROR(IF(INDEX('WPTM - Section F'!C$1:C$100,MATCH('Print View'!$A283,'WPTM - Section F'!$A$1:$A$100,0))&lt;&gt;0,INDEX('WPTM - Section F'!C$1:C$100,MATCH('Print View'!$A283,'WPTM - Section F'!$A$1:$A$100,0)),""),"")</f>
        <v/>
      </c>
      <c r="D283" s="583"/>
      <c r="E283" s="583"/>
      <c r="F283" s="583"/>
      <c r="G283" s="586" t="str">
        <f ca="1">IFERROR(IF(INDEX('WPTM - Section F'!G$1:G$100,MATCH('Print View'!$A283,'WPTM - Section F'!$A$1:$A$100,0))&lt;&gt;0,INDEX('WPTM - Section F'!G$1:G$100,MATCH('Print View'!$A283,'WPTM - Section F'!$A$1:$A$100,0)),""),"")</f>
        <v/>
      </c>
      <c r="H283" s="105" t="str">
        <f ca="1">IF(IFERROR(INDEX('Overview - Section A'!$A$47:$A$54,MATCH(D$29,'Overview - Section A'!$B$47:$B$54,0)),"")="","",TEXT(IFERROR(INDEX('Overview - Section A'!$A$47:$A$54,MATCH(D$29,'Overview - Section A'!$B$47:$B$54,0)),""),Setup!$A$33)&amp;" to "&amp;TEXT(IFERROR(INDEX('Overview - Section A'!$E$47:$E$54,MATCH(D$29,'Overview - Section A'!$B$47:$B$54,0)),""),Setup!$A$33))</f>
        <v/>
      </c>
      <c r="I283" s="596" t="str">
        <f ca="1">IFERROR(IF(INDEX('WPTM - Section F'!AH$1:AH$100,MATCH('Print View'!$A277,'WPTM - Section F'!$A$1:$A$100,0))&lt;&gt;0,INDEX('WPTM - Section F'!AH$1:AH$100,MATCH('Print View'!$A277,'WPTM - Section F'!$A$1:$A$100,0)),""),"")</f>
        <v/>
      </c>
      <c r="J283" s="597"/>
      <c r="K283" s="597"/>
      <c r="L283" s="597"/>
      <c r="M283" s="598"/>
      <c r="N283" s="596" t="str">
        <f ca="1">IFERROR(IF(INDEX('WPTM - Section F'!AI$1:AI$100,MATCH('Print View'!$A277,'WPTM - Section F'!$A$1:$A$100,0))&lt;&gt;0,INDEX('WPTM - Section F'!AI$1:AI$100,MATCH('Print View'!$A277,'WPTM - Section F'!$A$1:$A$100,0)),""),"")</f>
        <v/>
      </c>
      <c r="O283" s="597"/>
      <c r="P283" s="597"/>
      <c r="Q283" s="597"/>
      <c r="R283" s="597"/>
      <c r="S283" s="597"/>
      <c r="T283" s="94"/>
      <c r="AC283" s="114"/>
      <c r="AD283" s="114"/>
      <c r="AE283" s="114"/>
      <c r="AF283" s="114"/>
      <c r="AG283" s="114"/>
      <c r="AH283" s="114"/>
      <c r="AI283" s="114"/>
      <c r="AJ283" s="114"/>
      <c r="AK283" s="114"/>
      <c r="AL283" s="114"/>
      <c r="AM283" s="114"/>
      <c r="AN283" s="114"/>
      <c r="AO283" s="114"/>
    </row>
    <row r="284" spans="1:86" s="18" customFormat="1" ht="60" customHeight="1">
      <c r="A284" s="601">
        <v>64</v>
      </c>
      <c r="B284" s="593" t="str">
        <f ca="1">IFERROR(IF(INDEX('WPTM - Section F'!AV$1:AV$100,MATCH('Print View'!$A277,'WPTM - Section F'!$A$1:$A$100,0))&lt;&gt;0,INDEX('WPTM - Section F'!AV$1:AV$100,MATCH('Print View'!$A277,'WPTM - Section F'!$A$1:$A$100,0)),""),"")</f>
        <v/>
      </c>
      <c r="C284" s="594"/>
      <c r="D284" s="594"/>
      <c r="E284" s="594"/>
      <c r="F284" s="594"/>
      <c r="G284" s="594"/>
      <c r="H284" s="594"/>
      <c r="I284" s="594"/>
      <c r="J284" s="594"/>
      <c r="K284" s="594"/>
      <c r="L284" s="594"/>
      <c r="M284" s="594"/>
      <c r="N284" s="594"/>
      <c r="O284" s="594"/>
      <c r="P284" s="594"/>
      <c r="Q284" s="594"/>
      <c r="R284" s="594"/>
      <c r="S284" s="595"/>
      <c r="T284" s="94"/>
      <c r="AC284" s="114"/>
      <c r="AD284" s="114"/>
      <c r="AE284" s="114"/>
      <c r="AF284" s="114"/>
      <c r="AG284" s="114"/>
      <c r="AH284" s="114"/>
      <c r="AI284" s="114"/>
      <c r="AJ284" s="114"/>
      <c r="AK284" s="114"/>
      <c r="AL284" s="114"/>
      <c r="AM284" s="114"/>
      <c r="AN284" s="114"/>
      <c r="AO284" s="114"/>
    </row>
    <row r="285" spans="1:86" ht="60" customHeight="1">
      <c r="A285" s="602">
        <v>9</v>
      </c>
      <c r="B285" s="590" t="str">
        <f ca="1">IFERROR(IF(INDEX('WPTM - Section F'!B$1:B$100,MATCH('Print View'!$A285,'WPTM - Section F'!$A$1:$A$100,0))&lt;&gt;0,INDEX('WPTM - Section F'!B$1:B$100,MATCH('Print View'!$A285,'WPTM - Section F'!$A$1:$A$100,0)),""),"")</f>
        <v/>
      </c>
      <c r="C285" s="587" t="str">
        <f ca="1">IFERROR(IF(INDEX('WPTM - Section F'!C$1:C$100,MATCH('Print View'!$A285,'WPTM - Section F'!$A$1:$A$100,0))&lt;&gt;0,INDEX('WPTM - Section F'!C$1:C$100,MATCH('Print View'!$A285,'WPTM - Section F'!$A$1:$A$100,0)),""),"")</f>
        <v/>
      </c>
      <c r="D285" s="590" t="str">
        <f ca="1">IFERROR(IF(INDEX('WPTM - Section F'!D$1:D$100,MATCH('Print View'!$A285,'WPTM - Section F'!$A$1:$A$100,0))&lt;&gt;0,INDEX('WPTM - Section F'!D$1:D$100,MATCH('Print View'!$A285,'WPTM - Section F'!$A$1:$A$100,0)),""),"")</f>
        <v/>
      </c>
      <c r="E285" s="590" t="str">
        <f ca="1">IFERROR(IF(INDEX('WPTM - Section F'!E$1:E$100,MATCH('Print View'!$A285,'WPTM - Section F'!$A$1:$A$100,0))&lt;&gt;0,INDEX('WPTM - Section F'!E$1:E$100,MATCH('Print View'!$A285,'WPTM - Section F'!$A$1:$A$100,0)),""),"")</f>
        <v/>
      </c>
      <c r="F285" s="590" t="str">
        <f ca="1">IFERROR(IF(INDEX('WPTM - Section F'!F$1:F$100,MATCH('Print View'!$A285,'WPTM - Section F'!$A$1:$A$100,0))&lt;&gt;0,INDEX('WPTM - Section F'!F$1:F$100,MATCH('Print View'!$A285,'WPTM - Section F'!$A$1:$A$100,0)),""),"")</f>
        <v/>
      </c>
      <c r="G285" s="587" t="str">
        <f ca="1">IFERROR(IF(INDEX('WPTM - Section F'!G$1:G$100,MATCH('Print View'!$A285,'WPTM - Section F'!$A$1:$A$100,0))&lt;&gt;0,INDEX('WPTM - Section F'!G$1:G$100,MATCH('Print View'!$A285,'WPTM - Section F'!$A$1:$A$100,0)),""),"")</f>
        <v/>
      </c>
      <c r="H285" s="104" t="str">
        <f ca="1">IF(IFERROR(INDEX('Overview - Section A'!$A$47:$A$54,MATCH(D$23,'Overview - Section A'!$B$47:$B$54,0)),"")="","",TEXT(IFERROR(INDEX('Overview - Section A'!$A$47:$A$54,MATCH(D$23,'Overview - Section A'!$B$47:$B$54,0)),""),Setup!$A$33)&amp;" to "&amp;TEXT(IFERROR(INDEX('Overview - Section A'!$E$47:$E$54,MATCH(D$23,'Overview - Section A'!$B$47:$B$54,0)),""),Setup!$A$33))</f>
        <v>1-Jan-23 to 31-Dec-23</v>
      </c>
      <c r="I285" s="605" t="str">
        <f ca="1">IFERROR(IF(INDEX('WPTM - Section F'!J$1:J$100,MATCH('Print View'!$A285,'WPTM - Section F'!$A$1:$A$100,0))&lt;&gt;0,INDEX('WPTM - Section F'!J$1:J$100,MATCH('Print View'!$A285,'WPTM - Section F'!$A$1:$A$100,0)),""),"")</f>
        <v/>
      </c>
      <c r="J285" s="606"/>
      <c r="K285" s="606"/>
      <c r="L285" s="606"/>
      <c r="M285" s="607"/>
      <c r="N285" s="605" t="str">
        <f ca="1">IFERROR(IF(INDEX('WPTM - Section F'!K$1:K$100,MATCH('Print View'!$A285,'WPTM - Section F'!$A$1:$A$100,0))&lt;&gt;0,INDEX('WPTM - Section F'!K$1:K$100,MATCH('Print View'!$A285,'WPTM - Section F'!$A$1:$A$100,0)),""),"")</f>
        <v/>
      </c>
      <c r="O285" s="606"/>
      <c r="P285" s="606"/>
      <c r="Q285" s="606"/>
      <c r="R285" s="606"/>
      <c r="S285" s="607"/>
      <c r="T285" s="113"/>
      <c r="U285" s="13"/>
      <c r="V285" s="13"/>
      <c r="W285" s="13"/>
      <c r="X285" s="13"/>
      <c r="Y285" s="13"/>
      <c r="Z285" s="13"/>
      <c r="AA285" s="13"/>
      <c r="AB285" s="13"/>
      <c r="AC285"/>
      <c r="AD285"/>
      <c r="AE285"/>
      <c r="AF285"/>
      <c r="AG285"/>
      <c r="AH285"/>
      <c r="AI285"/>
      <c r="AJ285"/>
      <c r="AK285"/>
      <c r="AL285"/>
      <c r="AM285"/>
      <c r="AN285"/>
      <c r="AO285"/>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row>
    <row r="286" spans="1:86" ht="60" customHeight="1">
      <c r="A286" s="603">
        <v>66</v>
      </c>
      <c r="B286" s="591"/>
      <c r="C286" s="588" t="str">
        <f ca="1">IFERROR(IF(INDEX('WPTM - Section F'!C$1:C$100,MATCH('Print View'!$A286,'WPTM - Section F'!$A$1:$A$100,0))&lt;&gt;0,INDEX('WPTM - Section F'!C$1:C$100,MATCH('Print View'!$A286,'WPTM - Section F'!$A$1:$A$100,0)),""),"")</f>
        <v/>
      </c>
      <c r="D286" s="591"/>
      <c r="E286" s="591"/>
      <c r="F286" s="591"/>
      <c r="G286" s="588" t="str">
        <f ca="1">IFERROR(IF(INDEX('WPTM - Section F'!G$1:G$100,MATCH('Print View'!$A286,'WPTM - Section F'!$A$1:$A$100,0))&lt;&gt;0,INDEX('WPTM - Section F'!G$1:G$100,MATCH('Print View'!$A286,'WPTM - Section F'!$A$1:$A$100,0)),""),"")</f>
        <v/>
      </c>
      <c r="H286" s="104" t="str">
        <f ca="1">IF(IFERROR(INDEX('Overview - Section A'!$A$47:$A$54,MATCH(D$24,'Overview - Section A'!$B$47:$B$54,0)),"")="","",TEXT(IFERROR(INDEX('Overview - Section A'!$A$47:$A$54,MATCH(D$24,'Overview - Section A'!$B$47:$B$54,0)),""),Setup!$A$33)&amp;" to "&amp;TEXT(IFERROR(INDEX('Overview - Section A'!$E$47:$E$54,MATCH(D$24,'Overview - Section A'!$B$47:$B$54,0)),""),Setup!$A$33))</f>
        <v>1-Jan-24 to 31-Dec-24</v>
      </c>
      <c r="I286" s="605" t="str">
        <f ca="1">IFERROR(IF(INDEX('WPTM - Section F'!N$1:N$100,MATCH('Print View'!$A285,'WPTM - Section F'!$A$1:$A$100,0))&lt;&gt;0,INDEX('WPTM - Section F'!N$1:N$100,MATCH('Print View'!$A285,'WPTM - Section F'!$A$1:$A$100,0)),""),"")</f>
        <v/>
      </c>
      <c r="J286" s="606"/>
      <c r="K286" s="606"/>
      <c r="L286" s="606"/>
      <c r="M286" s="607"/>
      <c r="N286" s="605" t="str">
        <f ca="1">IFERROR(IF(INDEX('WPTM - Section F'!O$1:O$100,MATCH('Print View'!$A285,'WPTM - Section F'!$A$1:$A$100,0))&lt;&gt;0,INDEX('WPTM - Section F'!O$1:O$100,MATCH('Print View'!$A285,'WPTM - Section F'!$A$1:$A$100,0)),""),"")</f>
        <v/>
      </c>
      <c r="O286" s="606"/>
      <c r="P286" s="606"/>
      <c r="Q286" s="606"/>
      <c r="R286" s="606"/>
      <c r="S286" s="607"/>
      <c r="T286" s="113"/>
      <c r="U286" s="13"/>
      <c r="V286" s="13"/>
      <c r="W286" s="13"/>
      <c r="X286" s="13"/>
      <c r="Y286" s="13"/>
      <c r="Z286" s="13"/>
      <c r="AA286" s="13"/>
      <c r="AB286" s="13"/>
      <c r="AC286"/>
      <c r="AD286"/>
      <c r="AE286"/>
      <c r="AF286"/>
      <c r="AG286"/>
      <c r="AH286"/>
      <c r="AI286"/>
      <c r="AJ286"/>
      <c r="AK286"/>
      <c r="AL286"/>
      <c r="AM286"/>
      <c r="AN286"/>
      <c r="AO286"/>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row>
    <row r="287" spans="1:86" ht="60" customHeight="1">
      <c r="A287" s="603">
        <v>67</v>
      </c>
      <c r="B287" s="591"/>
      <c r="C287" s="588" t="str">
        <f ca="1">IFERROR(IF(INDEX('WPTM - Section F'!C$1:C$100,MATCH('Print View'!$A287,'WPTM - Section F'!$A$1:$A$100,0))&lt;&gt;0,INDEX('WPTM - Section F'!C$1:C$100,MATCH('Print View'!$A287,'WPTM - Section F'!$A$1:$A$100,0)),""),"")</f>
        <v/>
      </c>
      <c r="D287" s="591"/>
      <c r="E287" s="591"/>
      <c r="F287" s="591"/>
      <c r="G287" s="588" t="str">
        <f ca="1">IFERROR(IF(INDEX('WPTM - Section F'!G$1:G$100,MATCH('Print View'!$A287,'WPTM - Section F'!$A$1:$A$100,0))&lt;&gt;0,INDEX('WPTM - Section F'!G$1:G$100,MATCH('Print View'!$A287,'WPTM - Section F'!$A$1:$A$100,0)),""),"")</f>
        <v/>
      </c>
      <c r="H287" s="104" t="str">
        <f ca="1">IF(IFERROR(INDEX('Overview - Section A'!$A$47:$A$54,MATCH(D$25,'Overview - Section A'!$B$47:$B$54,0)),"")="","",TEXT(IFERROR(INDEX('Overview - Section A'!$A$47:$A$54,MATCH(D$25,'Overview - Section A'!$B$47:$B$54,0)),""),Setup!$A$33)&amp;" to "&amp;TEXT(IFERROR(INDEX('Overview - Section A'!$E$47:$E$54,MATCH(D$25,'Overview - Section A'!$B$47:$B$54,0)),""),Setup!$A$33))</f>
        <v>1-Jan-25 to 31-Dec-25</v>
      </c>
      <c r="I287" s="605" t="str">
        <f ca="1">IFERROR(IF(INDEX('WPTM - Section F'!R$1:R$100,MATCH('Print View'!$A285,'WPTM - Section F'!$A$1:$A$100,0))&lt;&gt;0,INDEX('WPTM - Section F'!R$1:R$100,MATCH('Print View'!$A285,'WPTM - Section F'!$A$1:$A$100,0)),""),"")</f>
        <v/>
      </c>
      <c r="J287" s="606"/>
      <c r="K287" s="606"/>
      <c r="L287" s="606"/>
      <c r="M287" s="607"/>
      <c r="N287" s="605" t="str">
        <f ca="1">IFERROR(IF(INDEX('WPTM - Section F'!S$1:S$100,MATCH('Print View'!$A285,'WPTM - Section F'!$A$1:$A$100,0))&lt;&gt;0,INDEX('WPTM - Section F'!S$1:S$100,MATCH('Print View'!$A285,'WPTM - Section F'!$A$1:$A$100,0)),""),"")</f>
        <v/>
      </c>
      <c r="O287" s="606"/>
      <c r="P287" s="606"/>
      <c r="Q287" s="606"/>
      <c r="R287" s="606"/>
      <c r="S287" s="607"/>
      <c r="T287" s="113"/>
      <c r="U287" s="13"/>
      <c r="V287" s="13"/>
      <c r="W287" s="13"/>
      <c r="X287" s="13"/>
      <c r="Y287" s="13"/>
      <c r="Z287" s="13"/>
      <c r="AA287" s="13"/>
      <c r="AB287" s="13"/>
      <c r="AC287"/>
      <c r="AD287"/>
      <c r="AE287"/>
      <c r="AF287"/>
      <c r="AG287"/>
      <c r="AH287"/>
      <c r="AI287"/>
      <c r="AJ287"/>
      <c r="AK287"/>
      <c r="AL287"/>
      <c r="AM287"/>
      <c r="AN287"/>
      <c r="AO287"/>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row>
    <row r="288" spans="1:86" ht="60" customHeight="1">
      <c r="A288" s="603">
        <v>68</v>
      </c>
      <c r="B288" s="591"/>
      <c r="C288" s="588" t="str">
        <f ca="1">IFERROR(IF(INDEX('WPTM - Section F'!C$1:C$100,MATCH('Print View'!$A288,'WPTM - Section F'!$A$1:$A$100,0))&lt;&gt;0,INDEX('WPTM - Section F'!C$1:C$100,MATCH('Print View'!$A288,'WPTM - Section F'!$A$1:$A$100,0)),""),"")</f>
        <v/>
      </c>
      <c r="D288" s="591"/>
      <c r="E288" s="591"/>
      <c r="F288" s="591"/>
      <c r="G288" s="588" t="str">
        <f ca="1">IFERROR(IF(INDEX('WPTM - Section F'!G$1:G$100,MATCH('Print View'!$A288,'WPTM - Section F'!$A$1:$A$100,0))&lt;&gt;0,INDEX('WPTM - Section F'!G$1:G$100,MATCH('Print View'!$A288,'WPTM - Section F'!$A$1:$A$100,0)),""),"")</f>
        <v/>
      </c>
      <c r="H288" s="104" t="str">
        <f ca="1">IF(IFERROR(INDEX('Overview - Section A'!$A$47:$A$54,MATCH(D$26,'Overview - Section A'!$B$47:$B$54,0)),"")="","",TEXT(IFERROR(INDEX('Overview - Section A'!$A$47:$A$54,MATCH(D$26,'Overview - Section A'!$B$47:$B$54,0)),""),Setup!$A$33)&amp;" to "&amp;TEXT(IFERROR(INDEX('Overview - Section A'!$E$47:$E$54,MATCH(D$26,'Overview - Section A'!$B$47:$B$54,0)),""),Setup!$A$33))</f>
        <v>1-Jan-26 to 31-Dec-26</v>
      </c>
      <c r="I288" s="605" t="str">
        <f ca="1">IFERROR(IF(INDEX('WPTM - Section F'!V$1:V$100,MATCH('Print View'!$A285,'WPTM - Section F'!$A$1:$A$100,0))&lt;&gt;0,INDEX('WPTM - Section F'!V$1:V$100,MATCH('Print View'!$A285,'WPTM - Section F'!$A$1:$A$100,0)),""),"")</f>
        <v/>
      </c>
      <c r="J288" s="606"/>
      <c r="K288" s="606"/>
      <c r="L288" s="606"/>
      <c r="M288" s="607"/>
      <c r="N288" s="605" t="str">
        <f ca="1">IFERROR(IF(INDEX('WPTM - Section F'!W$1:W$100,MATCH('Print View'!$A285,'WPTM - Section F'!$A$1:$A$100,0))&lt;&gt;0,INDEX('WPTM - Section F'!W$1:W$100,MATCH('Print View'!$A285,'WPTM - Section F'!$A$1:$A$100,0)),""),"")</f>
        <v/>
      </c>
      <c r="O288" s="606"/>
      <c r="P288" s="606"/>
      <c r="Q288" s="606"/>
      <c r="R288" s="606"/>
      <c r="S288" s="607"/>
      <c r="T288" s="113"/>
      <c r="U288" s="13"/>
      <c r="V288" s="13"/>
      <c r="W288" s="13"/>
      <c r="X288" s="13"/>
      <c r="Y288" s="13"/>
      <c r="Z288" s="13"/>
      <c r="AA288" s="13"/>
      <c r="AB288" s="13"/>
      <c r="AC288"/>
      <c r="AD288"/>
      <c r="AE288"/>
      <c r="AF288"/>
      <c r="AG288"/>
      <c r="AH288"/>
      <c r="AI288"/>
      <c r="AJ288"/>
      <c r="AK288"/>
      <c r="AL288"/>
      <c r="AM288"/>
      <c r="AN288"/>
      <c r="AO288"/>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row>
    <row r="289" spans="1:86" ht="60" customHeight="1">
      <c r="A289" s="603">
        <v>69</v>
      </c>
      <c r="B289" s="591"/>
      <c r="C289" s="588" t="str">
        <f ca="1">IFERROR(IF(INDEX('WPTM - Section F'!C$1:C$100,MATCH('Print View'!$A289,'WPTM - Section F'!$A$1:$A$100,0))&lt;&gt;0,INDEX('WPTM - Section F'!C$1:C$100,MATCH('Print View'!$A289,'WPTM - Section F'!$A$1:$A$100,0)),""),"")</f>
        <v/>
      </c>
      <c r="D289" s="591"/>
      <c r="E289" s="591"/>
      <c r="F289" s="591"/>
      <c r="G289" s="588" t="str">
        <f ca="1">IFERROR(IF(INDEX('WPTM - Section F'!G$1:G$100,MATCH('Print View'!$A289,'WPTM - Section F'!$A$1:$A$100,0))&lt;&gt;0,INDEX('WPTM - Section F'!G$1:G$100,MATCH('Print View'!$A289,'WPTM - Section F'!$A$1:$A$100,0)),""),"")</f>
        <v/>
      </c>
      <c r="H289" s="104" t="str">
        <f ca="1">IF(IFERROR(INDEX('Overview - Section A'!$A$47:$A$54,MATCH(D$27,'Overview - Section A'!$B$47:$B$54,0)),"")="","",TEXT(IFERROR(INDEX('Overview - Section A'!$A$47:$A$54,MATCH(D$27,'Overview - Section A'!$B$47:$B$54,0)),""),Setup!$A$33)&amp;" to "&amp;TEXT(IFERROR(INDEX('Overview - Section A'!$E$47:$E$54,MATCH(D$27,'Overview - Section A'!$B$47:$B$54,0)),""),Setup!$A$33))</f>
        <v>1-Jan-27 to 31-Dec-27</v>
      </c>
      <c r="I289" s="605" t="str">
        <f ca="1">IFERROR(IF(INDEX('WPTM - Section F'!Z$1:Z$100,MATCH('Print View'!$A285,'WPTM - Section F'!$A$1:$A$100,0))&lt;&gt;0,INDEX('WPTM - Section F'!Z$1:Z$100,MATCH('Print View'!$A285,'WPTM - Section F'!$A$1:$A$100,0)),""),"")</f>
        <v/>
      </c>
      <c r="J289" s="606"/>
      <c r="K289" s="606"/>
      <c r="L289" s="606"/>
      <c r="M289" s="607"/>
      <c r="N289" s="605" t="str">
        <f ca="1">IFERROR(IF(INDEX('WPTM - Section F'!AA$1:AA$100,MATCH('Print View'!$A285,'WPTM - Section F'!$A$1:$A$100,0))&lt;&gt;0,INDEX('WPTM - Section F'!AA$1:AA$100,MATCH('Print View'!$A285,'WPTM - Section F'!$A$1:$A$100,0)),""),"")</f>
        <v/>
      </c>
      <c r="O289" s="606"/>
      <c r="P289" s="606"/>
      <c r="Q289" s="606"/>
      <c r="R289" s="606"/>
      <c r="S289" s="607"/>
      <c r="T289" s="113"/>
      <c r="U289" s="13"/>
      <c r="V289" s="13"/>
      <c r="W289" s="13"/>
      <c r="X289" s="13"/>
      <c r="Y289" s="13"/>
      <c r="Z289" s="13"/>
      <c r="AA289" s="13"/>
      <c r="AB289" s="13"/>
      <c r="AC289"/>
      <c r="AD289"/>
      <c r="AE289"/>
      <c r="AF289"/>
      <c r="AG289"/>
      <c r="AH289"/>
      <c r="AI289"/>
      <c r="AJ289"/>
      <c r="AK289"/>
      <c r="AL289"/>
      <c r="AM289"/>
      <c r="AN289"/>
      <c r="AO289"/>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row>
    <row r="290" spans="1:86" ht="60" customHeight="1">
      <c r="A290" s="603">
        <v>70</v>
      </c>
      <c r="B290" s="591"/>
      <c r="C290" s="588" t="str">
        <f ca="1">IFERROR(IF(INDEX('WPTM - Section F'!C$1:C$100,MATCH('Print View'!$A290,'WPTM - Section F'!$A$1:$A$100,0))&lt;&gt;0,INDEX('WPTM - Section F'!C$1:C$100,MATCH('Print View'!$A290,'WPTM - Section F'!$A$1:$A$100,0)),""),"")</f>
        <v/>
      </c>
      <c r="D290" s="591"/>
      <c r="E290" s="591"/>
      <c r="F290" s="591"/>
      <c r="G290" s="588" t="str">
        <f ca="1">IFERROR(IF(INDEX('WPTM - Section F'!G$1:G$100,MATCH('Print View'!$A290,'WPTM - Section F'!$A$1:$A$100,0))&lt;&gt;0,INDEX('WPTM - Section F'!G$1:G$100,MATCH('Print View'!$A290,'WPTM - Section F'!$A$1:$A$100,0)),""),"")</f>
        <v/>
      </c>
      <c r="H290" s="104" t="str">
        <f ca="1">IF(IFERROR(INDEX('Overview - Section A'!$A$47:$A$54,MATCH(D$28,'Overview - Section A'!$B$47:$B$54,0)),"")="","",TEXT(IFERROR(INDEX('Overview - Section A'!$A$47:$A$54,MATCH(D$28,'Overview - Section A'!$B$47:$B$54,0)),""),Setup!$A$33)&amp;" to "&amp;TEXT(IFERROR(INDEX('Overview - Section A'!$E$47:$E$54,MATCH(D$28,'Overview - Section A'!$B$47:$B$54,0)),""),Setup!$A$33))</f>
        <v>1-Jan-28 to 31-Dec-28</v>
      </c>
      <c r="I290" s="605" t="str">
        <f ca="1">IFERROR(IF(INDEX('WPTM - Section F'!AD$1:AD$100,MATCH('Print View'!$A285,'WPTM - Section F'!$A$1:$A$100,0))&lt;&gt;0,INDEX('WPTM - Section F'!AD$1:AD$100,MATCH('Print View'!$A285,'WPTM - Section F'!$A$1:$A$100,0)),""),"")</f>
        <v/>
      </c>
      <c r="J290" s="606"/>
      <c r="K290" s="606"/>
      <c r="L290" s="606"/>
      <c r="M290" s="607"/>
      <c r="N290" s="605" t="str">
        <f ca="1">IFERROR(IF(INDEX('WPTM - Section F'!AE$1:AE$100,MATCH('Print View'!$A285,'WPTM - Section F'!$A$1:$A$100,0))&lt;&gt;0,INDEX('WPTM - Section F'!AE$1:AE$100,MATCH('Print View'!$A285,'WPTM - Section F'!$A$1:$A$100,0)),""),"")</f>
        <v/>
      </c>
      <c r="O290" s="606"/>
      <c r="P290" s="606"/>
      <c r="Q290" s="606"/>
      <c r="R290" s="606"/>
      <c r="S290" s="607"/>
      <c r="T290" s="113"/>
      <c r="U290" s="13"/>
      <c r="V290" s="13"/>
      <c r="W290" s="13"/>
      <c r="X290" s="13"/>
      <c r="Y290" s="13"/>
      <c r="Z290" s="13"/>
      <c r="AA290" s="13"/>
      <c r="AB290" s="13"/>
      <c r="AC290"/>
      <c r="AD290"/>
      <c r="AE290"/>
      <c r="AF290"/>
      <c r="AG290"/>
      <c r="AH290"/>
      <c r="AI290"/>
      <c r="AJ290"/>
      <c r="AK290"/>
      <c r="AL290"/>
      <c r="AM290"/>
      <c r="AN290"/>
      <c r="AO290"/>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row>
    <row r="291" spans="1:86" ht="60" customHeight="1">
      <c r="A291" s="603">
        <v>71</v>
      </c>
      <c r="B291" s="592"/>
      <c r="C291" s="589" t="str">
        <f ca="1">IFERROR(IF(INDEX('WPTM - Section F'!C$1:C$100,MATCH('Print View'!$A291,'WPTM - Section F'!$A$1:$A$100,0))&lt;&gt;0,INDEX('WPTM - Section F'!C$1:C$100,MATCH('Print View'!$A291,'WPTM - Section F'!$A$1:$A$100,0)),""),"")</f>
        <v/>
      </c>
      <c r="D291" s="592"/>
      <c r="E291" s="592"/>
      <c r="F291" s="592"/>
      <c r="G291" s="589" t="str">
        <f ca="1">IFERROR(IF(INDEX('WPTM - Section F'!G$1:G$100,MATCH('Print View'!$A291,'WPTM - Section F'!$A$1:$A$100,0))&lt;&gt;0,INDEX('WPTM - Section F'!G$1:G$100,MATCH('Print View'!$A291,'WPTM - Section F'!$A$1:$A$100,0)),""),"")</f>
        <v/>
      </c>
      <c r="H291" s="104" t="str">
        <f ca="1">IF(IFERROR(INDEX('Overview - Section A'!$A$47:$A$54,MATCH(D$29,'Overview - Section A'!$B$47:$B$54,0)),"")="","",TEXT(IFERROR(INDEX('Overview - Section A'!$A$47:$A$54,MATCH(D$29,'Overview - Section A'!$B$47:$B$54,0)),""),Setup!$A$33)&amp;" to "&amp;TEXT(IFERROR(INDEX('Overview - Section A'!$E$47:$E$54,MATCH(D$29,'Overview - Section A'!$B$47:$B$54,0)),""),Setup!$A$33))</f>
        <v/>
      </c>
      <c r="I291" s="605" t="str">
        <f ca="1">IFERROR(IF(INDEX('WPTM - Section F'!AH$1:AH$100,MATCH('Print View'!$A285,'WPTM - Section F'!$A$1:$A$100,0))&lt;&gt;0,INDEX('WPTM - Section F'!AH$1:AH$100,MATCH('Print View'!$A285,'WPTM - Section F'!$A$1:$A$100,0)),""),"")</f>
        <v/>
      </c>
      <c r="J291" s="606"/>
      <c r="K291" s="606"/>
      <c r="L291" s="606"/>
      <c r="M291" s="607"/>
      <c r="N291" s="605" t="str">
        <f ca="1">IFERROR(IF(INDEX('WPTM - Section F'!AI$1:AI$100,MATCH('Print View'!$A285,'WPTM - Section F'!$A$1:$A$100,0))&lt;&gt;0,INDEX('WPTM - Section F'!AI$1:AI$100,MATCH('Print View'!$A285,'WPTM - Section F'!$A$1:$A$100,0)),""),"")</f>
        <v/>
      </c>
      <c r="O291" s="606"/>
      <c r="P291" s="606"/>
      <c r="Q291" s="606"/>
      <c r="R291" s="606"/>
      <c r="S291" s="607"/>
      <c r="T291" s="113"/>
      <c r="U291" s="13"/>
      <c r="V291" s="13"/>
      <c r="W291" s="13"/>
      <c r="X291" s="13"/>
      <c r="Y291" s="13"/>
      <c r="Z291" s="13"/>
      <c r="AA291" s="13"/>
      <c r="AB291" s="13"/>
      <c r="AC291"/>
      <c r="AD291"/>
      <c r="AE291"/>
      <c r="AF291"/>
      <c r="AG291"/>
      <c r="AH291"/>
      <c r="AI291"/>
      <c r="AJ291"/>
      <c r="AK291"/>
      <c r="AL291"/>
      <c r="AM291"/>
      <c r="AN291"/>
      <c r="AO291"/>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row>
    <row r="292" spans="1:86" ht="60" customHeight="1">
      <c r="A292" s="604">
        <v>72</v>
      </c>
      <c r="B292" s="637" t="str">
        <f ca="1">IFERROR(IF(INDEX('WPTM - Section F'!AV$1:AV$100,MATCH('Print View'!$A285,'WPTM - Section F'!$A$1:$A$100,0))&lt;&gt;0,INDEX('WPTM - Section F'!AV$1:AV$100,MATCH('Print View'!$A285,'WPTM - Section F'!$A$1:$A$100,0)),""),"")</f>
        <v/>
      </c>
      <c r="C292" s="638"/>
      <c r="D292" s="638"/>
      <c r="E292" s="638"/>
      <c r="F292" s="638"/>
      <c r="G292" s="638"/>
      <c r="H292" s="638"/>
      <c r="I292" s="638"/>
      <c r="J292" s="638"/>
      <c r="K292" s="638"/>
      <c r="L292" s="638"/>
      <c r="M292" s="638"/>
      <c r="N292" s="638"/>
      <c r="O292" s="638"/>
      <c r="P292" s="638"/>
      <c r="Q292" s="638"/>
      <c r="R292" s="638"/>
      <c r="S292" s="639"/>
      <c r="T292" s="111"/>
      <c r="U292" s="13"/>
      <c r="V292" s="13"/>
      <c r="W292" s="13"/>
      <c r="X292" s="13"/>
      <c r="Y292" s="13"/>
      <c r="Z292" s="13"/>
      <c r="AA292" s="13"/>
      <c r="AB292" s="13"/>
      <c r="AC292"/>
      <c r="AD292"/>
      <c r="AE292"/>
      <c r="AF292"/>
      <c r="AG292"/>
      <c r="AH292"/>
      <c r="AI292"/>
      <c r="AJ292"/>
      <c r="AK292"/>
      <c r="AL292"/>
      <c r="AM292"/>
      <c r="AN292"/>
      <c r="AO292"/>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row>
    <row r="293" spans="1:86" s="18" customFormat="1" ht="60" customHeight="1">
      <c r="A293" s="599">
        <v>10</v>
      </c>
      <c r="B293" s="581" t="str">
        <f ca="1">IFERROR(IF(INDEX('WPTM - Section F'!B$1:B$100,MATCH('Print View'!$A293,'WPTM - Section F'!$A$1:$A$100,0))&lt;&gt;0,INDEX('WPTM - Section F'!B$1:B$100,MATCH('Print View'!$A293,'WPTM - Section F'!$A$1:$A$100,0)),""),"")</f>
        <v/>
      </c>
      <c r="C293" s="584" t="str">
        <f ca="1">IFERROR(IF(INDEX('WPTM - Section F'!C$1:C$100,MATCH('Print View'!$A293,'WPTM - Section F'!$A$1:$A$100,0))&lt;&gt;0,INDEX('WPTM - Section F'!C$1:C$100,MATCH('Print View'!$A293,'WPTM - Section F'!$A$1:$A$100,0)),""),"")</f>
        <v/>
      </c>
      <c r="D293" s="581" t="str">
        <f ca="1">IFERROR(IF(INDEX('WPTM - Section F'!D$1:D$100,MATCH('Print View'!$A293,'WPTM - Section F'!$A$1:$A$100,0))&lt;&gt;0,INDEX('WPTM - Section F'!D$1:D$100,MATCH('Print View'!$A293,'WPTM - Section F'!$A$1:$A$100,0)),""),"")</f>
        <v/>
      </c>
      <c r="E293" s="581" t="str">
        <f ca="1">IFERROR(IF(INDEX('WPTM - Section F'!E$1:E$100,MATCH('Print View'!$A293,'WPTM - Section F'!$A$1:$A$100,0))&lt;&gt;0,INDEX('WPTM - Section F'!E$1:E$100,MATCH('Print View'!$A293,'WPTM - Section F'!$A$1:$A$100,0)),""),"")</f>
        <v/>
      </c>
      <c r="F293" s="581" t="str">
        <f ca="1">IFERROR(IF(INDEX('WPTM - Section F'!F$1:F$100,MATCH('Print View'!$A293,'WPTM - Section F'!$A$1:$A$100,0))&lt;&gt;0,INDEX('WPTM - Section F'!F$1:F$100,MATCH('Print View'!$A293,'WPTM - Section F'!$A$1:$A$100,0)),""),"")</f>
        <v/>
      </c>
      <c r="G293" s="584" t="str">
        <f ca="1">IFERROR(IF(INDEX('WPTM - Section F'!G$1:G$100,MATCH('Print View'!$A293,'WPTM - Section F'!$A$1:$A$100,0))&lt;&gt;0,INDEX('WPTM - Section F'!G$1:G$100,MATCH('Print View'!$A293,'WPTM - Section F'!$A$1:$A$100,0)),""),"")</f>
        <v/>
      </c>
      <c r="H293" s="105" t="str">
        <f ca="1">IF(IFERROR(INDEX('Overview - Section A'!$A$47:$A$54,MATCH(D$23,'Overview - Section A'!$B$47:$B$54,0)),"")="","",TEXT(IFERROR(INDEX('Overview - Section A'!$A$47:$A$54,MATCH(D$23,'Overview - Section A'!$B$47:$B$54,0)),""),Setup!$A$33)&amp;" to "&amp;TEXT(IFERROR(INDEX('Overview - Section A'!$E$47:$E$54,MATCH(D$23,'Overview - Section A'!$B$47:$B$54,0)),""),Setup!$A$33))</f>
        <v>1-Jan-23 to 31-Dec-23</v>
      </c>
      <c r="I293" s="596" t="str">
        <f ca="1">IFERROR(IF(INDEX('WPTM - Section F'!J$1:J$100,MATCH('Print View'!$A293,'WPTM - Section F'!$A$1:$A$100,0))&lt;&gt;0,INDEX('WPTM - Section F'!J$1:J$100,MATCH('Print View'!$A293,'WPTM - Section F'!$A$1:$A$100,0)),""),"")</f>
        <v/>
      </c>
      <c r="J293" s="597"/>
      <c r="K293" s="597"/>
      <c r="L293" s="597"/>
      <c r="M293" s="598"/>
      <c r="N293" s="596" t="str">
        <f ca="1">IFERROR(IF(INDEX('WPTM - Section F'!K$1:K$100,MATCH('Print View'!$A293,'WPTM - Section F'!$A$1:$A$100,0))&lt;&gt;0,INDEX('WPTM - Section F'!K$1:K$100,MATCH('Print View'!$A293,'WPTM - Section F'!$A$1:$A$100,0)),""),"")</f>
        <v/>
      </c>
      <c r="O293" s="597"/>
      <c r="P293" s="597"/>
      <c r="Q293" s="597"/>
      <c r="R293" s="597"/>
      <c r="S293" s="597"/>
      <c r="T293" s="94"/>
      <c r="AC293" s="114"/>
      <c r="AD293" s="114"/>
      <c r="AE293" s="114"/>
      <c r="AF293" s="114"/>
      <c r="AG293" s="114"/>
      <c r="AH293" s="114"/>
      <c r="AI293" s="114"/>
      <c r="AJ293" s="114"/>
      <c r="AK293" s="114"/>
      <c r="AL293" s="114"/>
      <c r="AM293" s="114"/>
      <c r="AN293" s="114"/>
      <c r="AO293" s="114"/>
    </row>
    <row r="294" spans="1:86" s="18" customFormat="1" ht="60" customHeight="1">
      <c r="A294" s="600">
        <v>74</v>
      </c>
      <c r="B294" s="582"/>
      <c r="C294" s="585" t="str">
        <f ca="1">IFERROR(IF(INDEX('WPTM - Section F'!C$1:C$100,MATCH('Print View'!$A294,'WPTM - Section F'!$A$1:$A$100,0))&lt;&gt;0,INDEX('WPTM - Section F'!C$1:C$100,MATCH('Print View'!$A294,'WPTM - Section F'!$A$1:$A$100,0)),""),"")</f>
        <v/>
      </c>
      <c r="D294" s="582"/>
      <c r="E294" s="582"/>
      <c r="F294" s="582"/>
      <c r="G294" s="585" t="str">
        <f ca="1">IFERROR(IF(INDEX('WPTM - Section F'!G$1:G$100,MATCH('Print View'!$A294,'WPTM - Section F'!$A$1:$A$100,0))&lt;&gt;0,INDEX('WPTM - Section F'!G$1:G$100,MATCH('Print View'!$A294,'WPTM - Section F'!$A$1:$A$100,0)),""),"")</f>
        <v/>
      </c>
      <c r="H294" s="105" t="str">
        <f ca="1">IF(IFERROR(INDEX('Overview - Section A'!$A$47:$A$54,MATCH(D$24,'Overview - Section A'!$B$47:$B$54,0)),"")="","",TEXT(IFERROR(INDEX('Overview - Section A'!$A$47:$A$54,MATCH(D$24,'Overview - Section A'!$B$47:$B$54,0)),""),Setup!$A$33)&amp;" to "&amp;TEXT(IFERROR(INDEX('Overview - Section A'!$E$47:$E$54,MATCH(D$24,'Overview - Section A'!$B$47:$B$54,0)),""),Setup!$A$33))</f>
        <v>1-Jan-24 to 31-Dec-24</v>
      </c>
      <c r="I294" s="596" t="str">
        <f ca="1">IFERROR(IF(INDEX('WPTM - Section F'!J$1:J$100,MATCH('Print View'!$A293,'WPTM - Section F'!$A$1:$A$100,0))&lt;&gt;0,INDEX('WPTM - Section F'!J$1:J$100,MATCH('Print View'!$A293,'WPTM - Section F'!$A$1:$A$100,0)),""),"")</f>
        <v/>
      </c>
      <c r="J294" s="597"/>
      <c r="K294" s="597"/>
      <c r="L294" s="597"/>
      <c r="M294" s="598"/>
      <c r="N294" s="596" t="str">
        <f ca="1">IFERROR(IF(INDEX('WPTM - Section F'!O$1:O$100,MATCH('Print View'!$A293,'WPTM - Section F'!$A$1:$A$100,0))&lt;&gt;0,INDEX('WPTM - Section F'!O$1:O$100,MATCH('Print View'!$A293,'WPTM - Section F'!$A$1:$A$100,0)),""),"")</f>
        <v/>
      </c>
      <c r="O294" s="597"/>
      <c r="P294" s="597"/>
      <c r="Q294" s="597"/>
      <c r="R294" s="597"/>
      <c r="S294" s="597"/>
      <c r="T294" s="94"/>
      <c r="AC294" s="114"/>
      <c r="AD294" s="114"/>
      <c r="AE294" s="114"/>
      <c r="AF294" s="114"/>
      <c r="AG294" s="114"/>
      <c r="AH294" s="114"/>
      <c r="AI294" s="114"/>
      <c r="AJ294" s="114"/>
      <c r="AK294" s="114"/>
      <c r="AL294" s="114"/>
      <c r="AM294" s="114"/>
      <c r="AN294" s="114"/>
      <c r="AO294" s="114"/>
    </row>
    <row r="295" spans="1:86" s="18" customFormat="1" ht="60" customHeight="1">
      <c r="A295" s="600">
        <v>75</v>
      </c>
      <c r="B295" s="582"/>
      <c r="C295" s="585" t="str">
        <f ca="1">IFERROR(IF(INDEX('WPTM - Section F'!C$1:C$100,MATCH('Print View'!$A295,'WPTM - Section F'!$A$1:$A$100,0))&lt;&gt;0,INDEX('WPTM - Section F'!C$1:C$100,MATCH('Print View'!$A295,'WPTM - Section F'!$A$1:$A$100,0)),""),"")</f>
        <v/>
      </c>
      <c r="D295" s="582"/>
      <c r="E295" s="582"/>
      <c r="F295" s="582"/>
      <c r="G295" s="585" t="str">
        <f ca="1">IFERROR(IF(INDEX('WPTM - Section F'!G$1:G$100,MATCH('Print View'!$A295,'WPTM - Section F'!$A$1:$A$100,0))&lt;&gt;0,INDEX('WPTM - Section F'!G$1:G$100,MATCH('Print View'!$A295,'WPTM - Section F'!$A$1:$A$100,0)),""),"")</f>
        <v/>
      </c>
      <c r="H295" s="105" t="str">
        <f ca="1">IF(IFERROR(INDEX('Overview - Section A'!$A$47:$A$54,MATCH(D$25,'Overview - Section A'!$B$47:$B$54,0)),"")="","",TEXT(IFERROR(INDEX('Overview - Section A'!$A$47:$A$54,MATCH(D$25,'Overview - Section A'!$B$47:$B$54,0)),""),Setup!$A$33)&amp;" to "&amp;TEXT(IFERROR(INDEX('Overview - Section A'!$E$47:$E$54,MATCH(D$25,'Overview - Section A'!$B$47:$B$54,0)),""),Setup!$A$33))</f>
        <v>1-Jan-25 to 31-Dec-25</v>
      </c>
      <c r="I295" s="596" t="str">
        <f ca="1">IFERROR(IF(INDEX('WPTM - Section F'!R$1:R$100,MATCH('Print View'!$A293,'WPTM - Section F'!$A$1:$A$100,0))&lt;&gt;0,INDEX('WPTM - Section F'!R$1:R$100,MATCH('Print View'!$A293,'WPTM - Section F'!$A$1:$A$100,0)),""),"")</f>
        <v/>
      </c>
      <c r="J295" s="597"/>
      <c r="K295" s="597"/>
      <c r="L295" s="597"/>
      <c r="M295" s="598"/>
      <c r="N295" s="596" t="str">
        <f ca="1">IFERROR(IF(INDEX('WPTM - Section F'!S$1:S$100,MATCH('Print View'!$A293,'WPTM - Section F'!$A$1:$A$100,0))&lt;&gt;0,INDEX('WPTM - Section F'!S$1:S$100,MATCH('Print View'!$A293,'WPTM - Section F'!$A$1:$A$100,0)),""),"")</f>
        <v/>
      </c>
      <c r="O295" s="597"/>
      <c r="P295" s="597"/>
      <c r="Q295" s="597"/>
      <c r="R295" s="597"/>
      <c r="S295" s="597"/>
      <c r="T295" s="94"/>
      <c r="AC295" s="114"/>
      <c r="AD295" s="114"/>
      <c r="AE295" s="114"/>
      <c r="AF295" s="114"/>
      <c r="AG295" s="114"/>
      <c r="AH295" s="114"/>
      <c r="AI295" s="114"/>
      <c r="AJ295" s="114"/>
      <c r="AK295" s="114"/>
      <c r="AL295" s="114"/>
      <c r="AM295" s="114"/>
      <c r="AN295" s="114"/>
      <c r="AO295" s="114"/>
    </row>
    <row r="296" spans="1:86" s="18" customFormat="1" ht="60" customHeight="1">
      <c r="A296" s="600">
        <v>76</v>
      </c>
      <c r="B296" s="582"/>
      <c r="C296" s="585" t="str">
        <f ca="1">IFERROR(IF(INDEX('WPTM - Section F'!C$1:C$100,MATCH('Print View'!$A296,'WPTM - Section F'!$A$1:$A$100,0))&lt;&gt;0,INDEX('WPTM - Section F'!C$1:C$100,MATCH('Print View'!$A296,'WPTM - Section F'!$A$1:$A$100,0)),""),"")</f>
        <v/>
      </c>
      <c r="D296" s="582"/>
      <c r="E296" s="582"/>
      <c r="F296" s="582"/>
      <c r="G296" s="585" t="str">
        <f ca="1">IFERROR(IF(INDEX('WPTM - Section F'!G$1:G$100,MATCH('Print View'!$A296,'WPTM - Section F'!$A$1:$A$100,0))&lt;&gt;0,INDEX('WPTM - Section F'!G$1:G$100,MATCH('Print View'!$A296,'WPTM - Section F'!$A$1:$A$100,0)),""),"")</f>
        <v/>
      </c>
      <c r="H296" s="105" t="str">
        <f ca="1">IF(IFERROR(INDEX('Overview - Section A'!$A$47:$A$54,MATCH(D$26,'Overview - Section A'!$B$47:$B$54,0)),"")="","",TEXT(IFERROR(INDEX('Overview - Section A'!$A$47:$A$54,MATCH(D$26,'Overview - Section A'!$B$47:$B$54,0)),""),Setup!$A$33)&amp;" to "&amp;TEXT(IFERROR(INDEX('Overview - Section A'!$E$47:$E$54,MATCH(D$26,'Overview - Section A'!$B$47:$B$54,0)),""),Setup!$A$33))</f>
        <v>1-Jan-26 to 31-Dec-26</v>
      </c>
      <c r="I296" s="596" t="str">
        <f ca="1">IFERROR(IF(INDEX('WPTM - Section F'!V$1:V$100,MATCH('Print View'!$A293,'WPTM - Section F'!$A$1:$A$100,0))&lt;&gt;0,INDEX('WPTM - Section F'!V$1:V$100,MATCH('Print View'!$A293,'WPTM - Section F'!$A$1:$A$100,0)),""),"")</f>
        <v/>
      </c>
      <c r="J296" s="597"/>
      <c r="K296" s="597"/>
      <c r="L296" s="597"/>
      <c r="M296" s="598"/>
      <c r="N296" s="596" t="str">
        <f ca="1">IFERROR(IF(INDEX('WPTM - Section F'!W$1:W$100,MATCH('Print View'!$A293,'WPTM - Section F'!$A$1:$A$100,0))&lt;&gt;0,INDEX('WPTM - Section F'!W$1:W$100,MATCH('Print View'!$A293,'WPTM - Section F'!$A$1:$A$100,0)),""),"")</f>
        <v/>
      </c>
      <c r="O296" s="597"/>
      <c r="P296" s="597"/>
      <c r="Q296" s="597"/>
      <c r="R296" s="597"/>
      <c r="S296" s="597"/>
      <c r="T296" s="94"/>
      <c r="AC296" s="114"/>
      <c r="AD296" s="114"/>
      <c r="AE296" s="114"/>
      <c r="AF296" s="114"/>
      <c r="AG296" s="114"/>
      <c r="AH296" s="114"/>
      <c r="AI296" s="114"/>
      <c r="AJ296" s="114"/>
      <c r="AK296" s="114"/>
      <c r="AL296" s="114"/>
      <c r="AM296" s="114"/>
      <c r="AN296" s="114"/>
      <c r="AO296" s="114"/>
    </row>
    <row r="297" spans="1:86" s="18" customFormat="1" ht="60" customHeight="1">
      <c r="A297" s="600">
        <v>77</v>
      </c>
      <c r="B297" s="582"/>
      <c r="C297" s="585" t="str">
        <f ca="1">IFERROR(IF(INDEX('WPTM - Section F'!C$1:C$100,MATCH('Print View'!$A297,'WPTM - Section F'!$A$1:$A$100,0))&lt;&gt;0,INDEX('WPTM - Section F'!C$1:C$100,MATCH('Print View'!$A297,'WPTM - Section F'!$A$1:$A$100,0)),""),"")</f>
        <v/>
      </c>
      <c r="D297" s="582"/>
      <c r="E297" s="582"/>
      <c r="F297" s="582"/>
      <c r="G297" s="585" t="str">
        <f ca="1">IFERROR(IF(INDEX('WPTM - Section F'!G$1:G$100,MATCH('Print View'!$A297,'WPTM - Section F'!$A$1:$A$100,0))&lt;&gt;0,INDEX('WPTM - Section F'!G$1:G$100,MATCH('Print View'!$A297,'WPTM - Section F'!$A$1:$A$100,0)),""),"")</f>
        <v/>
      </c>
      <c r="H297" s="105" t="str">
        <f ca="1">IF(IFERROR(INDEX('Overview - Section A'!$A$47:$A$54,MATCH(D$27,'Overview - Section A'!$B$47:$B$54,0)),"")="","",TEXT(IFERROR(INDEX('Overview - Section A'!$A$47:$A$54,MATCH(D$27,'Overview - Section A'!$B$47:$B$54,0)),""),Setup!$A$33)&amp;" to "&amp;TEXT(IFERROR(INDEX('Overview - Section A'!$E$47:$E$54,MATCH(D$27,'Overview - Section A'!$B$47:$B$54,0)),""),Setup!$A$33))</f>
        <v>1-Jan-27 to 31-Dec-27</v>
      </c>
      <c r="I297" s="596" t="str">
        <f ca="1">IFERROR(IF(INDEX('WPTM - Section F'!Z$1:Z$100,MATCH('Print View'!$A293,'WPTM - Section F'!$A$1:$A$100,0))&lt;&gt;0,INDEX('WPTM - Section F'!Z$1:Z$100,MATCH('Print View'!$A293,'WPTM - Section F'!$A$1:$A$100,0)),""),"")</f>
        <v/>
      </c>
      <c r="J297" s="597"/>
      <c r="K297" s="597"/>
      <c r="L297" s="597"/>
      <c r="M297" s="598"/>
      <c r="N297" s="596" t="str">
        <f ca="1">IFERROR(IF(INDEX('WPTM - Section F'!AA$1:AA$100,MATCH('Print View'!$A293,'WPTM - Section F'!$A$1:$A$100,0))&lt;&gt;0,INDEX('WPTM - Section F'!AA$1:AA$100,MATCH('Print View'!$A293,'WPTM - Section F'!$A$1:$A$100,0)),""),"")</f>
        <v/>
      </c>
      <c r="O297" s="597"/>
      <c r="P297" s="597"/>
      <c r="Q297" s="597"/>
      <c r="R297" s="597"/>
      <c r="S297" s="597"/>
      <c r="T297" s="94"/>
      <c r="AC297" s="114"/>
      <c r="AD297" s="114"/>
      <c r="AE297" s="114"/>
      <c r="AF297" s="114"/>
      <c r="AG297" s="114"/>
      <c r="AH297" s="114"/>
      <c r="AI297" s="114"/>
      <c r="AJ297" s="114"/>
      <c r="AK297" s="114"/>
      <c r="AL297" s="114"/>
      <c r="AM297" s="114"/>
      <c r="AN297" s="114"/>
      <c r="AO297" s="114"/>
    </row>
    <row r="298" spans="1:86" s="18" customFormat="1" ht="60" customHeight="1">
      <c r="A298" s="600">
        <v>78</v>
      </c>
      <c r="B298" s="582"/>
      <c r="C298" s="585" t="str">
        <f ca="1">IFERROR(IF(INDEX('WPTM - Section F'!C$1:C$100,MATCH('Print View'!$A298,'WPTM - Section F'!$A$1:$A$100,0))&lt;&gt;0,INDEX('WPTM - Section F'!C$1:C$100,MATCH('Print View'!$A298,'WPTM - Section F'!$A$1:$A$100,0)),""),"")</f>
        <v/>
      </c>
      <c r="D298" s="582"/>
      <c r="E298" s="582"/>
      <c r="F298" s="582"/>
      <c r="G298" s="585" t="str">
        <f ca="1">IFERROR(IF(INDEX('WPTM - Section F'!G$1:G$100,MATCH('Print View'!$A298,'WPTM - Section F'!$A$1:$A$100,0))&lt;&gt;0,INDEX('WPTM - Section F'!G$1:G$100,MATCH('Print View'!$A298,'WPTM - Section F'!$A$1:$A$100,0)),""),"")</f>
        <v/>
      </c>
      <c r="H298" s="105" t="str">
        <f ca="1">IF(IFERROR(INDEX('Overview - Section A'!$A$47:$A$54,MATCH(D$28,'Overview - Section A'!$B$47:$B$54,0)),"")="","",TEXT(IFERROR(INDEX('Overview - Section A'!$A$47:$A$54,MATCH(D$28,'Overview - Section A'!$B$47:$B$54,0)),""),Setup!$A$33)&amp;" to "&amp;TEXT(IFERROR(INDEX('Overview - Section A'!$E$47:$E$54,MATCH(D$28,'Overview - Section A'!$B$47:$B$54,0)),""),Setup!$A$33))</f>
        <v>1-Jan-28 to 31-Dec-28</v>
      </c>
      <c r="I298" s="596" t="str">
        <f ca="1">IFERROR(IF(INDEX('WPTM - Section F'!AD$1:AD$100,MATCH('Print View'!$A293,'WPTM - Section F'!$A$1:$A$100,0))&lt;&gt;0,INDEX('WPTM - Section F'!AD$1:AD$100,MATCH('Print View'!$A293,'WPTM - Section F'!$A$1:$A$100,0)),""),"")</f>
        <v/>
      </c>
      <c r="J298" s="597"/>
      <c r="K298" s="597"/>
      <c r="L298" s="597"/>
      <c r="M298" s="598"/>
      <c r="N298" s="596" t="str">
        <f ca="1">IFERROR(IF(INDEX('WPTM - Section F'!AE$1:AE$100,MATCH('Print View'!$A293,'WPTM - Section F'!$A$1:$A$100,0))&lt;&gt;0,INDEX('WPTM - Section F'!AE$1:AE$100,MATCH('Print View'!$A293,'WPTM - Section F'!$A$1:$A$100,0)),""),"")</f>
        <v/>
      </c>
      <c r="O298" s="597"/>
      <c r="P298" s="597"/>
      <c r="Q298" s="597"/>
      <c r="R298" s="597"/>
      <c r="S298" s="597"/>
      <c r="T298" s="94"/>
      <c r="AC298" s="114"/>
      <c r="AD298" s="114"/>
      <c r="AE298" s="114"/>
      <c r="AF298" s="114"/>
      <c r="AG298" s="114"/>
      <c r="AH298" s="114"/>
      <c r="AI298" s="114"/>
      <c r="AJ298" s="114"/>
      <c r="AK298" s="114"/>
      <c r="AL298" s="114"/>
      <c r="AM298" s="114"/>
      <c r="AN298" s="114"/>
      <c r="AO298" s="114"/>
    </row>
    <row r="299" spans="1:86" s="18" customFormat="1" ht="60" customHeight="1">
      <c r="A299" s="600">
        <v>79</v>
      </c>
      <c r="B299" s="583"/>
      <c r="C299" s="586" t="str">
        <f ca="1">IFERROR(IF(INDEX('WPTM - Section F'!C$1:C$100,MATCH('Print View'!$A299,'WPTM - Section F'!$A$1:$A$100,0))&lt;&gt;0,INDEX('WPTM - Section F'!C$1:C$100,MATCH('Print View'!$A299,'WPTM - Section F'!$A$1:$A$100,0)),""),"")</f>
        <v/>
      </c>
      <c r="D299" s="583"/>
      <c r="E299" s="583"/>
      <c r="F299" s="583"/>
      <c r="G299" s="586" t="str">
        <f ca="1">IFERROR(IF(INDEX('WPTM - Section F'!G$1:G$100,MATCH('Print View'!$A299,'WPTM - Section F'!$A$1:$A$100,0))&lt;&gt;0,INDEX('WPTM - Section F'!G$1:G$100,MATCH('Print View'!$A299,'WPTM - Section F'!$A$1:$A$100,0)),""),"")</f>
        <v/>
      </c>
      <c r="H299" s="105" t="str">
        <f ca="1">IF(IFERROR(INDEX('Overview - Section A'!$A$47:$A$54,MATCH(D$29,'Overview - Section A'!$B$47:$B$54,0)),"")="","",TEXT(IFERROR(INDEX('Overview - Section A'!$A$47:$A$54,MATCH(D$29,'Overview - Section A'!$B$47:$B$54,0)),""),Setup!$A$33)&amp;" to "&amp;TEXT(IFERROR(INDEX('Overview - Section A'!$E$47:$E$54,MATCH(D$29,'Overview - Section A'!$B$47:$B$54,0)),""),Setup!$A$33))</f>
        <v/>
      </c>
      <c r="I299" s="596" t="str">
        <f ca="1">IFERROR(IF(INDEX('WPTM - Section F'!AH$1:AH$100,MATCH('Print View'!$A293,'WPTM - Section F'!$A$1:$A$100,0))&lt;&gt;0,INDEX('WPTM - Section F'!AH$1:AH$100,MATCH('Print View'!$A293,'WPTM - Section F'!$A$1:$A$100,0)),""),"")</f>
        <v/>
      </c>
      <c r="J299" s="597"/>
      <c r="K299" s="597"/>
      <c r="L299" s="597"/>
      <c r="M299" s="598"/>
      <c r="N299" s="596" t="str">
        <f ca="1">IFERROR(IF(INDEX('WPTM - Section F'!AI$1:AI$100,MATCH('Print View'!$A293,'WPTM - Section F'!$A$1:$A$100,0))&lt;&gt;0,INDEX('WPTM - Section F'!AI$1:AI$100,MATCH('Print View'!$A293,'WPTM - Section F'!$A$1:$A$100,0)),""),"")</f>
        <v/>
      </c>
      <c r="O299" s="597"/>
      <c r="P299" s="597"/>
      <c r="Q299" s="597"/>
      <c r="R299" s="597"/>
      <c r="S299" s="597"/>
      <c r="T299" s="94"/>
      <c r="AC299" s="114"/>
      <c r="AD299" s="114"/>
      <c r="AE299" s="114"/>
      <c r="AF299" s="114"/>
      <c r="AG299" s="114"/>
      <c r="AH299" s="114"/>
      <c r="AI299" s="114"/>
      <c r="AJ299" s="114"/>
      <c r="AK299" s="114"/>
      <c r="AL299" s="114"/>
      <c r="AM299" s="114"/>
      <c r="AN299" s="114"/>
      <c r="AO299" s="114"/>
    </row>
    <row r="300" spans="1:86" s="18" customFormat="1" ht="60" customHeight="1">
      <c r="A300" s="601">
        <v>80</v>
      </c>
      <c r="B300" s="593" t="str">
        <f ca="1">IFERROR(IF(INDEX('WPTM - Section F'!AV$1:AV$100,MATCH('Print View'!$A293,'WPTM - Section F'!$A$1:$A$100,0))&lt;&gt;0,INDEX('WPTM - Section F'!AV$1:AV$100,MATCH('Print View'!$A293,'WPTM - Section F'!$A$1:$A$100,0)),""),"")</f>
        <v/>
      </c>
      <c r="C300" s="594"/>
      <c r="D300" s="594"/>
      <c r="E300" s="594"/>
      <c r="F300" s="594"/>
      <c r="G300" s="594"/>
      <c r="H300" s="594"/>
      <c r="I300" s="594"/>
      <c r="J300" s="594"/>
      <c r="K300" s="594"/>
      <c r="L300" s="594"/>
      <c r="M300" s="594"/>
      <c r="N300" s="594"/>
      <c r="O300" s="594"/>
      <c r="P300" s="594"/>
      <c r="Q300" s="594"/>
      <c r="R300" s="594"/>
      <c r="S300" s="595"/>
      <c r="T300" s="94"/>
      <c r="AC300" s="114"/>
      <c r="AD300" s="114"/>
      <c r="AE300" s="114"/>
      <c r="AF300" s="114"/>
      <c r="AG300" s="114"/>
      <c r="AH300" s="114"/>
      <c r="AI300" s="114"/>
      <c r="AJ300" s="114"/>
      <c r="AK300" s="114"/>
      <c r="AL300" s="114"/>
      <c r="AM300" s="114"/>
      <c r="AN300" s="114"/>
      <c r="AO300" s="114"/>
    </row>
    <row r="301" spans="1:86">
      <c r="A301" s="98"/>
      <c r="V301" s="13"/>
      <c r="W301" s="13"/>
      <c r="X301" s="13"/>
      <c r="Y301" s="13"/>
      <c r="Z301" s="13"/>
      <c r="AA301" s="13"/>
      <c r="AB301" s="13"/>
      <c r="AC301" s="13"/>
      <c r="AD301" s="13"/>
      <c r="AE301" s="13"/>
      <c r="AF301" s="13"/>
      <c r="AG301" s="13"/>
      <c r="AH301" s="13"/>
      <c r="AI301" s="13"/>
      <c r="AJ301" s="13"/>
      <c r="AK301" s="13"/>
      <c r="AL301" s="13"/>
      <c r="AM301" s="13"/>
      <c r="AN301" s="13"/>
      <c r="AO301" s="13"/>
      <c r="AQ301" s="13"/>
      <c r="AR301" s="13"/>
      <c r="AS301" s="13"/>
      <c r="AT301" s="22"/>
      <c r="AU301" s="54"/>
      <c r="AV301" s="54"/>
      <c r="AW301" s="54"/>
      <c r="AX301" s="54"/>
      <c r="AY301" s="54"/>
      <c r="AZ301" s="54"/>
      <c r="BA301" s="54"/>
      <c r="BB301" s="54"/>
      <c r="BC301" s="54"/>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row>
    <row r="302" spans="1:86">
      <c r="A302" s="98"/>
      <c r="V302" s="13"/>
      <c r="W302" s="13"/>
      <c r="X302" s="13"/>
      <c r="Y302" s="13"/>
      <c r="Z302" s="13"/>
      <c r="AA302" s="13"/>
      <c r="AB302" s="13"/>
      <c r="AC302" s="13"/>
      <c r="AD302" s="13"/>
      <c r="AE302" s="13"/>
      <c r="AF302" s="13"/>
      <c r="AG302" s="13"/>
      <c r="AH302" s="13"/>
      <c r="AI302" s="13"/>
      <c r="AJ302" s="13"/>
      <c r="AK302" s="13"/>
      <c r="AL302" s="13"/>
      <c r="AM302" s="13"/>
      <c r="AN302" s="13"/>
      <c r="AO302" s="13"/>
      <c r="AQ302" s="13"/>
      <c r="AR302" s="13"/>
      <c r="AS302" s="13"/>
      <c r="AT302" s="22"/>
      <c r="AU302" s="54"/>
      <c r="AV302" s="54"/>
      <c r="AW302" s="54"/>
      <c r="AX302" s="54"/>
      <c r="AY302" s="54"/>
      <c r="AZ302" s="54"/>
      <c r="BA302" s="54"/>
      <c r="BB302" s="54"/>
      <c r="BC302" s="54"/>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row>
    <row r="303" spans="1:86">
      <c r="A303" s="98"/>
      <c r="V303" s="13"/>
      <c r="W303" s="13"/>
      <c r="X303" s="13"/>
      <c r="Y303" s="13"/>
      <c r="Z303" s="13"/>
      <c r="AA303" s="13"/>
      <c r="AB303" s="13"/>
      <c r="AC303" s="13"/>
      <c r="AD303" s="13"/>
      <c r="AE303" s="13"/>
      <c r="AF303" s="13"/>
      <c r="AG303" s="13"/>
      <c r="AH303" s="13"/>
      <c r="AI303" s="13"/>
      <c r="AJ303" s="13"/>
      <c r="AK303" s="13"/>
      <c r="AL303" s="13"/>
      <c r="AM303" s="13"/>
      <c r="AN303" s="13"/>
      <c r="AO303" s="13"/>
      <c r="AQ303" s="13"/>
      <c r="AR303" s="13"/>
      <c r="AS303" s="13"/>
      <c r="AT303" s="22"/>
      <c r="AU303" s="54"/>
      <c r="AV303" s="54"/>
      <c r="AW303" s="54"/>
      <c r="AX303" s="54"/>
      <c r="AY303" s="54"/>
      <c r="AZ303" s="54"/>
      <c r="BA303" s="54"/>
      <c r="BB303" s="54"/>
      <c r="BC303" s="54"/>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row>
    <row r="304" spans="1:86">
      <c r="A304" s="98"/>
      <c r="V304" s="13"/>
      <c r="W304" s="13"/>
      <c r="X304" s="13"/>
      <c r="Y304" s="13"/>
      <c r="Z304" s="13"/>
      <c r="AA304" s="13"/>
      <c r="AB304" s="13"/>
      <c r="AC304" s="13"/>
      <c r="AD304" s="13"/>
      <c r="AE304" s="13"/>
      <c r="AF304" s="13"/>
      <c r="AG304" s="13"/>
      <c r="AH304" s="13"/>
      <c r="AI304" s="13"/>
      <c r="AJ304" s="13"/>
      <c r="AK304" s="13"/>
      <c r="AL304" s="13"/>
      <c r="AM304" s="13"/>
      <c r="AN304" s="13"/>
      <c r="AO304" s="13"/>
      <c r="AQ304" s="13"/>
      <c r="AR304" s="13"/>
      <c r="AS304" s="13"/>
      <c r="AT304" s="22"/>
      <c r="AU304" s="54"/>
      <c r="AV304" s="54"/>
      <c r="AW304" s="54"/>
      <c r="AX304" s="54"/>
      <c r="AY304" s="54"/>
      <c r="AZ304" s="54"/>
      <c r="BA304" s="54"/>
      <c r="BB304" s="54"/>
      <c r="BC304" s="54"/>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row>
    <row r="305" spans="1:86">
      <c r="A305" s="98"/>
      <c r="V305" s="13"/>
      <c r="W305" s="13"/>
      <c r="X305" s="13"/>
      <c r="Y305" s="13"/>
      <c r="Z305" s="13"/>
      <c r="AA305" s="13"/>
      <c r="AB305" s="13"/>
      <c r="AC305" s="13"/>
      <c r="AD305" s="13"/>
      <c r="AE305" s="13"/>
      <c r="AF305" s="13"/>
      <c r="AG305" s="13"/>
      <c r="AH305" s="13"/>
      <c r="AI305" s="13"/>
      <c r="AJ305" s="13"/>
      <c r="AK305" s="13"/>
      <c r="AL305" s="13"/>
      <c r="AM305" s="13"/>
      <c r="AN305" s="13"/>
      <c r="AO305" s="13"/>
      <c r="AQ305" s="13"/>
      <c r="AR305" s="13"/>
      <c r="AS305" s="13"/>
      <c r="AT305" s="22"/>
      <c r="AU305" s="54"/>
      <c r="AV305" s="54"/>
      <c r="AW305" s="54"/>
      <c r="AX305" s="54"/>
      <c r="AY305" s="54"/>
      <c r="AZ305" s="54"/>
      <c r="BA305" s="54"/>
      <c r="BB305" s="54"/>
      <c r="BC305" s="54"/>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row>
    <row r="306" spans="1:86">
      <c r="A306" s="98"/>
      <c r="V306" s="13"/>
      <c r="W306" s="13"/>
      <c r="X306" s="13"/>
      <c r="Y306" s="13"/>
      <c r="Z306" s="13"/>
      <c r="AA306" s="13"/>
      <c r="AB306" s="13"/>
      <c r="AC306" s="13"/>
      <c r="AD306" s="13"/>
      <c r="AE306" s="13"/>
      <c r="AF306" s="13"/>
      <c r="AG306" s="13"/>
      <c r="AH306" s="13"/>
      <c r="AI306" s="13"/>
      <c r="AJ306" s="13"/>
      <c r="AK306" s="13"/>
      <c r="AL306" s="13"/>
      <c r="AM306" s="13"/>
      <c r="AN306" s="13"/>
      <c r="AO306" s="13"/>
      <c r="AQ306" s="13"/>
      <c r="AR306" s="13"/>
      <c r="AS306" s="13"/>
      <c r="AT306" s="22"/>
      <c r="AU306" s="54"/>
      <c r="AV306" s="54"/>
      <c r="AW306" s="54"/>
      <c r="AX306" s="54"/>
      <c r="AY306" s="54"/>
      <c r="AZ306" s="54"/>
      <c r="BA306" s="54"/>
      <c r="BB306" s="54"/>
      <c r="BC306" s="54"/>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row>
    <row r="307" spans="1:86">
      <c r="A307" s="98"/>
      <c r="V307" s="13"/>
      <c r="W307" s="13"/>
      <c r="X307" s="13"/>
      <c r="Y307" s="13"/>
      <c r="Z307" s="13"/>
      <c r="AA307" s="13"/>
      <c r="AB307" s="13"/>
      <c r="AC307" s="13"/>
      <c r="AD307" s="13"/>
      <c r="AE307" s="13"/>
      <c r="AF307" s="13"/>
      <c r="AG307" s="13"/>
      <c r="AH307" s="13"/>
      <c r="AI307" s="13"/>
      <c r="AJ307" s="13"/>
      <c r="AK307" s="13"/>
      <c r="AL307" s="13"/>
      <c r="AM307" s="13"/>
      <c r="AN307" s="13"/>
      <c r="AO307" s="13"/>
      <c r="AQ307" s="13"/>
      <c r="AR307" s="13"/>
      <c r="AS307" s="13"/>
      <c r="AT307" s="22"/>
      <c r="AU307" s="54"/>
      <c r="AV307" s="54"/>
      <c r="AW307" s="54"/>
      <c r="AX307" s="54"/>
      <c r="AY307" s="54"/>
      <c r="AZ307" s="54"/>
      <c r="BA307" s="54"/>
      <c r="BB307" s="54"/>
      <c r="BC307" s="54"/>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row>
    <row r="308" spans="1:86">
      <c r="A308" s="98"/>
      <c r="V308" s="13"/>
      <c r="W308" s="13"/>
      <c r="X308" s="13"/>
      <c r="Y308" s="13"/>
      <c r="Z308" s="13"/>
      <c r="AA308" s="13"/>
      <c r="AB308" s="13"/>
      <c r="AC308" s="13"/>
      <c r="AD308" s="13"/>
      <c r="AE308" s="13"/>
      <c r="AF308" s="13"/>
      <c r="AG308" s="13"/>
      <c r="AH308" s="13"/>
      <c r="AI308" s="13"/>
      <c r="AJ308" s="13"/>
      <c r="AK308" s="13"/>
      <c r="AL308" s="13"/>
      <c r="AM308" s="13"/>
      <c r="AN308" s="13"/>
      <c r="AO308" s="13"/>
      <c r="AQ308" s="13"/>
      <c r="AR308" s="13"/>
      <c r="AS308" s="13"/>
      <c r="AT308" s="22"/>
      <c r="AU308" s="54"/>
      <c r="AV308" s="54"/>
      <c r="AW308" s="54"/>
      <c r="AX308" s="54"/>
      <c r="AY308" s="54"/>
      <c r="AZ308" s="54"/>
      <c r="BA308" s="54"/>
      <c r="BB308" s="54"/>
      <c r="BC308" s="54"/>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row>
    <row r="309" spans="1:86">
      <c r="A309" s="98"/>
      <c r="V309" s="13"/>
      <c r="W309" s="13"/>
      <c r="X309" s="13"/>
      <c r="Y309" s="13"/>
      <c r="Z309" s="13"/>
      <c r="AA309" s="13"/>
      <c r="AB309" s="13"/>
      <c r="AC309" s="13"/>
      <c r="AD309" s="13"/>
      <c r="AE309" s="13"/>
      <c r="AF309" s="13"/>
      <c r="AG309" s="13"/>
      <c r="AH309" s="13"/>
      <c r="AI309" s="13"/>
      <c r="AJ309" s="13"/>
      <c r="AK309" s="13"/>
      <c r="AL309" s="13"/>
      <c r="AM309" s="13"/>
      <c r="AN309" s="13"/>
      <c r="AO309" s="13"/>
      <c r="AQ309" s="13"/>
      <c r="AR309" s="13"/>
      <c r="AS309" s="13"/>
      <c r="AT309" s="22"/>
      <c r="AU309" s="54"/>
      <c r="AV309" s="54"/>
      <c r="AW309" s="54"/>
      <c r="AX309" s="54"/>
      <c r="AY309" s="54"/>
      <c r="AZ309" s="54"/>
      <c r="BA309" s="54"/>
      <c r="BB309" s="54"/>
      <c r="BC309" s="54"/>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row>
    <row r="310" spans="1:86">
      <c r="A310" s="98"/>
      <c r="V310" s="13"/>
      <c r="W310" s="13"/>
      <c r="X310" s="13"/>
      <c r="Y310" s="13"/>
      <c r="Z310" s="13"/>
      <c r="AA310" s="13"/>
      <c r="AB310" s="13"/>
      <c r="AC310" s="13"/>
      <c r="AD310" s="13"/>
      <c r="AE310" s="13"/>
      <c r="AF310" s="13"/>
      <c r="AG310" s="13"/>
      <c r="AH310" s="13"/>
      <c r="AI310" s="13"/>
      <c r="AJ310" s="13"/>
      <c r="AK310" s="13"/>
      <c r="AL310" s="13"/>
      <c r="AM310" s="13"/>
      <c r="AN310" s="13"/>
      <c r="AO310" s="13"/>
      <c r="AQ310" s="13"/>
      <c r="AR310" s="13"/>
      <c r="AS310" s="13"/>
      <c r="AT310" s="22"/>
      <c r="AU310" s="54"/>
      <c r="AV310" s="54"/>
      <c r="AW310" s="54"/>
      <c r="AX310" s="54"/>
      <c r="AY310" s="54"/>
      <c r="AZ310" s="54"/>
      <c r="BA310" s="54"/>
      <c r="BB310" s="54"/>
      <c r="BC310" s="54"/>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row>
    <row r="311" spans="1:86">
      <c r="A311" s="98"/>
      <c r="V311" s="13"/>
      <c r="W311" s="13"/>
      <c r="X311" s="13"/>
      <c r="Y311" s="13"/>
      <c r="Z311" s="13"/>
      <c r="AA311" s="13"/>
      <c r="AB311" s="13"/>
      <c r="AC311" s="13"/>
      <c r="AD311" s="13"/>
      <c r="AE311" s="13"/>
      <c r="AF311" s="13"/>
      <c r="AG311" s="13"/>
      <c r="AH311" s="13"/>
      <c r="AI311" s="13"/>
      <c r="AJ311" s="13"/>
      <c r="AK311" s="13"/>
      <c r="AL311" s="13"/>
      <c r="AM311" s="13"/>
      <c r="AN311" s="13"/>
      <c r="AO311" s="13"/>
      <c r="AQ311" s="13"/>
      <c r="AR311" s="13"/>
      <c r="AS311" s="13"/>
      <c r="AT311" s="22"/>
      <c r="AU311" s="54"/>
      <c r="AV311" s="54"/>
      <c r="AW311" s="54"/>
      <c r="AX311" s="54"/>
      <c r="AY311" s="54"/>
      <c r="AZ311" s="54"/>
      <c r="BA311" s="54"/>
      <c r="BB311" s="54"/>
      <c r="BC311" s="54"/>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row>
    <row r="312" spans="1:86">
      <c r="A312" s="98"/>
      <c r="V312" s="13"/>
      <c r="W312" s="13"/>
      <c r="X312" s="13"/>
      <c r="Y312" s="13"/>
      <c r="Z312" s="13"/>
      <c r="AA312" s="13"/>
      <c r="AB312" s="13"/>
      <c r="AC312" s="13"/>
      <c r="AD312" s="13"/>
      <c r="AE312" s="13"/>
      <c r="AF312" s="13"/>
      <c r="AG312" s="13"/>
      <c r="AH312" s="13"/>
      <c r="AI312" s="13"/>
      <c r="AJ312" s="13"/>
      <c r="AK312" s="13"/>
      <c r="AL312" s="13"/>
      <c r="AM312" s="13"/>
      <c r="AN312" s="13"/>
      <c r="AO312" s="13"/>
      <c r="AQ312" s="13"/>
      <c r="AR312" s="13"/>
      <c r="AS312" s="13"/>
      <c r="AT312" s="22"/>
      <c r="AU312" s="54"/>
      <c r="AV312" s="54"/>
      <c r="AW312" s="54"/>
      <c r="AX312" s="54"/>
      <c r="AY312" s="54"/>
      <c r="AZ312" s="54"/>
      <c r="BA312" s="54"/>
      <c r="BB312" s="54"/>
      <c r="BC312" s="54"/>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row>
    <row r="313" spans="1:86">
      <c r="A313" s="98"/>
      <c r="V313" s="13"/>
      <c r="W313" s="13"/>
      <c r="X313" s="13"/>
      <c r="Y313" s="13"/>
      <c r="Z313" s="13"/>
      <c r="AA313" s="13"/>
      <c r="AB313" s="13"/>
      <c r="AC313" s="13"/>
      <c r="AD313" s="13"/>
      <c r="AE313" s="13"/>
      <c r="AF313" s="13"/>
      <c r="AG313" s="13"/>
      <c r="AH313" s="13"/>
      <c r="AI313" s="13"/>
      <c r="AJ313" s="13"/>
      <c r="AK313" s="13"/>
      <c r="AL313" s="13"/>
      <c r="AM313" s="13"/>
      <c r="AN313" s="13"/>
      <c r="AO313" s="13"/>
      <c r="AQ313" s="13"/>
      <c r="AR313" s="13"/>
      <c r="AS313" s="13"/>
      <c r="AT313" s="22"/>
      <c r="AU313" s="54"/>
      <c r="AV313" s="54"/>
      <c r="AW313" s="54"/>
      <c r="AX313" s="54"/>
      <c r="AY313" s="54"/>
      <c r="AZ313" s="54"/>
      <c r="BA313" s="54"/>
      <c r="BB313" s="54"/>
      <c r="BC313" s="54"/>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row>
    <row r="314" spans="1:86">
      <c r="A314" s="98"/>
      <c r="V314" s="13"/>
      <c r="W314" s="13"/>
      <c r="X314" s="13"/>
      <c r="Y314" s="13"/>
      <c r="Z314" s="13"/>
      <c r="AA314" s="13"/>
      <c r="AB314" s="13"/>
      <c r="AC314" s="13"/>
      <c r="AD314" s="13"/>
      <c r="AE314" s="13"/>
      <c r="AF314" s="13"/>
      <c r="AG314" s="13"/>
      <c r="AH314" s="13"/>
      <c r="AI314" s="13"/>
      <c r="AJ314" s="13"/>
      <c r="AK314" s="13"/>
      <c r="AL314" s="13"/>
      <c r="AM314" s="13"/>
      <c r="AN314" s="13"/>
      <c r="AO314" s="13"/>
      <c r="AQ314" s="13"/>
      <c r="AR314" s="13"/>
      <c r="AS314" s="13"/>
      <c r="AT314" s="22"/>
      <c r="AU314" s="54"/>
      <c r="AV314" s="54"/>
      <c r="AW314" s="54"/>
      <c r="AX314" s="54"/>
      <c r="AY314" s="54"/>
      <c r="AZ314" s="54"/>
      <c r="BA314" s="54"/>
      <c r="BB314" s="54"/>
      <c r="BC314" s="54"/>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row>
    <row r="315" spans="1:86">
      <c r="A315" s="98"/>
      <c r="V315" s="13"/>
      <c r="W315" s="13"/>
      <c r="X315" s="13"/>
      <c r="Y315" s="13"/>
      <c r="Z315" s="13"/>
      <c r="AA315" s="13"/>
      <c r="AB315" s="13"/>
      <c r="AC315" s="13"/>
      <c r="AD315" s="13"/>
      <c r="AE315" s="13"/>
      <c r="AF315" s="13"/>
      <c r="AG315" s="13"/>
      <c r="AH315" s="13"/>
      <c r="AI315" s="13"/>
      <c r="AJ315" s="13"/>
      <c r="AK315" s="13"/>
      <c r="AL315" s="13"/>
      <c r="AM315" s="13"/>
      <c r="AN315" s="13"/>
      <c r="AO315" s="13"/>
      <c r="AQ315" s="13"/>
      <c r="AR315" s="13"/>
      <c r="AS315" s="13"/>
      <c r="AT315" s="22"/>
      <c r="AU315" s="54"/>
      <c r="AV315" s="54"/>
      <c r="AW315" s="54"/>
      <c r="AX315" s="54"/>
      <c r="AY315" s="54"/>
      <c r="AZ315" s="54"/>
      <c r="BA315" s="54"/>
      <c r="BB315" s="54"/>
      <c r="BC315" s="54"/>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row>
    <row r="316" spans="1:86">
      <c r="A316" s="98"/>
      <c r="V316" s="13"/>
      <c r="W316" s="13"/>
      <c r="X316" s="13"/>
      <c r="Y316" s="13"/>
      <c r="Z316" s="13"/>
      <c r="AA316" s="13"/>
      <c r="AB316" s="13"/>
      <c r="AC316" s="13"/>
      <c r="AD316" s="13"/>
      <c r="AE316" s="13"/>
      <c r="AF316" s="13"/>
      <c r="AG316" s="13"/>
      <c r="AH316" s="13"/>
      <c r="AI316" s="13"/>
      <c r="AJ316" s="13"/>
      <c r="AK316" s="13"/>
      <c r="AL316" s="13"/>
      <c r="AM316" s="13"/>
      <c r="AN316" s="13"/>
      <c r="AO316" s="13"/>
      <c r="AQ316" s="13"/>
      <c r="AR316" s="13"/>
      <c r="AS316" s="13"/>
      <c r="AT316" s="22"/>
      <c r="AU316" s="54"/>
      <c r="AV316" s="54"/>
      <c r="AW316" s="54"/>
      <c r="AX316" s="54"/>
      <c r="AY316" s="54"/>
      <c r="AZ316" s="54"/>
      <c r="BA316" s="54"/>
      <c r="BB316" s="54"/>
      <c r="BC316" s="54"/>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row>
    <row r="317" spans="1:86">
      <c r="A317" s="98"/>
      <c r="V317" s="13"/>
      <c r="W317" s="13"/>
      <c r="X317" s="13"/>
      <c r="Y317" s="13"/>
      <c r="Z317" s="13"/>
      <c r="AA317" s="13"/>
      <c r="AB317" s="13"/>
      <c r="AC317" s="13"/>
      <c r="AD317" s="13"/>
      <c r="AE317" s="13"/>
      <c r="AF317" s="13"/>
      <c r="AG317" s="13"/>
      <c r="AH317" s="13"/>
      <c r="AI317" s="13"/>
      <c r="AJ317" s="13"/>
      <c r="AK317" s="13"/>
      <c r="AL317" s="13"/>
      <c r="AM317" s="13"/>
      <c r="AN317" s="13"/>
      <c r="AO317" s="13"/>
      <c r="AQ317" s="13"/>
      <c r="AR317" s="13"/>
      <c r="AS317" s="13"/>
      <c r="AT317" s="22"/>
      <c r="AU317" s="54"/>
      <c r="AV317" s="54"/>
      <c r="AW317" s="54"/>
      <c r="AX317" s="54"/>
      <c r="AY317" s="54"/>
      <c r="AZ317" s="54"/>
      <c r="BA317" s="54"/>
      <c r="BB317" s="54"/>
      <c r="BC317" s="54"/>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row>
    <row r="318" spans="1:86">
      <c r="A318" s="98"/>
      <c r="V318" s="13"/>
      <c r="W318" s="13"/>
      <c r="X318" s="13"/>
      <c r="Y318" s="13"/>
      <c r="Z318" s="13"/>
      <c r="AA318" s="13"/>
      <c r="AB318" s="13"/>
      <c r="AC318" s="13"/>
      <c r="AD318" s="13"/>
      <c r="AE318" s="13"/>
      <c r="AF318" s="13"/>
      <c r="AG318" s="13"/>
      <c r="AH318" s="13"/>
      <c r="AI318" s="13"/>
      <c r="AJ318" s="13"/>
      <c r="AK318" s="13"/>
      <c r="AL318" s="13"/>
      <c r="AM318" s="13"/>
      <c r="AN318" s="13"/>
      <c r="AO318" s="13"/>
      <c r="AQ318" s="13"/>
      <c r="AR318" s="13"/>
      <c r="AS318" s="13"/>
      <c r="AT318" s="22"/>
      <c r="AU318" s="54"/>
      <c r="AV318" s="54"/>
      <c r="AW318" s="54"/>
      <c r="AX318" s="54"/>
      <c r="AY318" s="54"/>
      <c r="AZ318" s="54"/>
      <c r="BA318" s="54"/>
      <c r="BB318" s="54"/>
      <c r="BC318" s="54"/>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row>
    <row r="319" spans="1:86">
      <c r="A319" s="98"/>
      <c r="V319" s="13"/>
      <c r="W319" s="13"/>
      <c r="X319" s="13"/>
      <c r="Y319" s="13"/>
      <c r="Z319" s="13"/>
      <c r="AA319" s="13"/>
      <c r="AB319" s="13"/>
      <c r="AC319" s="13"/>
      <c r="AD319" s="13"/>
      <c r="AE319" s="13"/>
      <c r="AF319" s="13"/>
      <c r="AG319" s="13"/>
      <c r="AH319" s="13"/>
      <c r="AI319" s="13"/>
      <c r="AJ319" s="13"/>
      <c r="AK319" s="13"/>
      <c r="AL319" s="13"/>
      <c r="AM319" s="13"/>
      <c r="AN319" s="13"/>
      <c r="AO319" s="13"/>
      <c r="AQ319" s="13"/>
      <c r="AR319" s="13"/>
      <c r="AS319" s="13"/>
      <c r="AT319" s="22"/>
      <c r="AU319" s="54"/>
      <c r="AV319" s="54"/>
      <c r="AW319" s="54"/>
      <c r="AX319" s="54"/>
      <c r="AY319" s="54"/>
      <c r="AZ319" s="54"/>
      <c r="BA319" s="54"/>
      <c r="BB319" s="54"/>
      <c r="BC319" s="54"/>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row>
    <row r="320" spans="1:86">
      <c r="A320" s="98"/>
      <c r="V320" s="13"/>
      <c r="W320" s="13"/>
      <c r="X320" s="13"/>
      <c r="Y320" s="13"/>
      <c r="Z320" s="13"/>
      <c r="AA320" s="13"/>
      <c r="AB320" s="13"/>
      <c r="AC320" s="13"/>
      <c r="AD320" s="13"/>
      <c r="AE320" s="13"/>
      <c r="AF320" s="13"/>
      <c r="AG320" s="13"/>
      <c r="AH320" s="13"/>
      <c r="AI320" s="13"/>
      <c r="AJ320" s="13"/>
      <c r="AK320" s="13"/>
      <c r="AL320" s="13"/>
      <c r="AM320" s="13"/>
      <c r="AN320" s="13"/>
      <c r="AO320" s="13"/>
      <c r="AQ320" s="13"/>
      <c r="AR320" s="13"/>
      <c r="AS320" s="13"/>
      <c r="AT320" s="22"/>
      <c r="AU320" s="54"/>
      <c r="AV320" s="54"/>
      <c r="AW320" s="54"/>
      <c r="AX320" s="54"/>
      <c r="AY320" s="54"/>
      <c r="AZ320" s="54"/>
      <c r="BA320" s="54"/>
      <c r="BB320" s="54"/>
      <c r="BC320" s="54"/>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row>
    <row r="321" spans="1:86">
      <c r="A321" s="98"/>
      <c r="V321" s="13"/>
      <c r="W321" s="13"/>
      <c r="X321" s="13"/>
      <c r="Y321" s="13"/>
      <c r="Z321" s="13"/>
      <c r="AA321" s="13"/>
      <c r="AB321" s="13"/>
      <c r="AC321" s="13"/>
      <c r="AD321" s="13"/>
      <c r="AE321" s="13"/>
      <c r="AF321" s="13"/>
      <c r="AG321" s="13"/>
      <c r="AH321" s="13"/>
      <c r="AI321" s="13"/>
      <c r="AJ321" s="13"/>
      <c r="AK321" s="13"/>
      <c r="AL321" s="13"/>
      <c r="AM321" s="13"/>
      <c r="AN321" s="13"/>
      <c r="AO321" s="13"/>
      <c r="AQ321" s="13"/>
      <c r="AR321" s="13"/>
      <c r="AS321" s="13"/>
      <c r="AT321" s="22"/>
      <c r="AU321" s="54"/>
      <c r="AV321" s="54"/>
      <c r="AW321" s="54"/>
      <c r="AX321" s="54"/>
      <c r="AY321" s="54"/>
      <c r="AZ321" s="54"/>
      <c r="BA321" s="54"/>
      <c r="BB321" s="54"/>
      <c r="BC321" s="54"/>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row>
    <row r="322" spans="1:86">
      <c r="A322" s="98"/>
      <c r="V322" s="13"/>
      <c r="W322" s="13"/>
      <c r="X322" s="13"/>
      <c r="Y322" s="13"/>
      <c r="Z322" s="13"/>
      <c r="AA322" s="13"/>
      <c r="AB322" s="13"/>
      <c r="AC322" s="13"/>
      <c r="AD322" s="13"/>
      <c r="AE322" s="13"/>
      <c r="AF322" s="13"/>
      <c r="AG322" s="13"/>
      <c r="AH322" s="13"/>
      <c r="AI322" s="13"/>
      <c r="AJ322" s="13"/>
      <c r="AK322" s="13"/>
      <c r="AL322" s="13"/>
      <c r="AM322" s="13"/>
      <c r="AN322" s="13"/>
      <c r="AO322" s="13"/>
      <c r="AQ322" s="13"/>
      <c r="AR322" s="13"/>
      <c r="AS322" s="13"/>
      <c r="AT322" s="22"/>
      <c r="AU322" s="54"/>
      <c r="AV322" s="54"/>
      <c r="AW322" s="54"/>
      <c r="AX322" s="54"/>
      <c r="AY322" s="54"/>
      <c r="AZ322" s="54"/>
      <c r="BA322" s="54"/>
      <c r="BB322" s="54"/>
      <c r="BC322" s="54"/>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row>
    <row r="323" spans="1:86">
      <c r="A323" s="98"/>
      <c r="V323" s="13"/>
      <c r="W323" s="13"/>
      <c r="X323" s="13"/>
      <c r="Y323" s="13"/>
      <c r="Z323" s="13"/>
      <c r="AA323" s="13"/>
      <c r="AB323" s="13"/>
      <c r="AC323" s="13"/>
      <c r="AD323" s="13"/>
      <c r="AE323" s="13"/>
      <c r="AF323" s="13"/>
      <c r="AG323" s="13"/>
      <c r="AH323" s="13"/>
      <c r="AI323" s="13"/>
      <c r="AJ323" s="13"/>
      <c r="AK323" s="13"/>
      <c r="AL323" s="13"/>
      <c r="AM323" s="13"/>
      <c r="AN323" s="13"/>
      <c r="AO323" s="13"/>
      <c r="AQ323" s="13"/>
      <c r="AR323" s="13"/>
      <c r="AS323" s="13"/>
      <c r="AT323" s="22"/>
      <c r="AU323" s="54"/>
      <c r="AV323" s="54"/>
      <c r="AW323" s="54"/>
      <c r="AX323" s="54"/>
      <c r="AY323" s="54"/>
      <c r="AZ323" s="54"/>
      <c r="BA323" s="54"/>
      <c r="BB323" s="54"/>
      <c r="BC323" s="54"/>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row>
    <row r="324" spans="1:86">
      <c r="A324" s="98"/>
      <c r="V324" s="13"/>
      <c r="W324" s="13"/>
      <c r="X324" s="13"/>
      <c r="Y324" s="13"/>
      <c r="Z324" s="13"/>
      <c r="AA324" s="13"/>
      <c r="AB324" s="13"/>
      <c r="AC324" s="13"/>
      <c r="AD324" s="13"/>
      <c r="AE324" s="13"/>
      <c r="AF324" s="13"/>
      <c r="AG324" s="13"/>
      <c r="AH324" s="13"/>
      <c r="AI324" s="13"/>
      <c r="AJ324" s="13"/>
      <c r="AK324" s="13"/>
      <c r="AL324" s="13"/>
      <c r="AM324" s="13"/>
      <c r="AN324" s="13"/>
      <c r="AO324" s="13"/>
      <c r="AQ324" s="13"/>
      <c r="AR324" s="13"/>
      <c r="AS324" s="13"/>
      <c r="AT324" s="22"/>
      <c r="AU324" s="54"/>
      <c r="AV324" s="54"/>
      <c r="AW324" s="54"/>
      <c r="AX324" s="54"/>
      <c r="AY324" s="54"/>
      <c r="AZ324" s="54"/>
      <c r="BA324" s="54"/>
      <c r="BB324" s="54"/>
      <c r="BC324" s="54"/>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row>
    <row r="325" spans="1:86">
      <c r="A325" s="98"/>
      <c r="V325" s="13"/>
      <c r="W325" s="13"/>
      <c r="X325" s="13"/>
      <c r="Y325" s="13"/>
      <c r="Z325" s="13"/>
      <c r="AA325" s="13"/>
      <c r="AB325" s="13"/>
      <c r="AC325" s="13"/>
      <c r="AD325" s="13"/>
      <c r="AE325" s="13"/>
      <c r="AF325" s="13"/>
      <c r="AG325" s="13"/>
      <c r="AH325" s="13"/>
      <c r="AI325" s="13"/>
      <c r="AJ325" s="13"/>
      <c r="AK325" s="13"/>
      <c r="AL325" s="13"/>
      <c r="AM325" s="13"/>
      <c r="AN325" s="13"/>
      <c r="AO325" s="13"/>
      <c r="AQ325" s="13"/>
      <c r="AR325" s="13"/>
      <c r="AS325" s="13"/>
      <c r="AT325" s="22"/>
      <c r="AU325" s="54"/>
      <c r="AV325" s="54"/>
      <c r="AW325" s="54"/>
      <c r="AX325" s="54"/>
      <c r="AY325" s="54"/>
      <c r="AZ325" s="54"/>
      <c r="BA325" s="54"/>
      <c r="BB325" s="54"/>
      <c r="BC325" s="54"/>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row>
    <row r="326" spans="1:86">
      <c r="A326" s="98"/>
      <c r="V326" s="13"/>
      <c r="W326" s="13"/>
      <c r="X326" s="13"/>
      <c r="Y326" s="13"/>
      <c r="Z326" s="13"/>
      <c r="AA326" s="13"/>
      <c r="AB326" s="13"/>
      <c r="AC326" s="13"/>
      <c r="AD326" s="13"/>
      <c r="AE326" s="13"/>
      <c r="AF326" s="13"/>
      <c r="AG326" s="13"/>
      <c r="AH326" s="13"/>
      <c r="AI326" s="13"/>
      <c r="AJ326" s="13"/>
      <c r="AK326" s="13"/>
      <c r="AL326" s="13"/>
      <c r="AM326" s="13"/>
      <c r="AN326" s="13"/>
      <c r="AO326" s="13"/>
      <c r="AQ326" s="13"/>
      <c r="AR326" s="13"/>
      <c r="AS326" s="13"/>
      <c r="AT326" s="22"/>
      <c r="AU326" s="54"/>
      <c r="AV326" s="54"/>
      <c r="AW326" s="54"/>
      <c r="AX326" s="54"/>
      <c r="AY326" s="54"/>
      <c r="AZ326" s="54"/>
      <c r="BA326" s="54"/>
      <c r="BB326" s="54"/>
      <c r="BC326" s="54"/>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row>
    <row r="327" spans="1:86">
      <c r="A327" s="98"/>
      <c r="V327" s="13"/>
      <c r="W327" s="13"/>
      <c r="X327" s="13"/>
      <c r="Y327" s="13"/>
      <c r="Z327" s="13"/>
      <c r="AA327" s="13"/>
      <c r="AB327" s="13"/>
      <c r="AC327" s="13"/>
      <c r="AD327" s="13"/>
      <c r="AE327" s="13"/>
      <c r="AF327" s="13"/>
      <c r="AG327" s="13"/>
      <c r="AH327" s="13"/>
      <c r="AI327" s="13"/>
      <c r="AJ327" s="13"/>
      <c r="AK327" s="13"/>
      <c r="AL327" s="13"/>
      <c r="AM327" s="13"/>
      <c r="AN327" s="13"/>
      <c r="AO327" s="13"/>
      <c r="AQ327" s="13"/>
      <c r="AR327" s="13"/>
      <c r="AS327" s="13"/>
      <c r="AT327" s="22"/>
      <c r="AU327" s="54"/>
      <c r="AV327" s="54"/>
      <c r="AW327" s="54"/>
      <c r="AX327" s="54"/>
      <c r="AY327" s="54"/>
      <c r="AZ327" s="54"/>
      <c r="BA327" s="54"/>
      <c r="BB327" s="54"/>
      <c r="BC327" s="54"/>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row>
    <row r="328" spans="1:86">
      <c r="A328" s="98"/>
      <c r="V328" s="13"/>
      <c r="W328" s="13"/>
      <c r="X328" s="13"/>
      <c r="Y328" s="13"/>
      <c r="Z328" s="13"/>
      <c r="AA328" s="13"/>
      <c r="AB328" s="13"/>
      <c r="AC328" s="13"/>
      <c r="AD328" s="13"/>
      <c r="AE328" s="13"/>
      <c r="AF328" s="13"/>
      <c r="AG328" s="13"/>
      <c r="AH328" s="13"/>
      <c r="AI328" s="13"/>
      <c r="AJ328" s="13"/>
      <c r="AK328" s="13"/>
      <c r="AL328" s="13"/>
      <c r="AM328" s="13"/>
      <c r="AN328" s="13"/>
      <c r="AO328" s="13"/>
      <c r="AQ328" s="13"/>
      <c r="AR328" s="13"/>
      <c r="AS328" s="13"/>
      <c r="AT328" s="22"/>
      <c r="AU328" s="54"/>
      <c r="AV328" s="54"/>
      <c r="AW328" s="54"/>
      <c r="AX328" s="54"/>
      <c r="AY328" s="54"/>
      <c r="AZ328" s="54"/>
      <c r="BA328" s="54"/>
      <c r="BB328" s="54"/>
      <c r="BC328" s="54"/>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row>
    <row r="329" spans="1:86">
      <c r="A329" s="98"/>
      <c r="V329" s="13"/>
      <c r="W329" s="13"/>
      <c r="X329" s="13"/>
      <c r="Y329" s="13"/>
      <c r="Z329" s="13"/>
      <c r="AA329" s="13"/>
      <c r="AB329" s="13"/>
      <c r="AC329" s="13"/>
      <c r="AD329" s="13"/>
      <c r="AE329" s="13"/>
      <c r="AF329" s="13"/>
      <c r="AG329" s="13"/>
      <c r="AH329" s="13"/>
      <c r="AI329" s="13"/>
      <c r="AJ329" s="13"/>
      <c r="AK329" s="13"/>
      <c r="AL329" s="13"/>
      <c r="AM329" s="13"/>
      <c r="AN329" s="13"/>
      <c r="AO329" s="13"/>
      <c r="AQ329" s="13"/>
      <c r="AR329" s="13"/>
      <c r="AS329" s="13"/>
      <c r="AT329" s="22"/>
      <c r="AU329" s="54"/>
      <c r="AV329" s="54"/>
      <c r="AW329" s="54"/>
      <c r="AX329" s="54"/>
      <c r="AY329" s="54"/>
      <c r="AZ329" s="54"/>
      <c r="BA329" s="54"/>
      <c r="BB329" s="54"/>
      <c r="BC329" s="54"/>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row>
    <row r="330" spans="1:86">
      <c r="A330" s="98"/>
      <c r="V330" s="13"/>
      <c r="W330" s="13"/>
      <c r="X330" s="13"/>
      <c r="Y330" s="13"/>
      <c r="Z330" s="13"/>
      <c r="AA330" s="13"/>
      <c r="AB330" s="13"/>
      <c r="AC330" s="13"/>
      <c r="AD330" s="13"/>
      <c r="AE330" s="13"/>
      <c r="AF330" s="13"/>
      <c r="AG330" s="13"/>
      <c r="AH330" s="13"/>
      <c r="AI330" s="13"/>
      <c r="AJ330" s="13"/>
      <c r="AK330" s="13"/>
      <c r="AL330" s="13"/>
      <c r="AM330" s="13"/>
      <c r="AN330" s="13"/>
      <c r="AO330" s="13"/>
      <c r="AQ330" s="13"/>
      <c r="AR330" s="13"/>
      <c r="AS330" s="13"/>
      <c r="AT330" s="22"/>
      <c r="AU330" s="54"/>
      <c r="AV330" s="54"/>
      <c r="AW330" s="54"/>
      <c r="AX330" s="54"/>
      <c r="AY330" s="54"/>
      <c r="AZ330" s="54"/>
      <c r="BA330" s="54"/>
      <c r="BB330" s="54"/>
      <c r="BC330" s="54"/>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row>
    <row r="331" spans="1:86">
      <c r="A331" s="98"/>
      <c r="V331" s="13"/>
      <c r="W331" s="13"/>
      <c r="X331" s="13"/>
      <c r="Y331" s="13"/>
      <c r="Z331" s="13"/>
      <c r="AA331" s="13"/>
      <c r="AB331" s="13"/>
      <c r="AC331" s="13"/>
      <c r="AD331" s="13"/>
      <c r="AE331" s="13"/>
      <c r="AF331" s="13"/>
      <c r="AG331" s="13"/>
      <c r="AH331" s="13"/>
      <c r="AI331" s="13"/>
      <c r="AJ331" s="13"/>
      <c r="AK331" s="13"/>
      <c r="AL331" s="13"/>
      <c r="AM331" s="13"/>
      <c r="AN331" s="13"/>
      <c r="AO331" s="13"/>
      <c r="AQ331" s="13"/>
      <c r="AR331" s="13"/>
      <c r="AS331" s="13"/>
      <c r="AT331" s="22"/>
      <c r="AU331" s="54"/>
      <c r="AV331" s="54"/>
      <c r="AW331" s="54"/>
      <c r="AX331" s="54"/>
      <c r="AY331" s="54"/>
      <c r="AZ331" s="54"/>
      <c r="BA331" s="54"/>
      <c r="BB331" s="54"/>
      <c r="BC331" s="54"/>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row>
    <row r="332" spans="1:86">
      <c r="A332" s="98"/>
      <c r="V332" s="13"/>
      <c r="W332" s="13"/>
      <c r="X332" s="13"/>
      <c r="Y332" s="13"/>
      <c r="Z332" s="13"/>
      <c r="AA332" s="13"/>
      <c r="AB332" s="13"/>
      <c r="AC332" s="13"/>
      <c r="AD332" s="13"/>
      <c r="AE332" s="13"/>
      <c r="AF332" s="13"/>
      <c r="AG332" s="13"/>
      <c r="AH332" s="13"/>
      <c r="AI332" s="13"/>
      <c r="AJ332" s="13"/>
      <c r="AK332" s="13"/>
      <c r="AL332" s="13"/>
      <c r="AM332" s="13"/>
      <c r="AN332" s="13"/>
      <c r="AO332" s="13"/>
      <c r="AQ332" s="13"/>
      <c r="AR332" s="13"/>
      <c r="AS332" s="13"/>
      <c r="AT332" s="22"/>
      <c r="AU332" s="54"/>
      <c r="AV332" s="54"/>
      <c r="AW332" s="54"/>
      <c r="AX332" s="54"/>
      <c r="AY332" s="54"/>
      <c r="AZ332" s="54"/>
      <c r="BA332" s="54"/>
      <c r="BB332" s="54"/>
      <c r="BC332" s="54"/>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row>
    <row r="333" spans="1:86">
      <c r="A333" s="98"/>
      <c r="V333" s="13"/>
      <c r="W333" s="13"/>
      <c r="X333" s="13"/>
      <c r="Y333" s="13"/>
      <c r="Z333" s="13"/>
      <c r="AA333" s="13"/>
      <c r="AB333" s="13"/>
      <c r="AC333" s="13"/>
      <c r="AD333" s="13"/>
      <c r="AE333" s="13"/>
      <c r="AF333" s="13"/>
      <c r="AG333" s="13"/>
      <c r="AH333" s="13"/>
      <c r="AI333" s="13"/>
      <c r="AJ333" s="13"/>
      <c r="AK333" s="13"/>
      <c r="AL333" s="13"/>
      <c r="AM333" s="13"/>
      <c r="AN333" s="13"/>
      <c r="AO333" s="13"/>
      <c r="AQ333" s="13"/>
      <c r="AR333" s="13"/>
      <c r="AS333" s="13"/>
      <c r="AT333" s="22"/>
      <c r="AU333" s="54"/>
      <c r="AV333" s="54"/>
      <c r="AW333" s="54"/>
      <c r="AX333" s="54"/>
      <c r="AY333" s="54"/>
      <c r="AZ333" s="54"/>
      <c r="BA333" s="54"/>
      <c r="BB333" s="54"/>
      <c r="BC333" s="54"/>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row>
    <row r="334" spans="1:86">
      <c r="A334" s="98"/>
      <c r="V334" s="13"/>
      <c r="W334" s="13"/>
      <c r="X334" s="13"/>
      <c r="Y334" s="13"/>
      <c r="Z334" s="13"/>
      <c r="AA334" s="13"/>
      <c r="AB334" s="13"/>
      <c r="AC334" s="13"/>
      <c r="AD334" s="13"/>
      <c r="AE334" s="13"/>
      <c r="AF334" s="13"/>
      <c r="AG334" s="13"/>
      <c r="AH334" s="13"/>
      <c r="AI334" s="13"/>
      <c r="AJ334" s="13"/>
      <c r="AK334" s="13"/>
      <c r="AL334" s="13"/>
      <c r="AM334" s="13"/>
      <c r="AN334" s="13"/>
      <c r="AO334" s="13"/>
      <c r="AQ334" s="13"/>
      <c r="AR334" s="13"/>
      <c r="AS334" s="13"/>
      <c r="AT334" s="22"/>
      <c r="AU334" s="54"/>
      <c r="AV334" s="54"/>
      <c r="AW334" s="54"/>
      <c r="AX334" s="54"/>
      <c r="AY334" s="54"/>
      <c r="AZ334" s="54"/>
      <c r="BA334" s="54"/>
      <c r="BB334" s="54"/>
      <c r="BC334" s="54"/>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row>
    <row r="335" spans="1:86">
      <c r="A335" s="98"/>
      <c r="V335" s="13"/>
      <c r="W335" s="13"/>
      <c r="X335" s="13"/>
      <c r="Y335" s="13"/>
      <c r="Z335" s="13"/>
      <c r="AA335" s="13"/>
      <c r="AB335" s="13"/>
      <c r="AC335" s="13"/>
      <c r="AD335" s="13"/>
      <c r="AE335" s="13"/>
      <c r="AF335" s="13"/>
      <c r="AG335" s="13"/>
      <c r="AH335" s="13"/>
      <c r="AI335" s="13"/>
      <c r="AJ335" s="13"/>
      <c r="AK335" s="13"/>
      <c r="AL335" s="13"/>
      <c r="AM335" s="13"/>
      <c r="AN335" s="13"/>
      <c r="AO335" s="13"/>
      <c r="AQ335" s="13"/>
      <c r="AR335" s="13"/>
      <c r="AS335" s="13"/>
      <c r="AT335" s="22"/>
      <c r="AU335" s="54"/>
      <c r="AV335" s="54"/>
      <c r="AW335" s="54"/>
      <c r="AX335" s="54"/>
      <c r="AY335" s="54"/>
      <c r="AZ335" s="54"/>
      <c r="BA335" s="54"/>
      <c r="BB335" s="54"/>
      <c r="BC335" s="54"/>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row>
    <row r="336" spans="1:86">
      <c r="A336" s="98"/>
    </row>
    <row r="337" spans="1:1">
      <c r="A337" s="98"/>
    </row>
    <row r="338" spans="1:1">
      <c r="A338" s="98"/>
    </row>
    <row r="339" spans="1:1">
      <c r="A339" s="98"/>
    </row>
    <row r="340" spans="1:1">
      <c r="A340" s="98"/>
    </row>
    <row r="341" spans="1:1">
      <c r="A341" s="98"/>
    </row>
    <row r="342" spans="1:1">
      <c r="A342" s="98"/>
    </row>
    <row r="343" spans="1:1">
      <c r="A343" s="98"/>
    </row>
    <row r="344" spans="1:1">
      <c r="A344" s="98"/>
    </row>
    <row r="345" spans="1:1">
      <c r="A345" s="98"/>
    </row>
    <row r="346" spans="1:1">
      <c r="A346" s="98"/>
    </row>
    <row r="347" spans="1:1">
      <c r="A347" s="98"/>
    </row>
    <row r="348" spans="1:1">
      <c r="A348" s="98"/>
    </row>
    <row r="349" spans="1:1">
      <c r="A349" s="98"/>
    </row>
    <row r="350" spans="1:1">
      <c r="A350" s="98"/>
    </row>
    <row r="351" spans="1:1">
      <c r="A351" s="98"/>
    </row>
    <row r="352" spans="1:1">
      <c r="A352" s="98"/>
    </row>
    <row r="353" spans="1:1">
      <c r="A353" s="98"/>
    </row>
    <row r="354" spans="1:1">
      <c r="A354" s="98"/>
    </row>
    <row r="355" spans="1:1">
      <c r="A355" s="98"/>
    </row>
    <row r="356" spans="1:1">
      <c r="A356" s="98"/>
    </row>
    <row r="357" spans="1:1">
      <c r="A357" s="98"/>
    </row>
    <row r="358" spans="1:1">
      <c r="A358" s="98"/>
    </row>
    <row r="359" spans="1:1">
      <c r="A359" s="98"/>
    </row>
    <row r="360" spans="1:1">
      <c r="A360" s="98"/>
    </row>
    <row r="361" spans="1:1">
      <c r="A361" s="98"/>
    </row>
    <row r="362" spans="1:1">
      <c r="A362" s="98"/>
    </row>
    <row r="363" spans="1:1">
      <c r="A363" s="98"/>
    </row>
    <row r="364" spans="1:1">
      <c r="A364" s="98"/>
    </row>
    <row r="365" spans="1:1">
      <c r="A365" s="98"/>
    </row>
    <row r="366" spans="1:1">
      <c r="A366" s="98"/>
    </row>
    <row r="367" spans="1:1">
      <c r="A367" s="98"/>
    </row>
    <row r="368" spans="1:1">
      <c r="A368" s="98"/>
    </row>
    <row r="369" spans="1:1">
      <c r="A369" s="98"/>
    </row>
    <row r="370" spans="1:1">
      <c r="A370" s="98"/>
    </row>
    <row r="371" spans="1:1">
      <c r="A371" s="98"/>
    </row>
    <row r="372" spans="1:1">
      <c r="A372" s="98"/>
    </row>
    <row r="373" spans="1:1">
      <c r="A373" s="98"/>
    </row>
  </sheetData>
  <sheetProtection sheet="1" formatCells="0" formatColumns="0" formatRows="0"/>
  <mergeCells count="807">
    <mergeCell ref="A1:S1"/>
    <mergeCell ref="A2:D2"/>
    <mergeCell ref="E2:H2"/>
    <mergeCell ref="I2:L2"/>
    <mergeCell ref="M2:P2"/>
    <mergeCell ref="Q2:S2"/>
    <mergeCell ref="A10:C10"/>
    <mergeCell ref="D10:E10"/>
    <mergeCell ref="G10:J10"/>
    <mergeCell ref="A11:C11"/>
    <mergeCell ref="D11:E11"/>
    <mergeCell ref="G11:J11"/>
    <mergeCell ref="A12:C12"/>
    <mergeCell ref="D12:E12"/>
    <mergeCell ref="G12:J12"/>
    <mergeCell ref="A13:C13"/>
    <mergeCell ref="D13:E13"/>
    <mergeCell ref="G13:J13"/>
    <mergeCell ref="A14:C14"/>
    <mergeCell ref="D14:E14"/>
    <mergeCell ref="G14:J14"/>
    <mergeCell ref="A15:C15"/>
    <mergeCell ref="D15:E15"/>
    <mergeCell ref="G15:J15"/>
    <mergeCell ref="A16:C16"/>
    <mergeCell ref="D16:E16"/>
    <mergeCell ref="G16:J16"/>
    <mergeCell ref="A21:C21"/>
    <mergeCell ref="A22:B22"/>
    <mergeCell ref="A23:B23"/>
    <mergeCell ref="A24:B24"/>
    <mergeCell ref="A25:B25"/>
    <mergeCell ref="A26:B26"/>
    <mergeCell ref="A27:B27"/>
    <mergeCell ref="A28:B28"/>
    <mergeCell ref="A29:B29"/>
    <mergeCell ref="A30:B30"/>
    <mergeCell ref="A33:S33"/>
    <mergeCell ref="B34:S34"/>
    <mergeCell ref="B35:S35"/>
    <mergeCell ref="B36:S36"/>
    <mergeCell ref="B37:S37"/>
    <mergeCell ref="B38:S38"/>
    <mergeCell ref="B39:S39"/>
    <mergeCell ref="B40:S40"/>
    <mergeCell ref="B41:S41"/>
    <mergeCell ref="B42:S42"/>
    <mergeCell ref="B43:S43"/>
    <mergeCell ref="B44:S44"/>
    <mergeCell ref="B45:S45"/>
    <mergeCell ref="A50:S50"/>
    <mergeCell ref="B53:D53"/>
    <mergeCell ref="E53:G53"/>
    <mergeCell ref="J53:M53"/>
    <mergeCell ref="B54:D54"/>
    <mergeCell ref="E54:G54"/>
    <mergeCell ref="J54:M54"/>
    <mergeCell ref="B55:S55"/>
    <mergeCell ref="B56:D56"/>
    <mergeCell ref="E56:G56"/>
    <mergeCell ref="J56:M56"/>
    <mergeCell ref="B57:S57"/>
    <mergeCell ref="B58:D58"/>
    <mergeCell ref="E58:G58"/>
    <mergeCell ref="J58:M58"/>
    <mergeCell ref="B59:S59"/>
    <mergeCell ref="B60:D60"/>
    <mergeCell ref="E60:G60"/>
    <mergeCell ref="J60:M60"/>
    <mergeCell ref="B61:S61"/>
    <mergeCell ref="B62:D62"/>
    <mergeCell ref="E62:G62"/>
    <mergeCell ref="J62:M62"/>
    <mergeCell ref="B63:S63"/>
    <mergeCell ref="B64:D64"/>
    <mergeCell ref="E64:G64"/>
    <mergeCell ref="J64:M64"/>
    <mergeCell ref="B65:S65"/>
    <mergeCell ref="B66:D66"/>
    <mergeCell ref="E66:G66"/>
    <mergeCell ref="J66:M66"/>
    <mergeCell ref="B67:S67"/>
    <mergeCell ref="B68:D68"/>
    <mergeCell ref="E68:G68"/>
    <mergeCell ref="J68:M68"/>
    <mergeCell ref="B69:S69"/>
    <mergeCell ref="B70:D70"/>
    <mergeCell ref="E70:G70"/>
    <mergeCell ref="J70:M70"/>
    <mergeCell ref="B71:S71"/>
    <mergeCell ref="B72:D72"/>
    <mergeCell ref="E72:G72"/>
    <mergeCell ref="J72:M72"/>
    <mergeCell ref="B73:S73"/>
    <mergeCell ref="E82:G82"/>
    <mergeCell ref="J82:M82"/>
    <mergeCell ref="B83:S83"/>
    <mergeCell ref="B74:D74"/>
    <mergeCell ref="E74:G74"/>
    <mergeCell ref="J74:M74"/>
    <mergeCell ref="B75:S75"/>
    <mergeCell ref="B76:D76"/>
    <mergeCell ref="E76:G76"/>
    <mergeCell ref="J76:M76"/>
    <mergeCell ref="B77:S77"/>
    <mergeCell ref="B78:D78"/>
    <mergeCell ref="E78:G78"/>
    <mergeCell ref="J78:M78"/>
    <mergeCell ref="B94:S94"/>
    <mergeCell ref="B95:S95"/>
    <mergeCell ref="B96:S96"/>
    <mergeCell ref="B97:S97"/>
    <mergeCell ref="B98:S98"/>
    <mergeCell ref="B99:S99"/>
    <mergeCell ref="A104:S104"/>
    <mergeCell ref="B107:D107"/>
    <mergeCell ref="E107:G107"/>
    <mergeCell ref="J107:M107"/>
    <mergeCell ref="B108:D108"/>
    <mergeCell ref="E108:G108"/>
    <mergeCell ref="J108:M108"/>
    <mergeCell ref="A108:A109"/>
    <mergeCell ref="B109:S109"/>
    <mergeCell ref="B110:D110"/>
    <mergeCell ref="E110:G110"/>
    <mergeCell ref="J110:M110"/>
    <mergeCell ref="B111:S111"/>
    <mergeCell ref="B112:D112"/>
    <mergeCell ref="E112:G112"/>
    <mergeCell ref="J112:M112"/>
    <mergeCell ref="B113:S113"/>
    <mergeCell ref="B114:D114"/>
    <mergeCell ref="E114:G114"/>
    <mergeCell ref="J114:M114"/>
    <mergeCell ref="B115:S115"/>
    <mergeCell ref="B116:D116"/>
    <mergeCell ref="E116:G116"/>
    <mergeCell ref="J116:M116"/>
    <mergeCell ref="B117:S117"/>
    <mergeCell ref="B118:D118"/>
    <mergeCell ref="E118:G118"/>
    <mergeCell ref="J118:M118"/>
    <mergeCell ref="B119:S119"/>
    <mergeCell ref="B120:D120"/>
    <mergeCell ref="E120:G120"/>
    <mergeCell ref="J120:M120"/>
    <mergeCell ref="B121:S121"/>
    <mergeCell ref="B122:D122"/>
    <mergeCell ref="E122:G122"/>
    <mergeCell ref="J122:M122"/>
    <mergeCell ref="B123:S123"/>
    <mergeCell ref="B124:D124"/>
    <mergeCell ref="E124:G124"/>
    <mergeCell ref="J124:M124"/>
    <mergeCell ref="B125:S125"/>
    <mergeCell ref="B126:D126"/>
    <mergeCell ref="E126:G126"/>
    <mergeCell ref="J126:M126"/>
    <mergeCell ref="B127:S127"/>
    <mergeCell ref="B128:D128"/>
    <mergeCell ref="E128:G128"/>
    <mergeCell ref="J128:M128"/>
    <mergeCell ref="B129:S129"/>
    <mergeCell ref="B130:D130"/>
    <mergeCell ref="E130:G130"/>
    <mergeCell ref="J130:M130"/>
    <mergeCell ref="B131:S131"/>
    <mergeCell ref="B132:D132"/>
    <mergeCell ref="E132:G132"/>
    <mergeCell ref="J132:M132"/>
    <mergeCell ref="B133:S133"/>
    <mergeCell ref="B134:D134"/>
    <mergeCell ref="E134:G134"/>
    <mergeCell ref="J134:M134"/>
    <mergeCell ref="B135:S135"/>
    <mergeCell ref="B136:D136"/>
    <mergeCell ref="E136:G136"/>
    <mergeCell ref="J136:M136"/>
    <mergeCell ref="B137:S137"/>
    <mergeCell ref="A144:S144"/>
    <mergeCell ref="B150:S150"/>
    <mergeCell ref="B152:S152"/>
    <mergeCell ref="B154:S154"/>
    <mergeCell ref="B156:S156"/>
    <mergeCell ref="B158:S158"/>
    <mergeCell ref="B160:S160"/>
    <mergeCell ref="B162:S162"/>
    <mergeCell ref="A159:A160"/>
    <mergeCell ref="A161:A162"/>
    <mergeCell ref="B164:S164"/>
    <mergeCell ref="B166:S166"/>
    <mergeCell ref="B168:S168"/>
    <mergeCell ref="B170:S170"/>
    <mergeCell ref="B172:S172"/>
    <mergeCell ref="B174:S174"/>
    <mergeCell ref="B176:S176"/>
    <mergeCell ref="B178:S178"/>
    <mergeCell ref="B180:S180"/>
    <mergeCell ref="B182:S182"/>
    <mergeCell ref="B184:S184"/>
    <mergeCell ref="B186:S186"/>
    <mergeCell ref="B188:S188"/>
    <mergeCell ref="B190:S190"/>
    <mergeCell ref="B192:S192"/>
    <mergeCell ref="I220:M220"/>
    <mergeCell ref="N220:S220"/>
    <mergeCell ref="A205:A206"/>
    <mergeCell ref="A207:A208"/>
    <mergeCell ref="B194:S194"/>
    <mergeCell ref="B196:S196"/>
    <mergeCell ref="B198:S198"/>
    <mergeCell ref="B200:S200"/>
    <mergeCell ref="B202:S202"/>
    <mergeCell ref="B204:S204"/>
    <mergeCell ref="A181:A182"/>
    <mergeCell ref="A183:A184"/>
    <mergeCell ref="A185:A186"/>
    <mergeCell ref="A187:A188"/>
    <mergeCell ref="A189:A190"/>
    <mergeCell ref="A191:A192"/>
    <mergeCell ref="A193:A194"/>
    <mergeCell ref="A195:A196"/>
    <mergeCell ref="I221:M221"/>
    <mergeCell ref="N221:S221"/>
    <mergeCell ref="I222:M222"/>
    <mergeCell ref="N222:S222"/>
    <mergeCell ref="I223:M223"/>
    <mergeCell ref="N223:S223"/>
    <mergeCell ref="B206:S206"/>
    <mergeCell ref="B208:S208"/>
    <mergeCell ref="A213:S213"/>
    <mergeCell ref="H219:K219"/>
    <mergeCell ref="L219:O219"/>
    <mergeCell ref="N231:S231"/>
    <mergeCell ref="I232:M232"/>
    <mergeCell ref="N232:S232"/>
    <mergeCell ref="I233:M233"/>
    <mergeCell ref="N233:S233"/>
    <mergeCell ref="I227:M227"/>
    <mergeCell ref="N227:S227"/>
    <mergeCell ref="B228:S228"/>
    <mergeCell ref="I229:M229"/>
    <mergeCell ref="N229:S229"/>
    <mergeCell ref="D221:D227"/>
    <mergeCell ref="E221:E227"/>
    <mergeCell ref="E229:E235"/>
    <mergeCell ref="G221:G227"/>
    <mergeCell ref="G229:G235"/>
    <mergeCell ref="I230:M230"/>
    <mergeCell ref="N230:S230"/>
    <mergeCell ref="C221:C227"/>
    <mergeCell ref="I224:M224"/>
    <mergeCell ref="N224:S224"/>
    <mergeCell ref="I225:M225"/>
    <mergeCell ref="N225:S225"/>
    <mergeCell ref="I226:M226"/>
    <mergeCell ref="N226:S226"/>
    <mergeCell ref="I234:M234"/>
    <mergeCell ref="N234:S234"/>
    <mergeCell ref="I235:M235"/>
    <mergeCell ref="N235:S235"/>
    <mergeCell ref="B236:S236"/>
    <mergeCell ref="I237:M237"/>
    <mergeCell ref="N237:S237"/>
    <mergeCell ref="C229:C235"/>
    <mergeCell ref="C237:C243"/>
    <mergeCell ref="I231:M231"/>
    <mergeCell ref="I238:M238"/>
    <mergeCell ref="N238:S238"/>
    <mergeCell ref="I239:M239"/>
    <mergeCell ref="N239:S239"/>
    <mergeCell ref="I240:M240"/>
    <mergeCell ref="N240:S240"/>
    <mergeCell ref="I241:M241"/>
    <mergeCell ref="N241:S241"/>
    <mergeCell ref="I242:M242"/>
    <mergeCell ref="N242:S242"/>
    <mergeCell ref="I243:M243"/>
    <mergeCell ref="N243:S243"/>
    <mergeCell ref="D229:D235"/>
    <mergeCell ref="D237:D243"/>
    <mergeCell ref="N257:S257"/>
    <mergeCell ref="I251:M251"/>
    <mergeCell ref="N251:S251"/>
    <mergeCell ref="B252:S252"/>
    <mergeCell ref="I253:M253"/>
    <mergeCell ref="N253:S253"/>
    <mergeCell ref="D245:D251"/>
    <mergeCell ref="B244:S244"/>
    <mergeCell ref="I245:M245"/>
    <mergeCell ref="N245:S245"/>
    <mergeCell ref="I246:M246"/>
    <mergeCell ref="N246:S246"/>
    <mergeCell ref="I247:M247"/>
    <mergeCell ref="N247:S247"/>
    <mergeCell ref="I254:M254"/>
    <mergeCell ref="N254:S254"/>
    <mergeCell ref="C245:C251"/>
    <mergeCell ref="I248:M248"/>
    <mergeCell ref="N248:S248"/>
    <mergeCell ref="I249:M249"/>
    <mergeCell ref="N249:S249"/>
    <mergeCell ref="I250:M250"/>
    <mergeCell ref="N250:S250"/>
    <mergeCell ref="N267:S267"/>
    <mergeCell ref="N272:S272"/>
    <mergeCell ref="I258:M258"/>
    <mergeCell ref="N258:S258"/>
    <mergeCell ref="I259:M259"/>
    <mergeCell ref="N259:S259"/>
    <mergeCell ref="B260:S260"/>
    <mergeCell ref="I261:M261"/>
    <mergeCell ref="N261:S261"/>
    <mergeCell ref="C253:C259"/>
    <mergeCell ref="C261:C267"/>
    <mergeCell ref="I255:M255"/>
    <mergeCell ref="I262:M262"/>
    <mergeCell ref="N262:S262"/>
    <mergeCell ref="I263:M263"/>
    <mergeCell ref="N263:S263"/>
    <mergeCell ref="I264:M264"/>
    <mergeCell ref="N264:S264"/>
    <mergeCell ref="D253:D259"/>
    <mergeCell ref="D261:D267"/>
    <mergeCell ref="N255:S255"/>
    <mergeCell ref="I256:M256"/>
    <mergeCell ref="N256:S256"/>
    <mergeCell ref="I257:M257"/>
    <mergeCell ref="I275:M275"/>
    <mergeCell ref="N275:S275"/>
    <mergeCell ref="B276:S276"/>
    <mergeCell ref="I277:M277"/>
    <mergeCell ref="N277:S277"/>
    <mergeCell ref="I278:M278"/>
    <mergeCell ref="N278:S278"/>
    <mergeCell ref="B269:B275"/>
    <mergeCell ref="C269:C275"/>
    <mergeCell ref="I272:M272"/>
    <mergeCell ref="D269:D275"/>
    <mergeCell ref="I273:M273"/>
    <mergeCell ref="N273:S273"/>
    <mergeCell ref="I274:M274"/>
    <mergeCell ref="N274:S274"/>
    <mergeCell ref="I269:M269"/>
    <mergeCell ref="N269:S269"/>
    <mergeCell ref="I270:M270"/>
    <mergeCell ref="N270:S270"/>
    <mergeCell ref="I271:M271"/>
    <mergeCell ref="N271:S271"/>
    <mergeCell ref="N289:S289"/>
    <mergeCell ref="I290:M290"/>
    <mergeCell ref="N290:S290"/>
    <mergeCell ref="I291:M291"/>
    <mergeCell ref="N291:S291"/>
    <mergeCell ref="C285:C291"/>
    <mergeCell ref="D277:D283"/>
    <mergeCell ref="D285:D291"/>
    <mergeCell ref="I279:M279"/>
    <mergeCell ref="N279:S279"/>
    <mergeCell ref="I280:M280"/>
    <mergeCell ref="N280:S280"/>
    <mergeCell ref="I281:M281"/>
    <mergeCell ref="N281:S281"/>
    <mergeCell ref="I282:M282"/>
    <mergeCell ref="N282:S282"/>
    <mergeCell ref="I283:M283"/>
    <mergeCell ref="N283:S283"/>
    <mergeCell ref="A120:A121"/>
    <mergeCell ref="A122:A123"/>
    <mergeCell ref="A124:A125"/>
    <mergeCell ref="A126:A127"/>
    <mergeCell ref="A128:A129"/>
    <mergeCell ref="B292:S292"/>
    <mergeCell ref="I293:M293"/>
    <mergeCell ref="N293:S293"/>
    <mergeCell ref="I294:M294"/>
    <mergeCell ref="N294:S294"/>
    <mergeCell ref="B293:B299"/>
    <mergeCell ref="I296:M296"/>
    <mergeCell ref="N296:S296"/>
    <mergeCell ref="I297:M297"/>
    <mergeCell ref="N297:S297"/>
    <mergeCell ref="I298:M298"/>
    <mergeCell ref="N298:S298"/>
    <mergeCell ref="I299:M299"/>
    <mergeCell ref="N299:S299"/>
    <mergeCell ref="C293:C299"/>
    <mergeCell ref="D293:D299"/>
    <mergeCell ref="B284:S284"/>
    <mergeCell ref="I285:M285"/>
    <mergeCell ref="N285:S285"/>
    <mergeCell ref="A72:A73"/>
    <mergeCell ref="A74:A75"/>
    <mergeCell ref="A76:A77"/>
    <mergeCell ref="A78:A79"/>
    <mergeCell ref="A110:A111"/>
    <mergeCell ref="A112:A113"/>
    <mergeCell ref="A114:A115"/>
    <mergeCell ref="A116:A117"/>
    <mergeCell ref="A118:A119"/>
    <mergeCell ref="A87:S87"/>
    <mergeCell ref="A80:A81"/>
    <mergeCell ref="A82:A83"/>
    <mergeCell ref="B88:S88"/>
    <mergeCell ref="B89:S89"/>
    <mergeCell ref="B90:S90"/>
    <mergeCell ref="B91:S91"/>
    <mergeCell ref="B92:S92"/>
    <mergeCell ref="B93:S93"/>
    <mergeCell ref="B79:S79"/>
    <mergeCell ref="B80:D80"/>
    <mergeCell ref="E80:G80"/>
    <mergeCell ref="J80:M80"/>
    <mergeCell ref="B81:S81"/>
    <mergeCell ref="B82:D82"/>
    <mergeCell ref="A54:A55"/>
    <mergeCell ref="A56:A57"/>
    <mergeCell ref="A58:A59"/>
    <mergeCell ref="A60:A61"/>
    <mergeCell ref="A62:A63"/>
    <mergeCell ref="A64:A65"/>
    <mergeCell ref="A66:A67"/>
    <mergeCell ref="A68:A69"/>
    <mergeCell ref="A70:A71"/>
    <mergeCell ref="A130:A131"/>
    <mergeCell ref="A132:A133"/>
    <mergeCell ref="A134:A135"/>
    <mergeCell ref="A136:A137"/>
    <mergeCell ref="A149:A150"/>
    <mergeCell ref="A151:A152"/>
    <mergeCell ref="A153:A154"/>
    <mergeCell ref="A155:A156"/>
    <mergeCell ref="A157:A158"/>
    <mergeCell ref="A163:A164"/>
    <mergeCell ref="A165:A166"/>
    <mergeCell ref="A167:A168"/>
    <mergeCell ref="A169:A170"/>
    <mergeCell ref="A171:A172"/>
    <mergeCell ref="A173:A174"/>
    <mergeCell ref="A175:A176"/>
    <mergeCell ref="A177:A178"/>
    <mergeCell ref="A179:A180"/>
    <mergeCell ref="A197:A198"/>
    <mergeCell ref="A199:A200"/>
    <mergeCell ref="A201:A202"/>
    <mergeCell ref="A203:A204"/>
    <mergeCell ref="A221:A228"/>
    <mergeCell ref="A229:A236"/>
    <mergeCell ref="A237:A244"/>
    <mergeCell ref="A245:A252"/>
    <mergeCell ref="A253:A260"/>
    <mergeCell ref="A261:A268"/>
    <mergeCell ref="A269:A276"/>
    <mergeCell ref="A277:A284"/>
    <mergeCell ref="A285:A292"/>
    <mergeCell ref="A293:A300"/>
    <mergeCell ref="B221:B227"/>
    <mergeCell ref="B229:B235"/>
    <mergeCell ref="B237:B243"/>
    <mergeCell ref="B245:B251"/>
    <mergeCell ref="B253:B259"/>
    <mergeCell ref="B261:B267"/>
    <mergeCell ref="B300:S300"/>
    <mergeCell ref="I295:M295"/>
    <mergeCell ref="N295:S295"/>
    <mergeCell ref="B277:B283"/>
    <mergeCell ref="B285:B291"/>
    <mergeCell ref="C277:C283"/>
    <mergeCell ref="I286:M286"/>
    <mergeCell ref="N286:S286"/>
    <mergeCell ref="I287:M287"/>
    <mergeCell ref="N287:S287"/>
    <mergeCell ref="I288:M288"/>
    <mergeCell ref="N288:S288"/>
    <mergeCell ref="I289:M289"/>
    <mergeCell ref="E237:E243"/>
    <mergeCell ref="E245:E251"/>
    <mergeCell ref="E253:E259"/>
    <mergeCell ref="E261:E267"/>
    <mergeCell ref="E269:E275"/>
    <mergeCell ref="E277:E283"/>
    <mergeCell ref="E285:E291"/>
    <mergeCell ref="E293:E299"/>
    <mergeCell ref="F221:F227"/>
    <mergeCell ref="F229:F235"/>
    <mergeCell ref="F237:F243"/>
    <mergeCell ref="F245:F251"/>
    <mergeCell ref="F253:F259"/>
    <mergeCell ref="F261:F267"/>
    <mergeCell ref="F269:F275"/>
    <mergeCell ref="F277:F283"/>
    <mergeCell ref="F285:F291"/>
    <mergeCell ref="F293:F299"/>
    <mergeCell ref="B268:S268"/>
    <mergeCell ref="I265:M265"/>
    <mergeCell ref="N265:S265"/>
    <mergeCell ref="I266:M266"/>
    <mergeCell ref="N266:S266"/>
    <mergeCell ref="I267:M267"/>
    <mergeCell ref="G237:G243"/>
    <mergeCell ref="G245:G251"/>
    <mergeCell ref="G253:G259"/>
    <mergeCell ref="G261:G267"/>
    <mergeCell ref="G269:G275"/>
    <mergeCell ref="G277:G283"/>
    <mergeCell ref="G285:G291"/>
    <mergeCell ref="G293:G299"/>
    <mergeCell ref="AT149:AT150"/>
    <mergeCell ref="AT151:AT152"/>
    <mergeCell ref="AT153:AT154"/>
    <mergeCell ref="AT155:AT156"/>
    <mergeCell ref="AT157:AT158"/>
    <mergeCell ref="AT159:AT160"/>
    <mergeCell ref="AT161:AT162"/>
    <mergeCell ref="AT163:AT164"/>
    <mergeCell ref="AT165:AT166"/>
    <mergeCell ref="AT167:AT168"/>
    <mergeCell ref="AT169:AT170"/>
    <mergeCell ref="AT171:AT172"/>
    <mergeCell ref="AT173:AT174"/>
    <mergeCell ref="AT175:AT176"/>
    <mergeCell ref="AT177:AT178"/>
    <mergeCell ref="AT179:AT180"/>
    <mergeCell ref="AT181:AT182"/>
    <mergeCell ref="AT183:AT184"/>
    <mergeCell ref="AT185:AT186"/>
    <mergeCell ref="AT187:AT188"/>
    <mergeCell ref="AT189:AT190"/>
    <mergeCell ref="AT191:AT192"/>
    <mergeCell ref="AT193:AT194"/>
    <mergeCell ref="AT195:AT196"/>
    <mergeCell ref="AT197:AT198"/>
    <mergeCell ref="AT199:AT200"/>
    <mergeCell ref="AT201:AT202"/>
    <mergeCell ref="AT203:AT204"/>
    <mergeCell ref="AT205:AT206"/>
    <mergeCell ref="AT207:AT208"/>
    <mergeCell ref="AU108:AU109"/>
    <mergeCell ref="AU110:AU111"/>
    <mergeCell ref="AU112:AU113"/>
    <mergeCell ref="AU114:AU115"/>
    <mergeCell ref="AU116:AU117"/>
    <mergeCell ref="AU118:AU119"/>
    <mergeCell ref="AU120:AU121"/>
    <mergeCell ref="AU122:AU123"/>
    <mergeCell ref="AU124:AU125"/>
    <mergeCell ref="AU126:AU127"/>
    <mergeCell ref="AU128:AU129"/>
    <mergeCell ref="AU130:AU131"/>
    <mergeCell ref="AU132:AU133"/>
    <mergeCell ref="AU134:AU135"/>
    <mergeCell ref="AU136:AU137"/>
    <mergeCell ref="AU149:AU150"/>
    <mergeCell ref="AU151:AU152"/>
    <mergeCell ref="AU153:AU154"/>
    <mergeCell ref="AU155:AU156"/>
    <mergeCell ref="AU157:AU158"/>
    <mergeCell ref="AU159:AU160"/>
    <mergeCell ref="AU161:AU162"/>
    <mergeCell ref="AU163:AU164"/>
    <mergeCell ref="AU165:AU166"/>
    <mergeCell ref="AU167:AU168"/>
    <mergeCell ref="AU169:AU170"/>
    <mergeCell ref="AU171:AU172"/>
    <mergeCell ref="AU173:AU174"/>
    <mergeCell ref="AU175:AU176"/>
    <mergeCell ref="AU177:AU178"/>
    <mergeCell ref="AU179:AU180"/>
    <mergeCell ref="AU181:AU182"/>
    <mergeCell ref="AU183:AU184"/>
    <mergeCell ref="AU185:AU186"/>
    <mergeCell ref="AU187:AU188"/>
    <mergeCell ref="AU189:AU190"/>
    <mergeCell ref="AU191:AU192"/>
    <mergeCell ref="AU193:AU194"/>
    <mergeCell ref="AU195:AU196"/>
    <mergeCell ref="AU197:AU198"/>
    <mergeCell ref="AU199:AU200"/>
    <mergeCell ref="AU201:AU202"/>
    <mergeCell ref="AU203:AU204"/>
    <mergeCell ref="AU205:AU206"/>
    <mergeCell ref="AU207:AU208"/>
    <mergeCell ref="AV108:AV109"/>
    <mergeCell ref="AV110:AV111"/>
    <mergeCell ref="AV112:AV113"/>
    <mergeCell ref="AV114:AV115"/>
    <mergeCell ref="AV116:AV117"/>
    <mergeCell ref="AV118:AV119"/>
    <mergeCell ref="AV120:AV121"/>
    <mergeCell ref="AV122:AV123"/>
    <mergeCell ref="AV124:AV125"/>
    <mergeCell ref="AV126:AV127"/>
    <mergeCell ref="AV128:AV129"/>
    <mergeCell ref="AV130:AV131"/>
    <mergeCell ref="AV132:AV133"/>
    <mergeCell ref="AV134:AV135"/>
    <mergeCell ref="AV136:AV137"/>
    <mergeCell ref="AV149:AV150"/>
    <mergeCell ref="AV151:AV152"/>
    <mergeCell ref="AV153:AV154"/>
    <mergeCell ref="AV155:AV156"/>
    <mergeCell ref="AV157:AV158"/>
    <mergeCell ref="AV159:AV160"/>
    <mergeCell ref="AV161:AV162"/>
    <mergeCell ref="AV163:AV164"/>
    <mergeCell ref="AV165:AV166"/>
    <mergeCell ref="AV167:AV168"/>
    <mergeCell ref="AV169:AV170"/>
    <mergeCell ref="AV171:AV172"/>
    <mergeCell ref="AV173:AV174"/>
    <mergeCell ref="AV175:AV176"/>
    <mergeCell ref="AV177:AV178"/>
    <mergeCell ref="AV179:AV180"/>
    <mergeCell ref="AV181:AV182"/>
    <mergeCell ref="AV183:AV184"/>
    <mergeCell ref="AV185:AV186"/>
    <mergeCell ref="AV187:AV188"/>
    <mergeCell ref="AV189:AV190"/>
    <mergeCell ref="AV191:AV192"/>
    <mergeCell ref="AV193:AV194"/>
    <mergeCell ref="AV195:AV196"/>
    <mergeCell ref="AV197:AV198"/>
    <mergeCell ref="AV199:AV200"/>
    <mergeCell ref="AV201:AV202"/>
    <mergeCell ref="AV203:AV204"/>
    <mergeCell ref="AV205:AV206"/>
    <mergeCell ref="AV207:AV208"/>
    <mergeCell ref="AW108:AW109"/>
    <mergeCell ref="AW110:AW111"/>
    <mergeCell ref="AW112:AW113"/>
    <mergeCell ref="AW114:AW115"/>
    <mergeCell ref="AW116:AW117"/>
    <mergeCell ref="AW118:AW119"/>
    <mergeCell ref="AW120:AW121"/>
    <mergeCell ref="AW122:AW123"/>
    <mergeCell ref="AW124:AW125"/>
    <mergeCell ref="AW126:AW127"/>
    <mergeCell ref="AW128:AW129"/>
    <mergeCell ref="AW130:AW131"/>
    <mergeCell ref="AW132:AW133"/>
    <mergeCell ref="AW134:AW135"/>
    <mergeCell ref="AW136:AW137"/>
    <mergeCell ref="AW149:AW150"/>
    <mergeCell ref="AW151:AW152"/>
    <mergeCell ref="AW153:AW154"/>
    <mergeCell ref="AW155:AW156"/>
    <mergeCell ref="AW157:AW158"/>
    <mergeCell ref="AW159:AW160"/>
    <mergeCell ref="AW161:AW162"/>
    <mergeCell ref="AW163:AW164"/>
    <mergeCell ref="AW165:AW166"/>
    <mergeCell ref="AW167:AW168"/>
    <mergeCell ref="AW169:AW170"/>
    <mergeCell ref="AW171:AW172"/>
    <mergeCell ref="AW173:AW174"/>
    <mergeCell ref="AW175:AW176"/>
    <mergeCell ref="AW177:AW178"/>
    <mergeCell ref="AW179:AW180"/>
    <mergeCell ref="AW181:AW182"/>
    <mergeCell ref="AW183:AW184"/>
    <mergeCell ref="AW185:AW186"/>
    <mergeCell ref="AW187:AW188"/>
    <mergeCell ref="AW189:AW190"/>
    <mergeCell ref="AW191:AW192"/>
    <mergeCell ref="AW193:AW194"/>
    <mergeCell ref="AW195:AW196"/>
    <mergeCell ref="AW197:AW198"/>
    <mergeCell ref="AW199:AW200"/>
    <mergeCell ref="AW201:AW202"/>
    <mergeCell ref="AW203:AW204"/>
    <mergeCell ref="AW205:AW206"/>
    <mergeCell ref="AW207:AW208"/>
    <mergeCell ref="AX108:AX109"/>
    <mergeCell ref="AX110:AX111"/>
    <mergeCell ref="AX112:AX113"/>
    <mergeCell ref="AX114:AX115"/>
    <mergeCell ref="AX116:AX117"/>
    <mergeCell ref="AX118:AX119"/>
    <mergeCell ref="AX120:AX121"/>
    <mergeCell ref="AX122:AX123"/>
    <mergeCell ref="AX124:AX125"/>
    <mergeCell ref="AX126:AX127"/>
    <mergeCell ref="AX128:AX129"/>
    <mergeCell ref="AX130:AX131"/>
    <mergeCell ref="AX132:AX133"/>
    <mergeCell ref="AX134:AX135"/>
    <mergeCell ref="AX136:AX137"/>
    <mergeCell ref="AX149:AX150"/>
    <mergeCell ref="AX151:AX152"/>
    <mergeCell ref="AX153:AX154"/>
    <mergeCell ref="AX155:AX156"/>
    <mergeCell ref="AX157:AX158"/>
    <mergeCell ref="AX159:AX160"/>
    <mergeCell ref="AX161:AX162"/>
    <mergeCell ref="AX163:AX164"/>
    <mergeCell ref="AX165:AX166"/>
    <mergeCell ref="AX167:AX168"/>
    <mergeCell ref="AX169:AX170"/>
    <mergeCell ref="AX171:AX172"/>
    <mergeCell ref="AX173:AX174"/>
    <mergeCell ref="AX175:AX176"/>
    <mergeCell ref="AX177:AX178"/>
    <mergeCell ref="AX179:AX180"/>
    <mergeCell ref="AX181:AX182"/>
    <mergeCell ref="AX183:AX184"/>
    <mergeCell ref="AX185:AX186"/>
    <mergeCell ref="AX187:AX188"/>
    <mergeCell ref="AX189:AX190"/>
    <mergeCell ref="AX191:AX192"/>
    <mergeCell ref="AX193:AX194"/>
    <mergeCell ref="AX195:AX196"/>
    <mergeCell ref="AX197:AX198"/>
    <mergeCell ref="AX199:AX200"/>
    <mergeCell ref="AX201:AX202"/>
    <mergeCell ref="AX203:AX204"/>
    <mergeCell ref="AX205:AX206"/>
    <mergeCell ref="AX207:AX208"/>
    <mergeCell ref="AY149:AY150"/>
    <mergeCell ref="AY151:AY152"/>
    <mergeCell ref="AY153:AY154"/>
    <mergeCell ref="AY155:AY156"/>
    <mergeCell ref="AY157:AY158"/>
    <mergeCell ref="AY159:AY160"/>
    <mergeCell ref="AY161:AY162"/>
    <mergeCell ref="AY163:AY164"/>
    <mergeCell ref="AY165:AY166"/>
    <mergeCell ref="AY167:AY168"/>
    <mergeCell ref="AY169:AY170"/>
    <mergeCell ref="AY171:AY172"/>
    <mergeCell ref="AY173:AY174"/>
    <mergeCell ref="AY175:AY176"/>
    <mergeCell ref="AY177:AY178"/>
    <mergeCell ref="AY179:AY180"/>
    <mergeCell ref="AY181:AY182"/>
    <mergeCell ref="AY183:AY184"/>
    <mergeCell ref="AY185:AY186"/>
    <mergeCell ref="AY187:AY188"/>
    <mergeCell ref="AY189:AY190"/>
    <mergeCell ref="AY191:AY192"/>
    <mergeCell ref="AY193:AY194"/>
    <mergeCell ref="AY195:AY196"/>
    <mergeCell ref="AY197:AY198"/>
    <mergeCell ref="AY199:AY200"/>
    <mergeCell ref="AY201:AY202"/>
    <mergeCell ref="AY203:AY204"/>
    <mergeCell ref="AY205:AY206"/>
    <mergeCell ref="AY207:AY208"/>
    <mergeCell ref="AZ149:AZ150"/>
    <mergeCell ref="AZ151:AZ152"/>
    <mergeCell ref="AZ153:AZ154"/>
    <mergeCell ref="AZ155:AZ156"/>
    <mergeCell ref="AZ157:AZ158"/>
    <mergeCell ref="AZ159:AZ160"/>
    <mergeCell ref="AZ161:AZ162"/>
    <mergeCell ref="AZ163:AZ164"/>
    <mergeCell ref="AZ165:AZ166"/>
    <mergeCell ref="AZ167:AZ168"/>
    <mergeCell ref="AZ169:AZ170"/>
    <mergeCell ref="AZ171:AZ172"/>
    <mergeCell ref="AZ173:AZ174"/>
    <mergeCell ref="AZ175:AZ176"/>
    <mergeCell ref="AZ177:AZ178"/>
    <mergeCell ref="AZ179:AZ180"/>
    <mergeCell ref="AZ181:AZ182"/>
    <mergeCell ref="AZ183:AZ184"/>
    <mergeCell ref="AZ185:AZ186"/>
    <mergeCell ref="BA185:BA186"/>
    <mergeCell ref="BA187:BA188"/>
    <mergeCell ref="BA189:BA190"/>
    <mergeCell ref="BA191:BA192"/>
    <mergeCell ref="AZ187:AZ188"/>
    <mergeCell ref="AZ189:AZ190"/>
    <mergeCell ref="AZ191:AZ192"/>
    <mergeCell ref="AZ193:AZ194"/>
    <mergeCell ref="AZ195:AZ196"/>
    <mergeCell ref="BA193:BA194"/>
    <mergeCell ref="BA195:BA196"/>
    <mergeCell ref="BA167:BA168"/>
    <mergeCell ref="BA169:BA170"/>
    <mergeCell ref="BA171:BA172"/>
    <mergeCell ref="BA173:BA174"/>
    <mergeCell ref="BA175:BA176"/>
    <mergeCell ref="BA177:BA178"/>
    <mergeCell ref="BA179:BA180"/>
    <mergeCell ref="BA181:BA182"/>
    <mergeCell ref="BA183:BA184"/>
    <mergeCell ref="BA149:BA150"/>
    <mergeCell ref="BA151:BA152"/>
    <mergeCell ref="BA153:BA154"/>
    <mergeCell ref="BA155:BA156"/>
    <mergeCell ref="BA157:BA158"/>
    <mergeCell ref="BA159:BA160"/>
    <mergeCell ref="BA161:BA162"/>
    <mergeCell ref="BA163:BA164"/>
    <mergeCell ref="BA165:BA166"/>
    <mergeCell ref="BA197:BA198"/>
    <mergeCell ref="BA199:BA200"/>
    <mergeCell ref="BA201:BA202"/>
    <mergeCell ref="BA203:BA204"/>
    <mergeCell ref="BA205:BA206"/>
    <mergeCell ref="BA207:BA208"/>
    <mergeCell ref="AZ205:AZ206"/>
    <mergeCell ref="AZ207:AZ208"/>
    <mergeCell ref="AZ197:AZ198"/>
    <mergeCell ref="AZ199:AZ200"/>
    <mergeCell ref="AZ201:AZ202"/>
    <mergeCell ref="AZ203:AZ204"/>
  </mergeCells>
  <conditionalFormatting sqref="A22:B22">
    <cfRule type="expression" dxfId="19" priority="1668">
      <formula>$D22&gt;$D$13</formula>
    </cfRule>
  </conditionalFormatting>
  <conditionalFormatting sqref="A23:C23">
    <cfRule type="expression" dxfId="18" priority="1657">
      <formula>$A23&gt;$D$13</formula>
    </cfRule>
  </conditionalFormatting>
  <conditionalFormatting sqref="A24:C24">
    <cfRule type="expression" dxfId="17" priority="304">
      <formula>$A24&gt;$D$13</formula>
    </cfRule>
  </conditionalFormatting>
  <conditionalFormatting sqref="C24">
    <cfRule type="expression" dxfId="16" priority="305">
      <formula>$D24&gt;$D$13</formula>
    </cfRule>
  </conditionalFormatting>
  <conditionalFormatting sqref="A25:C25">
    <cfRule type="expression" dxfId="15" priority="302">
      <formula>$A25&gt;$D$13</formula>
    </cfRule>
  </conditionalFormatting>
  <conditionalFormatting sqref="C25">
    <cfRule type="expression" dxfId="14" priority="303">
      <formula>$D25&gt;$D$13</formula>
    </cfRule>
  </conditionalFormatting>
  <conditionalFormatting sqref="A26:C26">
    <cfRule type="expression" dxfId="13" priority="300">
      <formula>$A26&gt;$D$13</formula>
    </cfRule>
  </conditionalFormatting>
  <conditionalFormatting sqref="C26">
    <cfRule type="expression" dxfId="12" priority="301">
      <formula>$D26&gt;$D$13</formula>
    </cfRule>
  </conditionalFormatting>
  <conditionalFormatting sqref="A27:C27">
    <cfRule type="expression" dxfId="11" priority="298">
      <formula>$A27&gt;$D$13</formula>
    </cfRule>
  </conditionalFormatting>
  <conditionalFormatting sqref="C27">
    <cfRule type="expression" dxfId="10" priority="299">
      <formula>$D27&gt;$D$13</formula>
    </cfRule>
  </conditionalFormatting>
  <conditionalFormatting sqref="A28:C28">
    <cfRule type="expression" dxfId="9" priority="294">
      <formula>$A28&gt;$D$13</formula>
    </cfRule>
  </conditionalFormatting>
  <conditionalFormatting sqref="C28">
    <cfRule type="expression" dxfId="8" priority="295">
      <formula>$D28&gt;$D$13</formula>
    </cfRule>
  </conditionalFormatting>
  <conditionalFormatting sqref="A29:C29">
    <cfRule type="expression" dxfId="7" priority="292">
      <formula>$A29&gt;$D$13</formula>
    </cfRule>
  </conditionalFormatting>
  <conditionalFormatting sqref="C29">
    <cfRule type="expression" dxfId="6" priority="293">
      <formula>$D29&gt;$D$13</formula>
    </cfRule>
  </conditionalFormatting>
  <conditionalFormatting sqref="A30:C30">
    <cfRule type="expression" dxfId="5" priority="290">
      <formula>$A30&gt;$D$13</formula>
    </cfRule>
  </conditionalFormatting>
  <conditionalFormatting sqref="C30">
    <cfRule type="expression" dxfId="4" priority="291">
      <formula>$D30&gt;$D$13</formula>
    </cfRule>
  </conditionalFormatting>
  <conditionalFormatting sqref="C22:C23">
    <cfRule type="expression" dxfId="3" priority="1666">
      <formula>$D22&gt;$D$13</formula>
    </cfRule>
  </conditionalFormatting>
  <conditionalFormatting sqref="O52:T52 P106:T106">
    <cfRule type="expression" dxfId="2" priority="1757">
      <formula>$J$52&gt;$D$13</formula>
    </cfRule>
  </conditionalFormatting>
  <conditionalFormatting sqref="T52 S56:T56 S58:T58 S60:T60 S62:T62 S64:T64 S66:T66 S68:T68 S70:T70 S72:T72 S74:T74 S76:T76 S78:T78 S80:T80 S82:T82 S54:T54">
    <cfRule type="expression" dxfId="1" priority="430">
      <formula>#REF!&gt;YEAR($F$13)</formula>
    </cfRule>
  </conditionalFormatting>
  <conditionalFormatting sqref="S106:T106 S108:T108 S110:T110 S112:T112 S116:T116 S120:T120 S124:T124 S128:T128 S132:T132 S136:T136 S114:T114 S118:T118 S122:T122 S126:T126 S130:T130 S134:T134">
    <cfRule type="expression" dxfId="0" priority="429">
      <formula>$S$106&gt;YEAR($D$10)</formula>
    </cfRule>
  </conditionalFormatting>
  <pageMargins left="0.7" right="0.7" top="0.75" bottom="0.75" header="0.3" footer="0.3"/>
  <pageSetup paperSize="8" scale="20" fitToHeight="0" orientation="landscape" horizontalDpi="4294967293" r:id="rId1"/>
  <rowBreaks count="2" manualBreakCount="2">
    <brk id="131" max="17" man="1"/>
    <brk id="161" max="1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87"/>
  <sheetViews>
    <sheetView topLeftCell="B1" zoomScaleSheetLayoutView="100" workbookViewId="0">
      <selection activeCell="D30" sqref="D30"/>
    </sheetView>
  </sheetViews>
  <sheetFormatPr defaultColWidth="8.625" defaultRowHeight="12.75"/>
  <cols>
    <col min="1" max="1" width="19.125" style="3" customWidth="1"/>
    <col min="2" max="2" width="28.125" style="3" customWidth="1"/>
    <col min="3" max="3" width="8.625" style="3"/>
    <col min="4" max="4" width="17" style="3" customWidth="1"/>
    <col min="5" max="6" width="8.625" style="3"/>
    <col min="7" max="7" width="25.5" style="3" customWidth="1"/>
    <col min="8" max="8" width="17.125" style="3" customWidth="1"/>
    <col min="9" max="16384" width="8.625" style="3"/>
  </cols>
  <sheetData>
    <row r="1" spans="1:11">
      <c r="A1" s="3" t="s">
        <v>5552</v>
      </c>
    </row>
    <row r="4" spans="1:11">
      <c r="A4" s="8" t="s">
        <v>634</v>
      </c>
    </row>
    <row r="5" spans="1:11">
      <c r="B5" s="4" t="s">
        <v>635</v>
      </c>
      <c r="C5" s="4"/>
      <c r="D5" s="4" t="s">
        <v>636</v>
      </c>
      <c r="E5" s="4"/>
      <c r="F5" s="4"/>
      <c r="G5" s="4" t="s">
        <v>341</v>
      </c>
      <c r="H5" s="4" t="s">
        <v>5553</v>
      </c>
      <c r="I5" s="4" t="s">
        <v>645</v>
      </c>
      <c r="J5" s="4" t="s">
        <v>646</v>
      </c>
      <c r="K5" s="4" t="s">
        <v>647</v>
      </c>
    </row>
    <row r="6" spans="1:11" hidden="1">
      <c r="B6" s="4" t="s">
        <v>651</v>
      </c>
      <c r="C6" s="4"/>
      <c r="D6" s="4" t="str">
        <f>CHOOSE(Translations!$C$1+1,I6,J6,K6)</f>
        <v>[Name - ES]</v>
      </c>
      <c r="E6" s="4"/>
      <c r="F6" s="4"/>
      <c r="G6" s="4" t="s">
        <v>345</v>
      </c>
      <c r="H6" s="6" t="s">
        <v>5554</v>
      </c>
      <c r="I6" s="6" t="s">
        <v>2860</v>
      </c>
      <c r="J6" s="6" t="s">
        <v>1453</v>
      </c>
      <c r="K6" s="6" t="s">
        <v>1454</v>
      </c>
    </row>
    <row r="7" spans="1:11">
      <c r="B7" s="4" t="s">
        <v>659</v>
      </c>
      <c r="C7" s="4"/>
      <c r="D7" s="4" t="str">
        <f>CHOOSE(Translations!$C$1+1,I7,J7,K7)</f>
        <v>HIV I-13 Porcentaje de personas que viven con el VIH</v>
      </c>
      <c r="E7" s="4"/>
      <c r="F7" s="4"/>
      <c r="G7" s="4" t="s">
        <v>5555</v>
      </c>
      <c r="H7" s="6"/>
      <c r="I7" s="6" t="s">
        <v>664</v>
      </c>
      <c r="J7" s="6" t="s">
        <v>665</v>
      </c>
      <c r="K7" s="6" t="s">
        <v>666</v>
      </c>
    </row>
    <row r="8" spans="1:11">
      <c r="B8" s="4" t="s">
        <v>670</v>
      </c>
      <c r="C8" s="4"/>
      <c r="D8" s="4" t="str">
        <f>CHOOSE(Translations!$C$1+1,I8,J8,K8)</f>
        <v>HIV I-14 Número de infecciones nuevas de VIH por 1.000 habitantes no infectados</v>
      </c>
      <c r="E8" s="4"/>
      <c r="F8" s="4"/>
      <c r="G8" s="4" t="s">
        <v>5556</v>
      </c>
      <c r="H8" s="6"/>
      <c r="I8" s="6" t="s">
        <v>673</v>
      </c>
      <c r="J8" s="6" t="s">
        <v>674</v>
      </c>
      <c r="K8" s="6" t="s">
        <v>675</v>
      </c>
    </row>
    <row r="9" spans="1:11">
      <c r="B9" s="4" t="s">
        <v>676</v>
      </c>
      <c r="C9" s="4"/>
      <c r="D9" s="4" t="str">
        <f>CHOOSE(Translations!$C$1+1,I9,J9,K9)</f>
        <v>HIV I-4 Número de muertes relacionadas con el sida por cada 100.000 habitantes</v>
      </c>
      <c r="E9" s="4"/>
      <c r="F9" s="4"/>
      <c r="G9" s="4" t="s">
        <v>5557</v>
      </c>
      <c r="H9" s="6"/>
      <c r="I9" s="6" t="s">
        <v>679</v>
      </c>
      <c r="J9" s="6" t="s">
        <v>680</v>
      </c>
      <c r="K9" s="6" t="s">
        <v>681</v>
      </c>
    </row>
    <row r="10" spans="1:11">
      <c r="B10" s="4" t="s">
        <v>685</v>
      </c>
      <c r="C10" s="4"/>
      <c r="D10" s="4" t="str">
        <f>CHOOSE(Translations!$C$1+1,I10,J10,K10)</f>
        <v>HIV I-6 Porcentaje estimado de niños que contraen el VIH mediante transmisión maternoinfantil entre el número de mujeres que viven con el VIH que han dado a luz en los 12 meses anteriores</v>
      </c>
      <c r="E10" s="4"/>
      <c r="F10" s="4"/>
      <c r="G10" s="4" t="s">
        <v>5558</v>
      </c>
      <c r="H10" s="6"/>
      <c r="I10" s="6" t="s">
        <v>688</v>
      </c>
      <c r="J10" s="6" t="s">
        <v>689</v>
      </c>
      <c r="K10" s="6" t="s">
        <v>690</v>
      </c>
    </row>
    <row r="11" spans="1:11">
      <c r="B11" s="4" t="s">
        <v>691</v>
      </c>
      <c r="C11" s="4"/>
      <c r="D11" s="4" t="str">
        <f>CHOOSE(Translations!$C$1+1,I11,J11,K11)</f>
        <v>HIV I-9a⁽ᴹ⁾ Porcentaje de HSH y viven con el VIH</v>
      </c>
      <c r="E11" s="4"/>
      <c r="F11" s="4"/>
      <c r="G11" s="4" t="s">
        <v>5559</v>
      </c>
      <c r="H11" s="6"/>
      <c r="I11" s="6" t="s">
        <v>694</v>
      </c>
      <c r="J11" s="6" t="s">
        <v>695</v>
      </c>
      <c r="K11" s="6" t="s">
        <v>696</v>
      </c>
    </row>
    <row r="12" spans="1:11">
      <c r="B12" s="4" t="s">
        <v>699</v>
      </c>
      <c r="C12" s="4"/>
      <c r="D12" s="4" t="str">
        <f>CHOOSE(Translations!$C$1+1,I12,J12,K12)</f>
        <v>HIV I-9b⁽ᴹ⁾ Porcentaje de personas transgénero que viven con el VIH</v>
      </c>
      <c r="E12" s="4"/>
      <c r="F12" s="4"/>
      <c r="G12" s="4" t="s">
        <v>5560</v>
      </c>
      <c r="H12" s="6"/>
      <c r="I12" s="6" t="s">
        <v>702</v>
      </c>
      <c r="J12" s="6" t="s">
        <v>703</v>
      </c>
      <c r="K12" s="6" t="s">
        <v>704</v>
      </c>
    </row>
    <row r="13" spans="1:11">
      <c r="B13" s="4" t="s">
        <v>705</v>
      </c>
      <c r="C13" s="4"/>
      <c r="D13" s="4" t="str">
        <f>CHOOSE(Translations!$C$1+1,I13,J13,K13)</f>
        <v>HIV I-10⁽ᴹ⁾ Porcentaje de trabajadores sexuales que viven con el VIH</v>
      </c>
      <c r="E13" s="4"/>
      <c r="F13" s="4"/>
      <c r="G13" s="4" t="s">
        <v>5561</v>
      </c>
      <c r="H13" s="6"/>
      <c r="I13" s="6" t="s">
        <v>708</v>
      </c>
      <c r="J13" s="6" t="s">
        <v>709</v>
      </c>
      <c r="K13" s="6" t="s">
        <v>710</v>
      </c>
    </row>
    <row r="14" spans="1:11">
      <c r="B14" s="4" t="s">
        <v>712</v>
      </c>
      <c r="C14" s="4"/>
      <c r="D14" s="4" t="str">
        <f>CHOOSE(Translations!$C$1+1,I14,J14,K14)</f>
        <v>HIV I-11⁽ᴹ⁾ Porcentaje de personas que consumen drogas inyectables y que viven con el VIH</v>
      </c>
      <c r="E14" s="4"/>
      <c r="F14" s="4"/>
      <c r="G14" s="4" t="s">
        <v>5562</v>
      </c>
      <c r="H14" s="6"/>
      <c r="I14" s="6" t="s">
        <v>715</v>
      </c>
      <c r="J14" s="6" t="s">
        <v>716</v>
      </c>
      <c r="K14" s="6" t="s">
        <v>717</v>
      </c>
    </row>
    <row r="15" spans="1:11">
      <c r="B15" s="4" t="s">
        <v>718</v>
      </c>
      <c r="C15" s="4"/>
      <c r="D15" s="4" t="str">
        <f>CHOOSE(Translations!$C$1+1,I15,J15,K15)</f>
        <v>HIV I-12 Porcentaje de otras poblaciones vulnerables (especifíquense) que viven con el VIH</v>
      </c>
      <c r="E15" s="4"/>
      <c r="F15" s="4"/>
      <c r="G15" s="4" t="s">
        <v>5563</v>
      </c>
      <c r="H15" s="6"/>
      <c r="I15" s="6" t="s">
        <v>721</v>
      </c>
      <c r="J15" s="6" t="s">
        <v>722</v>
      </c>
      <c r="K15" s="6" t="s">
        <v>723</v>
      </c>
    </row>
    <row r="16" spans="1:11">
      <c r="B16" s="4" t="s">
        <v>724</v>
      </c>
      <c r="C16" s="4"/>
      <c r="D16" s="4" t="str">
        <f>CHOOSE(Translations!$C$1+1,I16,J16,K16)</f>
        <v>TB I-2 Tasa de incidencia de la tuberculosis por 100.000 habitantes.</v>
      </c>
      <c r="E16" s="4"/>
      <c r="F16" s="4"/>
      <c r="G16" s="4" t="s">
        <v>5564</v>
      </c>
      <c r="H16" s="6"/>
      <c r="I16" s="6" t="s">
        <v>727</v>
      </c>
      <c r="J16" s="6" t="s">
        <v>728</v>
      </c>
      <c r="K16" s="6" t="s">
        <v>729</v>
      </c>
    </row>
    <row r="17" spans="1:11">
      <c r="B17" s="4" t="s">
        <v>730</v>
      </c>
      <c r="C17" s="4"/>
      <c r="D17" s="4" t="str">
        <f>CHOOSE(Translations!$C$1+1,I17,J17,K17)</f>
        <v>TB I-3⁽ᴹ⁾ Tasa de mortalidad de la tuberculosis por 100.000 habitantes</v>
      </c>
      <c r="E17" s="4"/>
      <c r="F17" s="4"/>
      <c r="G17" s="4" t="s">
        <v>5565</v>
      </c>
      <c r="H17" s="6"/>
      <c r="I17" s="6" t="s">
        <v>733</v>
      </c>
      <c r="J17" s="6" t="s">
        <v>734</v>
      </c>
      <c r="K17" s="6" t="s">
        <v>735</v>
      </c>
    </row>
    <row r="18" spans="1:11">
      <c r="B18" s="4" t="s">
        <v>736</v>
      </c>
      <c r="C18" s="4"/>
      <c r="D18" s="4" t="str">
        <f>CHOOSE(Translations!$C$1+1,I18,J18,K18)</f>
        <v>TB I-4⁽ᴹ⁾ Prevalencia de la tuberculosis resistente a la rifampicina y/o la tuberculosis multirresistente en pacientes nuevos de la enfermedad: Proporción de nuevos casos de tuberculosis resistente a la rifampicina y/o tuberculosis multirresistente.</v>
      </c>
      <c r="E18" s="4"/>
      <c r="F18" s="4"/>
      <c r="G18" s="4" t="s">
        <v>5566</v>
      </c>
      <c r="H18" s="6"/>
      <c r="I18" s="6" t="s">
        <v>739</v>
      </c>
      <c r="J18" s="6" t="s">
        <v>740</v>
      </c>
      <c r="K18" s="6" t="s">
        <v>741</v>
      </c>
    </row>
    <row r="19" spans="1:11">
      <c r="B19" s="4" t="s">
        <v>742</v>
      </c>
      <c r="C19" s="4"/>
      <c r="D19" s="4" t="str">
        <f>CHOOSE(Translations!$C$1+1,I19,J19,K19)</f>
        <v>TB/HIV I-1 Tasa de mortalidad de la TB y el VIH por 100.000 habitantes</v>
      </c>
      <c r="E19" s="4"/>
      <c r="F19" s="4"/>
      <c r="G19" s="4" t="s">
        <v>5567</v>
      </c>
      <c r="H19" s="6"/>
      <c r="I19" s="6" t="s">
        <v>745</v>
      </c>
      <c r="J19" s="6" t="s">
        <v>746</v>
      </c>
      <c r="K19" s="6" t="s">
        <v>747</v>
      </c>
    </row>
    <row r="20" spans="1:11">
      <c r="B20" s="4" t="s">
        <v>742</v>
      </c>
      <c r="C20" s="4"/>
      <c r="D20" s="4" t="str">
        <f>CHOOSE(Translations!$C$1+1,I20,J20,K20)</f>
        <v>TB/HIV I-1 Tasa de mortalidad de la TB y el VIH por 100.000 habitantes</v>
      </c>
      <c r="E20" s="4"/>
      <c r="F20" s="4"/>
      <c r="G20" s="4" t="s">
        <v>5568</v>
      </c>
      <c r="H20" s="6"/>
      <c r="I20" s="6" t="s">
        <v>745</v>
      </c>
      <c r="J20" s="6" t="s">
        <v>746</v>
      </c>
      <c r="K20" s="6" t="s">
        <v>747</v>
      </c>
    </row>
    <row r="24" spans="1:11">
      <c r="A24" s="8" t="s">
        <v>749</v>
      </c>
    </row>
    <row r="25" spans="1:11">
      <c r="B25" s="4" t="s">
        <v>635</v>
      </c>
      <c r="C25" s="4"/>
      <c r="D25" s="4" t="s">
        <v>636</v>
      </c>
      <c r="E25" s="4"/>
      <c r="F25" s="4"/>
      <c r="G25" s="4" t="s">
        <v>341</v>
      </c>
      <c r="H25" s="4" t="s">
        <v>5553</v>
      </c>
      <c r="I25" s="4" t="s">
        <v>645</v>
      </c>
      <c r="J25" s="4" t="s">
        <v>646</v>
      </c>
      <c r="K25" s="4" t="s">
        <v>647</v>
      </c>
    </row>
    <row r="26" spans="1:11" hidden="1">
      <c r="B26" s="4" t="s">
        <v>651</v>
      </c>
      <c r="C26" s="4"/>
      <c r="D26" s="4" t="str">
        <f>CHOOSE(Translations!$C$1+1,I26,J26,K26)</f>
        <v>[Name - ES]</v>
      </c>
      <c r="E26" s="4"/>
      <c r="F26" s="4"/>
      <c r="G26" s="4" t="s">
        <v>345</v>
      </c>
      <c r="H26" s="6" t="s">
        <v>5554</v>
      </c>
      <c r="I26" s="6" t="s">
        <v>2860</v>
      </c>
      <c r="J26" s="6" t="s">
        <v>1453</v>
      </c>
      <c r="K26" s="6" t="s">
        <v>1454</v>
      </c>
    </row>
    <row r="27" spans="1:11">
      <c r="B27" s="4" t="s">
        <v>751</v>
      </c>
      <c r="C27" s="4"/>
      <c r="D27" s="4" t="str">
        <f>CHOOSE(Translations!$C$1+1,I27,J27,K27)</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E27" s="4"/>
      <c r="F27" s="4"/>
      <c r="G27" s="4" t="s">
        <v>5569</v>
      </c>
      <c r="H27" s="6"/>
      <c r="I27" s="6" t="s">
        <v>755</v>
      </c>
      <c r="J27" s="6" t="s">
        <v>756</v>
      </c>
      <c r="K27" s="6" t="s">
        <v>757</v>
      </c>
    </row>
    <row r="28" spans="1:11">
      <c r="B28" s="4" t="s">
        <v>758</v>
      </c>
      <c r="C28" s="4"/>
      <c r="D28" s="4" t="str">
        <f>CHOOSE(Translations!$C$1+1,I28,J28,K28)</f>
        <v>HIV O-4a⁽ᴹ⁾ Porcentaje de hombres que afirman haber utilizado preservativo en su última relación de sexo anal con una pareja masculina no regular</v>
      </c>
      <c r="E28" s="4"/>
      <c r="F28" s="4"/>
      <c r="G28" s="4" t="s">
        <v>5570</v>
      </c>
      <c r="H28" s="6"/>
      <c r="I28" s="6" t="s">
        <v>761</v>
      </c>
      <c r="J28" s="6" t="s">
        <v>762</v>
      </c>
      <c r="K28" s="6" t="s">
        <v>763</v>
      </c>
    </row>
    <row r="29" spans="1:11">
      <c r="B29" s="4" t="s">
        <v>764</v>
      </c>
      <c r="C29" s="4"/>
      <c r="D29" s="4" t="str">
        <f>CHOOSE(Translations!$C$1+1,I29,J29,K29)</f>
        <v>HIV O-4.1b⁽ᴹ⁾ Porcentaje de personas transgénero que afirman haber utilizado preservativo en su último encuentro sexual o relación de sexo anal con una pareja masculina no regular</v>
      </c>
      <c r="E29" s="4"/>
      <c r="F29" s="4"/>
      <c r="G29" s="4" t="s">
        <v>5571</v>
      </c>
      <c r="H29" s="6"/>
      <c r="I29" s="6" t="s">
        <v>767</v>
      </c>
      <c r="J29" s="6" t="s">
        <v>768</v>
      </c>
      <c r="K29" s="6" t="s">
        <v>769</v>
      </c>
    </row>
    <row r="30" spans="1:11">
      <c r="B30" s="4" t="s">
        <v>770</v>
      </c>
      <c r="C30" s="4"/>
      <c r="D30" s="4" t="str">
        <f>CHOOSE(Translations!$C$1+1,I30,J30,K30)</f>
        <v>HIV O-5⁽ᴹ⁾ Porcentaje de trabajadores sexuales que afirman haber utilizado preservativo con su último cliente</v>
      </c>
      <c r="E30" s="4"/>
      <c r="F30" s="4"/>
      <c r="G30" s="4" t="s">
        <v>5572</v>
      </c>
      <c r="H30" s="6"/>
      <c r="I30" s="6" t="s">
        <v>773</v>
      </c>
      <c r="J30" s="6" t="s">
        <v>774</v>
      </c>
      <c r="K30" s="6" t="s">
        <v>775</v>
      </c>
    </row>
    <row r="31" spans="1:11">
      <c r="B31" s="4" t="s">
        <v>776</v>
      </c>
      <c r="C31" s="4"/>
      <c r="D31" s="4" t="str">
        <f>CHOOSE(Translations!$C$1+1,I31,J31,K31)</f>
        <v>HIV O-6⁽ᴹ⁾ Porcentaje de consumidores de drogas inyectables que afirman haber utilizado material de inyección esterilizado en su última inyección</v>
      </c>
      <c r="E31" s="4"/>
      <c r="F31" s="4"/>
      <c r="G31" s="4" t="s">
        <v>5573</v>
      </c>
      <c r="H31" s="6"/>
      <c r="I31" s="6" t="s">
        <v>779</v>
      </c>
      <c r="J31" s="6" t="s">
        <v>780</v>
      </c>
      <c r="K31" s="6" t="s">
        <v>781</v>
      </c>
    </row>
    <row r="32" spans="1:11">
      <c r="B32" s="4" t="s">
        <v>782</v>
      </c>
      <c r="C32" s="4"/>
      <c r="D32" s="4" t="str">
        <f>CHOOSE(Translations!$C$1+1,I32,J32,K32)</f>
        <v>HIV O-9 Porcentaje de consumidores de drogas inyectables que afirman haber utilizado preservativo en su última relación sexual</v>
      </c>
      <c r="E32" s="4"/>
      <c r="F32" s="4"/>
      <c r="G32" s="4" t="s">
        <v>5574</v>
      </c>
      <c r="H32" s="6"/>
      <c r="I32" s="6" t="s">
        <v>785</v>
      </c>
      <c r="J32" s="6" t="s">
        <v>786</v>
      </c>
      <c r="K32" s="6" t="s">
        <v>787</v>
      </c>
    </row>
    <row r="33" spans="2:11">
      <c r="B33" s="4" t="s">
        <v>788</v>
      </c>
      <c r="C33" s="4"/>
      <c r="D33" s="4" t="str">
        <f>CHOOSE(Translations!$C$1+1,I33,J33,K33)</f>
        <v>HIV O-7 Porcentaje de otras poblaciones vulnerables que afirman haber utilizado preservativo en su última relación sexual</v>
      </c>
      <c r="E33" s="4"/>
      <c r="F33" s="4"/>
      <c r="G33" s="4" t="s">
        <v>5575</v>
      </c>
      <c r="H33" s="6"/>
      <c r="I33" s="6" t="s">
        <v>791</v>
      </c>
      <c r="J33" s="6" t="s">
        <v>792</v>
      </c>
      <c r="K33" s="6" t="s">
        <v>793</v>
      </c>
    </row>
    <row r="34" spans="2:11">
      <c r="B34" s="4" t="s">
        <v>794</v>
      </c>
      <c r="C34" s="4"/>
      <c r="D34" s="4" t="str">
        <f>CHOOSE(Translations!$C$1+1,I34,J34,K34)</f>
        <v>HIV O-11⁽ᴹ⁾ Porcentaje de personas que viven con el VIH que conocen su Estatus de VIH al final del período de reporte</v>
      </c>
      <c r="E34" s="4"/>
      <c r="F34" s="4"/>
      <c r="G34" s="4" t="s">
        <v>5576</v>
      </c>
      <c r="H34" s="6"/>
      <c r="I34" s="6" t="s">
        <v>797</v>
      </c>
      <c r="J34" s="6" t="s">
        <v>798</v>
      </c>
      <c r="K34" s="6" t="s">
        <v>799</v>
      </c>
    </row>
    <row r="35" spans="2:11">
      <c r="B35" s="4" t="s">
        <v>803</v>
      </c>
      <c r="C35" s="4"/>
      <c r="D35" s="4" t="str">
        <f>CHOOSE(Translations!$C$1+1,I35,J35,K35)</f>
        <v>HIV O-12 Porcentaje de personas que viven con VIH que reciben tratamiento antirretroviral y tienen carga viral suprimida</v>
      </c>
      <c r="E35" s="4"/>
      <c r="F35" s="4"/>
      <c r="G35" s="4" t="s">
        <v>5577</v>
      </c>
      <c r="H35" s="6"/>
      <c r="I35" s="6" t="s">
        <v>806</v>
      </c>
      <c r="J35" s="6" t="s">
        <v>807</v>
      </c>
      <c r="K35" s="6" t="s">
        <v>808</v>
      </c>
    </row>
    <row r="36" spans="2:11">
      <c r="B36" s="4" t="s">
        <v>809</v>
      </c>
      <c r="C36" s="4"/>
      <c r="D36" s="4" t="str">
        <f>CHOOSE(Translations!$C$1+1,I36,J36,K36)</f>
        <v>HIV O-13 Porcentaje de mujeres de 15 a 49 años, no solteras o con pareja, que han sufrido violencia física o sexual de una pareja masculina en los últimos 12 meses</v>
      </c>
      <c r="E36" s="4"/>
      <c r="F36" s="4"/>
      <c r="G36" s="4" t="s">
        <v>5578</v>
      </c>
      <c r="H36" s="6"/>
      <c r="I36" s="6" t="s">
        <v>812</v>
      </c>
      <c r="J36" s="6" t="s">
        <v>813</v>
      </c>
      <c r="K36" s="6" t="s">
        <v>814</v>
      </c>
    </row>
    <row r="37" spans="2:11">
      <c r="B37" s="4" t="s">
        <v>815</v>
      </c>
      <c r="C37" s="4"/>
      <c r="D37" s="4" t="str">
        <f>CHOOSE(Translations!$C$1+1,I37,J37,K37)</f>
        <v>HIV O-14 Porcentaje de mujeres y hombres de 15 a 49 años que informan de actitudes discriminatorias hacia las personas que viven con el VIH</v>
      </c>
      <c r="E37" s="4"/>
      <c r="F37" s="4"/>
      <c r="G37" s="4" t="s">
        <v>5579</v>
      </c>
      <c r="H37" s="6"/>
      <c r="I37" s="6" t="s">
        <v>818</v>
      </c>
      <c r="J37" s="6" t="s">
        <v>819</v>
      </c>
      <c r="K37" s="6" t="s">
        <v>820</v>
      </c>
    </row>
    <row r="38" spans="2:11">
      <c r="B38" s="4" t="s">
        <v>821</v>
      </c>
      <c r="C38" s="4"/>
      <c r="D38" s="4" t="str">
        <f>CHOOSE(Translations!$C$1+1,I38,J38,K38)</f>
        <v>HIV O-15 Porcentaje de personas que viven con el VIH que afirman haber experimentado discriminación relacionada con el VIH en el ámbito de servicios de salud</v>
      </c>
      <c r="E38" s="4"/>
      <c r="F38" s="4"/>
      <c r="G38" s="4" t="s">
        <v>5580</v>
      </c>
      <c r="H38" s="6"/>
      <c r="I38" s="6" t="s">
        <v>824</v>
      </c>
      <c r="J38" s="6" t="s">
        <v>825</v>
      </c>
      <c r="K38" s="6" t="s">
        <v>826</v>
      </c>
    </row>
    <row r="39" spans="2:11">
      <c r="B39" s="4" t="s">
        <v>827</v>
      </c>
      <c r="C39" s="4"/>
      <c r="D39" s="4" t="str">
        <f>CHOOSE(Translations!$C$1+1,I39,J39,K39)</f>
        <v>HIV O-16a Porcentaje de HSH que evitan la atención sanitaria debido al estigma y la discriminación</v>
      </c>
      <c r="E39" s="4"/>
      <c r="F39" s="4"/>
      <c r="G39" s="4" t="s">
        <v>5581</v>
      </c>
      <c r="H39" s="6"/>
      <c r="I39" s="6" t="s">
        <v>830</v>
      </c>
      <c r="J39" s="6" t="s">
        <v>831</v>
      </c>
      <c r="K39" s="6" t="s">
        <v>832</v>
      </c>
    </row>
    <row r="40" spans="2:11">
      <c r="B40" s="4" t="s">
        <v>833</v>
      </c>
      <c r="C40" s="4"/>
      <c r="D40" s="4" t="str">
        <f>CHOOSE(Translations!$C$1+1,I40,J40,K40)</f>
        <v>HIV O-16b Porcentaje de grupos objetivo que evitan la atención sanitaria debido al estigma y la discriminación</v>
      </c>
      <c r="E40" s="4"/>
      <c r="F40" s="4"/>
      <c r="G40" s="4" t="s">
        <v>5582</v>
      </c>
      <c r="H40" s="6"/>
      <c r="I40" s="6" t="s">
        <v>836</v>
      </c>
      <c r="J40" s="6" t="s">
        <v>837</v>
      </c>
      <c r="K40" s="6" t="s">
        <v>838</v>
      </c>
    </row>
    <row r="41" spans="2:11">
      <c r="B41" s="4" t="s">
        <v>839</v>
      </c>
      <c r="C41" s="4"/>
      <c r="D41" s="4" t="str">
        <f>CHOOSE(Translations!$C$1+1,I41,J41,K41)</f>
        <v>HIV O-16c Porcentaje de trabajadores sexuales que evitan la atención sanitaria debido al estigma y la discriminación</v>
      </c>
      <c r="E41" s="4"/>
      <c r="F41" s="4"/>
      <c r="G41" s="4" t="s">
        <v>5583</v>
      </c>
      <c r="H41" s="6"/>
      <c r="I41" s="6" t="s">
        <v>842</v>
      </c>
      <c r="J41" s="6" t="s">
        <v>843</v>
      </c>
      <c r="K41" s="6" t="s">
        <v>844</v>
      </c>
    </row>
    <row r="42" spans="2:11">
      <c r="B42" s="4" t="s">
        <v>845</v>
      </c>
      <c r="C42" s="4"/>
      <c r="D42" s="4" t="str">
        <f>CHOOSE(Translations!$C$1+1,I42,J42,K42)</f>
        <v>HIV O-16d Porcentaje de personas que consumen drogas inyectables que evitan la atención sanitaria debido al estigma y la discriminación</v>
      </c>
      <c r="E42" s="4"/>
      <c r="F42" s="4"/>
      <c r="G42" s="4" t="s">
        <v>5584</v>
      </c>
      <c r="H42" s="6"/>
      <c r="I42" s="6" t="s">
        <v>848</v>
      </c>
      <c r="J42" s="6" t="s">
        <v>849</v>
      </c>
      <c r="K42" s="6" t="s">
        <v>850</v>
      </c>
    </row>
    <row r="43" spans="2:11">
      <c r="B43" s="4" t="s">
        <v>851</v>
      </c>
      <c r="C43" s="4"/>
      <c r="D43" s="4" t="str">
        <f>CHOOSE(Translations!$C$1+1,I43,J43,K43)</f>
        <v>HIV O-17 Porcentaje de personas que viven con el VIH que, habiendo notificado la violación de sus derechos, buscaron compensación jurídica</v>
      </c>
      <c r="E43" s="4"/>
      <c r="F43" s="4"/>
      <c r="G43" s="4" t="s">
        <v>5585</v>
      </c>
      <c r="H43" s="6"/>
      <c r="I43" s="6" t="s">
        <v>854</v>
      </c>
      <c r="J43" s="6" t="s">
        <v>855</v>
      </c>
      <c r="K43" s="6" t="s">
        <v>856</v>
      </c>
    </row>
    <row r="44" spans="2:11">
      <c r="B44" s="4" t="s">
        <v>860</v>
      </c>
      <c r="C44" s="4"/>
      <c r="D44" s="4" t="str">
        <f>CHOOSE(Translations!$C$1+1,I44,J44,K44)</f>
        <v>HIV O-18 Porcentajes de mujeres de 15 a 24 años de edad que han tenido dos o más parejas en los últimos 12 meses</v>
      </c>
      <c r="E44" s="4"/>
      <c r="F44" s="4"/>
      <c r="G44" s="4" t="s">
        <v>5586</v>
      </c>
      <c r="H44" s="6"/>
      <c r="I44" s="6" t="s">
        <v>863</v>
      </c>
      <c r="J44" s="6" t="s">
        <v>864</v>
      </c>
      <c r="K44" s="6" t="s">
        <v>865</v>
      </c>
    </row>
    <row r="45" spans="2:11">
      <c r="B45" s="4" t="s">
        <v>866</v>
      </c>
      <c r="C45" s="4"/>
      <c r="D45" s="4" t="str">
        <f>CHOOSE(Translations!$C$1+1,I45,J45,K45)</f>
        <v>HIV O-19 Porcentaje de mujeres de 15 a 19 años de edad que han tenido un niño nacido vivo o que están embarazadas actualmente</v>
      </c>
      <c r="E45" s="4"/>
      <c r="F45" s="4"/>
      <c r="G45" s="4" t="s">
        <v>5587</v>
      </c>
      <c r="H45" s="6"/>
      <c r="I45" s="6" t="s">
        <v>869</v>
      </c>
      <c r="J45" s="6" t="s">
        <v>870</v>
      </c>
      <c r="K45" s="6" t="s">
        <v>871</v>
      </c>
    </row>
    <row r="46" spans="2:11">
      <c r="B46" s="4" t="s">
        <v>872</v>
      </c>
      <c r="C46" s="4"/>
      <c r="D46" s="4" t="str">
        <f>CHOOSE(Translations!$C$1+1,I46,J46,K46)</f>
        <v>HIV O-20 Porcentaje de mujeres de 15 a 24 años de edad que abandonaron los estudios en el último año</v>
      </c>
      <c r="E46" s="4"/>
      <c r="F46" s="4"/>
      <c r="G46" s="4" t="s">
        <v>5588</v>
      </c>
      <c r="H46" s="6"/>
      <c r="I46" s="6" t="s">
        <v>875</v>
      </c>
      <c r="J46" s="6" t="s">
        <v>876</v>
      </c>
      <c r="K46" s="6" t="s">
        <v>877</v>
      </c>
    </row>
    <row r="47" spans="2:11">
      <c r="B47" s="4" t="s">
        <v>878</v>
      </c>
      <c r="C47" s="4"/>
      <c r="D47" s="4" t="str">
        <f>CHOOSE(Translations!$C$1+1,I47,J47,K47)</f>
        <v>HIV O-21 Porcentaje de personas que viven con el VIH que no reciben TARV al final del período de reporte entre el total de personas que viven con el VIH en TARV o que iniciaron TARV durante el período de reporte</v>
      </c>
      <c r="E47" s="4"/>
      <c r="F47" s="4"/>
      <c r="G47" s="4" t="s">
        <v>5589</v>
      </c>
      <c r="H47" s="6"/>
      <c r="I47" s="6" t="s">
        <v>881</v>
      </c>
      <c r="J47" s="6" t="s">
        <v>882</v>
      </c>
      <c r="K47" s="6" t="s">
        <v>883</v>
      </c>
    </row>
    <row r="48" spans="2:11">
      <c r="B48" s="4" t="s">
        <v>887</v>
      </c>
      <c r="C48" s="4"/>
      <c r="D48" s="4" t="str">
        <f>CHOOSE(Translations!$C$1+1,I48,J48,K48)</f>
        <v>TB O-1a Tasa de notificación de casos de todas las  forma de tuberculosis por cada 100.000 habitantes, confirmados bacteriológicamente y con diagnóstico clínico, casos nuevos y recaídas.</v>
      </c>
      <c r="E48" s="4"/>
      <c r="F48" s="4"/>
      <c r="G48" s="4" t="s">
        <v>5590</v>
      </c>
      <c r="H48" s="6"/>
      <c r="I48" s="6" t="s">
        <v>890</v>
      </c>
      <c r="J48" s="6" t="s">
        <v>891</v>
      </c>
      <c r="K48" s="6" t="s">
        <v>892</v>
      </c>
    </row>
    <row r="49" spans="2:11">
      <c r="B49" s="4" t="s">
        <v>893</v>
      </c>
      <c r="C49" s="4"/>
      <c r="D49" s="4" t="str">
        <f>CHOOSE(Translations!$C$1+1,I49,J49,K49)</f>
        <v>TB O-2a Tasa de éxito del tratamiento en todas las formas de tuberculosis, confirmada bacteriológicamente y con diagnóstico clínico, casos nuevos y recaídas.</v>
      </c>
      <c r="E49" s="4"/>
      <c r="F49" s="4"/>
      <c r="G49" s="4" t="s">
        <v>5591</v>
      </c>
      <c r="H49" s="6"/>
      <c r="I49" s="6" t="s">
        <v>896</v>
      </c>
      <c r="J49" s="6" t="s">
        <v>897</v>
      </c>
      <c r="K49" s="6" t="s">
        <v>898</v>
      </c>
    </row>
    <row r="50" spans="2:11">
      <c r="B50" s="4" t="s">
        <v>905</v>
      </c>
      <c r="C50" s="4"/>
      <c r="D50" s="4" t="str">
        <f>CHOOSE(Translations!$C$1+1,I50,J50,K50)</f>
        <v>TB O-4⁽ᴹ⁾ Tasa de éxito del tratamiento de los casos de tuberculosis resistente a la rifampicina y/o tuberculosis multirresistente: Porcentaje de casos de tuberculosis resistente a la rifampicina y/o tuberculosis multirresistente tratados con éxito.</v>
      </c>
      <c r="E50" s="4"/>
      <c r="F50" s="4"/>
      <c r="G50" s="4" t="s">
        <v>5592</v>
      </c>
      <c r="H50" s="6"/>
      <c r="I50" s="6" t="s">
        <v>908</v>
      </c>
      <c r="J50" s="6" t="s">
        <v>909</v>
      </c>
      <c r="K50" s="6" t="s">
        <v>910</v>
      </c>
    </row>
    <row r="51" spans="2:11">
      <c r="B51" s="4" t="s">
        <v>911</v>
      </c>
      <c r="C51" s="4"/>
      <c r="D51" s="4" t="str">
        <f>CHOOSE(Translations!$C$1+1,I51,J51,K51)</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E51" s="4"/>
      <c r="F51" s="4"/>
      <c r="G51" s="4" t="s">
        <v>5593</v>
      </c>
      <c r="H51" s="6"/>
      <c r="I51" s="6" t="s">
        <v>914</v>
      </c>
      <c r="J51" s="6" t="s">
        <v>915</v>
      </c>
      <c r="K51" s="6" t="s">
        <v>916</v>
      </c>
    </row>
    <row r="52" spans="2:11">
      <c r="B52" s="4" t="s">
        <v>899</v>
      </c>
      <c r="C52" s="4"/>
      <c r="D52" s="4" t="str">
        <f>CHOOSE(Translations!$C$1+1,I52,J52,K52)</f>
        <v>TB O-6 Notificación de casos de tuberculosis resistente a la rifampicina (TB-RR) y/o tuberculosis multirresistente (TB-MR): porcentaje de casos notificados de TB-RR y/o TB-MR confirmados bacteriológicamente como proporción de todos los casos estimados de TB-RR y/o TB-MR.</v>
      </c>
      <c r="E52" s="4"/>
      <c r="F52" s="4"/>
      <c r="G52" s="4" t="s">
        <v>5594</v>
      </c>
      <c r="H52" s="6"/>
      <c r="I52" s="6" t="s">
        <v>902</v>
      </c>
      <c r="J52" s="6" t="s">
        <v>903</v>
      </c>
      <c r="K52" s="6" t="s">
        <v>904</v>
      </c>
    </row>
    <row r="53" spans="2:11">
      <c r="B53" s="4" t="s">
        <v>917</v>
      </c>
      <c r="C53" s="4"/>
      <c r="D53" s="4" t="str">
        <f>CHOOSE(Translations!$C$1+1,I53,J53,K53)</f>
        <v>TB O-7 Porcentaje de personas con tuberculosis que han sufrido autoestigmatización a causa de su estado con respecto a la enfermedad que les ha impedido buscar servicios relacionados con la tuberculosis y acceder</v>
      </c>
      <c r="E53" s="4"/>
      <c r="F53" s="4"/>
      <c r="G53" s="4" t="s">
        <v>5595</v>
      </c>
      <c r="H53" s="6"/>
      <c r="I53" s="6" t="s">
        <v>920</v>
      </c>
      <c r="J53" s="6" t="s">
        <v>921</v>
      </c>
      <c r="K53" s="6" t="s">
        <v>922</v>
      </c>
    </row>
    <row r="54" spans="2:11">
      <c r="B54" s="4" t="s">
        <v>923</v>
      </c>
      <c r="C54" s="4"/>
      <c r="D54" s="4" t="str">
        <f>CHOOSE(Translations!$C$1+1,I54,J54,K54)</f>
        <v>TB O-8 Porcentaje de personas con tuberculosis que han sufrido estigmatización en centros de atención de la salud a causa de su estado con respecto a la enfermedad que les ha impedido buscar servicios relacionados con la tuberculosis y acceder</v>
      </c>
      <c r="E54" s="4"/>
      <c r="F54" s="4"/>
      <c r="G54" s="4" t="s">
        <v>5596</v>
      </c>
      <c r="H54" s="6"/>
      <c r="I54" s="6" t="s">
        <v>926</v>
      </c>
      <c r="J54" s="6" t="s">
        <v>927</v>
      </c>
      <c r="K54" s="6" t="s">
        <v>928</v>
      </c>
    </row>
    <row r="55" spans="2:11">
      <c r="B55" s="4" t="s">
        <v>929</v>
      </c>
      <c r="C55" s="4"/>
      <c r="D55" s="4" t="str">
        <f>CHOOSE(Translations!$C$1+1,I55,J55,K55)</f>
        <v>TB O-9 Porcentajeo de personas con tuberculosis que han sufrido estigmatización en centros comunitarios a causa de su estado con respecto a la enfermedad que les ha impedido buscar servicios relacionados con la tuberculosis y acceder</v>
      </c>
      <c r="E55" s="4"/>
      <c r="F55" s="4"/>
      <c r="G55" s="4" t="s">
        <v>5597</v>
      </c>
      <c r="H55" s="6"/>
      <c r="I55" s="6" t="s">
        <v>932</v>
      </c>
      <c r="J55" s="6" t="s">
        <v>933</v>
      </c>
      <c r="K55" s="6" t="s">
        <v>934</v>
      </c>
    </row>
    <row r="56" spans="2:11">
      <c r="B56" s="4" t="s">
        <v>935</v>
      </c>
      <c r="C56" s="4"/>
      <c r="D56" s="4" t="str">
        <f>CHOOSE(Translations!$C$1+1,I56,J56,K56)</f>
        <v>HSS O-5 Porcentaje de centros de establecimientos de salud con medicamentos marcadores para las tres enfermedades disponibles el día de la visita o el día de la notificación</v>
      </c>
      <c r="E56" s="4"/>
      <c r="F56" s="4"/>
      <c r="G56" s="4" t="s">
        <v>5598</v>
      </c>
      <c r="H56" s="6"/>
      <c r="I56" s="6" t="s">
        <v>938</v>
      </c>
      <c r="J56" s="6" t="s">
        <v>939</v>
      </c>
      <c r="K56" s="6" t="s">
        <v>940</v>
      </c>
    </row>
    <row r="57" spans="2:11">
      <c r="B57" s="4" t="s">
        <v>943</v>
      </c>
      <c r="C57" s="4"/>
      <c r="D57" s="4" t="str">
        <f>CHOOSE(Translations!$C$1+1,I57,J57,K57)</f>
        <v>HSS O-6 Porcentaje de establecimientos  de salud que prestan servicios de diagnóstico el día de la evaluación</v>
      </c>
      <c r="E57" s="4"/>
      <c r="F57" s="4"/>
      <c r="G57" s="4" t="s">
        <v>5599</v>
      </c>
      <c r="H57" s="6"/>
      <c r="I57" s="6" t="s">
        <v>946</v>
      </c>
      <c r="J57" s="6" t="s">
        <v>947</v>
      </c>
      <c r="K57" s="6" t="s">
        <v>948</v>
      </c>
    </row>
    <row r="58" spans="2:11">
      <c r="B58" s="4" t="s">
        <v>951</v>
      </c>
      <c r="C58" s="4"/>
      <c r="D58" s="4" t="str">
        <f>CHOOSE(Translations!$C$1+1,I58,J58,K58)</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E58" s="4"/>
      <c r="F58" s="4"/>
      <c r="G58" s="4" t="s">
        <v>5600</v>
      </c>
      <c r="H58" s="6"/>
      <c r="I58" s="6" t="s">
        <v>954</v>
      </c>
      <c r="J58" s="6" t="s">
        <v>955</v>
      </c>
      <c r="K58" s="6" t="s">
        <v>956</v>
      </c>
    </row>
    <row r="59" spans="2:11">
      <c r="B59" s="4" t="s">
        <v>959</v>
      </c>
      <c r="C59" s="4"/>
      <c r="D59" s="4" t="str">
        <f>CHOOSE(Translations!$C$1+1,I59,J59,K59)</f>
        <v>HSS O-8 Trabajadores de  salud activos por cada 10.000 habitantes</v>
      </c>
      <c r="E59" s="4"/>
      <c r="F59" s="4"/>
      <c r="G59" s="4" t="s">
        <v>5601</v>
      </c>
      <c r="H59" s="6"/>
      <c r="I59" s="6" t="s">
        <v>962</v>
      </c>
      <c r="J59" s="6" t="s">
        <v>963</v>
      </c>
      <c r="K59" s="6" t="s">
        <v>964</v>
      </c>
    </row>
    <row r="60" spans="2:11">
      <c r="B60" s="4" t="s">
        <v>970</v>
      </c>
      <c r="C60" s="4"/>
      <c r="D60" s="4" t="str">
        <f>CHOOSE(Translations!$C$1+1,I60,J60,K60)</f>
        <v>HSS O-9 Porcentaje de clientes prenatales con primera visita antes de las 12 semanas</v>
      </c>
      <c r="E60" s="4"/>
      <c r="F60" s="4"/>
      <c r="G60" s="4" t="s">
        <v>5602</v>
      </c>
      <c r="H60" s="6"/>
      <c r="I60" s="6" t="s">
        <v>973</v>
      </c>
      <c r="J60" s="6" t="s">
        <v>974</v>
      </c>
      <c r="K60" s="6" t="s">
        <v>975</v>
      </c>
    </row>
    <row r="61" spans="2:11">
      <c r="B61" s="4" t="s">
        <v>978</v>
      </c>
      <c r="C61" s="4"/>
      <c r="D61" s="4" t="str">
        <f>CHOOSE(Translations!$C$1+1,I61,J61,K61)</f>
        <v>HSS O-10 Proporción de población con importantes gastos en salud en el hogar como parte de los gastos o ingresos totales del hogar (gastos catastróficos en salud)</v>
      </c>
      <c r="E61" s="4"/>
      <c r="F61" s="4"/>
      <c r="G61" s="4" t="s">
        <v>5603</v>
      </c>
      <c r="H61" s="6"/>
      <c r="I61" s="6" t="s">
        <v>981</v>
      </c>
      <c r="J61" s="6" t="s">
        <v>982</v>
      </c>
      <c r="K61" s="6" t="s">
        <v>983</v>
      </c>
    </row>
    <row r="62" spans="2:11">
      <c r="B62" s="4" t="s">
        <v>935</v>
      </c>
      <c r="C62" s="4"/>
      <c r="D62" s="4" t="str">
        <f>CHOOSE(Translations!$C$1+1,I62,J62,K62)</f>
        <v>HSS O-5 Porcentaje de centros de establecimientos de salud con medicamentos marcadores para las tres enfermedades disponibles el día de la visita o el día de la notificación</v>
      </c>
      <c r="E62" s="4"/>
      <c r="F62" s="4"/>
      <c r="G62" s="4" t="s">
        <v>5604</v>
      </c>
      <c r="H62" s="6"/>
      <c r="I62" s="6" t="s">
        <v>938</v>
      </c>
      <c r="J62" s="6" t="s">
        <v>939</v>
      </c>
      <c r="K62" s="6" t="s">
        <v>940</v>
      </c>
    </row>
    <row r="63" spans="2:11">
      <c r="B63" s="4" t="s">
        <v>943</v>
      </c>
      <c r="C63" s="4"/>
      <c r="D63" s="4" t="str">
        <f>CHOOSE(Translations!$C$1+1,I63,J63,K63)</f>
        <v>HSS O-6 Porcentaje de establecimientos  de salud que prestan servicios de diagnóstico el día de la evaluación</v>
      </c>
      <c r="E63" s="4"/>
      <c r="F63" s="4"/>
      <c r="G63" s="4" t="s">
        <v>5605</v>
      </c>
      <c r="H63" s="6"/>
      <c r="I63" s="6" t="s">
        <v>946</v>
      </c>
      <c r="J63" s="6" t="s">
        <v>947</v>
      </c>
      <c r="K63" s="6" t="s">
        <v>948</v>
      </c>
    </row>
    <row r="64" spans="2:11">
      <c r="B64" s="4" t="s">
        <v>951</v>
      </c>
      <c r="C64" s="4"/>
      <c r="D64" s="4" t="str">
        <f>CHOOSE(Translations!$C$1+1,I64,J64,K64)</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E64" s="4"/>
      <c r="F64" s="4"/>
      <c r="G64" s="4" t="s">
        <v>5606</v>
      </c>
      <c r="H64" s="6"/>
      <c r="I64" s="6" t="s">
        <v>954</v>
      </c>
      <c r="J64" s="6" t="s">
        <v>955</v>
      </c>
      <c r="K64" s="6" t="s">
        <v>956</v>
      </c>
    </row>
    <row r="65" spans="2:11">
      <c r="B65" s="4" t="s">
        <v>959</v>
      </c>
      <c r="C65" s="4"/>
      <c r="D65" s="4" t="str">
        <f>CHOOSE(Translations!$C$1+1,I65,J65,K65)</f>
        <v>HSS O-8 Trabajadores de  salud activos por cada 10.000 habitantes</v>
      </c>
      <c r="E65" s="4"/>
      <c r="F65" s="4"/>
      <c r="G65" s="4" t="s">
        <v>5607</v>
      </c>
      <c r="H65" s="6"/>
      <c r="I65" s="6" t="s">
        <v>962</v>
      </c>
      <c r="J65" s="6" t="s">
        <v>963</v>
      </c>
      <c r="K65" s="6" t="s">
        <v>964</v>
      </c>
    </row>
    <row r="66" spans="2:11">
      <c r="B66" s="4" t="s">
        <v>970</v>
      </c>
      <c r="C66" s="4"/>
      <c r="D66" s="4" t="str">
        <f>CHOOSE(Translations!$C$1+1,I66,J66,K66)</f>
        <v>HSS O-9 Porcentaje de clientes prenatales con primera visita antes de las 12 semanas</v>
      </c>
      <c r="E66" s="4"/>
      <c r="F66" s="4"/>
      <c r="G66" s="4" t="s">
        <v>5608</v>
      </c>
      <c r="H66" s="6"/>
      <c r="I66" s="6" t="s">
        <v>973</v>
      </c>
      <c r="J66" s="6" t="s">
        <v>974</v>
      </c>
      <c r="K66" s="6" t="s">
        <v>975</v>
      </c>
    </row>
    <row r="67" spans="2:11">
      <c r="B67" s="4" t="s">
        <v>978</v>
      </c>
      <c r="C67" s="4"/>
      <c r="D67" s="4" t="str">
        <f>CHOOSE(Translations!$C$1+1,I67,J67,K67)</f>
        <v>HSS O-10 Proporción de población con importantes gastos en salud en el hogar como parte de los gastos o ingresos totales del hogar (gastos catastróficos en salud)</v>
      </c>
      <c r="E67" s="4"/>
      <c r="F67" s="4"/>
      <c r="G67" s="4" t="s">
        <v>5609</v>
      </c>
      <c r="H67" s="6"/>
      <c r="I67" s="6" t="s">
        <v>981</v>
      </c>
      <c r="J67" s="6" t="s">
        <v>982</v>
      </c>
      <c r="K67" s="6" t="s">
        <v>983</v>
      </c>
    </row>
    <row r="68" spans="2:11">
      <c r="B68" s="4" t="s">
        <v>935</v>
      </c>
      <c r="C68" s="4"/>
      <c r="D68" s="4" t="str">
        <f>CHOOSE(Translations!$C$1+1,I68,J68,K68)</f>
        <v>HSS O-5 Porcentaje de centros de establecimientos de salud con medicamentos marcadores para las tres enfermedades disponibles el día de la visita o el día de la notificación</v>
      </c>
      <c r="E68" s="4"/>
      <c r="F68" s="4"/>
      <c r="G68" s="4" t="s">
        <v>5610</v>
      </c>
      <c r="H68" s="6"/>
      <c r="I68" s="6" t="s">
        <v>938</v>
      </c>
      <c r="J68" s="6" t="s">
        <v>939</v>
      </c>
      <c r="K68" s="6" t="s">
        <v>940</v>
      </c>
    </row>
    <row r="69" spans="2:11">
      <c r="B69" s="4" t="s">
        <v>943</v>
      </c>
      <c r="C69" s="4"/>
      <c r="D69" s="4" t="str">
        <f>CHOOSE(Translations!$C$1+1,I69,J69,K69)</f>
        <v>HSS O-6 Porcentaje de establecimientos  de salud que prestan servicios de diagnóstico el día de la evaluación</v>
      </c>
      <c r="E69" s="4"/>
      <c r="F69" s="4"/>
      <c r="G69" s="4" t="s">
        <v>5611</v>
      </c>
      <c r="H69" s="6"/>
      <c r="I69" s="6" t="s">
        <v>946</v>
      </c>
      <c r="J69" s="6" t="s">
        <v>947</v>
      </c>
      <c r="K69" s="6" t="s">
        <v>948</v>
      </c>
    </row>
    <row r="70" spans="2:11">
      <c r="B70" s="4" t="s">
        <v>951</v>
      </c>
      <c r="C70" s="4"/>
      <c r="D70" s="4" t="str">
        <f>CHOOSE(Translations!$C$1+1,I70,J70,K70)</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E70" s="4"/>
      <c r="F70" s="4"/>
      <c r="G70" s="4" t="s">
        <v>5612</v>
      </c>
      <c r="H70" s="6"/>
      <c r="I70" s="6" t="s">
        <v>954</v>
      </c>
      <c r="J70" s="6" t="s">
        <v>955</v>
      </c>
      <c r="K70" s="6" t="s">
        <v>956</v>
      </c>
    </row>
    <row r="71" spans="2:11">
      <c r="B71" s="4" t="s">
        <v>959</v>
      </c>
      <c r="C71" s="4"/>
      <c r="D71" s="4" t="str">
        <f>CHOOSE(Translations!$C$1+1,I71,J71,K71)</f>
        <v>HSS O-8 Trabajadores de  salud activos por cada 10.000 habitantes</v>
      </c>
      <c r="E71" s="4"/>
      <c r="F71" s="4"/>
      <c r="G71" s="4" t="s">
        <v>5613</v>
      </c>
      <c r="H71" s="6"/>
      <c r="I71" s="6" t="s">
        <v>962</v>
      </c>
      <c r="J71" s="6" t="s">
        <v>963</v>
      </c>
      <c r="K71" s="6" t="s">
        <v>964</v>
      </c>
    </row>
    <row r="72" spans="2:11">
      <c r="B72" s="4" t="s">
        <v>970</v>
      </c>
      <c r="C72" s="4"/>
      <c r="D72" s="4" t="str">
        <f>CHOOSE(Translations!$C$1+1,I72,J72,K72)</f>
        <v>HSS O-9 Porcentaje de clientes prenatales con primera visita antes de las 12 semanas</v>
      </c>
      <c r="E72" s="4"/>
      <c r="F72" s="4"/>
      <c r="G72" s="4" t="s">
        <v>5614</v>
      </c>
      <c r="H72" s="6"/>
      <c r="I72" s="6" t="s">
        <v>973</v>
      </c>
      <c r="J72" s="6" t="s">
        <v>974</v>
      </c>
      <c r="K72" s="6" t="s">
        <v>975</v>
      </c>
    </row>
    <row r="73" spans="2:11">
      <c r="B73" s="4" t="s">
        <v>978</v>
      </c>
      <c r="C73" s="4"/>
      <c r="D73" s="4" t="str">
        <f>CHOOSE(Translations!$C$1+1,I73,J73,K73)</f>
        <v>HSS O-10 Proporción de población con importantes gastos en salud en el hogar como parte de los gastos o ingresos totales del hogar (gastos catastróficos en salud)</v>
      </c>
      <c r="E73" s="4"/>
      <c r="F73" s="4"/>
      <c r="G73" s="4" t="s">
        <v>5615</v>
      </c>
      <c r="H73" s="6"/>
      <c r="I73" s="6" t="s">
        <v>981</v>
      </c>
      <c r="J73" s="6" t="s">
        <v>982</v>
      </c>
      <c r="K73" s="6" t="s">
        <v>983</v>
      </c>
    </row>
    <row r="74" spans="2:11">
      <c r="B74" s="4" t="s">
        <v>5616</v>
      </c>
      <c r="C74" s="4"/>
      <c r="D74" s="4" t="str">
        <f>CHOOSE(Translations!$C$1+1,I74,J74,K74)</f>
        <v>HIV O-1(M): Porcentaje de adultos y niños con VIH que se sabe que continúan con el tratamiento 12 meses después de iniciar la terapia antirretroviral</v>
      </c>
      <c r="E74" s="4"/>
      <c r="F74" s="4"/>
      <c r="G74" s="4" t="s">
        <v>5617</v>
      </c>
      <c r="H74" s="6" t="s">
        <v>5618</v>
      </c>
      <c r="I74" s="6" t="s">
        <v>5619</v>
      </c>
      <c r="J74" s="6" t="s">
        <v>5620</v>
      </c>
      <c r="K74" s="6" t="s">
        <v>5621</v>
      </c>
    </row>
    <row r="75" spans="2:11">
      <c r="B75" s="4" t="s">
        <v>5622</v>
      </c>
      <c r="C75" s="4"/>
      <c r="D75" s="4" t="str">
        <f>CHOOSE(Translations!$C$1+1,I75,J75,K75)</f>
        <v>HIV O-2: Porcentaje de mujeres y hombres de entre 15 y 49 años que han tenido más de una pareja sexual en los últimos 12 meses</v>
      </c>
      <c r="E75" s="4"/>
      <c r="F75" s="4"/>
      <c r="G75" s="4" t="s">
        <v>5623</v>
      </c>
      <c r="H75" s="6" t="s">
        <v>5618</v>
      </c>
      <c r="I75" s="6" t="s">
        <v>5624</v>
      </c>
      <c r="J75" s="6" t="s">
        <v>5625</v>
      </c>
      <c r="K75" s="6" t="s">
        <v>5626</v>
      </c>
    </row>
    <row r="76" spans="2:11">
      <c r="B76" s="4" t="s">
        <v>5627</v>
      </c>
      <c r="C76" s="4"/>
      <c r="D76" s="4" t="str">
        <f>CHOOSE(Translations!$C$1+1,I76,J76,K76)</f>
        <v>HIV O-3: Porcentaje de mujeres y hombres de entre 15 y 49 años que han tenido más de una pareja sexual en los últimos 12 meses y dicen haber utilizado preservativo en su última relación sexual</v>
      </c>
      <c r="E76" s="4"/>
      <c r="F76" s="4"/>
      <c r="G76" s="4" t="s">
        <v>5628</v>
      </c>
      <c r="H76" s="6" t="s">
        <v>5618</v>
      </c>
      <c r="I76" s="6" t="s">
        <v>5629</v>
      </c>
      <c r="J76" s="6" t="s">
        <v>5630</v>
      </c>
      <c r="K76" s="6" t="s">
        <v>5631</v>
      </c>
    </row>
    <row r="77" spans="2:11">
      <c r="B77" s="4" t="s">
        <v>5632</v>
      </c>
      <c r="C77" s="4"/>
      <c r="D77" s="4" t="str">
        <f>CHOOSE(Translations!$C$1+1,I77,J77,K77)</f>
        <v>HIV O-4a(M): Porcentaje de hombres que afirman haber utilizado preservativo en su última relación de sexo anal con otro hombre</v>
      </c>
      <c r="E77" s="4"/>
      <c r="F77" s="4"/>
      <c r="G77" s="4" t="s">
        <v>5633</v>
      </c>
      <c r="H77" s="6" t="s">
        <v>5618</v>
      </c>
      <c r="I77" s="6" t="s">
        <v>5634</v>
      </c>
      <c r="J77" s="6" t="s">
        <v>5635</v>
      </c>
      <c r="K77" s="6" t="s">
        <v>5636</v>
      </c>
    </row>
    <row r="78" spans="2:11">
      <c r="B78" s="4" t="s">
        <v>5637</v>
      </c>
      <c r="C78" s="4"/>
      <c r="D78" s="4" t="str">
        <f>CHOOSE(Translations!$C$1+1,I78,J78,K78)</f>
        <v>HIV O-4b: porcentaje de personas transgénero que comercian con sexo que dicen haber utilizado preservativo con su último cliente</v>
      </c>
      <c r="E78" s="4"/>
      <c r="F78" s="4"/>
      <c r="G78" s="4" t="s">
        <v>5638</v>
      </c>
      <c r="H78" s="6" t="s">
        <v>5618</v>
      </c>
      <c r="I78" s="6" t="s">
        <v>5639</v>
      </c>
      <c r="J78" s="6" t="s">
        <v>5640</v>
      </c>
      <c r="K78" s="6" t="s">
        <v>5641</v>
      </c>
    </row>
    <row r="79" spans="2:11">
      <c r="B79" s="4" t="s">
        <v>5642</v>
      </c>
      <c r="C79" s="4"/>
      <c r="D79" s="4" t="str">
        <f>CHOOSE(Translations!$C$1+1,I79,J79,K79)</f>
        <v>HIV O-5(M): Porcentaje de trabajadores del sexo que reportan haber utilizado preservativo con su último cliente</v>
      </c>
      <c r="E79" s="4"/>
      <c r="F79" s="4"/>
      <c r="G79" s="4" t="s">
        <v>5643</v>
      </c>
      <c r="H79" s="6" t="s">
        <v>5618</v>
      </c>
      <c r="I79" s="6" t="s">
        <v>5644</v>
      </c>
      <c r="J79" s="6" t="s">
        <v>5645</v>
      </c>
      <c r="K79" s="6" t="s">
        <v>5646</v>
      </c>
    </row>
    <row r="80" spans="2:11">
      <c r="B80" s="4" t="s">
        <v>5647</v>
      </c>
      <c r="C80" s="4"/>
      <c r="D80" s="4" t="str">
        <f>CHOOSE(Translations!$C$1+1,I80,J80,K80)</f>
        <v>HIV O-6(M): Porcentaje de personas que consumen drogas inyectables que reportan haber utilizado materiales de inyección estériles la última vez que se inyectaron</v>
      </c>
      <c r="E80" s="4"/>
      <c r="F80" s="4"/>
      <c r="G80" s="4" t="s">
        <v>5648</v>
      </c>
      <c r="H80" s="6" t="s">
        <v>5618</v>
      </c>
      <c r="I80" s="6" t="s">
        <v>5649</v>
      </c>
      <c r="J80" s="6" t="s">
        <v>5650</v>
      </c>
      <c r="K80" s="6" t="s">
        <v>5651</v>
      </c>
    </row>
    <row r="81" spans="2:11">
      <c r="B81" s="4" t="s">
        <v>5652</v>
      </c>
      <c r="C81" s="4"/>
      <c r="D81" s="4" t="str">
        <f>CHOOSE(Translations!$C$1+1,I81,J81,K81)</f>
        <v>HIV O-7: Porcentaje de otras poblaciones vulnerables que dicen haber utilizado preservativo en su última relación sexual</v>
      </c>
      <c r="E81" s="4"/>
      <c r="F81" s="4"/>
      <c r="G81" s="4" t="s">
        <v>5653</v>
      </c>
      <c r="H81" s="6" t="s">
        <v>5618</v>
      </c>
      <c r="I81" s="6" t="s">
        <v>5654</v>
      </c>
      <c r="J81" s="6" t="s">
        <v>5655</v>
      </c>
      <c r="K81" s="6" t="s">
        <v>5656</v>
      </c>
    </row>
    <row r="82" spans="2:11">
      <c r="B82" s="4" t="s">
        <v>5657</v>
      </c>
      <c r="C82" s="4"/>
      <c r="D82" s="4" t="str">
        <f>CHOOSE(Translations!$C$1+1,I82,J82,K82)</f>
        <v>HIV O-8: Tasa de asistencia escolar actual entre huérfanos y no huérfanos</v>
      </c>
      <c r="E82" s="4"/>
      <c r="F82" s="4"/>
      <c r="G82" s="4" t="s">
        <v>5658</v>
      </c>
      <c r="H82" s="6" t="s">
        <v>5618</v>
      </c>
      <c r="I82" s="6" t="s">
        <v>5659</v>
      </c>
      <c r="J82" s="6" t="s">
        <v>5660</v>
      </c>
      <c r="K82" s="6" t="s">
        <v>5661</v>
      </c>
    </row>
    <row r="83" spans="2:11">
      <c r="B83" s="4" t="s">
        <v>5662</v>
      </c>
      <c r="C83" s="4"/>
      <c r="D83" s="4" t="str">
        <f>CHOOSE(Translations!$C$1+1,I83,J83,K83)</f>
        <v>HSS O-1: Porcentaje de mujeres que asisten a los servicios de atención prenatal</v>
      </c>
      <c r="E83" s="4"/>
      <c r="F83" s="4"/>
      <c r="G83" s="4" t="s">
        <v>5663</v>
      </c>
      <c r="H83" s="6" t="s">
        <v>5664</v>
      </c>
      <c r="I83" s="6" t="s">
        <v>5665</v>
      </c>
      <c r="J83" s="6" t="s">
        <v>5666</v>
      </c>
      <c r="K83" s="6" t="s">
        <v>5667</v>
      </c>
    </row>
    <row r="84" spans="2:11">
      <c r="B84" s="4" t="s">
        <v>5668</v>
      </c>
      <c r="C84" s="4"/>
      <c r="D84" s="4" t="str">
        <f>CHOOSE(Translations!$C$1+1,I84,J84,K84)</f>
        <v>HSS O-2: Porcentaje de nacimientos asistidos por un profesional de la salud capacitado</v>
      </c>
      <c r="E84" s="4"/>
      <c r="F84" s="4"/>
      <c r="G84" s="4" t="s">
        <v>5669</v>
      </c>
      <c r="H84" s="6" t="s">
        <v>5664</v>
      </c>
      <c r="I84" s="6" t="s">
        <v>5670</v>
      </c>
      <c r="J84" s="6" t="s">
        <v>5671</v>
      </c>
      <c r="K84" s="6" t="s">
        <v>5672</v>
      </c>
    </row>
    <row r="85" spans="2:11">
      <c r="B85" s="4" t="s">
        <v>5673</v>
      </c>
      <c r="C85" s="4"/>
      <c r="D85" s="4" t="str">
        <f>CHOOSE(Translations!$C$1+1,I85,J85,K85)</f>
        <v>HSS O-3: Razón del gasto de bolsillo por hogar en salud y el gasto total en salud</v>
      </c>
      <c r="E85" s="4"/>
      <c r="F85" s="4"/>
      <c r="G85" s="4" t="s">
        <v>5674</v>
      </c>
      <c r="H85" s="6" t="s">
        <v>5618</v>
      </c>
      <c r="I85" s="6" t="s">
        <v>5675</v>
      </c>
      <c r="J85" s="6" t="s">
        <v>5676</v>
      </c>
      <c r="K85" s="6" t="s">
        <v>5677</v>
      </c>
    </row>
    <row r="86" spans="2:11">
      <c r="B86" s="4" t="s">
        <v>5678</v>
      </c>
      <c r="C86" s="4"/>
      <c r="D86" s="4" t="str">
        <f>CHOOSE(Translations!$C$1+1,I86,J86,K86)</f>
        <v>HSS O-5: Puntuación de la prontitud de servicios específicos en los centros de salud</v>
      </c>
      <c r="E86" s="4"/>
      <c r="F86" s="4"/>
      <c r="G86" s="4" t="s">
        <v>5679</v>
      </c>
      <c r="H86" s="6" t="s">
        <v>5342</v>
      </c>
      <c r="I86" s="6" t="s">
        <v>5680</v>
      </c>
      <c r="J86" s="6" t="s">
        <v>5681</v>
      </c>
      <c r="K86" s="6" t="s">
        <v>5682</v>
      </c>
    </row>
    <row r="87" spans="2:11">
      <c r="B87" s="4" t="s">
        <v>5683</v>
      </c>
      <c r="C87" s="4"/>
      <c r="D87" s="4" t="str">
        <f>CHOOSE(Translations!$C$1+1,I87,J87,K87)</f>
        <v>HSS O-4: Puntuación de la prontitud de servicios generales en los centros de salud</v>
      </c>
      <c r="E87" s="4"/>
      <c r="F87" s="4"/>
      <c r="G87" s="4" t="s">
        <v>5684</v>
      </c>
      <c r="H87" s="6" t="s">
        <v>5342</v>
      </c>
      <c r="I87" s="6" t="s">
        <v>5685</v>
      </c>
      <c r="J87" s="6" t="s">
        <v>5686</v>
      </c>
      <c r="K87" s="6" t="s">
        <v>5687</v>
      </c>
    </row>
    <row r="88" spans="2:11">
      <c r="B88" s="4" t="s">
        <v>5688</v>
      </c>
      <c r="C88" s="4"/>
      <c r="D88" s="4" t="str">
        <f>CHOOSE(Translations!$C$1+1,I88,J88,K88)</f>
        <v>HIV O-10: Porcentaje de mujeres y hombres con parejas casuales en los últimos 12 meses, que reportan el uso de preservativo durante su última relación sexual</v>
      </c>
      <c r="E88" s="4"/>
      <c r="F88" s="4"/>
      <c r="G88" s="4" t="s">
        <v>5689</v>
      </c>
      <c r="H88" s="6" t="s">
        <v>5618</v>
      </c>
      <c r="I88" s="6" t="s">
        <v>5690</v>
      </c>
      <c r="J88" s="6" t="s">
        <v>5691</v>
      </c>
      <c r="K88" s="6" t="s">
        <v>5692</v>
      </c>
    </row>
    <row r="89" spans="2:11">
      <c r="B89" s="4" t="s">
        <v>5693</v>
      </c>
      <c r="C89" s="4"/>
      <c r="D89" s="4" t="str">
        <f>CHOOSE(Translations!$C$1+1,I89,J89,K89)</f>
        <v>HIV O-4.1b(M): Porcentaje de personas transgénero que reportan uso de condón la última vez que sostuvieron relaciones sexuales con una pareja</v>
      </c>
      <c r="E89" s="4"/>
      <c r="F89" s="4"/>
      <c r="G89" s="4" t="s">
        <v>5694</v>
      </c>
      <c r="H89" s="6" t="s">
        <v>5618</v>
      </c>
      <c r="I89" s="6" t="s">
        <v>5695</v>
      </c>
      <c r="J89" s="6" t="s">
        <v>5696</v>
      </c>
      <c r="K89" s="6" t="s">
        <v>5697</v>
      </c>
    </row>
    <row r="90" spans="2:11">
      <c r="B90" s="4" t="s">
        <v>5698</v>
      </c>
      <c r="C90" s="4"/>
      <c r="D90" s="4" t="str">
        <f>CHOOSE(Translations!$C$1+1,I90,J90,K90)</f>
        <v>HIV O-9: Porcentaje de personas que consumen drogas inyectables que reportan uso del preservativo en su ultima relación sexual</v>
      </c>
      <c r="E90" s="4"/>
      <c r="F90" s="4"/>
      <c r="G90" s="4" t="s">
        <v>5699</v>
      </c>
      <c r="H90" s="6" t="s">
        <v>5618</v>
      </c>
      <c r="I90" s="6" t="s">
        <v>5700</v>
      </c>
      <c r="J90" s="6" t="s">
        <v>5701</v>
      </c>
      <c r="K90" s="6" t="s">
        <v>5702</v>
      </c>
    </row>
    <row r="91" spans="2:11">
      <c r="B91" s="4" t="s">
        <v>5703</v>
      </c>
      <c r="C91" s="4"/>
      <c r="D91" s="4" t="str">
        <f>CHOOSE(Translations!$C$1+1,I91,J91,K91)</f>
        <v>HIV O-11: Porcentaje de personas que viven con el VIH (estimadas) con prueba de VIH positiva</v>
      </c>
      <c r="E91" s="4"/>
      <c r="F91" s="4"/>
      <c r="G91" s="4" t="s">
        <v>5704</v>
      </c>
      <c r="H91" s="6" t="s">
        <v>5618</v>
      </c>
      <c r="I91" s="6" t="s">
        <v>5705</v>
      </c>
      <c r="J91" s="6" t="s">
        <v>5706</v>
      </c>
      <c r="K91" s="6" t="s">
        <v>5707</v>
      </c>
    </row>
    <row r="92" spans="2:11">
      <c r="B92" s="4" t="s">
        <v>5708</v>
      </c>
      <c r="C92" s="4"/>
      <c r="D92" s="4" t="str">
        <f>CHOOSE(Translations!$C$1+1,I92,J92,K92)</f>
        <v>HIV O-12: Porcentaje de personas que viven con VIH que están en TARV y tienen carga viral suprimida (entre todas las PVVIH en TARV que tienen una medición de carga viral independientemente de cuándo iniciaron TARV)</v>
      </c>
      <c r="E92" s="4"/>
      <c r="F92" s="4"/>
      <c r="G92" s="4" t="s">
        <v>5709</v>
      </c>
      <c r="H92" s="6" t="s">
        <v>5618</v>
      </c>
      <c r="I92" s="6" t="s">
        <v>5710</v>
      </c>
      <c r="J92" s="6" t="s">
        <v>5711</v>
      </c>
      <c r="K92" s="6" t="s">
        <v>5712</v>
      </c>
    </row>
    <row r="93" spans="2:11">
      <c r="B93" s="4" t="s">
        <v>5713</v>
      </c>
      <c r="C93" s="4"/>
      <c r="D93" s="4" t="str">
        <f>CHOOSE(Translations!$C$1+1,I93,J93,K93)</f>
        <v>HIV O-13: Porcentaje de mujeres de 15-49 años, casadas o que viven en pareja, que han sufrido violencia física o sexual por una pareja masculina en los últimos 12 meses</v>
      </c>
      <c r="E93" s="4"/>
      <c r="F93" s="4"/>
      <c r="G93" s="4" t="s">
        <v>5714</v>
      </c>
      <c r="H93" s="6" t="s">
        <v>5618</v>
      </c>
      <c r="I93" s="6" t="s">
        <v>5715</v>
      </c>
      <c r="J93" s="6" t="s">
        <v>5716</v>
      </c>
      <c r="K93" s="6" t="s">
        <v>5717</v>
      </c>
    </row>
    <row r="94" spans="2:11">
      <c r="B94" s="4" t="s">
        <v>5718</v>
      </c>
      <c r="C94" s="4"/>
      <c r="D94" s="4" t="str">
        <f>CHOOSE(Translations!$C$1+1,I94,J94,K94)</f>
        <v>HIV O-14: Porcentaje de mujeres y hombres de 15-49 años que reportan actitudes discriminatorias hacia las personas que viven con el VIH</v>
      </c>
      <c r="E94" s="4"/>
      <c r="F94" s="4"/>
      <c r="G94" s="4" t="s">
        <v>5719</v>
      </c>
      <c r="H94" s="6" t="s">
        <v>5618</v>
      </c>
      <c r="I94" s="6" t="s">
        <v>5720</v>
      </c>
      <c r="J94" s="6" t="s">
        <v>5721</v>
      </c>
      <c r="K94" s="6" t="s">
        <v>5722</v>
      </c>
    </row>
    <row r="95" spans="2:11">
      <c r="B95" s="4" t="s">
        <v>5723</v>
      </c>
      <c r="C95" s="4"/>
      <c r="D95" s="4" t="str">
        <f>CHOOSE(Translations!$C$1+1,I95,J95,K95)</f>
        <v>HIV O-15: Porcentaje de personas que viven con el VIH que reportan haber experimentado discriminación en los servicios de salud</v>
      </c>
      <c r="E95" s="4"/>
      <c r="F95" s="4"/>
      <c r="G95" s="4" t="s">
        <v>5724</v>
      </c>
      <c r="H95" s="6" t="s">
        <v>5618</v>
      </c>
      <c r="I95" s="6" t="s">
        <v>5725</v>
      </c>
      <c r="J95" s="6" t="s">
        <v>5726</v>
      </c>
      <c r="K95" s="6" t="s">
        <v>5727</v>
      </c>
    </row>
    <row r="96" spans="2:11">
      <c r="B96" s="4" t="s">
        <v>5728</v>
      </c>
      <c r="C96" s="4"/>
      <c r="D96" s="4" t="str">
        <f>CHOOSE(Translations!$C$1+1,I96,J96,K96)</f>
        <v>TB O-1a: Tasa de notificación de casos de TB todas las formas por 100,000 habitantes - confirmados bacteriológicamente y con diagnóstico clínico, casos nuevos y recaídas</v>
      </c>
      <c r="E96" s="4"/>
      <c r="F96" s="4"/>
      <c r="G96" s="4" t="s">
        <v>5729</v>
      </c>
      <c r="H96" s="6" t="s">
        <v>5342</v>
      </c>
      <c r="I96" s="6" t="s">
        <v>5730</v>
      </c>
      <c r="J96" s="6" t="s">
        <v>5731</v>
      </c>
      <c r="K96" s="6" t="s">
        <v>5732</v>
      </c>
    </row>
    <row r="97" spans="2:11">
      <c r="B97" s="4" t="s">
        <v>5733</v>
      </c>
      <c r="C97" s="4"/>
      <c r="D97" s="4" t="str">
        <f>CHOOSE(Translations!$C$1+1,I97,J97,K97)</f>
        <v>TB O-1b: Tasa de notificación de casos de tuberculosis por cada 100.000 habitantes, confirmados bacteriológicamente, (casos nuevos y recaídas)</v>
      </c>
      <c r="E97" s="4"/>
      <c r="F97" s="4"/>
      <c r="G97" s="4" t="s">
        <v>5734</v>
      </c>
      <c r="H97" s="6" t="s">
        <v>5342</v>
      </c>
      <c r="I97" s="6" t="s">
        <v>5735</v>
      </c>
      <c r="J97" s="6" t="s">
        <v>5736</v>
      </c>
      <c r="K97" s="6" t="s">
        <v>5737</v>
      </c>
    </row>
    <row r="98" spans="2:11">
      <c r="B98" s="4" t="s">
        <v>5738</v>
      </c>
      <c r="C98" s="4"/>
      <c r="D98" s="4" t="str">
        <f>CHOOSE(Translations!$C$1+1,I98,J98,K98)</f>
        <v>TB O-2a: Tasa de éxito del tratamiento de casos de TB todas las formas - confirmados bacteriológicamente y con diagnóstico clínico, casos nuevos y recaídas</v>
      </c>
      <c r="E98" s="4"/>
      <c r="F98" s="4"/>
      <c r="G98" s="4" t="s">
        <v>5739</v>
      </c>
      <c r="H98" s="6" t="s">
        <v>5618</v>
      </c>
      <c r="I98" s="6" t="s">
        <v>5740</v>
      </c>
      <c r="J98" s="6" t="s">
        <v>5741</v>
      </c>
      <c r="K98" s="6" t="s">
        <v>5742</v>
      </c>
    </row>
    <row r="99" spans="2:11">
      <c r="B99" s="4" t="s">
        <v>5743</v>
      </c>
      <c r="C99" s="4"/>
      <c r="D99" s="4" t="str">
        <f>CHOOSE(Translations!$C$1+1,I99,J99,K99)</f>
        <v>TB O-2b: Tasa de éxito del tratamiento en los casos de tuberculosis confirmados bacteriológicamente</v>
      </c>
      <c r="E99" s="4"/>
      <c r="F99" s="4"/>
      <c r="G99" s="4" t="s">
        <v>5744</v>
      </c>
      <c r="H99" s="6" t="s">
        <v>5618</v>
      </c>
      <c r="I99" s="6" t="s">
        <v>5745</v>
      </c>
      <c r="J99" s="6" t="s">
        <v>5746</v>
      </c>
      <c r="K99" s="6" t="s">
        <v>5747</v>
      </c>
    </row>
    <row r="100" spans="2:11">
      <c r="B100" s="4" t="s">
        <v>5748</v>
      </c>
      <c r="C100" s="4"/>
      <c r="D100" s="4" t="str">
        <f>CHOOSE(Translations!$C$1+1,I100,J100,K100)</f>
        <v>TB O-3: Notificación de casos de TB-RR (tuberculosis resistente a la rifampicina) y/o TB-MR (tuberculosis multirresistente) – Porcentaje de casos notificados de TB-RR y/o TB-MR confirmados bacteriológicamente como proporción de los casos estimados de TB-RR y/o TB-MR entre los casos de tuberculosis notificados</v>
      </c>
      <c r="E100" s="4"/>
      <c r="F100" s="4"/>
      <c r="G100" s="4" t="s">
        <v>5749</v>
      </c>
      <c r="H100" s="6" t="s">
        <v>5618</v>
      </c>
      <c r="I100" s="6" t="s">
        <v>5750</v>
      </c>
      <c r="J100" s="6" t="s">
        <v>5751</v>
      </c>
      <c r="K100" s="6" t="s">
        <v>5752</v>
      </c>
    </row>
    <row r="101" spans="2:11">
      <c r="B101" s="4" t="s">
        <v>5753</v>
      </c>
      <c r="C101" s="4"/>
      <c r="D101" s="4" t="str">
        <f>CHOOSE(Translations!$C$1+1,I101,J101,K101)</f>
        <v>TB O-4(M): Tasa de éxito del tratamiento de TB-RR y/o TB-MDR: Porcentaje de casos TB-RR y/o TB-MR que fueron tratados exitosamente</v>
      </c>
      <c r="E101" s="4"/>
      <c r="F101" s="4"/>
      <c r="G101" s="4" t="s">
        <v>5754</v>
      </c>
      <c r="H101" s="6" t="s">
        <v>5618</v>
      </c>
      <c r="I101" s="6" t="s">
        <v>5755</v>
      </c>
      <c r="J101" s="6" t="s">
        <v>5756</v>
      </c>
      <c r="K101" s="6" t="s">
        <v>5757</v>
      </c>
    </row>
    <row r="102" spans="2:11">
      <c r="B102" s="4" t="s">
        <v>5662</v>
      </c>
      <c r="C102" s="4"/>
      <c r="D102" s="4" t="str">
        <f>CHOOSE(Translations!$C$1+1,I102,J102,K102)</f>
        <v>HSS O-1: Porcentaje de mujeres que asisten a los servicios de atención prenatal</v>
      </c>
      <c r="E102" s="4"/>
      <c r="F102" s="4"/>
      <c r="G102" s="4" t="s">
        <v>5758</v>
      </c>
      <c r="H102" s="6" t="s">
        <v>5664</v>
      </c>
      <c r="I102" s="6" t="s">
        <v>5665</v>
      </c>
      <c r="J102" s="6" t="s">
        <v>5666</v>
      </c>
      <c r="K102" s="6" t="s">
        <v>5667</v>
      </c>
    </row>
    <row r="103" spans="2:11">
      <c r="B103" s="4" t="s">
        <v>5668</v>
      </c>
      <c r="C103" s="4"/>
      <c r="D103" s="4" t="str">
        <f>CHOOSE(Translations!$C$1+1,I103,J103,K103)</f>
        <v>HSS O-2: Porcentaje de nacimientos asistidos por un profesional de la salud capacitado</v>
      </c>
      <c r="E103" s="4"/>
      <c r="F103" s="4"/>
      <c r="G103" s="4" t="s">
        <v>5759</v>
      </c>
      <c r="H103" s="6" t="s">
        <v>5664</v>
      </c>
      <c r="I103" s="6" t="s">
        <v>5670</v>
      </c>
      <c r="J103" s="6" t="s">
        <v>5671</v>
      </c>
      <c r="K103" s="6" t="s">
        <v>5672</v>
      </c>
    </row>
    <row r="104" spans="2:11">
      <c r="B104" s="4" t="s">
        <v>5673</v>
      </c>
      <c r="C104" s="4"/>
      <c r="D104" s="4" t="str">
        <f>CHOOSE(Translations!$C$1+1,I104,J104,K104)</f>
        <v>HSS O-3: Razón del gasto de bolsillo por hogar en salud y el gasto total en salud</v>
      </c>
      <c r="E104" s="4"/>
      <c r="F104" s="4"/>
      <c r="G104" s="4" t="s">
        <v>5760</v>
      </c>
      <c r="H104" s="6" t="s">
        <v>5618</v>
      </c>
      <c r="I104" s="6" t="s">
        <v>5675</v>
      </c>
      <c r="J104" s="6" t="s">
        <v>5676</v>
      </c>
      <c r="K104" s="6" t="s">
        <v>5677</v>
      </c>
    </row>
    <row r="105" spans="2:11">
      <c r="B105" s="4" t="s">
        <v>5678</v>
      </c>
      <c r="C105" s="4"/>
      <c r="D105" s="4" t="str">
        <f>CHOOSE(Translations!$C$1+1,I105,J105,K105)</f>
        <v>HSS O-5: Puntuación de la prontitud de servicios específicos en los centros de salud</v>
      </c>
      <c r="E105" s="4"/>
      <c r="F105" s="4"/>
      <c r="G105" s="4" t="s">
        <v>5761</v>
      </c>
      <c r="H105" s="6" t="s">
        <v>5342</v>
      </c>
      <c r="I105" s="6" t="s">
        <v>5680</v>
      </c>
      <c r="J105" s="6" t="s">
        <v>5681</v>
      </c>
      <c r="K105" s="6" t="s">
        <v>5682</v>
      </c>
    </row>
    <row r="106" spans="2:11">
      <c r="B106" s="4" t="s">
        <v>5683</v>
      </c>
      <c r="C106" s="4"/>
      <c r="D106" s="4" t="str">
        <f>CHOOSE(Translations!$C$1+1,I106,J106,K106)</f>
        <v>HSS O-4: Puntuación de la prontitud de servicios generales en los centros de salud</v>
      </c>
      <c r="E106" s="4"/>
      <c r="F106" s="4"/>
      <c r="G106" s="4" t="s">
        <v>5762</v>
      </c>
      <c r="H106" s="6" t="s">
        <v>5342</v>
      </c>
      <c r="I106" s="6" t="s">
        <v>5685</v>
      </c>
      <c r="J106" s="6" t="s">
        <v>5686</v>
      </c>
      <c r="K106" s="6" t="s">
        <v>5687</v>
      </c>
    </row>
    <row r="107" spans="2:11">
      <c r="B107" s="4" t="s">
        <v>5763</v>
      </c>
      <c r="C107" s="4"/>
      <c r="D107" s="4" t="str">
        <f>CHOOSE(Translations!$C$1+1,I107,J107,K107)</f>
        <v>TB O-6: Notificación de casos TB-RR y/o TB-MDR - Porcentaje de casos notificados de RR-TB y/o MDR-TB bacteriologicamente confirmados, como una proporción de todos los casos estimados de TB-RR y/o TB-MDR</v>
      </c>
      <c r="E107" s="4"/>
      <c r="F107" s="4"/>
      <c r="G107" s="4" t="s">
        <v>5764</v>
      </c>
      <c r="H107" s="6" t="s">
        <v>5618</v>
      </c>
      <c r="I107" s="6" t="s">
        <v>5765</v>
      </c>
      <c r="J107" s="6" t="s">
        <v>5766</v>
      </c>
      <c r="K107" s="6" t="s">
        <v>5767</v>
      </c>
    </row>
    <row r="108" spans="2:11">
      <c r="B108" s="4" t="s">
        <v>5768</v>
      </c>
      <c r="C108" s="4"/>
      <c r="D108" s="4" t="str">
        <f>CHOOSE(Translations!$C$1+1,I108,J108,K108)</f>
        <v>TB O-5(M): Cobertura del tratamiento de TB: Porcentaje de casos nuevos y recaídas que fueron notificados y tratados entre el número de casos incidentes estimados para el mismo año (todas las formas de TB: confirmados bacteriológicamente y diagnosticados clínicamente)</v>
      </c>
      <c r="E108" s="4"/>
      <c r="F108" s="4"/>
      <c r="G108" s="4" t="s">
        <v>5769</v>
      </c>
      <c r="H108" s="6" t="s">
        <v>5618</v>
      </c>
      <c r="I108" s="6" t="s">
        <v>5770</v>
      </c>
      <c r="J108" s="6" t="s">
        <v>5771</v>
      </c>
      <c r="K108" s="6" t="s">
        <v>5772</v>
      </c>
    </row>
    <row r="109" spans="2:11">
      <c r="B109" s="4" t="s">
        <v>5662</v>
      </c>
      <c r="C109" s="4"/>
      <c r="D109" s="4" t="str">
        <f>CHOOSE(Translations!$C$1+1,I109,J109,K109)</f>
        <v>HSS O-1: Porcentaje de mujeres que asisten a los servicios de atención prenatal</v>
      </c>
      <c r="E109" s="4"/>
      <c r="F109" s="4"/>
      <c r="G109" s="4" t="s">
        <v>5773</v>
      </c>
      <c r="H109" s="6" t="s">
        <v>5664</v>
      </c>
      <c r="I109" s="6" t="s">
        <v>5665</v>
      </c>
      <c r="J109" s="6" t="s">
        <v>5666</v>
      </c>
      <c r="K109" s="6" t="s">
        <v>5667</v>
      </c>
    </row>
    <row r="110" spans="2:11">
      <c r="B110" s="4" t="s">
        <v>5668</v>
      </c>
      <c r="C110" s="4"/>
      <c r="D110" s="4" t="str">
        <f>CHOOSE(Translations!$C$1+1,I110,J110,K110)</f>
        <v>HSS O-2: Porcentaje de nacimientos asistidos por un profesional de la salud capacitado</v>
      </c>
      <c r="E110" s="4"/>
      <c r="F110" s="4"/>
      <c r="G110" s="4" t="s">
        <v>5774</v>
      </c>
      <c r="H110" s="6" t="s">
        <v>5664</v>
      </c>
      <c r="I110" s="6" t="s">
        <v>5670</v>
      </c>
      <c r="J110" s="6" t="s">
        <v>5671</v>
      </c>
      <c r="K110" s="6" t="s">
        <v>5672</v>
      </c>
    </row>
    <row r="111" spans="2:11">
      <c r="B111" s="4" t="s">
        <v>5673</v>
      </c>
      <c r="C111" s="4"/>
      <c r="D111" s="4" t="str">
        <f>CHOOSE(Translations!$C$1+1,I111,J111,K111)</f>
        <v>HSS O-3: Razón del gasto de bolsillo por hogar en salud y el gasto total en salud</v>
      </c>
      <c r="E111" s="4"/>
      <c r="F111" s="4"/>
      <c r="G111" s="4" t="s">
        <v>5775</v>
      </c>
      <c r="H111" s="6" t="s">
        <v>5618</v>
      </c>
      <c r="I111" s="6" t="s">
        <v>5675</v>
      </c>
      <c r="J111" s="6" t="s">
        <v>5676</v>
      </c>
      <c r="K111" s="6" t="s">
        <v>5677</v>
      </c>
    </row>
    <row r="112" spans="2:11">
      <c r="B112" s="4" t="s">
        <v>5678</v>
      </c>
      <c r="C112" s="4"/>
      <c r="D112" s="4" t="str">
        <f>CHOOSE(Translations!$C$1+1,I112,J112,K112)</f>
        <v>HSS O-5: Puntuación de la prontitud de servicios específicos en los centros de salud</v>
      </c>
      <c r="E112" s="4"/>
      <c r="F112" s="4"/>
      <c r="G112" s="4" t="s">
        <v>5776</v>
      </c>
      <c r="H112" s="6" t="s">
        <v>5342</v>
      </c>
      <c r="I112" s="6" t="s">
        <v>5680</v>
      </c>
      <c r="J112" s="6" t="s">
        <v>5681</v>
      </c>
      <c r="K112" s="6" t="s">
        <v>5682</v>
      </c>
    </row>
    <row r="113" spans="1:11">
      <c r="B113" s="4" t="s">
        <v>5683</v>
      </c>
      <c r="C113" s="4"/>
      <c r="D113" s="4" t="str">
        <f>CHOOSE(Translations!$C$1+1,I113,J113,K113)</f>
        <v>HSS O-4: Puntuación de la prontitud de servicios generales en los centros de salud</v>
      </c>
      <c r="E113" s="4"/>
      <c r="F113" s="4"/>
      <c r="G113" s="4" t="s">
        <v>5777</v>
      </c>
      <c r="H113" s="6" t="s">
        <v>5342</v>
      </c>
      <c r="I113" s="6" t="s">
        <v>5685</v>
      </c>
      <c r="J113" s="6" t="s">
        <v>5686</v>
      </c>
      <c r="K113" s="6" t="s">
        <v>5687</v>
      </c>
    </row>
    <row r="116" spans="1:11">
      <c r="A116" s="8" t="s">
        <v>5778</v>
      </c>
    </row>
    <row r="117" spans="1:11">
      <c r="B117" s="4" t="s">
        <v>1446</v>
      </c>
      <c r="C117" s="4"/>
      <c r="D117" s="4" t="s">
        <v>636</v>
      </c>
      <c r="E117" s="4"/>
      <c r="F117" s="4" t="s">
        <v>5779</v>
      </c>
      <c r="G117" s="4" t="s">
        <v>341</v>
      </c>
      <c r="H117" s="4" t="s">
        <v>644</v>
      </c>
      <c r="I117" s="4" t="s">
        <v>645</v>
      </c>
      <c r="J117" s="4" t="s">
        <v>646</v>
      </c>
      <c r="K117" s="4" t="s">
        <v>647</v>
      </c>
    </row>
    <row r="118" spans="1:11" hidden="1">
      <c r="B118" s="4" t="s">
        <v>1451</v>
      </c>
      <c r="C118" s="4"/>
      <c r="D118" s="4" t="str">
        <f>CHOOSE(Translations!$C$1+1,I118,J118,K118)</f>
        <v>[Name - ES]</v>
      </c>
      <c r="E118" s="4"/>
      <c r="F118" s="4" t="s">
        <v>345</v>
      </c>
      <c r="G118" s="4" t="s">
        <v>345</v>
      </c>
      <c r="H118" s="6" t="s">
        <v>654</v>
      </c>
      <c r="I118" s="6" t="s">
        <v>2860</v>
      </c>
      <c r="J118" s="6" t="s">
        <v>1453</v>
      </c>
      <c r="K118" s="6" t="s">
        <v>1454</v>
      </c>
    </row>
    <row r="119" spans="1:11">
      <c r="B119" s="4" t="s">
        <v>1456</v>
      </c>
      <c r="C119" s="4"/>
      <c r="D119" s="4" t="str">
        <f>CHOOSE(Translations!$C$1+1,I119,J119,K119)</f>
        <v>COVID-19</v>
      </c>
      <c r="E119" s="4"/>
      <c r="F119" s="4" t="s">
        <v>1458</v>
      </c>
      <c r="G119" s="4" t="s">
        <v>1457</v>
      </c>
      <c r="H119" s="6" t="s">
        <v>663</v>
      </c>
      <c r="I119" s="6" t="s">
        <v>1455</v>
      </c>
      <c r="J119" s="6" t="s">
        <v>1455</v>
      </c>
      <c r="K119" s="6" t="s">
        <v>1455</v>
      </c>
    </row>
    <row r="120" spans="1:11">
      <c r="B120" s="4" t="s">
        <v>1456</v>
      </c>
      <c r="C120" s="4"/>
      <c r="D120" s="4" t="str">
        <f>CHOOSE(Translations!$C$1+1,I120,J120,K120)</f>
        <v>COVID-19</v>
      </c>
      <c r="E120" s="4"/>
      <c r="F120" s="4" t="s">
        <v>1458</v>
      </c>
      <c r="G120" s="4" t="s">
        <v>1460</v>
      </c>
      <c r="H120" s="6" t="s">
        <v>663</v>
      </c>
      <c r="I120" s="6" t="s">
        <v>1455</v>
      </c>
      <c r="J120" s="6" t="s">
        <v>1455</v>
      </c>
      <c r="K120" s="6" t="s">
        <v>1455</v>
      </c>
    </row>
    <row r="121" spans="1:11">
      <c r="B121" s="4" t="s">
        <v>999</v>
      </c>
      <c r="C121" s="4"/>
      <c r="D121" s="4" t="str">
        <f>CHOOSE(Translations!$C$1+1,I121,J121,K121)</f>
        <v>Prevención</v>
      </c>
      <c r="E121" s="4"/>
      <c r="F121" s="4" t="s">
        <v>1493</v>
      </c>
      <c r="G121" s="4" t="s">
        <v>1492</v>
      </c>
      <c r="H121" s="6" t="s">
        <v>663</v>
      </c>
      <c r="I121" s="6" t="s">
        <v>1491</v>
      </c>
      <c r="J121" s="6" t="s">
        <v>1495</v>
      </c>
      <c r="K121" s="6" t="s">
        <v>434</v>
      </c>
    </row>
    <row r="122" spans="1:11">
      <c r="B122" s="4" t="s">
        <v>1085</v>
      </c>
      <c r="C122" s="4"/>
      <c r="D122" s="4" t="str">
        <f>CHOOSE(Translations!$C$1+1,I122,J122,K122)</f>
        <v>PTMI</v>
      </c>
      <c r="E122" s="4"/>
      <c r="F122" s="4" t="s">
        <v>1487</v>
      </c>
      <c r="G122" s="4" t="s">
        <v>1486</v>
      </c>
      <c r="H122" s="6" t="s">
        <v>663</v>
      </c>
      <c r="I122" s="6" t="s">
        <v>1485</v>
      </c>
      <c r="J122" s="6" t="s">
        <v>1489</v>
      </c>
      <c r="K122" s="6" t="s">
        <v>1490</v>
      </c>
    </row>
    <row r="123" spans="1:11">
      <c r="B123" s="4" t="s">
        <v>1111</v>
      </c>
      <c r="C123" s="4"/>
      <c r="D123" s="4" t="str">
        <f>CHOOSE(Translations!$C$1+1,I123,J123,K123)</f>
        <v>Servicios diferenciados de diagnóstico del VIH</v>
      </c>
      <c r="E123" s="4"/>
      <c r="F123" s="4" t="s">
        <v>1466</v>
      </c>
      <c r="G123" s="4" t="s">
        <v>1465</v>
      </c>
      <c r="H123" s="6" t="s">
        <v>663</v>
      </c>
      <c r="I123" s="6" t="s">
        <v>1464</v>
      </c>
      <c r="J123" s="6" t="s">
        <v>1468</v>
      </c>
      <c r="K123" s="6" t="s">
        <v>437</v>
      </c>
    </row>
    <row r="124" spans="1:11">
      <c r="B124" s="4" t="s">
        <v>1169</v>
      </c>
      <c r="C124" s="4"/>
      <c r="D124" s="4" t="str">
        <f>CHOOSE(Translations!$C$1+1,I124,J124,K124)</f>
        <v>Tratamiento, atención y apoyo</v>
      </c>
      <c r="E124" s="4"/>
      <c r="F124" s="4" t="s">
        <v>1614</v>
      </c>
      <c r="G124" s="4" t="s">
        <v>1613</v>
      </c>
      <c r="H124" s="6" t="s">
        <v>663</v>
      </c>
      <c r="I124" s="6" t="s">
        <v>1612</v>
      </c>
      <c r="J124" s="6" t="s">
        <v>1616</v>
      </c>
      <c r="K124" s="6" t="s">
        <v>440</v>
      </c>
    </row>
    <row r="125" spans="1:11">
      <c r="B125" s="4" t="s">
        <v>1507</v>
      </c>
      <c r="C125" s="4"/>
      <c r="D125" s="4" t="str">
        <f>CHOOSE(Translations!$C$1+1,I125,J125,K125)</f>
        <v>Reducción de las barreras relacionadas con los derechos humanos para acceder a los servicios del VIH y la tuberculosis</v>
      </c>
      <c r="E125" s="4"/>
      <c r="F125" s="4" t="s">
        <v>1509</v>
      </c>
      <c r="G125" s="4" t="s">
        <v>1508</v>
      </c>
      <c r="H125" s="6" t="s">
        <v>663</v>
      </c>
      <c r="I125" s="6" t="s">
        <v>1506</v>
      </c>
      <c r="J125" s="6" t="s">
        <v>1511</v>
      </c>
      <c r="K125" s="6" t="s">
        <v>1512</v>
      </c>
    </row>
    <row r="126" spans="1:11">
      <c r="B126" s="4" t="s">
        <v>1194</v>
      </c>
      <c r="C126" s="4"/>
      <c r="D126" s="4" t="str">
        <f>CHOOSE(Translations!$C$1+1,I126,J126,K126)</f>
        <v>Atención y prevención de la tuberculosis</v>
      </c>
      <c r="E126" s="4"/>
      <c r="F126" s="4" t="s">
        <v>1601</v>
      </c>
      <c r="G126" s="4" t="s">
        <v>1600</v>
      </c>
      <c r="H126" s="6" t="s">
        <v>663</v>
      </c>
      <c r="I126" s="6" t="s">
        <v>1599</v>
      </c>
      <c r="J126" s="6" t="s">
        <v>1603</v>
      </c>
      <c r="K126" s="6" t="s">
        <v>443</v>
      </c>
    </row>
    <row r="127" spans="1:11">
      <c r="B127" s="4" t="s">
        <v>1252</v>
      </c>
      <c r="C127" s="4"/>
      <c r="D127" s="4" t="str">
        <f>CHOOSE(Translations!$C$1+1,I127,J127,K127)</f>
        <v>Tuberculosis multirresistente</v>
      </c>
      <c r="E127" s="4"/>
      <c r="F127" s="4" t="s">
        <v>1471</v>
      </c>
      <c r="G127" s="4" t="s">
        <v>1470</v>
      </c>
      <c r="H127" s="6" t="s">
        <v>663</v>
      </c>
      <c r="I127" s="6" t="s">
        <v>1469</v>
      </c>
      <c r="J127" s="6" t="s">
        <v>1473</v>
      </c>
      <c r="K127" s="6" t="s">
        <v>446</v>
      </c>
    </row>
    <row r="128" spans="1:11">
      <c r="B128" s="4" t="s">
        <v>1514</v>
      </c>
      <c r="C128" s="4"/>
      <c r="D128" s="4" t="str">
        <f>CHOOSE(Translations!$C$1+1,I128,J128,K128)</f>
        <v>Eliminar las barreras relacionadas con los derechos humanos y el género que dificultan el acceso a los servicios de tuberculosis</v>
      </c>
      <c r="E128" s="4"/>
      <c r="F128" s="4" t="s">
        <v>1516</v>
      </c>
      <c r="G128" s="4" t="s">
        <v>1515</v>
      </c>
      <c r="H128" s="6" t="s">
        <v>663</v>
      </c>
      <c r="I128" s="6" t="s">
        <v>1513</v>
      </c>
      <c r="J128" s="6" t="s">
        <v>1518</v>
      </c>
      <c r="K128" s="6" t="s">
        <v>1519</v>
      </c>
    </row>
    <row r="129" spans="2:11">
      <c r="B129" s="4" t="s">
        <v>1296</v>
      </c>
      <c r="C129" s="4"/>
      <c r="D129" s="4" t="str">
        <f>CHOOSE(Translations!$C$1+1,I129,J129,K129)</f>
        <v>TB/VIH</v>
      </c>
      <c r="E129" s="4"/>
      <c r="F129" s="4" t="s">
        <v>1606</v>
      </c>
      <c r="G129" s="4" t="s">
        <v>1605</v>
      </c>
      <c r="H129" s="6" t="s">
        <v>663</v>
      </c>
      <c r="I129" s="6" t="s">
        <v>1604</v>
      </c>
      <c r="J129" s="6" t="s">
        <v>1608</v>
      </c>
      <c r="K129" s="6" t="s">
        <v>1609</v>
      </c>
    </row>
    <row r="130" spans="2:11">
      <c r="B130" s="4" t="s">
        <v>1296</v>
      </c>
      <c r="C130" s="4"/>
      <c r="D130" s="4" t="str">
        <f>CHOOSE(Translations!$C$1+1,I130,J130,K130)</f>
        <v>TB/VIH</v>
      </c>
      <c r="E130" s="4"/>
      <c r="F130" s="4" t="s">
        <v>1606</v>
      </c>
      <c r="G130" s="4" t="s">
        <v>1610</v>
      </c>
      <c r="H130" s="6" t="s">
        <v>663</v>
      </c>
      <c r="I130" s="6" t="s">
        <v>1604</v>
      </c>
      <c r="J130" s="6" t="s">
        <v>1608</v>
      </c>
      <c r="K130" s="6" t="s">
        <v>1609</v>
      </c>
    </row>
    <row r="131" spans="2:11">
      <c r="B131" s="4" t="s">
        <v>1497</v>
      </c>
      <c r="C131" s="4"/>
      <c r="D131" s="4" t="str">
        <f>CHOOSE(Translations!$C$1+1,I131,J131,K131)</f>
        <v>Gestión de programas</v>
      </c>
      <c r="E131" s="4"/>
      <c r="F131" s="4" t="s">
        <v>1499</v>
      </c>
      <c r="G131" s="4" t="s">
        <v>1498</v>
      </c>
      <c r="H131" s="6" t="s">
        <v>663</v>
      </c>
      <c r="I131" s="6" t="s">
        <v>1496</v>
      </c>
      <c r="J131" s="6" t="s">
        <v>1501</v>
      </c>
      <c r="K131" s="6" t="s">
        <v>452</v>
      </c>
    </row>
    <row r="132" spans="2:11">
      <c r="B132" s="4" t="s">
        <v>1320</v>
      </c>
      <c r="C132" s="4"/>
      <c r="D132" s="4" t="str">
        <f>CHOOSE(Translations!$C$1+1,I132,J132,K132)</f>
        <v>SSRS: sistemas de gestión de productos para la salud</v>
      </c>
      <c r="E132" s="4"/>
      <c r="F132" s="4" t="s">
        <v>1551</v>
      </c>
      <c r="G132" s="4" t="s">
        <v>1550</v>
      </c>
      <c r="H132" s="6" t="s">
        <v>663</v>
      </c>
      <c r="I132" s="6" t="s">
        <v>1549</v>
      </c>
      <c r="J132" s="6" t="s">
        <v>1553</v>
      </c>
      <c r="K132" s="6" t="s">
        <v>1554</v>
      </c>
    </row>
    <row r="133" spans="2:11">
      <c r="B133" s="4" t="s">
        <v>1346</v>
      </c>
      <c r="C133" s="4"/>
      <c r="D133" s="4" t="str">
        <f>CHOOSE(Translations!$C$1+1,I133,J133,K133)</f>
        <v>SSRS: Sistemas de información de gestión de salud y M&amp;E (Monitoria y Evaluación)</v>
      </c>
      <c r="E133" s="4"/>
      <c r="F133" s="4" t="s">
        <v>1542</v>
      </c>
      <c r="G133" s="4" t="s">
        <v>1541</v>
      </c>
      <c r="H133" s="6" t="s">
        <v>663</v>
      </c>
      <c r="I133" s="6" t="s">
        <v>1540</v>
      </c>
      <c r="J133" s="6" t="s">
        <v>1544</v>
      </c>
      <c r="K133" s="6" t="s">
        <v>449</v>
      </c>
    </row>
    <row r="134" spans="2:11">
      <c r="B134" s="4" t="s">
        <v>1375</v>
      </c>
      <c r="C134" s="4"/>
      <c r="D134" s="4" t="str">
        <f>CHOOSE(Translations!$C$1+1,I134,J134,K134)</f>
        <v>SSRS: recursos humanos para la salud  incluidos los trabajadores de la salud comunitarios</v>
      </c>
      <c r="E134" s="4"/>
      <c r="F134" s="4" t="s">
        <v>1571</v>
      </c>
      <c r="G134" s="4" t="s">
        <v>1570</v>
      </c>
      <c r="H134" s="6" t="s">
        <v>663</v>
      </c>
      <c r="I134" s="6" t="s">
        <v>1569</v>
      </c>
      <c r="J134" s="6" t="s">
        <v>1573</v>
      </c>
      <c r="K134" s="6" t="s">
        <v>1574</v>
      </c>
    </row>
    <row r="135" spans="2:11">
      <c r="B135" s="4" t="s">
        <v>1391</v>
      </c>
      <c r="C135" s="4"/>
      <c r="D135" s="4" t="str">
        <f>CHOOSE(Translations!$C$1+1,I135,J135,K135)</f>
        <v>SSRS: mejora de la calidad y la prestación de servicios integrados</v>
      </c>
      <c r="E135" s="4"/>
      <c r="F135" s="4" t="s">
        <v>1581</v>
      </c>
      <c r="G135" s="4" t="s">
        <v>1580</v>
      </c>
      <c r="H135" s="6" t="s">
        <v>663</v>
      </c>
      <c r="I135" s="6" t="s">
        <v>1579</v>
      </c>
      <c r="J135" s="6" t="s">
        <v>1583</v>
      </c>
      <c r="K135" s="6" t="s">
        <v>1584</v>
      </c>
    </row>
    <row r="136" spans="2:11">
      <c r="B136" s="4" t="s">
        <v>1415</v>
      </c>
      <c r="C136" s="4"/>
      <c r="D136" s="4" t="str">
        <f>CHOOSE(Translations!$C$1+1,I136,J136,K136)</f>
        <v>SSRS: Sistemas de gestión financiera</v>
      </c>
      <c r="E136" s="4"/>
      <c r="F136" s="4" t="s">
        <v>1532</v>
      </c>
      <c r="G136" s="4" t="s">
        <v>1531</v>
      </c>
      <c r="H136" s="6" t="s">
        <v>663</v>
      </c>
      <c r="I136" s="6" t="s">
        <v>1530</v>
      </c>
      <c r="J136" s="6" t="s">
        <v>1534</v>
      </c>
      <c r="K136" s="6" t="s">
        <v>1535</v>
      </c>
    </row>
    <row r="137" spans="2:11">
      <c r="B137" s="4" t="s">
        <v>1421</v>
      </c>
      <c r="C137" s="4"/>
      <c r="D137" s="4" t="str">
        <f>CHOOSE(Translations!$C$1+1,I137,J137,K137)</f>
        <v>SSRS: gobernanza y planificación del sector de la salud</v>
      </c>
      <c r="E137" s="4"/>
      <c r="F137" s="4" t="s">
        <v>1561</v>
      </c>
      <c r="G137" s="4" t="s">
        <v>1560</v>
      </c>
      <c r="H137" s="6" t="s">
        <v>663</v>
      </c>
      <c r="I137" s="6" t="s">
        <v>1559</v>
      </c>
      <c r="J137" s="6" t="s">
        <v>1563</v>
      </c>
      <c r="K137" s="6" t="s">
        <v>1564</v>
      </c>
    </row>
    <row r="138" spans="2:11">
      <c r="B138" s="4" t="s">
        <v>1427</v>
      </c>
      <c r="C138" s="4"/>
      <c r="D138" s="4" t="str">
        <f>CHOOSE(Translations!$C$1+1,I138,J138,K138)</f>
        <v>SSRS: fortalecimiento de los sistemas comunitarios</v>
      </c>
      <c r="E138" s="4"/>
      <c r="F138" s="4" t="s">
        <v>1522</v>
      </c>
      <c r="G138" s="4" t="s">
        <v>1521</v>
      </c>
      <c r="H138" s="6" t="s">
        <v>663</v>
      </c>
      <c r="I138" s="6" t="s">
        <v>1520</v>
      </c>
      <c r="J138" s="6" t="s">
        <v>1524</v>
      </c>
      <c r="K138" s="6" t="s">
        <v>1525</v>
      </c>
    </row>
    <row r="139" spans="2:11">
      <c r="B139" s="4" t="s">
        <v>1438</v>
      </c>
      <c r="C139" s="4"/>
      <c r="D139" s="4" t="str">
        <f>CHOOSE(Translations!$C$1+1,I139,J139,K139)</f>
        <v>SSRS: sistemas de laboratorio</v>
      </c>
      <c r="E139" s="4"/>
      <c r="F139" s="4" t="s">
        <v>1591</v>
      </c>
      <c r="G139" s="4" t="s">
        <v>1590</v>
      </c>
      <c r="H139" s="6" t="s">
        <v>663</v>
      </c>
      <c r="I139" s="6" t="s">
        <v>1589</v>
      </c>
      <c r="J139" s="6" t="s">
        <v>1593</v>
      </c>
      <c r="K139" s="6" t="s">
        <v>1594</v>
      </c>
    </row>
    <row r="140" spans="2:11">
      <c r="B140" s="4" t="s">
        <v>1475</v>
      </c>
      <c r="C140" s="4"/>
      <c r="D140" s="4" t="str">
        <f>CHOOSE(Translations!$C$1+1,I140,J140,K140)</f>
        <v>Financiación basada en los resultados</v>
      </c>
      <c r="E140" s="4"/>
      <c r="F140" s="4" t="s">
        <v>1477</v>
      </c>
      <c r="G140" s="4" t="s">
        <v>1476</v>
      </c>
      <c r="H140" s="6" t="s">
        <v>663</v>
      </c>
      <c r="I140" s="6" t="s">
        <v>1474</v>
      </c>
      <c r="J140" s="6" t="s">
        <v>1479</v>
      </c>
      <c r="K140" s="6" t="s">
        <v>1480</v>
      </c>
    </row>
    <row r="141" spans="2:11">
      <c r="B141" s="4" t="s">
        <v>1497</v>
      </c>
      <c r="C141" s="4"/>
      <c r="D141" s="4" t="str">
        <f>CHOOSE(Translations!$C$1+1,I141,J141,K141)</f>
        <v>Gestión de programas</v>
      </c>
      <c r="E141" s="4"/>
      <c r="F141" s="4" t="s">
        <v>1499</v>
      </c>
      <c r="G141" s="4" t="s">
        <v>1502</v>
      </c>
      <c r="H141" s="6" t="s">
        <v>663</v>
      </c>
      <c r="I141" s="6" t="s">
        <v>1496</v>
      </c>
      <c r="J141" s="6" t="s">
        <v>1501</v>
      </c>
      <c r="K141" s="6" t="s">
        <v>452</v>
      </c>
    </row>
    <row r="142" spans="2:11">
      <c r="B142" s="4" t="s">
        <v>1320</v>
      </c>
      <c r="C142" s="4"/>
      <c r="D142" s="4" t="str">
        <f>CHOOSE(Translations!$C$1+1,I142,J142,K142)</f>
        <v>SSRS: sistemas de gestión de productos para la salud</v>
      </c>
      <c r="E142" s="4"/>
      <c r="F142" s="4" t="s">
        <v>1551</v>
      </c>
      <c r="G142" s="4" t="s">
        <v>1555</v>
      </c>
      <c r="H142" s="6" t="s">
        <v>663</v>
      </c>
      <c r="I142" s="6" t="s">
        <v>1549</v>
      </c>
      <c r="J142" s="6" t="s">
        <v>1553</v>
      </c>
      <c r="K142" s="6" t="s">
        <v>1554</v>
      </c>
    </row>
    <row r="143" spans="2:11">
      <c r="B143" s="4" t="s">
        <v>1346</v>
      </c>
      <c r="C143" s="4"/>
      <c r="D143" s="4" t="str">
        <f>CHOOSE(Translations!$C$1+1,I143,J143,K143)</f>
        <v>SSRS: Sistemas de información de gestión de salud y M&amp;E (Monitoria y Evaluación)</v>
      </c>
      <c r="E143" s="4"/>
      <c r="F143" s="4" t="s">
        <v>1542</v>
      </c>
      <c r="G143" s="4" t="s">
        <v>1545</v>
      </c>
      <c r="H143" s="6" t="s">
        <v>663</v>
      </c>
      <c r="I143" s="6" t="s">
        <v>1540</v>
      </c>
      <c r="J143" s="6" t="s">
        <v>1544</v>
      </c>
      <c r="K143" s="6" t="s">
        <v>449</v>
      </c>
    </row>
    <row r="144" spans="2:11">
      <c r="B144" s="4" t="s">
        <v>1375</v>
      </c>
      <c r="C144" s="4"/>
      <c r="D144" s="4" t="str">
        <f>CHOOSE(Translations!$C$1+1,I144,J144,K144)</f>
        <v>SSRS: recursos humanos para la salud  incluidos los trabajadores de la salud comunitarios</v>
      </c>
      <c r="E144" s="4"/>
      <c r="F144" s="4" t="s">
        <v>1571</v>
      </c>
      <c r="G144" s="4" t="s">
        <v>1575</v>
      </c>
      <c r="H144" s="6" t="s">
        <v>663</v>
      </c>
      <c r="I144" s="6" t="s">
        <v>1569</v>
      </c>
      <c r="J144" s="6" t="s">
        <v>1573</v>
      </c>
      <c r="K144" s="6" t="s">
        <v>1574</v>
      </c>
    </row>
    <row r="145" spans="2:11">
      <c r="B145" s="4" t="s">
        <v>1391</v>
      </c>
      <c r="C145" s="4"/>
      <c r="D145" s="4" t="str">
        <f>CHOOSE(Translations!$C$1+1,I145,J145,K145)</f>
        <v>SSRS: mejora de la calidad y la prestación de servicios integrados</v>
      </c>
      <c r="E145" s="4"/>
      <c r="F145" s="4" t="s">
        <v>1581</v>
      </c>
      <c r="G145" s="4" t="s">
        <v>1585</v>
      </c>
      <c r="H145" s="6" t="s">
        <v>663</v>
      </c>
      <c r="I145" s="6" t="s">
        <v>1579</v>
      </c>
      <c r="J145" s="6" t="s">
        <v>1583</v>
      </c>
      <c r="K145" s="6" t="s">
        <v>1584</v>
      </c>
    </row>
    <row r="146" spans="2:11">
      <c r="B146" s="4" t="s">
        <v>1415</v>
      </c>
      <c r="C146" s="4"/>
      <c r="D146" s="4" t="str">
        <f>CHOOSE(Translations!$C$1+1,I146,J146,K146)</f>
        <v>SSRS: Sistemas de gestión financiera</v>
      </c>
      <c r="E146" s="4"/>
      <c r="F146" s="4" t="s">
        <v>1532</v>
      </c>
      <c r="G146" s="4" t="s">
        <v>1536</v>
      </c>
      <c r="H146" s="6" t="s">
        <v>663</v>
      </c>
      <c r="I146" s="6" t="s">
        <v>1530</v>
      </c>
      <c r="J146" s="6" t="s">
        <v>1534</v>
      </c>
      <c r="K146" s="6" t="s">
        <v>1535</v>
      </c>
    </row>
    <row r="147" spans="2:11">
      <c r="B147" s="4" t="s">
        <v>1421</v>
      </c>
      <c r="C147" s="4"/>
      <c r="D147" s="4" t="str">
        <f>CHOOSE(Translations!$C$1+1,I147,J147,K147)</f>
        <v>SSRS: gobernanza y planificación del sector de la salud</v>
      </c>
      <c r="E147" s="4"/>
      <c r="F147" s="4" t="s">
        <v>1561</v>
      </c>
      <c r="G147" s="4" t="s">
        <v>1565</v>
      </c>
      <c r="H147" s="6" t="s">
        <v>663</v>
      </c>
      <c r="I147" s="6" t="s">
        <v>1559</v>
      </c>
      <c r="J147" s="6" t="s">
        <v>1563</v>
      </c>
      <c r="K147" s="6" t="s">
        <v>1564</v>
      </c>
    </row>
    <row r="148" spans="2:11">
      <c r="B148" s="4" t="s">
        <v>1427</v>
      </c>
      <c r="C148" s="4"/>
      <c r="D148" s="4" t="str">
        <f>CHOOSE(Translations!$C$1+1,I148,J148,K148)</f>
        <v>SSRS: fortalecimiento de los sistemas comunitarios</v>
      </c>
      <c r="E148" s="4"/>
      <c r="F148" s="4" t="s">
        <v>1522</v>
      </c>
      <c r="G148" s="4" t="s">
        <v>1526</v>
      </c>
      <c r="H148" s="6" t="s">
        <v>663</v>
      </c>
      <c r="I148" s="6" t="s">
        <v>1520</v>
      </c>
      <c r="J148" s="6" t="s">
        <v>1524</v>
      </c>
      <c r="K148" s="6" t="s">
        <v>1525</v>
      </c>
    </row>
    <row r="149" spans="2:11">
      <c r="B149" s="4" t="s">
        <v>1438</v>
      </c>
      <c r="C149" s="4"/>
      <c r="D149" s="4" t="str">
        <f>CHOOSE(Translations!$C$1+1,I149,J149,K149)</f>
        <v>SSRS: sistemas de laboratorio</v>
      </c>
      <c r="E149" s="4"/>
      <c r="F149" s="4" t="s">
        <v>1591</v>
      </c>
      <c r="G149" s="4" t="s">
        <v>1595</v>
      </c>
      <c r="H149" s="6" t="s">
        <v>663</v>
      </c>
      <c r="I149" s="6" t="s">
        <v>1589</v>
      </c>
      <c r="J149" s="6" t="s">
        <v>1593</v>
      </c>
      <c r="K149" s="6" t="s">
        <v>1594</v>
      </c>
    </row>
    <row r="150" spans="2:11">
      <c r="B150" s="4" t="s">
        <v>1475</v>
      </c>
      <c r="C150" s="4"/>
      <c r="D150" s="4" t="str">
        <f>CHOOSE(Translations!$C$1+1,I150,J150,K150)</f>
        <v>Financiación basada en los resultados</v>
      </c>
      <c r="E150" s="4"/>
      <c r="F150" s="4" t="s">
        <v>1477</v>
      </c>
      <c r="G150" s="4" t="s">
        <v>1481</v>
      </c>
      <c r="H150" s="6" t="s">
        <v>663</v>
      </c>
      <c r="I150" s="6" t="s">
        <v>1474</v>
      </c>
      <c r="J150" s="6" t="s">
        <v>1479</v>
      </c>
      <c r="K150" s="6" t="s">
        <v>1480</v>
      </c>
    </row>
    <row r="151" spans="2:11">
      <c r="B151" s="4" t="s">
        <v>1497</v>
      </c>
      <c r="C151" s="4"/>
      <c r="D151" s="4" t="str">
        <f>CHOOSE(Translations!$C$1+1,I151,J151,K151)</f>
        <v>Gestión de programas</v>
      </c>
      <c r="E151" s="4"/>
      <c r="F151" s="4" t="s">
        <v>1499</v>
      </c>
      <c r="G151" s="4" t="s">
        <v>1504</v>
      </c>
      <c r="H151" s="6" t="s">
        <v>663</v>
      </c>
      <c r="I151" s="6" t="s">
        <v>1496</v>
      </c>
      <c r="J151" s="6" t="s">
        <v>1501</v>
      </c>
      <c r="K151" s="6" t="s">
        <v>452</v>
      </c>
    </row>
    <row r="152" spans="2:11">
      <c r="B152" s="4" t="s">
        <v>1320</v>
      </c>
      <c r="C152" s="4"/>
      <c r="D152" s="4" t="str">
        <f>CHOOSE(Translations!$C$1+1,I152,J152,K152)</f>
        <v>SSRS: sistemas de gestión de productos para la salud</v>
      </c>
      <c r="E152" s="4"/>
      <c r="F152" s="4" t="s">
        <v>1551</v>
      </c>
      <c r="G152" s="4" t="s">
        <v>1557</v>
      </c>
      <c r="H152" s="6" t="s">
        <v>663</v>
      </c>
      <c r="I152" s="6" t="s">
        <v>1549</v>
      </c>
      <c r="J152" s="6" t="s">
        <v>1553</v>
      </c>
      <c r="K152" s="6" t="s">
        <v>1554</v>
      </c>
    </row>
    <row r="153" spans="2:11">
      <c r="B153" s="4" t="s">
        <v>1346</v>
      </c>
      <c r="C153" s="4"/>
      <c r="D153" s="4" t="str">
        <f>CHOOSE(Translations!$C$1+1,I153,J153,K153)</f>
        <v>SSRS: Sistemas de información de gestión de salud y M&amp;E (Monitoria y Evaluación)</v>
      </c>
      <c r="E153" s="4"/>
      <c r="F153" s="4" t="s">
        <v>1542</v>
      </c>
      <c r="G153" s="4" t="s">
        <v>1547</v>
      </c>
      <c r="H153" s="6" t="s">
        <v>663</v>
      </c>
      <c r="I153" s="6" t="s">
        <v>1540</v>
      </c>
      <c r="J153" s="6" t="s">
        <v>1544</v>
      </c>
      <c r="K153" s="6" t="s">
        <v>449</v>
      </c>
    </row>
    <row r="154" spans="2:11">
      <c r="B154" s="4" t="s">
        <v>1375</v>
      </c>
      <c r="C154" s="4"/>
      <c r="D154" s="4" t="str">
        <f>CHOOSE(Translations!$C$1+1,I154,J154,K154)</f>
        <v>SSRS: recursos humanos para la salud  incluidos los trabajadores de la salud comunitarios</v>
      </c>
      <c r="E154" s="4"/>
      <c r="F154" s="4" t="s">
        <v>1571</v>
      </c>
      <c r="G154" s="4" t="s">
        <v>1577</v>
      </c>
      <c r="H154" s="6" t="s">
        <v>663</v>
      </c>
      <c r="I154" s="6" t="s">
        <v>1569</v>
      </c>
      <c r="J154" s="6" t="s">
        <v>1573</v>
      </c>
      <c r="K154" s="6" t="s">
        <v>1574</v>
      </c>
    </row>
    <row r="155" spans="2:11">
      <c r="B155" s="4" t="s">
        <v>1391</v>
      </c>
      <c r="C155" s="4"/>
      <c r="D155" s="4" t="str">
        <f>CHOOSE(Translations!$C$1+1,I155,J155,K155)</f>
        <v>SSRS: mejora de la calidad y la prestación de servicios integrados</v>
      </c>
      <c r="E155" s="4"/>
      <c r="F155" s="4" t="s">
        <v>1581</v>
      </c>
      <c r="G155" s="4" t="s">
        <v>1587</v>
      </c>
      <c r="H155" s="6" t="s">
        <v>663</v>
      </c>
      <c r="I155" s="6" t="s">
        <v>1579</v>
      </c>
      <c r="J155" s="6" t="s">
        <v>1583</v>
      </c>
      <c r="K155" s="6" t="s">
        <v>1584</v>
      </c>
    </row>
    <row r="156" spans="2:11">
      <c r="B156" s="4" t="s">
        <v>1415</v>
      </c>
      <c r="C156" s="4"/>
      <c r="D156" s="4" t="str">
        <f>CHOOSE(Translations!$C$1+1,I156,J156,K156)</f>
        <v>SSRS: Sistemas de gestión financiera</v>
      </c>
      <c r="E156" s="4"/>
      <c r="F156" s="4" t="s">
        <v>1532</v>
      </c>
      <c r="G156" s="4" t="s">
        <v>1538</v>
      </c>
      <c r="H156" s="6" t="s">
        <v>663</v>
      </c>
      <c r="I156" s="6" t="s">
        <v>1530</v>
      </c>
      <c r="J156" s="6" t="s">
        <v>1534</v>
      </c>
      <c r="K156" s="6" t="s">
        <v>1535</v>
      </c>
    </row>
    <row r="157" spans="2:11">
      <c r="B157" s="4" t="s">
        <v>1421</v>
      </c>
      <c r="C157" s="4"/>
      <c r="D157" s="4" t="str">
        <f>CHOOSE(Translations!$C$1+1,I157,J157,K157)</f>
        <v>SSRS: gobernanza y planificación del sector de la salud</v>
      </c>
      <c r="E157" s="4"/>
      <c r="F157" s="4" t="s">
        <v>1561</v>
      </c>
      <c r="G157" s="4" t="s">
        <v>1567</v>
      </c>
      <c r="H157" s="6" t="s">
        <v>663</v>
      </c>
      <c r="I157" s="6" t="s">
        <v>1559</v>
      </c>
      <c r="J157" s="6" t="s">
        <v>1563</v>
      </c>
      <c r="K157" s="6" t="s">
        <v>1564</v>
      </c>
    </row>
    <row r="158" spans="2:11">
      <c r="B158" s="4" t="s">
        <v>1427</v>
      </c>
      <c r="C158" s="4"/>
      <c r="D158" s="4" t="str">
        <f>CHOOSE(Translations!$C$1+1,I158,J158,K158)</f>
        <v>SSRS: fortalecimiento de los sistemas comunitarios</v>
      </c>
      <c r="E158" s="4"/>
      <c r="F158" s="4" t="s">
        <v>1522</v>
      </c>
      <c r="G158" s="4" t="s">
        <v>1528</v>
      </c>
      <c r="H158" s="6" t="s">
        <v>663</v>
      </c>
      <c r="I158" s="6" t="s">
        <v>1520</v>
      </c>
      <c r="J158" s="6" t="s">
        <v>1524</v>
      </c>
      <c r="K158" s="6" t="s">
        <v>1525</v>
      </c>
    </row>
    <row r="159" spans="2:11">
      <c r="B159" s="4" t="s">
        <v>1438</v>
      </c>
      <c r="C159" s="4"/>
      <c r="D159" s="4" t="str">
        <f>CHOOSE(Translations!$C$1+1,I159,J159,K159)</f>
        <v>SSRS: sistemas de laboratorio</v>
      </c>
      <c r="E159" s="4"/>
      <c r="F159" s="4" t="s">
        <v>1591</v>
      </c>
      <c r="G159" s="4" t="s">
        <v>1597</v>
      </c>
      <c r="H159" s="6" t="s">
        <v>663</v>
      </c>
      <c r="I159" s="6" t="s">
        <v>1589</v>
      </c>
      <c r="J159" s="6" t="s">
        <v>1593</v>
      </c>
      <c r="K159" s="6" t="s">
        <v>1594</v>
      </c>
    </row>
    <row r="160" spans="2:11">
      <c r="B160" s="4" t="s">
        <v>1475</v>
      </c>
      <c r="C160" s="4"/>
      <c r="D160" s="4" t="str">
        <f>CHOOSE(Translations!$C$1+1,I160,J160,K160)</f>
        <v>Financiación basada en los resultados</v>
      </c>
      <c r="E160" s="4"/>
      <c r="F160" s="4" t="s">
        <v>1477</v>
      </c>
      <c r="G160" s="4" t="s">
        <v>1483</v>
      </c>
      <c r="H160" s="6" t="s">
        <v>663</v>
      </c>
      <c r="I160" s="6" t="s">
        <v>1474</v>
      </c>
      <c r="J160" s="6" t="s">
        <v>1479</v>
      </c>
      <c r="K160" s="6" t="s">
        <v>1480</v>
      </c>
    </row>
    <row r="161" spans="1:11">
      <c r="B161" s="4" t="s">
        <v>1456</v>
      </c>
      <c r="C161" s="4"/>
      <c r="D161" s="4" t="str">
        <f>CHOOSE(Translations!$C$1+1,I161,J161,K161)</f>
        <v>COVID-19</v>
      </c>
      <c r="E161" s="4"/>
      <c r="F161" s="4" t="s">
        <v>1458</v>
      </c>
      <c r="G161" s="4" t="s">
        <v>1462</v>
      </c>
      <c r="H161" s="6" t="s">
        <v>663</v>
      </c>
      <c r="I161" s="6" t="s">
        <v>1455</v>
      </c>
      <c r="J161" s="6" t="s">
        <v>1455</v>
      </c>
      <c r="K161" s="6" t="s">
        <v>1455</v>
      </c>
    </row>
    <row r="165" spans="1:11">
      <c r="A165" s="8" t="s">
        <v>986</v>
      </c>
    </row>
    <row r="166" spans="1:11">
      <c r="B166" s="4" t="s">
        <v>988</v>
      </c>
      <c r="C166" s="4"/>
      <c r="D166" s="4" t="s">
        <v>636</v>
      </c>
      <c r="E166" s="4"/>
      <c r="F166" s="4"/>
      <c r="G166" s="4" t="s">
        <v>341</v>
      </c>
      <c r="H166" s="4" t="s">
        <v>5780</v>
      </c>
      <c r="I166" s="4" t="s">
        <v>645</v>
      </c>
      <c r="J166" s="4" t="s">
        <v>646</v>
      </c>
      <c r="K166" s="4" t="s">
        <v>647</v>
      </c>
    </row>
    <row r="167" spans="1:11" ht="18" hidden="1" customHeight="1">
      <c r="B167" s="6" t="s">
        <v>996</v>
      </c>
      <c r="C167" s="4"/>
      <c r="D167" s="4" t="str">
        <f>CHOOSE(Translations!$C$1+1,I167,J167,K167)</f>
        <v>[Name - ES]</v>
      </c>
      <c r="E167" s="4"/>
      <c r="F167" s="4"/>
      <c r="G167" s="4" t="s">
        <v>345</v>
      </c>
      <c r="H167" s="6" t="s">
        <v>5781</v>
      </c>
      <c r="I167" s="6" t="s">
        <v>2860</v>
      </c>
      <c r="J167" s="6" t="s">
        <v>1453</v>
      </c>
      <c r="K167" s="6" t="s">
        <v>1454</v>
      </c>
    </row>
    <row r="168" spans="1:11" ht="18" customHeight="1">
      <c r="B168" s="6" t="s">
        <v>1060</v>
      </c>
      <c r="C168" s="4"/>
      <c r="D168" s="4" t="str">
        <f>CHOOSE(Translations!$C$1+1,I168,J168,K168)</f>
        <v>MEN-1 Número de circuncisiones masculinas médicas realizadas de conformidad con las normas nacionales</v>
      </c>
      <c r="E168" s="4"/>
      <c r="F168" s="4"/>
      <c r="G168" s="4" t="s">
        <v>1061</v>
      </c>
      <c r="H168" s="6"/>
      <c r="I168" s="6" t="s">
        <v>1062</v>
      </c>
      <c r="J168" s="6" t="s">
        <v>1063</v>
      </c>
      <c r="K168" s="6" t="s">
        <v>1064</v>
      </c>
    </row>
    <row r="169" spans="1:11" ht="18" customHeight="1">
      <c r="B169" s="6" t="s">
        <v>1000</v>
      </c>
      <c r="C169" s="4"/>
      <c r="D169" s="4" t="str">
        <f>CHOOSE(Translations!$C$1+1,I169,J169,K169)</f>
        <v>KP-1a⁽ᴹ⁾ Porcentaje de HSH alcanzados por programas de prevención del VIH - paquete definido de servicios</v>
      </c>
      <c r="E169" s="4"/>
      <c r="F169" s="4"/>
      <c r="G169" s="4" t="s">
        <v>1001</v>
      </c>
      <c r="H169" s="6"/>
      <c r="I169" s="6" t="s">
        <v>1004</v>
      </c>
      <c r="J169" s="6" t="s">
        <v>1005</v>
      </c>
      <c r="K169" s="6" t="s">
        <v>1006</v>
      </c>
    </row>
    <row r="170" spans="1:11" ht="18" customHeight="1">
      <c r="B170" s="6" t="s">
        <v>1297</v>
      </c>
      <c r="C170" s="4"/>
      <c r="D170" s="4" t="str">
        <f>CHOOSE(Translations!$C$1+1,I170,J170,K170)</f>
        <v>TB/HIV-3.1a Porcentaje de personas que viven con VIH que iniciaron TARV que se han sometido a un tamizaje de TB</v>
      </c>
      <c r="E170" s="4"/>
      <c r="F170" s="4"/>
      <c r="G170" s="4" t="s">
        <v>1298</v>
      </c>
      <c r="H170" s="6"/>
      <c r="I170" s="6" t="s">
        <v>1299</v>
      </c>
      <c r="J170" s="6" t="s">
        <v>1300</v>
      </c>
      <c r="K170" s="6" t="s">
        <v>1301</v>
      </c>
    </row>
    <row r="171" spans="1:11" ht="18" customHeight="1">
      <c r="B171" s="6" t="s">
        <v>1007</v>
      </c>
      <c r="C171" s="4"/>
      <c r="D171" s="4" t="str">
        <f>CHOOSE(Translations!$C$1+1,I171,J171,K171)</f>
        <v>KP-1b⁽ᴹ⁾ Porcentaje de personas transgénero alcanzados por programas de prevención del VIH - paquete definido de servicios</v>
      </c>
      <c r="E171" s="4"/>
      <c r="F171" s="4"/>
      <c r="G171" s="4" t="s">
        <v>1008</v>
      </c>
      <c r="H171" s="6"/>
      <c r="I171" s="6" t="s">
        <v>1009</v>
      </c>
      <c r="J171" s="6" t="s">
        <v>1010</v>
      </c>
      <c r="K171" s="6" t="s">
        <v>1011</v>
      </c>
    </row>
    <row r="172" spans="1:11" ht="18" customHeight="1">
      <c r="B172" s="6" t="s">
        <v>1012</v>
      </c>
      <c r="C172" s="4"/>
      <c r="D172" s="4" t="str">
        <f>CHOOSE(Translations!$C$1+1,I172,J172,K172)</f>
        <v>KP-1c⁽ᴹ⁾ Porcentaje de trabajadores sexuales alcanzados por programas de prevención del VIH - paquete definido de servicios</v>
      </c>
      <c r="E172" s="4"/>
      <c r="F172" s="4"/>
      <c r="G172" s="4" t="s">
        <v>1013</v>
      </c>
      <c r="H172" s="6"/>
      <c r="I172" s="6" t="s">
        <v>1014</v>
      </c>
      <c r="J172" s="6" t="s">
        <v>1015</v>
      </c>
      <c r="K172" s="6" t="s">
        <v>1016</v>
      </c>
    </row>
    <row r="173" spans="1:11" ht="18" customHeight="1">
      <c r="B173" s="6" t="s">
        <v>1017</v>
      </c>
      <c r="C173" s="4"/>
      <c r="D173" s="4" t="str">
        <f>CHOOSE(Translations!$C$1+1,I173,J173,K173)</f>
        <v>KP-1d⁽ᴹ⁾ Porcentaje de personas que consumen drogas inyectables alcanzados por programas de prevención del VIH - paquete definido de servicios</v>
      </c>
      <c r="E173" s="4"/>
      <c r="F173" s="4"/>
      <c r="G173" s="4" t="s">
        <v>1018</v>
      </c>
      <c r="H173" s="6"/>
      <c r="I173" s="6" t="s">
        <v>1019</v>
      </c>
      <c r="J173" s="6" t="s">
        <v>1020</v>
      </c>
      <c r="K173" s="6" t="s">
        <v>1021</v>
      </c>
    </row>
    <row r="174" spans="1:11" ht="18" customHeight="1">
      <c r="B174" s="6" t="s">
        <v>1023</v>
      </c>
      <c r="C174" s="4"/>
      <c r="D174" s="4" t="str">
        <f>CHOOSE(Translations!$C$1+1,I174,J174,K174)</f>
        <v>KP-1e Porcentaje de otras poblaciones vulnerables alcanzados por programas de prevención del VIH - paquete definido de servicios</v>
      </c>
      <c r="E174" s="4"/>
      <c r="F174" s="4"/>
      <c r="G174" s="4" t="s">
        <v>1024</v>
      </c>
      <c r="H174" s="6"/>
      <c r="I174" s="6" t="s">
        <v>1025</v>
      </c>
      <c r="J174" s="6" t="s">
        <v>1026</v>
      </c>
      <c r="K174" s="6" t="s">
        <v>1027</v>
      </c>
    </row>
    <row r="175" spans="1:11" ht="18" customHeight="1">
      <c r="B175" s="6" t="s">
        <v>1028</v>
      </c>
      <c r="C175" s="4"/>
      <c r="D175" s="4" t="str">
        <f>CHOOSE(Translations!$C$1+1,I175,J175,K175)</f>
        <v>KP-1f⁽ᴹ⁾ Número de personas privadas de libertad en centros penitenciarios y otros lugares de reclusión alcanzados por programas de prevención del VIH - paquete definido de servicios</v>
      </c>
      <c r="E175" s="4"/>
      <c r="F175" s="4"/>
      <c r="G175" s="4" t="s">
        <v>1029</v>
      </c>
      <c r="H175" s="6"/>
      <c r="I175" s="6" t="s">
        <v>1030</v>
      </c>
      <c r="J175" s="6" t="s">
        <v>1031</v>
      </c>
      <c r="K175" s="6" t="s">
        <v>1032</v>
      </c>
    </row>
    <row r="176" spans="1:11" ht="18" customHeight="1">
      <c r="B176" s="6" t="s">
        <v>1033</v>
      </c>
      <c r="C176" s="4"/>
      <c r="D176" s="4" t="str">
        <f>CHOOSE(Translations!$C$1+1,I176,J176,K176)</f>
        <v>KP-4 Número de agujas y jeringuillas distribuidas al año por persona que consume drogas inyectables a través de programas de agujas y jeringuillas</v>
      </c>
      <c r="E176" s="4"/>
      <c r="F176" s="4"/>
      <c r="G176" s="4" t="s">
        <v>1034</v>
      </c>
      <c r="H176" s="6"/>
      <c r="I176" s="6" t="s">
        <v>1036</v>
      </c>
      <c r="J176" s="6" t="s">
        <v>1037</v>
      </c>
      <c r="K176" s="6" t="s">
        <v>1038</v>
      </c>
    </row>
    <row r="177" spans="2:11" ht="18" customHeight="1">
      <c r="B177" s="6" t="s">
        <v>1039</v>
      </c>
      <c r="C177" s="4"/>
      <c r="D177" s="4" t="str">
        <f>CHOOSE(Translations!$C$1+1,I177,J177,K177)</f>
        <v>KP-5 Porcentaje de personas en terapia de sustitución de opiáceos que recibieron tratamiento durante al menos 6 meses</v>
      </c>
      <c r="E177" s="4"/>
      <c r="F177" s="4"/>
      <c r="G177" s="4" t="s">
        <v>1040</v>
      </c>
      <c r="H177" s="6"/>
      <c r="I177" s="6" t="s">
        <v>1042</v>
      </c>
      <c r="J177" s="6" t="s">
        <v>1043</v>
      </c>
      <c r="K177" s="6" t="s">
        <v>1044</v>
      </c>
    </row>
    <row r="178" spans="2:11" ht="18" customHeight="1">
      <c r="B178" s="6" t="s">
        <v>1045</v>
      </c>
      <c r="C178" s="4"/>
      <c r="D178" s="4" t="str">
        <f>CHOOSE(Translations!$C$1+1,I178,J178,K178)</f>
        <v>KP-6a Porcentaje de HSH elegibles que iniciaron PrEP durante el período de reporte</v>
      </c>
      <c r="E178" s="4"/>
      <c r="F178" s="4"/>
      <c r="G178" s="4" t="s">
        <v>1046</v>
      </c>
      <c r="H178" s="6"/>
      <c r="I178" s="6" t="s">
        <v>1047</v>
      </c>
      <c r="J178" s="6" t="s">
        <v>1048</v>
      </c>
      <c r="K178" s="6" t="s">
        <v>1049</v>
      </c>
    </row>
    <row r="179" spans="2:11" ht="18" customHeight="1">
      <c r="B179" s="6" t="s">
        <v>1050</v>
      </c>
      <c r="C179" s="4"/>
      <c r="D179" s="4" t="str">
        <f>CHOOSE(Translations!$C$1+1,I179,J179,K179)</f>
        <v>KP-6b Porcentaje de personas transgénero elegibles que iniciaron PrEP durante el período de reporte</v>
      </c>
      <c r="E179" s="4"/>
      <c r="F179" s="4"/>
      <c r="G179" s="4" t="s">
        <v>1051</v>
      </c>
      <c r="H179" s="6"/>
      <c r="I179" s="6" t="s">
        <v>1052</v>
      </c>
      <c r="J179" s="6" t="s">
        <v>1053</v>
      </c>
      <c r="K179" s="6" t="s">
        <v>1054</v>
      </c>
    </row>
    <row r="180" spans="2:11" ht="18" customHeight="1">
      <c r="B180" s="6" t="s">
        <v>1055</v>
      </c>
      <c r="C180" s="4"/>
      <c r="D180" s="4" t="str">
        <f>CHOOSE(Translations!$C$1+1,I180,J180,K180)</f>
        <v>KP-6c Porcentaje de trabajadores sexuales elegibles que iniciaron PrEP durante el período de reporte</v>
      </c>
      <c r="E180" s="4"/>
      <c r="F180" s="4"/>
      <c r="G180" s="4" t="s">
        <v>1056</v>
      </c>
      <c r="H180" s="6"/>
      <c r="I180" s="6" t="s">
        <v>1057</v>
      </c>
      <c r="J180" s="6" t="s">
        <v>1058</v>
      </c>
      <c r="K180" s="6" t="s">
        <v>1059</v>
      </c>
    </row>
    <row r="181" spans="2:11" ht="18" customHeight="1">
      <c r="B181" s="6" t="s">
        <v>1321</v>
      </c>
      <c r="C181" s="4"/>
      <c r="D181" s="4" t="str">
        <f>CHOOSE(Translations!$C$1+1,I181,J181,K181)</f>
        <v>PSM-3 Porcentaje de establecimientos  de salud que prestan servicios de diagnóstico con productos marcadores disponibles el día de la visita o el día de la notificación</v>
      </c>
      <c r="E181" s="4"/>
      <c r="F181" s="4"/>
      <c r="G181" s="4" t="s">
        <v>1322</v>
      </c>
      <c r="H181" s="6"/>
      <c r="I181" s="6" t="s">
        <v>1323</v>
      </c>
      <c r="J181" s="6" t="s">
        <v>1324</v>
      </c>
      <c r="K181" s="6" t="s">
        <v>1325</v>
      </c>
    </row>
    <row r="182" spans="2:11" ht="18" customHeight="1">
      <c r="B182" s="6" t="s">
        <v>1326</v>
      </c>
      <c r="C182" s="4"/>
      <c r="D182" s="4" t="str">
        <f>CHOOSE(Translations!$C$1+1,I182,J182,K182)</f>
        <v>PSM-4 Porcentaje de establecimientos de salud con medicamentos marcadores para las tres enfermedades disponibles el día de la visita o el día de la notificación</v>
      </c>
      <c r="E182" s="4"/>
      <c r="F182" s="4"/>
      <c r="G182" s="4" t="s">
        <v>1327</v>
      </c>
      <c r="H182" s="6"/>
      <c r="I182" s="6" t="s">
        <v>1328</v>
      </c>
      <c r="J182" s="6" t="s">
        <v>1329</v>
      </c>
      <c r="K182" s="6" t="s">
        <v>1330</v>
      </c>
    </row>
    <row r="183" spans="2:11" ht="18" customHeight="1">
      <c r="B183" s="6" t="s">
        <v>1065</v>
      </c>
      <c r="C183" s="4"/>
      <c r="D183" s="4" t="str">
        <f>CHOOSE(Translations!$C$1+1,I183,J183,K183)</f>
        <v>YP-1a Porcentaje de jóvenes de 10 a 24 años asistiendo a la escuela alcanzados con programas de educación sexual integral y/o educación basada en el desarrollo de habilidades para la vida y  VIH, en las escuelas</v>
      </c>
      <c r="E183" s="4"/>
      <c r="F183" s="4"/>
      <c r="G183" s="4" t="s">
        <v>1066</v>
      </c>
      <c r="H183" s="6"/>
      <c r="I183" s="6" t="s">
        <v>1067</v>
      </c>
      <c r="J183" s="6" t="s">
        <v>1068</v>
      </c>
      <c r="K183" s="6" t="s">
        <v>1069</v>
      </c>
    </row>
    <row r="184" spans="2:11" ht="18" customHeight="1">
      <c r="B184" s="6" t="s">
        <v>1070</v>
      </c>
      <c r="C184" s="4"/>
      <c r="D184" s="4" t="str">
        <f>CHOOSE(Translations!$C$1+1,I184,J184,K184)</f>
        <v>YP-1b Porcentaje de jóvenes de 10 a 24 años alcanzados por programas de educación sexual integral y/o educación basada en el desarrollo de habilidades para la vida y VIH, fuera de las escuelas</v>
      </c>
      <c r="E184" s="4"/>
      <c r="F184" s="4"/>
      <c r="G184" s="4" t="s">
        <v>1071</v>
      </c>
      <c r="H184" s="6"/>
      <c r="I184" s="6" t="s">
        <v>1072</v>
      </c>
      <c r="J184" s="6" t="s">
        <v>1073</v>
      </c>
      <c r="K184" s="6" t="s">
        <v>1074</v>
      </c>
    </row>
    <row r="185" spans="2:11" ht="18" customHeight="1">
      <c r="B185" s="6" t="s">
        <v>1075</v>
      </c>
      <c r="C185" s="4"/>
      <c r="D185" s="4" t="str">
        <f>CHOOSE(Translations!$C$1+1,I185,J185,K185)</f>
        <v>YP-2 Porcentaje de niñas adolescentes y mujeres jóvenes alcanzadas por programas de prevención del VIH - paquete definido de servicios</v>
      </c>
      <c r="E185" s="4"/>
      <c r="F185" s="4"/>
      <c r="G185" s="4" t="s">
        <v>1076</v>
      </c>
      <c r="H185" s="6"/>
      <c r="I185" s="6" t="s">
        <v>1077</v>
      </c>
      <c r="J185" s="6" t="s">
        <v>1078</v>
      </c>
      <c r="K185" s="6" t="s">
        <v>1079</v>
      </c>
    </row>
    <row r="186" spans="2:11" ht="18" customHeight="1">
      <c r="B186" s="6" t="s">
        <v>1080</v>
      </c>
      <c r="C186" s="4"/>
      <c r="D186" s="4" t="str">
        <f>CHOOSE(Translations!$C$1+1,I186,J186,K186)</f>
        <v>YP-4 Porcentaje de niñas adolescentes y mujeres jóvenes elegibles que iniciaron PrEP durante el período de reporte</v>
      </c>
      <c r="E186" s="4"/>
      <c r="F186" s="4"/>
      <c r="G186" s="4" t="s">
        <v>1081</v>
      </c>
      <c r="H186" s="6"/>
      <c r="I186" s="6" t="s">
        <v>1082</v>
      </c>
      <c r="J186" s="6" t="s">
        <v>1083</v>
      </c>
      <c r="K186" s="6" t="s">
        <v>1084</v>
      </c>
    </row>
    <row r="187" spans="2:11" ht="18" customHeight="1">
      <c r="B187" s="6" t="s">
        <v>1086</v>
      </c>
      <c r="C187" s="4"/>
      <c r="D187" s="4" t="str">
        <f>CHOOSE(Translations!$C$1+1,I187,J187,K187)</f>
        <v>PMTCT-1 Porcentaje de mujeres embarazadas que conocen su Estatus de VIH</v>
      </c>
      <c r="E187" s="4"/>
      <c r="F187" s="4"/>
      <c r="G187" s="4" t="s">
        <v>1087</v>
      </c>
      <c r="H187" s="6"/>
      <c r="I187" s="6" t="s">
        <v>1089</v>
      </c>
      <c r="J187" s="6" t="s">
        <v>1090</v>
      </c>
      <c r="K187" s="6" t="s">
        <v>1091</v>
      </c>
    </row>
    <row r="188" spans="2:11" ht="18" customHeight="1">
      <c r="B188" s="6" t="s">
        <v>1095</v>
      </c>
      <c r="C188" s="4"/>
      <c r="D188" s="4" t="str">
        <f>CHOOSE(Translations!$C$1+1,I188,J188,K188)</f>
        <v>PMTCT-2.1 Porcentaje de mujeres seropositivas que recibieron TARV durante el embarazo y/o trabajo de parto y parto</v>
      </c>
      <c r="E188" s="4"/>
      <c r="F188" s="4"/>
      <c r="G188" s="4" t="s">
        <v>1096</v>
      </c>
      <c r="H188" s="6"/>
      <c r="I188" s="6" t="s">
        <v>1097</v>
      </c>
      <c r="J188" s="6" t="s">
        <v>1098</v>
      </c>
      <c r="K188" s="6" t="s">
        <v>1099</v>
      </c>
    </row>
    <row r="189" spans="2:11" ht="18" customHeight="1">
      <c r="B189" s="6" t="s">
        <v>1331</v>
      </c>
      <c r="C189" s="4"/>
      <c r="D189" s="4" t="str">
        <f>CHOOSE(Translations!$C$1+1,I189,J189,K189)</f>
        <v>PSM-5 Porcentaje de envíos entregados a tiempo y completos en el número total de envíos que se espera que sean entregados para las tres enfermedades durante el período del informe</v>
      </c>
      <c r="E189" s="4"/>
      <c r="F189" s="4"/>
      <c r="G189" s="4" t="s">
        <v>1332</v>
      </c>
      <c r="H189" s="6"/>
      <c r="I189" s="6" t="s">
        <v>1333</v>
      </c>
      <c r="J189" s="6" t="s">
        <v>1334</v>
      </c>
      <c r="K189" s="6" t="s">
        <v>1335</v>
      </c>
    </row>
    <row r="190" spans="2:11" ht="18" customHeight="1">
      <c r="B190" s="6" t="s">
        <v>1336</v>
      </c>
      <c r="C190" s="4"/>
      <c r="D190" s="4" t="str">
        <f>CHOOSE(Translations!$C$1+1,I190,J190,K190)</f>
        <v>PSM-6 Porcentaje de productos sanitarios para órdenes de compra confirmadas con los proveedores en las cantidades previstas para las tres enfermedades durante el período del informe</v>
      </c>
      <c r="E190" s="4"/>
      <c r="F190" s="4"/>
      <c r="G190" s="4" t="s">
        <v>1337</v>
      </c>
      <c r="H190" s="6"/>
      <c r="I190" s="6" t="s">
        <v>1338</v>
      </c>
      <c r="J190" s="6" t="s">
        <v>1339</v>
      </c>
      <c r="K190" s="6" t="s">
        <v>1340</v>
      </c>
    </row>
    <row r="191" spans="2:11" ht="18" customHeight="1">
      <c r="B191" s="6" t="s">
        <v>1341</v>
      </c>
      <c r="C191" s="4"/>
      <c r="D191" s="4" t="str">
        <f>CHOOSE(Translations!$C$1+1,I191,J191,K191)</f>
        <v>PSM-7 Porcentaje de lotes de productos sanitarios para las tres enfermedades sometidos a pruebas de calidad de acuerdo con la política de aseguramiento de la calidad del Fondo Mundial</v>
      </c>
      <c r="E191" s="4"/>
      <c r="F191" s="4"/>
      <c r="G191" s="4" t="s">
        <v>1342</v>
      </c>
      <c r="H191" s="6"/>
      <c r="I191" s="6" t="s">
        <v>1343</v>
      </c>
      <c r="J191" s="6" t="s">
        <v>1344</v>
      </c>
      <c r="K191" s="6" t="s">
        <v>1345</v>
      </c>
    </row>
    <row r="192" spans="2:11" ht="18" customHeight="1">
      <c r="B192" s="6" t="s">
        <v>1347</v>
      </c>
      <c r="C192" s="4"/>
      <c r="D192" s="4" t="str">
        <f>CHOOSE(Translations!$C$1+1,I192,J192,K192)</f>
        <v>M&amp;E-2a Exhaustividad de los informes de los establecimientos de salud  : porcentaje de informes mensuales previstos  de los establecimientos de salud  (para el período de reporte) que se reciben realmente</v>
      </c>
      <c r="E192" s="4"/>
      <c r="F192" s="4"/>
      <c r="G192" s="4" t="s">
        <v>1348</v>
      </c>
      <c r="H192" s="6"/>
      <c r="I192" s="6" t="s">
        <v>1349</v>
      </c>
      <c r="J192" s="6" t="s">
        <v>1350</v>
      </c>
      <c r="K192" s="6" t="s">
        <v>1351</v>
      </c>
    </row>
    <row r="193" spans="2:11" ht="18" customHeight="1">
      <c r="B193" s="6" t="s">
        <v>1355</v>
      </c>
      <c r="C193" s="4"/>
      <c r="D193" s="4" t="str">
        <f>CHOOSE(Translations!$C$1+1,I193,J193,K193)</f>
        <v>M&amp;E-2b Puntualidad de los informes de los  establecimientos de salud : porcentaje de informes de los establecimientos de salud  enviados mensualmente ( para el período de reporte) que se reciben puntualmente de acuerdo con las directrices nacionales</v>
      </c>
      <c r="E193" s="4"/>
      <c r="F193" s="4"/>
      <c r="G193" s="4" t="s">
        <v>1356</v>
      </c>
      <c r="H193" s="6"/>
      <c r="I193" s="6" t="s">
        <v>1357</v>
      </c>
      <c r="J193" s="6" t="s">
        <v>1358</v>
      </c>
      <c r="K193" s="6" t="s">
        <v>1359</v>
      </c>
    </row>
    <row r="194" spans="2:11" ht="18" customHeight="1">
      <c r="B194" s="6" t="s">
        <v>1101</v>
      </c>
      <c r="C194" s="4"/>
      <c r="D194" s="4" t="str">
        <f>CHOOSE(Translations!$C$1+1,I194,J194,K194)</f>
        <v>PMTCT-3.1 Porcentaje de recién nacidos expuestos al VIH que se sometieron a una prueba virológica del VIH durante los 2 meses posteriores a su nacimiento</v>
      </c>
      <c r="E194" s="4"/>
      <c r="F194" s="4"/>
      <c r="G194" s="4" t="s">
        <v>1102</v>
      </c>
      <c r="H194" s="6"/>
      <c r="I194" s="6" t="s">
        <v>1103</v>
      </c>
      <c r="J194" s="6" t="s">
        <v>1104</v>
      </c>
      <c r="K194" s="6" t="s">
        <v>1105</v>
      </c>
    </row>
    <row r="195" spans="2:11" ht="18" customHeight="1">
      <c r="B195" s="6" t="s">
        <v>1106</v>
      </c>
      <c r="C195" s="4"/>
      <c r="D195" s="4" t="str">
        <f>CHOOSE(Translations!$C$1+1,I195,J195,K195)</f>
        <v>PMTCT-4 Porcentaje de pacientes de atención prenatal que se sometieron a la prueba de la sífilis</v>
      </c>
      <c r="E195" s="4"/>
      <c r="F195" s="4"/>
      <c r="G195" s="4" t="s">
        <v>1107</v>
      </c>
      <c r="H195" s="6"/>
      <c r="I195" s="6" t="s">
        <v>1108</v>
      </c>
      <c r="J195" s="6" t="s">
        <v>1109</v>
      </c>
      <c r="K195" s="6" t="s">
        <v>1110</v>
      </c>
    </row>
    <row r="196" spans="2:11" ht="18" customHeight="1">
      <c r="B196" s="6" t="s">
        <v>1112</v>
      </c>
      <c r="C196" s="4"/>
      <c r="D196" s="4" t="str">
        <f>CHOOSE(Translations!$C$1+1,I196,J196,K196)</f>
        <v>HTS-2 Número de niñas adolescentes y mujeres jóvenes que se sometieron a la prueba del VIH y recibieron los resultados durante el período de reporte</v>
      </c>
      <c r="E196" s="4"/>
      <c r="F196" s="4"/>
      <c r="G196" s="4" t="s">
        <v>1113</v>
      </c>
      <c r="H196" s="6"/>
      <c r="I196" s="6" t="s">
        <v>1114</v>
      </c>
      <c r="J196" s="6" t="s">
        <v>1115</v>
      </c>
      <c r="K196" s="6" t="s">
        <v>1116</v>
      </c>
    </row>
    <row r="197" spans="2:11" ht="18" customHeight="1">
      <c r="B197" s="6" t="s">
        <v>1120</v>
      </c>
      <c r="C197" s="4"/>
      <c r="D197" s="4" t="str">
        <f>CHOOSE(Translations!$C$1+1,I197,J197,K197)</f>
        <v>HTS-3a⁽ᴹ⁾ Porcentaje de HSH a los que se les ha realizado una prueba de VIH durante el período de reporte y que conocen sus resultados</v>
      </c>
      <c r="E197" s="4"/>
      <c r="F197" s="4"/>
      <c r="G197" s="4" t="s">
        <v>1121</v>
      </c>
      <c r="H197" s="6"/>
      <c r="I197" s="6" t="s">
        <v>1122</v>
      </c>
      <c r="J197" s="6" t="s">
        <v>1123</v>
      </c>
      <c r="K197" s="6" t="s">
        <v>1124</v>
      </c>
    </row>
    <row r="198" spans="2:11" ht="18" customHeight="1">
      <c r="B198" s="6" t="s">
        <v>1125</v>
      </c>
      <c r="C198" s="4"/>
      <c r="D198" s="4" t="str">
        <f>CHOOSE(Translations!$C$1+1,I198,J198,K198)</f>
        <v>HTS-3b⁽ᴹ⁾ Porcentaje de personas transgénero a los que se les ha realizado una prueba de VIH durante el período de reporte y que conocen sus resultados</v>
      </c>
      <c r="E198" s="4"/>
      <c r="F198" s="4"/>
      <c r="G198" s="4" t="s">
        <v>1126</v>
      </c>
      <c r="H198" s="6"/>
      <c r="I198" s="6" t="s">
        <v>1127</v>
      </c>
      <c r="J198" s="6" t="s">
        <v>1128</v>
      </c>
      <c r="K198" s="6" t="s">
        <v>1129</v>
      </c>
    </row>
    <row r="199" spans="2:11" ht="18" customHeight="1">
      <c r="B199" s="6" t="s">
        <v>1130</v>
      </c>
      <c r="C199" s="4"/>
      <c r="D199" s="4" t="str">
        <f>CHOOSE(Translations!$C$1+1,I199,J199,K199)</f>
        <v>HTS-3c⁽ᴹ⁾ Porcentaje de trabajadores sexuales a los que se les ha realizado una prueba de VIH durante el período de reporte y que conocen sus resultados</v>
      </c>
      <c r="E199" s="4"/>
      <c r="F199" s="4"/>
      <c r="G199" s="4" t="s">
        <v>1131</v>
      </c>
      <c r="H199" s="6"/>
      <c r="I199" s="6" t="s">
        <v>1132</v>
      </c>
      <c r="J199" s="6" t="s">
        <v>1133</v>
      </c>
      <c r="K199" s="6" t="s">
        <v>1134</v>
      </c>
    </row>
    <row r="200" spans="2:11" ht="18" customHeight="1">
      <c r="B200" s="6" t="s">
        <v>1360</v>
      </c>
      <c r="C200" s="4"/>
      <c r="D200" s="4" t="str">
        <f>CHOOSE(Translations!$C$1+1,I200,J200,K200)</f>
        <v>M&amp;E-4 Porcentaje de  informes sobre la prestación de servicios de los trabajadores de la salud comunitarios integrados en el Sistema de información de gestión de salud  nacional</v>
      </c>
      <c r="E200" s="4"/>
      <c r="F200" s="4"/>
      <c r="G200" s="4" t="s">
        <v>1361</v>
      </c>
      <c r="H200" s="6"/>
      <c r="I200" s="6" t="s">
        <v>1362</v>
      </c>
      <c r="J200" s="6" t="s">
        <v>1363</v>
      </c>
      <c r="K200" s="6" t="s">
        <v>1364</v>
      </c>
    </row>
    <row r="201" spans="2:11" ht="18" customHeight="1">
      <c r="B201" s="6" t="s">
        <v>1365</v>
      </c>
      <c r="C201" s="4"/>
      <c r="D201" s="4" t="str">
        <f>CHOOSE(Translations!$C$1+1,I201,J201,K201)</f>
        <v>M&amp;E-5 Porcentaje de establecimientos de salud que registran y envían los datos mediante el sistema de comunicación electrónico</v>
      </c>
      <c r="E201" s="4"/>
      <c r="F201" s="4"/>
      <c r="G201" s="4" t="s">
        <v>1366</v>
      </c>
      <c r="H201" s="6"/>
      <c r="I201" s="6" t="s">
        <v>1367</v>
      </c>
      <c r="J201" s="6" t="s">
        <v>1368</v>
      </c>
      <c r="K201" s="6" t="s">
        <v>1369</v>
      </c>
    </row>
    <row r="202" spans="2:11" ht="18" customHeight="1">
      <c r="B202" s="6" t="s">
        <v>1370</v>
      </c>
      <c r="C202" s="4"/>
      <c r="D202" s="4" t="str">
        <f>CHOOSE(Translations!$C$1+1,I202,J202,K202)</f>
        <v>M&amp;E-6 Porcentaje de distritos que producen informe(s) analíticos periódicos de acuerdo con el plan y el formato de los informes acordados a nivel nacional durante el período de reporte</v>
      </c>
      <c r="E202" s="4"/>
      <c r="F202" s="4"/>
      <c r="G202" s="4" t="s">
        <v>1371</v>
      </c>
      <c r="H202" s="6"/>
      <c r="I202" s="6" t="s">
        <v>1372</v>
      </c>
      <c r="J202" s="6" t="s">
        <v>1373</v>
      </c>
      <c r="K202" s="6" t="s">
        <v>1374</v>
      </c>
    </row>
    <row r="203" spans="2:11" ht="18" customHeight="1">
      <c r="B203" s="6" t="s">
        <v>1376</v>
      </c>
      <c r="C203" s="4"/>
      <c r="D203" s="4" t="str">
        <f>CHOOSE(Translations!$C$1+1,I203,J203,K203)</f>
        <v>HRH-1 Tasa de puestos vacantes: número de puestos de salud a tiempo completo vacantes durante al menos 6 meses como porcentaje total del número de puestos financiados</v>
      </c>
      <c r="E203" s="4"/>
      <c r="F203" s="4"/>
      <c r="G203" s="4" t="s">
        <v>1377</v>
      </c>
      <c r="H203" s="6"/>
      <c r="I203" s="6" t="s">
        <v>1378</v>
      </c>
      <c r="J203" s="6" t="s">
        <v>1379</v>
      </c>
      <c r="K203" s="6" t="s">
        <v>1380</v>
      </c>
    </row>
    <row r="204" spans="2:11" ht="18" customHeight="1">
      <c r="B204" s="6" t="s">
        <v>1143</v>
      </c>
      <c r="C204" s="4"/>
      <c r="D204" s="4" t="str">
        <f>CHOOSE(Translations!$C$1+1,I204,J204,K204)</f>
        <v>HTS-3e Porcentaje de otras poblaciones vulnerables a los que se les ha realizado una prueba de VIH durante el período de reporte y que conocen sus resultados</v>
      </c>
      <c r="E204" s="4"/>
      <c r="F204" s="4"/>
      <c r="G204" s="4" t="s">
        <v>1144</v>
      </c>
      <c r="H204" s="6"/>
      <c r="I204" s="6" t="s">
        <v>1145</v>
      </c>
      <c r="J204" s="6" t="s">
        <v>1146</v>
      </c>
      <c r="K204" s="6" t="s">
        <v>1147</v>
      </c>
    </row>
    <row r="205" spans="2:11" ht="18" customHeight="1">
      <c r="B205" s="6" t="s">
        <v>1148</v>
      </c>
      <c r="C205" s="4"/>
      <c r="D205" s="4" t="str">
        <f>CHOOSE(Translations!$C$1+1,I205,J205,K205)</f>
        <v>HTS-3f⁽ᴹ⁾ Número de personas privadas de libertad en centros penitenciarios y otros lugares de reclusión a los que se les ha realizado una prueba de VIH durante el período de reporte y que conocen sus resultados</v>
      </c>
      <c r="E205" s="4"/>
      <c r="F205" s="4"/>
      <c r="G205" s="4" t="s">
        <v>1149</v>
      </c>
      <c r="H205" s="6"/>
      <c r="I205" s="6" t="s">
        <v>1150</v>
      </c>
      <c r="J205" s="6" t="s">
        <v>1151</v>
      </c>
      <c r="K205" s="6" t="s">
        <v>1152</v>
      </c>
    </row>
    <row r="206" spans="2:11" ht="18" customHeight="1">
      <c r="B206" s="6" t="s">
        <v>1153</v>
      </c>
      <c r="C206" s="4"/>
      <c r="D206" s="4" t="str">
        <f>CHOOSE(Translations!$C$1+1,I206,J206,K206)</f>
        <v>HTS-4 Porcentaje de resultados de VIH positivos entre el total de pruebas de VIH realizadas durante el período de reporte.</v>
      </c>
      <c r="E206" s="4"/>
      <c r="F206" s="4"/>
      <c r="G206" s="4" t="s">
        <v>1154</v>
      </c>
      <c r="H206" s="6"/>
      <c r="I206" s="6" t="s">
        <v>1155</v>
      </c>
      <c r="J206" s="6" t="s">
        <v>1156</v>
      </c>
      <c r="K206" s="6" t="s">
        <v>1157</v>
      </c>
    </row>
    <row r="207" spans="2:11" ht="18" customHeight="1">
      <c r="B207" s="6" t="s">
        <v>1161</v>
      </c>
      <c r="C207" s="4"/>
      <c r="D207" s="4" t="str">
        <f>CHOOSE(Translations!$C$1+1,I207,J207,K207)</f>
        <v>HTS-5 Porcentaje de personas con diagnóstico nuevo de VIH que han iniciado terapia antirretroviral</v>
      </c>
      <c r="E207" s="4"/>
      <c r="F207" s="4"/>
      <c r="G207" s="4" t="s">
        <v>1162</v>
      </c>
      <c r="H207" s="6"/>
      <c r="I207" s="6" t="s">
        <v>1163</v>
      </c>
      <c r="J207" s="6" t="s">
        <v>1164</v>
      </c>
      <c r="K207" s="6" t="s">
        <v>1165</v>
      </c>
    </row>
    <row r="208" spans="2:11" ht="18" customHeight="1">
      <c r="B208" s="6" t="s">
        <v>1138</v>
      </c>
      <c r="C208" s="4"/>
      <c r="D208" s="4" t="str">
        <f>CHOOSE(Translations!$C$1+1,I208,J208,K208)</f>
        <v>HTS-3d⁽ᴹ⁾ Porcentaje de consumidores de drogas inyectables a los que se les ha realizado una prueba de VIH durante el período de reporte y que conocen sus resultados</v>
      </c>
      <c r="E208" s="4"/>
      <c r="F208" s="4"/>
      <c r="G208" s="4" t="s">
        <v>1139</v>
      </c>
      <c r="H208" s="6"/>
      <c r="I208" s="6" t="s">
        <v>1140</v>
      </c>
      <c r="J208" s="6" t="s">
        <v>1141</v>
      </c>
      <c r="K208" s="6" t="s">
        <v>1142</v>
      </c>
    </row>
    <row r="209" spans="2:11" ht="18" customHeight="1">
      <c r="B209" s="6" t="s">
        <v>1178</v>
      </c>
      <c r="C209" s="4"/>
      <c r="D209" s="4" t="str">
        <f>CHOOSE(Translations!$C$1+1,I209,J209,K209)</f>
        <v>TCS-1b⁽ᴹ⁾ Porcentaje de adultos (15 años o más) en TARV entre el total de adultos viviendo con VIH al final del período de reporte</v>
      </c>
      <c r="E209" s="4"/>
      <c r="F209" s="4"/>
      <c r="G209" s="4" t="s">
        <v>1179</v>
      </c>
      <c r="H209" s="6"/>
      <c r="I209" s="6" t="s">
        <v>1180</v>
      </c>
      <c r="J209" s="6" t="s">
        <v>1181</v>
      </c>
      <c r="K209" s="6" t="s">
        <v>1182</v>
      </c>
    </row>
    <row r="210" spans="2:11" ht="18" customHeight="1">
      <c r="B210" s="6" t="s">
        <v>1186</v>
      </c>
      <c r="C210" s="4"/>
      <c r="D210" s="4" t="str">
        <f>CHOOSE(Translations!$C$1+1,I210,J210,K210)</f>
        <v>TCS-1c⁽ᴹ⁾ Porcentaje de niños (menores de 15 años) en TARV entre el total de niños viviendo con VIH al final del período de reporte</v>
      </c>
      <c r="E210" s="4"/>
      <c r="F210" s="4"/>
      <c r="G210" s="4" t="s">
        <v>1187</v>
      </c>
      <c r="H210" s="6"/>
      <c r="I210" s="6" t="s">
        <v>1188</v>
      </c>
      <c r="J210" s="6" t="s">
        <v>1189</v>
      </c>
      <c r="K210" s="6" t="s">
        <v>1190</v>
      </c>
    </row>
    <row r="211" spans="2:11" ht="18" customHeight="1">
      <c r="B211" s="6" t="s">
        <v>1195</v>
      </c>
      <c r="C211" s="4"/>
      <c r="D211" s="4" t="str">
        <f>CHOOSE(Translations!$C$1+1,I211,J211,K211)</f>
        <v>TCP-1⁽ᴹ⁾ Número de casos notificados de todas las formas de tuberculosis (esto es, confirmados bacteriológicamente y con diagnóstico clínico), casos nuevos y recaídas.</v>
      </c>
      <c r="E211" s="4"/>
      <c r="F211" s="4"/>
      <c r="G211" s="4" t="s">
        <v>1196</v>
      </c>
      <c r="H211" s="6"/>
      <c r="I211" s="6" t="s">
        <v>1197</v>
      </c>
      <c r="J211" s="6" t="s">
        <v>1198</v>
      </c>
      <c r="K211" s="6" t="s">
        <v>1199</v>
      </c>
    </row>
    <row r="212" spans="2:11" ht="18" customHeight="1">
      <c r="B212" s="6" t="s">
        <v>1170</v>
      </c>
      <c r="C212" s="4"/>
      <c r="D212" s="4" t="str">
        <f>CHOOSE(Translations!$C$1+1,I212,J212,K212)</f>
        <v>TCS-1.1⁽ᴹ⁾ Porcentaje de personas en TARV entre todas las personas viviendo con VIH al final del período de reporte</v>
      </c>
      <c r="E212" s="4"/>
      <c r="F212" s="4"/>
      <c r="G212" s="4" t="s">
        <v>1171</v>
      </c>
      <c r="H212" s="6"/>
      <c r="I212" s="6" t="s">
        <v>1172</v>
      </c>
      <c r="J212" s="6" t="s">
        <v>1173</v>
      </c>
      <c r="K212" s="6" t="s">
        <v>1174</v>
      </c>
    </row>
    <row r="213" spans="2:11" ht="18" customHeight="1">
      <c r="B213" s="6" t="s">
        <v>1203</v>
      </c>
      <c r="C213" s="4"/>
      <c r="D213" s="4" t="str">
        <f>CHOOSE(Translations!$C$1+1,I213,J213,K213)</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E213" s="4"/>
      <c r="F213" s="4"/>
      <c r="G213" s="4" t="s">
        <v>1204</v>
      </c>
      <c r="H213" s="6"/>
      <c r="I213" s="6" t="s">
        <v>1205</v>
      </c>
      <c r="J213" s="6" t="s">
        <v>1206</v>
      </c>
      <c r="K213" s="6" t="s">
        <v>1207</v>
      </c>
    </row>
    <row r="214" spans="2:11" ht="18" customHeight="1">
      <c r="B214" s="6" t="s">
        <v>1208</v>
      </c>
      <c r="C214" s="4"/>
      <c r="D214" s="4" t="str">
        <f>CHOOSE(Translations!$C$1+1,I214,J214,K214)</f>
        <v>TCP-3 Porcentaje de laboratorios que demuestran un desempeño adecuado en el aseguramiento externo de la calidad en lo que se refiere a la microscopía de frotis entre el número total de laboratorios que realizan microscopía de frotis durante el periodo de presentación de informes.</v>
      </c>
      <c r="E214" s="4"/>
      <c r="F214" s="4"/>
      <c r="G214" s="4" t="s">
        <v>1209</v>
      </c>
      <c r="H214" s="6"/>
      <c r="I214" s="6" t="s">
        <v>1211</v>
      </c>
      <c r="J214" s="6" t="s">
        <v>1212</v>
      </c>
      <c r="K214" s="6" t="s">
        <v>1213</v>
      </c>
    </row>
    <row r="215" spans="2:11" ht="18" customHeight="1">
      <c r="B215" s="6" t="s">
        <v>1214</v>
      </c>
      <c r="C215" s="4"/>
      <c r="D215" s="4" t="str">
        <f>CHOOSE(Translations!$C$1+1,I215,J215,K215)</f>
        <v>TCP-5.1 Número de personas en contacto con pacientes de tuberculosis que empezaron a recibir terapia preventiva.</v>
      </c>
      <c r="E215" s="4"/>
      <c r="F215" s="4"/>
      <c r="G215" s="4" t="s">
        <v>1215</v>
      </c>
      <c r="H215" s="6"/>
      <c r="I215" s="6" t="s">
        <v>1216</v>
      </c>
      <c r="J215" s="6" t="s">
        <v>1217</v>
      </c>
      <c r="K215" s="6" t="s">
        <v>1218</v>
      </c>
    </row>
    <row r="216" spans="2:11" ht="18" customHeight="1">
      <c r="B216" s="6" t="s">
        <v>1219</v>
      </c>
      <c r="C216" s="4"/>
      <c r="D216" s="4" t="str">
        <f>CHOOSE(Translations!$C$1+1,I216,J216,K216)</f>
        <v>TCP-6a Número de casos de tuberculosis (en todas sus formas) notificados entre reclusos.</v>
      </c>
      <c r="E216" s="4"/>
      <c r="F216" s="4"/>
      <c r="G216" s="4" t="s">
        <v>1220</v>
      </c>
      <c r="H216" s="6"/>
      <c r="I216" s="6" t="s">
        <v>1221</v>
      </c>
      <c r="J216" s="6" t="s">
        <v>1222</v>
      </c>
      <c r="K216" s="6" t="s">
        <v>1223</v>
      </c>
    </row>
    <row r="217" spans="2:11" ht="18" customHeight="1">
      <c r="B217" s="6" t="s">
        <v>1386</v>
      </c>
      <c r="C217" s="4"/>
      <c r="D217" s="4" t="str">
        <f>CHOOSE(Translations!$C$1+1,I217,J217,K217)</f>
        <v>HRH-3 Proporción de trabajadores de  salud comunitarios que recibieron al menos una supervisión de apoyo  durante el período de reporte</v>
      </c>
      <c r="E217" s="4"/>
      <c r="F217" s="4"/>
      <c r="G217" s="4" t="s">
        <v>1387</v>
      </c>
      <c r="H217" s="6"/>
      <c r="I217" s="6" t="s">
        <v>1388</v>
      </c>
      <c r="J217" s="6" t="s">
        <v>1389</v>
      </c>
      <c r="K217" s="6" t="s">
        <v>1390</v>
      </c>
    </row>
    <row r="218" spans="2:11" ht="18" customHeight="1">
      <c r="B218" s="6" t="s">
        <v>1381</v>
      </c>
      <c r="C218" s="4"/>
      <c r="D218" s="4" t="str">
        <f>CHOOSE(Translations!$C$1+1,I218,J218,K218)</f>
        <v>HRH-2 Proporción de estudiantes graduados de un programa de educación y formación de personal sanitario respecto del número de estudiantes inscritos en primer año</v>
      </c>
      <c r="E218" s="4"/>
      <c r="F218" s="4"/>
      <c r="G218" s="4" t="s">
        <v>1382</v>
      </c>
      <c r="H218" s="6"/>
      <c r="I218" s="6" t="s">
        <v>1383</v>
      </c>
      <c r="J218" s="6" t="s">
        <v>1384</v>
      </c>
      <c r="K218" s="6" t="s">
        <v>1385</v>
      </c>
    </row>
    <row r="219" spans="2:11" ht="18" customHeight="1">
      <c r="B219" s="6" t="s">
        <v>1392</v>
      </c>
      <c r="C219" s="4"/>
      <c r="D219" s="4" t="str">
        <f>CHOOSE(Translations!$C$1+1,I219,J219,K219)</f>
        <v>SD-3 Número de visitas al departamento de pacientes ambulatorios por persona y año</v>
      </c>
      <c r="E219" s="4"/>
      <c r="F219" s="4"/>
      <c r="G219" s="4" t="s">
        <v>1393</v>
      </c>
      <c r="H219" s="6"/>
      <c r="I219" s="6" t="s">
        <v>1394</v>
      </c>
      <c r="J219" s="6" t="s">
        <v>1395</v>
      </c>
      <c r="K219" s="6" t="s">
        <v>1396</v>
      </c>
    </row>
    <row r="220" spans="2:11" ht="18" customHeight="1">
      <c r="B220" s="6" t="s">
        <v>1397</v>
      </c>
      <c r="C220" s="4"/>
      <c r="D220" s="4" t="str">
        <f>CHOOSE(Translations!$C$1+1,I220,J220,K220)</f>
        <v>SD-4 Porcentaje de establecimientos de salud con comité de salud en funcionamiento (o similar) que incluya a los miembros comunitarios y se reúna al menos una vez por trimestre</v>
      </c>
      <c r="E220" s="4"/>
      <c r="F220" s="4"/>
      <c r="G220" s="4" t="s">
        <v>1398</v>
      </c>
      <c r="H220" s="6"/>
      <c r="I220" s="6" t="s">
        <v>1399</v>
      </c>
      <c r="J220" s="6" t="s">
        <v>1400</v>
      </c>
      <c r="K220" s="6" t="s">
        <v>1401</v>
      </c>
    </row>
    <row r="221" spans="2:11" ht="18" customHeight="1">
      <c r="B221" s="6" t="s">
        <v>1224</v>
      </c>
      <c r="C221" s="4"/>
      <c r="D221" s="4" t="str">
        <f>CHOOSE(Translations!$C$1+1,I221,J221,K221)</f>
        <v>TCP-6b Número de casos de tuberculosis (en todas sus formas) notificados entre las poblaciones clave afectadas o los grupos de alto riesgo (distintos de los reclusos).</v>
      </c>
      <c r="E221" s="4"/>
      <c r="F221" s="4"/>
      <c r="G221" s="4" t="s">
        <v>1225</v>
      </c>
      <c r="H221" s="6"/>
      <c r="I221" s="6" t="s">
        <v>1226</v>
      </c>
      <c r="J221" s="6" t="s">
        <v>1227</v>
      </c>
      <c r="K221" s="6" t="s">
        <v>1228</v>
      </c>
    </row>
    <row r="222" spans="2:11" ht="18" customHeight="1">
      <c r="B222" s="6" t="s">
        <v>1232</v>
      </c>
      <c r="C222" s="4"/>
      <c r="D222" s="4" t="str">
        <f>CHOOSE(Translations!$C$1+1,I222,J222,K222)</f>
        <v>TCP-7a Número de casos de tuberculosis notificados (en todas sus formas) aportados por proveedores que no pertenecen al programa nacional para el control de la tuberculosis: centros privados o no gubernamentales.</v>
      </c>
      <c r="E222" s="4"/>
      <c r="F222" s="4"/>
      <c r="G222" s="4" t="s">
        <v>1233</v>
      </c>
      <c r="H222" s="6"/>
      <c r="I222" s="6" t="s">
        <v>1234</v>
      </c>
      <c r="J222" s="6" t="s">
        <v>1235</v>
      </c>
      <c r="K222" s="6" t="s">
        <v>1236</v>
      </c>
    </row>
    <row r="223" spans="2:11" ht="18" customHeight="1">
      <c r="B223" s="6" t="s">
        <v>1237</v>
      </c>
      <c r="C223" s="4"/>
      <c r="D223" s="4" t="str">
        <f>CHOOSE(Translations!$C$1+1,I223,J223,K223)</f>
        <v>TCP-7b Número de casos de tuberculosis notificados (en todas sus formas) aportados por proveedores que no pertenecen al programa nacional para el control de la tuberculosis: sector público.</v>
      </c>
      <c r="E223" s="4"/>
      <c r="F223" s="4"/>
      <c r="G223" s="4" t="s">
        <v>1238</v>
      </c>
      <c r="H223" s="6"/>
      <c r="I223" s="6" t="s">
        <v>1239</v>
      </c>
      <c r="J223" s="6" t="s">
        <v>1240</v>
      </c>
      <c r="K223" s="6" t="s">
        <v>1241</v>
      </c>
    </row>
    <row r="224" spans="2:11" ht="18" customHeight="1">
      <c r="B224" s="6" t="s">
        <v>1402</v>
      </c>
      <c r="C224" s="4"/>
      <c r="D224" s="4" t="str">
        <f>CHOOSE(Translations!$C$1+1,I224,J224,K224)</f>
        <v>SD-5 Porcentaje de establecimientos de salud que reciben supervisión de apoyo al menos una vez por trimestre</v>
      </c>
      <c r="E224" s="4"/>
      <c r="F224" s="4"/>
      <c r="G224" s="4" t="s">
        <v>1403</v>
      </c>
      <c r="H224" s="6"/>
      <c r="I224" s="6" t="s">
        <v>1404</v>
      </c>
      <c r="J224" s="6" t="s">
        <v>1405</v>
      </c>
      <c r="K224" s="6" t="s">
        <v>1406</v>
      </c>
    </row>
    <row r="225" spans="2:11" ht="18" customHeight="1">
      <c r="B225" s="6" t="s">
        <v>1407</v>
      </c>
      <c r="C225" s="4"/>
      <c r="D225" s="4" t="str">
        <f>CHOOSE(Translations!$C$1+1,I225,J225,K225)</f>
        <v>SD-6 Número de  condiciones de la atención integrada en la comunidad de enfermedades infantiles tratadas en niños menores de 5 años en áreas objetivo durante el período de informes</v>
      </c>
      <c r="E225" s="4"/>
      <c r="F225" s="4"/>
      <c r="G225" s="4" t="s">
        <v>1408</v>
      </c>
      <c r="H225" s="6"/>
      <c r="I225" s="6" t="s">
        <v>1409</v>
      </c>
      <c r="J225" s="6" t="s">
        <v>1410</v>
      </c>
      <c r="K225" s="6" t="s">
        <v>1411</v>
      </c>
    </row>
    <row r="226" spans="2:11" ht="18" customHeight="1">
      <c r="B226" s="6" t="s">
        <v>1416</v>
      </c>
      <c r="C226" s="4"/>
      <c r="D226" s="4" t="str">
        <f>CHOOSE(Translations!$C$1+1,I226,J226,K226)</f>
        <v>FMS-1 Porcentaje de componentes del sistema de gestión de financiamiento público utilizado para la gestión de financiamiento de las subvenciones</v>
      </c>
      <c r="E226" s="4"/>
      <c r="F226" s="4"/>
      <c r="G226" s="4" t="s">
        <v>1417</v>
      </c>
      <c r="H226" s="6"/>
      <c r="I226" s="6" t="s">
        <v>1418</v>
      </c>
      <c r="J226" s="6" t="s">
        <v>1419</v>
      </c>
      <c r="K226" s="6" t="s">
        <v>1420</v>
      </c>
    </row>
    <row r="227" spans="2:11" ht="18" customHeight="1">
      <c r="B227" s="6" t="s">
        <v>1422</v>
      </c>
      <c r="C227" s="4"/>
      <c r="D227" s="4" t="str">
        <f>CHOOSE(Translations!$C$1+1,I227,J227,K227)</f>
        <v>HSG-1 Porcentaje de equipos de gestión sanitaria en los distritos u otras unidades administrativas que han elaborado un plan de monitoreo, incluidos objetivos de trabajo anuales y medidas de desempeño</v>
      </c>
      <c r="E227" s="4"/>
      <c r="F227" s="4"/>
      <c r="G227" s="4" t="s">
        <v>1423</v>
      </c>
      <c r="H227" s="6"/>
      <c r="I227" s="6" t="s">
        <v>1424</v>
      </c>
      <c r="J227" s="6" t="s">
        <v>1425</v>
      </c>
      <c r="K227" s="6" t="s">
        <v>1426</v>
      </c>
    </row>
    <row r="228" spans="2:11" ht="18" customHeight="1">
      <c r="B228" s="6" t="s">
        <v>1247</v>
      </c>
      <c r="C228" s="4"/>
      <c r="D228" s="4" t="str">
        <f>CHOOSE(Translations!$C$1+1,I228,J228,K228)</f>
        <v>TCP-8 Porcentaje de pacientes de tuberculosis notificados como casos nuevos y recaídas analizados con las pruebas rápidas recomendadas por la OMS en el momento del diagnóstico.</v>
      </c>
      <c r="E228" s="4"/>
      <c r="F228" s="4"/>
      <c r="G228" s="4" t="s">
        <v>1248</v>
      </c>
      <c r="H228" s="6"/>
      <c r="I228" s="6" t="s">
        <v>1249</v>
      </c>
      <c r="J228" s="6" t="s">
        <v>1250</v>
      </c>
      <c r="K228" s="6" t="s">
        <v>1251</v>
      </c>
    </row>
    <row r="229" spans="2:11" ht="18" customHeight="1">
      <c r="B229" s="6" t="s">
        <v>1253</v>
      </c>
      <c r="C229" s="4"/>
      <c r="D229" s="4" t="str">
        <f>CHOOSE(Translations!$C$1+1,I229,J229,K229)</f>
        <v>MDR TB-2⁽ᴹ⁾ Número de casos de tuberculosis resistente a la rifampicina y/o multirresistente notificados.</v>
      </c>
      <c r="E229" s="4"/>
      <c r="F229" s="4"/>
      <c r="G229" s="4" t="s">
        <v>1254</v>
      </c>
      <c r="H229" s="6"/>
      <c r="I229" s="6" t="s">
        <v>1255</v>
      </c>
      <c r="J229" s="6" t="s">
        <v>1256</v>
      </c>
      <c r="K229" s="6" t="s">
        <v>1257</v>
      </c>
    </row>
    <row r="230" spans="2:11" ht="18" customHeight="1">
      <c r="B230" s="6" t="s">
        <v>1258</v>
      </c>
      <c r="C230" s="4"/>
      <c r="D230" s="4" t="str">
        <f>CHOOSE(Translations!$C$1+1,I230,J230,K230)</f>
        <v>MDR TB-3⁽ᴹ⁾ Número de casos de tuberculosis resistente a la rifampicina y/o multirresistente que empezaron a recibir tratamiento de segunda línea.</v>
      </c>
      <c r="E230" s="4"/>
      <c r="F230" s="4"/>
      <c r="G230" s="4" t="s">
        <v>1259</v>
      </c>
      <c r="H230" s="6"/>
      <c r="I230" s="6" t="s">
        <v>1260</v>
      </c>
      <c r="J230" s="6" t="s">
        <v>1261</v>
      </c>
      <c r="K230" s="6" t="s">
        <v>1262</v>
      </c>
    </row>
    <row r="231" spans="2:11" ht="18" customHeight="1">
      <c r="B231" s="6" t="s">
        <v>1242</v>
      </c>
      <c r="C231" s="4"/>
      <c r="D231" s="4" t="str">
        <f>CHOOSE(Translations!$C$1+1,I231,J231,K231)</f>
        <v>TCP-7c Número de casos de tuberculosis notificados (en todas sus formas) aportados por proveedores que no pertenecen al programa nacional para el control de la tuberculosis: derivados desde las comunidades.</v>
      </c>
      <c r="E231" s="4"/>
      <c r="F231" s="4"/>
      <c r="G231" s="4" t="s">
        <v>1243</v>
      </c>
      <c r="H231" s="6"/>
      <c r="I231" s="6" t="s">
        <v>1244</v>
      </c>
      <c r="J231" s="6" t="s">
        <v>1245</v>
      </c>
      <c r="K231" s="6" t="s">
        <v>1246</v>
      </c>
    </row>
    <row r="232" spans="2:11" ht="18" customHeight="1">
      <c r="B232" s="6" t="s">
        <v>1433</v>
      </c>
      <c r="C232" s="4"/>
      <c r="D232" s="4" t="str">
        <f>CHOOSE(Translations!$C$1+1,I232,J232,K232)</f>
        <v>CSS-2 Número de organizaciones comunitarias que recibieron un paquete de formación predefinido</v>
      </c>
      <c r="E232" s="4"/>
      <c r="F232" s="4"/>
      <c r="G232" s="4" t="s">
        <v>1434</v>
      </c>
      <c r="H232" s="6"/>
      <c r="I232" s="6" t="s">
        <v>1435</v>
      </c>
      <c r="J232" s="6" t="s">
        <v>1436</v>
      </c>
      <c r="K232" s="6" t="s">
        <v>1437</v>
      </c>
    </row>
    <row r="233" spans="2:11" ht="18" customHeight="1">
      <c r="B233" s="6" t="s">
        <v>1439</v>
      </c>
      <c r="C233" s="4"/>
      <c r="D233" s="4" t="str">
        <f>CHOOSE(Translations!$C$1+1,I233,J233,K233)</f>
        <v>LAB-1 Porcentaje de laboratorios nacionales de referencia acreditados de acuerdo con el estándar ISO15189 o que hayan conseguido al menos cuatro estrellas con vistas a obtener la acreditación</v>
      </c>
      <c r="E233" s="4"/>
      <c r="F233" s="4"/>
      <c r="G233" s="4" t="s">
        <v>1440</v>
      </c>
      <c r="H233" s="6"/>
      <c r="I233" s="6" t="s">
        <v>1441</v>
      </c>
      <c r="J233" s="6" t="s">
        <v>1442</v>
      </c>
      <c r="K233" s="6" t="s">
        <v>1443</v>
      </c>
    </row>
    <row r="234" spans="2:11" ht="18" customHeight="1">
      <c r="B234" s="6" t="s">
        <v>1428</v>
      </c>
      <c r="C234" s="4"/>
      <c r="D234" s="4" t="str">
        <f>CHOOSE(Translations!$C$1+1,I234,J234,K234)</f>
        <v>CSS-1 Porcentaje de informes de monitoreo  comunitarios presentados a los mecanismos de supervisión pertinentes</v>
      </c>
      <c r="E234" s="4"/>
      <c r="F234" s="4"/>
      <c r="G234" s="4" t="s">
        <v>1429</v>
      </c>
      <c r="H234" s="6"/>
      <c r="I234" s="6" t="s">
        <v>1430</v>
      </c>
      <c r="J234" s="6" t="s">
        <v>1431</v>
      </c>
      <c r="K234" s="6" t="s">
        <v>1432</v>
      </c>
    </row>
    <row r="235" spans="2:11" ht="18" customHeight="1">
      <c r="B235" s="6" t="s">
        <v>1266</v>
      </c>
      <c r="C235" s="4"/>
      <c r="D235" s="4" t="str">
        <f>CHOOSE(Translations!$C$1+1,I235,J235,K235)</f>
        <v>MDR TB-4 Porcentaje de casos de tuberculosis resistente a la rifampicina y/o multirresistente que comenzaron a recibir tratamiento para la tuberculosis multirresistente y cuyo seguimiento se interrumpió a los seis meses.</v>
      </c>
      <c r="E235" s="4"/>
      <c r="F235" s="4"/>
      <c r="G235" s="4" t="s">
        <v>1267</v>
      </c>
      <c r="H235" s="6"/>
      <c r="I235" s="6" t="s">
        <v>1268</v>
      </c>
      <c r="J235" s="6" t="s">
        <v>1269</v>
      </c>
      <c r="K235" s="6" t="s">
        <v>1270</v>
      </c>
    </row>
    <row r="236" spans="2:11" ht="18" customHeight="1">
      <c r="B236" s="6" t="s">
        <v>1271</v>
      </c>
      <c r="C236" s="4"/>
      <c r="D236" s="4" t="str">
        <f>CHOOSE(Translations!$C$1+1,I236,J236,K236)</f>
        <v>MDR TB-5 Porcentaje de laboratorios de pruebas de sensibilidad a los medicamentos que muestran un desempeño adecuado en lo que se refiere al aseguramiento externo de la calidad.</v>
      </c>
      <c r="E236" s="4"/>
      <c r="F236" s="4"/>
      <c r="G236" s="4" t="s">
        <v>1272</v>
      </c>
      <c r="H236" s="6"/>
      <c r="I236" s="6" t="s">
        <v>1273</v>
      </c>
      <c r="J236" s="6" t="s">
        <v>1274</v>
      </c>
      <c r="K236" s="6" t="s">
        <v>1275</v>
      </c>
    </row>
    <row r="237" spans="2:11" ht="18" customHeight="1">
      <c r="B237" s="6" t="s">
        <v>1276</v>
      </c>
      <c r="C237" s="4"/>
      <c r="D237" s="4" t="str">
        <f>CHOOSE(Translations!$C$1+1,I237,J237,K237)</f>
        <v>MDR TB-6 Porcentaje de pacientes con tuberculosis y resultados de sensibilidad a los fármacos al menos con respecto a la rifampicina entre el número total de casos notificados (nuevos y vueltos a tratar) en el mismo año.</v>
      </c>
      <c r="E237" s="4"/>
      <c r="F237" s="4"/>
      <c r="G237" s="4" t="s">
        <v>1277</v>
      </c>
      <c r="H237" s="6"/>
      <c r="I237" s="6" t="s">
        <v>1278</v>
      </c>
      <c r="J237" s="6" t="s">
        <v>1279</v>
      </c>
      <c r="K237" s="6" t="s">
        <v>1280</v>
      </c>
    </row>
    <row r="238" spans="2:11" ht="18" customHeight="1">
      <c r="B238" s="6" t="s">
        <v>1281</v>
      </c>
      <c r="C238" s="4"/>
      <c r="D238" s="4" t="str">
        <f>CHOOSE(Translations!$C$1+1,I238,J238,K238)</f>
        <v>MDR TB-7.1 Porcentaje de casos confirmados de tuberculosis resistente a la rifampicina y/o multirresistente que se han sometido a pruebas para detectar la resistencia a medicamentos de segunda línea.</v>
      </c>
      <c r="E238" s="4"/>
      <c r="F238" s="4"/>
      <c r="G238" s="4" t="s">
        <v>1282</v>
      </c>
      <c r="H238" s="6"/>
      <c r="I238" s="6" t="s">
        <v>1283</v>
      </c>
      <c r="J238" s="6" t="s">
        <v>1284</v>
      </c>
      <c r="K238" s="6" t="s">
        <v>1285</v>
      </c>
    </row>
    <row r="239" spans="2:11" ht="18" customHeight="1">
      <c r="B239" s="6" t="s">
        <v>1286</v>
      </c>
      <c r="C239" s="4"/>
      <c r="D239" s="4" t="str">
        <f>CHOOSE(Translations!$C$1+1,I239,J239,K239)</f>
        <v>MDR TB-8 Número de casos de tuberculosis ultrarresistente (TB-XR) que reciben tratamiento.</v>
      </c>
      <c r="E239" s="4"/>
      <c r="F239" s="4"/>
      <c r="G239" s="4" t="s">
        <v>1287</v>
      </c>
      <c r="H239" s="6"/>
      <c r="I239" s="6" t="s">
        <v>1288</v>
      </c>
      <c r="J239" s="6" t="s">
        <v>1289</v>
      </c>
      <c r="K239" s="6" t="s">
        <v>1290</v>
      </c>
    </row>
    <row r="240" spans="2:11" ht="18" customHeight="1">
      <c r="B240" s="6" t="s">
        <v>1291</v>
      </c>
      <c r="C240" s="4"/>
      <c r="D240" s="4" t="str">
        <f>CHOOSE(Translations!$C$1+1,I240,J240,K240)</f>
        <v>MDR TB-9 Índice de éxito del tratamiento de los casos de tuberculosis resistente a la rifampicina y/o tuberculosis multirresistente: Porcentaje de casos de tuberculosis resistente a la rifampicina y/o tuberculosis multirresistente tratados con éxito.</v>
      </c>
      <c r="E240" s="4"/>
      <c r="F240" s="4"/>
      <c r="G240" s="4" t="s">
        <v>1292</v>
      </c>
      <c r="H240" s="6"/>
      <c r="I240" s="6" t="s">
        <v>1293</v>
      </c>
      <c r="J240" s="6" t="s">
        <v>1294</v>
      </c>
      <c r="K240" s="6" t="s">
        <v>1295</v>
      </c>
    </row>
    <row r="241" spans="1:11" ht="18" customHeight="1">
      <c r="B241" s="6" t="s">
        <v>1302</v>
      </c>
      <c r="C241" s="4"/>
      <c r="D241" s="4" t="str">
        <f>CHOOSE(Translations!$C$1+1,I241,J241,K241)</f>
        <v>TB/HIV-5 Porcentaje de casos nuevos y recaídas de TB registrados, con estado serológico de VIH documentado</v>
      </c>
      <c r="E241" s="4"/>
      <c r="F241" s="4"/>
      <c r="G241" s="4" t="s">
        <v>1303</v>
      </c>
      <c r="H241" s="6"/>
      <c r="I241" s="6" t="s">
        <v>1304</v>
      </c>
      <c r="J241" s="6" t="s">
        <v>1305</v>
      </c>
      <c r="K241" s="6" t="s">
        <v>1306</v>
      </c>
    </row>
    <row r="242" spans="1:11" ht="18" customHeight="1">
      <c r="B242" s="6" t="s">
        <v>1307</v>
      </c>
      <c r="C242" s="4"/>
      <c r="D242" s="4" t="str">
        <f>CHOOSE(Translations!$C$1+1,I242,J242,K242)</f>
        <v>TB/HIV-6⁽ᴹ⁾ Porcentaje de casos nuevos y recaídas de TB coinfectados con VIH que recibieron TARV durante el tratamiento de la TB</v>
      </c>
      <c r="E242" s="4"/>
      <c r="F242" s="4"/>
      <c r="G242" s="4" t="s">
        <v>1308</v>
      </c>
      <c r="H242" s="6"/>
      <c r="I242" s="6" t="s">
        <v>1309</v>
      </c>
      <c r="J242" s="6" t="s">
        <v>1310</v>
      </c>
      <c r="K242" s="6" t="s">
        <v>1311</v>
      </c>
    </row>
    <row r="243" spans="1:11" ht="18" customHeight="1">
      <c r="B243" s="6" t="s">
        <v>1312</v>
      </c>
      <c r="C243" s="4"/>
      <c r="D243" s="4" t="str">
        <f>CHOOSE(Translations!$C$1+1,I243,J243,K243)</f>
        <v>TB/HIV-7 Porcentaje de personas que viven con el VIH recibiendo terapia antirretroviral que han iniciado la terapia preventiva de TB entre las personas que viven con el VIH elegibles durante el período de reporte</v>
      </c>
      <c r="E243" s="4"/>
      <c r="F243" s="4"/>
      <c r="G243" s="4" t="s">
        <v>1313</v>
      </c>
      <c r="H243" s="6"/>
      <c r="I243" s="6" t="s">
        <v>1314</v>
      </c>
      <c r="J243" s="6" t="s">
        <v>1315</v>
      </c>
      <c r="K243" s="6" t="s">
        <v>1316</v>
      </c>
    </row>
    <row r="245" spans="1:11" hidden="1"/>
    <row r="246" spans="1:11" hidden="1"/>
    <row r="248" spans="1:11">
      <c r="A248" s="8" t="s">
        <v>5782</v>
      </c>
    </row>
    <row r="249" spans="1:11" ht="32.1" customHeight="1">
      <c r="B249" s="4" t="s">
        <v>988</v>
      </c>
      <c r="C249" s="4"/>
      <c r="D249" s="4" t="s">
        <v>636</v>
      </c>
      <c r="E249" s="4"/>
      <c r="F249" s="4"/>
      <c r="G249" s="4" t="s">
        <v>341</v>
      </c>
      <c r="H249" s="4"/>
      <c r="I249" s="4" t="s">
        <v>645</v>
      </c>
      <c r="J249" s="4" t="s">
        <v>646</v>
      </c>
      <c r="K249" s="4" t="s">
        <v>647</v>
      </c>
    </row>
    <row r="250" spans="1:11" ht="12" hidden="1" customHeight="1">
      <c r="B250" s="6" t="s">
        <v>996</v>
      </c>
      <c r="C250" s="4"/>
      <c r="D250" s="4" t="str">
        <f>CHOOSE(Translations!$C$1+1,I250,J250,K250)</f>
        <v>[Name - ES]</v>
      </c>
      <c r="E250" s="4"/>
      <c r="F250" s="4"/>
      <c r="G250" s="4" t="s">
        <v>345</v>
      </c>
      <c r="H250" s="4"/>
      <c r="I250" s="6" t="s">
        <v>2860</v>
      </c>
      <c r="J250" s="6" t="s">
        <v>1453</v>
      </c>
      <c r="K250" s="6" t="s">
        <v>1454</v>
      </c>
    </row>
    <row r="251" spans="1:11" ht="12" customHeight="1">
      <c r="B251" s="6" t="s">
        <v>2215</v>
      </c>
      <c r="C251" s="4"/>
      <c r="D251" s="4" t="str">
        <f>CHOOSE(Translations!$C$1+1,I251,J251,K251)</f>
        <v>Control y contención relacionada a COVID-19, incluyendo el fortalecimiento de los sistemas de salud</v>
      </c>
      <c r="E251" s="4"/>
      <c r="F251" s="4"/>
      <c r="G251" s="4" t="s">
        <v>2216</v>
      </c>
      <c r="H251" s="4"/>
      <c r="I251" s="6" t="s">
        <v>2217</v>
      </c>
      <c r="J251" s="6" t="s">
        <v>2218</v>
      </c>
      <c r="K251" s="6" t="s">
        <v>2219</v>
      </c>
    </row>
    <row r="252" spans="1:11" ht="12" customHeight="1">
      <c r="B252" s="6" t="s">
        <v>2265</v>
      </c>
      <c r="C252" s="4"/>
      <c r="D252" s="4" t="str">
        <f>CHOOSE(Translations!$C$1+1,I252,J252,K252)</f>
        <v>Medidas de mitigación para programas de malaria</v>
      </c>
      <c r="E252" s="4"/>
      <c r="F252" s="4"/>
      <c r="G252" s="4" t="s">
        <v>2266</v>
      </c>
      <c r="H252" s="4"/>
      <c r="I252" s="6" t="s">
        <v>2267</v>
      </c>
      <c r="J252" s="6" t="s">
        <v>2268</v>
      </c>
      <c r="K252" s="6" t="s">
        <v>2269</v>
      </c>
    </row>
    <row r="253" spans="1:11" ht="12" customHeight="1">
      <c r="B253" s="6" t="s">
        <v>2245</v>
      </c>
      <c r="C253" s="4"/>
      <c r="D253" s="4" t="str">
        <f>CHOOSE(Translations!$C$1+1,I253,J253,K253)</f>
        <v>Productos sanitarios y sistemas de gestión de residuos</v>
      </c>
      <c r="E253" s="4"/>
      <c r="F253" s="4"/>
      <c r="G253" s="4" t="s">
        <v>2246</v>
      </c>
      <c r="H253" s="4"/>
      <c r="I253" s="6" t="s">
        <v>2247</v>
      </c>
      <c r="J253" s="6" t="s">
        <v>2248</v>
      </c>
      <c r="K253" s="6" t="s">
        <v>2249</v>
      </c>
    </row>
    <row r="254" spans="1:11" ht="12" customHeight="1">
      <c r="B254" s="6" t="s">
        <v>2275</v>
      </c>
      <c r="C254" s="4"/>
      <c r="D254" s="4" t="str">
        <f>CHOOSE(Translations!$C$1+1,I254,J254,K254)</f>
        <v>Respuesta a los obstáculos relacionados con los derechos humanos y el género en los servicios</v>
      </c>
      <c r="E254" s="4"/>
      <c r="F254" s="4"/>
      <c r="G254" s="4" t="s">
        <v>2276</v>
      </c>
      <c r="H254" s="4"/>
      <c r="I254" s="6" t="s">
        <v>2277</v>
      </c>
      <c r="J254" s="6" t="s">
        <v>2278</v>
      </c>
      <c r="K254" s="6" t="s">
        <v>2279</v>
      </c>
    </row>
    <row r="255" spans="1:11" ht="12" customHeight="1">
      <c r="B255" s="6" t="s">
        <v>2220</v>
      </c>
      <c r="C255" s="4"/>
      <c r="D255" s="4" t="str">
        <f>CHOOSE(Translations!$C$1+1,I255,J255,K255)</f>
        <v>FSC para la COVID-19: Creación de la capacidad institucional de las organizaciones comunitarias</v>
      </c>
      <c r="E255" s="4"/>
      <c r="F255" s="4"/>
      <c r="G255" s="4" t="s">
        <v>2221</v>
      </c>
      <c r="H255" s="4"/>
      <c r="I255" s="6" t="s">
        <v>2222</v>
      </c>
      <c r="J255" s="6" t="s">
        <v>2223</v>
      </c>
      <c r="K255" s="6" t="s">
        <v>2224</v>
      </c>
    </row>
    <row r="256" spans="1:11" ht="12" customHeight="1">
      <c r="B256" s="6" t="s">
        <v>2205</v>
      </c>
      <c r="C256" s="4"/>
      <c r="D256" s="4" t="str">
        <f>CHOOSE(Translations!$C$1+1,I256,J256,K256)</f>
        <v>Coordinación y planificación nacionales</v>
      </c>
      <c r="E256" s="4"/>
      <c r="F256" s="4"/>
      <c r="G256" s="4" t="s">
        <v>2206</v>
      </c>
      <c r="H256" s="4"/>
      <c r="I256" s="6" t="s">
        <v>2207</v>
      </c>
      <c r="J256" s="6" t="s">
        <v>2208</v>
      </c>
      <c r="K256" s="6" t="s">
        <v>2209</v>
      </c>
    </row>
    <row r="257" spans="2:11" ht="12" customHeight="1">
      <c r="B257" s="6" t="s">
        <v>2280</v>
      </c>
      <c r="C257" s="4"/>
      <c r="D257" s="4" t="str">
        <f>CHOOSE(Translations!$C$1+1,I257,J257,K257)</f>
        <v>Comunicación de riesgos</v>
      </c>
      <c r="E257" s="4"/>
      <c r="F257" s="4"/>
      <c r="G257" s="4" t="s">
        <v>2281</v>
      </c>
      <c r="H257" s="4"/>
      <c r="I257" s="6" t="s">
        <v>2282</v>
      </c>
      <c r="J257" s="6" t="s">
        <v>2283</v>
      </c>
      <c r="K257" s="6" t="s">
        <v>2284</v>
      </c>
    </row>
    <row r="258" spans="2:11" ht="12" customHeight="1">
      <c r="B258" s="6" t="s">
        <v>2295</v>
      </c>
      <c r="C258" s="4"/>
      <c r="D258" s="4" t="str">
        <f>CHOOSE(Translations!$C$1+1,I258,J258,K258)</f>
        <v>Vigilancia: investigación epidemiológica y rastreo de contactos</v>
      </c>
      <c r="E258" s="4"/>
      <c r="F258" s="4"/>
      <c r="G258" s="4" t="s">
        <v>2296</v>
      </c>
      <c r="H258" s="4"/>
      <c r="I258" s="6" t="s">
        <v>2297</v>
      </c>
      <c r="J258" s="6" t="s">
        <v>2298</v>
      </c>
      <c r="K258" s="6" t="s">
        <v>2299</v>
      </c>
    </row>
    <row r="259" spans="2:11" ht="12" customHeight="1">
      <c r="B259" s="6" t="s">
        <v>2290</v>
      </c>
      <c r="C259" s="4"/>
      <c r="D259" s="4" t="str">
        <f>CHOOSE(Translations!$C$1+1,I259,J259,K259)</f>
        <v>Sistemas de vigilancia</v>
      </c>
      <c r="E259" s="4"/>
      <c r="F259" s="4"/>
      <c r="G259" s="4" t="s">
        <v>2291</v>
      </c>
      <c r="H259" s="4"/>
      <c r="I259" s="6" t="s">
        <v>2292</v>
      </c>
      <c r="J259" s="6" t="s">
        <v>2293</v>
      </c>
      <c r="K259" s="6" t="s">
        <v>2294</v>
      </c>
    </row>
    <row r="260" spans="2:11" ht="12" customHeight="1">
      <c r="B260" s="6" t="s">
        <v>2210</v>
      </c>
      <c r="C260" s="4"/>
      <c r="D260" s="4" t="str">
        <f>CHOOSE(Translations!$C$1+1,I260,J260,K260)</f>
        <v>Diagnósticos y pruebas de COVID</v>
      </c>
      <c r="E260" s="4"/>
      <c r="F260" s="4"/>
      <c r="G260" s="4" t="s">
        <v>2211</v>
      </c>
      <c r="H260" s="4"/>
      <c r="I260" s="6" t="s">
        <v>2212</v>
      </c>
      <c r="J260" s="6" t="s">
        <v>2213</v>
      </c>
      <c r="K260" s="6" t="s">
        <v>2214</v>
      </c>
    </row>
    <row r="261" spans="2:11" ht="12" customHeight="1">
      <c r="B261" s="6" t="s">
        <v>2255</v>
      </c>
      <c r="C261" s="4"/>
      <c r="D261" s="4" t="str">
        <f>CHOOSE(Translations!$C$1+1,I261,J261,K261)</f>
        <v>Sistemas de laboratorio</v>
      </c>
      <c r="E261" s="4"/>
      <c r="F261" s="4"/>
      <c r="G261" s="4" t="s">
        <v>2256</v>
      </c>
      <c r="H261" s="4"/>
      <c r="I261" s="6" t="s">
        <v>2257</v>
      </c>
      <c r="J261" s="6" t="s">
        <v>2258</v>
      </c>
      <c r="K261" s="6" t="s">
        <v>2259</v>
      </c>
    </row>
    <row r="262" spans="2:11" ht="12" customHeight="1">
      <c r="B262" s="6" t="s">
        <v>2250</v>
      </c>
      <c r="C262" s="4"/>
      <c r="D262" s="4" t="str">
        <f>CHOOSE(Translations!$C$1+1,I262,J262,K262)</f>
        <v>Prevención y control de la infección y protección de los profesionales de salud</v>
      </c>
      <c r="E262" s="4"/>
      <c r="F262" s="4"/>
      <c r="G262" s="4" t="s">
        <v>2251</v>
      </c>
      <c r="H262" s="4"/>
      <c r="I262" s="6" t="s">
        <v>2252</v>
      </c>
      <c r="J262" s="6" t="s">
        <v>2253</v>
      </c>
      <c r="K262" s="6" t="s">
        <v>2254</v>
      </c>
    </row>
    <row r="263" spans="2:11" ht="12" customHeight="1">
      <c r="B263" s="6" t="s">
        <v>2200</v>
      </c>
      <c r="C263" s="4"/>
      <c r="D263" s="4" t="str">
        <f>CHOOSE(Translations!$C$1+1,I263,J263,K263)</f>
        <v>Gestión de casos, operaciones clínicas y tratamientos</v>
      </c>
      <c r="E263" s="4"/>
      <c r="F263" s="4"/>
      <c r="G263" s="4" t="s">
        <v>2201</v>
      </c>
      <c r="H263" s="4"/>
      <c r="I263" s="6" t="s">
        <v>2202</v>
      </c>
      <c r="J263" s="6" t="s">
        <v>2203</v>
      </c>
      <c r="K263" s="6" t="s">
        <v>2204</v>
      </c>
    </row>
    <row r="264" spans="2:11" ht="12" customHeight="1">
      <c r="B264" s="6" t="s">
        <v>2260</v>
      </c>
      <c r="C264" s="4"/>
      <c r="D264" s="4" t="str">
        <f>CHOOSE(Translations!$C$1+1,I264,J264,K264)</f>
        <v>Medidas de mitigación para programas de VIH</v>
      </c>
      <c r="E264" s="4"/>
      <c r="F264" s="4"/>
      <c r="G264" s="4" t="s">
        <v>2261</v>
      </c>
      <c r="H264" s="4"/>
      <c r="I264" s="6" t="s">
        <v>2262</v>
      </c>
      <c r="J264" s="6" t="s">
        <v>2263</v>
      </c>
      <c r="K264" s="6" t="s">
        <v>2264</v>
      </c>
    </row>
    <row r="265" spans="2:11" ht="12" customHeight="1">
      <c r="B265" s="6" t="s">
        <v>2270</v>
      </c>
      <c r="C265" s="4"/>
      <c r="D265" s="4" t="str">
        <f>CHOOSE(Translations!$C$1+1,I265,J265,K265)</f>
        <v>Medidas de mitigación para programas de tuberculosis</v>
      </c>
      <c r="E265" s="4"/>
      <c r="F265" s="4"/>
      <c r="G265" s="4" t="s">
        <v>2271</v>
      </c>
      <c r="H265" s="4"/>
      <c r="I265" s="6" t="s">
        <v>2272</v>
      </c>
      <c r="J265" s="6" t="s">
        <v>2273</v>
      </c>
      <c r="K265" s="6" t="s">
        <v>2274</v>
      </c>
    </row>
    <row r="266" spans="2:11" ht="12" customHeight="1">
      <c r="B266" s="6" t="s">
        <v>2225</v>
      </c>
      <c r="C266" s="4"/>
      <c r="D266" s="4" t="str">
        <f>CHOOSE(Translations!$C$1+1,I266,J266,K266)</f>
        <v>FSC para la COVID-19: Promoción e investigación dirigidas por la comunidad</v>
      </c>
      <c r="E266" s="4"/>
      <c r="F266" s="4"/>
      <c r="G266" s="4" t="s">
        <v>2226</v>
      </c>
      <c r="H266" s="4"/>
      <c r="I266" s="6" t="s">
        <v>2227</v>
      </c>
      <c r="J266" s="6" t="s">
        <v>2228</v>
      </c>
      <c r="K266" s="6" t="s">
        <v>2229</v>
      </c>
    </row>
    <row r="267" spans="2:11" ht="12" customHeight="1">
      <c r="B267" s="6" t="s">
        <v>2235</v>
      </c>
      <c r="C267" s="4"/>
      <c r="D267" s="4" t="str">
        <f>CHOOSE(Translations!$C$1+1,I267,J267,K267)</f>
        <v>FSC para la COVID-19: Movilización social</v>
      </c>
      <c r="E267" s="4"/>
      <c r="F267" s="4"/>
      <c r="G267" s="4" t="s">
        <v>2236</v>
      </c>
      <c r="H267" s="4"/>
      <c r="I267" s="6" t="s">
        <v>2237</v>
      </c>
      <c r="J267" s="6" t="s">
        <v>2238</v>
      </c>
      <c r="K267" s="6" t="s">
        <v>2239</v>
      </c>
    </row>
    <row r="268" spans="2:11" ht="12" customHeight="1">
      <c r="B268" s="6" t="s">
        <v>2240</v>
      </c>
      <c r="C268" s="4"/>
      <c r="D268" s="4" t="str">
        <f>CHOOSE(Translations!$C$1+1,I268,J268,K268)</f>
        <v>Prevención de la violencia de género y atención tras episodios de violencia</v>
      </c>
      <c r="E268" s="4"/>
      <c r="F268" s="4"/>
      <c r="G268" s="4" t="s">
        <v>2241</v>
      </c>
      <c r="H268" s="4"/>
      <c r="I268" s="6" t="s">
        <v>2242</v>
      </c>
      <c r="J268" s="6" t="s">
        <v>2243</v>
      </c>
      <c r="K268" s="6" t="s">
        <v>2244</v>
      </c>
    </row>
    <row r="269" spans="2:11" ht="12" customHeight="1">
      <c r="B269" s="6" t="s">
        <v>2230</v>
      </c>
      <c r="C269" s="4"/>
      <c r="D269" s="4" t="str">
        <f>CHOOSE(Translations!$C$1+1,I269,J269,K269)</f>
        <v>FSC para la COVID-19: Seguimiento dirigido por la comunidad</v>
      </c>
      <c r="E269" s="4"/>
      <c r="F269" s="4"/>
      <c r="G269" s="4" t="s">
        <v>2231</v>
      </c>
      <c r="H269" s="4"/>
      <c r="I269" s="6" t="s">
        <v>2232</v>
      </c>
      <c r="J269" s="6" t="s">
        <v>2233</v>
      </c>
      <c r="K269" s="6" t="s">
        <v>2234</v>
      </c>
    </row>
    <row r="270" spans="2:11" ht="12" customHeight="1">
      <c r="B270" s="6" t="s">
        <v>1642</v>
      </c>
      <c r="C270" s="4"/>
      <c r="D270" s="4" t="str">
        <f>CHOOSE(Translations!$C$1+1,I270,J270,K270)</f>
        <v>Programas de preservativos y lubricantes</v>
      </c>
      <c r="E270" s="4"/>
      <c r="F270" s="4"/>
      <c r="G270" s="4" t="s">
        <v>1643</v>
      </c>
      <c r="H270" s="4"/>
      <c r="I270" s="6" t="s">
        <v>1644</v>
      </c>
      <c r="J270" s="6" t="s">
        <v>1645</v>
      </c>
      <c r="K270" s="6" t="s">
        <v>1646</v>
      </c>
    </row>
    <row r="271" spans="2:11" ht="12" customHeight="1">
      <c r="B271" s="6" t="s">
        <v>1692</v>
      </c>
      <c r="C271" s="4"/>
      <c r="D271" s="4" t="str">
        <f>CHOOSE(Translations!$C$1+1,I271,J271,K271)</f>
        <v>PrEP</v>
      </c>
      <c r="E271" s="4"/>
      <c r="F271" s="4"/>
      <c r="G271" s="4" t="s">
        <v>1693</v>
      </c>
      <c r="H271" s="4"/>
      <c r="I271" s="6" t="s">
        <v>1694</v>
      </c>
      <c r="J271" s="6" t="s">
        <v>1695</v>
      </c>
      <c r="K271" s="6" t="s">
        <v>508</v>
      </c>
    </row>
    <row r="272" spans="2:11" ht="12" customHeight="1">
      <c r="B272" s="6" t="s">
        <v>1627</v>
      </c>
      <c r="C272" s="4"/>
      <c r="D272" s="4" t="str">
        <f>CHOOSE(Translations!$C$1+1,I272,J272,K272)</f>
        <v>Intervenciones para cambio de comportamiento</v>
      </c>
      <c r="E272" s="4"/>
      <c r="F272" s="4"/>
      <c r="G272" s="4" t="s">
        <v>1628</v>
      </c>
      <c r="H272" s="4"/>
      <c r="I272" s="6" t="s">
        <v>1629</v>
      </c>
      <c r="J272" s="6" t="s">
        <v>1630</v>
      </c>
      <c r="K272" s="6" t="s">
        <v>1631</v>
      </c>
    </row>
    <row r="273" spans="2:11" ht="12" customHeight="1">
      <c r="B273" s="6" t="s">
        <v>1632</v>
      </c>
      <c r="C273" s="4"/>
      <c r="D273" s="4" t="str">
        <f>CHOOSE(Translations!$C$1+1,I273,J273,K273)</f>
        <v>Empoderamiento comunitario</v>
      </c>
      <c r="E273" s="4"/>
      <c r="F273" s="4"/>
      <c r="G273" s="4" t="s">
        <v>1633</v>
      </c>
      <c r="H273" s="4"/>
      <c r="I273" s="6" t="s">
        <v>1634</v>
      </c>
      <c r="J273" s="6" t="s">
        <v>1635</v>
      </c>
      <c r="K273" s="6" t="s">
        <v>1636</v>
      </c>
    </row>
    <row r="274" spans="2:11" ht="12" customHeight="1">
      <c r="B274" s="6" t="s">
        <v>1701</v>
      </c>
      <c r="C274" s="4"/>
      <c r="D274" s="4" t="str">
        <f>CHOOSE(Translations!$C$1+1,I274,J274,K274)</f>
        <v>Servicios de salud sexual y reproductiva, incluyendo las ITS</v>
      </c>
      <c r="E274" s="4"/>
      <c r="F274" s="4"/>
      <c r="G274" s="4" t="s">
        <v>1702</v>
      </c>
      <c r="H274" s="4"/>
      <c r="I274" s="6" t="s">
        <v>1703</v>
      </c>
      <c r="J274" s="6" t="s">
        <v>1704</v>
      </c>
      <c r="K274" s="6" t="s">
        <v>1705</v>
      </c>
    </row>
    <row r="275" spans="2:11" ht="12" customHeight="1">
      <c r="B275" s="6" t="s">
        <v>1652</v>
      </c>
      <c r="C275" s="4"/>
      <c r="D275" s="4" t="str">
        <f>CHOOSE(Translations!$C$1+1,I275,J275,K275)</f>
        <v>Intervenciones de reducción de daño por consumo de drogas</v>
      </c>
      <c r="E275" s="4"/>
      <c r="F275" s="4"/>
      <c r="G275" s="4" t="s">
        <v>1653</v>
      </c>
      <c r="H275" s="4"/>
      <c r="I275" s="6" t="s">
        <v>1654</v>
      </c>
      <c r="J275" s="6" t="s">
        <v>1655</v>
      </c>
      <c r="K275" s="6" t="s">
        <v>1656</v>
      </c>
    </row>
    <row r="276" spans="2:11" ht="12" customHeight="1">
      <c r="B276" s="6" t="s">
        <v>1677</v>
      </c>
      <c r="C276" s="4"/>
      <c r="D276" s="4" t="str">
        <f>CHOOSE(Translations!$C$1+1,I276,J276,K276)</f>
        <v>Programas de agujas y jeringuillas</v>
      </c>
      <c r="E276" s="4"/>
      <c r="F276" s="4"/>
      <c r="G276" s="4" t="s">
        <v>1678</v>
      </c>
      <c r="H276" s="4"/>
      <c r="I276" s="6" t="s">
        <v>1679</v>
      </c>
      <c r="J276" s="6" t="s">
        <v>1680</v>
      </c>
      <c r="K276" s="6" t="s">
        <v>1681</v>
      </c>
    </row>
    <row r="277" spans="2:11" ht="12" customHeight="1">
      <c r="B277" s="6" t="s">
        <v>1682</v>
      </c>
      <c r="C277" s="4"/>
      <c r="D277" s="4" t="str">
        <f>CHOOSE(Translations!$C$1+1,I277,J277,K277)</f>
        <v>Tratamiento de sustitución de opiáceos y otros tratamientos de la drogodependencia que requieren atención médica</v>
      </c>
      <c r="E277" s="4"/>
      <c r="F277" s="4"/>
      <c r="G277" s="4" t="s">
        <v>1683</v>
      </c>
      <c r="H277" s="4"/>
      <c r="I277" s="6" t="s">
        <v>1684</v>
      </c>
      <c r="J277" s="6" t="s">
        <v>1685</v>
      </c>
      <c r="K277" s="6" t="s">
        <v>1686</v>
      </c>
    </row>
    <row r="278" spans="2:11" ht="12" customHeight="1">
      <c r="B278" s="6" t="s">
        <v>1687</v>
      </c>
      <c r="C278" s="4"/>
      <c r="D278" s="4" t="str">
        <f>CHOOSE(Translations!$C$1+1,I278,J278,K278)</f>
        <v>Prevención y tratamiento de la sobredosis</v>
      </c>
      <c r="E278" s="4"/>
      <c r="F278" s="4"/>
      <c r="G278" s="4" t="s">
        <v>1688</v>
      </c>
      <c r="H278" s="4"/>
      <c r="I278" s="6" t="s">
        <v>1689</v>
      </c>
      <c r="J278" s="6" t="s">
        <v>1690</v>
      </c>
      <c r="K278" s="6" t="s">
        <v>1691</v>
      </c>
    </row>
    <row r="279" spans="2:11" ht="12" customHeight="1">
      <c r="B279" s="6" t="s">
        <v>1622</v>
      </c>
      <c r="C279" s="4"/>
      <c r="D279" s="4" t="str">
        <f>CHOOSE(Translations!$C$1+1,I279,J279,K279)</f>
        <v>Abordaje del estigma, la discriminación y la violencia</v>
      </c>
      <c r="E279" s="4"/>
      <c r="F279" s="4"/>
      <c r="G279" s="4" t="s">
        <v>1623</v>
      </c>
      <c r="H279" s="4"/>
      <c r="I279" s="6" t="s">
        <v>1624</v>
      </c>
      <c r="J279" s="6" t="s">
        <v>1625</v>
      </c>
      <c r="K279" s="6" t="s">
        <v>1626</v>
      </c>
    </row>
    <row r="280" spans="2:11" ht="12" customHeight="1">
      <c r="B280" s="6" t="s">
        <v>1662</v>
      </c>
      <c r="C280" s="4"/>
      <c r="D280" s="4" t="str">
        <f>CHOOSE(Translations!$C$1+1,I280,J280,K280)</f>
        <v>Intervenciones para poblaciones jóvenes clave</v>
      </c>
      <c r="E280" s="4"/>
      <c r="F280" s="4"/>
      <c r="G280" s="4" t="s">
        <v>1663</v>
      </c>
      <c r="H280" s="4"/>
      <c r="I280" s="6" t="s">
        <v>1664</v>
      </c>
      <c r="J280" s="6" t="s">
        <v>1665</v>
      </c>
      <c r="K280" s="6" t="s">
        <v>1666</v>
      </c>
    </row>
    <row r="281" spans="2:11" ht="12" customHeight="1">
      <c r="B281" s="6" t="s">
        <v>1637</v>
      </c>
      <c r="C281" s="4"/>
      <c r="D281" s="4" t="str">
        <f>CHOOSE(Translations!$C$1+1,I281,J281,K281)</f>
        <v>Educación sexual integral</v>
      </c>
      <c r="E281" s="4"/>
      <c r="F281" s="4"/>
      <c r="G281" s="4" t="s">
        <v>1638</v>
      </c>
      <c r="H281" s="4"/>
      <c r="I281" s="6" t="s">
        <v>1639</v>
      </c>
      <c r="J281" s="6" t="s">
        <v>1640</v>
      </c>
      <c r="K281" s="6" t="s">
        <v>1641</v>
      </c>
    </row>
    <row r="282" spans="2:11" ht="12" customHeight="1">
      <c r="B282" s="6" t="s">
        <v>1647</v>
      </c>
      <c r="C282" s="4"/>
      <c r="D282" s="4" t="str">
        <f>CHOOSE(Translations!$C$1+1,I282,J282,K282)</f>
        <v>Prevención de la violencia de género y atención posterior a un episodio de violencia</v>
      </c>
      <c r="E282" s="4"/>
      <c r="F282" s="4"/>
      <c r="G282" s="4" t="s">
        <v>1648</v>
      </c>
      <c r="H282" s="4"/>
      <c r="I282" s="6" t="s">
        <v>1649</v>
      </c>
      <c r="J282" s="6" t="s">
        <v>1650</v>
      </c>
      <c r="K282" s="6" t="s">
        <v>1651</v>
      </c>
    </row>
    <row r="283" spans="2:11" ht="12" customHeight="1">
      <c r="B283" s="6" t="s">
        <v>1706</v>
      </c>
      <c r="C283" s="4"/>
      <c r="D283" s="4" t="str">
        <f>CHOOSE(Translations!$C$1+1,I283,J283,K283)</f>
        <v>Intervenciones de protección social</v>
      </c>
      <c r="E283" s="4"/>
      <c r="F283" s="4"/>
      <c r="G283" s="4" t="s">
        <v>1707</v>
      </c>
      <c r="H283" s="4"/>
      <c r="I283" s="6" t="s">
        <v>1708</v>
      </c>
      <c r="J283" s="6" t="s">
        <v>1709</v>
      </c>
      <c r="K283" s="6" t="s">
        <v>1710</v>
      </c>
    </row>
    <row r="284" spans="2:11" ht="12" customHeight="1">
      <c r="B284" s="6" t="s">
        <v>1657</v>
      </c>
      <c r="C284" s="4"/>
      <c r="D284" s="4" t="str">
        <f>CHOOSE(Translations!$C$1+1,I284,J284,K284)</f>
        <v>Integración de los programas para niñas adolescentes y mujeres jóvenes en las respuestas nacionales multisectoriales</v>
      </c>
      <c r="E284" s="4"/>
      <c r="F284" s="4"/>
      <c r="G284" s="4" t="s">
        <v>1658</v>
      </c>
      <c r="H284" s="4"/>
      <c r="I284" s="6" t="s">
        <v>1659</v>
      </c>
      <c r="J284" s="6" t="s">
        <v>1660</v>
      </c>
      <c r="K284" s="6" t="s">
        <v>1661</v>
      </c>
    </row>
    <row r="285" spans="2:11" ht="12" customHeight="1">
      <c r="B285" s="6" t="s">
        <v>1711</v>
      </c>
      <c r="C285" s="4"/>
      <c r="D285" s="4" t="str">
        <f>CHOOSE(Translations!$C$1+1,I285,J285,K285)</f>
        <v>Circuncisión médica masculina voluntaria</v>
      </c>
      <c r="E285" s="4"/>
      <c r="F285" s="4"/>
      <c r="G285" s="4" t="s">
        <v>1712</v>
      </c>
      <c r="H285" s="4"/>
      <c r="I285" s="6" t="s">
        <v>1713</v>
      </c>
      <c r="J285" s="6" t="s">
        <v>1714</v>
      </c>
      <c r="K285" s="6" t="s">
        <v>1715</v>
      </c>
    </row>
    <row r="286" spans="2:11" ht="12" customHeight="1">
      <c r="B286" s="6" t="s">
        <v>1672</v>
      </c>
      <c r="C286" s="4"/>
      <c r="D286" s="4" t="str">
        <f>CHOOSE(Translations!$C$1+1,I286,J286,K286)</f>
        <v>Gestión de programas nacionales para preservativos</v>
      </c>
      <c r="E286" s="4"/>
      <c r="F286" s="4"/>
      <c r="G286" s="4" t="s">
        <v>1673</v>
      </c>
      <c r="H286" s="4"/>
      <c r="I286" s="6" t="s">
        <v>1674</v>
      </c>
      <c r="J286" s="6" t="s">
        <v>1675</v>
      </c>
      <c r="K286" s="6" t="s">
        <v>1676</v>
      </c>
    </row>
    <row r="287" spans="2:11" ht="12" customHeight="1">
      <c r="B287" s="6" t="s">
        <v>1667</v>
      </c>
      <c r="C287" s="4"/>
      <c r="D287" s="4" t="str">
        <f>CHOOSE(Translations!$C$1+1,I287,J287,K287)</f>
        <v>Integración de los programas de VIH y la salud reproductiva, materna, adolescente, infantil y neonatal</v>
      </c>
      <c r="E287" s="4"/>
      <c r="F287" s="4"/>
      <c r="G287" s="4" t="s">
        <v>1668</v>
      </c>
      <c r="H287" s="4"/>
      <c r="I287" s="6" t="s">
        <v>1669</v>
      </c>
      <c r="J287" s="6" t="s">
        <v>1670</v>
      </c>
      <c r="K287" s="6" t="s">
        <v>1671</v>
      </c>
    </row>
    <row r="288" spans="2:11" ht="12" customHeight="1">
      <c r="B288" s="6" t="s">
        <v>1716</v>
      </c>
      <c r="C288" s="4"/>
      <c r="D288" s="4" t="str">
        <f>CHOOSE(Translations!$C$1+1,I288,J288,K288)</f>
        <v>Vertiente 1: Prevención primaria de la infección por el VIH en mujeres en edad fecunda</v>
      </c>
      <c r="E288" s="4"/>
      <c r="F288" s="4"/>
      <c r="G288" s="4" t="s">
        <v>1717</v>
      </c>
      <c r="H288" s="4"/>
      <c r="I288" s="6" t="s">
        <v>1718</v>
      </c>
      <c r="J288" s="6" t="s">
        <v>1719</v>
      </c>
      <c r="K288" s="6" t="s">
        <v>1720</v>
      </c>
    </row>
    <row r="289" spans="2:11" ht="12" customHeight="1">
      <c r="B289" s="6" t="s">
        <v>1721</v>
      </c>
      <c r="C289" s="4"/>
      <c r="D289" s="4" t="str">
        <f>CHOOSE(Translations!$C$1+1,I289,J289,K289)</f>
        <v>Vertiente 2: Prevención de embarazos no deseados en mujeres que viven con el VIH</v>
      </c>
      <c r="E289" s="4"/>
      <c r="F289" s="4"/>
      <c r="G289" s="4" t="s">
        <v>1722</v>
      </c>
      <c r="H289" s="4"/>
      <c r="I289" s="6" t="s">
        <v>1723</v>
      </c>
      <c r="J289" s="6" t="s">
        <v>1724</v>
      </c>
      <c r="K289" s="6" t="s">
        <v>1725</v>
      </c>
    </row>
    <row r="290" spans="2:11" ht="12" customHeight="1">
      <c r="B290" s="6" t="s">
        <v>1696</v>
      </c>
      <c r="C290" s="4"/>
      <c r="D290" s="4" t="str">
        <f>CHOOSE(Translations!$C$1+1,I290,J290,K290)</f>
        <v>Prevención y manejo de coinfecciones y comorbilidades (Prevención)</v>
      </c>
      <c r="E290" s="4"/>
      <c r="F290" s="4"/>
      <c r="G290" s="4" t="s">
        <v>1697</v>
      </c>
      <c r="H290" s="4"/>
      <c r="I290" s="6" t="s">
        <v>1698</v>
      </c>
      <c r="J290" s="6" t="s">
        <v>1699</v>
      </c>
      <c r="K290" s="6" t="s">
        <v>1700</v>
      </c>
    </row>
    <row r="291" spans="2:11" ht="12" customHeight="1">
      <c r="B291" s="6" t="s">
        <v>1731</v>
      </c>
      <c r="C291" s="4"/>
      <c r="D291" s="4" t="str">
        <f>CHOOSE(Translations!$C$1+1,I291,J291,K291)</f>
        <v>Vertiente 4: Tratamiento, atención y apoyo para madres que viven con el VIH, así como para sus hijos y familias</v>
      </c>
      <c r="E291" s="4"/>
      <c r="F291" s="4"/>
      <c r="G291" s="4" t="s">
        <v>1732</v>
      </c>
      <c r="H291" s="4"/>
      <c r="I291" s="6" t="s">
        <v>1733</v>
      </c>
      <c r="J291" s="6" t="s">
        <v>1734</v>
      </c>
      <c r="K291" s="6" t="s">
        <v>1735</v>
      </c>
    </row>
    <row r="292" spans="2:11" ht="12" customHeight="1">
      <c r="B292" s="6" t="s">
        <v>1740</v>
      </c>
      <c r="C292" s="4"/>
      <c r="D292" s="4" t="str">
        <f>CHOOSE(Translations!$C$1+1,I292,J292,K292)</f>
        <v>Pruebas a nivel de establecimientos de salud</v>
      </c>
      <c r="E292" s="4"/>
      <c r="F292" s="4"/>
      <c r="G292" s="4" t="s">
        <v>1741</v>
      </c>
      <c r="H292" s="4"/>
      <c r="I292" s="6" t="s">
        <v>1742</v>
      </c>
      <c r="J292" s="6" t="s">
        <v>1743</v>
      </c>
      <c r="K292" s="6" t="s">
        <v>1744</v>
      </c>
    </row>
    <row r="293" spans="2:11" ht="12" customHeight="1">
      <c r="B293" s="6" t="s">
        <v>1736</v>
      </c>
      <c r="C293" s="4"/>
      <c r="D293" s="4" t="str">
        <f>CHOOSE(Translations!$C$1+1,I293,J293,K293)</f>
        <v>Pruebas a nivel comunitario</v>
      </c>
      <c r="E293" s="4"/>
      <c r="F293" s="4"/>
      <c r="G293" s="4" t="s">
        <v>1737</v>
      </c>
      <c r="H293" s="4"/>
      <c r="I293" s="6" t="s">
        <v>1738</v>
      </c>
      <c r="J293" s="6" t="s">
        <v>1739</v>
      </c>
      <c r="K293" s="6" t="s">
        <v>504</v>
      </c>
    </row>
    <row r="294" spans="2:11" ht="12" customHeight="1">
      <c r="B294" s="6" t="s">
        <v>1745</v>
      </c>
      <c r="C294" s="4"/>
      <c r="D294" s="4" t="str">
        <f>CHOOSE(Translations!$C$1+1,I294,J294,K294)</f>
        <v>Autoprueba (self testing)</v>
      </c>
      <c r="E294" s="4"/>
      <c r="F294" s="4"/>
      <c r="G294" s="4" t="s">
        <v>1746</v>
      </c>
      <c r="H294" s="4"/>
      <c r="I294" s="6" t="s">
        <v>1747</v>
      </c>
      <c r="J294" s="6" t="s">
        <v>1748</v>
      </c>
      <c r="K294" s="6" t="s">
        <v>1749</v>
      </c>
    </row>
    <row r="295" spans="2:11" ht="12" customHeight="1">
      <c r="B295" s="6" t="s">
        <v>1755</v>
      </c>
      <c r="C295" s="4"/>
      <c r="D295" s="4" t="str">
        <f>CHOOSE(Translations!$C$1+1,I295,J295,K295)</f>
        <v>Prestación de servicios diferenciados de tratamiento antirretroviral y atención para el VIH</v>
      </c>
      <c r="E295" s="4"/>
      <c r="F295" s="4"/>
      <c r="G295" s="4" t="s">
        <v>1756</v>
      </c>
      <c r="H295" s="4"/>
      <c r="I295" s="6" t="s">
        <v>1757</v>
      </c>
      <c r="J295" s="6" t="s">
        <v>1758</v>
      </c>
      <c r="K295" s="6" t="s">
        <v>1759</v>
      </c>
    </row>
    <row r="296" spans="2:11" ht="12" customHeight="1">
      <c r="B296" s="6" t="s">
        <v>1775</v>
      </c>
      <c r="C296" s="4"/>
      <c r="D296" s="4" t="str">
        <f>CHOOSE(Translations!$C$1+1,I296,J296,K296)</f>
        <v>Seguimiento del tratamiento: farmacorresistencia</v>
      </c>
      <c r="E296" s="4"/>
      <c r="F296" s="4"/>
      <c r="G296" s="4" t="s">
        <v>1776</v>
      </c>
      <c r="H296" s="4"/>
      <c r="I296" s="6" t="s">
        <v>1777</v>
      </c>
      <c r="J296" s="6" t="s">
        <v>1778</v>
      </c>
      <c r="K296" s="6" t="s">
        <v>1779</v>
      </c>
    </row>
    <row r="297" spans="2:11" ht="12" customHeight="1">
      <c r="B297" s="6" t="s">
        <v>1770</v>
      </c>
      <c r="C297" s="4"/>
      <c r="D297" s="4" t="str">
        <f>CHOOSE(Translations!$C$1+1,I297,J297,K297)</f>
        <v>Seguimiento del tratamiento: toxicidad de la terapia antirretroviral</v>
      </c>
      <c r="E297" s="4"/>
      <c r="F297" s="4"/>
      <c r="G297" s="4" t="s">
        <v>1771</v>
      </c>
      <c r="H297" s="4"/>
      <c r="I297" s="6" t="s">
        <v>1772</v>
      </c>
      <c r="J297" s="6" t="s">
        <v>1773</v>
      </c>
      <c r="K297" s="6" t="s">
        <v>1774</v>
      </c>
    </row>
    <row r="298" spans="2:11" ht="12" customHeight="1">
      <c r="B298" s="6" t="s">
        <v>1726</v>
      </c>
      <c r="C298" s="4"/>
      <c r="D298" s="4" t="str">
        <f>CHOOSE(Translations!$C$1+1,I298,J298,K298)</f>
        <v>Vertiente 3: Prevención de la transmisión vertical del VIH</v>
      </c>
      <c r="E298" s="4"/>
      <c r="F298" s="4"/>
      <c r="G298" s="4" t="s">
        <v>1727</v>
      </c>
      <c r="H298" s="4"/>
      <c r="I298" s="6" t="s">
        <v>1728</v>
      </c>
      <c r="J298" s="6" t="s">
        <v>1729</v>
      </c>
      <c r="K298" s="6" t="s">
        <v>1730</v>
      </c>
    </row>
    <row r="299" spans="2:11" ht="12" customHeight="1">
      <c r="B299" s="6" t="s">
        <v>1780</v>
      </c>
      <c r="C299" s="4"/>
      <c r="D299" s="4" t="str">
        <f>CHOOSE(Translations!$C$1+1,I299,J299,K299)</f>
        <v>Seguimiento del tratamiento: carga viral</v>
      </c>
      <c r="E299" s="4"/>
      <c r="F299" s="4"/>
      <c r="G299" s="4" t="s">
        <v>1781</v>
      </c>
      <c r="H299" s="4"/>
      <c r="I299" s="6" t="s">
        <v>1782</v>
      </c>
      <c r="J299" s="6" t="s">
        <v>1783</v>
      </c>
      <c r="K299" s="6" t="s">
        <v>1784</v>
      </c>
    </row>
    <row r="300" spans="2:11" ht="12" customHeight="1">
      <c r="B300" s="6" t="s">
        <v>1765</v>
      </c>
      <c r="C300" s="4"/>
      <c r="D300" s="4" t="str">
        <f>CHOOSE(Translations!$C$1+1,I300,J300,K300)</f>
        <v>Prevención y manejo de coinfecciones y comorbilidades (Tratamiento, atención y apoyo)</v>
      </c>
      <c r="E300" s="4"/>
      <c r="F300" s="4"/>
      <c r="G300" s="4" t="s">
        <v>1766</v>
      </c>
      <c r="H300" s="4"/>
      <c r="I300" s="6" t="s">
        <v>1767</v>
      </c>
      <c r="J300" s="6" t="s">
        <v>1768</v>
      </c>
      <c r="K300" s="6" t="s">
        <v>1769</v>
      </c>
    </row>
    <row r="301" spans="2:11" ht="12" customHeight="1">
      <c r="B301" s="6" t="s">
        <v>1750</v>
      </c>
      <c r="C301" s="4"/>
      <c r="D301" s="4" t="str">
        <f>CHOOSE(Translations!$C$1+1,I301,J301,K301)</f>
        <v>Consejería y apoyo psicosocial</v>
      </c>
      <c r="E301" s="4"/>
      <c r="F301" s="4"/>
      <c r="G301" s="4" t="s">
        <v>1751</v>
      </c>
      <c r="H301" s="4"/>
      <c r="I301" s="6" t="s">
        <v>1752</v>
      </c>
      <c r="J301" s="6" t="s">
        <v>1753</v>
      </c>
      <c r="K301" s="6" t="s">
        <v>1754</v>
      </c>
    </row>
    <row r="302" spans="2:11" ht="12" customHeight="1">
      <c r="B302" s="6" t="s">
        <v>1760</v>
      </c>
      <c r="C302" s="4"/>
      <c r="D302" s="4" t="str">
        <f>CHOOSE(Translations!$C$1+1,I302,J302,K302)</f>
        <v>Paquete para huérfanos y niños vulnerables</v>
      </c>
      <c r="E302" s="4"/>
      <c r="F302" s="4"/>
      <c r="G302" s="4" t="s">
        <v>1761</v>
      </c>
      <c r="H302" s="4"/>
      <c r="I302" s="6" t="s">
        <v>1762</v>
      </c>
      <c r="J302" s="6" t="s">
        <v>1763</v>
      </c>
      <c r="K302" s="6" t="s">
        <v>1764</v>
      </c>
    </row>
    <row r="303" spans="2:11" ht="12" customHeight="1">
      <c r="B303" s="6" t="s">
        <v>1820</v>
      </c>
      <c r="C303" s="4"/>
      <c r="D303" s="4" t="str">
        <f>CHOOSE(Translations!$C$1+1,I303,J303,K303)</f>
        <v>Reducción del estigma y la discriminación (VIH/TB)</v>
      </c>
      <c r="E303" s="4"/>
      <c r="F303" s="4"/>
      <c r="G303" s="4" t="s">
        <v>1821</v>
      </c>
      <c r="H303" s="4"/>
      <c r="I303" s="6" t="s">
        <v>1822</v>
      </c>
      <c r="J303" s="6" t="s">
        <v>1823</v>
      </c>
      <c r="K303" s="6" t="s">
        <v>1824</v>
      </c>
    </row>
    <row r="304" spans="2:11" ht="12" customHeight="1">
      <c r="B304" s="6" t="s">
        <v>1805</v>
      </c>
      <c r="C304" s="4"/>
      <c r="D304" s="4" t="str">
        <f>CHOOSE(Translations!$C$1+1,I304,J304,K304)</f>
        <v>Conocimientos jurídicos («Conoce tus derechos»)</v>
      </c>
      <c r="E304" s="4"/>
      <c r="F304" s="4"/>
      <c r="G304" s="4" t="s">
        <v>1806</v>
      </c>
      <c r="H304" s="4"/>
      <c r="I304" s="6" t="s">
        <v>1807</v>
      </c>
      <c r="J304" s="6" t="s">
        <v>1808</v>
      </c>
      <c r="K304" s="6" t="s">
        <v>1809</v>
      </c>
    </row>
    <row r="305" spans="2:11" ht="12" customHeight="1">
      <c r="B305" s="6" t="s">
        <v>1795</v>
      </c>
      <c r="C305" s="4"/>
      <c r="D305" s="4" t="str">
        <f>CHOOSE(Translations!$C$1+1,I305,J305,K305)</f>
        <v>Derechos humanos y ética médica en relación con el VIH y la tuberculosis y el VIH para personal sanitario</v>
      </c>
      <c r="E305" s="4"/>
      <c r="F305" s="4"/>
      <c r="G305" s="4" t="s">
        <v>1796</v>
      </c>
      <c r="H305" s="4"/>
      <c r="I305" s="6" t="s">
        <v>1797</v>
      </c>
      <c r="J305" s="6" t="s">
        <v>1798</v>
      </c>
      <c r="K305" s="6" t="s">
        <v>1799</v>
      </c>
    </row>
    <row r="306" spans="2:11" ht="12" customHeight="1">
      <c r="B306" s="6" t="s">
        <v>1790</v>
      </c>
      <c r="C306" s="4"/>
      <c r="D306" s="4" t="str">
        <f>CHOOSE(Translations!$C$1+1,I306,J306,K306)</f>
        <v>Servicios jurídicos relacionados con el VIH y la TB/VIH</v>
      </c>
      <c r="E306" s="4"/>
      <c r="F306" s="4"/>
      <c r="G306" s="4" t="s">
        <v>1791</v>
      </c>
      <c r="H306" s="4"/>
      <c r="I306" s="6" t="s">
        <v>1792</v>
      </c>
      <c r="J306" s="6" t="s">
        <v>1793</v>
      </c>
      <c r="K306" s="6" t="s">
        <v>1794</v>
      </c>
    </row>
    <row r="307" spans="2:11" ht="12" customHeight="1">
      <c r="B307" s="6" t="s">
        <v>1815</v>
      </c>
      <c r="C307" s="4"/>
      <c r="D307" s="4" t="str">
        <f>CHOOSE(Translations!$C$1+1,I307,J307,K307)</f>
        <v>Sensibilización de los cuerpos de seguridad y cuerpos de seguridad</v>
      </c>
      <c r="E307" s="4"/>
      <c r="F307" s="4"/>
      <c r="G307" s="4" t="s">
        <v>1816</v>
      </c>
      <c r="H307" s="4"/>
      <c r="I307" s="6" t="s">
        <v>1817</v>
      </c>
      <c r="J307" s="6" t="s">
        <v>1818</v>
      </c>
      <c r="K307" s="6" t="s">
        <v>1819</v>
      </c>
    </row>
    <row r="308" spans="2:11" ht="12" customHeight="1">
      <c r="B308" s="6" t="s">
        <v>1800</v>
      </c>
      <c r="C308" s="4"/>
      <c r="D308" s="4" t="str">
        <f>CHOOSE(Translations!$C$1+1,I308,J308,K308)</f>
        <v>Mejora de leyes, reglamentos y políticas relacionadas con el VIH y la TB/VIH</v>
      </c>
      <c r="E308" s="4"/>
      <c r="F308" s="4"/>
      <c r="G308" s="4" t="s">
        <v>1801</v>
      </c>
      <c r="H308" s="4"/>
      <c r="I308" s="6" t="s">
        <v>1802</v>
      </c>
      <c r="J308" s="6" t="s">
        <v>1803</v>
      </c>
      <c r="K308" s="6" t="s">
        <v>1804</v>
      </c>
    </row>
    <row r="309" spans="2:11" ht="12" customHeight="1">
      <c r="B309" s="6" t="s">
        <v>1785</v>
      </c>
      <c r="C309" s="4"/>
      <c r="D309" s="4" t="str">
        <f>CHOOSE(Translations!$C$1+1,I309,J309,K309)</f>
        <v>Movilización y promoción comunitarias (VIH/TB)</v>
      </c>
      <c r="E309" s="4"/>
      <c r="F309" s="4"/>
      <c r="G309" s="4" t="s">
        <v>1786</v>
      </c>
      <c r="H309" s="4"/>
      <c r="I309" s="6" t="s">
        <v>1787</v>
      </c>
      <c r="J309" s="6" t="s">
        <v>1788</v>
      </c>
      <c r="K309" s="6" t="s">
        <v>1789</v>
      </c>
    </row>
    <row r="310" spans="2:11" ht="12" customHeight="1">
      <c r="B310" s="6" t="s">
        <v>1810</v>
      </c>
      <c r="C310" s="4"/>
      <c r="D310" s="4" t="str">
        <f>CHOOSE(Translations!$C$1+1,I310,J310,K310)</f>
        <v>Reducción de la discriminación de género relacionada con el VIH, las normas de género perjudiciales y la violencia contra las mujeres y las niñas en toda su diversidad</v>
      </c>
      <c r="E310" s="4"/>
      <c r="F310" s="4"/>
      <c r="G310" s="4" t="s">
        <v>1811</v>
      </c>
      <c r="H310" s="4"/>
      <c r="I310" s="6" t="s">
        <v>1812</v>
      </c>
      <c r="J310" s="6" t="s">
        <v>1813</v>
      </c>
      <c r="K310" s="6" t="s">
        <v>1814</v>
      </c>
    </row>
    <row r="311" spans="2:11" ht="12" customHeight="1">
      <c r="B311" s="6" t="s">
        <v>1825</v>
      </c>
      <c r="C311" s="4"/>
      <c r="D311" s="4" t="str">
        <f>CHOOSE(Translations!$C$1+1,I311,J311,K311)</f>
        <v>Detección y diagnóstico de casos (Atención y prevención de la tuberculosis)</v>
      </c>
      <c r="E311" s="4"/>
      <c r="F311" s="4"/>
      <c r="G311" s="4" t="s">
        <v>1826</v>
      </c>
      <c r="H311" s="4"/>
      <c r="I311" s="6" t="s">
        <v>1827</v>
      </c>
      <c r="J311" s="6" t="s">
        <v>1828</v>
      </c>
      <c r="K311" s="6" t="s">
        <v>511</v>
      </c>
    </row>
    <row r="312" spans="2:11" ht="12" customHeight="1">
      <c r="B312" s="6" t="s">
        <v>1874</v>
      </c>
      <c r="C312" s="4"/>
      <c r="D312" s="4" t="str">
        <f>CHOOSE(Translations!$C$1+1,I312,J312,K312)</f>
        <v>Tratamiento (Atención y prevención de la tuberculosis)</v>
      </c>
      <c r="E312" s="4"/>
      <c r="F312" s="4"/>
      <c r="G312" s="4" t="s">
        <v>1875</v>
      </c>
      <c r="H312" s="4"/>
      <c r="I312" s="6" t="s">
        <v>1876</v>
      </c>
      <c r="J312" s="6" t="s">
        <v>1877</v>
      </c>
      <c r="K312" s="6" t="s">
        <v>1878</v>
      </c>
    </row>
    <row r="313" spans="2:11" ht="12" customHeight="1">
      <c r="B313" s="6" t="s">
        <v>1869</v>
      </c>
      <c r="C313" s="4"/>
      <c r="D313" s="4" t="str">
        <f>CHOOSE(Translations!$C$1+1,I313,J313,K313)</f>
        <v>Prevención (Atención y prevención de la tuberculosis)</v>
      </c>
      <c r="E313" s="4"/>
      <c r="F313" s="4"/>
      <c r="G313" s="4" t="s">
        <v>1870</v>
      </c>
      <c r="H313" s="4"/>
      <c r="I313" s="6" t="s">
        <v>1871</v>
      </c>
      <c r="J313" s="6" t="s">
        <v>1872</v>
      </c>
      <c r="K313" s="6" t="s">
        <v>1873</v>
      </c>
    </row>
    <row r="314" spans="2:11" ht="12" customHeight="1">
      <c r="B314" s="6" t="s">
        <v>1839</v>
      </c>
      <c r="C314" s="4"/>
      <c r="D314" s="4" t="str">
        <f>CHOOSE(Translations!$C$1+1,I314,J314,K314)</f>
        <v>Implicar a todos los proveedores de atención (Atención y prevención de la tuberculosis)</v>
      </c>
      <c r="E314" s="4"/>
      <c r="F314" s="4"/>
      <c r="G314" s="4" t="s">
        <v>1840</v>
      </c>
      <c r="H314" s="4"/>
      <c r="I314" s="6" t="s">
        <v>1841</v>
      </c>
      <c r="J314" s="6" t="s">
        <v>1842</v>
      </c>
      <c r="K314" s="6" t="s">
        <v>1843</v>
      </c>
    </row>
    <row r="315" spans="2:11" ht="12" customHeight="1">
      <c r="B315" s="6" t="s">
        <v>1924</v>
      </c>
      <c r="C315" s="4"/>
      <c r="D315" s="4" t="str">
        <f>CHOOSE(Translations!$C$1+1,I315,J315,K315)</f>
        <v>Prevención (Tuberculosis multirresistente)</v>
      </c>
      <c r="E315" s="4"/>
      <c r="F315" s="4"/>
      <c r="G315" s="4" t="s">
        <v>1925</v>
      </c>
      <c r="H315" s="4"/>
      <c r="I315" s="6" t="s">
        <v>1926</v>
      </c>
      <c r="J315" s="6" t="s">
        <v>1927</v>
      </c>
      <c r="K315" s="6" t="s">
        <v>1928</v>
      </c>
    </row>
    <row r="316" spans="2:11" ht="12" customHeight="1">
      <c r="B316" s="6" t="s">
        <v>1834</v>
      </c>
      <c r="C316" s="4"/>
      <c r="D316" s="4" t="str">
        <f>CHOOSE(Translations!$C$1+1,I316,J316,K316)</f>
        <v>Prestación de servicios de atención de la tuberculosis en la comunidad</v>
      </c>
      <c r="E316" s="4"/>
      <c r="F316" s="4"/>
      <c r="G316" s="4" t="s">
        <v>1835</v>
      </c>
      <c r="H316" s="4"/>
      <c r="I316" s="6" t="s">
        <v>1836</v>
      </c>
      <c r="J316" s="6" t="s">
        <v>1837</v>
      </c>
      <c r="K316" s="6" t="s">
        <v>1838</v>
      </c>
    </row>
    <row r="317" spans="2:11" ht="12" customHeight="1">
      <c r="B317" s="6" t="s">
        <v>1844</v>
      </c>
      <c r="C317" s="4"/>
      <c r="D317" s="4" t="str">
        <f>CHOOSE(Translations!$C$1+1,I317,J317,K317)</f>
        <v>Poblaciones clave (Atención y prevención de la tuberculosis): niños</v>
      </c>
      <c r="E317" s="4"/>
      <c r="F317" s="4"/>
      <c r="G317" s="4" t="s">
        <v>1845</v>
      </c>
      <c r="H317" s="4"/>
      <c r="I317" s="6" t="s">
        <v>1846</v>
      </c>
      <c r="J317" s="6" t="s">
        <v>1847</v>
      </c>
      <c r="K317" s="6" t="s">
        <v>1848</v>
      </c>
    </row>
    <row r="318" spans="2:11" ht="12" customHeight="1">
      <c r="B318" s="6" t="s">
        <v>1864</v>
      </c>
      <c r="C318" s="4"/>
      <c r="D318" s="4" t="str">
        <f>CHOOSE(Translations!$C$1+1,I318,J318,K318)</f>
        <v>Poblaciones clave (Atención y prevención de la tuberculosis): reclusos</v>
      </c>
      <c r="E318" s="4"/>
      <c r="F318" s="4"/>
      <c r="G318" s="4" t="s">
        <v>1865</v>
      </c>
      <c r="H318" s="4"/>
      <c r="I318" s="6" t="s">
        <v>1866</v>
      </c>
      <c r="J318" s="6" t="s">
        <v>1867</v>
      </c>
      <c r="K318" s="6" t="s">
        <v>1868</v>
      </c>
    </row>
    <row r="319" spans="2:11" ht="12" customHeight="1">
      <c r="B319" s="6" t="s">
        <v>1854</v>
      </c>
      <c r="C319" s="4"/>
      <c r="D319" s="4" t="str">
        <f>CHOOSE(Translations!$C$1+1,I319,J319,K319)</f>
        <v>Poblaciones clave (Atención y prevención de la tuberculosis): poblaciones móviles (refugiados, migrantes y personas desplazadas internamente)</v>
      </c>
      <c r="E319" s="4"/>
      <c r="F319" s="4"/>
      <c r="G319" s="4" t="s">
        <v>1855</v>
      </c>
      <c r="H319" s="4"/>
      <c r="I319" s="6" t="s">
        <v>1856</v>
      </c>
      <c r="J319" s="6" t="s">
        <v>1857</v>
      </c>
      <c r="K319" s="6" t="s">
        <v>1858</v>
      </c>
    </row>
    <row r="320" spans="2:11" ht="12" customHeight="1">
      <c r="B320" s="6" t="s">
        <v>1849</v>
      </c>
      <c r="C320" s="4"/>
      <c r="D320" s="4" t="str">
        <f>CHOOSE(Translations!$C$1+1,I320,J320,K320)</f>
        <v>Poblaciones clave (Atención y prevención de la tuberculosis): mineros y comunidades mineras</v>
      </c>
      <c r="E320" s="4"/>
      <c r="F320" s="4"/>
      <c r="G320" s="4" t="s">
        <v>1850</v>
      </c>
      <c r="H320" s="4"/>
      <c r="I320" s="6" t="s">
        <v>1851</v>
      </c>
      <c r="J320" s="6" t="s">
        <v>1852</v>
      </c>
      <c r="K320" s="6" t="s">
        <v>1853</v>
      </c>
    </row>
    <row r="321" spans="2:11" ht="12" customHeight="1">
      <c r="B321" s="6" t="s">
        <v>1859</v>
      </c>
      <c r="C321" s="4"/>
      <c r="D321" s="4" t="str">
        <f>CHOOSE(Translations!$C$1+1,I321,J321,K321)</f>
        <v>Poblaciones clave (Atención y prevención de la tuberculosis): otros</v>
      </c>
      <c r="E321" s="4"/>
      <c r="F321" s="4"/>
      <c r="G321" s="4" t="s">
        <v>1860</v>
      </c>
      <c r="H321" s="4"/>
      <c r="I321" s="6" t="s">
        <v>1861</v>
      </c>
      <c r="J321" s="6" t="s">
        <v>1862</v>
      </c>
      <c r="K321" s="6" t="s">
        <v>1863</v>
      </c>
    </row>
    <row r="322" spans="2:11" ht="12" customHeight="1">
      <c r="B322" s="6" t="s">
        <v>1829</v>
      </c>
      <c r="C322" s="4"/>
      <c r="D322" s="4" t="str">
        <f>CHOOSE(Translations!$C$1+1,I322,J322,K322)</f>
        <v>Actividades de colaboración con otros programas y sectores (Atención y prevención de la tuberculosis)</v>
      </c>
      <c r="E322" s="4"/>
      <c r="F322" s="4"/>
      <c r="G322" s="4" t="s">
        <v>1830</v>
      </c>
      <c r="H322" s="4"/>
      <c r="I322" s="6" t="s">
        <v>1831</v>
      </c>
      <c r="J322" s="6" t="s">
        <v>1832</v>
      </c>
      <c r="K322" s="6" t="s">
        <v>1833</v>
      </c>
    </row>
    <row r="323" spans="2:11" ht="12" customHeight="1">
      <c r="B323" s="6" t="s">
        <v>1879</v>
      </c>
      <c r="C323" s="4"/>
      <c r="D323" s="4" t="str">
        <f>CHOOSE(Translations!$C$1+1,I323,J323,K323)</f>
        <v>Detección y diagnóstico de casos (Tuberculosis multirresistente)</v>
      </c>
      <c r="E323" s="4"/>
      <c r="F323" s="4"/>
      <c r="G323" s="4" t="s">
        <v>1880</v>
      </c>
      <c r="H323" s="4"/>
      <c r="I323" s="6" t="s">
        <v>1881</v>
      </c>
      <c r="J323" s="6" t="s">
        <v>1882</v>
      </c>
      <c r="K323" s="6" t="s">
        <v>1883</v>
      </c>
    </row>
    <row r="324" spans="2:11" ht="12" customHeight="1">
      <c r="B324" s="6" t="s">
        <v>1929</v>
      </c>
      <c r="C324" s="4"/>
      <c r="D324" s="4" t="str">
        <f>CHOOSE(Translations!$C$1+1,I324,J324,K324)</f>
        <v>Tratamiento (Tuberculosis multirresistente)</v>
      </c>
      <c r="E324" s="4"/>
      <c r="F324" s="4"/>
      <c r="G324" s="4" t="s">
        <v>1930</v>
      </c>
      <c r="H324" s="4"/>
      <c r="I324" s="6" t="s">
        <v>1931</v>
      </c>
      <c r="J324" s="6" t="s">
        <v>1932</v>
      </c>
      <c r="K324" s="6" t="s">
        <v>515</v>
      </c>
    </row>
    <row r="325" spans="2:11" ht="12" customHeight="1">
      <c r="B325" s="6" t="s">
        <v>1889</v>
      </c>
      <c r="C325" s="4"/>
      <c r="D325" s="4" t="str">
        <f>CHOOSE(Translations!$C$1+1,I325,J325,K325)</f>
        <v>Prestación de servicios de atención de la tuberculosis multirresistente en la comunidad</v>
      </c>
      <c r="E325" s="4"/>
      <c r="F325" s="4"/>
      <c r="G325" s="4" t="s">
        <v>1890</v>
      </c>
      <c r="H325" s="4"/>
      <c r="I325" s="6" t="s">
        <v>1891</v>
      </c>
      <c r="J325" s="6" t="s">
        <v>1892</v>
      </c>
      <c r="K325" s="6" t="s">
        <v>1893</v>
      </c>
    </row>
    <row r="326" spans="2:11" ht="12" customHeight="1">
      <c r="B326" s="6" t="s">
        <v>1899</v>
      </c>
      <c r="C326" s="4"/>
      <c r="D326" s="4" t="str">
        <f>CHOOSE(Translations!$C$1+1,I326,J326,K326)</f>
        <v>Poblaciones clave (Tuberculosis multirresistente): niños</v>
      </c>
      <c r="E326" s="4"/>
      <c r="F326" s="4"/>
      <c r="G326" s="4" t="s">
        <v>1900</v>
      </c>
      <c r="H326" s="4"/>
      <c r="I326" s="6" t="s">
        <v>1901</v>
      </c>
      <c r="J326" s="6" t="s">
        <v>1902</v>
      </c>
      <c r="K326" s="6" t="s">
        <v>1903</v>
      </c>
    </row>
    <row r="327" spans="2:11" ht="12" customHeight="1">
      <c r="B327" s="6" t="s">
        <v>1919</v>
      </c>
      <c r="C327" s="4"/>
      <c r="D327" s="4" t="str">
        <f>CHOOSE(Translations!$C$1+1,I327,J327,K327)</f>
        <v>Poblaciones clave (Tuberculosis multirresistente): reclusos</v>
      </c>
      <c r="E327" s="4"/>
      <c r="F327" s="4"/>
      <c r="G327" s="4" t="s">
        <v>1920</v>
      </c>
      <c r="H327" s="4"/>
      <c r="I327" s="6" t="s">
        <v>1921</v>
      </c>
      <c r="J327" s="6" t="s">
        <v>1922</v>
      </c>
      <c r="K327" s="6" t="s">
        <v>1923</v>
      </c>
    </row>
    <row r="328" spans="2:11" ht="12" customHeight="1">
      <c r="B328" s="6" t="s">
        <v>1909</v>
      </c>
      <c r="C328" s="4"/>
      <c r="D328" s="4" t="str">
        <f>CHOOSE(Translations!$C$1+1,I328,J328,K328)</f>
        <v>Poblaciones clave (Tuberculosis multirresistente): poblaciones móviles (refugiados, migrantes y personas desplazadas internamente)</v>
      </c>
      <c r="E328" s="4"/>
      <c r="F328" s="4"/>
      <c r="G328" s="4" t="s">
        <v>1910</v>
      </c>
      <c r="H328" s="4"/>
      <c r="I328" s="6" t="s">
        <v>1911</v>
      </c>
      <c r="J328" s="6" t="s">
        <v>1912</v>
      </c>
      <c r="K328" s="6" t="s">
        <v>1913</v>
      </c>
    </row>
    <row r="329" spans="2:11" ht="12" customHeight="1">
      <c r="B329" s="6" t="s">
        <v>1904</v>
      </c>
      <c r="C329" s="4"/>
      <c r="D329" s="4" t="str">
        <f>CHOOSE(Translations!$C$1+1,I329,J329,K329)</f>
        <v>Poblaciones clave (Tuberculosis multirresistente): mineros y comunidades mineras</v>
      </c>
      <c r="E329" s="4"/>
      <c r="F329" s="4"/>
      <c r="G329" s="4" t="s">
        <v>1905</v>
      </c>
      <c r="H329" s="4"/>
      <c r="I329" s="6" t="s">
        <v>1906</v>
      </c>
      <c r="J329" s="6" t="s">
        <v>1907</v>
      </c>
      <c r="K329" s="6" t="s">
        <v>1908</v>
      </c>
    </row>
    <row r="330" spans="2:11" ht="12" customHeight="1">
      <c r="B330" s="6" t="s">
        <v>1914</v>
      </c>
      <c r="C330" s="4"/>
      <c r="D330" s="4" t="str">
        <f>CHOOSE(Translations!$C$1+1,I330,J330,K330)</f>
        <v>Poblaciones clave (Tuberculosis multirresistente): otros</v>
      </c>
      <c r="E330" s="4"/>
      <c r="F330" s="4"/>
      <c r="G330" s="4" t="s">
        <v>1915</v>
      </c>
      <c r="H330" s="4"/>
      <c r="I330" s="6" t="s">
        <v>1916</v>
      </c>
      <c r="J330" s="6" t="s">
        <v>1917</v>
      </c>
      <c r="K330" s="6" t="s">
        <v>1918</v>
      </c>
    </row>
    <row r="331" spans="2:11" ht="12" customHeight="1">
      <c r="B331" s="6" t="s">
        <v>1884</v>
      </c>
      <c r="C331" s="4"/>
      <c r="D331" s="4" t="str">
        <f>CHOOSE(Translations!$C$1+1,I331,J331,K331)</f>
        <v>Actividades de colaboración con otros programas y sectores (Tuberculosis multirresistente)</v>
      </c>
      <c r="E331" s="4"/>
      <c r="F331" s="4"/>
      <c r="G331" s="4" t="s">
        <v>1885</v>
      </c>
      <c r="H331" s="4"/>
      <c r="I331" s="6" t="s">
        <v>1886</v>
      </c>
      <c r="J331" s="6" t="s">
        <v>1887</v>
      </c>
      <c r="K331" s="6" t="s">
        <v>1888</v>
      </c>
    </row>
    <row r="332" spans="2:11" ht="12" customHeight="1">
      <c r="B332" s="6" t="s">
        <v>1953</v>
      </c>
      <c r="C332" s="4"/>
      <c r="D332" s="4" t="str">
        <f>CHOOSE(Translations!$C$1+1,I332,J332,K332)</f>
        <v>Reducción del estigma y la discriminación (TB)</v>
      </c>
      <c r="E332" s="4"/>
      <c r="F332" s="4"/>
      <c r="G332" s="4" t="s">
        <v>1954</v>
      </c>
      <c r="H332" s="4"/>
      <c r="I332" s="6" t="s">
        <v>1955</v>
      </c>
      <c r="J332" s="6" t="s">
        <v>1956</v>
      </c>
      <c r="K332" s="6" t="s">
        <v>1957</v>
      </c>
    </row>
    <row r="333" spans="2:11" ht="12" customHeight="1">
      <c r="B333" s="6" t="s">
        <v>1938</v>
      </c>
      <c r="C333" s="4"/>
      <c r="D333" s="4" t="str">
        <f>CHOOSE(Translations!$C$1+1,I333,J333,K333)</f>
        <v>Derechos humanos, ética médica y educación sobre cuestiones jurídicas</v>
      </c>
      <c r="E333" s="4"/>
      <c r="F333" s="4"/>
      <c r="G333" s="4" t="s">
        <v>1939</v>
      </c>
      <c r="H333" s="4"/>
      <c r="I333" s="6" t="s">
        <v>1940</v>
      </c>
      <c r="J333" s="6" t="s">
        <v>1941</v>
      </c>
      <c r="K333" s="6" t="s">
        <v>1942</v>
      </c>
    </row>
    <row r="334" spans="2:11" ht="12" customHeight="1">
      <c r="B334" s="6" t="s">
        <v>1943</v>
      </c>
      <c r="C334" s="4"/>
      <c r="D334" s="4" t="str">
        <f>CHOOSE(Translations!$C$1+1,I334,J334,K334)</f>
        <v>Asistencia y servicios jurídicos</v>
      </c>
      <c r="E334" s="4"/>
      <c r="F334" s="4"/>
      <c r="G334" s="4" t="s">
        <v>1944</v>
      </c>
      <c r="H334" s="4"/>
      <c r="I334" s="6" t="s">
        <v>1945</v>
      </c>
      <c r="J334" s="6" t="s">
        <v>1946</v>
      </c>
      <c r="K334" s="6" t="s">
        <v>1947</v>
      </c>
    </row>
    <row r="335" spans="2:11" ht="12" customHeight="1">
      <c r="B335" s="6" t="s">
        <v>1948</v>
      </c>
      <c r="C335" s="4"/>
      <c r="D335" s="4" t="str">
        <f>CHOOSE(Translations!$C$1+1,I335,J335,K335)</f>
        <v>Reforma de leyes y políticas</v>
      </c>
      <c r="E335" s="4"/>
      <c r="F335" s="4"/>
      <c r="G335" s="4" t="s">
        <v>1949</v>
      </c>
      <c r="H335" s="4"/>
      <c r="I335" s="6" t="s">
        <v>1950</v>
      </c>
      <c r="J335" s="6" t="s">
        <v>1951</v>
      </c>
      <c r="K335" s="6" t="s">
        <v>1952</v>
      </c>
    </row>
    <row r="336" spans="2:11" ht="12" customHeight="1">
      <c r="B336" s="6" t="s">
        <v>1933</v>
      </c>
      <c r="C336" s="4"/>
      <c r="D336" s="4" t="str">
        <f>CHOOSE(Translations!$C$1+1,I336,J336,K336)</f>
        <v>Movilización y promoción comunitarias (TB)</v>
      </c>
      <c r="E336" s="4"/>
      <c r="F336" s="4"/>
      <c r="G336" s="4" t="s">
        <v>1934</v>
      </c>
      <c r="H336" s="4"/>
      <c r="I336" s="6" t="s">
        <v>1935</v>
      </c>
      <c r="J336" s="6" t="s">
        <v>1936</v>
      </c>
      <c r="K336" s="6" t="s">
        <v>1937</v>
      </c>
    </row>
    <row r="337" spans="2:11" ht="12" customHeight="1">
      <c r="B337" s="6" t="s">
        <v>2008</v>
      </c>
      <c r="C337" s="4"/>
      <c r="D337" s="4" t="str">
        <f>CHOOSE(Translations!$C$1+1,I337,J337,K337)</f>
        <v>Actividades de colaboración en materia de TB/VIH</v>
      </c>
      <c r="E337" s="4"/>
      <c r="F337" s="4"/>
      <c r="G337" s="4" t="s">
        <v>2009</v>
      </c>
      <c r="H337" s="4"/>
      <c r="I337" s="6" t="s">
        <v>2010</v>
      </c>
      <c r="J337" s="6" t="s">
        <v>2011</v>
      </c>
      <c r="K337" s="6" t="s">
        <v>2012</v>
      </c>
    </row>
    <row r="338" spans="2:11" ht="12" customHeight="1">
      <c r="B338" s="6" t="s">
        <v>2003</v>
      </c>
      <c r="C338" s="4"/>
      <c r="D338" s="4" t="str">
        <f>CHOOSE(Translations!$C$1+1,I338,J338,K338)</f>
        <v>Tamizaje, prueba y diagnóstico</v>
      </c>
      <c r="E338" s="4"/>
      <c r="F338" s="4"/>
      <c r="G338" s="4" t="s">
        <v>2004</v>
      </c>
      <c r="H338" s="4"/>
      <c r="I338" s="6" t="s">
        <v>2005</v>
      </c>
      <c r="J338" s="6" t="s">
        <v>2006</v>
      </c>
      <c r="K338" s="6" t="s">
        <v>2007</v>
      </c>
    </row>
    <row r="339" spans="2:11" ht="12" customHeight="1">
      <c r="B339" s="6" t="s">
        <v>2013</v>
      </c>
      <c r="C339" s="4"/>
      <c r="D339" s="4" t="str">
        <f>CHOOSE(Translations!$C$1+1,I339,J339,K339)</f>
        <v>Tratamiento (TB/VIH)</v>
      </c>
      <c r="E339" s="4"/>
      <c r="F339" s="4"/>
      <c r="G339" s="4" t="s">
        <v>2014</v>
      </c>
      <c r="H339" s="4"/>
      <c r="I339" s="6" t="s">
        <v>2015</v>
      </c>
      <c r="J339" s="6" t="s">
        <v>2016</v>
      </c>
      <c r="K339" s="6" t="s">
        <v>2017</v>
      </c>
    </row>
    <row r="340" spans="2:11" ht="12" customHeight="1">
      <c r="B340" s="6" t="s">
        <v>1894</v>
      </c>
      <c r="C340" s="4"/>
      <c r="D340" s="4" t="str">
        <f>CHOOSE(Translations!$C$1+1,I340,J340,K340)</f>
        <v>Implicar a todos los proveedores de atención (Tuberculosis multirresistente)</v>
      </c>
      <c r="E340" s="4"/>
      <c r="F340" s="4"/>
      <c r="G340" s="4" t="s">
        <v>1895</v>
      </c>
      <c r="H340" s="4"/>
      <c r="I340" s="6" t="s">
        <v>1896</v>
      </c>
      <c r="J340" s="6" t="s">
        <v>1897</v>
      </c>
      <c r="K340" s="6" t="s">
        <v>1898</v>
      </c>
    </row>
    <row r="341" spans="2:11" ht="12" customHeight="1">
      <c r="B341" s="6" t="s">
        <v>1998</v>
      </c>
      <c r="C341" s="4"/>
      <c r="D341" s="4" t="str">
        <f>CHOOSE(Translations!$C$1+1,I341,J341,K341)</f>
        <v>Prevención (TB/VIH)</v>
      </c>
      <c r="E341" s="4"/>
      <c r="F341" s="4"/>
      <c r="G341" s="4" t="s">
        <v>1999</v>
      </c>
      <c r="H341" s="4"/>
      <c r="I341" s="6" t="s">
        <v>2000</v>
      </c>
      <c r="J341" s="6" t="s">
        <v>2001</v>
      </c>
      <c r="K341" s="6" t="s">
        <v>2002</v>
      </c>
    </row>
    <row r="342" spans="2:11" ht="12" customHeight="1">
      <c r="B342" s="6" t="s">
        <v>1968</v>
      </c>
      <c r="C342" s="4"/>
      <c r="D342" s="4" t="str">
        <f>CHOOSE(Translations!$C$1+1,I342,J342,K342)</f>
        <v>Involucramiento de todos los proveedores de salud (TB/VIH)</v>
      </c>
      <c r="E342" s="4"/>
      <c r="F342" s="4"/>
      <c r="G342" s="4" t="s">
        <v>1969</v>
      </c>
      <c r="H342" s="4"/>
      <c r="I342" s="6" t="s">
        <v>1970</v>
      </c>
      <c r="J342" s="6" t="s">
        <v>1971</v>
      </c>
      <c r="K342" s="6" t="s">
        <v>1972</v>
      </c>
    </row>
    <row r="343" spans="2:11" ht="12" customHeight="1">
      <c r="B343" s="6" t="s">
        <v>1963</v>
      </c>
      <c r="C343" s="4"/>
      <c r="D343" s="4" t="str">
        <f>CHOOSE(Translations!$C$1+1,I343,J343,K343)</f>
        <v>Prestación de servicios comunitarios de TB/VIH</v>
      </c>
      <c r="E343" s="4"/>
      <c r="F343" s="4"/>
      <c r="G343" s="4" t="s">
        <v>1964</v>
      </c>
      <c r="H343" s="4"/>
      <c r="I343" s="6" t="s">
        <v>1965</v>
      </c>
      <c r="J343" s="6" t="s">
        <v>1966</v>
      </c>
      <c r="K343" s="6" t="s">
        <v>1967</v>
      </c>
    </row>
    <row r="344" spans="2:11" ht="12" customHeight="1">
      <c r="B344" s="6" t="s">
        <v>1973</v>
      </c>
      <c r="C344" s="4"/>
      <c r="D344" s="4" t="str">
        <f>CHOOSE(Translations!$C$1+1,I344,J344,K344)</f>
        <v>Poblaciones clave (TB/VIH): niños</v>
      </c>
      <c r="E344" s="4"/>
      <c r="F344" s="4"/>
      <c r="G344" s="4" t="s">
        <v>1974</v>
      </c>
      <c r="H344" s="4"/>
      <c r="I344" s="6" t="s">
        <v>1975</v>
      </c>
      <c r="J344" s="6" t="s">
        <v>1976</v>
      </c>
      <c r="K344" s="6" t="s">
        <v>1977</v>
      </c>
    </row>
    <row r="345" spans="2:11" ht="12" customHeight="1">
      <c r="B345" s="6" t="s">
        <v>1993</v>
      </c>
      <c r="C345" s="4"/>
      <c r="D345" s="4" t="str">
        <f>CHOOSE(Translations!$C$1+1,I345,J345,K345)</f>
        <v>Poblaciones clave (TB/VIH): personas privadas de libertad</v>
      </c>
      <c r="E345" s="4"/>
      <c r="F345" s="4"/>
      <c r="G345" s="4" t="s">
        <v>1994</v>
      </c>
      <c r="H345" s="4"/>
      <c r="I345" s="6" t="s">
        <v>1995</v>
      </c>
      <c r="J345" s="6" t="s">
        <v>1996</v>
      </c>
      <c r="K345" s="6" t="s">
        <v>1997</v>
      </c>
    </row>
    <row r="346" spans="2:11" ht="12" customHeight="1">
      <c r="B346" s="6" t="s">
        <v>1983</v>
      </c>
      <c r="C346" s="4"/>
      <c r="D346" s="4" t="str">
        <f>CHOOSE(Translations!$C$1+1,I346,J346,K346)</f>
        <v>Poblaciones clave (TB/VIH): poblaciones móviles (refugiados, migrantes y personas desplazadas internamente)</v>
      </c>
      <c r="E346" s="4"/>
      <c r="F346" s="4"/>
      <c r="G346" s="4" t="s">
        <v>1984</v>
      </c>
      <c r="H346" s="4"/>
      <c r="I346" s="6" t="s">
        <v>1985</v>
      </c>
      <c r="J346" s="6" t="s">
        <v>1986</v>
      </c>
      <c r="K346" s="6" t="s">
        <v>1987</v>
      </c>
    </row>
    <row r="347" spans="2:11" ht="12" customHeight="1">
      <c r="B347" s="6" t="s">
        <v>1978</v>
      </c>
      <c r="C347" s="4"/>
      <c r="D347" s="4" t="str">
        <f>CHOOSE(Translations!$C$1+1,I347,J347,K347)</f>
        <v>Poblaciones clave (TB/VIH): mineros y comunidades mineras</v>
      </c>
      <c r="E347" s="4"/>
      <c r="F347" s="4"/>
      <c r="G347" s="4" t="s">
        <v>1979</v>
      </c>
      <c r="H347" s="4"/>
      <c r="I347" s="6" t="s">
        <v>1980</v>
      </c>
      <c r="J347" s="6" t="s">
        <v>1981</v>
      </c>
      <c r="K347" s="6" t="s">
        <v>1982</v>
      </c>
    </row>
    <row r="348" spans="2:11" ht="12" customHeight="1">
      <c r="B348" s="6" t="s">
        <v>1988</v>
      </c>
      <c r="C348" s="4"/>
      <c r="D348" s="4" t="str">
        <f>CHOOSE(Translations!$C$1+1,I348,J348,K348)</f>
        <v>Poblaciones clave (TB/VIH): otros</v>
      </c>
      <c r="E348" s="4"/>
      <c r="F348" s="4"/>
      <c r="G348" s="4" t="s">
        <v>1989</v>
      </c>
      <c r="H348" s="4"/>
      <c r="I348" s="6" t="s">
        <v>1990</v>
      </c>
      <c r="J348" s="6" t="s">
        <v>1991</v>
      </c>
      <c r="K348" s="6" t="s">
        <v>1992</v>
      </c>
    </row>
    <row r="349" spans="2:11" ht="12" customHeight="1">
      <c r="B349" s="6" t="s">
        <v>1958</v>
      </c>
      <c r="C349" s="4"/>
      <c r="D349" s="4" t="str">
        <f>CHOOSE(Translations!$C$1+1,I349,J349,K349)</f>
        <v>Actividades de colaboración con otros programas y sectores (TB/VIH)</v>
      </c>
      <c r="E349" s="4"/>
      <c r="F349" s="4"/>
      <c r="G349" s="4" t="s">
        <v>1959</v>
      </c>
      <c r="H349" s="4"/>
      <c r="I349" s="6" t="s">
        <v>1960</v>
      </c>
      <c r="J349" s="6" t="s">
        <v>1961</v>
      </c>
      <c r="K349" s="6" t="s">
        <v>1962</v>
      </c>
    </row>
    <row r="350" spans="2:11" ht="12" customHeight="1">
      <c r="B350" s="6" t="s">
        <v>2018</v>
      </c>
      <c r="C350" s="4"/>
      <c r="D350" s="4" t="str">
        <f>CHOOSE(Translations!$C$1+1,I350,J350,K350)</f>
        <v>Coordinación y gestión de los programas nacionales de control de enfermedades</v>
      </c>
      <c r="E350" s="4"/>
      <c r="F350" s="4"/>
      <c r="G350" s="4" t="s">
        <v>2019</v>
      </c>
      <c r="H350" s="4"/>
      <c r="I350" s="6" t="s">
        <v>2020</v>
      </c>
      <c r="J350" s="6" t="s">
        <v>2021</v>
      </c>
      <c r="K350" s="6" t="s">
        <v>2022</v>
      </c>
    </row>
    <row r="351" spans="2:11" ht="12" customHeight="1">
      <c r="B351" s="6" t="s">
        <v>2023</v>
      </c>
      <c r="C351" s="4"/>
      <c r="D351" s="4" t="str">
        <f>CHOOSE(Translations!$C$1+1,I351,J351,K351)</f>
        <v>Gestión de subvenciones</v>
      </c>
      <c r="E351" s="4"/>
      <c r="F351" s="4"/>
      <c r="G351" s="4" t="s">
        <v>2024</v>
      </c>
      <c r="H351" s="4"/>
      <c r="I351" s="6" t="s">
        <v>2025</v>
      </c>
      <c r="J351" s="6" t="s">
        <v>2026</v>
      </c>
      <c r="K351" s="6" t="s">
        <v>2027</v>
      </c>
    </row>
    <row r="352" spans="2:11" ht="12" customHeight="1">
      <c r="B352" s="6" t="s">
        <v>2033</v>
      </c>
      <c r="C352" s="4"/>
      <c r="D352" s="4" t="str">
        <f>CHOOSE(Translations!$C$1+1,I352,J352,K352)</f>
        <v>Política, estrategia, gobernanza</v>
      </c>
      <c r="E352" s="4"/>
      <c r="F352" s="4"/>
      <c r="G352" s="4" t="s">
        <v>2034</v>
      </c>
      <c r="H352" s="4"/>
      <c r="I352" s="6" t="s">
        <v>2035</v>
      </c>
      <c r="J352" s="6" t="s">
        <v>2036</v>
      </c>
      <c r="K352" s="6" t="s">
        <v>2037</v>
      </c>
    </row>
    <row r="353" spans="2:11" ht="12" customHeight="1">
      <c r="B353" s="6" t="s">
        <v>2048</v>
      </c>
      <c r="C353" s="4"/>
      <c r="D353" s="4" t="str">
        <f>CHOOSE(Translations!$C$1+1,I353,J353,K353)</f>
        <v>Capacidad de almacenamiento y distribución</v>
      </c>
      <c r="E353" s="4"/>
      <c r="F353" s="4"/>
      <c r="G353" s="4" t="s">
        <v>2049</v>
      </c>
      <c r="H353" s="4"/>
      <c r="I353" s="6" t="s">
        <v>2050</v>
      </c>
      <c r="J353" s="6" t="s">
        <v>2051</v>
      </c>
      <c r="K353" s="6" t="s">
        <v>2052</v>
      </c>
    </row>
    <row r="354" spans="2:11" ht="12" customHeight="1">
      <c r="B354" s="6" t="s">
        <v>2038</v>
      </c>
      <c r="C354" s="4"/>
      <c r="D354" s="4" t="str">
        <f>CHOOSE(Translations!$C$1+1,I354,J354,K354)</f>
        <v>Capacidad de adquisición</v>
      </c>
      <c r="E354" s="4"/>
      <c r="F354" s="4"/>
      <c r="G354" s="4" t="s">
        <v>2039</v>
      </c>
      <c r="H354" s="4"/>
      <c r="I354" s="6" t="s">
        <v>2040</v>
      </c>
      <c r="J354" s="6" t="s">
        <v>2041</v>
      </c>
      <c r="K354" s="6" t="s">
        <v>2042</v>
      </c>
    </row>
    <row r="355" spans="2:11" ht="12" customHeight="1">
      <c r="B355" s="6" t="s">
        <v>2043</v>
      </c>
      <c r="C355" s="4"/>
      <c r="D355" s="4" t="str">
        <f>CHOOSE(Translations!$C$1+1,I355,J355,K355)</f>
        <v>Apoyo regulador/aseguramiento de la calidad</v>
      </c>
      <c r="E355" s="4"/>
      <c r="F355" s="4"/>
      <c r="G355" s="4" t="s">
        <v>2044</v>
      </c>
      <c r="H355" s="4"/>
      <c r="I355" s="6" t="s">
        <v>2045</v>
      </c>
      <c r="J355" s="6" t="s">
        <v>2046</v>
      </c>
      <c r="K355" s="6" t="s">
        <v>2047</v>
      </c>
    </row>
    <row r="356" spans="2:11" ht="12" customHeight="1">
      <c r="B356" s="6" t="s">
        <v>2028</v>
      </c>
      <c r="C356" s="4"/>
      <c r="D356" s="4" t="str">
        <f>CHOOSE(Translations!$C$1+1,I356,J356,K356)</f>
        <v>Gestión de los residuos de la atención sanitaria</v>
      </c>
      <c r="E356" s="4"/>
      <c r="F356" s="4"/>
      <c r="G356" s="4" t="s">
        <v>2029</v>
      </c>
      <c r="H356" s="4"/>
      <c r="I356" s="6" t="s">
        <v>2030</v>
      </c>
      <c r="J356" s="6" t="s">
        <v>2031</v>
      </c>
      <c r="K356" s="6" t="s">
        <v>2032</v>
      </c>
    </row>
    <row r="357" spans="2:11" ht="12" customHeight="1">
      <c r="B357" s="6" t="s">
        <v>2073</v>
      </c>
      <c r="C357" s="4"/>
      <c r="D357" s="4" t="str">
        <f>CHOOSE(Translations!$C$1+1,I357,J357,K357)</f>
        <v>Informes rutinarios</v>
      </c>
      <c r="E357" s="4"/>
      <c r="F357" s="4"/>
      <c r="G357" s="4" t="s">
        <v>2074</v>
      </c>
      <c r="H357" s="4"/>
      <c r="I357" s="6" t="s">
        <v>2075</v>
      </c>
      <c r="J357" s="6" t="s">
        <v>2076</v>
      </c>
      <c r="K357" s="6" t="s">
        <v>2077</v>
      </c>
    </row>
    <row r="358" spans="2:11" ht="12" customHeight="1">
      <c r="B358" s="6" t="s">
        <v>2068</v>
      </c>
      <c r="C358" s="4"/>
      <c r="D358" s="4" t="str">
        <f>CHOOSE(Translations!$C$1+1,I358,J358,K358)</f>
        <v>Calidad del programa y los datos</v>
      </c>
      <c r="E358" s="4"/>
      <c r="F358" s="4"/>
      <c r="G358" s="4" t="s">
        <v>2069</v>
      </c>
      <c r="H358" s="4"/>
      <c r="I358" s="6" t="s">
        <v>2070</v>
      </c>
      <c r="J358" s="6" t="s">
        <v>2071</v>
      </c>
      <c r="K358" s="6" t="s">
        <v>2072</v>
      </c>
    </row>
    <row r="359" spans="2:11" ht="12" customHeight="1">
      <c r="B359" s="6" t="s">
        <v>2058</v>
      </c>
      <c r="C359" s="4"/>
      <c r="D359" s="4" t="str">
        <f>CHOOSE(Translations!$C$1+1,I359,J359,K359)</f>
        <v>Análisis, evaluaciones, revisión y transparencia</v>
      </c>
      <c r="E359" s="4"/>
      <c r="F359" s="4"/>
      <c r="G359" s="4" t="s">
        <v>2059</v>
      </c>
      <c r="H359" s="4"/>
      <c r="I359" s="6" t="s">
        <v>2060</v>
      </c>
      <c r="J359" s="6" t="s">
        <v>2061</v>
      </c>
      <c r="K359" s="6" t="s">
        <v>2062</v>
      </c>
    </row>
    <row r="360" spans="2:11" ht="12" customHeight="1">
      <c r="B360" s="6" t="s">
        <v>2078</v>
      </c>
      <c r="C360" s="4"/>
      <c r="D360" s="4" t="str">
        <f>CHOOSE(Translations!$C$1+1,I360,J360,K360)</f>
        <v>Encuestas</v>
      </c>
      <c r="E360" s="4"/>
      <c r="F360" s="4"/>
      <c r="G360" s="4" t="s">
        <v>2079</v>
      </c>
      <c r="H360" s="4"/>
      <c r="I360" s="6" t="s">
        <v>2080</v>
      </c>
      <c r="J360" s="6" t="s">
        <v>2081</v>
      </c>
      <c r="K360" s="6" t="s">
        <v>2082</v>
      </c>
    </row>
    <row r="361" spans="2:11" ht="12" customHeight="1">
      <c r="B361" s="6" t="s">
        <v>2053</v>
      </c>
      <c r="C361" s="4"/>
      <c r="D361" s="4" t="str">
        <f>CHOOSE(Translations!$C$1+1,I361,J361,K361)</f>
        <v>Fuentes de los datos financieros y administrativos</v>
      </c>
      <c r="E361" s="4"/>
      <c r="F361" s="4"/>
      <c r="G361" s="4" t="s">
        <v>2054</v>
      </c>
      <c r="H361" s="4"/>
      <c r="I361" s="6" t="s">
        <v>2055</v>
      </c>
      <c r="J361" s="6" t="s">
        <v>2056</v>
      </c>
      <c r="K361" s="6" t="s">
        <v>2057</v>
      </c>
    </row>
    <row r="362" spans="2:11" ht="12" customHeight="1">
      <c r="B362" s="6" t="s">
        <v>2063</v>
      </c>
      <c r="C362" s="4"/>
      <c r="D362" s="4" t="str">
        <f>CHOOSE(Translations!$C$1+1,I362,J362,K362)</f>
        <v>Registro civil y estadísticas vitales</v>
      </c>
      <c r="E362" s="4"/>
      <c r="F362" s="4"/>
      <c r="G362" s="4" t="s">
        <v>2064</v>
      </c>
      <c r="H362" s="4"/>
      <c r="I362" s="6" t="s">
        <v>2065</v>
      </c>
      <c r="J362" s="6" t="s">
        <v>2066</v>
      </c>
      <c r="K362" s="6" t="s">
        <v>2067</v>
      </c>
    </row>
    <row r="363" spans="2:11" ht="12" customHeight="1">
      <c r="B363" s="6" t="s">
        <v>2098</v>
      </c>
      <c r="C363" s="4"/>
      <c r="D363" s="4" t="str">
        <f>CHOOSE(Translations!$C$1+1,I363,J363,K363)</f>
        <v>Educación y producción de nuevos trabajadores de  salud (excepto los trabajadores de la salud comunitarios)</v>
      </c>
      <c r="E363" s="4"/>
      <c r="F363" s="4"/>
      <c r="G363" s="4" t="s">
        <v>2099</v>
      </c>
      <c r="H363" s="4"/>
      <c r="I363" s="6" t="s">
        <v>2100</v>
      </c>
      <c r="J363" s="6" t="s">
        <v>2101</v>
      </c>
      <c r="K363" s="6" t="s">
        <v>2102</v>
      </c>
    </row>
    <row r="364" spans="2:11" ht="12" customHeight="1">
      <c r="B364" s="6" t="s">
        <v>2113</v>
      </c>
      <c r="C364" s="4"/>
      <c r="D364" s="4" t="str">
        <f>CHOOSE(Translations!$C$1+1,I364,J364,K364)</f>
        <v>Remuneración y despliegue de personal nuevo/existente (excepto los trabajadores de la salud comunitarios)</v>
      </c>
      <c r="E364" s="4"/>
      <c r="F364" s="4"/>
      <c r="G364" s="4" t="s">
        <v>2114</v>
      </c>
      <c r="H364" s="4"/>
      <c r="I364" s="6" t="s">
        <v>2115</v>
      </c>
      <c r="J364" s="6" t="s">
        <v>2116</v>
      </c>
      <c r="K364" s="6" t="s">
        <v>2117</v>
      </c>
    </row>
    <row r="365" spans="2:11" ht="12" customHeight="1">
      <c r="B365" s="6" t="s">
        <v>2108</v>
      </c>
      <c r="C365" s="4"/>
      <c r="D365" s="4" t="str">
        <f>CHOOSE(Translations!$C$1+1,I365,J365,K365)</f>
        <v>Formación durante la prestación de servicios (excepto los trabajadores de  salud comunitarios)</v>
      </c>
      <c r="E365" s="4"/>
      <c r="F365" s="4"/>
      <c r="G365" s="4" t="s">
        <v>2109</v>
      </c>
      <c r="H365" s="4"/>
      <c r="I365" s="6" t="s">
        <v>2110</v>
      </c>
      <c r="J365" s="6" t="s">
        <v>2111</v>
      </c>
      <c r="K365" s="6" t="s">
        <v>2112</v>
      </c>
    </row>
    <row r="366" spans="2:11" ht="12" customHeight="1">
      <c r="B366" s="6" t="s">
        <v>2103</v>
      </c>
      <c r="C366" s="4"/>
      <c r="D366" s="4" t="str">
        <f>CHOOSE(Translations!$C$1+1,I366,J366,K366)</f>
        <v>Política y gobernanza de Recursos Humanos de Salud</v>
      </c>
      <c r="E366" s="4"/>
      <c r="F366" s="4"/>
      <c r="G366" s="4" t="s">
        <v>2104</v>
      </c>
      <c r="H366" s="4"/>
      <c r="I366" s="6" t="s">
        <v>2105</v>
      </c>
      <c r="J366" s="6" t="s">
        <v>2106</v>
      </c>
      <c r="K366" s="6" t="s">
        <v>2107</v>
      </c>
    </row>
    <row r="367" spans="2:11" ht="12" customHeight="1">
      <c r="B367" s="6" t="s">
        <v>2083</v>
      </c>
      <c r="C367" s="4"/>
      <c r="D367" s="4" t="str">
        <f>CHOOSE(Translations!$C$1+1,I367,J367,K367)</f>
        <v>Trabajadores de salud comunitarios: educación y producción</v>
      </c>
      <c r="E367" s="4"/>
      <c r="F367" s="4"/>
      <c r="G367" s="4" t="s">
        <v>2084</v>
      </c>
      <c r="H367" s="4"/>
      <c r="I367" s="6" t="s">
        <v>2085</v>
      </c>
      <c r="J367" s="6" t="s">
        <v>2086</v>
      </c>
      <c r="K367" s="6" t="s">
        <v>2087</v>
      </c>
    </row>
    <row r="368" spans="2:11" ht="12" customHeight="1">
      <c r="B368" s="6" t="s">
        <v>2093</v>
      </c>
      <c r="C368" s="4"/>
      <c r="D368" s="4" t="str">
        <f>CHOOSE(Translations!$C$1+1,I368,J368,K368)</f>
        <v>Trabajadores de salud comunitarios: remuneración y despliegue</v>
      </c>
      <c r="E368" s="4"/>
      <c r="F368" s="4"/>
      <c r="G368" s="4" t="s">
        <v>2094</v>
      </c>
      <c r="H368" s="4"/>
      <c r="I368" s="6" t="s">
        <v>2095</v>
      </c>
      <c r="J368" s="6" t="s">
        <v>2096</v>
      </c>
      <c r="K368" s="6" t="s">
        <v>2097</v>
      </c>
    </row>
    <row r="369" spans="2:11" ht="12" customHeight="1">
      <c r="B369" s="6" t="s">
        <v>2088</v>
      </c>
      <c r="C369" s="4"/>
      <c r="D369" s="4" t="str">
        <f>CHOOSE(Translations!$C$1+1,I369,J369,K369)</f>
        <v>Trabajadores de salud comunitarios: formación durante la prestación de los servicios</v>
      </c>
      <c r="E369" s="4"/>
      <c r="F369" s="4"/>
      <c r="G369" s="4" t="s">
        <v>2089</v>
      </c>
      <c r="H369" s="4"/>
      <c r="I369" s="6" t="s">
        <v>2090</v>
      </c>
      <c r="J369" s="6" t="s">
        <v>2091</v>
      </c>
      <c r="K369" s="6" t="s">
        <v>2092</v>
      </c>
    </row>
    <row r="370" spans="2:11" ht="12" customHeight="1">
      <c r="B370" s="6" t="s">
        <v>2118</v>
      </c>
      <c r="C370" s="4"/>
      <c r="D370" s="4" t="str">
        <f>CHOOSE(Translations!$C$1+1,I370,J370,K370)</f>
        <v>Calidad de la atención</v>
      </c>
      <c r="E370" s="4"/>
      <c r="F370" s="4"/>
      <c r="G370" s="4" t="s">
        <v>2119</v>
      </c>
      <c r="H370" s="4"/>
      <c r="I370" s="6" t="s">
        <v>2120</v>
      </c>
      <c r="J370" s="6" t="s">
        <v>2121</v>
      </c>
      <c r="K370" s="6" t="s">
        <v>2122</v>
      </c>
    </row>
    <row r="371" spans="2:11" ht="12" customHeight="1">
      <c r="B371" s="6" t="s">
        <v>2128</v>
      </c>
      <c r="C371" s="4"/>
      <c r="D371" s="4" t="str">
        <f>CHOOSE(Translations!$C$1+1,I371,J371,K371)</f>
        <v>Organización de los servicios y gestión de establecimientos de salud</v>
      </c>
      <c r="E371" s="4"/>
      <c r="F371" s="4"/>
      <c r="G371" s="4" t="s">
        <v>2129</v>
      </c>
      <c r="H371" s="4"/>
      <c r="I371" s="6" t="s">
        <v>2130</v>
      </c>
      <c r="J371" s="6" t="s">
        <v>2131</v>
      </c>
      <c r="K371" s="6" t="s">
        <v>2132</v>
      </c>
    </row>
    <row r="372" spans="2:11" ht="12" customHeight="1">
      <c r="B372" s="6" t="s">
        <v>2123</v>
      </c>
      <c r="C372" s="4"/>
      <c r="D372" s="4" t="str">
        <f>CHOOSE(Translations!$C$1+1,I372,J372,K372)</f>
        <v>Infraestructura de la prestación de servicios</v>
      </c>
      <c r="E372" s="4"/>
      <c r="F372" s="4"/>
      <c r="G372" s="4" t="s">
        <v>2124</v>
      </c>
      <c r="H372" s="4"/>
      <c r="I372" s="6" t="s">
        <v>2125</v>
      </c>
      <c r="J372" s="6" t="s">
        <v>2126</v>
      </c>
      <c r="K372" s="6" t="s">
        <v>2127</v>
      </c>
    </row>
    <row r="373" spans="2:11" ht="12" customHeight="1">
      <c r="B373" s="6" t="s">
        <v>2133</v>
      </c>
      <c r="C373" s="4"/>
      <c r="D373" s="4" t="str">
        <f>CHOOSE(Translations!$C$1+1,I373,J373,K373)</f>
        <v>Sistemas de gestión financiera pública (nacionales o armonizados de donantes)</v>
      </c>
      <c r="E373" s="4"/>
      <c r="F373" s="4"/>
      <c r="G373" s="4" t="s">
        <v>2134</v>
      </c>
      <c r="H373" s="4"/>
      <c r="I373" s="6" t="s">
        <v>2135</v>
      </c>
      <c r="J373" s="6" t="s">
        <v>2136</v>
      </c>
      <c r="K373" s="6" t="s">
        <v>2137</v>
      </c>
    </row>
    <row r="374" spans="2:11" ht="12" customHeight="1">
      <c r="B374" s="6" t="s">
        <v>2138</v>
      </c>
      <c r="C374" s="4"/>
      <c r="D374" s="4" t="str">
        <f>CHOOSE(Translations!$C$1+1,I374,J374,K374)</f>
        <v>Gestión financiera ordinaria de las subvenciones</v>
      </c>
      <c r="E374" s="4"/>
      <c r="F374" s="4"/>
      <c r="G374" s="4" t="s">
        <v>2139</v>
      </c>
      <c r="H374" s="4"/>
      <c r="I374" s="6" t="s">
        <v>2140</v>
      </c>
      <c r="J374" s="6" t="s">
        <v>2141</v>
      </c>
      <c r="K374" s="6" t="s">
        <v>2142</v>
      </c>
    </row>
    <row r="375" spans="2:11" ht="12" customHeight="1">
      <c r="B375" s="6" t="s">
        <v>2143</v>
      </c>
      <c r="C375" s="4"/>
      <c r="D375" s="4" t="str">
        <f>CHOOSE(Translations!$C$1+1,I375,J375,K375)</f>
        <v>Estrategias y financiamiento del sector nacional de la salud</v>
      </c>
      <c r="E375" s="4"/>
      <c r="F375" s="4"/>
      <c r="G375" s="4" t="s">
        <v>2144</v>
      </c>
      <c r="H375" s="4"/>
      <c r="I375" s="6" t="s">
        <v>2145</v>
      </c>
      <c r="J375" s="6" t="s">
        <v>2146</v>
      </c>
      <c r="K375" s="6" t="s">
        <v>2147</v>
      </c>
    </row>
    <row r="376" spans="2:11" ht="12" customHeight="1">
      <c r="B376" s="6" t="s">
        <v>2148</v>
      </c>
      <c r="C376" s="4"/>
      <c r="D376" s="4" t="str">
        <f>CHOOSE(Translations!$C$1+1,I376,J376,K376)</f>
        <v>Política y planificación para los programas nacionales de control de enfermedades</v>
      </c>
      <c r="E376" s="4"/>
      <c r="F376" s="4"/>
      <c r="G376" s="4" t="s">
        <v>2149</v>
      </c>
      <c r="H376" s="4"/>
      <c r="I376" s="6" t="s">
        <v>2150</v>
      </c>
      <c r="J376" s="6" t="s">
        <v>2151</v>
      </c>
      <c r="K376" s="6" t="s">
        <v>2152</v>
      </c>
    </row>
    <row r="377" spans="2:11" ht="12" customHeight="1">
      <c r="B377" s="6" t="s">
        <v>2153</v>
      </c>
      <c r="C377" s="4"/>
      <c r="D377" s="4" t="str">
        <f>CHOOSE(Translations!$C$1+1,I377,J377,K377)</f>
        <v>Monitoreo a nivel comunitario</v>
      </c>
      <c r="E377" s="4"/>
      <c r="F377" s="4"/>
      <c r="G377" s="4" t="s">
        <v>2154</v>
      </c>
      <c r="H377" s="4"/>
      <c r="I377" s="6" t="s">
        <v>2155</v>
      </c>
      <c r="J377" s="6" t="s">
        <v>2156</v>
      </c>
      <c r="K377" s="6" t="s">
        <v>2157</v>
      </c>
    </row>
    <row r="378" spans="2:11" ht="12" customHeight="1">
      <c r="B378" s="6" t="s">
        <v>2158</v>
      </c>
      <c r="C378" s="4"/>
      <c r="D378" s="4" t="str">
        <f>CHOOSE(Translations!$C$1+1,I378,J378,K378)</f>
        <v>Sensibilización e investigación dirigidas por la comunidad</v>
      </c>
      <c r="E378" s="4"/>
      <c r="F378" s="4"/>
      <c r="G378" s="4" t="s">
        <v>2159</v>
      </c>
      <c r="H378" s="4"/>
      <c r="I378" s="6" t="s">
        <v>2160</v>
      </c>
      <c r="J378" s="6" t="s">
        <v>2161</v>
      </c>
      <c r="K378" s="6" t="s">
        <v>2162</v>
      </c>
    </row>
    <row r="379" spans="2:11" ht="12" customHeight="1">
      <c r="B379" s="6" t="s">
        <v>2168</v>
      </c>
      <c r="C379" s="4"/>
      <c r="D379" s="4" t="str">
        <f>CHOOSE(Translations!$C$1+1,I379,J379,K379)</f>
        <v>Movilización social, creación de vínculos comunitarios y coordinación</v>
      </c>
      <c r="E379" s="4"/>
      <c r="F379" s="4"/>
      <c r="G379" s="4" t="s">
        <v>2169</v>
      </c>
      <c r="H379" s="4"/>
      <c r="I379" s="6" t="s">
        <v>2170</v>
      </c>
      <c r="J379" s="6" t="s">
        <v>2171</v>
      </c>
      <c r="K379" s="6" t="s">
        <v>2172</v>
      </c>
    </row>
    <row r="380" spans="2:11" ht="12" customHeight="1">
      <c r="B380" s="6" t="s">
        <v>2163</v>
      </c>
      <c r="C380" s="4"/>
      <c r="D380" s="4" t="str">
        <f>CHOOSE(Translations!$C$1+1,I380,J380,K380)</f>
        <v>Creación de capacidad institucional, planificación y desarrollo del liderazgo</v>
      </c>
      <c r="E380" s="4"/>
      <c r="F380" s="4"/>
      <c r="G380" s="4" t="s">
        <v>2164</v>
      </c>
      <c r="H380" s="4"/>
      <c r="I380" s="6" t="s">
        <v>2165</v>
      </c>
      <c r="J380" s="6" t="s">
        <v>2166</v>
      </c>
      <c r="K380" s="6" t="s">
        <v>2167</v>
      </c>
    </row>
    <row r="381" spans="2:11" ht="12" customHeight="1">
      <c r="B381" s="6" t="s">
        <v>2188</v>
      </c>
      <c r="C381" s="4"/>
      <c r="D381" s="4" t="str">
        <f>CHOOSE(Translations!$C$1+1,I381,J381,K381)</f>
        <v>Estructuras de gestión y gobernanza de los laboratorios nacionales</v>
      </c>
      <c r="E381" s="4"/>
      <c r="F381" s="4"/>
      <c r="G381" s="4" t="s">
        <v>2189</v>
      </c>
      <c r="H381" s="4"/>
      <c r="I381" s="6" t="s">
        <v>2190</v>
      </c>
      <c r="J381" s="6" t="s">
        <v>2191</v>
      </c>
      <c r="K381" s="6" t="s">
        <v>2192</v>
      </c>
    </row>
    <row r="382" spans="2:11" ht="12" customHeight="1">
      <c r="B382" s="6" t="s">
        <v>2178</v>
      </c>
      <c r="C382" s="4"/>
      <c r="D382" s="4" t="str">
        <f>CHOOSE(Translations!$C$1+1,I382,J382,K382)</f>
        <v>Sistemas de gestión de infraestructuras y equipos</v>
      </c>
      <c r="E382" s="4"/>
      <c r="F382" s="4"/>
      <c r="G382" s="4" t="s">
        <v>2179</v>
      </c>
      <c r="H382" s="4"/>
      <c r="I382" s="6" t="s">
        <v>2180</v>
      </c>
      <c r="J382" s="6" t="s">
        <v>2181</v>
      </c>
      <c r="K382" s="6" t="s">
        <v>2182</v>
      </c>
    </row>
    <row r="383" spans="2:11" ht="12" customHeight="1">
      <c r="B383" s="6" t="s">
        <v>2193</v>
      </c>
      <c r="C383" s="4"/>
      <c r="D383" s="4" t="str">
        <f>CHOOSE(Translations!$C$1+1,I383,J383,K383)</f>
        <v>Sistemas de gestión de la calidad y acreditación</v>
      </c>
      <c r="E383" s="4"/>
      <c r="F383" s="4"/>
      <c r="G383" s="4" t="s">
        <v>2194</v>
      </c>
      <c r="H383" s="4"/>
      <c r="I383" s="6" t="s">
        <v>2195</v>
      </c>
      <c r="J383" s="6" t="s">
        <v>2196</v>
      </c>
      <c r="K383" s="6" t="s">
        <v>2197</v>
      </c>
    </row>
    <row r="384" spans="2:11" ht="12" customHeight="1">
      <c r="B384" s="6" t="s">
        <v>2173</v>
      </c>
      <c r="C384" s="4"/>
      <c r="D384" s="4" t="str">
        <f>CHOOSE(Translations!$C$1+1,I384,J384,K384)</f>
        <v>Sistemas de información y redes de transporte de muestras integradas</v>
      </c>
      <c r="E384" s="4"/>
      <c r="F384" s="4"/>
      <c r="G384" s="4" t="s">
        <v>2174</v>
      </c>
      <c r="H384" s="4"/>
      <c r="I384" s="6" t="s">
        <v>2175</v>
      </c>
      <c r="J384" s="6" t="s">
        <v>2176</v>
      </c>
      <c r="K384" s="6" t="s">
        <v>2177</v>
      </c>
    </row>
    <row r="385" spans="2:11" ht="12" customHeight="1">
      <c r="B385" s="6" t="s">
        <v>2183</v>
      </c>
      <c r="C385" s="4"/>
      <c r="D385" s="4" t="str">
        <f>CHOOSE(Translations!$C$1+1,I385,J385,K385)</f>
        <v>Sistemas de cadena de suministros para los laboratorios</v>
      </c>
      <c r="E385" s="4"/>
      <c r="F385" s="4"/>
      <c r="G385" s="4" t="s">
        <v>2184</v>
      </c>
      <c r="H385" s="4"/>
      <c r="I385" s="6" t="s">
        <v>2185</v>
      </c>
      <c r="J385" s="6" t="s">
        <v>2186</v>
      </c>
      <c r="K385" s="6" t="s">
        <v>2187</v>
      </c>
    </row>
    <row r="386" spans="2:11" ht="12" customHeight="1">
      <c r="B386" s="6" t="s">
        <v>2198</v>
      </c>
      <c r="C386" s="4"/>
      <c r="D386" s="4" t="str">
        <f>CHOOSE(Translations!$C$1+1,I386,J386,K386)</f>
        <v>Financiación basada en los resultados</v>
      </c>
      <c r="E386" s="4"/>
      <c r="F386" s="4"/>
      <c r="G386" s="4" t="s">
        <v>2199</v>
      </c>
      <c r="H386" s="4"/>
      <c r="I386" s="6" t="s">
        <v>1474</v>
      </c>
      <c r="J386" s="6" t="s">
        <v>1479</v>
      </c>
      <c r="K386" s="6" t="s">
        <v>1480</v>
      </c>
    </row>
    <row r="387" spans="2:11" ht="12" customHeight="1">
      <c r="B387" s="6" t="s">
        <v>2285</v>
      </c>
      <c r="C387" s="4"/>
      <c r="D387" s="4" t="str">
        <f>CHOOSE(Translations!$C$1+1,I387,J387,K387)</f>
        <v>Mitigación de riesgos para los programas de las enfermedades</v>
      </c>
      <c r="E387" s="4"/>
      <c r="F387" s="4"/>
      <c r="G387" s="4" t="s">
        <v>2286</v>
      </c>
      <c r="H387" s="4"/>
      <c r="I387" s="6" t="s">
        <v>2287</v>
      </c>
      <c r="J387" s="6" t="s">
        <v>2288</v>
      </c>
      <c r="K387" s="6" t="s">
        <v>2289</v>
      </c>
    </row>
  </sheetData>
  <dataValidations count="3">
    <dataValidation type="custom" allowBlank="1" showInputMessage="1" showErrorMessage="1" errorTitle="X-Author for Excel" error="Id and Lookup fields are not editable." promptTitle="X-Author for Excel" sqref="G6:G20 G26:G113 G167:G243 G250:G387 F118:G161" xr:uid="{00000000-0002-0000-0E00-000000000000}">
      <formula1>""</formula1>
    </dataValidation>
    <dataValidation type="list" allowBlank="1" showInputMessage="1" showErrorMessage="1" errorTitle="X-Author for Excel" error="Please select a value from the drop-down." promptTitle="X-Author for Excel" sqref="H6:H20 H26:H113" xr:uid="{00000000-0002-0000-0E00-000001000000}">
      <formula1>IF(IFERROR(ROWS(INDIRECT(SUBSTITUTE("AIM_Impact_Outcome_References__c.AIM_Data_Type_Target__c"," ","_"))),-1)&lt;0,XAuthorInvalidPicklistData,INDIRECT(SUBSTITUTE("AIM_Impact_Outcome_References__c.AIM_Data_Type_Target__c","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167:H243" xr:uid="{00000000-0002-0000-0E00-000002000000}">
      <formula1>IF(IFERROR(ROWS(INDIRECT(SUBSTITUTE("AIM_Module_Coverage_Interventio_Comp_Ref__c.AIM_Data_Type__c"," ","_"))),-1)&lt;0,XAuthorInvalidPicklistData,INDIRECT(SUBSTITUTE("AIM_Module_Coverage_Interventio_Comp_Ref__c.AIM_Data_Type__c"," ","_")))</formula1>
    </dataValidation>
  </dataValidations>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384"/>
  <sheetViews>
    <sheetView zoomScale="85" zoomScaleSheetLayoutView="100" workbookViewId="0">
      <selection activeCell="I3" sqref="I3"/>
    </sheetView>
  </sheetViews>
  <sheetFormatPr defaultColWidth="8.625" defaultRowHeight="12.75"/>
  <cols>
    <col min="1" max="1" width="18.625" style="3" customWidth="1"/>
    <col min="2" max="2" width="43.125" style="3" customWidth="1"/>
    <col min="3" max="3" width="8.625" style="3"/>
    <col min="4" max="4" width="40.125" style="3" customWidth="1"/>
    <col min="5" max="5" width="14.125" style="3" customWidth="1"/>
    <col min="6" max="6" width="19" style="3" customWidth="1"/>
    <col min="7" max="7" width="8.625" style="3"/>
    <col min="8" max="8" width="37.625" style="3" customWidth="1"/>
    <col min="9" max="9" width="22" style="3" customWidth="1"/>
    <col min="10" max="10" width="15" style="3" customWidth="1"/>
    <col min="11" max="11" width="13.5" style="3" customWidth="1"/>
    <col min="12" max="12" width="8.625" style="3"/>
    <col min="13" max="13" width="27" style="3" customWidth="1"/>
    <col min="14" max="14" width="26.625" style="3" customWidth="1"/>
    <col min="15" max="16384" width="8.625" style="3"/>
  </cols>
  <sheetData>
    <row r="1" spans="1:19">
      <c r="A1" s="8" t="s">
        <v>5783</v>
      </c>
    </row>
    <row r="2" spans="1:19">
      <c r="A2" s="4" t="s">
        <v>5784</v>
      </c>
      <c r="B2" s="4" t="s">
        <v>636</v>
      </c>
      <c r="C2" s="4">
        <v>0</v>
      </c>
      <c r="D2" s="4" t="s">
        <v>5785</v>
      </c>
      <c r="E2" s="4" t="s">
        <v>5786</v>
      </c>
      <c r="F2" s="4" t="s">
        <v>5787</v>
      </c>
      <c r="G2" s="4" t="s">
        <v>341</v>
      </c>
      <c r="H2" s="4" t="s">
        <v>5788</v>
      </c>
      <c r="I2" s="4" t="s">
        <v>5372</v>
      </c>
      <c r="J2" s="4" t="s">
        <v>5789</v>
      </c>
      <c r="K2" s="4" t="s">
        <v>5790</v>
      </c>
      <c r="L2" s="4"/>
      <c r="M2" s="4" t="s">
        <v>3754</v>
      </c>
      <c r="N2" s="4" t="s">
        <v>5791</v>
      </c>
      <c r="O2" s="4" t="s">
        <v>5792</v>
      </c>
      <c r="P2" s="4"/>
      <c r="Q2" s="4" t="s">
        <v>645</v>
      </c>
      <c r="R2" s="4" t="s">
        <v>646</v>
      </c>
      <c r="S2" s="4" t="s">
        <v>647</v>
      </c>
    </row>
    <row r="3" spans="1:19" hidden="1">
      <c r="A3" s="4" t="s">
        <v>5793</v>
      </c>
      <c r="B3" s="4" t="str">
        <f>CHOOSE(Translations!$C$1+1,Q3,R3,S3)</f>
        <v>[Name - ES]</v>
      </c>
      <c r="C3" s="4">
        <f>IF(Q3=Q2,C2+1,0)</f>
        <v>0</v>
      </c>
      <c r="D3" s="4" t="str">
        <f>B3&amp;"-"&amp;C3</f>
        <v>[Name - ES]-0</v>
      </c>
      <c r="E3" s="4" t="str">
        <f>CHOOSE(Translations!$C$1+1,I3,J3,K3)</f>
        <v>[Category - ES]</v>
      </c>
      <c r="F3" s="4" t="str">
        <f>CHOOSE(Translations!$C$1+1,M3,N3,O3)</f>
        <v>[Disaggregation - ES]</v>
      </c>
      <c r="G3" s="4" t="s">
        <v>345</v>
      </c>
      <c r="H3" s="6" t="s">
        <v>5794</v>
      </c>
      <c r="I3" s="6" t="s">
        <v>5795</v>
      </c>
      <c r="J3" s="6" t="s">
        <v>5796</v>
      </c>
      <c r="K3" s="6" t="s">
        <v>5797</v>
      </c>
      <c r="L3" s="4"/>
      <c r="M3" s="6" t="s">
        <v>5798</v>
      </c>
      <c r="N3" s="6" t="s">
        <v>5799</v>
      </c>
      <c r="O3" s="6" t="s">
        <v>5800</v>
      </c>
      <c r="P3" s="4"/>
      <c r="Q3" s="6" t="s">
        <v>2860</v>
      </c>
      <c r="R3" s="6" t="s">
        <v>1453</v>
      </c>
      <c r="S3" s="6" t="s">
        <v>1454</v>
      </c>
    </row>
    <row r="4" spans="1:19">
      <c r="A4" s="4" t="s">
        <v>659</v>
      </c>
      <c r="B4" s="4" t="str">
        <f>CHOOSE(Translations!$C$1+1,Q4,R4,S4)</f>
        <v>HIV I-13 Porcentaje de personas que viven con el VIH</v>
      </c>
      <c r="C4" s="4">
        <f t="shared" ref="C4:C65" si="0">IF(Q4=Q3,C3+1,0)</f>
        <v>0</v>
      </c>
      <c r="D4" s="4" t="str">
        <f t="shared" ref="D4:D65" si="1">B4&amp;"-"&amp;C4</f>
        <v>HIV I-13 Porcentaje de personas que viven con el VIH-0</v>
      </c>
      <c r="E4" s="4" t="str">
        <f>CHOOSE(Translations!$C$1+1,I4,J4,K4)</f>
        <v>Género | Edad</v>
      </c>
      <c r="F4" s="4" t="str">
        <f>CHOOSE(Translations!$C$1+1,M4,N4,O4)</f>
        <v>Mujeres 20-24</v>
      </c>
      <c r="G4" s="4" t="s">
        <v>5801</v>
      </c>
      <c r="H4" s="6" t="s">
        <v>5802</v>
      </c>
      <c r="I4" s="6" t="s">
        <v>5803</v>
      </c>
      <c r="J4" s="6" t="s">
        <v>5804</v>
      </c>
      <c r="K4" s="6" t="s">
        <v>5805</v>
      </c>
      <c r="L4" s="4"/>
      <c r="M4" s="6" t="s">
        <v>5806</v>
      </c>
      <c r="N4" s="6" t="s">
        <v>5807</v>
      </c>
      <c r="O4" s="6" t="s">
        <v>5808</v>
      </c>
      <c r="P4" s="4"/>
      <c r="Q4" s="6" t="s">
        <v>664</v>
      </c>
      <c r="R4" s="6" t="s">
        <v>665</v>
      </c>
      <c r="S4" s="6" t="s">
        <v>666</v>
      </c>
    </row>
    <row r="5" spans="1:19">
      <c r="A5" s="4" t="s">
        <v>659</v>
      </c>
      <c r="B5" s="4" t="str">
        <f>CHOOSE(Translations!$C$1+1,Q5,R5,S5)</f>
        <v>HIV I-13 Porcentaje de personas que viven con el VIH</v>
      </c>
      <c r="C5" s="4">
        <f t="shared" si="0"/>
        <v>1</v>
      </c>
      <c r="D5" s="4" t="str">
        <f t="shared" si="1"/>
        <v>HIV I-13 Porcentaje de personas que viven con el VIH-1</v>
      </c>
      <c r="E5" s="4" t="str">
        <f>CHOOSE(Translations!$C$1+1,I5,J5,K5)</f>
        <v>Género | Edad</v>
      </c>
      <c r="F5" s="4" t="str">
        <f>CHOOSE(Translations!$C$1+1,M5,N5,O5)</f>
        <v>Hombres 20-24</v>
      </c>
      <c r="G5" s="4" t="s">
        <v>5809</v>
      </c>
      <c r="H5" s="6" t="s">
        <v>5810</v>
      </c>
      <c r="I5" s="6" t="s">
        <v>5803</v>
      </c>
      <c r="J5" s="6" t="s">
        <v>5804</v>
      </c>
      <c r="K5" s="6" t="s">
        <v>5805</v>
      </c>
      <c r="L5" s="4"/>
      <c r="M5" s="6" t="s">
        <v>5811</v>
      </c>
      <c r="N5" s="6" t="s">
        <v>5812</v>
      </c>
      <c r="O5" s="6" t="s">
        <v>5813</v>
      </c>
      <c r="P5" s="4"/>
      <c r="Q5" s="6" t="s">
        <v>664</v>
      </c>
      <c r="R5" s="6" t="s">
        <v>665</v>
      </c>
      <c r="S5" s="6" t="s">
        <v>666</v>
      </c>
    </row>
    <row r="6" spans="1:19">
      <c r="A6" s="4" t="s">
        <v>659</v>
      </c>
      <c r="B6" s="4" t="str">
        <f>CHOOSE(Translations!$C$1+1,Q6,R6,S6)</f>
        <v>HIV I-13 Porcentaje de personas que viven con el VIH</v>
      </c>
      <c r="C6" s="4">
        <f t="shared" si="0"/>
        <v>2</v>
      </c>
      <c r="D6" s="4" t="str">
        <f t="shared" si="1"/>
        <v>HIV I-13 Porcentaje de personas que viven con el VIH-2</v>
      </c>
      <c r="E6" s="4" t="str">
        <f>CHOOSE(Translations!$C$1+1,I6,J6,K6)</f>
        <v>Género | Edad</v>
      </c>
      <c r="F6" s="4" t="str">
        <f>CHOOSE(Translations!$C$1+1,M6,N6,O6)</f>
        <v>Mujeres 15-19</v>
      </c>
      <c r="G6" s="4" t="s">
        <v>5814</v>
      </c>
      <c r="H6" s="6" t="s">
        <v>5815</v>
      </c>
      <c r="I6" s="6" t="s">
        <v>5803</v>
      </c>
      <c r="J6" s="6" t="s">
        <v>5804</v>
      </c>
      <c r="K6" s="6" t="s">
        <v>5805</v>
      </c>
      <c r="L6" s="4"/>
      <c r="M6" s="6" t="s">
        <v>5816</v>
      </c>
      <c r="N6" s="6" t="s">
        <v>5817</v>
      </c>
      <c r="O6" s="6" t="s">
        <v>5818</v>
      </c>
      <c r="P6" s="4"/>
      <c r="Q6" s="6" t="s">
        <v>664</v>
      </c>
      <c r="R6" s="6" t="s">
        <v>665</v>
      </c>
      <c r="S6" s="6" t="s">
        <v>666</v>
      </c>
    </row>
    <row r="7" spans="1:19">
      <c r="A7" s="4" t="s">
        <v>659</v>
      </c>
      <c r="B7" s="4" t="str">
        <f>CHOOSE(Translations!$C$1+1,Q7,R7,S7)</f>
        <v>HIV I-13 Porcentaje de personas que viven con el VIH</v>
      </c>
      <c r="C7" s="4">
        <f t="shared" si="0"/>
        <v>3</v>
      </c>
      <c r="D7" s="4" t="str">
        <f t="shared" si="1"/>
        <v>HIV I-13 Porcentaje de personas que viven con el VIH-3</v>
      </c>
      <c r="E7" s="4" t="str">
        <f>CHOOSE(Translations!$C$1+1,I7,J7,K7)</f>
        <v>Género | Edad</v>
      </c>
      <c r="F7" s="4" t="str">
        <f>CHOOSE(Translations!$C$1+1,M7,N7,O7)</f>
        <v>Hombres 15-19</v>
      </c>
      <c r="G7" s="4" t="s">
        <v>5819</v>
      </c>
      <c r="H7" s="6" t="s">
        <v>5820</v>
      </c>
      <c r="I7" s="6" t="s">
        <v>5803</v>
      </c>
      <c r="J7" s="6" t="s">
        <v>5804</v>
      </c>
      <c r="K7" s="6" t="s">
        <v>5805</v>
      </c>
      <c r="L7" s="4"/>
      <c r="M7" s="6" t="s">
        <v>5821</v>
      </c>
      <c r="N7" s="6" t="s">
        <v>5822</v>
      </c>
      <c r="O7" s="6" t="s">
        <v>5823</v>
      </c>
      <c r="P7" s="4"/>
      <c r="Q7" s="6" t="s">
        <v>664</v>
      </c>
      <c r="R7" s="6" t="s">
        <v>665</v>
      </c>
      <c r="S7" s="6" t="s">
        <v>666</v>
      </c>
    </row>
    <row r="8" spans="1:19">
      <c r="A8" s="4" t="s">
        <v>659</v>
      </c>
      <c r="B8" s="4" t="str">
        <f>CHOOSE(Translations!$C$1+1,Q8,R8,S8)</f>
        <v>HIV I-13 Porcentaje de personas que viven con el VIH</v>
      </c>
      <c r="C8" s="4">
        <f t="shared" si="0"/>
        <v>4</v>
      </c>
      <c r="D8" s="4" t="str">
        <f t="shared" si="1"/>
        <v>HIV I-13 Porcentaje de personas que viven con el VIH-4</v>
      </c>
      <c r="E8" s="4" t="str">
        <f>CHOOSE(Translations!$C$1+1,I8,J8,K8)</f>
        <v>Género</v>
      </c>
      <c r="F8" s="4" t="str">
        <f>CHOOSE(Translations!$C$1+1,M8,N8,O8)</f>
        <v>Mujeres</v>
      </c>
      <c r="G8" s="4" t="s">
        <v>5824</v>
      </c>
      <c r="H8" s="6" t="s">
        <v>5825</v>
      </c>
      <c r="I8" s="6" t="s">
        <v>800</v>
      </c>
      <c r="J8" s="6" t="s">
        <v>801</v>
      </c>
      <c r="K8" s="6" t="s">
        <v>802</v>
      </c>
      <c r="L8" s="4"/>
      <c r="M8" s="6" t="s">
        <v>5826</v>
      </c>
      <c r="N8" s="6" t="s">
        <v>5827</v>
      </c>
      <c r="O8" s="6" t="s">
        <v>5828</v>
      </c>
      <c r="P8" s="4"/>
      <c r="Q8" s="6" t="s">
        <v>664</v>
      </c>
      <c r="R8" s="6" t="s">
        <v>665</v>
      </c>
      <c r="S8" s="6" t="s">
        <v>666</v>
      </c>
    </row>
    <row r="9" spans="1:19">
      <c r="A9" s="4" t="s">
        <v>659</v>
      </c>
      <c r="B9" s="4" t="str">
        <f>CHOOSE(Translations!$C$1+1,Q9,R9,S9)</f>
        <v>HIV I-13 Porcentaje de personas que viven con el VIH</v>
      </c>
      <c r="C9" s="4">
        <f t="shared" si="0"/>
        <v>5</v>
      </c>
      <c r="D9" s="4" t="str">
        <f t="shared" si="1"/>
        <v>HIV I-13 Porcentaje de personas que viven con el VIH-5</v>
      </c>
      <c r="E9" s="4" t="str">
        <f>CHOOSE(Translations!$C$1+1,I9,J9,K9)</f>
        <v>Género</v>
      </c>
      <c r="F9" s="4" t="str">
        <f>CHOOSE(Translations!$C$1+1,M9,N9,O9)</f>
        <v>Hombres</v>
      </c>
      <c r="G9" s="4" t="s">
        <v>5829</v>
      </c>
      <c r="H9" s="6" t="s">
        <v>5830</v>
      </c>
      <c r="I9" s="6" t="s">
        <v>800</v>
      </c>
      <c r="J9" s="6" t="s">
        <v>801</v>
      </c>
      <c r="K9" s="6" t="s">
        <v>802</v>
      </c>
      <c r="L9" s="4"/>
      <c r="M9" s="6" t="s">
        <v>5831</v>
      </c>
      <c r="N9" s="6" t="s">
        <v>5832</v>
      </c>
      <c r="O9" s="6" t="s">
        <v>5833</v>
      </c>
      <c r="P9" s="4"/>
      <c r="Q9" s="6" t="s">
        <v>664</v>
      </c>
      <c r="R9" s="6" t="s">
        <v>665</v>
      </c>
      <c r="S9" s="6" t="s">
        <v>666</v>
      </c>
    </row>
    <row r="10" spans="1:19">
      <c r="A10" s="4" t="s">
        <v>659</v>
      </c>
      <c r="B10" s="4" t="str">
        <f>CHOOSE(Translations!$C$1+1,Q10,R10,S10)</f>
        <v>HIV I-13 Porcentaje de personas que viven con el VIH</v>
      </c>
      <c r="C10" s="4">
        <f t="shared" si="0"/>
        <v>6</v>
      </c>
      <c r="D10" s="4" t="str">
        <f t="shared" si="1"/>
        <v>HIV I-13 Porcentaje de personas que viven con el VIH-6</v>
      </c>
      <c r="E10" s="4" t="str">
        <f>CHOOSE(Translations!$C$1+1,I10,J10,K10)</f>
        <v>Edad</v>
      </c>
      <c r="F10" s="4" t="str">
        <f>CHOOSE(Translations!$C$1+1,M10,N10,O10)</f>
        <v>15+</v>
      </c>
      <c r="G10" s="4" t="s">
        <v>5834</v>
      </c>
      <c r="H10" s="6" t="s">
        <v>5835</v>
      </c>
      <c r="I10" s="6" t="s">
        <v>697</v>
      </c>
      <c r="J10" s="6" t="s">
        <v>697</v>
      </c>
      <c r="K10" s="6" t="s">
        <v>698</v>
      </c>
      <c r="L10" s="4"/>
      <c r="M10" s="6" t="s">
        <v>5836</v>
      </c>
      <c r="N10" s="6" t="s">
        <v>5836</v>
      </c>
      <c r="O10" s="6" t="s">
        <v>5836</v>
      </c>
      <c r="P10" s="4"/>
      <c r="Q10" s="6" t="s">
        <v>664</v>
      </c>
      <c r="R10" s="6" t="s">
        <v>665</v>
      </c>
      <c r="S10" s="6" t="s">
        <v>666</v>
      </c>
    </row>
    <row r="11" spans="1:19">
      <c r="A11" s="4" t="s">
        <v>659</v>
      </c>
      <c r="B11" s="4" t="str">
        <f>CHOOSE(Translations!$C$1+1,Q11,R11,S11)</f>
        <v>HIV I-13 Porcentaje de personas que viven con el VIH</v>
      </c>
      <c r="C11" s="4">
        <f t="shared" si="0"/>
        <v>7</v>
      </c>
      <c r="D11" s="4" t="str">
        <f t="shared" si="1"/>
        <v>HIV I-13 Porcentaje de personas que viven con el VIH-7</v>
      </c>
      <c r="E11" s="4" t="str">
        <f>CHOOSE(Translations!$C$1+1,I11,J11,K11)</f>
        <v>Edad</v>
      </c>
      <c r="F11" s="4" t="str">
        <f>CHOOSE(Translations!$C$1+1,M11,N11,O11)</f>
        <v>&lt;15</v>
      </c>
      <c r="G11" s="4" t="s">
        <v>5837</v>
      </c>
      <c r="H11" s="6" t="s">
        <v>5838</v>
      </c>
      <c r="I11" s="6" t="s">
        <v>697</v>
      </c>
      <c r="J11" s="6" t="s">
        <v>697</v>
      </c>
      <c r="K11" s="6" t="s">
        <v>698</v>
      </c>
      <c r="L11" s="4"/>
      <c r="M11" s="6" t="s">
        <v>5839</v>
      </c>
      <c r="N11" s="6" t="s">
        <v>5839</v>
      </c>
      <c r="O11" s="6" t="s">
        <v>5839</v>
      </c>
      <c r="P11" s="4"/>
      <c r="Q11" s="6" t="s">
        <v>664</v>
      </c>
      <c r="R11" s="6" t="s">
        <v>665</v>
      </c>
      <c r="S11" s="6" t="s">
        <v>666</v>
      </c>
    </row>
    <row r="12" spans="1:19">
      <c r="A12" s="4" t="s">
        <v>670</v>
      </c>
      <c r="B12" s="4" t="str">
        <f>CHOOSE(Translations!$C$1+1,Q12,R12,S12)</f>
        <v>HIV I-14 Número de infecciones nuevas de VIH por 1.000 habitantes no infectados</v>
      </c>
      <c r="C12" s="4">
        <f t="shared" si="0"/>
        <v>0</v>
      </c>
      <c r="D12" s="4" t="str">
        <f t="shared" si="1"/>
        <v>HIV I-14 Número de infecciones nuevas de VIH por 1.000 habitantes no infectados-0</v>
      </c>
      <c r="E12" s="4" t="str">
        <f>CHOOSE(Translations!$C$1+1,I12,J12,K12)</f>
        <v>Género | Edad</v>
      </c>
      <c r="F12" s="4" t="str">
        <f>CHOOSE(Translations!$C$1+1,M12,N12,O12)</f>
        <v>Mujeres 20-24</v>
      </c>
      <c r="G12" s="4" t="s">
        <v>5840</v>
      </c>
      <c r="H12" s="6" t="s">
        <v>5841</v>
      </c>
      <c r="I12" s="6" t="s">
        <v>5803</v>
      </c>
      <c r="J12" s="6" t="s">
        <v>5804</v>
      </c>
      <c r="K12" s="6" t="s">
        <v>5805</v>
      </c>
      <c r="L12" s="4"/>
      <c r="M12" s="6" t="s">
        <v>5806</v>
      </c>
      <c r="N12" s="6" t="s">
        <v>5807</v>
      </c>
      <c r="O12" s="6" t="s">
        <v>5808</v>
      </c>
      <c r="P12" s="4"/>
      <c r="Q12" s="6" t="s">
        <v>673</v>
      </c>
      <c r="R12" s="6" t="s">
        <v>674</v>
      </c>
      <c r="S12" s="6" t="s">
        <v>675</v>
      </c>
    </row>
    <row r="13" spans="1:19">
      <c r="A13" s="4" t="s">
        <v>670</v>
      </c>
      <c r="B13" s="4" t="str">
        <f>CHOOSE(Translations!$C$1+1,Q13,R13,S13)</f>
        <v>HIV I-14 Número de infecciones nuevas de VIH por 1.000 habitantes no infectados</v>
      </c>
      <c r="C13" s="4">
        <f t="shared" si="0"/>
        <v>1</v>
      </c>
      <c r="D13" s="4" t="str">
        <f t="shared" si="1"/>
        <v>HIV I-14 Número de infecciones nuevas de VIH por 1.000 habitantes no infectados-1</v>
      </c>
      <c r="E13" s="4" t="str">
        <f>CHOOSE(Translations!$C$1+1,I13,J13,K13)</f>
        <v>Género | Edad</v>
      </c>
      <c r="F13" s="4" t="str">
        <f>CHOOSE(Translations!$C$1+1,M13,N13,O13)</f>
        <v>Hombres 20-24</v>
      </c>
      <c r="G13" s="4" t="s">
        <v>5842</v>
      </c>
      <c r="H13" s="6" t="s">
        <v>5843</v>
      </c>
      <c r="I13" s="6" t="s">
        <v>5803</v>
      </c>
      <c r="J13" s="6" t="s">
        <v>5804</v>
      </c>
      <c r="K13" s="6" t="s">
        <v>5805</v>
      </c>
      <c r="L13" s="4"/>
      <c r="M13" s="6" t="s">
        <v>5811</v>
      </c>
      <c r="N13" s="6" t="s">
        <v>5812</v>
      </c>
      <c r="O13" s="6" t="s">
        <v>5813</v>
      </c>
      <c r="P13" s="4"/>
      <c r="Q13" s="6" t="s">
        <v>673</v>
      </c>
      <c r="R13" s="6" t="s">
        <v>674</v>
      </c>
      <c r="S13" s="6" t="s">
        <v>675</v>
      </c>
    </row>
    <row r="14" spans="1:19">
      <c r="A14" s="4" t="s">
        <v>670</v>
      </c>
      <c r="B14" s="4" t="str">
        <f>CHOOSE(Translations!$C$1+1,Q14,R14,S14)</f>
        <v>HIV I-14 Número de infecciones nuevas de VIH por 1.000 habitantes no infectados</v>
      </c>
      <c r="C14" s="4">
        <f t="shared" si="0"/>
        <v>2</v>
      </c>
      <c r="D14" s="4" t="str">
        <f t="shared" si="1"/>
        <v>HIV I-14 Número de infecciones nuevas de VIH por 1.000 habitantes no infectados-2</v>
      </c>
      <c r="E14" s="4" t="str">
        <f>CHOOSE(Translations!$C$1+1,I14,J14,K14)</f>
        <v>Género | Edad</v>
      </c>
      <c r="F14" s="4" t="str">
        <f>CHOOSE(Translations!$C$1+1,M14,N14,O14)</f>
        <v>Mujeres 15-19</v>
      </c>
      <c r="G14" s="4" t="s">
        <v>5844</v>
      </c>
      <c r="H14" s="6" t="s">
        <v>5845</v>
      </c>
      <c r="I14" s="6" t="s">
        <v>5803</v>
      </c>
      <c r="J14" s="6" t="s">
        <v>5804</v>
      </c>
      <c r="K14" s="6" t="s">
        <v>5805</v>
      </c>
      <c r="L14" s="4"/>
      <c r="M14" s="6" t="s">
        <v>5816</v>
      </c>
      <c r="N14" s="6" t="s">
        <v>5817</v>
      </c>
      <c r="O14" s="6" t="s">
        <v>5818</v>
      </c>
      <c r="P14" s="4"/>
      <c r="Q14" s="6" t="s">
        <v>673</v>
      </c>
      <c r="R14" s="6" t="s">
        <v>674</v>
      </c>
      <c r="S14" s="6" t="s">
        <v>675</v>
      </c>
    </row>
    <row r="15" spans="1:19">
      <c r="A15" s="4" t="s">
        <v>670</v>
      </c>
      <c r="B15" s="4" t="str">
        <f>CHOOSE(Translations!$C$1+1,Q15,R15,S15)</f>
        <v>HIV I-14 Número de infecciones nuevas de VIH por 1.000 habitantes no infectados</v>
      </c>
      <c r="C15" s="4">
        <f t="shared" si="0"/>
        <v>3</v>
      </c>
      <c r="D15" s="4" t="str">
        <f t="shared" si="1"/>
        <v>HIV I-14 Número de infecciones nuevas de VIH por 1.000 habitantes no infectados-3</v>
      </c>
      <c r="E15" s="4" t="str">
        <f>CHOOSE(Translations!$C$1+1,I15,J15,K15)</f>
        <v>Género | Edad</v>
      </c>
      <c r="F15" s="4" t="str">
        <f>CHOOSE(Translations!$C$1+1,M15,N15,O15)</f>
        <v>Hombres 15-19</v>
      </c>
      <c r="G15" s="4" t="s">
        <v>5846</v>
      </c>
      <c r="H15" s="6" t="s">
        <v>5847</v>
      </c>
      <c r="I15" s="6" t="s">
        <v>5803</v>
      </c>
      <c r="J15" s="6" t="s">
        <v>5804</v>
      </c>
      <c r="K15" s="6" t="s">
        <v>5805</v>
      </c>
      <c r="L15" s="4"/>
      <c r="M15" s="6" t="s">
        <v>5821</v>
      </c>
      <c r="N15" s="6" t="s">
        <v>5822</v>
      </c>
      <c r="O15" s="6" t="s">
        <v>5823</v>
      </c>
      <c r="P15" s="4"/>
      <c r="Q15" s="6" t="s">
        <v>673</v>
      </c>
      <c r="R15" s="6" t="s">
        <v>674</v>
      </c>
      <c r="S15" s="6" t="s">
        <v>675</v>
      </c>
    </row>
    <row r="16" spans="1:19">
      <c r="A16" s="4" t="s">
        <v>670</v>
      </c>
      <c r="B16" s="4" t="str">
        <f>CHOOSE(Translations!$C$1+1,Q16,R16,S16)</f>
        <v>HIV I-14 Número de infecciones nuevas de VIH por 1.000 habitantes no infectados</v>
      </c>
      <c r="C16" s="4">
        <f t="shared" si="0"/>
        <v>4</v>
      </c>
      <c r="D16" s="4" t="str">
        <f t="shared" si="1"/>
        <v>HIV I-14 Número de infecciones nuevas de VIH por 1.000 habitantes no infectados-4</v>
      </c>
      <c r="E16" s="4" t="str">
        <f>CHOOSE(Translations!$C$1+1,I16,J16,K16)</f>
        <v>Género</v>
      </c>
      <c r="F16" s="4" t="str">
        <f>CHOOSE(Translations!$C$1+1,M16,N16,O16)</f>
        <v>Mujeres</v>
      </c>
      <c r="G16" s="4" t="s">
        <v>5848</v>
      </c>
      <c r="H16" s="6" t="s">
        <v>5849</v>
      </c>
      <c r="I16" s="6" t="s">
        <v>800</v>
      </c>
      <c r="J16" s="6" t="s">
        <v>801</v>
      </c>
      <c r="K16" s="6" t="s">
        <v>802</v>
      </c>
      <c r="L16" s="4"/>
      <c r="M16" s="6" t="s">
        <v>5826</v>
      </c>
      <c r="N16" s="6" t="s">
        <v>5827</v>
      </c>
      <c r="O16" s="6" t="s">
        <v>5828</v>
      </c>
      <c r="P16" s="4"/>
      <c r="Q16" s="6" t="s">
        <v>673</v>
      </c>
      <c r="R16" s="6" t="s">
        <v>674</v>
      </c>
      <c r="S16" s="6" t="s">
        <v>675</v>
      </c>
    </row>
    <row r="17" spans="1:19">
      <c r="A17" s="4" t="s">
        <v>670</v>
      </c>
      <c r="B17" s="4" t="str">
        <f>CHOOSE(Translations!$C$1+1,Q17,R17,S17)</f>
        <v>HIV I-14 Número de infecciones nuevas de VIH por 1.000 habitantes no infectados</v>
      </c>
      <c r="C17" s="4">
        <f t="shared" si="0"/>
        <v>5</v>
      </c>
      <c r="D17" s="4" t="str">
        <f t="shared" si="1"/>
        <v>HIV I-14 Número de infecciones nuevas de VIH por 1.000 habitantes no infectados-5</v>
      </c>
      <c r="E17" s="4" t="str">
        <f>CHOOSE(Translations!$C$1+1,I17,J17,K17)</f>
        <v>Género</v>
      </c>
      <c r="F17" s="4" t="str">
        <f>CHOOSE(Translations!$C$1+1,M17,N17,O17)</f>
        <v>Hombres</v>
      </c>
      <c r="G17" s="4" t="s">
        <v>5850</v>
      </c>
      <c r="H17" s="6" t="s">
        <v>5851</v>
      </c>
      <c r="I17" s="6" t="s">
        <v>800</v>
      </c>
      <c r="J17" s="6" t="s">
        <v>801</v>
      </c>
      <c r="K17" s="6" t="s">
        <v>802</v>
      </c>
      <c r="L17" s="4"/>
      <c r="M17" s="6" t="s">
        <v>5831</v>
      </c>
      <c r="N17" s="6" t="s">
        <v>5832</v>
      </c>
      <c r="O17" s="6" t="s">
        <v>5833</v>
      </c>
      <c r="P17" s="4"/>
      <c r="Q17" s="6" t="s">
        <v>673</v>
      </c>
      <c r="R17" s="6" t="s">
        <v>674</v>
      </c>
      <c r="S17" s="6" t="s">
        <v>675</v>
      </c>
    </row>
    <row r="18" spans="1:19">
      <c r="A18" s="4" t="s">
        <v>670</v>
      </c>
      <c r="B18" s="4" t="str">
        <f>CHOOSE(Translations!$C$1+1,Q18,R18,S18)</f>
        <v>HIV I-14 Número de infecciones nuevas de VIH por 1.000 habitantes no infectados</v>
      </c>
      <c r="C18" s="4">
        <f t="shared" si="0"/>
        <v>6</v>
      </c>
      <c r="D18" s="4" t="str">
        <f t="shared" si="1"/>
        <v>HIV I-14 Número de infecciones nuevas de VIH por 1.000 habitantes no infectados-6</v>
      </c>
      <c r="E18" s="4" t="str">
        <f>CHOOSE(Translations!$C$1+1,I18,J18,K18)</f>
        <v>Edad</v>
      </c>
      <c r="F18" s="4" t="str">
        <f>CHOOSE(Translations!$C$1+1,M18,N18,O18)</f>
        <v>15+</v>
      </c>
      <c r="G18" s="4" t="s">
        <v>5852</v>
      </c>
      <c r="H18" s="6" t="s">
        <v>5853</v>
      </c>
      <c r="I18" s="6" t="s">
        <v>697</v>
      </c>
      <c r="J18" s="6" t="s">
        <v>697</v>
      </c>
      <c r="K18" s="6" t="s">
        <v>698</v>
      </c>
      <c r="L18" s="4"/>
      <c r="M18" s="6" t="s">
        <v>5836</v>
      </c>
      <c r="N18" s="6" t="s">
        <v>5836</v>
      </c>
      <c r="O18" s="6" t="s">
        <v>5836</v>
      </c>
      <c r="P18" s="4"/>
      <c r="Q18" s="6" t="s">
        <v>673</v>
      </c>
      <c r="R18" s="6" t="s">
        <v>674</v>
      </c>
      <c r="S18" s="6" t="s">
        <v>675</v>
      </c>
    </row>
    <row r="19" spans="1:19">
      <c r="A19" s="4" t="s">
        <v>670</v>
      </c>
      <c r="B19" s="4" t="str">
        <f>CHOOSE(Translations!$C$1+1,Q19,R19,S19)</f>
        <v>HIV I-14 Número de infecciones nuevas de VIH por 1.000 habitantes no infectados</v>
      </c>
      <c r="C19" s="4">
        <f t="shared" si="0"/>
        <v>7</v>
      </c>
      <c r="D19" s="4" t="str">
        <f t="shared" si="1"/>
        <v>HIV I-14 Número de infecciones nuevas de VIH por 1.000 habitantes no infectados-7</v>
      </c>
      <c r="E19" s="4" t="str">
        <f>CHOOSE(Translations!$C$1+1,I19,J19,K19)</f>
        <v>Edad</v>
      </c>
      <c r="F19" s="4" t="str">
        <f>CHOOSE(Translations!$C$1+1,M19,N19,O19)</f>
        <v>&lt;15</v>
      </c>
      <c r="G19" s="4" t="s">
        <v>5854</v>
      </c>
      <c r="H19" s="6" t="s">
        <v>5855</v>
      </c>
      <c r="I19" s="6" t="s">
        <v>697</v>
      </c>
      <c r="J19" s="6" t="s">
        <v>697</v>
      </c>
      <c r="K19" s="6" t="s">
        <v>698</v>
      </c>
      <c r="L19" s="4"/>
      <c r="M19" s="6" t="s">
        <v>5839</v>
      </c>
      <c r="N19" s="6" t="s">
        <v>5839</v>
      </c>
      <c r="O19" s="6" t="s">
        <v>5839</v>
      </c>
      <c r="P19" s="4"/>
      <c r="Q19" s="6" t="s">
        <v>673</v>
      </c>
      <c r="R19" s="6" t="s">
        <v>674</v>
      </c>
      <c r="S19" s="6" t="s">
        <v>675</v>
      </c>
    </row>
    <row r="20" spans="1:19">
      <c r="A20" s="4" t="s">
        <v>676</v>
      </c>
      <c r="B20" s="4" t="str">
        <f>CHOOSE(Translations!$C$1+1,Q20,R20,S20)</f>
        <v>HIV I-4 Número de muertes relacionadas con el sida por cada 100.000 habitantes</v>
      </c>
      <c r="C20" s="4">
        <f t="shared" si="0"/>
        <v>0</v>
      </c>
      <c r="D20" s="4" t="str">
        <f t="shared" si="1"/>
        <v>HIV I-4 Número de muertes relacionadas con el sida por cada 100.000 habitantes-0</v>
      </c>
      <c r="E20" s="4" t="str">
        <f>CHOOSE(Translations!$C$1+1,I20,J20,K20)</f>
        <v>Género | Edad</v>
      </c>
      <c r="F20" s="4" t="str">
        <f>CHOOSE(Translations!$C$1+1,M20,N20,O20)</f>
        <v>Mujeres 20-24</v>
      </c>
      <c r="G20" s="4" t="s">
        <v>5856</v>
      </c>
      <c r="H20" s="6" t="s">
        <v>5857</v>
      </c>
      <c r="I20" s="6" t="s">
        <v>5803</v>
      </c>
      <c r="J20" s="6" t="s">
        <v>5804</v>
      </c>
      <c r="K20" s="6" t="s">
        <v>5805</v>
      </c>
      <c r="L20" s="4"/>
      <c r="M20" s="6" t="s">
        <v>5806</v>
      </c>
      <c r="N20" s="6" t="s">
        <v>5807</v>
      </c>
      <c r="O20" s="6" t="s">
        <v>5808</v>
      </c>
      <c r="P20" s="4"/>
      <c r="Q20" s="6" t="s">
        <v>679</v>
      </c>
      <c r="R20" s="6" t="s">
        <v>680</v>
      </c>
      <c r="S20" s="6" t="s">
        <v>681</v>
      </c>
    </row>
    <row r="21" spans="1:19">
      <c r="A21" s="4" t="s">
        <v>676</v>
      </c>
      <c r="B21" s="4" t="str">
        <f>CHOOSE(Translations!$C$1+1,Q21,R21,S21)</f>
        <v>HIV I-4 Número de muertes relacionadas con el sida por cada 100.000 habitantes</v>
      </c>
      <c r="C21" s="4">
        <f t="shared" si="0"/>
        <v>1</v>
      </c>
      <c r="D21" s="4" t="str">
        <f t="shared" si="1"/>
        <v>HIV I-4 Número de muertes relacionadas con el sida por cada 100.000 habitantes-1</v>
      </c>
      <c r="E21" s="4" t="str">
        <f>CHOOSE(Translations!$C$1+1,I21,J21,K21)</f>
        <v>Género | Edad</v>
      </c>
      <c r="F21" s="4" t="str">
        <f>CHOOSE(Translations!$C$1+1,M21,N21,O21)</f>
        <v>Hombres 20-24</v>
      </c>
      <c r="G21" s="4" t="s">
        <v>5858</v>
      </c>
      <c r="H21" s="6" t="s">
        <v>5859</v>
      </c>
      <c r="I21" s="6" t="s">
        <v>5803</v>
      </c>
      <c r="J21" s="6" t="s">
        <v>5804</v>
      </c>
      <c r="K21" s="6" t="s">
        <v>5805</v>
      </c>
      <c r="L21" s="4"/>
      <c r="M21" s="6" t="s">
        <v>5811</v>
      </c>
      <c r="N21" s="6" t="s">
        <v>5812</v>
      </c>
      <c r="O21" s="6" t="s">
        <v>5813</v>
      </c>
      <c r="P21" s="4"/>
      <c r="Q21" s="6" t="s">
        <v>679</v>
      </c>
      <c r="R21" s="6" t="s">
        <v>680</v>
      </c>
      <c r="S21" s="6" t="s">
        <v>681</v>
      </c>
    </row>
    <row r="22" spans="1:19">
      <c r="A22" s="4" t="s">
        <v>676</v>
      </c>
      <c r="B22" s="4" t="str">
        <f>CHOOSE(Translations!$C$1+1,Q22,R22,S22)</f>
        <v>HIV I-4 Número de muertes relacionadas con el sida por cada 100.000 habitantes</v>
      </c>
      <c r="C22" s="4">
        <f t="shared" si="0"/>
        <v>2</v>
      </c>
      <c r="D22" s="4" t="str">
        <f t="shared" si="1"/>
        <v>HIV I-4 Número de muertes relacionadas con el sida por cada 100.000 habitantes-2</v>
      </c>
      <c r="E22" s="4" t="str">
        <f>CHOOSE(Translations!$C$1+1,I22,J22,K22)</f>
        <v>Género | Edad</v>
      </c>
      <c r="F22" s="4" t="str">
        <f>CHOOSE(Translations!$C$1+1,M22,N22,O22)</f>
        <v>Mujeres 15-19</v>
      </c>
      <c r="G22" s="4" t="s">
        <v>5860</v>
      </c>
      <c r="H22" s="6" t="s">
        <v>5861</v>
      </c>
      <c r="I22" s="6" t="s">
        <v>5803</v>
      </c>
      <c r="J22" s="6" t="s">
        <v>5804</v>
      </c>
      <c r="K22" s="6" t="s">
        <v>5805</v>
      </c>
      <c r="L22" s="4"/>
      <c r="M22" s="6" t="s">
        <v>5816</v>
      </c>
      <c r="N22" s="6" t="s">
        <v>5817</v>
      </c>
      <c r="O22" s="6" t="s">
        <v>5818</v>
      </c>
      <c r="P22" s="4"/>
      <c r="Q22" s="6" t="s">
        <v>679</v>
      </c>
      <c r="R22" s="6" t="s">
        <v>680</v>
      </c>
      <c r="S22" s="6" t="s">
        <v>681</v>
      </c>
    </row>
    <row r="23" spans="1:19">
      <c r="A23" s="4" t="s">
        <v>676</v>
      </c>
      <c r="B23" s="4" t="str">
        <f>CHOOSE(Translations!$C$1+1,Q23,R23,S23)</f>
        <v>HIV I-4 Número de muertes relacionadas con el sida por cada 100.000 habitantes</v>
      </c>
      <c r="C23" s="4">
        <f t="shared" si="0"/>
        <v>3</v>
      </c>
      <c r="D23" s="4" t="str">
        <f t="shared" si="1"/>
        <v>HIV I-4 Número de muertes relacionadas con el sida por cada 100.000 habitantes-3</v>
      </c>
      <c r="E23" s="4" t="str">
        <f>CHOOSE(Translations!$C$1+1,I23,J23,K23)</f>
        <v>Género | Edad</v>
      </c>
      <c r="F23" s="4" t="str">
        <f>CHOOSE(Translations!$C$1+1,M23,N23,O23)</f>
        <v>Hombres 15-19</v>
      </c>
      <c r="G23" s="4" t="s">
        <v>5862</v>
      </c>
      <c r="H23" s="6" t="s">
        <v>5863</v>
      </c>
      <c r="I23" s="6" t="s">
        <v>5803</v>
      </c>
      <c r="J23" s="6" t="s">
        <v>5804</v>
      </c>
      <c r="K23" s="6" t="s">
        <v>5805</v>
      </c>
      <c r="L23" s="4"/>
      <c r="M23" s="6" t="s">
        <v>5821</v>
      </c>
      <c r="N23" s="6" t="s">
        <v>5822</v>
      </c>
      <c r="O23" s="6" t="s">
        <v>5823</v>
      </c>
      <c r="P23" s="4"/>
      <c r="Q23" s="6" t="s">
        <v>679</v>
      </c>
      <c r="R23" s="6" t="s">
        <v>680</v>
      </c>
      <c r="S23" s="6" t="s">
        <v>681</v>
      </c>
    </row>
    <row r="24" spans="1:19">
      <c r="A24" s="4" t="s">
        <v>676</v>
      </c>
      <c r="B24" s="4" t="str">
        <f>CHOOSE(Translations!$C$1+1,Q24,R24,S24)</f>
        <v>HIV I-4 Número de muertes relacionadas con el sida por cada 100.000 habitantes</v>
      </c>
      <c r="C24" s="4">
        <f t="shared" si="0"/>
        <v>4</v>
      </c>
      <c r="D24" s="4" t="str">
        <f t="shared" si="1"/>
        <v>HIV I-4 Número de muertes relacionadas con el sida por cada 100.000 habitantes-4</v>
      </c>
      <c r="E24" s="4" t="str">
        <f>CHOOSE(Translations!$C$1+1,I24,J24,K24)</f>
        <v>Género</v>
      </c>
      <c r="F24" s="4" t="str">
        <f>CHOOSE(Translations!$C$1+1,M24,N24,O24)</f>
        <v>Mujeres</v>
      </c>
      <c r="G24" s="4" t="s">
        <v>5864</v>
      </c>
      <c r="H24" s="6" t="s">
        <v>5865</v>
      </c>
      <c r="I24" s="6" t="s">
        <v>800</v>
      </c>
      <c r="J24" s="6" t="s">
        <v>801</v>
      </c>
      <c r="K24" s="6" t="s">
        <v>802</v>
      </c>
      <c r="L24" s="4"/>
      <c r="M24" s="6" t="s">
        <v>5826</v>
      </c>
      <c r="N24" s="6" t="s">
        <v>5827</v>
      </c>
      <c r="O24" s="6" t="s">
        <v>5828</v>
      </c>
      <c r="P24" s="4"/>
      <c r="Q24" s="6" t="s">
        <v>679</v>
      </c>
      <c r="R24" s="6" t="s">
        <v>680</v>
      </c>
      <c r="S24" s="6" t="s">
        <v>681</v>
      </c>
    </row>
    <row r="25" spans="1:19">
      <c r="A25" s="4" t="s">
        <v>676</v>
      </c>
      <c r="B25" s="4" t="str">
        <f>CHOOSE(Translations!$C$1+1,Q25,R25,S25)</f>
        <v>HIV I-4 Número de muertes relacionadas con el sida por cada 100.000 habitantes</v>
      </c>
      <c r="C25" s="4">
        <f t="shared" si="0"/>
        <v>5</v>
      </c>
      <c r="D25" s="4" t="str">
        <f t="shared" si="1"/>
        <v>HIV I-4 Número de muertes relacionadas con el sida por cada 100.000 habitantes-5</v>
      </c>
      <c r="E25" s="4" t="str">
        <f>CHOOSE(Translations!$C$1+1,I25,J25,K25)</f>
        <v>Género</v>
      </c>
      <c r="F25" s="4" t="str">
        <f>CHOOSE(Translations!$C$1+1,M25,N25,O25)</f>
        <v>Hombres</v>
      </c>
      <c r="G25" s="4" t="s">
        <v>5866</v>
      </c>
      <c r="H25" s="6" t="s">
        <v>5867</v>
      </c>
      <c r="I25" s="6" t="s">
        <v>800</v>
      </c>
      <c r="J25" s="6" t="s">
        <v>801</v>
      </c>
      <c r="K25" s="6" t="s">
        <v>802</v>
      </c>
      <c r="L25" s="4"/>
      <c r="M25" s="6" t="s">
        <v>5831</v>
      </c>
      <c r="N25" s="6" t="s">
        <v>5832</v>
      </c>
      <c r="O25" s="6" t="s">
        <v>5833</v>
      </c>
      <c r="P25" s="4"/>
      <c r="Q25" s="6" t="s">
        <v>679</v>
      </c>
      <c r="R25" s="6" t="s">
        <v>680</v>
      </c>
      <c r="S25" s="6" t="s">
        <v>681</v>
      </c>
    </row>
    <row r="26" spans="1:19">
      <c r="A26" s="4" t="s">
        <v>676</v>
      </c>
      <c r="B26" s="4" t="str">
        <f>CHOOSE(Translations!$C$1+1,Q26,R26,S26)</f>
        <v>HIV I-4 Número de muertes relacionadas con el sida por cada 100.000 habitantes</v>
      </c>
      <c r="C26" s="4">
        <f t="shared" si="0"/>
        <v>6</v>
      </c>
      <c r="D26" s="4" t="str">
        <f t="shared" si="1"/>
        <v>HIV I-4 Número de muertes relacionadas con el sida por cada 100.000 habitantes-6</v>
      </c>
      <c r="E26" s="4" t="str">
        <f>CHOOSE(Translations!$C$1+1,I26,J26,K26)</f>
        <v>Edad</v>
      </c>
      <c r="F26" s="4" t="str">
        <f>CHOOSE(Translations!$C$1+1,M26,N26,O26)</f>
        <v>15+</v>
      </c>
      <c r="G26" s="4" t="s">
        <v>5868</v>
      </c>
      <c r="H26" s="6" t="s">
        <v>5869</v>
      </c>
      <c r="I26" s="6" t="s">
        <v>697</v>
      </c>
      <c r="J26" s="6" t="s">
        <v>697</v>
      </c>
      <c r="K26" s="6" t="s">
        <v>698</v>
      </c>
      <c r="L26" s="4"/>
      <c r="M26" s="6" t="s">
        <v>5836</v>
      </c>
      <c r="N26" s="6" t="s">
        <v>5836</v>
      </c>
      <c r="O26" s="6" t="s">
        <v>5836</v>
      </c>
      <c r="P26" s="4"/>
      <c r="Q26" s="6" t="s">
        <v>679</v>
      </c>
      <c r="R26" s="6" t="s">
        <v>680</v>
      </c>
      <c r="S26" s="6" t="s">
        <v>681</v>
      </c>
    </row>
    <row r="27" spans="1:19">
      <c r="A27" s="4" t="s">
        <v>676</v>
      </c>
      <c r="B27" s="4" t="str">
        <f>CHOOSE(Translations!$C$1+1,Q27,R27,S27)</f>
        <v>HIV I-4 Número de muertes relacionadas con el sida por cada 100.000 habitantes</v>
      </c>
      <c r="C27" s="4">
        <f t="shared" si="0"/>
        <v>7</v>
      </c>
      <c r="D27" s="4" t="str">
        <f t="shared" si="1"/>
        <v>HIV I-4 Número de muertes relacionadas con el sida por cada 100.000 habitantes-7</v>
      </c>
      <c r="E27" s="4" t="str">
        <f>CHOOSE(Translations!$C$1+1,I27,J27,K27)</f>
        <v>Edad</v>
      </c>
      <c r="F27" s="4" t="str">
        <f>CHOOSE(Translations!$C$1+1,M27,N27,O27)</f>
        <v>5-14</v>
      </c>
      <c r="G27" s="4" t="s">
        <v>5870</v>
      </c>
      <c r="H27" s="6" t="s">
        <v>5871</v>
      </c>
      <c r="I27" s="6" t="s">
        <v>697</v>
      </c>
      <c r="J27" s="6" t="s">
        <v>697</v>
      </c>
      <c r="K27" s="6" t="s">
        <v>698</v>
      </c>
      <c r="L27" s="4"/>
      <c r="M27" s="6" t="s">
        <v>5872</v>
      </c>
      <c r="N27" s="6" t="s">
        <v>5872</v>
      </c>
      <c r="O27" s="6" t="s">
        <v>5872</v>
      </c>
      <c r="P27" s="4"/>
      <c r="Q27" s="6" t="s">
        <v>679</v>
      </c>
      <c r="R27" s="6" t="s">
        <v>680</v>
      </c>
      <c r="S27" s="6" t="s">
        <v>681</v>
      </c>
    </row>
    <row r="28" spans="1:19">
      <c r="A28" s="4" t="s">
        <v>676</v>
      </c>
      <c r="B28" s="4" t="str">
        <f>CHOOSE(Translations!$C$1+1,Q28,R28,S28)</f>
        <v>HIV I-4 Número de muertes relacionadas con el sida por cada 100.000 habitantes</v>
      </c>
      <c r="C28" s="4">
        <f t="shared" si="0"/>
        <v>8</v>
      </c>
      <c r="D28" s="4" t="str">
        <f t="shared" si="1"/>
        <v>HIV I-4 Número de muertes relacionadas con el sida por cada 100.000 habitantes-8</v>
      </c>
      <c r="E28" s="4" t="str">
        <f>CHOOSE(Translations!$C$1+1,I28,J28,K28)</f>
        <v>Edad</v>
      </c>
      <c r="F28" s="4" t="str">
        <f>CHOOSE(Translations!$C$1+1,M28,N28,O28)</f>
        <v>&lt;5</v>
      </c>
      <c r="G28" s="4" t="s">
        <v>5873</v>
      </c>
      <c r="H28" s="6" t="s">
        <v>5874</v>
      </c>
      <c r="I28" s="6" t="s">
        <v>697</v>
      </c>
      <c r="J28" s="6" t="s">
        <v>697</v>
      </c>
      <c r="K28" s="6" t="s">
        <v>698</v>
      </c>
      <c r="L28" s="4"/>
      <c r="M28" s="6" t="s">
        <v>5875</v>
      </c>
      <c r="N28" s="6" t="s">
        <v>5875</v>
      </c>
      <c r="O28" s="6" t="s">
        <v>5875</v>
      </c>
      <c r="P28" s="4"/>
      <c r="Q28" s="6" t="s">
        <v>679</v>
      </c>
      <c r="R28" s="6" t="s">
        <v>680</v>
      </c>
      <c r="S28" s="6" t="s">
        <v>681</v>
      </c>
    </row>
    <row r="29" spans="1:19">
      <c r="A29" s="4" t="s">
        <v>691</v>
      </c>
      <c r="B29" s="4" t="str">
        <f>CHOOSE(Translations!$C$1+1,Q29,R29,S29)</f>
        <v>HIV I-9a⁽ᴹ⁾ Porcentaje de HSH y viven con el VIH</v>
      </c>
      <c r="C29" s="4">
        <f t="shared" si="0"/>
        <v>0</v>
      </c>
      <c r="D29" s="4" t="str">
        <f t="shared" si="1"/>
        <v>HIV I-9a⁽ᴹ⁾ Porcentaje de HSH y viven con el VIH-0</v>
      </c>
      <c r="E29" s="4" t="str">
        <f>CHOOSE(Translations!$C$1+1,I29,J29,K29)</f>
        <v>Edad</v>
      </c>
      <c r="F29" s="4" t="str">
        <f>CHOOSE(Translations!$C$1+1,M29,N29,O29)</f>
        <v>25+</v>
      </c>
      <c r="G29" s="4" t="s">
        <v>5876</v>
      </c>
      <c r="H29" s="6" t="s">
        <v>5877</v>
      </c>
      <c r="I29" s="6" t="s">
        <v>697</v>
      </c>
      <c r="J29" s="6" t="s">
        <v>697</v>
      </c>
      <c r="K29" s="6" t="s">
        <v>698</v>
      </c>
      <c r="L29" s="4"/>
      <c r="M29" s="6" t="s">
        <v>5878</v>
      </c>
      <c r="N29" s="6" t="s">
        <v>5878</v>
      </c>
      <c r="O29" s="6" t="s">
        <v>5878</v>
      </c>
      <c r="P29" s="4"/>
      <c r="Q29" s="6" t="s">
        <v>694</v>
      </c>
      <c r="R29" s="6" t="s">
        <v>695</v>
      </c>
      <c r="S29" s="6" t="s">
        <v>696</v>
      </c>
    </row>
    <row r="30" spans="1:19">
      <c r="A30" s="4" t="s">
        <v>691</v>
      </c>
      <c r="B30" s="4" t="str">
        <f>CHOOSE(Translations!$C$1+1,Q30,R30,S30)</f>
        <v>HIV I-9a⁽ᴹ⁾ Porcentaje de HSH y viven con el VIH</v>
      </c>
      <c r="C30" s="4">
        <f t="shared" si="0"/>
        <v>1</v>
      </c>
      <c r="D30" s="4" t="str">
        <f t="shared" si="1"/>
        <v>HIV I-9a⁽ᴹ⁾ Porcentaje de HSH y viven con el VIH-1</v>
      </c>
      <c r="E30" s="4" t="str">
        <f>CHOOSE(Translations!$C$1+1,I30,J30,K30)</f>
        <v>Edad</v>
      </c>
      <c r="F30" s="4" t="str">
        <f>CHOOSE(Translations!$C$1+1,M30,N30,O30)</f>
        <v>&lt;25</v>
      </c>
      <c r="G30" s="4" t="s">
        <v>5879</v>
      </c>
      <c r="H30" s="6" t="s">
        <v>5880</v>
      </c>
      <c r="I30" s="6" t="s">
        <v>697</v>
      </c>
      <c r="J30" s="6" t="s">
        <v>697</v>
      </c>
      <c r="K30" s="6" t="s">
        <v>698</v>
      </c>
      <c r="L30" s="4"/>
      <c r="M30" s="6" t="s">
        <v>5881</v>
      </c>
      <c r="N30" s="6" t="s">
        <v>5881</v>
      </c>
      <c r="O30" s="6" t="s">
        <v>5881</v>
      </c>
      <c r="P30" s="4"/>
      <c r="Q30" s="6" t="s">
        <v>694</v>
      </c>
      <c r="R30" s="6" t="s">
        <v>695</v>
      </c>
      <c r="S30" s="6" t="s">
        <v>696</v>
      </c>
    </row>
    <row r="31" spans="1:19">
      <c r="A31" s="4" t="s">
        <v>699</v>
      </c>
      <c r="B31" s="4" t="str">
        <f>CHOOSE(Translations!$C$1+1,Q31,R31,S31)</f>
        <v>HIV I-9b⁽ᴹ⁾ Porcentaje de personas transgénero que viven con el VIH</v>
      </c>
      <c r="C31" s="4">
        <f t="shared" si="0"/>
        <v>0</v>
      </c>
      <c r="D31" s="4" t="str">
        <f t="shared" si="1"/>
        <v>HIV I-9b⁽ᴹ⁾ Porcentaje de personas transgénero que viven con el VIH-0</v>
      </c>
      <c r="E31" s="4" t="str">
        <f>CHOOSE(Translations!$C$1+1,I31,J31,K31)</f>
        <v>Edad</v>
      </c>
      <c r="F31" s="4" t="str">
        <f>CHOOSE(Translations!$C$1+1,M31,N31,O31)</f>
        <v>25+</v>
      </c>
      <c r="G31" s="4" t="s">
        <v>5882</v>
      </c>
      <c r="H31" s="6" t="s">
        <v>5883</v>
      </c>
      <c r="I31" s="6" t="s">
        <v>697</v>
      </c>
      <c r="J31" s="6" t="s">
        <v>697</v>
      </c>
      <c r="K31" s="6" t="s">
        <v>698</v>
      </c>
      <c r="L31" s="4"/>
      <c r="M31" s="6" t="s">
        <v>5878</v>
      </c>
      <c r="N31" s="6" t="s">
        <v>5878</v>
      </c>
      <c r="O31" s="6" t="s">
        <v>5878</v>
      </c>
      <c r="P31" s="4"/>
      <c r="Q31" s="6" t="s">
        <v>702</v>
      </c>
      <c r="R31" s="6" t="s">
        <v>703</v>
      </c>
      <c r="S31" s="6" t="s">
        <v>704</v>
      </c>
    </row>
    <row r="32" spans="1:19">
      <c r="A32" s="4" t="s">
        <v>699</v>
      </c>
      <c r="B32" s="4" t="str">
        <f>CHOOSE(Translations!$C$1+1,Q32,R32,S32)</f>
        <v>HIV I-9b⁽ᴹ⁾ Porcentaje de personas transgénero que viven con el VIH</v>
      </c>
      <c r="C32" s="4">
        <f t="shared" si="0"/>
        <v>1</v>
      </c>
      <c r="D32" s="4" t="str">
        <f t="shared" si="1"/>
        <v>HIV I-9b⁽ᴹ⁾ Porcentaje de personas transgénero que viven con el VIH-1</v>
      </c>
      <c r="E32" s="4" t="str">
        <f>CHOOSE(Translations!$C$1+1,I32,J32,K32)</f>
        <v>Edad</v>
      </c>
      <c r="F32" s="4" t="str">
        <f>CHOOSE(Translations!$C$1+1,M32,N32,O32)</f>
        <v>&lt;25</v>
      </c>
      <c r="G32" s="4" t="s">
        <v>5884</v>
      </c>
      <c r="H32" s="6" t="s">
        <v>5885</v>
      </c>
      <c r="I32" s="6" t="s">
        <v>697</v>
      </c>
      <c r="J32" s="6" t="s">
        <v>697</v>
      </c>
      <c r="K32" s="6" t="s">
        <v>698</v>
      </c>
      <c r="L32" s="4"/>
      <c r="M32" s="6" t="s">
        <v>5881</v>
      </c>
      <c r="N32" s="6" t="s">
        <v>5881</v>
      </c>
      <c r="O32" s="6" t="s">
        <v>5881</v>
      </c>
      <c r="P32" s="4"/>
      <c r="Q32" s="6" t="s">
        <v>702</v>
      </c>
      <c r="R32" s="6" t="s">
        <v>703</v>
      </c>
      <c r="S32" s="6" t="s">
        <v>704</v>
      </c>
    </row>
    <row r="33" spans="1:19">
      <c r="A33" s="4" t="s">
        <v>705</v>
      </c>
      <c r="B33" s="4" t="str">
        <f>CHOOSE(Translations!$C$1+1,Q33,R33,S33)</f>
        <v>HIV I-10⁽ᴹ⁾ Porcentaje de trabajadores sexuales que viven con el VIH</v>
      </c>
      <c r="C33" s="4">
        <f t="shared" si="0"/>
        <v>0</v>
      </c>
      <c r="D33" s="4" t="str">
        <f t="shared" si="1"/>
        <v>HIV I-10⁽ᴹ⁾ Porcentaje de trabajadores sexuales que viven con el VIH-0</v>
      </c>
      <c r="E33" s="4" t="str">
        <f>CHOOSE(Translations!$C$1+1,I33,J33,K33)</f>
        <v>Género</v>
      </c>
      <c r="F33" s="4" t="str">
        <f>CHOOSE(Translations!$C$1+1,M33,N33,O33)</f>
        <v>Transgénero</v>
      </c>
      <c r="G33" s="4" t="s">
        <v>5886</v>
      </c>
      <c r="H33" s="6" t="s">
        <v>5887</v>
      </c>
      <c r="I33" s="6" t="s">
        <v>800</v>
      </c>
      <c r="J33" s="6" t="s">
        <v>801</v>
      </c>
      <c r="K33" s="6" t="s">
        <v>802</v>
      </c>
      <c r="L33" s="4"/>
      <c r="M33" s="6" t="s">
        <v>5888</v>
      </c>
      <c r="N33" s="6" t="s">
        <v>5889</v>
      </c>
      <c r="O33" s="6" t="s">
        <v>5890</v>
      </c>
      <c r="P33" s="4"/>
      <c r="Q33" s="6" t="s">
        <v>708</v>
      </c>
      <c r="R33" s="6" t="s">
        <v>709</v>
      </c>
      <c r="S33" s="6" t="s">
        <v>710</v>
      </c>
    </row>
    <row r="34" spans="1:19">
      <c r="A34" s="4" t="s">
        <v>705</v>
      </c>
      <c r="B34" s="4" t="str">
        <f>CHOOSE(Translations!$C$1+1,Q34,R34,S34)</f>
        <v>HIV I-10⁽ᴹ⁾ Porcentaje de trabajadores sexuales que viven con el VIH</v>
      </c>
      <c r="C34" s="4">
        <f t="shared" si="0"/>
        <v>1</v>
      </c>
      <c r="D34" s="4" t="str">
        <f t="shared" si="1"/>
        <v>HIV I-10⁽ᴹ⁾ Porcentaje de trabajadores sexuales que viven con el VIH-1</v>
      </c>
      <c r="E34" s="4" t="str">
        <f>CHOOSE(Translations!$C$1+1,I34,J34,K34)</f>
        <v>Género</v>
      </c>
      <c r="F34" s="4" t="str">
        <f>CHOOSE(Translations!$C$1+1,M34,N34,O34)</f>
        <v>Mujeres</v>
      </c>
      <c r="G34" s="4" t="s">
        <v>5891</v>
      </c>
      <c r="H34" s="6" t="s">
        <v>5892</v>
      </c>
      <c r="I34" s="6" t="s">
        <v>800</v>
      </c>
      <c r="J34" s="6" t="s">
        <v>801</v>
      </c>
      <c r="K34" s="6" t="s">
        <v>802</v>
      </c>
      <c r="L34" s="4"/>
      <c r="M34" s="6" t="s">
        <v>5826</v>
      </c>
      <c r="N34" s="6" t="s">
        <v>5827</v>
      </c>
      <c r="O34" s="6" t="s">
        <v>5828</v>
      </c>
      <c r="P34" s="4"/>
      <c r="Q34" s="6" t="s">
        <v>708</v>
      </c>
      <c r="R34" s="6" t="s">
        <v>709</v>
      </c>
      <c r="S34" s="6" t="s">
        <v>710</v>
      </c>
    </row>
    <row r="35" spans="1:19">
      <c r="A35" s="4" t="s">
        <v>705</v>
      </c>
      <c r="B35" s="4" t="str">
        <f>CHOOSE(Translations!$C$1+1,Q35,R35,S35)</f>
        <v>HIV I-10⁽ᴹ⁾ Porcentaje de trabajadores sexuales que viven con el VIH</v>
      </c>
      <c r="C35" s="4">
        <f t="shared" si="0"/>
        <v>2</v>
      </c>
      <c r="D35" s="4" t="str">
        <f t="shared" si="1"/>
        <v>HIV I-10⁽ᴹ⁾ Porcentaje de trabajadores sexuales que viven con el VIH-2</v>
      </c>
      <c r="E35" s="4" t="str">
        <f>CHOOSE(Translations!$C$1+1,I35,J35,K35)</f>
        <v>Género</v>
      </c>
      <c r="F35" s="4" t="str">
        <f>CHOOSE(Translations!$C$1+1,M35,N35,O35)</f>
        <v>Hombres</v>
      </c>
      <c r="G35" s="4" t="s">
        <v>5893</v>
      </c>
      <c r="H35" s="6" t="s">
        <v>5894</v>
      </c>
      <c r="I35" s="6" t="s">
        <v>800</v>
      </c>
      <c r="J35" s="6" t="s">
        <v>801</v>
      </c>
      <c r="K35" s="6" t="s">
        <v>802</v>
      </c>
      <c r="L35" s="4"/>
      <c r="M35" s="6" t="s">
        <v>5831</v>
      </c>
      <c r="N35" s="6" t="s">
        <v>5832</v>
      </c>
      <c r="O35" s="6" t="s">
        <v>5833</v>
      </c>
      <c r="P35" s="4"/>
      <c r="Q35" s="6" t="s">
        <v>708</v>
      </c>
      <c r="R35" s="6" t="s">
        <v>709</v>
      </c>
      <c r="S35" s="6" t="s">
        <v>710</v>
      </c>
    </row>
    <row r="36" spans="1:19">
      <c r="A36" s="4" t="s">
        <v>705</v>
      </c>
      <c r="B36" s="4" t="str">
        <f>CHOOSE(Translations!$C$1+1,Q36,R36,S36)</f>
        <v>HIV I-10⁽ᴹ⁾ Porcentaje de trabajadores sexuales que viven con el VIH</v>
      </c>
      <c r="C36" s="4">
        <f t="shared" si="0"/>
        <v>3</v>
      </c>
      <c r="D36" s="4" t="str">
        <f t="shared" si="1"/>
        <v>HIV I-10⁽ᴹ⁾ Porcentaje de trabajadores sexuales que viven con el VIH-3</v>
      </c>
      <c r="E36" s="4" t="str">
        <f>CHOOSE(Translations!$C$1+1,I36,J36,K36)</f>
        <v>Edad</v>
      </c>
      <c r="F36" s="4" t="str">
        <f>CHOOSE(Translations!$C$1+1,M36,N36,O36)</f>
        <v>25+</v>
      </c>
      <c r="G36" s="4" t="s">
        <v>5895</v>
      </c>
      <c r="H36" s="6" t="s">
        <v>5896</v>
      </c>
      <c r="I36" s="6" t="s">
        <v>697</v>
      </c>
      <c r="J36" s="6" t="s">
        <v>697</v>
      </c>
      <c r="K36" s="6" t="s">
        <v>698</v>
      </c>
      <c r="L36" s="4"/>
      <c r="M36" s="6" t="s">
        <v>5878</v>
      </c>
      <c r="N36" s="6" t="s">
        <v>5878</v>
      </c>
      <c r="O36" s="6" t="s">
        <v>5878</v>
      </c>
      <c r="P36" s="4"/>
      <c r="Q36" s="6" t="s">
        <v>708</v>
      </c>
      <c r="R36" s="6" t="s">
        <v>709</v>
      </c>
      <c r="S36" s="6" t="s">
        <v>710</v>
      </c>
    </row>
    <row r="37" spans="1:19">
      <c r="A37" s="4" t="s">
        <v>705</v>
      </c>
      <c r="B37" s="4" t="str">
        <f>CHOOSE(Translations!$C$1+1,Q37,R37,S37)</f>
        <v>HIV I-10⁽ᴹ⁾ Porcentaje de trabajadores sexuales que viven con el VIH</v>
      </c>
      <c r="C37" s="4">
        <f t="shared" si="0"/>
        <v>4</v>
      </c>
      <c r="D37" s="4" t="str">
        <f t="shared" si="1"/>
        <v>HIV I-10⁽ᴹ⁾ Porcentaje de trabajadores sexuales que viven con el VIH-4</v>
      </c>
      <c r="E37" s="4" t="str">
        <f>CHOOSE(Translations!$C$1+1,I37,J37,K37)</f>
        <v>Edad</v>
      </c>
      <c r="F37" s="4" t="str">
        <f>CHOOSE(Translations!$C$1+1,M37,N37,O37)</f>
        <v>&lt;25</v>
      </c>
      <c r="G37" s="4" t="s">
        <v>5897</v>
      </c>
      <c r="H37" s="6" t="s">
        <v>5898</v>
      </c>
      <c r="I37" s="6" t="s">
        <v>697</v>
      </c>
      <c r="J37" s="6" t="s">
        <v>697</v>
      </c>
      <c r="K37" s="6" t="s">
        <v>698</v>
      </c>
      <c r="L37" s="4"/>
      <c r="M37" s="6" t="s">
        <v>5881</v>
      </c>
      <c r="N37" s="6" t="s">
        <v>5881</v>
      </c>
      <c r="O37" s="6" t="s">
        <v>5881</v>
      </c>
      <c r="P37" s="4"/>
      <c r="Q37" s="6" t="s">
        <v>708</v>
      </c>
      <c r="R37" s="6" t="s">
        <v>709</v>
      </c>
      <c r="S37" s="6" t="s">
        <v>710</v>
      </c>
    </row>
    <row r="38" spans="1:19">
      <c r="A38" s="4" t="s">
        <v>712</v>
      </c>
      <c r="B38" s="4" t="str">
        <f>CHOOSE(Translations!$C$1+1,Q38,R38,S38)</f>
        <v>HIV I-11⁽ᴹ⁾ Porcentaje de personas que consumen drogas inyectables y que viven con el VIH</v>
      </c>
      <c r="C38" s="4">
        <f t="shared" si="0"/>
        <v>0</v>
      </c>
      <c r="D38" s="4" t="str">
        <f t="shared" si="1"/>
        <v>HIV I-11⁽ᴹ⁾ Porcentaje de personas que consumen drogas inyectables y que viven con el VIH-0</v>
      </c>
      <c r="E38" s="4" t="str">
        <f>CHOOSE(Translations!$C$1+1,I38,J38,K38)</f>
        <v>Género</v>
      </c>
      <c r="F38" s="4" t="str">
        <f>CHOOSE(Translations!$C$1+1,M38,N38,O38)</f>
        <v>Transgénero</v>
      </c>
      <c r="G38" s="4" t="s">
        <v>5899</v>
      </c>
      <c r="H38" s="6" t="s">
        <v>5900</v>
      </c>
      <c r="I38" s="6" t="s">
        <v>800</v>
      </c>
      <c r="J38" s="6" t="s">
        <v>801</v>
      </c>
      <c r="K38" s="6" t="s">
        <v>802</v>
      </c>
      <c r="L38" s="4"/>
      <c r="M38" s="6" t="s">
        <v>5888</v>
      </c>
      <c r="N38" s="6" t="s">
        <v>5889</v>
      </c>
      <c r="O38" s="6" t="s">
        <v>5890</v>
      </c>
      <c r="P38" s="4"/>
      <c r="Q38" s="6" t="s">
        <v>715</v>
      </c>
      <c r="R38" s="6" t="s">
        <v>716</v>
      </c>
      <c r="S38" s="6" t="s">
        <v>717</v>
      </c>
    </row>
    <row r="39" spans="1:19">
      <c r="A39" s="4" t="s">
        <v>712</v>
      </c>
      <c r="B39" s="4" t="str">
        <f>CHOOSE(Translations!$C$1+1,Q39,R39,S39)</f>
        <v>HIV I-11⁽ᴹ⁾ Porcentaje de personas que consumen drogas inyectables y que viven con el VIH</v>
      </c>
      <c r="C39" s="4">
        <f t="shared" si="0"/>
        <v>1</v>
      </c>
      <c r="D39" s="4" t="str">
        <f t="shared" si="1"/>
        <v>HIV I-11⁽ᴹ⁾ Porcentaje de personas que consumen drogas inyectables y que viven con el VIH-1</v>
      </c>
      <c r="E39" s="4" t="str">
        <f>CHOOSE(Translations!$C$1+1,I39,J39,K39)</f>
        <v>Género</v>
      </c>
      <c r="F39" s="4" t="str">
        <f>CHOOSE(Translations!$C$1+1,M39,N39,O39)</f>
        <v>Mujeres</v>
      </c>
      <c r="G39" s="4" t="s">
        <v>5901</v>
      </c>
      <c r="H39" s="6" t="s">
        <v>5902</v>
      </c>
      <c r="I39" s="6" t="s">
        <v>800</v>
      </c>
      <c r="J39" s="6" t="s">
        <v>801</v>
      </c>
      <c r="K39" s="6" t="s">
        <v>802</v>
      </c>
      <c r="L39" s="4"/>
      <c r="M39" s="6" t="s">
        <v>5826</v>
      </c>
      <c r="N39" s="6" t="s">
        <v>5827</v>
      </c>
      <c r="O39" s="6" t="s">
        <v>5828</v>
      </c>
      <c r="P39" s="4"/>
      <c r="Q39" s="6" t="s">
        <v>715</v>
      </c>
      <c r="R39" s="6" t="s">
        <v>716</v>
      </c>
      <c r="S39" s="6" t="s">
        <v>717</v>
      </c>
    </row>
    <row r="40" spans="1:19">
      <c r="A40" s="4" t="s">
        <v>712</v>
      </c>
      <c r="B40" s="4" t="str">
        <f>CHOOSE(Translations!$C$1+1,Q40,R40,S40)</f>
        <v>HIV I-11⁽ᴹ⁾ Porcentaje de personas que consumen drogas inyectables y que viven con el VIH</v>
      </c>
      <c r="C40" s="4">
        <f t="shared" si="0"/>
        <v>2</v>
      </c>
      <c r="D40" s="4" t="str">
        <f t="shared" si="1"/>
        <v>HIV I-11⁽ᴹ⁾ Porcentaje de personas que consumen drogas inyectables y que viven con el VIH-2</v>
      </c>
      <c r="E40" s="4" t="str">
        <f>CHOOSE(Translations!$C$1+1,I40,J40,K40)</f>
        <v>Género</v>
      </c>
      <c r="F40" s="4" t="str">
        <f>CHOOSE(Translations!$C$1+1,M40,N40,O40)</f>
        <v>Hombres</v>
      </c>
      <c r="G40" s="4" t="s">
        <v>5903</v>
      </c>
      <c r="H40" s="6" t="s">
        <v>5904</v>
      </c>
      <c r="I40" s="6" t="s">
        <v>800</v>
      </c>
      <c r="J40" s="6" t="s">
        <v>801</v>
      </c>
      <c r="K40" s="6" t="s">
        <v>802</v>
      </c>
      <c r="L40" s="4"/>
      <c r="M40" s="6" t="s">
        <v>5831</v>
      </c>
      <c r="N40" s="6" t="s">
        <v>5832</v>
      </c>
      <c r="O40" s="6" t="s">
        <v>5833</v>
      </c>
      <c r="P40" s="4"/>
      <c r="Q40" s="6" t="s">
        <v>715</v>
      </c>
      <c r="R40" s="6" t="s">
        <v>716</v>
      </c>
      <c r="S40" s="6" t="s">
        <v>717</v>
      </c>
    </row>
    <row r="41" spans="1:19">
      <c r="A41" s="4" t="s">
        <v>712</v>
      </c>
      <c r="B41" s="4" t="str">
        <f>CHOOSE(Translations!$C$1+1,Q41,R41,S41)</f>
        <v>HIV I-11⁽ᴹ⁾ Porcentaje de personas que consumen drogas inyectables y que viven con el VIH</v>
      </c>
      <c r="C41" s="4">
        <f t="shared" si="0"/>
        <v>3</v>
      </c>
      <c r="D41" s="4" t="str">
        <f t="shared" si="1"/>
        <v>HIV I-11⁽ᴹ⁾ Porcentaje de personas que consumen drogas inyectables y que viven con el VIH-3</v>
      </c>
      <c r="E41" s="4" t="str">
        <f>CHOOSE(Translations!$C$1+1,I41,J41,K41)</f>
        <v>Edad</v>
      </c>
      <c r="F41" s="4" t="str">
        <f>CHOOSE(Translations!$C$1+1,M41,N41,O41)</f>
        <v>25+</v>
      </c>
      <c r="G41" s="4" t="s">
        <v>5905</v>
      </c>
      <c r="H41" s="6" t="s">
        <v>5906</v>
      </c>
      <c r="I41" s="6" t="s">
        <v>697</v>
      </c>
      <c r="J41" s="6" t="s">
        <v>697</v>
      </c>
      <c r="K41" s="6" t="s">
        <v>698</v>
      </c>
      <c r="L41" s="4"/>
      <c r="M41" s="6" t="s">
        <v>5878</v>
      </c>
      <c r="N41" s="6" t="s">
        <v>5878</v>
      </c>
      <c r="O41" s="6" t="s">
        <v>5878</v>
      </c>
      <c r="P41" s="4"/>
      <c r="Q41" s="6" t="s">
        <v>715</v>
      </c>
      <c r="R41" s="6" t="s">
        <v>716</v>
      </c>
      <c r="S41" s="6" t="s">
        <v>717</v>
      </c>
    </row>
    <row r="42" spans="1:19">
      <c r="A42" s="4" t="s">
        <v>712</v>
      </c>
      <c r="B42" s="4" t="str">
        <f>CHOOSE(Translations!$C$1+1,Q42,R42,S42)</f>
        <v>HIV I-11⁽ᴹ⁾ Porcentaje de personas que consumen drogas inyectables y que viven con el VIH</v>
      </c>
      <c r="C42" s="4">
        <f t="shared" si="0"/>
        <v>4</v>
      </c>
      <c r="D42" s="4" t="str">
        <f t="shared" si="1"/>
        <v>HIV I-11⁽ᴹ⁾ Porcentaje de personas que consumen drogas inyectables y que viven con el VIH-4</v>
      </c>
      <c r="E42" s="4" t="str">
        <f>CHOOSE(Translations!$C$1+1,I42,J42,K42)</f>
        <v>Edad</v>
      </c>
      <c r="F42" s="4" t="str">
        <f>CHOOSE(Translations!$C$1+1,M42,N42,O42)</f>
        <v>&lt;25</v>
      </c>
      <c r="G42" s="4" t="s">
        <v>5907</v>
      </c>
      <c r="H42" s="6" t="s">
        <v>5908</v>
      </c>
      <c r="I42" s="6" t="s">
        <v>697</v>
      </c>
      <c r="J42" s="6" t="s">
        <v>697</v>
      </c>
      <c r="K42" s="6" t="s">
        <v>698</v>
      </c>
      <c r="L42" s="4"/>
      <c r="M42" s="6" t="s">
        <v>5881</v>
      </c>
      <c r="N42" s="6" t="s">
        <v>5881</v>
      </c>
      <c r="O42" s="6" t="s">
        <v>5881</v>
      </c>
      <c r="P42" s="4"/>
      <c r="Q42" s="6" t="s">
        <v>715</v>
      </c>
      <c r="R42" s="6" t="s">
        <v>716</v>
      </c>
      <c r="S42" s="6" t="s">
        <v>717</v>
      </c>
    </row>
    <row r="43" spans="1:19">
      <c r="A43" s="4" t="s">
        <v>5909</v>
      </c>
      <c r="B43" s="4" t="str">
        <f>CHOOSE(Translations!$C$1+1,Q43,R43,S43)</f>
        <v>Malaria I-1⁽ᴹ⁾ Casos de malaria notificados (supuestos y confirmados)</v>
      </c>
      <c r="C43" s="4">
        <f t="shared" si="0"/>
        <v>0</v>
      </c>
      <c r="D43" s="4" t="str">
        <f t="shared" si="1"/>
        <v>Malaria I-1⁽ᴹ⁾ Casos de malaria notificados (supuestos y confirmados)-0</v>
      </c>
      <c r="E43" s="4" t="str">
        <f>CHOOSE(Translations!$C$1+1,I43,J43,K43)</f>
        <v>Definición de caso</v>
      </c>
      <c r="F43" s="4" t="str">
        <f>CHOOSE(Translations!$C$1+1,M43,N43,O43)</f>
        <v>Posible</v>
      </c>
      <c r="G43" s="4" t="s">
        <v>5910</v>
      </c>
      <c r="H43" s="6" t="s">
        <v>5911</v>
      </c>
      <c r="I43" s="6" t="s">
        <v>5912</v>
      </c>
      <c r="J43" s="6" t="s">
        <v>5913</v>
      </c>
      <c r="K43" s="6" t="s">
        <v>5914</v>
      </c>
      <c r="L43" s="4"/>
      <c r="M43" s="6" t="s">
        <v>5915</v>
      </c>
      <c r="N43" s="6" t="s">
        <v>5916</v>
      </c>
      <c r="O43" s="6" t="s">
        <v>5917</v>
      </c>
      <c r="P43" s="4"/>
      <c r="Q43" s="6" t="s">
        <v>5918</v>
      </c>
      <c r="R43" s="6" t="s">
        <v>5919</v>
      </c>
      <c r="S43" s="6" t="s">
        <v>5920</v>
      </c>
    </row>
    <row r="44" spans="1:19">
      <c r="A44" s="4" t="s">
        <v>5909</v>
      </c>
      <c r="B44" s="4" t="str">
        <f>CHOOSE(Translations!$C$1+1,Q44,R44,S44)</f>
        <v>Malaria I-1⁽ᴹ⁾ Casos de malaria notificados (supuestos y confirmados)</v>
      </c>
      <c r="C44" s="4">
        <f t="shared" si="0"/>
        <v>1</v>
      </c>
      <c r="D44" s="4" t="str">
        <f t="shared" si="1"/>
        <v>Malaria I-1⁽ᴹ⁾ Casos de malaria notificados (supuestos y confirmados)-1</v>
      </c>
      <c r="E44" s="4" t="str">
        <f>CHOOSE(Translations!$C$1+1,I44,J44,K44)</f>
        <v>Definición de caso</v>
      </c>
      <c r="F44" s="4" t="str">
        <f>CHOOSE(Translations!$C$1+1,M44,N44,O44)</f>
        <v>Confirmado</v>
      </c>
      <c r="G44" s="4" t="s">
        <v>5921</v>
      </c>
      <c r="H44" s="6" t="s">
        <v>5922</v>
      </c>
      <c r="I44" s="6" t="s">
        <v>5912</v>
      </c>
      <c r="J44" s="6" t="s">
        <v>5913</v>
      </c>
      <c r="K44" s="6" t="s">
        <v>5914</v>
      </c>
      <c r="L44" s="4"/>
      <c r="M44" s="6" t="s">
        <v>5923</v>
      </c>
      <c r="N44" s="6" t="s">
        <v>5924</v>
      </c>
      <c r="O44" s="6" t="s">
        <v>5925</v>
      </c>
      <c r="P44" s="4"/>
      <c r="Q44" s="6" t="s">
        <v>5918</v>
      </c>
      <c r="R44" s="6" t="s">
        <v>5919</v>
      </c>
      <c r="S44" s="6" t="s">
        <v>5920</v>
      </c>
    </row>
    <row r="45" spans="1:19">
      <c r="A45" s="4" t="s">
        <v>5909</v>
      </c>
      <c r="B45" s="4" t="str">
        <f>CHOOSE(Translations!$C$1+1,Q45,R45,S45)</f>
        <v>Malaria I-1⁽ᴹ⁾ Casos de malaria notificados (supuestos y confirmados)</v>
      </c>
      <c r="C45" s="4">
        <f t="shared" si="0"/>
        <v>2</v>
      </c>
      <c r="D45" s="4" t="str">
        <f t="shared" si="1"/>
        <v>Malaria I-1⁽ᴹ⁾ Casos de malaria notificados (supuestos y confirmados)-2</v>
      </c>
      <c r="E45" s="4" t="str">
        <f>CHOOSE(Translations!$C$1+1,I45,J45,K45)</f>
        <v>Edad</v>
      </c>
      <c r="F45" s="4" t="str">
        <f>CHOOSE(Translations!$C$1+1,M45,N45,O45)</f>
        <v>5+</v>
      </c>
      <c r="G45" s="4" t="s">
        <v>5926</v>
      </c>
      <c r="H45" s="6" t="s">
        <v>5927</v>
      </c>
      <c r="I45" s="6" t="s">
        <v>697</v>
      </c>
      <c r="J45" s="6" t="s">
        <v>697</v>
      </c>
      <c r="K45" s="6" t="s">
        <v>698</v>
      </c>
      <c r="L45" s="4"/>
      <c r="M45" s="6" t="s">
        <v>5928</v>
      </c>
      <c r="N45" s="6" t="s">
        <v>5928</v>
      </c>
      <c r="O45" s="6" t="s">
        <v>5928</v>
      </c>
      <c r="P45" s="4"/>
      <c r="Q45" s="6" t="s">
        <v>5918</v>
      </c>
      <c r="R45" s="6" t="s">
        <v>5919</v>
      </c>
      <c r="S45" s="6" t="s">
        <v>5920</v>
      </c>
    </row>
    <row r="46" spans="1:19">
      <c r="A46" s="4" t="s">
        <v>5909</v>
      </c>
      <c r="B46" s="4" t="str">
        <f>CHOOSE(Translations!$C$1+1,Q46,R46,S46)</f>
        <v>Malaria I-1⁽ᴹ⁾ Casos de malaria notificados (supuestos y confirmados)</v>
      </c>
      <c r="C46" s="4">
        <f t="shared" si="0"/>
        <v>3</v>
      </c>
      <c r="D46" s="4" t="str">
        <f t="shared" si="1"/>
        <v>Malaria I-1⁽ᴹ⁾ Casos de malaria notificados (supuestos y confirmados)-3</v>
      </c>
      <c r="E46" s="4" t="str">
        <f>CHOOSE(Translations!$C$1+1,I46,J46,K46)</f>
        <v>Edad</v>
      </c>
      <c r="F46" s="4" t="str">
        <f>CHOOSE(Translations!$C$1+1,M46,N46,O46)</f>
        <v>&lt;5</v>
      </c>
      <c r="G46" s="4" t="s">
        <v>5929</v>
      </c>
      <c r="H46" s="6" t="s">
        <v>5930</v>
      </c>
      <c r="I46" s="6" t="s">
        <v>697</v>
      </c>
      <c r="J46" s="6" t="s">
        <v>697</v>
      </c>
      <c r="K46" s="6" t="s">
        <v>698</v>
      </c>
      <c r="L46" s="4"/>
      <c r="M46" s="6" t="s">
        <v>5875</v>
      </c>
      <c r="N46" s="6" t="s">
        <v>5875</v>
      </c>
      <c r="O46" s="6" t="s">
        <v>5875</v>
      </c>
      <c r="P46" s="4"/>
      <c r="Q46" s="6" t="s">
        <v>5918</v>
      </c>
      <c r="R46" s="6" t="s">
        <v>5919</v>
      </c>
      <c r="S46" s="6" t="s">
        <v>5920</v>
      </c>
    </row>
    <row r="47" spans="1:19">
      <c r="A47" s="4" t="s">
        <v>5931</v>
      </c>
      <c r="B47" s="4" t="str">
        <f>CHOOSE(Translations!$C$1+1,Q47,R47,S47)</f>
        <v>Malaria I-2.1 Casos de malaria confirmados (con microscopio o prueba de diagnóstico rápido) al año por cada 1.000 personas</v>
      </c>
      <c r="C47" s="4">
        <f t="shared" si="0"/>
        <v>0</v>
      </c>
      <c r="D47" s="4" t="str">
        <f t="shared" si="1"/>
        <v>Malaria I-2.1 Casos de malaria confirmados (con microscopio o prueba de diagnóstico rápido) al año por cada 1.000 personas-0</v>
      </c>
      <c r="E47" s="4" t="str">
        <f>CHOOSE(Translations!$C$1+1,I47,J47,K47)</f>
        <v>Especies</v>
      </c>
      <c r="F47" s="4" t="str">
        <f>CHOOSE(Translations!$C$1+1,M47,N47,O47)</f>
        <v>Otras especies</v>
      </c>
      <c r="G47" s="4" t="s">
        <v>5932</v>
      </c>
      <c r="H47" s="6" t="s">
        <v>5933</v>
      </c>
      <c r="I47" s="6" t="s">
        <v>5934</v>
      </c>
      <c r="J47" s="6" t="s">
        <v>5935</v>
      </c>
      <c r="K47" s="6" t="s">
        <v>5936</v>
      </c>
      <c r="L47" s="4"/>
      <c r="M47" s="6" t="s">
        <v>5937</v>
      </c>
      <c r="N47" s="6" t="s">
        <v>5938</v>
      </c>
      <c r="O47" s="6" t="s">
        <v>5939</v>
      </c>
      <c r="P47" s="4"/>
      <c r="Q47" s="6" t="s">
        <v>5940</v>
      </c>
      <c r="R47" s="6" t="s">
        <v>5941</v>
      </c>
      <c r="S47" s="6" t="s">
        <v>5942</v>
      </c>
    </row>
    <row r="48" spans="1:19">
      <c r="A48" s="4" t="s">
        <v>5931</v>
      </c>
      <c r="B48" s="4" t="str">
        <f>CHOOSE(Translations!$C$1+1,Q48,R48,S48)</f>
        <v>Malaria I-2.1 Casos de malaria confirmados (con microscopio o prueba de diagnóstico rápido) al año por cada 1.000 personas</v>
      </c>
      <c r="C48" s="4">
        <f t="shared" si="0"/>
        <v>1</v>
      </c>
      <c r="D48" s="4" t="str">
        <f t="shared" si="1"/>
        <v>Malaria I-2.1 Casos de malaria confirmados (con microscopio o prueba de diagnóstico rápido) al año por cada 1.000 personas-1</v>
      </c>
      <c r="E48" s="4" t="str">
        <f>CHOOSE(Translations!$C$1+1,I48,J48,K48)</f>
        <v>Especies</v>
      </c>
      <c r="F48" s="4" t="str">
        <f>CHOOSE(Translations!$C$1+1,M48,N48,O48)</f>
        <v>Mixtas</v>
      </c>
      <c r="G48" s="4" t="s">
        <v>5943</v>
      </c>
      <c r="H48" s="6" t="s">
        <v>5944</v>
      </c>
      <c r="I48" s="6" t="s">
        <v>5934</v>
      </c>
      <c r="J48" s="6" t="s">
        <v>5935</v>
      </c>
      <c r="K48" s="6" t="s">
        <v>5936</v>
      </c>
      <c r="L48" s="4"/>
      <c r="M48" s="6" t="s">
        <v>5945</v>
      </c>
      <c r="N48" s="6" t="s">
        <v>5946</v>
      </c>
      <c r="O48" s="6" t="s">
        <v>5947</v>
      </c>
      <c r="P48" s="4"/>
      <c r="Q48" s="6" t="s">
        <v>5940</v>
      </c>
      <c r="R48" s="6" t="s">
        <v>5941</v>
      </c>
      <c r="S48" s="6" t="s">
        <v>5942</v>
      </c>
    </row>
    <row r="49" spans="1:19">
      <c r="A49" s="4" t="s">
        <v>5931</v>
      </c>
      <c r="B49" s="4" t="str">
        <f>CHOOSE(Translations!$C$1+1,Q49,R49,S49)</f>
        <v>Malaria I-2.1 Casos de malaria confirmados (con microscopio o prueba de diagnóstico rápido) al año por cada 1.000 personas</v>
      </c>
      <c r="C49" s="4">
        <f t="shared" si="0"/>
        <v>2</v>
      </c>
      <c r="D49" s="4" t="str">
        <f t="shared" si="1"/>
        <v>Malaria I-2.1 Casos de malaria confirmados (con microscopio o prueba de diagnóstico rápido) al año por cada 1.000 personas-2</v>
      </c>
      <c r="E49" s="4" t="str">
        <f>CHOOSE(Translations!$C$1+1,I49,J49,K49)</f>
        <v>Especies</v>
      </c>
      <c r="F49" s="4" t="str">
        <f>CHOOSE(Translations!$C$1+1,M49,N49,O49)</f>
        <v>Falciparum</v>
      </c>
      <c r="G49" s="4" t="s">
        <v>5948</v>
      </c>
      <c r="H49" s="6" t="s">
        <v>5949</v>
      </c>
      <c r="I49" s="6" t="s">
        <v>5934</v>
      </c>
      <c r="J49" s="6" t="s">
        <v>5935</v>
      </c>
      <c r="K49" s="6" t="s">
        <v>5936</v>
      </c>
      <c r="L49" s="4"/>
      <c r="M49" s="6" t="s">
        <v>5950</v>
      </c>
      <c r="N49" s="6" t="s">
        <v>5951</v>
      </c>
      <c r="O49" s="6" t="s">
        <v>5952</v>
      </c>
      <c r="P49" s="4"/>
      <c r="Q49" s="6" t="s">
        <v>5940</v>
      </c>
      <c r="R49" s="6" t="s">
        <v>5941</v>
      </c>
      <c r="S49" s="6" t="s">
        <v>5942</v>
      </c>
    </row>
    <row r="50" spans="1:19">
      <c r="A50" s="4" t="s">
        <v>5931</v>
      </c>
      <c r="B50" s="4" t="str">
        <f>CHOOSE(Translations!$C$1+1,Q50,R50,S50)</f>
        <v>Malaria I-2.1 Casos de malaria confirmados (con microscopio o prueba de diagnóstico rápido) al año por cada 1.000 personas</v>
      </c>
      <c r="C50" s="4">
        <f t="shared" si="0"/>
        <v>3</v>
      </c>
      <c r="D50" s="4" t="str">
        <f t="shared" si="1"/>
        <v>Malaria I-2.1 Casos de malaria confirmados (con microscopio o prueba de diagnóstico rápido) al año por cada 1.000 personas-3</v>
      </c>
      <c r="E50" s="4" t="str">
        <f>CHOOSE(Translations!$C$1+1,I50,J50,K50)</f>
        <v>Especies</v>
      </c>
      <c r="F50" s="4" t="str">
        <f>CHOOSE(Translations!$C$1+1,M50,N50,O50)</f>
        <v>Vivax</v>
      </c>
      <c r="G50" s="4" t="s">
        <v>5953</v>
      </c>
      <c r="H50" s="6" t="s">
        <v>5954</v>
      </c>
      <c r="I50" s="6" t="s">
        <v>5934</v>
      </c>
      <c r="J50" s="6" t="s">
        <v>5935</v>
      </c>
      <c r="K50" s="6" t="s">
        <v>5936</v>
      </c>
      <c r="L50" s="4"/>
      <c r="M50" s="6" t="s">
        <v>5955</v>
      </c>
      <c r="N50" s="6" t="s">
        <v>5956</v>
      </c>
      <c r="O50" s="6" t="s">
        <v>5957</v>
      </c>
      <c r="P50" s="4"/>
      <c r="Q50" s="6" t="s">
        <v>5940</v>
      </c>
      <c r="R50" s="6" t="s">
        <v>5941</v>
      </c>
      <c r="S50" s="6" t="s">
        <v>5942</v>
      </c>
    </row>
    <row r="51" spans="1:19">
      <c r="A51" s="4" t="s">
        <v>5931</v>
      </c>
      <c r="B51" s="4" t="str">
        <f>CHOOSE(Translations!$C$1+1,Q51,R51,S51)</f>
        <v>Malaria I-2.1 Casos de malaria confirmados (con microscopio o prueba de diagnóstico rápido) al año por cada 1.000 personas</v>
      </c>
      <c r="C51" s="4">
        <f t="shared" si="0"/>
        <v>4</v>
      </c>
      <c r="D51" s="4" t="str">
        <f t="shared" si="1"/>
        <v>Malaria I-2.1 Casos de malaria confirmados (con microscopio o prueba de diagnóstico rápido) al año por cada 1.000 personas-4</v>
      </c>
      <c r="E51" s="4" t="str">
        <f>CHOOSE(Translations!$C$1+1,I51,J51,K51)</f>
        <v>Edad</v>
      </c>
      <c r="F51" s="4" t="str">
        <f>CHOOSE(Translations!$C$1+1,M51,N51,O51)</f>
        <v>5+</v>
      </c>
      <c r="G51" s="4" t="s">
        <v>5958</v>
      </c>
      <c r="H51" s="6" t="s">
        <v>5959</v>
      </c>
      <c r="I51" s="6" t="s">
        <v>697</v>
      </c>
      <c r="J51" s="6" t="s">
        <v>697</v>
      </c>
      <c r="K51" s="6" t="s">
        <v>698</v>
      </c>
      <c r="L51" s="4"/>
      <c r="M51" s="6" t="s">
        <v>5928</v>
      </c>
      <c r="N51" s="6" t="s">
        <v>5928</v>
      </c>
      <c r="O51" s="6" t="s">
        <v>5928</v>
      </c>
      <c r="P51" s="4"/>
      <c r="Q51" s="6" t="s">
        <v>5940</v>
      </c>
      <c r="R51" s="6" t="s">
        <v>5941</v>
      </c>
      <c r="S51" s="6" t="s">
        <v>5942</v>
      </c>
    </row>
    <row r="52" spans="1:19">
      <c r="A52" s="4" t="s">
        <v>5931</v>
      </c>
      <c r="B52" s="4" t="str">
        <f>CHOOSE(Translations!$C$1+1,Q52,R52,S52)</f>
        <v>Malaria I-2.1 Casos de malaria confirmados (con microscopio o prueba de diagnóstico rápido) al año por cada 1.000 personas</v>
      </c>
      <c r="C52" s="4">
        <f t="shared" si="0"/>
        <v>5</v>
      </c>
      <c r="D52" s="4" t="str">
        <f t="shared" si="1"/>
        <v>Malaria I-2.1 Casos de malaria confirmados (con microscopio o prueba de diagnóstico rápido) al año por cada 1.000 personas-5</v>
      </c>
      <c r="E52" s="4" t="str">
        <f>CHOOSE(Translations!$C$1+1,I52,J52,K52)</f>
        <v>Edad</v>
      </c>
      <c r="F52" s="4" t="str">
        <f>CHOOSE(Translations!$C$1+1,M52,N52,O52)</f>
        <v>&lt;5</v>
      </c>
      <c r="G52" s="4" t="s">
        <v>5960</v>
      </c>
      <c r="H52" s="6" t="s">
        <v>5961</v>
      </c>
      <c r="I52" s="6" t="s">
        <v>697</v>
      </c>
      <c r="J52" s="6" t="s">
        <v>697</v>
      </c>
      <c r="K52" s="6" t="s">
        <v>698</v>
      </c>
      <c r="L52" s="4"/>
      <c r="M52" s="6" t="s">
        <v>5875</v>
      </c>
      <c r="N52" s="6" t="s">
        <v>5875</v>
      </c>
      <c r="O52" s="6" t="s">
        <v>5875</v>
      </c>
      <c r="P52" s="4"/>
      <c r="Q52" s="6" t="s">
        <v>5940</v>
      </c>
      <c r="R52" s="6" t="s">
        <v>5941</v>
      </c>
      <c r="S52" s="6" t="s">
        <v>5942</v>
      </c>
    </row>
    <row r="53" spans="1:19">
      <c r="A53" s="4" t="s">
        <v>5962</v>
      </c>
      <c r="B53" s="4" t="str">
        <f>CHOOSE(Translations!$C$1+1,Q53,R53,S53)</f>
        <v>Malaria I-3.1⁽ᴹ⁾ Muertes de pacientes hospitalizados al año por cada 100.000 personas</v>
      </c>
      <c r="C53" s="4">
        <f t="shared" si="0"/>
        <v>0</v>
      </c>
      <c r="D53" s="4" t="str">
        <f t="shared" si="1"/>
        <v>Malaria I-3.1⁽ᴹ⁾ Muertes de pacientes hospitalizados al año por cada 100.000 personas-0</v>
      </c>
      <c r="E53" s="4" t="str">
        <f>CHOOSE(Translations!$C$1+1,I53,J53,K53)</f>
        <v>Edad</v>
      </c>
      <c r="F53" s="4" t="str">
        <f>CHOOSE(Translations!$C$1+1,M53,N53,O53)</f>
        <v>5+</v>
      </c>
      <c r="G53" s="4" t="s">
        <v>5963</v>
      </c>
      <c r="H53" s="6" t="s">
        <v>5964</v>
      </c>
      <c r="I53" s="6" t="s">
        <v>697</v>
      </c>
      <c r="J53" s="6" t="s">
        <v>697</v>
      </c>
      <c r="K53" s="6" t="s">
        <v>698</v>
      </c>
      <c r="L53" s="4"/>
      <c r="M53" s="6" t="s">
        <v>5928</v>
      </c>
      <c r="N53" s="6" t="s">
        <v>5928</v>
      </c>
      <c r="O53" s="6" t="s">
        <v>5928</v>
      </c>
      <c r="P53" s="4"/>
      <c r="Q53" s="6" t="s">
        <v>5965</v>
      </c>
      <c r="R53" s="6" t="s">
        <v>5966</v>
      </c>
      <c r="S53" s="6" t="s">
        <v>5967</v>
      </c>
    </row>
    <row r="54" spans="1:19">
      <c r="A54" s="4" t="s">
        <v>5962</v>
      </c>
      <c r="B54" s="4" t="str">
        <f>CHOOSE(Translations!$C$1+1,Q54,R54,S54)</f>
        <v>Malaria I-3.1⁽ᴹ⁾ Muertes de pacientes hospitalizados al año por cada 100.000 personas</v>
      </c>
      <c r="C54" s="4">
        <f t="shared" si="0"/>
        <v>1</v>
      </c>
      <c r="D54" s="4" t="str">
        <f t="shared" si="1"/>
        <v>Malaria I-3.1⁽ᴹ⁾ Muertes de pacientes hospitalizados al año por cada 100.000 personas-1</v>
      </c>
      <c r="E54" s="4" t="str">
        <f>CHOOSE(Translations!$C$1+1,I54,J54,K54)</f>
        <v>Edad</v>
      </c>
      <c r="F54" s="4" t="str">
        <f>CHOOSE(Translations!$C$1+1,M54,N54,O54)</f>
        <v>&lt;5</v>
      </c>
      <c r="G54" s="4" t="s">
        <v>5968</v>
      </c>
      <c r="H54" s="6" t="s">
        <v>5969</v>
      </c>
      <c r="I54" s="6" t="s">
        <v>697</v>
      </c>
      <c r="J54" s="6" t="s">
        <v>697</v>
      </c>
      <c r="K54" s="6" t="s">
        <v>698</v>
      </c>
      <c r="L54" s="4"/>
      <c r="M54" s="6" t="s">
        <v>5875</v>
      </c>
      <c r="N54" s="6" t="s">
        <v>5875</v>
      </c>
      <c r="O54" s="6" t="s">
        <v>5875</v>
      </c>
      <c r="P54" s="4"/>
      <c r="Q54" s="6" t="s">
        <v>5965</v>
      </c>
      <c r="R54" s="6" t="s">
        <v>5966</v>
      </c>
      <c r="S54" s="6" t="s">
        <v>5967</v>
      </c>
    </row>
    <row r="55" spans="1:19">
      <c r="A55" s="4" t="s">
        <v>5970</v>
      </c>
      <c r="B55" s="4" t="str">
        <f>CHOOSE(Translations!$C$1+1,Q55,R55,S55)</f>
        <v>Malaria I-4 Tasa de pruebas positivas de malaria</v>
      </c>
      <c r="C55" s="4">
        <f t="shared" si="0"/>
        <v>0</v>
      </c>
      <c r="D55" s="4" t="str">
        <f t="shared" si="1"/>
        <v>Malaria I-4 Tasa de pruebas positivas de malaria-0</v>
      </c>
      <c r="E55" s="4" t="str">
        <f>CHOOSE(Translations!$C$1+1,I55,J55,K55)</f>
        <v>Tipo de pruebas</v>
      </c>
      <c r="F55" s="4" t="str">
        <f>CHOOSE(Translations!$C$1+1,M55,N55,O55)</f>
        <v>Prueba de diagnóstico rápido</v>
      </c>
      <c r="G55" s="4" t="s">
        <v>5971</v>
      </c>
      <c r="H55" s="6" t="s">
        <v>5972</v>
      </c>
      <c r="I55" s="6" t="s">
        <v>5973</v>
      </c>
      <c r="J55" s="6" t="s">
        <v>5974</v>
      </c>
      <c r="K55" s="6" t="s">
        <v>5975</v>
      </c>
      <c r="L55" s="4"/>
      <c r="M55" s="6" t="s">
        <v>5976</v>
      </c>
      <c r="N55" s="6" t="s">
        <v>5977</v>
      </c>
      <c r="O55" s="6" t="s">
        <v>5978</v>
      </c>
      <c r="P55" s="4"/>
      <c r="Q55" s="6" t="s">
        <v>5979</v>
      </c>
      <c r="R55" s="6" t="s">
        <v>5980</v>
      </c>
      <c r="S55" s="6" t="s">
        <v>5981</v>
      </c>
    </row>
    <row r="56" spans="1:19">
      <c r="A56" s="4" t="s">
        <v>5970</v>
      </c>
      <c r="B56" s="4" t="str">
        <f>CHOOSE(Translations!$C$1+1,Q56,R56,S56)</f>
        <v>Malaria I-4 Tasa de pruebas positivas de malaria</v>
      </c>
      <c r="C56" s="4">
        <f t="shared" si="0"/>
        <v>1</v>
      </c>
      <c r="D56" s="4" t="str">
        <f t="shared" si="1"/>
        <v>Malaria I-4 Tasa de pruebas positivas de malaria-1</v>
      </c>
      <c r="E56" s="4" t="str">
        <f>CHOOSE(Translations!$C$1+1,I56,J56,K56)</f>
        <v>Tipo de pruebas</v>
      </c>
      <c r="F56" s="4" t="str">
        <f>CHOOSE(Translations!$C$1+1,M56,N56,O56)</f>
        <v>Microscopio</v>
      </c>
      <c r="G56" s="4" t="s">
        <v>5982</v>
      </c>
      <c r="H56" s="6" t="s">
        <v>5983</v>
      </c>
      <c r="I56" s="6" t="s">
        <v>5973</v>
      </c>
      <c r="J56" s="6" t="s">
        <v>5974</v>
      </c>
      <c r="K56" s="6" t="s">
        <v>5975</v>
      </c>
      <c r="L56" s="4"/>
      <c r="M56" s="6" t="s">
        <v>5984</v>
      </c>
      <c r="N56" s="6" t="s">
        <v>5985</v>
      </c>
      <c r="O56" s="6" t="s">
        <v>5986</v>
      </c>
      <c r="P56" s="4"/>
      <c r="Q56" s="6" t="s">
        <v>5979</v>
      </c>
      <c r="R56" s="6" t="s">
        <v>5980</v>
      </c>
      <c r="S56" s="6" t="s">
        <v>5981</v>
      </c>
    </row>
    <row r="57" spans="1:19">
      <c r="A57" s="4" t="s">
        <v>5970</v>
      </c>
      <c r="B57" s="4" t="str">
        <f>CHOOSE(Translations!$C$1+1,Q57,R57,S57)</f>
        <v>Malaria I-4 Tasa de pruebas positivas de malaria</v>
      </c>
      <c r="C57" s="4">
        <f t="shared" si="0"/>
        <v>2</v>
      </c>
      <c r="D57" s="4" t="str">
        <f t="shared" si="1"/>
        <v>Malaria I-4 Tasa de pruebas positivas de malaria-2</v>
      </c>
      <c r="E57" s="4" t="str">
        <f>CHOOSE(Translations!$C$1+1,I57,J57,K57)</f>
        <v>Especies</v>
      </c>
      <c r="F57" s="4" t="str">
        <f>CHOOSE(Translations!$C$1+1,M57,N57,O57)</f>
        <v>Falciparum</v>
      </c>
      <c r="G57" s="4" t="s">
        <v>5987</v>
      </c>
      <c r="H57" s="6" t="s">
        <v>5988</v>
      </c>
      <c r="I57" s="6" t="s">
        <v>5934</v>
      </c>
      <c r="J57" s="6" t="s">
        <v>5935</v>
      </c>
      <c r="K57" s="6" t="s">
        <v>5936</v>
      </c>
      <c r="L57" s="4"/>
      <c r="M57" s="6" t="s">
        <v>5950</v>
      </c>
      <c r="N57" s="6" t="s">
        <v>5951</v>
      </c>
      <c r="O57" s="6" t="s">
        <v>5952</v>
      </c>
      <c r="P57" s="4"/>
      <c r="Q57" s="6" t="s">
        <v>5979</v>
      </c>
      <c r="R57" s="6" t="s">
        <v>5980</v>
      </c>
      <c r="S57" s="6" t="s">
        <v>5981</v>
      </c>
    </row>
    <row r="58" spans="1:19">
      <c r="A58" s="4" t="s">
        <v>5989</v>
      </c>
      <c r="B58" s="4" t="str">
        <f>CHOOSE(Translations!$C$1+1,Q58,R58,S58)</f>
        <v>Malaria I-5 Prevalencia de parásitos de la malaria: proporción de niños de entre 6 y 59 meses con infección por malaria</v>
      </c>
      <c r="C58" s="4">
        <f t="shared" si="0"/>
        <v>0</v>
      </c>
      <c r="D58" s="4" t="str">
        <f t="shared" si="1"/>
        <v>Malaria I-5 Prevalencia de parásitos de la malaria: proporción de niños de entre 6 y 59 meses con infección por malaria-0</v>
      </c>
      <c r="E58" s="4" t="str">
        <f>CHOOSE(Translations!$C$1+1,I58,J58,K58)</f>
        <v>Género</v>
      </c>
      <c r="F58" s="4" t="str">
        <f>CHOOSE(Translations!$C$1+1,M58,N58,O58)</f>
        <v>Mujeres</v>
      </c>
      <c r="G58" s="4" t="s">
        <v>5990</v>
      </c>
      <c r="H58" s="6" t="s">
        <v>5991</v>
      </c>
      <c r="I58" s="6" t="s">
        <v>800</v>
      </c>
      <c r="J58" s="6" t="s">
        <v>801</v>
      </c>
      <c r="K58" s="6" t="s">
        <v>802</v>
      </c>
      <c r="L58" s="4"/>
      <c r="M58" s="6" t="s">
        <v>5826</v>
      </c>
      <c r="N58" s="6" t="s">
        <v>5827</v>
      </c>
      <c r="O58" s="6" t="s">
        <v>5828</v>
      </c>
      <c r="P58" s="4"/>
      <c r="Q58" s="6" t="s">
        <v>5992</v>
      </c>
      <c r="R58" s="6" t="s">
        <v>5993</v>
      </c>
      <c r="S58" s="6" t="s">
        <v>5994</v>
      </c>
    </row>
    <row r="59" spans="1:19">
      <c r="A59" s="4" t="s">
        <v>5989</v>
      </c>
      <c r="B59" s="4" t="str">
        <f>CHOOSE(Translations!$C$1+1,Q59,R59,S59)</f>
        <v>Malaria I-5 Prevalencia de parásitos de la malaria: proporción de niños de entre 6 y 59 meses con infección por malaria</v>
      </c>
      <c r="C59" s="4">
        <f t="shared" si="0"/>
        <v>1</v>
      </c>
      <c r="D59" s="4" t="str">
        <f t="shared" si="1"/>
        <v>Malaria I-5 Prevalencia de parásitos de la malaria: proporción de niños de entre 6 y 59 meses con infección por malaria-1</v>
      </c>
      <c r="E59" s="4" t="str">
        <f>CHOOSE(Translations!$C$1+1,I59,J59,K59)</f>
        <v>Género</v>
      </c>
      <c r="F59" s="4" t="str">
        <f>CHOOSE(Translations!$C$1+1,M59,N59,O59)</f>
        <v>Hombres</v>
      </c>
      <c r="G59" s="4" t="s">
        <v>5995</v>
      </c>
      <c r="H59" s="6" t="s">
        <v>5996</v>
      </c>
      <c r="I59" s="6" t="s">
        <v>800</v>
      </c>
      <c r="J59" s="6" t="s">
        <v>801</v>
      </c>
      <c r="K59" s="6" t="s">
        <v>802</v>
      </c>
      <c r="L59" s="4"/>
      <c r="M59" s="6" t="s">
        <v>5831</v>
      </c>
      <c r="N59" s="6" t="s">
        <v>5832</v>
      </c>
      <c r="O59" s="6" t="s">
        <v>5833</v>
      </c>
      <c r="P59" s="4"/>
      <c r="Q59" s="6" t="s">
        <v>5992</v>
      </c>
      <c r="R59" s="6" t="s">
        <v>5993</v>
      </c>
      <c r="S59" s="6" t="s">
        <v>5994</v>
      </c>
    </row>
    <row r="60" spans="1:19">
      <c r="A60" s="4" t="s">
        <v>5997</v>
      </c>
      <c r="B60" s="4" t="str">
        <f>CHOOSE(Translations!$C$1+1,Q60,R60,S60)</f>
        <v>Malaria I-6 Tasa de mortalidad por cualquier causa en menores de 5 años por cada 1.000 niños nacidos vivos</v>
      </c>
      <c r="C60" s="4">
        <f t="shared" si="0"/>
        <v>0</v>
      </c>
      <c r="D60" s="4" t="str">
        <f t="shared" si="1"/>
        <v>Malaria I-6 Tasa de mortalidad por cualquier causa en menores de 5 años por cada 1.000 niños nacidos vivos-0</v>
      </c>
      <c r="E60" s="4" t="str">
        <f>CHOOSE(Translations!$C$1+1,I60,J60,K60)</f>
        <v>Género</v>
      </c>
      <c r="F60" s="4" t="str">
        <f>CHOOSE(Translations!$C$1+1,M60,N60,O60)</f>
        <v>Mujeres</v>
      </c>
      <c r="G60" s="4" t="s">
        <v>5998</v>
      </c>
      <c r="H60" s="6" t="s">
        <v>5999</v>
      </c>
      <c r="I60" s="6" t="s">
        <v>800</v>
      </c>
      <c r="J60" s="6" t="s">
        <v>801</v>
      </c>
      <c r="K60" s="6" t="s">
        <v>802</v>
      </c>
      <c r="L60" s="4"/>
      <c r="M60" s="6" t="s">
        <v>5826</v>
      </c>
      <c r="N60" s="6" t="s">
        <v>5827</v>
      </c>
      <c r="O60" s="6" t="s">
        <v>5828</v>
      </c>
      <c r="P60" s="4"/>
      <c r="Q60" s="6" t="s">
        <v>6000</v>
      </c>
      <c r="R60" s="6" t="s">
        <v>6001</v>
      </c>
      <c r="S60" s="6" t="s">
        <v>6002</v>
      </c>
    </row>
    <row r="61" spans="1:19">
      <c r="A61" s="4" t="s">
        <v>5997</v>
      </c>
      <c r="B61" s="4" t="str">
        <f>CHOOSE(Translations!$C$1+1,Q61,R61,S61)</f>
        <v>Malaria I-6 Tasa de mortalidad por cualquier causa en menores de 5 años por cada 1.000 niños nacidos vivos</v>
      </c>
      <c r="C61" s="4">
        <f t="shared" si="0"/>
        <v>1</v>
      </c>
      <c r="D61" s="4" t="str">
        <f t="shared" si="1"/>
        <v>Malaria I-6 Tasa de mortalidad por cualquier causa en menores de 5 años por cada 1.000 niños nacidos vivos-1</v>
      </c>
      <c r="E61" s="4" t="str">
        <f>CHOOSE(Translations!$C$1+1,I61,J61,K61)</f>
        <v>Género</v>
      </c>
      <c r="F61" s="4" t="str">
        <f>CHOOSE(Translations!$C$1+1,M61,N61,O61)</f>
        <v>Hombres</v>
      </c>
      <c r="G61" s="4" t="s">
        <v>6003</v>
      </c>
      <c r="H61" s="6" t="s">
        <v>6004</v>
      </c>
      <c r="I61" s="6" t="s">
        <v>800</v>
      </c>
      <c r="J61" s="6" t="s">
        <v>801</v>
      </c>
      <c r="K61" s="6" t="s">
        <v>802</v>
      </c>
      <c r="L61" s="4"/>
      <c r="M61" s="6" t="s">
        <v>5831</v>
      </c>
      <c r="N61" s="6" t="s">
        <v>5832</v>
      </c>
      <c r="O61" s="6" t="s">
        <v>5833</v>
      </c>
      <c r="P61" s="4"/>
      <c r="Q61" s="6" t="s">
        <v>6000</v>
      </c>
      <c r="R61" s="6" t="s">
        <v>6001</v>
      </c>
      <c r="S61" s="6" t="s">
        <v>6002</v>
      </c>
    </row>
    <row r="62" spans="1:19">
      <c r="A62" s="4" t="s">
        <v>6005</v>
      </c>
      <c r="B62" s="4" t="str">
        <f>CHOOSE(Translations!$C$1+1,Q62,R62,S62)</f>
        <v>Malaria I-10⁽ᴹ⁾ Incidencia parasitaria anual: casos de malaria confirmados (con microscopio o prueba de diagnóstico rápido) al año por cada 1.000 personas (en entornos en fase de eliminación)</v>
      </c>
      <c r="C62" s="4">
        <f t="shared" si="0"/>
        <v>0</v>
      </c>
      <c r="D62" s="4" t="str">
        <f t="shared" si="1"/>
        <v>Malaria I-10⁽ᴹ⁾ Incidencia parasitaria anual: casos de malaria confirmados (con microscopio o prueba de diagnóstico rápido) al año por cada 1.000 personas (en entornos en fase de eliminación)-0</v>
      </c>
      <c r="E62" s="4" t="str">
        <f>CHOOSE(Translations!$C$1+1,I62,J62,K62)</f>
        <v>Fuente de infección</v>
      </c>
      <c r="F62" s="4" t="str">
        <f>CHOOSE(Translations!$C$1+1,M62,N62,O62)</f>
        <v>Locales-introducidas</v>
      </c>
      <c r="G62" s="4" t="s">
        <v>6006</v>
      </c>
      <c r="H62" s="6" t="s">
        <v>6007</v>
      </c>
      <c r="I62" s="6" t="s">
        <v>6008</v>
      </c>
      <c r="J62" s="6" t="s">
        <v>6009</v>
      </c>
      <c r="K62" s="6" t="s">
        <v>6010</v>
      </c>
      <c r="L62" s="4"/>
      <c r="M62" s="6" t="s">
        <v>6011</v>
      </c>
      <c r="N62" s="6" t="s">
        <v>6012</v>
      </c>
      <c r="O62" s="6" t="s">
        <v>6013</v>
      </c>
      <c r="P62" s="4"/>
      <c r="Q62" s="6" t="s">
        <v>6014</v>
      </c>
      <c r="R62" s="6" t="s">
        <v>6015</v>
      </c>
      <c r="S62" s="6" t="s">
        <v>6016</v>
      </c>
    </row>
    <row r="63" spans="1:19">
      <c r="A63" s="4" t="s">
        <v>6005</v>
      </c>
      <c r="B63" s="4" t="str">
        <f>CHOOSE(Translations!$C$1+1,Q63,R63,S63)</f>
        <v>Malaria I-10⁽ᴹ⁾ Incidencia parasitaria anual: casos de malaria confirmados (con microscopio o prueba de diagnóstico rápido) al año por cada 1.000 personas (en entornos en fase de eliminación)</v>
      </c>
      <c r="C63" s="4">
        <f t="shared" si="0"/>
        <v>1</v>
      </c>
      <c r="D63" s="4" t="str">
        <f t="shared" si="1"/>
        <v>Malaria I-10⁽ᴹ⁾ Incidencia parasitaria anual: casos de malaria confirmados (con microscopio o prueba de diagnóstico rápido) al año por cada 1.000 personas (en entornos en fase de eliminación)-1</v>
      </c>
      <c r="E63" s="4" t="str">
        <f>CHOOSE(Translations!$C$1+1,I63,J63,K63)</f>
        <v>Fuente de infección</v>
      </c>
      <c r="F63" s="4" t="str">
        <f>CHOOSE(Translations!$C$1+1,M63,N63,O63)</f>
        <v>Locales-autoctónas</v>
      </c>
      <c r="G63" s="4" t="s">
        <v>6017</v>
      </c>
      <c r="H63" s="6" t="s">
        <v>6018</v>
      </c>
      <c r="I63" s="6" t="s">
        <v>6008</v>
      </c>
      <c r="J63" s="6" t="s">
        <v>6009</v>
      </c>
      <c r="K63" s="6" t="s">
        <v>6010</v>
      </c>
      <c r="L63" s="4"/>
      <c r="M63" s="6" t="s">
        <v>6019</v>
      </c>
      <c r="N63" s="6" t="s">
        <v>6020</v>
      </c>
      <c r="O63" s="6" t="s">
        <v>6021</v>
      </c>
      <c r="P63" s="4"/>
      <c r="Q63" s="6" t="s">
        <v>6014</v>
      </c>
      <c r="R63" s="6" t="s">
        <v>6015</v>
      </c>
      <c r="S63" s="6" t="s">
        <v>6016</v>
      </c>
    </row>
    <row r="64" spans="1:19">
      <c r="A64" s="4" t="s">
        <v>6005</v>
      </c>
      <c r="B64" s="4" t="str">
        <f>CHOOSE(Translations!$C$1+1,Q64,R64,S64)</f>
        <v>Malaria I-10⁽ᴹ⁾ Incidencia parasitaria anual: casos de malaria confirmados (con microscopio o prueba de diagnóstico rápido) al año por cada 1.000 personas (en entornos en fase de eliminación)</v>
      </c>
      <c r="C64" s="4">
        <f t="shared" si="0"/>
        <v>2</v>
      </c>
      <c r="D64" s="4" t="str">
        <f t="shared" si="1"/>
        <v>Malaria I-10⁽ᴹ⁾ Incidencia parasitaria anual: casos de malaria confirmados (con microscopio o prueba de diagnóstico rápido) al año por cada 1.000 personas (en entornos en fase de eliminación)-2</v>
      </c>
      <c r="E64" s="4" t="str">
        <f>CHOOSE(Translations!$C$1+1,I64,J64,K64)</f>
        <v>Fuente de infección</v>
      </c>
      <c r="F64" s="4" t="str">
        <f>CHOOSE(Translations!$C$1+1,M64,N64,O64)</f>
        <v>Inducidas</v>
      </c>
      <c r="G64" s="4" t="s">
        <v>6022</v>
      </c>
      <c r="H64" s="6" t="s">
        <v>6023</v>
      </c>
      <c r="I64" s="6" t="s">
        <v>6008</v>
      </c>
      <c r="J64" s="6" t="s">
        <v>6009</v>
      </c>
      <c r="K64" s="6" t="s">
        <v>6010</v>
      </c>
      <c r="L64" s="4"/>
      <c r="M64" s="6" t="s">
        <v>6024</v>
      </c>
      <c r="N64" s="6" t="s">
        <v>6025</v>
      </c>
      <c r="O64" s="6" t="s">
        <v>6026</v>
      </c>
      <c r="P64" s="4"/>
      <c r="Q64" s="6" t="s">
        <v>6014</v>
      </c>
      <c r="R64" s="6" t="s">
        <v>6015</v>
      </c>
      <c r="S64" s="6" t="s">
        <v>6016</v>
      </c>
    </row>
    <row r="65" spans="1:19">
      <c r="A65" s="4" t="s">
        <v>6005</v>
      </c>
      <c r="B65" s="4" t="str">
        <f>CHOOSE(Translations!$C$1+1,Q65,R65,S65)</f>
        <v>Malaria I-10⁽ᴹ⁾ Incidencia parasitaria anual: casos de malaria confirmados (con microscopio o prueba de diagnóstico rápido) al año por cada 1.000 personas (en entornos en fase de eliminación)</v>
      </c>
      <c r="C65" s="4">
        <f t="shared" si="0"/>
        <v>3</v>
      </c>
      <c r="D65" s="4" t="str">
        <f t="shared" si="1"/>
        <v>Malaria I-10⁽ᴹ⁾ Incidencia parasitaria anual: casos de malaria confirmados (con microscopio o prueba de diagnóstico rápido) al año por cada 1.000 personas (en entornos en fase de eliminación)-3</v>
      </c>
      <c r="E65" s="4" t="str">
        <f>CHOOSE(Translations!$C$1+1,I65,J65,K65)</f>
        <v>Fuente de infección</v>
      </c>
      <c r="F65" s="4" t="str">
        <f>CHOOSE(Translations!$C$1+1,M65,N65,O65)</f>
        <v>Importadas</v>
      </c>
      <c r="G65" s="4" t="s">
        <v>6027</v>
      </c>
      <c r="H65" s="6" t="s">
        <v>6028</v>
      </c>
      <c r="I65" s="6" t="s">
        <v>6008</v>
      </c>
      <c r="J65" s="6" t="s">
        <v>6009</v>
      </c>
      <c r="K65" s="6" t="s">
        <v>6010</v>
      </c>
      <c r="L65" s="4"/>
      <c r="M65" s="6" t="s">
        <v>6029</v>
      </c>
      <c r="N65" s="6" t="s">
        <v>6030</v>
      </c>
      <c r="O65" s="6" t="s">
        <v>6031</v>
      </c>
      <c r="P65" s="4"/>
      <c r="Q65" s="6" t="s">
        <v>6014</v>
      </c>
      <c r="R65" s="6" t="s">
        <v>6015</v>
      </c>
      <c r="S65" s="6" t="s">
        <v>6016</v>
      </c>
    </row>
    <row r="67" spans="1:19">
      <c r="A67" s="8" t="s">
        <v>6032</v>
      </c>
    </row>
    <row r="68" spans="1:19">
      <c r="A68" s="4" t="s">
        <v>5784</v>
      </c>
      <c r="B68" s="4" t="s">
        <v>636</v>
      </c>
      <c r="C68" s="4">
        <v>0</v>
      </c>
      <c r="D68" s="4" t="s">
        <v>5785</v>
      </c>
      <c r="E68" s="4" t="s">
        <v>5786</v>
      </c>
      <c r="F68" s="4" t="s">
        <v>6033</v>
      </c>
      <c r="G68" s="4" t="s">
        <v>341</v>
      </c>
      <c r="H68" s="4" t="s">
        <v>5788</v>
      </c>
      <c r="I68" s="4" t="s">
        <v>5372</v>
      </c>
      <c r="J68" s="4" t="s">
        <v>5789</v>
      </c>
      <c r="K68" s="4" t="s">
        <v>5790</v>
      </c>
      <c r="L68" s="4" t="s">
        <v>3754</v>
      </c>
      <c r="M68" s="4" t="s">
        <v>5791</v>
      </c>
      <c r="N68" s="4" t="s">
        <v>5792</v>
      </c>
      <c r="O68" s="4" t="s">
        <v>645</v>
      </c>
      <c r="P68" s="4" t="s">
        <v>646</v>
      </c>
      <c r="Q68" s="4" t="s">
        <v>647</v>
      </c>
    </row>
    <row r="69" spans="1:19" hidden="1">
      <c r="A69" s="4" t="s">
        <v>5793</v>
      </c>
      <c r="B69" s="4" t="str">
        <f>CHOOSE(Translations!$C$1+1,O69,P69,Q69)</f>
        <v>[Name - ES]</v>
      </c>
      <c r="C69" s="4">
        <f>IF(O69=O68,C68+1,0)</f>
        <v>0</v>
      </c>
      <c r="D69" s="4" t="str">
        <f>B69&amp;"-"&amp;C69</f>
        <v>[Name - ES]-0</v>
      </c>
      <c r="E69" s="4" t="str">
        <f>CHOOSE(Translations!$C$1+1,I69,J69,K69)</f>
        <v>[Category - ES]</v>
      </c>
      <c r="F69" s="4" t="str">
        <f>CHOOSE(Translations!$C$1+1,L69,M69,N69)</f>
        <v>[Disaggregation - ES]</v>
      </c>
      <c r="G69" s="4" t="s">
        <v>345</v>
      </c>
      <c r="H69" s="6" t="s">
        <v>5794</v>
      </c>
      <c r="I69" s="6" t="s">
        <v>5795</v>
      </c>
      <c r="J69" s="6" t="s">
        <v>5796</v>
      </c>
      <c r="K69" s="6" t="s">
        <v>5797</v>
      </c>
      <c r="L69" s="6" t="s">
        <v>5798</v>
      </c>
      <c r="M69" s="6" t="s">
        <v>5799</v>
      </c>
      <c r="N69" s="6" t="s">
        <v>5800</v>
      </c>
      <c r="O69" s="6" t="s">
        <v>2860</v>
      </c>
      <c r="P69" s="6" t="s">
        <v>1453</v>
      </c>
      <c r="Q69" s="6" t="s">
        <v>1454</v>
      </c>
    </row>
    <row r="70" spans="1:19">
      <c r="A70" s="4" t="s">
        <v>751</v>
      </c>
      <c r="B70" s="4" t="str">
        <f>CHOOSE(Translations!$C$1+1,O70,P70,Q70)</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0" s="4">
        <f t="shared" ref="C70:C133" si="2">IF(O70=O69,C69+1,0)</f>
        <v>0</v>
      </c>
      <c r="D70" s="4" t="str">
        <f t="shared" ref="D70:D133" si="3">B70&amp;"-"&amp;C70</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meses.-0</v>
      </c>
      <c r="E70" s="4" t="str">
        <f>CHOOSE(Translations!$C$1+1,I70,J70,K70)</f>
        <v>Género</v>
      </c>
      <c r="F70" s="4" t="str">
        <f>CHOOSE(Translations!$C$1+1,L70,M70,N70)</f>
        <v>Mujeres</v>
      </c>
      <c r="G70" s="4" t="s">
        <v>6034</v>
      </c>
      <c r="H70" s="6" t="s">
        <v>6035</v>
      </c>
      <c r="I70" s="6" t="s">
        <v>800</v>
      </c>
      <c r="J70" s="6" t="s">
        <v>801</v>
      </c>
      <c r="K70" s="6" t="s">
        <v>802</v>
      </c>
      <c r="L70" s="6" t="s">
        <v>5826</v>
      </c>
      <c r="M70" s="6" t="s">
        <v>5827</v>
      </c>
      <c r="N70" s="6" t="s">
        <v>5828</v>
      </c>
      <c r="O70" s="6" t="s">
        <v>755</v>
      </c>
      <c r="P70" s="6" t="s">
        <v>756</v>
      </c>
      <c r="Q70" s="6" t="s">
        <v>757</v>
      </c>
    </row>
    <row r="71" spans="1:19">
      <c r="A71" s="4" t="s">
        <v>751</v>
      </c>
      <c r="B71" s="4" t="str">
        <f>CHOOSE(Translations!$C$1+1,O71,P71,Q71)</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1" s="4">
        <f t="shared" si="2"/>
        <v>1</v>
      </c>
      <c r="D71" s="4"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meses.-1</v>
      </c>
      <c r="E71" s="4" t="str">
        <f>CHOOSE(Translations!$C$1+1,I71,J71,K71)</f>
        <v>Género</v>
      </c>
      <c r="F71" s="4" t="str">
        <f>CHOOSE(Translations!$C$1+1,L71,M71,N71)</f>
        <v>Hombres</v>
      </c>
      <c r="G71" s="4" t="s">
        <v>6036</v>
      </c>
      <c r="H71" s="6" t="s">
        <v>6037</v>
      </c>
      <c r="I71" s="6" t="s">
        <v>800</v>
      </c>
      <c r="J71" s="6" t="s">
        <v>801</v>
      </c>
      <c r="K71" s="6" t="s">
        <v>802</v>
      </c>
      <c r="L71" s="6" t="s">
        <v>5831</v>
      </c>
      <c r="M71" s="6" t="s">
        <v>5832</v>
      </c>
      <c r="N71" s="6" t="s">
        <v>5833</v>
      </c>
      <c r="O71" s="6" t="s">
        <v>755</v>
      </c>
      <c r="P71" s="6" t="s">
        <v>756</v>
      </c>
      <c r="Q71" s="6" t="s">
        <v>757</v>
      </c>
    </row>
    <row r="72" spans="1:19">
      <c r="A72" s="4" t="s">
        <v>751</v>
      </c>
      <c r="B72" s="4" t="str">
        <f>CHOOSE(Translations!$C$1+1,O72,P72,Q72)</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2" s="4">
        <f t="shared" si="2"/>
        <v>2</v>
      </c>
      <c r="D72" s="4"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meses.-2</v>
      </c>
      <c r="E72" s="4" t="str">
        <f>CHOOSE(Translations!$C$1+1,I72,J72,K72)</f>
        <v>Edad</v>
      </c>
      <c r="F72" s="4" t="str">
        <f>CHOOSE(Translations!$C$1+1,L72,M72,N72)</f>
        <v>25+</v>
      </c>
      <c r="G72" s="4" t="s">
        <v>6038</v>
      </c>
      <c r="H72" s="6" t="s">
        <v>6039</v>
      </c>
      <c r="I72" s="6" t="s">
        <v>697</v>
      </c>
      <c r="J72" s="6" t="s">
        <v>697</v>
      </c>
      <c r="K72" s="6" t="s">
        <v>698</v>
      </c>
      <c r="L72" s="6" t="s">
        <v>5878</v>
      </c>
      <c r="M72" s="6" t="s">
        <v>5878</v>
      </c>
      <c r="N72" s="6" t="s">
        <v>5878</v>
      </c>
      <c r="O72" s="6" t="s">
        <v>755</v>
      </c>
      <c r="P72" s="6" t="s">
        <v>756</v>
      </c>
      <c r="Q72" s="6" t="s">
        <v>757</v>
      </c>
    </row>
    <row r="73" spans="1:19">
      <c r="A73" s="4" t="s">
        <v>751</v>
      </c>
      <c r="B73" s="4" t="str">
        <f>CHOOSE(Translations!$C$1+1,O73,P73,Q73)</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3" s="4">
        <f t="shared" si="2"/>
        <v>3</v>
      </c>
      <c r="D73" s="4"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meses.-3</v>
      </c>
      <c r="E73" s="4" t="str">
        <f>CHOOSE(Translations!$C$1+1,I73,J73,K73)</f>
        <v>Edad</v>
      </c>
      <c r="F73" s="4" t="str">
        <f>CHOOSE(Translations!$C$1+1,L73,M73,N73)</f>
        <v>20-24</v>
      </c>
      <c r="G73" s="4" t="s">
        <v>6040</v>
      </c>
      <c r="H73" s="6" t="s">
        <v>6041</v>
      </c>
      <c r="I73" s="6" t="s">
        <v>697</v>
      </c>
      <c r="J73" s="6" t="s">
        <v>697</v>
      </c>
      <c r="K73" s="6" t="s">
        <v>698</v>
      </c>
      <c r="L73" s="6" t="s">
        <v>6042</v>
      </c>
      <c r="M73" s="6" t="s">
        <v>6042</v>
      </c>
      <c r="N73" s="6" t="s">
        <v>6042</v>
      </c>
      <c r="O73" s="6" t="s">
        <v>755</v>
      </c>
      <c r="P73" s="6" t="s">
        <v>756</v>
      </c>
      <c r="Q73" s="6" t="s">
        <v>757</v>
      </c>
    </row>
    <row r="74" spans="1:19">
      <c r="A74" s="4" t="s">
        <v>751</v>
      </c>
      <c r="B74" s="4" t="str">
        <f>CHOOSE(Translations!$C$1+1,O74,P74,Q74)</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4" s="4">
        <f t="shared" si="2"/>
        <v>4</v>
      </c>
      <c r="D74" s="4"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meses.-4</v>
      </c>
      <c r="E74" s="4" t="str">
        <f>CHOOSE(Translations!$C$1+1,I74,J74,K74)</f>
        <v>Edad</v>
      </c>
      <c r="F74" s="4" t="str">
        <f>CHOOSE(Translations!$C$1+1,L74,M74,N74)</f>
        <v>15-19</v>
      </c>
      <c r="G74" s="4" t="s">
        <v>6043</v>
      </c>
      <c r="H74" s="6" t="s">
        <v>6044</v>
      </c>
      <c r="I74" s="6" t="s">
        <v>697</v>
      </c>
      <c r="J74" s="6" t="s">
        <v>697</v>
      </c>
      <c r="K74" s="6" t="s">
        <v>698</v>
      </c>
      <c r="L74" s="6" t="s">
        <v>6045</v>
      </c>
      <c r="M74" s="6" t="s">
        <v>6045</v>
      </c>
      <c r="N74" s="6" t="s">
        <v>6045</v>
      </c>
      <c r="O74" s="6" t="s">
        <v>755</v>
      </c>
      <c r="P74" s="6" t="s">
        <v>756</v>
      </c>
      <c r="Q74" s="6" t="s">
        <v>757</v>
      </c>
    </row>
    <row r="75" spans="1:19">
      <c r="A75" s="4" t="s">
        <v>758</v>
      </c>
      <c r="B75" s="4" t="str">
        <f>CHOOSE(Translations!$C$1+1,O75,P75,Q75)</f>
        <v>HIV O-4a⁽ᴹ⁾ Porcentaje de hombres que afirman haber utilizado preservativo en su última relación de sexo anal con una pareja masculina no regular</v>
      </c>
      <c r="C75" s="4">
        <f t="shared" si="2"/>
        <v>0</v>
      </c>
      <c r="D75" s="4" t="str">
        <f t="shared" si="3"/>
        <v>HIV O-4a⁽ᴹ⁾ Porcentaje de hombres que afirman haber utilizado preservativo en su última relación de sexo anal con una pareja masculina no regular-0</v>
      </c>
      <c r="E75" s="4" t="str">
        <f>CHOOSE(Translations!$C$1+1,I75,J75,K75)</f>
        <v>Edad</v>
      </c>
      <c r="F75" s="4" t="str">
        <f>CHOOSE(Translations!$C$1+1,L75,M75,N75)</f>
        <v>25+</v>
      </c>
      <c r="G75" s="4" t="s">
        <v>6046</v>
      </c>
      <c r="H75" s="6" t="s">
        <v>6047</v>
      </c>
      <c r="I75" s="6" t="s">
        <v>697</v>
      </c>
      <c r="J75" s="6" t="s">
        <v>697</v>
      </c>
      <c r="K75" s="6" t="s">
        <v>698</v>
      </c>
      <c r="L75" s="6" t="s">
        <v>5878</v>
      </c>
      <c r="M75" s="6" t="s">
        <v>5878</v>
      </c>
      <c r="N75" s="6" t="s">
        <v>5878</v>
      </c>
      <c r="O75" s="6" t="s">
        <v>761</v>
      </c>
      <c r="P75" s="6" t="s">
        <v>762</v>
      </c>
      <c r="Q75" s="6" t="s">
        <v>763</v>
      </c>
    </row>
    <row r="76" spans="1:19">
      <c r="A76" s="4" t="s">
        <v>758</v>
      </c>
      <c r="B76" s="4" t="str">
        <f>CHOOSE(Translations!$C$1+1,O76,P76,Q76)</f>
        <v>HIV O-4a⁽ᴹ⁾ Porcentaje de hombres que afirman haber utilizado preservativo en su última relación de sexo anal con una pareja masculina no regular</v>
      </c>
      <c r="C76" s="4">
        <f t="shared" si="2"/>
        <v>1</v>
      </c>
      <c r="D76" s="4" t="str">
        <f t="shared" si="3"/>
        <v>HIV O-4a⁽ᴹ⁾ Porcentaje de hombres que afirman haber utilizado preservativo en su última relación de sexo anal con una pareja masculina no regular-1</v>
      </c>
      <c r="E76" s="4" t="str">
        <f>CHOOSE(Translations!$C$1+1,I76,J76,K76)</f>
        <v>Edad</v>
      </c>
      <c r="F76" s="4" t="str">
        <f>CHOOSE(Translations!$C$1+1,L76,M76,N76)</f>
        <v>&lt;25</v>
      </c>
      <c r="G76" s="4" t="s">
        <v>6048</v>
      </c>
      <c r="H76" s="6" t="s">
        <v>6049</v>
      </c>
      <c r="I76" s="6" t="s">
        <v>697</v>
      </c>
      <c r="J76" s="6" t="s">
        <v>697</v>
      </c>
      <c r="K76" s="6" t="s">
        <v>698</v>
      </c>
      <c r="L76" s="6" t="s">
        <v>5881</v>
      </c>
      <c r="M76" s="6" t="s">
        <v>5881</v>
      </c>
      <c r="N76" s="6" t="s">
        <v>5881</v>
      </c>
      <c r="O76" s="6" t="s">
        <v>761</v>
      </c>
      <c r="P76" s="6" t="s">
        <v>762</v>
      </c>
      <c r="Q76" s="6" t="s">
        <v>763</v>
      </c>
    </row>
    <row r="77" spans="1:19">
      <c r="A77" s="4" t="s">
        <v>764</v>
      </c>
      <c r="B77" s="4" t="str">
        <f>CHOOSE(Translations!$C$1+1,O77,P77,Q77)</f>
        <v>HIV O-4.1b⁽ᴹ⁾ Porcentaje de personas transgénero que afirman haber utilizado preservativo en su último encuentro sexual o relación de sexo anal con una pareja masculina no regular</v>
      </c>
      <c r="C77" s="4">
        <f t="shared" si="2"/>
        <v>0</v>
      </c>
      <c r="D77" s="4" t="str">
        <f t="shared" si="3"/>
        <v>HIV O-4.1b⁽ᴹ⁾ Porcentaje de personas transgénero que afirman haber utilizado preservativo en su último encuentro sexual o relación de sexo anal con una pareja masculina no regular-0</v>
      </c>
      <c r="E77" s="4" t="str">
        <f>CHOOSE(Translations!$C$1+1,I77,J77,K77)</f>
        <v>Edad</v>
      </c>
      <c r="F77" s="4" t="str">
        <f>CHOOSE(Translations!$C$1+1,L77,M77,N77)</f>
        <v>25+</v>
      </c>
      <c r="G77" s="4" t="s">
        <v>6050</v>
      </c>
      <c r="H77" s="6" t="s">
        <v>6051</v>
      </c>
      <c r="I77" s="6" t="s">
        <v>697</v>
      </c>
      <c r="J77" s="6" t="s">
        <v>697</v>
      </c>
      <c r="K77" s="6" t="s">
        <v>698</v>
      </c>
      <c r="L77" s="6" t="s">
        <v>5878</v>
      </c>
      <c r="M77" s="6" t="s">
        <v>5878</v>
      </c>
      <c r="N77" s="6" t="s">
        <v>5878</v>
      </c>
      <c r="O77" s="6" t="s">
        <v>767</v>
      </c>
      <c r="P77" s="6" t="s">
        <v>768</v>
      </c>
      <c r="Q77" s="6" t="s">
        <v>769</v>
      </c>
    </row>
    <row r="78" spans="1:19">
      <c r="A78" s="4" t="s">
        <v>764</v>
      </c>
      <c r="B78" s="4" t="str">
        <f>CHOOSE(Translations!$C$1+1,O78,P78,Q78)</f>
        <v>HIV O-4.1b⁽ᴹ⁾ Porcentaje de personas transgénero que afirman haber utilizado preservativo en su último encuentro sexual o relación de sexo anal con una pareja masculina no regular</v>
      </c>
      <c r="C78" s="4">
        <f t="shared" si="2"/>
        <v>1</v>
      </c>
      <c r="D78" s="4" t="str">
        <f t="shared" si="3"/>
        <v>HIV O-4.1b⁽ᴹ⁾ Porcentaje de personas transgénero que afirman haber utilizado preservativo en su último encuentro sexual o relación de sexo anal con una pareja masculina no regular-1</v>
      </c>
      <c r="E78" s="4" t="str">
        <f>CHOOSE(Translations!$C$1+1,I78,J78,K78)</f>
        <v>Edad</v>
      </c>
      <c r="F78" s="4" t="str">
        <f>CHOOSE(Translations!$C$1+1,L78,M78,N78)</f>
        <v>&lt;25</v>
      </c>
      <c r="G78" s="4" t="s">
        <v>6052</v>
      </c>
      <c r="H78" s="6" t="s">
        <v>6053</v>
      </c>
      <c r="I78" s="6" t="s">
        <v>697</v>
      </c>
      <c r="J78" s="6" t="s">
        <v>697</v>
      </c>
      <c r="K78" s="6" t="s">
        <v>698</v>
      </c>
      <c r="L78" s="6" t="s">
        <v>5881</v>
      </c>
      <c r="M78" s="6" t="s">
        <v>5881</v>
      </c>
      <c r="N78" s="6" t="s">
        <v>5881</v>
      </c>
      <c r="O78" s="6" t="s">
        <v>767</v>
      </c>
      <c r="P78" s="6" t="s">
        <v>768</v>
      </c>
      <c r="Q78" s="6" t="s">
        <v>769</v>
      </c>
    </row>
    <row r="79" spans="1:19">
      <c r="A79" s="4" t="s">
        <v>770</v>
      </c>
      <c r="B79" s="4" t="str">
        <f>CHOOSE(Translations!$C$1+1,O79,P79,Q79)</f>
        <v>HIV O-5⁽ᴹ⁾ Porcentaje de trabajadores sexuales que afirman haber utilizado preservativo con su último cliente</v>
      </c>
      <c r="C79" s="4">
        <f t="shared" si="2"/>
        <v>0</v>
      </c>
      <c r="D79" s="4" t="str">
        <f t="shared" si="3"/>
        <v>HIV O-5⁽ᴹ⁾ Porcentaje de trabajadores sexuales que afirman haber utilizado preservativo con su último cliente-0</v>
      </c>
      <c r="E79" s="4" t="str">
        <f>CHOOSE(Translations!$C$1+1,I79,J79,K79)</f>
        <v>Género</v>
      </c>
      <c r="F79" s="4" t="str">
        <f>CHOOSE(Translations!$C$1+1,L79,M79,N79)</f>
        <v>Transgénero</v>
      </c>
      <c r="G79" s="4" t="s">
        <v>6054</v>
      </c>
      <c r="H79" s="6" t="s">
        <v>6055</v>
      </c>
      <c r="I79" s="6" t="s">
        <v>800</v>
      </c>
      <c r="J79" s="6" t="s">
        <v>801</v>
      </c>
      <c r="K79" s="6" t="s">
        <v>802</v>
      </c>
      <c r="L79" s="6" t="s">
        <v>5888</v>
      </c>
      <c r="M79" s="6" t="s">
        <v>5889</v>
      </c>
      <c r="N79" s="6" t="s">
        <v>5890</v>
      </c>
      <c r="O79" s="6" t="s">
        <v>773</v>
      </c>
      <c r="P79" s="6" t="s">
        <v>774</v>
      </c>
      <c r="Q79" s="6" t="s">
        <v>775</v>
      </c>
    </row>
    <row r="80" spans="1:19">
      <c r="A80" s="4" t="s">
        <v>770</v>
      </c>
      <c r="B80" s="4" t="str">
        <f>CHOOSE(Translations!$C$1+1,O80,P80,Q80)</f>
        <v>HIV O-5⁽ᴹ⁾ Porcentaje de trabajadores sexuales que afirman haber utilizado preservativo con su último cliente</v>
      </c>
      <c r="C80" s="4">
        <f t="shared" si="2"/>
        <v>1</v>
      </c>
      <c r="D80" s="4" t="str">
        <f t="shared" si="3"/>
        <v>HIV O-5⁽ᴹ⁾ Porcentaje de trabajadores sexuales que afirman haber utilizado preservativo con su último cliente-1</v>
      </c>
      <c r="E80" s="4" t="str">
        <f>CHOOSE(Translations!$C$1+1,I80,J80,K80)</f>
        <v>Género</v>
      </c>
      <c r="F80" s="4" t="str">
        <f>CHOOSE(Translations!$C$1+1,L80,M80,N80)</f>
        <v>Mujeres</v>
      </c>
      <c r="G80" s="4" t="s">
        <v>6056</v>
      </c>
      <c r="H80" s="6" t="s">
        <v>6057</v>
      </c>
      <c r="I80" s="6" t="s">
        <v>800</v>
      </c>
      <c r="J80" s="6" t="s">
        <v>801</v>
      </c>
      <c r="K80" s="6" t="s">
        <v>802</v>
      </c>
      <c r="L80" s="6" t="s">
        <v>5826</v>
      </c>
      <c r="M80" s="6" t="s">
        <v>5827</v>
      </c>
      <c r="N80" s="6" t="s">
        <v>5828</v>
      </c>
      <c r="O80" s="6" t="s">
        <v>773</v>
      </c>
      <c r="P80" s="6" t="s">
        <v>774</v>
      </c>
      <c r="Q80" s="6" t="s">
        <v>775</v>
      </c>
    </row>
    <row r="81" spans="1:17">
      <c r="A81" s="4" t="s">
        <v>770</v>
      </c>
      <c r="B81" s="4" t="str">
        <f>CHOOSE(Translations!$C$1+1,O81,P81,Q81)</f>
        <v>HIV O-5⁽ᴹ⁾ Porcentaje de trabajadores sexuales que afirman haber utilizado preservativo con su último cliente</v>
      </c>
      <c r="C81" s="4">
        <f t="shared" si="2"/>
        <v>2</v>
      </c>
      <c r="D81" s="4" t="str">
        <f t="shared" si="3"/>
        <v>HIV O-5⁽ᴹ⁾ Porcentaje de trabajadores sexuales que afirman haber utilizado preservativo con su último cliente-2</v>
      </c>
      <c r="E81" s="4" t="str">
        <f>CHOOSE(Translations!$C$1+1,I81,J81,K81)</f>
        <v>Género</v>
      </c>
      <c r="F81" s="4" t="str">
        <f>CHOOSE(Translations!$C$1+1,L81,M81,N81)</f>
        <v>Hombres</v>
      </c>
      <c r="G81" s="4" t="s">
        <v>6058</v>
      </c>
      <c r="H81" s="6" t="s">
        <v>6059</v>
      </c>
      <c r="I81" s="6" t="s">
        <v>800</v>
      </c>
      <c r="J81" s="6" t="s">
        <v>801</v>
      </c>
      <c r="K81" s="6" t="s">
        <v>802</v>
      </c>
      <c r="L81" s="6" t="s">
        <v>5831</v>
      </c>
      <c r="M81" s="6" t="s">
        <v>5832</v>
      </c>
      <c r="N81" s="6" t="s">
        <v>5833</v>
      </c>
      <c r="O81" s="6" t="s">
        <v>773</v>
      </c>
      <c r="P81" s="6" t="s">
        <v>774</v>
      </c>
      <c r="Q81" s="6" t="s">
        <v>775</v>
      </c>
    </row>
    <row r="82" spans="1:17">
      <c r="A82" s="4" t="s">
        <v>770</v>
      </c>
      <c r="B82" s="4" t="str">
        <f>CHOOSE(Translations!$C$1+1,O82,P82,Q82)</f>
        <v>HIV O-5⁽ᴹ⁾ Porcentaje de trabajadores sexuales que afirman haber utilizado preservativo con su último cliente</v>
      </c>
      <c r="C82" s="4">
        <f t="shared" si="2"/>
        <v>3</v>
      </c>
      <c r="D82" s="4" t="str">
        <f t="shared" si="3"/>
        <v>HIV O-5⁽ᴹ⁾ Porcentaje de trabajadores sexuales que afirman haber utilizado preservativo con su último cliente-3</v>
      </c>
      <c r="E82" s="4" t="str">
        <f>CHOOSE(Translations!$C$1+1,I82,J82,K82)</f>
        <v>Edad</v>
      </c>
      <c r="F82" s="4" t="str">
        <f>CHOOSE(Translations!$C$1+1,L82,M82,N82)</f>
        <v>25+</v>
      </c>
      <c r="G82" s="4" t="s">
        <v>6060</v>
      </c>
      <c r="H82" s="6" t="s">
        <v>6061</v>
      </c>
      <c r="I82" s="6" t="s">
        <v>697</v>
      </c>
      <c r="J82" s="6" t="s">
        <v>697</v>
      </c>
      <c r="K82" s="6" t="s">
        <v>698</v>
      </c>
      <c r="L82" s="6" t="s">
        <v>5878</v>
      </c>
      <c r="M82" s="6" t="s">
        <v>5878</v>
      </c>
      <c r="N82" s="6" t="s">
        <v>5878</v>
      </c>
      <c r="O82" s="6" t="s">
        <v>773</v>
      </c>
      <c r="P82" s="6" t="s">
        <v>774</v>
      </c>
      <c r="Q82" s="6" t="s">
        <v>775</v>
      </c>
    </row>
    <row r="83" spans="1:17">
      <c r="A83" s="4" t="s">
        <v>770</v>
      </c>
      <c r="B83" s="4" t="str">
        <f>CHOOSE(Translations!$C$1+1,O83,P83,Q83)</f>
        <v>HIV O-5⁽ᴹ⁾ Porcentaje de trabajadores sexuales que afirman haber utilizado preservativo con su último cliente</v>
      </c>
      <c r="C83" s="4">
        <f t="shared" si="2"/>
        <v>4</v>
      </c>
      <c r="D83" s="4" t="str">
        <f t="shared" si="3"/>
        <v>HIV O-5⁽ᴹ⁾ Porcentaje de trabajadores sexuales que afirman haber utilizado preservativo con su último cliente-4</v>
      </c>
      <c r="E83" s="4" t="str">
        <f>CHOOSE(Translations!$C$1+1,I83,J83,K83)</f>
        <v>Edad</v>
      </c>
      <c r="F83" s="4" t="str">
        <f>CHOOSE(Translations!$C$1+1,L83,M83,N83)</f>
        <v>&lt;25</v>
      </c>
      <c r="G83" s="4" t="s">
        <v>6062</v>
      </c>
      <c r="H83" s="6" t="s">
        <v>6063</v>
      </c>
      <c r="I83" s="6" t="s">
        <v>697</v>
      </c>
      <c r="J83" s="6" t="s">
        <v>697</v>
      </c>
      <c r="K83" s="6" t="s">
        <v>698</v>
      </c>
      <c r="L83" s="6" t="s">
        <v>5881</v>
      </c>
      <c r="M83" s="6" t="s">
        <v>5881</v>
      </c>
      <c r="N83" s="6" t="s">
        <v>5881</v>
      </c>
      <c r="O83" s="6" t="s">
        <v>773</v>
      </c>
      <c r="P83" s="6" t="s">
        <v>774</v>
      </c>
      <c r="Q83" s="6" t="s">
        <v>775</v>
      </c>
    </row>
    <row r="84" spans="1:17">
      <c r="A84" s="4" t="s">
        <v>776</v>
      </c>
      <c r="B84" s="4" t="str">
        <f>CHOOSE(Translations!$C$1+1,O84,P84,Q84)</f>
        <v>HIV O-6⁽ᴹ⁾ Porcentaje de consumidores de drogas inyectables que afirman haber utilizado material de inyección esterilizado en su última inyección</v>
      </c>
      <c r="C84" s="4">
        <f t="shared" si="2"/>
        <v>0</v>
      </c>
      <c r="D84" s="4" t="str">
        <f t="shared" si="3"/>
        <v>HIV O-6⁽ᴹ⁾ Porcentaje de consumidores de drogas inyectables que afirman haber utilizado material de inyección esterilizado en su última inyección-0</v>
      </c>
      <c r="E84" s="4" t="str">
        <f>CHOOSE(Translations!$C$1+1,I84,J84,K84)</f>
        <v>Género</v>
      </c>
      <c r="F84" s="4" t="str">
        <f>CHOOSE(Translations!$C$1+1,L84,M84,N84)</f>
        <v>Transgénero</v>
      </c>
      <c r="G84" s="4" t="s">
        <v>6064</v>
      </c>
      <c r="H84" s="6" t="s">
        <v>6065</v>
      </c>
      <c r="I84" s="6" t="s">
        <v>800</v>
      </c>
      <c r="J84" s="6" t="s">
        <v>801</v>
      </c>
      <c r="K84" s="6" t="s">
        <v>802</v>
      </c>
      <c r="L84" s="6" t="s">
        <v>5888</v>
      </c>
      <c r="M84" s="6" t="s">
        <v>5889</v>
      </c>
      <c r="N84" s="6" t="s">
        <v>5890</v>
      </c>
      <c r="O84" s="6" t="s">
        <v>779</v>
      </c>
      <c r="P84" s="6" t="s">
        <v>780</v>
      </c>
      <c r="Q84" s="6" t="s">
        <v>781</v>
      </c>
    </row>
    <row r="85" spans="1:17">
      <c r="A85" s="4" t="s">
        <v>776</v>
      </c>
      <c r="B85" s="4" t="str">
        <f>CHOOSE(Translations!$C$1+1,O85,P85,Q85)</f>
        <v>HIV O-6⁽ᴹ⁾ Porcentaje de consumidores de drogas inyectables que afirman haber utilizado material de inyección esterilizado en su última inyección</v>
      </c>
      <c r="C85" s="4">
        <f t="shared" si="2"/>
        <v>1</v>
      </c>
      <c r="D85" s="4" t="str">
        <f t="shared" si="3"/>
        <v>HIV O-6⁽ᴹ⁾ Porcentaje de consumidores de drogas inyectables que afirman haber utilizado material de inyección esterilizado en su última inyección-1</v>
      </c>
      <c r="E85" s="4" t="str">
        <f>CHOOSE(Translations!$C$1+1,I85,J85,K85)</f>
        <v>Género</v>
      </c>
      <c r="F85" s="4" t="str">
        <f>CHOOSE(Translations!$C$1+1,L85,M85,N85)</f>
        <v>Mujeres</v>
      </c>
      <c r="G85" s="4" t="s">
        <v>6066</v>
      </c>
      <c r="H85" s="6" t="s">
        <v>6067</v>
      </c>
      <c r="I85" s="6" t="s">
        <v>800</v>
      </c>
      <c r="J85" s="6" t="s">
        <v>801</v>
      </c>
      <c r="K85" s="6" t="s">
        <v>802</v>
      </c>
      <c r="L85" s="6" t="s">
        <v>5826</v>
      </c>
      <c r="M85" s="6" t="s">
        <v>5827</v>
      </c>
      <c r="N85" s="6" t="s">
        <v>5828</v>
      </c>
      <c r="O85" s="6" t="s">
        <v>779</v>
      </c>
      <c r="P85" s="6" t="s">
        <v>780</v>
      </c>
      <c r="Q85" s="6" t="s">
        <v>781</v>
      </c>
    </row>
    <row r="86" spans="1:17">
      <c r="A86" s="4" t="s">
        <v>776</v>
      </c>
      <c r="B86" s="4" t="str">
        <f>CHOOSE(Translations!$C$1+1,O86,P86,Q86)</f>
        <v>HIV O-6⁽ᴹ⁾ Porcentaje de consumidores de drogas inyectables que afirman haber utilizado material de inyección esterilizado en su última inyección</v>
      </c>
      <c r="C86" s="4">
        <f t="shared" si="2"/>
        <v>2</v>
      </c>
      <c r="D86" s="4" t="str">
        <f t="shared" si="3"/>
        <v>HIV O-6⁽ᴹ⁾ Porcentaje de consumidores de drogas inyectables que afirman haber utilizado material de inyección esterilizado en su última inyección-2</v>
      </c>
      <c r="E86" s="4" t="str">
        <f>CHOOSE(Translations!$C$1+1,I86,J86,K86)</f>
        <v>Género</v>
      </c>
      <c r="F86" s="4" t="str">
        <f>CHOOSE(Translations!$C$1+1,L86,M86,N86)</f>
        <v>Hombres</v>
      </c>
      <c r="G86" s="4" t="s">
        <v>6068</v>
      </c>
      <c r="H86" s="6" t="s">
        <v>6069</v>
      </c>
      <c r="I86" s="6" t="s">
        <v>800</v>
      </c>
      <c r="J86" s="6" t="s">
        <v>801</v>
      </c>
      <c r="K86" s="6" t="s">
        <v>802</v>
      </c>
      <c r="L86" s="6" t="s">
        <v>5831</v>
      </c>
      <c r="M86" s="6" t="s">
        <v>5832</v>
      </c>
      <c r="N86" s="6" t="s">
        <v>5833</v>
      </c>
      <c r="O86" s="6" t="s">
        <v>779</v>
      </c>
      <c r="P86" s="6" t="s">
        <v>780</v>
      </c>
      <c r="Q86" s="6" t="s">
        <v>781</v>
      </c>
    </row>
    <row r="87" spans="1:17">
      <c r="A87" s="4" t="s">
        <v>776</v>
      </c>
      <c r="B87" s="4" t="str">
        <f>CHOOSE(Translations!$C$1+1,O87,P87,Q87)</f>
        <v>HIV O-6⁽ᴹ⁾ Porcentaje de consumidores de drogas inyectables que afirman haber utilizado material de inyección esterilizado en su última inyección</v>
      </c>
      <c r="C87" s="4">
        <f t="shared" si="2"/>
        <v>3</v>
      </c>
      <c r="D87" s="4" t="str">
        <f t="shared" si="3"/>
        <v>HIV O-6⁽ᴹ⁾ Porcentaje de consumidores de drogas inyectables que afirman haber utilizado material de inyección esterilizado en su última inyección-3</v>
      </c>
      <c r="E87" s="4" t="str">
        <f>CHOOSE(Translations!$C$1+1,I87,J87,K87)</f>
        <v>Edad</v>
      </c>
      <c r="F87" s="4" t="str">
        <f>CHOOSE(Translations!$C$1+1,L87,M87,N87)</f>
        <v>25+</v>
      </c>
      <c r="G87" s="4" t="s">
        <v>6070</v>
      </c>
      <c r="H87" s="6" t="s">
        <v>6071</v>
      </c>
      <c r="I87" s="6" t="s">
        <v>697</v>
      </c>
      <c r="J87" s="6" t="s">
        <v>697</v>
      </c>
      <c r="K87" s="6" t="s">
        <v>698</v>
      </c>
      <c r="L87" s="6" t="s">
        <v>5878</v>
      </c>
      <c r="M87" s="6" t="s">
        <v>5878</v>
      </c>
      <c r="N87" s="6" t="s">
        <v>5878</v>
      </c>
      <c r="O87" s="6" t="s">
        <v>779</v>
      </c>
      <c r="P87" s="6" t="s">
        <v>780</v>
      </c>
      <c r="Q87" s="6" t="s">
        <v>781</v>
      </c>
    </row>
    <row r="88" spans="1:17">
      <c r="A88" s="4" t="s">
        <v>776</v>
      </c>
      <c r="B88" s="4" t="str">
        <f>CHOOSE(Translations!$C$1+1,O88,P88,Q88)</f>
        <v>HIV O-6⁽ᴹ⁾ Porcentaje de consumidores de drogas inyectables que afirman haber utilizado material de inyección esterilizado en su última inyección</v>
      </c>
      <c r="C88" s="4">
        <f t="shared" si="2"/>
        <v>4</v>
      </c>
      <c r="D88" s="4" t="str">
        <f t="shared" si="3"/>
        <v>HIV O-6⁽ᴹ⁾ Porcentaje de consumidores de drogas inyectables que afirman haber utilizado material de inyección esterilizado en su última inyección-4</v>
      </c>
      <c r="E88" s="4" t="str">
        <f>CHOOSE(Translations!$C$1+1,I88,J88,K88)</f>
        <v>Edad</v>
      </c>
      <c r="F88" s="4" t="str">
        <f>CHOOSE(Translations!$C$1+1,L88,M88,N88)</f>
        <v>&lt;25</v>
      </c>
      <c r="G88" s="4" t="s">
        <v>6072</v>
      </c>
      <c r="H88" s="6" t="s">
        <v>6073</v>
      </c>
      <c r="I88" s="6" t="s">
        <v>697</v>
      </c>
      <c r="J88" s="6" t="s">
        <v>697</v>
      </c>
      <c r="K88" s="6" t="s">
        <v>698</v>
      </c>
      <c r="L88" s="6" t="s">
        <v>5881</v>
      </c>
      <c r="M88" s="6" t="s">
        <v>5881</v>
      </c>
      <c r="N88" s="6" t="s">
        <v>5881</v>
      </c>
      <c r="O88" s="6" t="s">
        <v>779</v>
      </c>
      <c r="P88" s="6" t="s">
        <v>780</v>
      </c>
      <c r="Q88" s="6" t="s">
        <v>781</v>
      </c>
    </row>
    <row r="89" spans="1:17">
      <c r="A89" s="4" t="s">
        <v>782</v>
      </c>
      <c r="B89" s="4" t="str">
        <f>CHOOSE(Translations!$C$1+1,O89,P89,Q89)</f>
        <v>HIV O-9 Porcentaje de consumidores de drogas inyectables que afirman haber utilizado preservativo en su última relación sexual</v>
      </c>
      <c r="C89" s="4">
        <f t="shared" si="2"/>
        <v>0</v>
      </c>
      <c r="D89" s="4" t="str">
        <f t="shared" si="3"/>
        <v>HIV O-9 Porcentaje de consumidores de drogas inyectables que afirman haber utilizado preservativo en su última relación sexual-0</v>
      </c>
      <c r="E89" s="4" t="str">
        <f>CHOOSE(Translations!$C$1+1,I89,J89,K89)</f>
        <v>Género</v>
      </c>
      <c r="F89" s="4" t="str">
        <f>CHOOSE(Translations!$C$1+1,L89,M89,N89)</f>
        <v>Transgénero</v>
      </c>
      <c r="G89" s="4" t="s">
        <v>6074</v>
      </c>
      <c r="H89" s="6" t="s">
        <v>6075</v>
      </c>
      <c r="I89" s="6" t="s">
        <v>800</v>
      </c>
      <c r="J89" s="6" t="s">
        <v>801</v>
      </c>
      <c r="K89" s="6" t="s">
        <v>802</v>
      </c>
      <c r="L89" s="6" t="s">
        <v>5888</v>
      </c>
      <c r="M89" s="6" t="s">
        <v>5889</v>
      </c>
      <c r="N89" s="6" t="s">
        <v>5890</v>
      </c>
      <c r="O89" s="6" t="s">
        <v>785</v>
      </c>
      <c r="P89" s="6" t="s">
        <v>786</v>
      </c>
      <c r="Q89" s="6" t="s">
        <v>787</v>
      </c>
    </row>
    <row r="90" spans="1:17">
      <c r="A90" s="4" t="s">
        <v>782</v>
      </c>
      <c r="B90" s="4" t="str">
        <f>CHOOSE(Translations!$C$1+1,O90,P90,Q90)</f>
        <v>HIV O-9 Porcentaje de consumidores de drogas inyectables que afirman haber utilizado preservativo en su última relación sexual</v>
      </c>
      <c r="C90" s="4">
        <f t="shared" si="2"/>
        <v>1</v>
      </c>
      <c r="D90" s="4" t="str">
        <f t="shared" si="3"/>
        <v>HIV O-9 Porcentaje de consumidores de drogas inyectables que afirman haber utilizado preservativo en su última relación sexual-1</v>
      </c>
      <c r="E90" s="4" t="str">
        <f>CHOOSE(Translations!$C$1+1,I90,J90,K90)</f>
        <v>Género</v>
      </c>
      <c r="F90" s="4" t="str">
        <f>CHOOSE(Translations!$C$1+1,L90,M90,N90)</f>
        <v>Mujeres</v>
      </c>
      <c r="G90" s="4" t="s">
        <v>6076</v>
      </c>
      <c r="H90" s="6" t="s">
        <v>6077</v>
      </c>
      <c r="I90" s="6" t="s">
        <v>800</v>
      </c>
      <c r="J90" s="6" t="s">
        <v>801</v>
      </c>
      <c r="K90" s="6" t="s">
        <v>802</v>
      </c>
      <c r="L90" s="6" t="s">
        <v>5826</v>
      </c>
      <c r="M90" s="6" t="s">
        <v>5827</v>
      </c>
      <c r="N90" s="6" t="s">
        <v>5828</v>
      </c>
      <c r="O90" s="6" t="s">
        <v>785</v>
      </c>
      <c r="P90" s="6" t="s">
        <v>786</v>
      </c>
      <c r="Q90" s="6" t="s">
        <v>787</v>
      </c>
    </row>
    <row r="91" spans="1:17">
      <c r="A91" s="4" t="s">
        <v>782</v>
      </c>
      <c r="B91" s="4" t="str">
        <f>CHOOSE(Translations!$C$1+1,O91,P91,Q91)</f>
        <v>HIV O-9 Porcentaje de consumidores de drogas inyectables que afirman haber utilizado preservativo en su última relación sexual</v>
      </c>
      <c r="C91" s="4">
        <f t="shared" si="2"/>
        <v>2</v>
      </c>
      <c r="D91" s="4" t="str">
        <f t="shared" si="3"/>
        <v>HIV O-9 Porcentaje de consumidores de drogas inyectables que afirman haber utilizado preservativo en su última relación sexual-2</v>
      </c>
      <c r="E91" s="4" t="str">
        <f>CHOOSE(Translations!$C$1+1,I91,J91,K91)</f>
        <v>Género</v>
      </c>
      <c r="F91" s="4" t="str">
        <f>CHOOSE(Translations!$C$1+1,L91,M91,N91)</f>
        <v>Hombres</v>
      </c>
      <c r="G91" s="4" t="s">
        <v>6078</v>
      </c>
      <c r="H91" s="6" t="s">
        <v>6079</v>
      </c>
      <c r="I91" s="6" t="s">
        <v>800</v>
      </c>
      <c r="J91" s="6" t="s">
        <v>801</v>
      </c>
      <c r="K91" s="6" t="s">
        <v>802</v>
      </c>
      <c r="L91" s="6" t="s">
        <v>5831</v>
      </c>
      <c r="M91" s="6" t="s">
        <v>5832</v>
      </c>
      <c r="N91" s="6" t="s">
        <v>5833</v>
      </c>
      <c r="O91" s="6" t="s">
        <v>785</v>
      </c>
      <c r="P91" s="6" t="s">
        <v>786</v>
      </c>
      <c r="Q91" s="6" t="s">
        <v>787</v>
      </c>
    </row>
    <row r="92" spans="1:17">
      <c r="A92" s="4" t="s">
        <v>782</v>
      </c>
      <c r="B92" s="4" t="str">
        <f>CHOOSE(Translations!$C$1+1,O92,P92,Q92)</f>
        <v>HIV O-9 Porcentaje de consumidores de drogas inyectables que afirman haber utilizado preservativo en su última relación sexual</v>
      </c>
      <c r="C92" s="4">
        <f t="shared" si="2"/>
        <v>3</v>
      </c>
      <c r="D92" s="4" t="str">
        <f t="shared" si="3"/>
        <v>HIV O-9 Porcentaje de consumidores de drogas inyectables que afirman haber utilizado preservativo en su última relación sexual-3</v>
      </c>
      <c r="E92" s="4" t="str">
        <f>CHOOSE(Translations!$C$1+1,I92,J92,K92)</f>
        <v>Edad</v>
      </c>
      <c r="F92" s="4" t="str">
        <f>CHOOSE(Translations!$C$1+1,L92,M92,N92)</f>
        <v>25+</v>
      </c>
      <c r="G92" s="4" t="s">
        <v>6080</v>
      </c>
      <c r="H92" s="6" t="s">
        <v>6081</v>
      </c>
      <c r="I92" s="6" t="s">
        <v>697</v>
      </c>
      <c r="J92" s="6" t="s">
        <v>697</v>
      </c>
      <c r="K92" s="6" t="s">
        <v>698</v>
      </c>
      <c r="L92" s="6" t="s">
        <v>5878</v>
      </c>
      <c r="M92" s="6" t="s">
        <v>5878</v>
      </c>
      <c r="N92" s="6" t="s">
        <v>5878</v>
      </c>
      <c r="O92" s="6" t="s">
        <v>785</v>
      </c>
      <c r="P92" s="6" t="s">
        <v>786</v>
      </c>
      <c r="Q92" s="6" t="s">
        <v>787</v>
      </c>
    </row>
    <row r="93" spans="1:17">
      <c r="A93" s="4" t="s">
        <v>782</v>
      </c>
      <c r="B93" s="4" t="str">
        <f>CHOOSE(Translations!$C$1+1,O93,P93,Q93)</f>
        <v>HIV O-9 Porcentaje de consumidores de drogas inyectables que afirman haber utilizado preservativo en su última relación sexual</v>
      </c>
      <c r="C93" s="4">
        <f t="shared" si="2"/>
        <v>4</v>
      </c>
      <c r="D93" s="4" t="str">
        <f t="shared" si="3"/>
        <v>HIV O-9 Porcentaje de consumidores de drogas inyectables que afirman haber utilizado preservativo en su última relación sexual-4</v>
      </c>
      <c r="E93" s="4" t="str">
        <f>CHOOSE(Translations!$C$1+1,I93,J93,K93)</f>
        <v>Edad</v>
      </c>
      <c r="F93" s="4" t="str">
        <f>CHOOSE(Translations!$C$1+1,L93,M93,N93)</f>
        <v>&lt;25</v>
      </c>
      <c r="G93" s="4" t="s">
        <v>6082</v>
      </c>
      <c r="H93" s="6" t="s">
        <v>6083</v>
      </c>
      <c r="I93" s="6" t="s">
        <v>697</v>
      </c>
      <c r="J93" s="6" t="s">
        <v>697</v>
      </c>
      <c r="K93" s="6" t="s">
        <v>698</v>
      </c>
      <c r="L93" s="6" t="s">
        <v>5881</v>
      </c>
      <c r="M93" s="6" t="s">
        <v>5881</v>
      </c>
      <c r="N93" s="6" t="s">
        <v>5881</v>
      </c>
      <c r="O93" s="6" t="s">
        <v>785</v>
      </c>
      <c r="P93" s="6" t="s">
        <v>786</v>
      </c>
      <c r="Q93" s="6" t="s">
        <v>787</v>
      </c>
    </row>
    <row r="94" spans="1:17">
      <c r="A94" s="4" t="s">
        <v>794</v>
      </c>
      <c r="B94" s="4" t="str">
        <f>CHOOSE(Translations!$C$1+1,O94,P94,Q94)</f>
        <v>HIV O-11⁽ᴹ⁾ Porcentaje de personas que viven con el VIH que conocen su Estatus de VIH al final del período de reporte</v>
      </c>
      <c r="C94" s="4">
        <f t="shared" si="2"/>
        <v>0</v>
      </c>
      <c r="D94" s="4" t="str">
        <f t="shared" si="3"/>
        <v>HIV O-11⁽ᴹ⁾ Porcentaje de personas que viven con el VIH que conocen su Estatus de VIH al final del período de reporte-0</v>
      </c>
      <c r="E94" s="4" t="str">
        <f>CHOOSE(Translations!$C$1+1,I94,J94,K94)</f>
        <v>Género</v>
      </c>
      <c r="F94" s="4" t="str">
        <f>CHOOSE(Translations!$C$1+1,L94,M94,N94)</f>
        <v>Transgénero</v>
      </c>
      <c r="G94" s="4" t="s">
        <v>6084</v>
      </c>
      <c r="H94" s="6" t="s">
        <v>6085</v>
      </c>
      <c r="I94" s="6" t="s">
        <v>800</v>
      </c>
      <c r="J94" s="6" t="s">
        <v>801</v>
      </c>
      <c r="K94" s="6" t="s">
        <v>802</v>
      </c>
      <c r="L94" s="6" t="s">
        <v>5888</v>
      </c>
      <c r="M94" s="6" t="s">
        <v>5889</v>
      </c>
      <c r="N94" s="6" t="s">
        <v>5890</v>
      </c>
      <c r="O94" s="6" t="s">
        <v>797</v>
      </c>
      <c r="P94" s="6" t="s">
        <v>798</v>
      </c>
      <c r="Q94" s="6" t="s">
        <v>799</v>
      </c>
    </row>
    <row r="95" spans="1:17">
      <c r="A95" s="4" t="s">
        <v>794</v>
      </c>
      <c r="B95" s="4" t="str">
        <f>CHOOSE(Translations!$C$1+1,O95,P95,Q95)</f>
        <v>HIV O-11⁽ᴹ⁾ Porcentaje de personas que viven con el VIH que conocen su Estatus de VIH al final del período de reporte</v>
      </c>
      <c r="C95" s="4">
        <f t="shared" si="2"/>
        <v>1</v>
      </c>
      <c r="D95" s="4" t="str">
        <f t="shared" si="3"/>
        <v>HIV O-11⁽ᴹ⁾ Porcentaje de personas que viven con el VIH que conocen su Estatus de VIH al final del período de reporte-1</v>
      </c>
      <c r="E95" s="4" t="str">
        <f>CHOOSE(Translations!$C$1+1,I95,J95,K95)</f>
        <v>Género</v>
      </c>
      <c r="F95" s="4" t="str">
        <f>CHOOSE(Translations!$C$1+1,L95,M95,N95)</f>
        <v>Mujeres</v>
      </c>
      <c r="G95" s="4" t="s">
        <v>6086</v>
      </c>
      <c r="H95" s="6" t="s">
        <v>6087</v>
      </c>
      <c r="I95" s="6" t="s">
        <v>800</v>
      </c>
      <c r="J95" s="6" t="s">
        <v>801</v>
      </c>
      <c r="K95" s="6" t="s">
        <v>802</v>
      </c>
      <c r="L95" s="6" t="s">
        <v>5826</v>
      </c>
      <c r="M95" s="6" t="s">
        <v>5827</v>
      </c>
      <c r="N95" s="6" t="s">
        <v>5828</v>
      </c>
      <c r="O95" s="6" t="s">
        <v>797</v>
      </c>
      <c r="P95" s="6" t="s">
        <v>798</v>
      </c>
      <c r="Q95" s="6" t="s">
        <v>799</v>
      </c>
    </row>
    <row r="96" spans="1:17">
      <c r="A96" s="4" t="s">
        <v>794</v>
      </c>
      <c r="B96" s="4" t="str">
        <f>CHOOSE(Translations!$C$1+1,O96,P96,Q96)</f>
        <v>HIV O-11⁽ᴹ⁾ Porcentaje de personas que viven con el VIH que conocen su Estatus de VIH al final del período de reporte</v>
      </c>
      <c r="C96" s="4">
        <f t="shared" si="2"/>
        <v>2</v>
      </c>
      <c r="D96" s="4" t="str">
        <f t="shared" si="3"/>
        <v>HIV O-11⁽ᴹ⁾ Porcentaje de personas que viven con el VIH que conocen su Estatus de VIH al final del período de reporte-2</v>
      </c>
      <c r="E96" s="4" t="str">
        <f>CHOOSE(Translations!$C$1+1,I96,J96,K96)</f>
        <v>Género</v>
      </c>
      <c r="F96" s="4" t="str">
        <f>CHOOSE(Translations!$C$1+1,L96,M96,N96)</f>
        <v>Hombres</v>
      </c>
      <c r="G96" s="4" t="s">
        <v>6088</v>
      </c>
      <c r="H96" s="6" t="s">
        <v>6089</v>
      </c>
      <c r="I96" s="6" t="s">
        <v>800</v>
      </c>
      <c r="J96" s="6" t="s">
        <v>801</v>
      </c>
      <c r="K96" s="6" t="s">
        <v>802</v>
      </c>
      <c r="L96" s="6" t="s">
        <v>5831</v>
      </c>
      <c r="M96" s="6" t="s">
        <v>5832</v>
      </c>
      <c r="N96" s="6" t="s">
        <v>5833</v>
      </c>
      <c r="O96" s="6" t="s">
        <v>797</v>
      </c>
      <c r="P96" s="6" t="s">
        <v>798</v>
      </c>
      <c r="Q96" s="6" t="s">
        <v>799</v>
      </c>
    </row>
    <row r="97" spans="1:17">
      <c r="A97" s="4" t="s">
        <v>803</v>
      </c>
      <c r="B97" s="4" t="str">
        <f>CHOOSE(Translations!$C$1+1,O97,P97,Q97)</f>
        <v>HIV O-12 Porcentaje de personas que viven con VIH que reciben tratamiento antirretroviral y tienen carga viral suprimida</v>
      </c>
      <c r="C97" s="4">
        <f t="shared" si="2"/>
        <v>0</v>
      </c>
      <c r="D97" s="4" t="str">
        <f t="shared" si="3"/>
        <v>HIV O-12 Porcentaje de personas que viven con VIH que reciben tratamiento antirretroviral y tienen carga viral suprimida-0</v>
      </c>
      <c r="E97" s="4" t="str">
        <f>CHOOSE(Translations!$C$1+1,I97,J97,K97)</f>
        <v>Género</v>
      </c>
      <c r="F97" s="4" t="str">
        <f>CHOOSE(Translations!$C$1+1,L97,M97,N97)</f>
        <v>Transgénero</v>
      </c>
      <c r="G97" s="4" t="s">
        <v>6090</v>
      </c>
      <c r="H97" s="6" t="s">
        <v>6091</v>
      </c>
      <c r="I97" s="6" t="s">
        <v>800</v>
      </c>
      <c r="J97" s="6" t="s">
        <v>801</v>
      </c>
      <c r="K97" s="6" t="s">
        <v>802</v>
      </c>
      <c r="L97" s="6" t="s">
        <v>5888</v>
      </c>
      <c r="M97" s="6" t="s">
        <v>5889</v>
      </c>
      <c r="N97" s="6" t="s">
        <v>5890</v>
      </c>
      <c r="O97" s="6" t="s">
        <v>806</v>
      </c>
      <c r="P97" s="6" t="s">
        <v>807</v>
      </c>
      <c r="Q97" s="6" t="s">
        <v>808</v>
      </c>
    </row>
    <row r="98" spans="1:17">
      <c r="A98" s="4" t="s">
        <v>803</v>
      </c>
      <c r="B98" s="4" t="str">
        <f>CHOOSE(Translations!$C$1+1,O98,P98,Q98)</f>
        <v>HIV O-12 Porcentaje de personas que viven con VIH que reciben tratamiento antirretroviral y tienen carga viral suprimida</v>
      </c>
      <c r="C98" s="4">
        <f t="shared" si="2"/>
        <v>1</v>
      </c>
      <c r="D98" s="4" t="str">
        <f t="shared" si="3"/>
        <v>HIV O-12 Porcentaje de personas que viven con VIH que reciben tratamiento antirretroviral y tienen carga viral suprimida-1</v>
      </c>
      <c r="E98" s="4" t="str">
        <f>CHOOSE(Translations!$C$1+1,I98,J98,K98)</f>
        <v>Género</v>
      </c>
      <c r="F98" s="4" t="str">
        <f>CHOOSE(Translations!$C$1+1,L98,M98,N98)</f>
        <v>Mujeres</v>
      </c>
      <c r="G98" s="4" t="s">
        <v>6092</v>
      </c>
      <c r="H98" s="6" t="s">
        <v>6093</v>
      </c>
      <c r="I98" s="6" t="s">
        <v>800</v>
      </c>
      <c r="J98" s="6" t="s">
        <v>801</v>
      </c>
      <c r="K98" s="6" t="s">
        <v>802</v>
      </c>
      <c r="L98" s="6" t="s">
        <v>5826</v>
      </c>
      <c r="M98" s="6" t="s">
        <v>5827</v>
      </c>
      <c r="N98" s="6" t="s">
        <v>5828</v>
      </c>
      <c r="O98" s="6" t="s">
        <v>806</v>
      </c>
      <c r="P98" s="6" t="s">
        <v>807</v>
      </c>
      <c r="Q98" s="6" t="s">
        <v>808</v>
      </c>
    </row>
    <row r="99" spans="1:17">
      <c r="A99" s="4" t="s">
        <v>803</v>
      </c>
      <c r="B99" s="4" t="str">
        <f>CHOOSE(Translations!$C$1+1,O99,P99,Q99)</f>
        <v>HIV O-12 Porcentaje de personas que viven con VIH que reciben tratamiento antirretroviral y tienen carga viral suprimida</v>
      </c>
      <c r="C99" s="4">
        <f t="shared" si="2"/>
        <v>2</v>
      </c>
      <c r="D99" s="4" t="str">
        <f t="shared" si="3"/>
        <v>HIV O-12 Porcentaje de personas que viven con VIH que reciben tratamiento antirretroviral y tienen carga viral suprimida-2</v>
      </c>
      <c r="E99" s="4" t="str">
        <f>CHOOSE(Translations!$C$1+1,I99,J99,K99)</f>
        <v>Género</v>
      </c>
      <c r="F99" s="4" t="str">
        <f>CHOOSE(Translations!$C$1+1,L99,M99,N99)</f>
        <v>Hombres</v>
      </c>
      <c r="G99" s="4" t="s">
        <v>6094</v>
      </c>
      <c r="H99" s="6" t="s">
        <v>6095</v>
      </c>
      <c r="I99" s="6" t="s">
        <v>800</v>
      </c>
      <c r="J99" s="6" t="s">
        <v>801</v>
      </c>
      <c r="K99" s="6" t="s">
        <v>802</v>
      </c>
      <c r="L99" s="6" t="s">
        <v>5831</v>
      </c>
      <c r="M99" s="6" t="s">
        <v>5832</v>
      </c>
      <c r="N99" s="6" t="s">
        <v>5833</v>
      </c>
      <c r="O99" s="6" t="s">
        <v>806</v>
      </c>
      <c r="P99" s="6" t="s">
        <v>807</v>
      </c>
      <c r="Q99" s="6" t="s">
        <v>808</v>
      </c>
    </row>
    <row r="100" spans="1:17">
      <c r="A100" s="4" t="s">
        <v>809</v>
      </c>
      <c r="B100" s="4" t="str">
        <f>CHOOSE(Translations!$C$1+1,O100,P100,Q100)</f>
        <v>HIV O-13 Porcentaje de mujeres de 15 a 49 años, no solteras o con pareja, que han sufrido violencia física o sexual de una pareja masculina en los últimos 12 meses</v>
      </c>
      <c r="C100" s="4">
        <f t="shared" si="2"/>
        <v>0</v>
      </c>
      <c r="D100" s="4" t="str">
        <f t="shared" si="3"/>
        <v>HIV O-13 Porcentaje de mujeres de 15 a 49 años, no solteras o con pareja, que han sufrido violencia física o sexual de una pareja masculina en los últimos 12 meses-0</v>
      </c>
      <c r="E100" s="4" t="str">
        <f>CHOOSE(Translations!$C$1+1,I100,J100,K100)</f>
        <v>Edad</v>
      </c>
      <c r="F100" s="4" t="str">
        <f>CHOOSE(Translations!$C$1+1,L100,M100,N100)</f>
        <v>20-24</v>
      </c>
      <c r="G100" s="4" t="s">
        <v>6096</v>
      </c>
      <c r="H100" s="6" t="s">
        <v>6097</v>
      </c>
      <c r="I100" s="6" t="s">
        <v>697</v>
      </c>
      <c r="J100" s="6" t="s">
        <v>697</v>
      </c>
      <c r="K100" s="6" t="s">
        <v>698</v>
      </c>
      <c r="L100" s="6" t="s">
        <v>6042</v>
      </c>
      <c r="M100" s="6" t="s">
        <v>6042</v>
      </c>
      <c r="N100" s="6" t="s">
        <v>6042</v>
      </c>
      <c r="O100" s="6" t="s">
        <v>812</v>
      </c>
      <c r="P100" s="6" t="s">
        <v>813</v>
      </c>
      <c r="Q100" s="6" t="s">
        <v>814</v>
      </c>
    </row>
    <row r="101" spans="1:17">
      <c r="A101" s="4" t="s">
        <v>809</v>
      </c>
      <c r="B101" s="4" t="str">
        <f>CHOOSE(Translations!$C$1+1,O101,P101,Q101)</f>
        <v>HIV O-13 Porcentaje de mujeres de 15 a 49 años, no solteras o con pareja, que han sufrido violencia física o sexual de una pareja masculina en los últimos 12 meses</v>
      </c>
      <c r="C101" s="4">
        <f t="shared" si="2"/>
        <v>1</v>
      </c>
      <c r="D101" s="4" t="str">
        <f t="shared" si="3"/>
        <v>HIV O-13 Porcentaje de mujeres de 15 a 49 años, no solteras o con pareja, que han sufrido violencia física o sexual de una pareja masculina en los últimos 12 meses-1</v>
      </c>
      <c r="E101" s="4" t="str">
        <f>CHOOSE(Translations!$C$1+1,I101,J101,K101)</f>
        <v>Edad</v>
      </c>
      <c r="F101" s="4" t="str">
        <f>CHOOSE(Translations!$C$1+1,L101,M101,N101)</f>
        <v>15-19</v>
      </c>
      <c r="G101" s="4" t="s">
        <v>6098</v>
      </c>
      <c r="H101" s="6" t="s">
        <v>6099</v>
      </c>
      <c r="I101" s="6" t="s">
        <v>697</v>
      </c>
      <c r="J101" s="6" t="s">
        <v>697</v>
      </c>
      <c r="K101" s="6" t="s">
        <v>698</v>
      </c>
      <c r="L101" s="6" t="s">
        <v>6045</v>
      </c>
      <c r="M101" s="6" t="s">
        <v>6045</v>
      </c>
      <c r="N101" s="6" t="s">
        <v>6045</v>
      </c>
      <c r="O101" s="6" t="s">
        <v>812</v>
      </c>
      <c r="P101" s="6" t="s">
        <v>813</v>
      </c>
      <c r="Q101" s="6" t="s">
        <v>814</v>
      </c>
    </row>
    <row r="102" spans="1:17">
      <c r="A102" s="4" t="s">
        <v>827</v>
      </c>
      <c r="B102" s="4" t="str">
        <f>CHOOSE(Translations!$C$1+1,O102,P102,Q102)</f>
        <v>HIV O-16a Porcentaje de HSH que evitan la atención sanitaria debido al estigma y la discriminación</v>
      </c>
      <c r="C102" s="4">
        <f t="shared" si="2"/>
        <v>0</v>
      </c>
      <c r="D102" s="4" t="str">
        <f t="shared" si="3"/>
        <v>HIV O-16a Porcentaje de HSH que evitan la atención sanitaria debido al estigma y la discriminación-0</v>
      </c>
      <c r="E102" s="4" t="str">
        <f>CHOOSE(Translations!$C$1+1,I102,J102,K102)</f>
        <v>Edad</v>
      </c>
      <c r="F102" s="4" t="str">
        <f>CHOOSE(Translations!$C$1+1,L102,M102,N102)</f>
        <v>25+</v>
      </c>
      <c r="G102" s="4" t="s">
        <v>6100</v>
      </c>
      <c r="H102" s="6" t="s">
        <v>6101</v>
      </c>
      <c r="I102" s="6" t="s">
        <v>697</v>
      </c>
      <c r="J102" s="6" t="s">
        <v>697</v>
      </c>
      <c r="K102" s="6" t="s">
        <v>698</v>
      </c>
      <c r="L102" s="6" t="s">
        <v>5878</v>
      </c>
      <c r="M102" s="6" t="s">
        <v>5878</v>
      </c>
      <c r="N102" s="6" t="s">
        <v>5878</v>
      </c>
      <c r="O102" s="6" t="s">
        <v>830</v>
      </c>
      <c r="P102" s="6" t="s">
        <v>831</v>
      </c>
      <c r="Q102" s="6" t="s">
        <v>832</v>
      </c>
    </row>
    <row r="103" spans="1:17">
      <c r="A103" s="4" t="s">
        <v>827</v>
      </c>
      <c r="B103" s="4" t="str">
        <f>CHOOSE(Translations!$C$1+1,O103,P103,Q103)</f>
        <v>HIV O-16a Porcentaje de HSH que evitan la atención sanitaria debido al estigma y la discriminación</v>
      </c>
      <c r="C103" s="4">
        <f t="shared" si="2"/>
        <v>1</v>
      </c>
      <c r="D103" s="4" t="str">
        <f t="shared" si="3"/>
        <v>HIV O-16a Porcentaje de HSH que evitan la atención sanitaria debido al estigma y la discriminación-1</v>
      </c>
      <c r="E103" s="4" t="str">
        <f>CHOOSE(Translations!$C$1+1,I103,J103,K103)</f>
        <v>Edad</v>
      </c>
      <c r="F103" s="4" t="str">
        <f>CHOOSE(Translations!$C$1+1,L103,M103,N103)</f>
        <v>&lt;25</v>
      </c>
      <c r="G103" s="4" t="s">
        <v>6102</v>
      </c>
      <c r="H103" s="6" t="s">
        <v>6103</v>
      </c>
      <c r="I103" s="6" t="s">
        <v>697</v>
      </c>
      <c r="J103" s="6" t="s">
        <v>697</v>
      </c>
      <c r="K103" s="6" t="s">
        <v>698</v>
      </c>
      <c r="L103" s="6" t="s">
        <v>5881</v>
      </c>
      <c r="M103" s="6" t="s">
        <v>5881</v>
      </c>
      <c r="N103" s="6" t="s">
        <v>5881</v>
      </c>
      <c r="O103" s="6" t="s">
        <v>830</v>
      </c>
      <c r="P103" s="6" t="s">
        <v>831</v>
      </c>
      <c r="Q103" s="6" t="s">
        <v>832</v>
      </c>
    </row>
    <row r="104" spans="1:17">
      <c r="A104" s="4" t="s">
        <v>833</v>
      </c>
      <c r="B104" s="4" t="str">
        <f>CHOOSE(Translations!$C$1+1,O104,P104,Q104)</f>
        <v>HIV O-16b Porcentaje de grupos objetivo que evitan la atención sanitaria debido al estigma y la discriminación</v>
      </c>
      <c r="C104" s="4">
        <f t="shared" si="2"/>
        <v>0</v>
      </c>
      <c r="D104" s="4" t="str">
        <f t="shared" si="3"/>
        <v>HIV O-16b Porcentaje de grupos objetivo que evitan la atención sanitaria debido al estigma y la discriminación-0</v>
      </c>
      <c r="E104" s="4" t="str">
        <f>CHOOSE(Translations!$C$1+1,I104,J104,K104)</f>
        <v>Edad</v>
      </c>
      <c r="F104" s="4" t="str">
        <f>CHOOSE(Translations!$C$1+1,L104,M104,N104)</f>
        <v>25+</v>
      </c>
      <c r="G104" s="4" t="s">
        <v>6104</v>
      </c>
      <c r="H104" s="6" t="s">
        <v>6105</v>
      </c>
      <c r="I104" s="6" t="s">
        <v>697</v>
      </c>
      <c r="J104" s="6" t="s">
        <v>697</v>
      </c>
      <c r="K104" s="6" t="s">
        <v>698</v>
      </c>
      <c r="L104" s="6" t="s">
        <v>5878</v>
      </c>
      <c r="M104" s="6" t="s">
        <v>5878</v>
      </c>
      <c r="N104" s="6" t="s">
        <v>5878</v>
      </c>
      <c r="O104" s="6" t="s">
        <v>836</v>
      </c>
      <c r="P104" s="6" t="s">
        <v>837</v>
      </c>
      <c r="Q104" s="6" t="s">
        <v>838</v>
      </c>
    </row>
    <row r="105" spans="1:17">
      <c r="A105" s="4" t="s">
        <v>833</v>
      </c>
      <c r="B105" s="4" t="str">
        <f>CHOOSE(Translations!$C$1+1,O105,P105,Q105)</f>
        <v>HIV O-16b Porcentaje de grupos objetivo que evitan la atención sanitaria debido al estigma y la discriminación</v>
      </c>
      <c r="C105" s="4">
        <f t="shared" si="2"/>
        <v>1</v>
      </c>
      <c r="D105" s="4" t="str">
        <f t="shared" si="3"/>
        <v>HIV O-16b Porcentaje de grupos objetivo que evitan la atención sanitaria debido al estigma y la discriminación-1</v>
      </c>
      <c r="E105" s="4" t="str">
        <f>CHOOSE(Translations!$C$1+1,I105,J105,K105)</f>
        <v>Edad</v>
      </c>
      <c r="F105" s="4" t="str">
        <f>CHOOSE(Translations!$C$1+1,L105,M105,N105)</f>
        <v>&lt;25</v>
      </c>
      <c r="G105" s="4" t="s">
        <v>6106</v>
      </c>
      <c r="H105" s="6" t="s">
        <v>6107</v>
      </c>
      <c r="I105" s="6" t="s">
        <v>697</v>
      </c>
      <c r="J105" s="6" t="s">
        <v>697</v>
      </c>
      <c r="K105" s="6" t="s">
        <v>698</v>
      </c>
      <c r="L105" s="6" t="s">
        <v>5881</v>
      </c>
      <c r="M105" s="6" t="s">
        <v>5881</v>
      </c>
      <c r="N105" s="6" t="s">
        <v>5881</v>
      </c>
      <c r="O105" s="6" t="s">
        <v>836</v>
      </c>
      <c r="P105" s="6" t="s">
        <v>837</v>
      </c>
      <c r="Q105" s="6" t="s">
        <v>838</v>
      </c>
    </row>
    <row r="106" spans="1:17">
      <c r="A106" s="4" t="s">
        <v>839</v>
      </c>
      <c r="B106" s="4" t="str">
        <f>CHOOSE(Translations!$C$1+1,O106,P106,Q106)</f>
        <v>HIV O-16c Porcentaje de trabajadores sexuales que evitan la atención sanitaria debido al estigma y la discriminación</v>
      </c>
      <c r="C106" s="4">
        <f t="shared" si="2"/>
        <v>0</v>
      </c>
      <c r="D106" s="4" t="str">
        <f t="shared" si="3"/>
        <v>HIV O-16c Porcentaje de trabajadores sexuales que evitan la atención sanitaria debido al estigma y la discriminación-0</v>
      </c>
      <c r="E106" s="4" t="str">
        <f>CHOOSE(Translations!$C$1+1,I106,J106,K106)</f>
        <v>Género</v>
      </c>
      <c r="F106" s="4" t="str">
        <f>CHOOSE(Translations!$C$1+1,L106,M106,N106)</f>
        <v>Transgénero</v>
      </c>
      <c r="G106" s="4" t="s">
        <v>6108</v>
      </c>
      <c r="H106" s="6" t="s">
        <v>6109</v>
      </c>
      <c r="I106" s="6" t="s">
        <v>800</v>
      </c>
      <c r="J106" s="6" t="s">
        <v>801</v>
      </c>
      <c r="K106" s="6" t="s">
        <v>802</v>
      </c>
      <c r="L106" s="6" t="s">
        <v>5888</v>
      </c>
      <c r="M106" s="6" t="s">
        <v>5889</v>
      </c>
      <c r="N106" s="6" t="s">
        <v>5890</v>
      </c>
      <c r="O106" s="6" t="s">
        <v>842</v>
      </c>
      <c r="P106" s="6" t="s">
        <v>843</v>
      </c>
      <c r="Q106" s="6" t="s">
        <v>844</v>
      </c>
    </row>
    <row r="107" spans="1:17">
      <c r="A107" s="4" t="s">
        <v>839</v>
      </c>
      <c r="B107" s="4" t="str">
        <f>CHOOSE(Translations!$C$1+1,O107,P107,Q107)</f>
        <v>HIV O-16c Porcentaje de trabajadores sexuales que evitan la atención sanitaria debido al estigma y la discriminación</v>
      </c>
      <c r="C107" s="4">
        <f t="shared" si="2"/>
        <v>1</v>
      </c>
      <c r="D107" s="4" t="str">
        <f t="shared" si="3"/>
        <v>HIV O-16c Porcentaje de trabajadores sexuales que evitan la atención sanitaria debido al estigma y la discriminación-1</v>
      </c>
      <c r="E107" s="4" t="str">
        <f>CHOOSE(Translations!$C$1+1,I107,J107,K107)</f>
        <v>Género</v>
      </c>
      <c r="F107" s="4" t="str">
        <f>CHOOSE(Translations!$C$1+1,L107,M107,N107)</f>
        <v>Mujeres</v>
      </c>
      <c r="G107" s="4" t="s">
        <v>6110</v>
      </c>
      <c r="H107" s="6" t="s">
        <v>6111</v>
      </c>
      <c r="I107" s="6" t="s">
        <v>800</v>
      </c>
      <c r="J107" s="6" t="s">
        <v>801</v>
      </c>
      <c r="K107" s="6" t="s">
        <v>802</v>
      </c>
      <c r="L107" s="6" t="s">
        <v>5826</v>
      </c>
      <c r="M107" s="6" t="s">
        <v>5827</v>
      </c>
      <c r="N107" s="6" t="s">
        <v>5828</v>
      </c>
      <c r="O107" s="6" t="s">
        <v>842</v>
      </c>
      <c r="P107" s="6" t="s">
        <v>843</v>
      </c>
      <c r="Q107" s="6" t="s">
        <v>844</v>
      </c>
    </row>
    <row r="108" spans="1:17">
      <c r="A108" s="4" t="s">
        <v>839</v>
      </c>
      <c r="B108" s="4" t="str">
        <f>CHOOSE(Translations!$C$1+1,O108,P108,Q108)</f>
        <v>HIV O-16c Porcentaje de trabajadores sexuales que evitan la atención sanitaria debido al estigma y la discriminación</v>
      </c>
      <c r="C108" s="4">
        <f t="shared" si="2"/>
        <v>2</v>
      </c>
      <c r="D108" s="4" t="str">
        <f t="shared" si="3"/>
        <v>HIV O-16c Porcentaje de trabajadores sexuales que evitan la atención sanitaria debido al estigma y la discriminación-2</v>
      </c>
      <c r="E108" s="4" t="str">
        <f>CHOOSE(Translations!$C$1+1,I108,J108,K108)</f>
        <v>Género</v>
      </c>
      <c r="F108" s="4" t="str">
        <f>CHOOSE(Translations!$C$1+1,L108,M108,N108)</f>
        <v>Hombres</v>
      </c>
      <c r="G108" s="4" t="s">
        <v>6112</v>
      </c>
      <c r="H108" s="6" t="s">
        <v>6113</v>
      </c>
      <c r="I108" s="6" t="s">
        <v>800</v>
      </c>
      <c r="J108" s="6" t="s">
        <v>801</v>
      </c>
      <c r="K108" s="6" t="s">
        <v>802</v>
      </c>
      <c r="L108" s="6" t="s">
        <v>5831</v>
      </c>
      <c r="M108" s="6" t="s">
        <v>5832</v>
      </c>
      <c r="N108" s="6" t="s">
        <v>5833</v>
      </c>
      <c r="O108" s="6" t="s">
        <v>842</v>
      </c>
      <c r="P108" s="6" t="s">
        <v>843</v>
      </c>
      <c r="Q108" s="6" t="s">
        <v>844</v>
      </c>
    </row>
    <row r="109" spans="1:17">
      <c r="A109" s="4" t="s">
        <v>839</v>
      </c>
      <c r="B109" s="4" t="str">
        <f>CHOOSE(Translations!$C$1+1,O109,P109,Q109)</f>
        <v>HIV O-16c Porcentaje de trabajadores sexuales que evitan la atención sanitaria debido al estigma y la discriminación</v>
      </c>
      <c r="C109" s="4">
        <f t="shared" si="2"/>
        <v>3</v>
      </c>
      <c r="D109" s="4" t="str">
        <f t="shared" si="3"/>
        <v>HIV O-16c Porcentaje de trabajadores sexuales que evitan la atención sanitaria debido al estigma y la discriminación-3</v>
      </c>
      <c r="E109" s="4" t="str">
        <f>CHOOSE(Translations!$C$1+1,I109,J109,K109)</f>
        <v>Edad</v>
      </c>
      <c r="F109" s="4" t="str">
        <f>CHOOSE(Translations!$C$1+1,L109,M109,N109)</f>
        <v>25+</v>
      </c>
      <c r="G109" s="4" t="s">
        <v>6114</v>
      </c>
      <c r="H109" s="6" t="s">
        <v>6115</v>
      </c>
      <c r="I109" s="6" t="s">
        <v>697</v>
      </c>
      <c r="J109" s="6" t="s">
        <v>697</v>
      </c>
      <c r="K109" s="6" t="s">
        <v>698</v>
      </c>
      <c r="L109" s="6" t="s">
        <v>5878</v>
      </c>
      <c r="M109" s="6" t="s">
        <v>5878</v>
      </c>
      <c r="N109" s="6" t="s">
        <v>5878</v>
      </c>
      <c r="O109" s="6" t="s">
        <v>842</v>
      </c>
      <c r="P109" s="6" t="s">
        <v>843</v>
      </c>
      <c r="Q109" s="6" t="s">
        <v>844</v>
      </c>
    </row>
    <row r="110" spans="1:17">
      <c r="A110" s="4" t="s">
        <v>839</v>
      </c>
      <c r="B110" s="4" t="str">
        <f>CHOOSE(Translations!$C$1+1,O110,P110,Q110)</f>
        <v>HIV O-16c Porcentaje de trabajadores sexuales que evitan la atención sanitaria debido al estigma y la discriminación</v>
      </c>
      <c r="C110" s="4">
        <f t="shared" si="2"/>
        <v>4</v>
      </c>
      <c r="D110" s="4" t="str">
        <f t="shared" si="3"/>
        <v>HIV O-16c Porcentaje de trabajadores sexuales que evitan la atención sanitaria debido al estigma y la discriminación-4</v>
      </c>
      <c r="E110" s="4" t="str">
        <f>CHOOSE(Translations!$C$1+1,I110,J110,K110)</f>
        <v>Edad</v>
      </c>
      <c r="F110" s="4" t="str">
        <f>CHOOSE(Translations!$C$1+1,L110,M110,N110)</f>
        <v>&lt;25</v>
      </c>
      <c r="G110" s="4" t="s">
        <v>6116</v>
      </c>
      <c r="H110" s="6" t="s">
        <v>6117</v>
      </c>
      <c r="I110" s="6" t="s">
        <v>697</v>
      </c>
      <c r="J110" s="6" t="s">
        <v>697</v>
      </c>
      <c r="K110" s="6" t="s">
        <v>698</v>
      </c>
      <c r="L110" s="6" t="s">
        <v>5881</v>
      </c>
      <c r="M110" s="6" t="s">
        <v>5881</v>
      </c>
      <c r="N110" s="6" t="s">
        <v>5881</v>
      </c>
      <c r="O110" s="6" t="s">
        <v>842</v>
      </c>
      <c r="P110" s="6" t="s">
        <v>843</v>
      </c>
      <c r="Q110" s="6" t="s">
        <v>844</v>
      </c>
    </row>
    <row r="111" spans="1:17">
      <c r="A111" s="4" t="s">
        <v>845</v>
      </c>
      <c r="B111" s="4" t="str">
        <f>CHOOSE(Translations!$C$1+1,O111,P111,Q111)</f>
        <v>HIV O-16d Porcentaje de personas que consumen drogas inyectables que evitan la atención sanitaria debido al estigma y la discriminación</v>
      </c>
      <c r="C111" s="4">
        <f t="shared" si="2"/>
        <v>0</v>
      </c>
      <c r="D111" s="4" t="str">
        <f t="shared" si="3"/>
        <v>HIV O-16d Porcentaje de personas que consumen drogas inyectables que evitan la atención sanitaria debido al estigma y la discriminación-0</v>
      </c>
      <c r="E111" s="4" t="str">
        <f>CHOOSE(Translations!$C$1+1,I111,J111,K111)</f>
        <v>Género</v>
      </c>
      <c r="F111" s="4" t="str">
        <f>CHOOSE(Translations!$C$1+1,L111,M111,N111)</f>
        <v>Transgénero</v>
      </c>
      <c r="G111" s="4" t="s">
        <v>6118</v>
      </c>
      <c r="H111" s="6" t="s">
        <v>6119</v>
      </c>
      <c r="I111" s="6" t="s">
        <v>800</v>
      </c>
      <c r="J111" s="6" t="s">
        <v>801</v>
      </c>
      <c r="K111" s="6" t="s">
        <v>802</v>
      </c>
      <c r="L111" s="6" t="s">
        <v>5888</v>
      </c>
      <c r="M111" s="6" t="s">
        <v>5889</v>
      </c>
      <c r="N111" s="6" t="s">
        <v>5890</v>
      </c>
      <c r="O111" s="6" t="s">
        <v>848</v>
      </c>
      <c r="P111" s="6" t="s">
        <v>849</v>
      </c>
      <c r="Q111" s="6" t="s">
        <v>850</v>
      </c>
    </row>
    <row r="112" spans="1:17">
      <c r="A112" s="4" t="s">
        <v>845</v>
      </c>
      <c r="B112" s="4" t="str">
        <f>CHOOSE(Translations!$C$1+1,O112,P112,Q112)</f>
        <v>HIV O-16d Porcentaje de personas que consumen drogas inyectables que evitan la atención sanitaria debido al estigma y la discriminación</v>
      </c>
      <c r="C112" s="4">
        <f t="shared" si="2"/>
        <v>1</v>
      </c>
      <c r="D112" s="4" t="str">
        <f t="shared" si="3"/>
        <v>HIV O-16d Porcentaje de personas que consumen drogas inyectables que evitan la atención sanitaria debido al estigma y la discriminación-1</v>
      </c>
      <c r="E112" s="4" t="str">
        <f>CHOOSE(Translations!$C$1+1,I112,J112,K112)</f>
        <v>Género</v>
      </c>
      <c r="F112" s="4" t="str">
        <f>CHOOSE(Translations!$C$1+1,L112,M112,N112)</f>
        <v>Mujeres</v>
      </c>
      <c r="G112" s="4" t="s">
        <v>6120</v>
      </c>
      <c r="H112" s="6" t="s">
        <v>6121</v>
      </c>
      <c r="I112" s="6" t="s">
        <v>800</v>
      </c>
      <c r="J112" s="6" t="s">
        <v>801</v>
      </c>
      <c r="K112" s="6" t="s">
        <v>802</v>
      </c>
      <c r="L112" s="6" t="s">
        <v>5826</v>
      </c>
      <c r="M112" s="6" t="s">
        <v>5827</v>
      </c>
      <c r="N112" s="6" t="s">
        <v>5828</v>
      </c>
      <c r="O112" s="6" t="s">
        <v>848</v>
      </c>
      <c r="P112" s="6" t="s">
        <v>849</v>
      </c>
      <c r="Q112" s="6" t="s">
        <v>850</v>
      </c>
    </row>
    <row r="113" spans="1:17">
      <c r="A113" s="4" t="s">
        <v>845</v>
      </c>
      <c r="B113" s="4" t="str">
        <f>CHOOSE(Translations!$C$1+1,O113,P113,Q113)</f>
        <v>HIV O-16d Porcentaje de personas que consumen drogas inyectables que evitan la atención sanitaria debido al estigma y la discriminación</v>
      </c>
      <c r="C113" s="4">
        <f t="shared" si="2"/>
        <v>2</v>
      </c>
      <c r="D113" s="4" t="str">
        <f t="shared" si="3"/>
        <v>HIV O-16d Porcentaje de personas que consumen drogas inyectables que evitan la atención sanitaria debido al estigma y la discriminación-2</v>
      </c>
      <c r="E113" s="4" t="str">
        <f>CHOOSE(Translations!$C$1+1,I113,J113,K113)</f>
        <v>Género</v>
      </c>
      <c r="F113" s="4" t="str">
        <f>CHOOSE(Translations!$C$1+1,L113,M113,N113)</f>
        <v>Hombres</v>
      </c>
      <c r="G113" s="4" t="s">
        <v>6122</v>
      </c>
      <c r="H113" s="6" t="s">
        <v>6123</v>
      </c>
      <c r="I113" s="6" t="s">
        <v>800</v>
      </c>
      <c r="J113" s="6" t="s">
        <v>801</v>
      </c>
      <c r="K113" s="6" t="s">
        <v>802</v>
      </c>
      <c r="L113" s="6" t="s">
        <v>5831</v>
      </c>
      <c r="M113" s="6" t="s">
        <v>5832</v>
      </c>
      <c r="N113" s="6" t="s">
        <v>5833</v>
      </c>
      <c r="O113" s="6" t="s">
        <v>848</v>
      </c>
      <c r="P113" s="6" t="s">
        <v>849</v>
      </c>
      <c r="Q113" s="6" t="s">
        <v>850</v>
      </c>
    </row>
    <row r="114" spans="1:17">
      <c r="A114" s="4" t="s">
        <v>845</v>
      </c>
      <c r="B114" s="4" t="str">
        <f>CHOOSE(Translations!$C$1+1,O114,P114,Q114)</f>
        <v>HIV O-16d Porcentaje de personas que consumen drogas inyectables que evitan la atención sanitaria debido al estigma y la discriminación</v>
      </c>
      <c r="C114" s="4">
        <f t="shared" si="2"/>
        <v>3</v>
      </c>
      <c r="D114" s="4" t="str">
        <f t="shared" si="3"/>
        <v>HIV O-16d Porcentaje de personas que consumen drogas inyectables que evitan la atención sanitaria debido al estigma y la discriminación-3</v>
      </c>
      <c r="E114" s="4" t="str">
        <f>CHOOSE(Translations!$C$1+1,I114,J114,K114)</f>
        <v>Edad</v>
      </c>
      <c r="F114" s="4" t="str">
        <f>CHOOSE(Translations!$C$1+1,L114,M114,N114)</f>
        <v>25+</v>
      </c>
      <c r="G114" s="4" t="s">
        <v>6124</v>
      </c>
      <c r="H114" s="6" t="s">
        <v>6125</v>
      </c>
      <c r="I114" s="6" t="s">
        <v>697</v>
      </c>
      <c r="J114" s="6" t="s">
        <v>697</v>
      </c>
      <c r="K114" s="6" t="s">
        <v>698</v>
      </c>
      <c r="L114" s="6" t="s">
        <v>5878</v>
      </c>
      <c r="M114" s="6" t="s">
        <v>5878</v>
      </c>
      <c r="N114" s="6" t="s">
        <v>5878</v>
      </c>
      <c r="O114" s="6" t="s">
        <v>848</v>
      </c>
      <c r="P114" s="6" t="s">
        <v>849</v>
      </c>
      <c r="Q114" s="6" t="s">
        <v>850</v>
      </c>
    </row>
    <row r="115" spans="1:17">
      <c r="A115" s="4" t="s">
        <v>845</v>
      </c>
      <c r="B115" s="4" t="str">
        <f>CHOOSE(Translations!$C$1+1,O115,P115,Q115)</f>
        <v>HIV O-16d Porcentaje de personas que consumen drogas inyectables que evitan la atención sanitaria debido al estigma y la discriminación</v>
      </c>
      <c r="C115" s="4">
        <f t="shared" si="2"/>
        <v>4</v>
      </c>
      <c r="D115" s="4" t="str">
        <f t="shared" si="3"/>
        <v>HIV O-16d Porcentaje de personas que consumen drogas inyectables que evitan la atención sanitaria debido al estigma y la discriminación-4</v>
      </c>
      <c r="E115" s="4" t="str">
        <f>CHOOSE(Translations!$C$1+1,I115,J115,K115)</f>
        <v>Edad</v>
      </c>
      <c r="F115" s="4" t="str">
        <f>CHOOSE(Translations!$C$1+1,L115,M115,N115)</f>
        <v>&lt;25</v>
      </c>
      <c r="G115" s="4" t="s">
        <v>6126</v>
      </c>
      <c r="H115" s="6" t="s">
        <v>6127</v>
      </c>
      <c r="I115" s="6" t="s">
        <v>697</v>
      </c>
      <c r="J115" s="6" t="s">
        <v>697</v>
      </c>
      <c r="K115" s="6" t="s">
        <v>698</v>
      </c>
      <c r="L115" s="6" t="s">
        <v>5881</v>
      </c>
      <c r="M115" s="6" t="s">
        <v>5881</v>
      </c>
      <c r="N115" s="6" t="s">
        <v>5881</v>
      </c>
      <c r="O115" s="6" t="s">
        <v>848</v>
      </c>
      <c r="P115" s="6" t="s">
        <v>849</v>
      </c>
      <c r="Q115" s="6" t="s">
        <v>850</v>
      </c>
    </row>
    <row r="116" spans="1:17">
      <c r="A116" s="4" t="s">
        <v>851</v>
      </c>
      <c r="B116" s="4" t="str">
        <f>CHOOSE(Translations!$C$1+1,O116,P116,Q116)</f>
        <v>HIV O-17 Porcentaje de personas que viven con el VIH que, habiendo notificado la violación de sus derechos, buscaron compensación jurídica</v>
      </c>
      <c r="C116" s="4">
        <f t="shared" si="2"/>
        <v>0</v>
      </c>
      <c r="D116" s="4" t="str">
        <f t="shared" si="3"/>
        <v>HIV O-17 Porcentaje de personas que viven con el VIH que, habiendo notificado la violación de sus derechos, buscaron compensación jurídica-0</v>
      </c>
      <c r="E116" s="4" t="str">
        <f>CHOOSE(Translations!$C$1+1,I116,J116,K116)</f>
        <v>Grupo de riesgo objetivo</v>
      </c>
      <c r="F116" s="4" t="str">
        <f>CHOOSE(Translations!$C$1+1,L116,M116,N116)</f>
        <v>Reclusos</v>
      </c>
      <c r="G116" s="4" t="s">
        <v>6128</v>
      </c>
      <c r="H116" s="6" t="s">
        <v>6129</v>
      </c>
      <c r="I116" s="6" t="s">
        <v>1229</v>
      </c>
      <c r="J116" s="6" t="s">
        <v>1230</v>
      </c>
      <c r="K116" s="6" t="s">
        <v>1231</v>
      </c>
      <c r="L116" s="6" t="s">
        <v>6130</v>
      </c>
      <c r="M116" s="6" t="s">
        <v>6131</v>
      </c>
      <c r="N116" s="6" t="s">
        <v>6132</v>
      </c>
      <c r="O116" s="6" t="s">
        <v>854</v>
      </c>
      <c r="P116" s="6" t="s">
        <v>855</v>
      </c>
      <c r="Q116" s="6" t="s">
        <v>856</v>
      </c>
    </row>
    <row r="117" spans="1:17">
      <c r="A117" s="4" t="s">
        <v>851</v>
      </c>
      <c r="B117" s="4" t="str">
        <f>CHOOSE(Translations!$C$1+1,O117,P117,Q117)</f>
        <v>HIV O-17 Porcentaje de personas que viven con el VIH que, habiendo notificado la violación de sus derechos, buscaron compensación jurídica</v>
      </c>
      <c r="C117" s="4">
        <f t="shared" si="2"/>
        <v>1</v>
      </c>
      <c r="D117" s="4" t="str">
        <f t="shared" si="3"/>
        <v>HIV O-17 Porcentaje de personas que viven con el VIH que, habiendo notificado la violación de sus derechos, buscaron compensación jurídica-1</v>
      </c>
      <c r="E117" s="4" t="str">
        <f>CHOOSE(Translations!$C$1+1,I117,J117,K117)</f>
        <v>Grupo de riesgo objetivo</v>
      </c>
      <c r="F117" s="4" t="str">
        <f>CHOOSE(Translations!$C$1+1,L117,M117,N117)</f>
        <v>PWID</v>
      </c>
      <c r="G117" s="4" t="s">
        <v>6133</v>
      </c>
      <c r="H117" s="6" t="s">
        <v>6134</v>
      </c>
      <c r="I117" s="6" t="s">
        <v>1229</v>
      </c>
      <c r="J117" s="6" t="s">
        <v>1230</v>
      </c>
      <c r="K117" s="6" t="s">
        <v>1231</v>
      </c>
      <c r="L117" s="6" t="s">
        <v>6135</v>
      </c>
      <c r="M117" s="6" t="s">
        <v>6136</v>
      </c>
      <c r="N117" s="6" t="s">
        <v>6137</v>
      </c>
      <c r="O117" s="6" t="s">
        <v>854</v>
      </c>
      <c r="P117" s="6" t="s">
        <v>855</v>
      </c>
      <c r="Q117" s="6" t="s">
        <v>856</v>
      </c>
    </row>
    <row r="118" spans="1:17">
      <c r="A118" s="4" t="s">
        <v>851</v>
      </c>
      <c r="B118" s="4" t="str">
        <f>CHOOSE(Translations!$C$1+1,O118,P118,Q118)</f>
        <v>HIV O-17 Porcentaje de personas que viven con el VIH que, habiendo notificado la violación de sus derechos, buscaron compensación jurídica</v>
      </c>
      <c r="C118" s="4">
        <f t="shared" si="2"/>
        <v>2</v>
      </c>
      <c r="D118" s="4" t="str">
        <f t="shared" si="3"/>
        <v>HIV O-17 Porcentaje de personas que viven con el VIH que, habiendo notificado la violación de sus derechos, buscaron compensación jurídica-2</v>
      </c>
      <c r="E118" s="4" t="str">
        <f>CHOOSE(Translations!$C$1+1,I118,J118,K118)</f>
        <v>Grupo de riesgo objetivo</v>
      </c>
      <c r="F118" s="4" t="str">
        <f>CHOOSE(Translations!$C$1+1,L118,M118,N118)</f>
        <v>Trabajadores sexuales</v>
      </c>
      <c r="G118" s="4" t="s">
        <v>6138</v>
      </c>
      <c r="H118" s="6" t="s">
        <v>6139</v>
      </c>
      <c r="I118" s="6" t="s">
        <v>1229</v>
      </c>
      <c r="J118" s="6" t="s">
        <v>1230</v>
      </c>
      <c r="K118" s="6" t="s">
        <v>1231</v>
      </c>
      <c r="L118" s="6" t="s">
        <v>6140</v>
      </c>
      <c r="M118" s="6" t="s">
        <v>6141</v>
      </c>
      <c r="N118" s="6" t="s">
        <v>6142</v>
      </c>
      <c r="O118" s="6" t="s">
        <v>854</v>
      </c>
      <c r="P118" s="6" t="s">
        <v>855</v>
      </c>
      <c r="Q118" s="6" t="s">
        <v>856</v>
      </c>
    </row>
    <row r="119" spans="1:17">
      <c r="A119" s="4" t="s">
        <v>851</v>
      </c>
      <c r="B119" s="4" t="str">
        <f>CHOOSE(Translations!$C$1+1,O119,P119,Q119)</f>
        <v>HIV O-17 Porcentaje de personas que viven con el VIH que, habiendo notificado la violación de sus derechos, buscaron compensación jurídica</v>
      </c>
      <c r="C119" s="4">
        <f t="shared" si="2"/>
        <v>3</v>
      </c>
      <c r="D119" s="4" t="str">
        <f t="shared" si="3"/>
        <v>HIV O-17 Porcentaje de personas que viven con el VIH que, habiendo notificado la violación de sus derechos, buscaron compensación jurídica-3</v>
      </c>
      <c r="E119" s="4" t="str">
        <f>CHOOSE(Translations!$C$1+1,I119,J119,K119)</f>
        <v>Grupo de riesgo objetivo</v>
      </c>
      <c r="F119" s="4" t="str">
        <f>CHOOSE(Translations!$C$1+1,L119,M119,N119)</f>
        <v>HSH</v>
      </c>
      <c r="G119" s="4" t="s">
        <v>6143</v>
      </c>
      <c r="H119" s="6" t="s">
        <v>6144</v>
      </c>
      <c r="I119" s="6" t="s">
        <v>1229</v>
      </c>
      <c r="J119" s="6" t="s">
        <v>1230</v>
      </c>
      <c r="K119" s="6" t="s">
        <v>1231</v>
      </c>
      <c r="L119" s="6" t="s">
        <v>6145</v>
      </c>
      <c r="M119" s="6" t="s">
        <v>505</v>
      </c>
      <c r="N119" s="6" t="s">
        <v>505</v>
      </c>
      <c r="O119" s="6" t="s">
        <v>854</v>
      </c>
      <c r="P119" s="6" t="s">
        <v>855</v>
      </c>
      <c r="Q119" s="6" t="s">
        <v>856</v>
      </c>
    </row>
    <row r="120" spans="1:17">
      <c r="A120" s="4" t="s">
        <v>851</v>
      </c>
      <c r="B120" s="4" t="str">
        <f>CHOOSE(Translations!$C$1+1,O120,P120,Q120)</f>
        <v>HIV O-17 Porcentaje de personas que viven con el VIH que, habiendo notificado la violación de sus derechos, buscaron compensación jurídica</v>
      </c>
      <c r="C120" s="4">
        <f t="shared" si="2"/>
        <v>4</v>
      </c>
      <c r="D120" s="4" t="str">
        <f t="shared" si="3"/>
        <v>HIV O-17 Porcentaje de personas que viven con el VIH que, habiendo notificado la violación de sus derechos, buscaron compensación jurídica-4</v>
      </c>
      <c r="E120" s="4" t="str">
        <f>CHOOSE(Translations!$C$1+1,I120,J120,K120)</f>
        <v>Género</v>
      </c>
      <c r="F120" s="4" t="str">
        <f>CHOOSE(Translations!$C$1+1,L120,M120,N120)</f>
        <v>Transgénero</v>
      </c>
      <c r="G120" s="4" t="s">
        <v>6146</v>
      </c>
      <c r="H120" s="6" t="s">
        <v>6147</v>
      </c>
      <c r="I120" s="6" t="s">
        <v>800</v>
      </c>
      <c r="J120" s="6" t="s">
        <v>801</v>
      </c>
      <c r="K120" s="6" t="s">
        <v>802</v>
      </c>
      <c r="L120" s="6" t="s">
        <v>5888</v>
      </c>
      <c r="M120" s="6" t="s">
        <v>5889</v>
      </c>
      <c r="N120" s="6" t="s">
        <v>5890</v>
      </c>
      <c r="O120" s="6" t="s">
        <v>854</v>
      </c>
      <c r="P120" s="6" t="s">
        <v>855</v>
      </c>
      <c r="Q120" s="6" t="s">
        <v>856</v>
      </c>
    </row>
    <row r="121" spans="1:17">
      <c r="A121" s="4" t="s">
        <v>851</v>
      </c>
      <c r="B121" s="4" t="str">
        <f>CHOOSE(Translations!$C$1+1,O121,P121,Q121)</f>
        <v>HIV O-17 Porcentaje de personas que viven con el VIH que, habiendo notificado la violación de sus derechos, buscaron compensación jurídica</v>
      </c>
      <c r="C121" s="4">
        <f t="shared" si="2"/>
        <v>5</v>
      </c>
      <c r="D121" s="4" t="str">
        <f t="shared" si="3"/>
        <v>HIV O-17 Porcentaje de personas que viven con el VIH que, habiendo notificado la violación de sus derechos, buscaron compensación jurídica-5</v>
      </c>
      <c r="E121" s="4" t="str">
        <f>CHOOSE(Translations!$C$1+1,I121,J121,K121)</f>
        <v>Género</v>
      </c>
      <c r="F121" s="4" t="str">
        <f>CHOOSE(Translations!$C$1+1,L121,M121,N121)</f>
        <v>Mujeres</v>
      </c>
      <c r="G121" s="4" t="s">
        <v>6148</v>
      </c>
      <c r="H121" s="6" t="s">
        <v>6149</v>
      </c>
      <c r="I121" s="6" t="s">
        <v>800</v>
      </c>
      <c r="J121" s="6" t="s">
        <v>801</v>
      </c>
      <c r="K121" s="6" t="s">
        <v>802</v>
      </c>
      <c r="L121" s="6" t="s">
        <v>5826</v>
      </c>
      <c r="M121" s="6" t="s">
        <v>5827</v>
      </c>
      <c r="N121" s="6" t="s">
        <v>5828</v>
      </c>
      <c r="O121" s="6" t="s">
        <v>854</v>
      </c>
      <c r="P121" s="6" t="s">
        <v>855</v>
      </c>
      <c r="Q121" s="6" t="s">
        <v>856</v>
      </c>
    </row>
    <row r="122" spans="1:17">
      <c r="A122" s="4" t="s">
        <v>851</v>
      </c>
      <c r="B122" s="4" t="str">
        <f>CHOOSE(Translations!$C$1+1,O122,P122,Q122)</f>
        <v>HIV O-17 Porcentaje de personas que viven con el VIH que, habiendo notificado la violación de sus derechos, buscaron compensación jurídica</v>
      </c>
      <c r="C122" s="4">
        <f t="shared" si="2"/>
        <v>6</v>
      </c>
      <c r="D122" s="4" t="str">
        <f t="shared" si="3"/>
        <v>HIV O-17 Porcentaje de personas que viven con el VIH que, habiendo notificado la violación de sus derechos, buscaron compensación jurídica-6</v>
      </c>
      <c r="E122" s="4" t="str">
        <f>CHOOSE(Translations!$C$1+1,I122,J122,K122)</f>
        <v>Género</v>
      </c>
      <c r="F122" s="4" t="str">
        <f>CHOOSE(Translations!$C$1+1,L122,M122,N122)</f>
        <v>Hombres</v>
      </c>
      <c r="G122" s="4" t="s">
        <v>6150</v>
      </c>
      <c r="H122" s="6" t="s">
        <v>6151</v>
      </c>
      <c r="I122" s="6" t="s">
        <v>800</v>
      </c>
      <c r="J122" s="6" t="s">
        <v>801</v>
      </c>
      <c r="K122" s="6" t="s">
        <v>802</v>
      </c>
      <c r="L122" s="6" t="s">
        <v>5831</v>
      </c>
      <c r="M122" s="6" t="s">
        <v>5832</v>
      </c>
      <c r="N122" s="6" t="s">
        <v>5833</v>
      </c>
      <c r="O122" s="6" t="s">
        <v>854</v>
      </c>
      <c r="P122" s="6" t="s">
        <v>855</v>
      </c>
      <c r="Q122" s="6" t="s">
        <v>856</v>
      </c>
    </row>
    <row r="123" spans="1:17">
      <c r="A123" s="4" t="s">
        <v>851</v>
      </c>
      <c r="B123" s="4" t="str">
        <f>CHOOSE(Translations!$C$1+1,O123,P123,Q123)</f>
        <v>HIV O-17 Porcentaje de personas que viven con el VIH que, habiendo notificado la violación de sus derechos, buscaron compensación jurídica</v>
      </c>
      <c r="C123" s="4">
        <f t="shared" si="2"/>
        <v>7</v>
      </c>
      <c r="D123" s="4" t="str">
        <f t="shared" si="3"/>
        <v>HIV O-17 Porcentaje de personas que viven con el VIH que, habiendo notificado la violación de sus derechos, buscaron compensación jurídica-7</v>
      </c>
      <c r="E123" s="4" t="str">
        <f>CHOOSE(Translations!$C$1+1,I123,J123,K123)</f>
        <v>Edad</v>
      </c>
      <c r="F123" s="4" t="str">
        <f>CHOOSE(Translations!$C$1+1,L123,M123,N123)</f>
        <v>25+</v>
      </c>
      <c r="G123" s="4" t="s">
        <v>6152</v>
      </c>
      <c r="H123" s="6" t="s">
        <v>6153</v>
      </c>
      <c r="I123" s="6" t="s">
        <v>697</v>
      </c>
      <c r="J123" s="6" t="s">
        <v>697</v>
      </c>
      <c r="K123" s="6" t="s">
        <v>698</v>
      </c>
      <c r="L123" s="6" t="s">
        <v>5878</v>
      </c>
      <c r="M123" s="6" t="s">
        <v>5878</v>
      </c>
      <c r="N123" s="6" t="s">
        <v>5878</v>
      </c>
      <c r="O123" s="6" t="s">
        <v>854</v>
      </c>
      <c r="P123" s="6" t="s">
        <v>855</v>
      </c>
      <c r="Q123" s="6" t="s">
        <v>856</v>
      </c>
    </row>
    <row r="124" spans="1:17">
      <c r="A124" s="4" t="s">
        <v>851</v>
      </c>
      <c r="B124" s="4" t="str">
        <f>CHOOSE(Translations!$C$1+1,O124,P124,Q124)</f>
        <v>HIV O-17 Porcentaje de personas que viven con el VIH que, habiendo notificado la violación de sus derechos, buscaron compensación jurídica</v>
      </c>
      <c r="C124" s="4">
        <f t="shared" si="2"/>
        <v>8</v>
      </c>
      <c r="D124" s="4" t="str">
        <f t="shared" si="3"/>
        <v>HIV O-17 Porcentaje de personas que viven con el VIH que, habiendo notificado la violación de sus derechos, buscaron compensación jurídica-8</v>
      </c>
      <c r="E124" s="4" t="str">
        <f>CHOOSE(Translations!$C$1+1,I124,J124,K124)</f>
        <v>Edad</v>
      </c>
      <c r="F124" s="4" t="str">
        <f>CHOOSE(Translations!$C$1+1,L124,M124,N124)</f>
        <v>&lt;25</v>
      </c>
      <c r="G124" s="4" t="s">
        <v>6154</v>
      </c>
      <c r="H124" s="6" t="s">
        <v>6155</v>
      </c>
      <c r="I124" s="6" t="s">
        <v>697</v>
      </c>
      <c r="J124" s="6" t="s">
        <v>697</v>
      </c>
      <c r="K124" s="6" t="s">
        <v>698</v>
      </c>
      <c r="L124" s="6" t="s">
        <v>5881</v>
      </c>
      <c r="M124" s="6" t="s">
        <v>5881</v>
      </c>
      <c r="N124" s="6" t="s">
        <v>5881</v>
      </c>
      <c r="O124" s="6" t="s">
        <v>854</v>
      </c>
      <c r="P124" s="6" t="s">
        <v>855</v>
      </c>
      <c r="Q124" s="6" t="s">
        <v>856</v>
      </c>
    </row>
    <row r="125" spans="1:17">
      <c r="A125" s="4" t="s">
        <v>878</v>
      </c>
      <c r="B125" s="4" t="str">
        <f>CHOOSE(Translations!$C$1+1,O125,P125,Q125)</f>
        <v>HIV O-21 Porcentaje de personas que viven con el VIH que no reciben TARV al final del período de reporte entre el total de personas que viven con el VIH en TARV o que iniciaron TARV durante el período de reporte</v>
      </c>
      <c r="C125" s="4">
        <f t="shared" si="2"/>
        <v>0</v>
      </c>
      <c r="D125" s="4" t="str">
        <f t="shared" si="3"/>
        <v>HIV O-21 Porcentaje de personas que viven con el VIH que no reciben TARV al final del período de reporte entre el total de personas que viven con el VIH en TARV o que iniciaron TARV durante el período de reporte-0</v>
      </c>
      <c r="E125" s="4" t="str">
        <f>CHOOSE(Translations!$C$1+1,I125,J125,K125)</f>
        <v>Resultados de tratamiento</v>
      </c>
      <c r="F125" s="4" t="str">
        <f>CHOOSE(Translations!$C$1+1,L125,M125,N125)</f>
        <v>Perdidos en seguimiento</v>
      </c>
      <c r="G125" s="4" t="s">
        <v>6156</v>
      </c>
      <c r="H125" s="6" t="s">
        <v>6157</v>
      </c>
      <c r="I125" s="6" t="s">
        <v>6158</v>
      </c>
      <c r="J125" s="6" t="s">
        <v>6159</v>
      </c>
      <c r="K125" s="6" t="s">
        <v>6160</v>
      </c>
      <c r="L125" s="6" t="s">
        <v>6161</v>
      </c>
      <c r="M125" s="6" t="s">
        <v>6162</v>
      </c>
      <c r="N125" s="6" t="s">
        <v>6163</v>
      </c>
      <c r="O125" s="6" t="s">
        <v>881</v>
      </c>
      <c r="P125" s="6" t="s">
        <v>882</v>
      </c>
      <c r="Q125" s="6" t="s">
        <v>883</v>
      </c>
    </row>
    <row r="126" spans="1:17">
      <c r="A126" s="4" t="s">
        <v>878</v>
      </c>
      <c r="B126" s="4" t="str">
        <f>CHOOSE(Translations!$C$1+1,O126,P126,Q126)</f>
        <v>HIV O-21 Porcentaje de personas que viven con el VIH que no reciben TARV al final del período de reporte entre el total de personas que viven con el VIH en TARV o que iniciaron TARV durante el período de reporte</v>
      </c>
      <c r="C126" s="4">
        <f t="shared" si="2"/>
        <v>1</v>
      </c>
      <c r="D126" s="4" t="str">
        <f t="shared" si="3"/>
        <v>HIV O-21 Porcentaje de personas que viven con el VIH que no reciben TARV al final del período de reporte entre el total de personas que viven con el VIH en TARV o que iniciaron TARV durante el período de reporte-1</v>
      </c>
      <c r="E126" s="4" t="str">
        <f>CHOOSE(Translations!$C$1+1,I126,J126,K126)</f>
        <v>Resultados de tratamiento</v>
      </c>
      <c r="F126" s="4" t="str">
        <f>CHOOSE(Translations!$C$1+1,L126,M126,N126)</f>
        <v>Tratamiento interrumpido</v>
      </c>
      <c r="G126" s="4" t="s">
        <v>6164</v>
      </c>
      <c r="H126" s="6" t="s">
        <v>6165</v>
      </c>
      <c r="I126" s="6" t="s">
        <v>6158</v>
      </c>
      <c r="J126" s="6" t="s">
        <v>6159</v>
      </c>
      <c r="K126" s="6" t="s">
        <v>6160</v>
      </c>
      <c r="L126" s="6" t="s">
        <v>6166</v>
      </c>
      <c r="M126" s="6" t="s">
        <v>6167</v>
      </c>
      <c r="N126" s="6" t="s">
        <v>6168</v>
      </c>
      <c r="O126" s="6" t="s">
        <v>881</v>
      </c>
      <c r="P126" s="6" t="s">
        <v>882</v>
      </c>
      <c r="Q126" s="6" t="s">
        <v>883</v>
      </c>
    </row>
    <row r="127" spans="1:17">
      <c r="A127" s="4" t="s">
        <v>878</v>
      </c>
      <c r="B127" s="4" t="str">
        <f>CHOOSE(Translations!$C$1+1,O127,P127,Q127)</f>
        <v>HIV O-21 Porcentaje de personas que viven con el VIH que no reciben TARV al final del período de reporte entre el total de personas que viven con el VIH en TARV o que iniciaron TARV durante el período de reporte</v>
      </c>
      <c r="C127" s="4">
        <f t="shared" si="2"/>
        <v>2</v>
      </c>
      <c r="D127" s="4" t="str">
        <f t="shared" si="3"/>
        <v>HIV O-21 Porcentaje de personas que viven con el VIH que no reciben TARV al final del período de reporte entre el total de personas que viven con el VIH en TARV o que iniciaron TARV durante el período de reporte-2</v>
      </c>
      <c r="E127" s="4" t="str">
        <f>CHOOSE(Translations!$C$1+1,I127,J127,K127)</f>
        <v>Resultados de tratamiento</v>
      </c>
      <c r="F127" s="4" t="str">
        <f>CHOOSE(Translations!$C$1+1,L127,M127,N127)</f>
        <v>Fallecido</v>
      </c>
      <c r="G127" s="4" t="s">
        <v>6169</v>
      </c>
      <c r="H127" s="6" t="s">
        <v>6170</v>
      </c>
      <c r="I127" s="6" t="s">
        <v>6158</v>
      </c>
      <c r="J127" s="6" t="s">
        <v>6159</v>
      </c>
      <c r="K127" s="6" t="s">
        <v>6160</v>
      </c>
      <c r="L127" s="6" t="s">
        <v>6171</v>
      </c>
      <c r="M127" s="6" t="s">
        <v>6172</v>
      </c>
      <c r="N127" s="6" t="s">
        <v>6173</v>
      </c>
      <c r="O127" s="6" t="s">
        <v>881</v>
      </c>
      <c r="P127" s="6" t="s">
        <v>882</v>
      </c>
      <c r="Q127" s="6" t="s">
        <v>883</v>
      </c>
    </row>
    <row r="128" spans="1:17">
      <c r="A128" s="4" t="s">
        <v>878</v>
      </c>
      <c r="B128" s="4" t="str">
        <f>CHOOSE(Translations!$C$1+1,O128,P128,Q128)</f>
        <v>HIV O-21 Porcentaje de personas que viven con el VIH que no reciben TARV al final del período de reporte entre el total de personas que viven con el VIH en TARV o que iniciaron TARV durante el período de reporte</v>
      </c>
      <c r="C128" s="4">
        <f t="shared" si="2"/>
        <v>3</v>
      </c>
      <c r="D128" s="4" t="str">
        <f t="shared" si="3"/>
        <v>HIV O-21 Porcentaje de personas que viven con el VIH que no reciben TARV al final del período de reporte entre el total de personas que viven con el VIH en TARV o que iniciaron TARV durante el período de reporte-3</v>
      </c>
      <c r="E128" s="4" t="str">
        <f>CHOOSE(Translations!$C$1+1,I128,J128,K128)</f>
        <v>Género</v>
      </c>
      <c r="F128" s="4" t="str">
        <f>CHOOSE(Translations!$C$1+1,L128,M128,N128)</f>
        <v>Transgénero</v>
      </c>
      <c r="G128" s="4" t="s">
        <v>6174</v>
      </c>
      <c r="H128" s="6" t="s">
        <v>6175</v>
      </c>
      <c r="I128" s="6" t="s">
        <v>800</v>
      </c>
      <c r="J128" s="6" t="s">
        <v>801</v>
      </c>
      <c r="K128" s="6" t="s">
        <v>802</v>
      </c>
      <c r="L128" s="6" t="s">
        <v>5888</v>
      </c>
      <c r="M128" s="6" t="s">
        <v>5889</v>
      </c>
      <c r="N128" s="6" t="s">
        <v>5890</v>
      </c>
      <c r="O128" s="6" t="s">
        <v>881</v>
      </c>
      <c r="P128" s="6" t="s">
        <v>882</v>
      </c>
      <c r="Q128" s="6" t="s">
        <v>883</v>
      </c>
    </row>
    <row r="129" spans="1:17">
      <c r="A129" s="4" t="s">
        <v>878</v>
      </c>
      <c r="B129" s="4" t="str">
        <f>CHOOSE(Translations!$C$1+1,O129,P129,Q129)</f>
        <v>HIV O-21 Porcentaje de personas que viven con el VIH que no reciben TARV al final del período de reporte entre el total de personas que viven con el VIH en TARV o que iniciaron TARV durante el período de reporte</v>
      </c>
      <c r="C129" s="4">
        <f t="shared" si="2"/>
        <v>4</v>
      </c>
      <c r="D129" s="4" t="str">
        <f t="shared" si="3"/>
        <v>HIV O-21 Porcentaje de personas que viven con el VIH que no reciben TARV al final del período de reporte entre el total de personas que viven con el VIH en TARV o que iniciaron TARV durante el período de reporte-4</v>
      </c>
      <c r="E129" s="4" t="str">
        <f>CHOOSE(Translations!$C$1+1,I129,J129,K129)</f>
        <v>Género</v>
      </c>
      <c r="F129" s="4" t="str">
        <f>CHOOSE(Translations!$C$1+1,L129,M129,N129)</f>
        <v>Mujeres</v>
      </c>
      <c r="G129" s="4" t="s">
        <v>6176</v>
      </c>
      <c r="H129" s="6" t="s">
        <v>6177</v>
      </c>
      <c r="I129" s="6" t="s">
        <v>800</v>
      </c>
      <c r="J129" s="6" t="s">
        <v>801</v>
      </c>
      <c r="K129" s="6" t="s">
        <v>802</v>
      </c>
      <c r="L129" s="6" t="s">
        <v>5826</v>
      </c>
      <c r="M129" s="6" t="s">
        <v>5827</v>
      </c>
      <c r="N129" s="6" t="s">
        <v>5828</v>
      </c>
      <c r="O129" s="6" t="s">
        <v>881</v>
      </c>
      <c r="P129" s="6" t="s">
        <v>882</v>
      </c>
      <c r="Q129" s="6" t="s">
        <v>883</v>
      </c>
    </row>
    <row r="130" spans="1:17">
      <c r="A130" s="4" t="s">
        <v>878</v>
      </c>
      <c r="B130" s="4" t="str">
        <f>CHOOSE(Translations!$C$1+1,O130,P130,Q130)</f>
        <v>HIV O-21 Porcentaje de personas que viven con el VIH que no reciben TARV al final del período de reporte entre el total de personas que viven con el VIH en TARV o que iniciaron TARV durante el período de reporte</v>
      </c>
      <c r="C130" s="4">
        <f t="shared" si="2"/>
        <v>5</v>
      </c>
      <c r="D130" s="4" t="str">
        <f t="shared" si="3"/>
        <v>HIV O-21 Porcentaje de personas que viven con el VIH que no reciben TARV al final del período de reporte entre el total de personas que viven con el VIH en TARV o que iniciaron TARV durante el período de reporte-5</v>
      </c>
      <c r="E130" s="4" t="str">
        <f>CHOOSE(Translations!$C$1+1,I130,J130,K130)</f>
        <v>Género</v>
      </c>
      <c r="F130" s="4" t="str">
        <f>CHOOSE(Translations!$C$1+1,L130,M130,N130)</f>
        <v>Hombres</v>
      </c>
      <c r="G130" s="4" t="s">
        <v>6178</v>
      </c>
      <c r="H130" s="6" t="s">
        <v>6179</v>
      </c>
      <c r="I130" s="6" t="s">
        <v>800</v>
      </c>
      <c r="J130" s="6" t="s">
        <v>801</v>
      </c>
      <c r="K130" s="6" t="s">
        <v>802</v>
      </c>
      <c r="L130" s="6" t="s">
        <v>5831</v>
      </c>
      <c r="M130" s="6" t="s">
        <v>5832</v>
      </c>
      <c r="N130" s="6" t="s">
        <v>5833</v>
      </c>
      <c r="O130" s="6" t="s">
        <v>881</v>
      </c>
      <c r="P130" s="6" t="s">
        <v>882</v>
      </c>
      <c r="Q130" s="6" t="s">
        <v>883</v>
      </c>
    </row>
    <row r="131" spans="1:17">
      <c r="A131" s="4" t="s">
        <v>878</v>
      </c>
      <c r="B131" s="4" t="str">
        <f>CHOOSE(Translations!$C$1+1,O131,P131,Q131)</f>
        <v>HIV O-21 Porcentaje de personas que viven con el VIH que no reciben TARV al final del período de reporte entre el total de personas que viven con el VIH en TARV o que iniciaron TARV durante el período de reporte</v>
      </c>
      <c r="C131" s="4">
        <f t="shared" si="2"/>
        <v>6</v>
      </c>
      <c r="D131" s="4" t="str">
        <f t="shared" si="3"/>
        <v>HIV O-21 Porcentaje de personas que viven con el VIH que no reciben TARV al final del período de reporte entre el total de personas que viven con el VIH en TARV o que iniciaron TARV durante el período de reporte-6</v>
      </c>
      <c r="E131" s="4" t="str">
        <f>CHOOSE(Translations!$C$1+1,I131,J131,K131)</f>
        <v>Edad</v>
      </c>
      <c r="F131" s="4" t="str">
        <f>CHOOSE(Translations!$C$1+1,L131,M131,N131)</f>
        <v>15+</v>
      </c>
      <c r="G131" s="4" t="s">
        <v>6180</v>
      </c>
      <c r="H131" s="6" t="s">
        <v>6181</v>
      </c>
      <c r="I131" s="6" t="s">
        <v>697</v>
      </c>
      <c r="J131" s="6" t="s">
        <v>697</v>
      </c>
      <c r="K131" s="6" t="s">
        <v>698</v>
      </c>
      <c r="L131" s="6" t="s">
        <v>5836</v>
      </c>
      <c r="M131" s="6" t="s">
        <v>5836</v>
      </c>
      <c r="N131" s="6" t="s">
        <v>5836</v>
      </c>
      <c r="O131" s="6" t="s">
        <v>881</v>
      </c>
      <c r="P131" s="6" t="s">
        <v>882</v>
      </c>
      <c r="Q131" s="6" t="s">
        <v>883</v>
      </c>
    </row>
    <row r="132" spans="1:17">
      <c r="A132" s="4" t="s">
        <v>878</v>
      </c>
      <c r="B132" s="4" t="str">
        <f>CHOOSE(Translations!$C$1+1,O132,P132,Q132)</f>
        <v>HIV O-21 Porcentaje de personas que viven con el VIH que no reciben TARV al final del período de reporte entre el total de personas que viven con el VIH en TARV o que iniciaron TARV durante el período de reporte</v>
      </c>
      <c r="C132" s="4">
        <f t="shared" si="2"/>
        <v>7</v>
      </c>
      <c r="D132" s="4" t="str">
        <f t="shared" si="3"/>
        <v>HIV O-21 Porcentaje de personas que viven con el VIH que no reciben TARV al final del período de reporte entre el total de personas que viven con el VIH en TARV o que iniciaron TARV durante el período de reporte-7</v>
      </c>
      <c r="E132" s="4" t="str">
        <f>CHOOSE(Translations!$C$1+1,I132,J132,K132)</f>
        <v>Edad</v>
      </c>
      <c r="F132" s="4" t="str">
        <f>CHOOSE(Translations!$C$1+1,L132,M132,N132)</f>
        <v>&lt;15</v>
      </c>
      <c r="G132" s="4" t="s">
        <v>6182</v>
      </c>
      <c r="H132" s="6" t="s">
        <v>6183</v>
      </c>
      <c r="I132" s="6" t="s">
        <v>697</v>
      </c>
      <c r="J132" s="6" t="s">
        <v>697</v>
      </c>
      <c r="K132" s="6" t="s">
        <v>698</v>
      </c>
      <c r="L132" s="6" t="s">
        <v>5839</v>
      </c>
      <c r="M132" s="6" t="s">
        <v>5839</v>
      </c>
      <c r="N132" s="6" t="s">
        <v>5839</v>
      </c>
      <c r="O132" s="6" t="s">
        <v>881</v>
      </c>
      <c r="P132" s="6" t="s">
        <v>882</v>
      </c>
      <c r="Q132" s="6" t="s">
        <v>883</v>
      </c>
    </row>
    <row r="133" spans="1:17">
      <c r="A133" s="4" t="s">
        <v>917</v>
      </c>
      <c r="B133" s="4" t="str">
        <f>CHOOSE(Translations!$C$1+1,O133,P133,Q133)</f>
        <v>TB O-7 Porcentaje de personas con tuberculosis que han sufrido autoestigmatización a causa de su estado con respecto a la enfermedad que les ha impedido buscar servicios relacionados con la tuberculosis y acceder</v>
      </c>
      <c r="C133" s="4">
        <f t="shared" si="2"/>
        <v>0</v>
      </c>
      <c r="D133" s="4" t="str">
        <f t="shared" si="3"/>
        <v>TB O-7 Porcentaje de personas con tuberculosis que han sufrido autoestigmatización a causa de su estado con respecto a la enfermedad que les ha impedido buscar servicios relacionados con la tuberculosis y acceder-0</v>
      </c>
      <c r="E133" s="4" t="str">
        <f>CHOOSE(Translations!$C$1+1,I133,J133,K133)</f>
        <v>Género</v>
      </c>
      <c r="F133" s="4" t="str">
        <f>CHOOSE(Translations!$C$1+1,L133,M133,N133)</f>
        <v>Mujeres</v>
      </c>
      <c r="G133" s="4" t="s">
        <v>6184</v>
      </c>
      <c r="H133" s="6" t="s">
        <v>6185</v>
      </c>
      <c r="I133" s="6" t="s">
        <v>800</v>
      </c>
      <c r="J133" s="6" t="s">
        <v>801</v>
      </c>
      <c r="K133" s="6" t="s">
        <v>802</v>
      </c>
      <c r="L133" s="6" t="s">
        <v>5826</v>
      </c>
      <c r="M133" s="6" t="s">
        <v>5827</v>
      </c>
      <c r="N133" s="6" t="s">
        <v>5828</v>
      </c>
      <c r="O133" s="6" t="s">
        <v>920</v>
      </c>
      <c r="P133" s="6" t="s">
        <v>921</v>
      </c>
      <c r="Q133" s="6" t="s">
        <v>922</v>
      </c>
    </row>
    <row r="134" spans="1:17">
      <c r="A134" s="4" t="s">
        <v>917</v>
      </c>
      <c r="B134" s="4" t="str">
        <f>CHOOSE(Translations!$C$1+1,O134,P134,Q134)</f>
        <v>TB O-7 Porcentaje de personas con tuberculosis que han sufrido autoestigmatización a causa de su estado con respecto a la enfermedad que les ha impedido buscar servicios relacionados con la tuberculosis y acceder</v>
      </c>
      <c r="C134" s="4">
        <f t="shared" ref="C134:C151" si="4">IF(O134=O133,C133+1,0)</f>
        <v>1</v>
      </c>
      <c r="D134" s="4" t="str">
        <f t="shared" ref="D134:D151" si="5">B134&amp;"-"&amp;C134</f>
        <v>TB O-7 Porcentaje de personas con tuberculosis que han sufrido autoestigmatización a causa de su estado con respecto a la enfermedad que les ha impedido buscar servicios relacionados con la tuberculosis y acceder-1</v>
      </c>
      <c r="E134" s="4" t="str">
        <f>CHOOSE(Translations!$C$1+1,I134,J134,K134)</f>
        <v>Género</v>
      </c>
      <c r="F134" s="4" t="str">
        <f>CHOOSE(Translations!$C$1+1,L134,M134,N134)</f>
        <v>Hombres</v>
      </c>
      <c r="G134" s="4" t="s">
        <v>6186</v>
      </c>
      <c r="H134" s="6" t="s">
        <v>6187</v>
      </c>
      <c r="I134" s="6" t="s">
        <v>800</v>
      </c>
      <c r="J134" s="6" t="s">
        <v>801</v>
      </c>
      <c r="K134" s="6" t="s">
        <v>802</v>
      </c>
      <c r="L134" s="6" t="s">
        <v>5831</v>
      </c>
      <c r="M134" s="6" t="s">
        <v>5832</v>
      </c>
      <c r="N134" s="6" t="s">
        <v>5833</v>
      </c>
      <c r="O134" s="6" t="s">
        <v>920</v>
      </c>
      <c r="P134" s="6" t="s">
        <v>921</v>
      </c>
      <c r="Q134" s="6" t="s">
        <v>922</v>
      </c>
    </row>
    <row r="135" spans="1:17">
      <c r="A135" s="4" t="s">
        <v>923</v>
      </c>
      <c r="B135" s="4" t="str">
        <f>CHOOSE(Translations!$C$1+1,O135,P135,Q135)</f>
        <v>TB O-8 Porcentaje de personas con tuberculosis que han sufrido estigmatización en centros de atención de la salud a causa de su estado con respecto a la enfermedad que les ha impedido buscar servicios relacionados con la tuberculosis y acceder</v>
      </c>
      <c r="C135" s="4">
        <f t="shared" si="4"/>
        <v>0</v>
      </c>
      <c r="D135" s="4" t="str">
        <f t="shared" si="5"/>
        <v>TB O-8 Porcentaje de personas con tuberculosis que han sufrido estigmatización en centros de atención de la salud a causa de su estado con respecto a la enfermedad que les ha impedido buscar servicios relacionados con la tuberculosis y acceder-0</v>
      </c>
      <c r="E135" s="4" t="str">
        <f>CHOOSE(Translations!$C$1+1,I135,J135,K135)</f>
        <v>Género</v>
      </c>
      <c r="F135" s="4" t="str">
        <f>CHOOSE(Translations!$C$1+1,L135,M135,N135)</f>
        <v>Mujeres</v>
      </c>
      <c r="G135" s="4" t="s">
        <v>6188</v>
      </c>
      <c r="H135" s="6" t="s">
        <v>6189</v>
      </c>
      <c r="I135" s="6" t="s">
        <v>800</v>
      </c>
      <c r="J135" s="6" t="s">
        <v>801</v>
      </c>
      <c r="K135" s="6" t="s">
        <v>802</v>
      </c>
      <c r="L135" s="6" t="s">
        <v>5826</v>
      </c>
      <c r="M135" s="6" t="s">
        <v>5827</v>
      </c>
      <c r="N135" s="6" t="s">
        <v>5828</v>
      </c>
      <c r="O135" s="6" t="s">
        <v>926</v>
      </c>
      <c r="P135" s="6" t="s">
        <v>927</v>
      </c>
      <c r="Q135" s="6" t="s">
        <v>928</v>
      </c>
    </row>
    <row r="136" spans="1:17">
      <c r="A136" s="4" t="s">
        <v>923</v>
      </c>
      <c r="B136" s="4" t="str">
        <f>CHOOSE(Translations!$C$1+1,O136,P136,Q136)</f>
        <v>TB O-8 Porcentaje de personas con tuberculosis que han sufrido estigmatización en centros de atención de la salud a causa de su estado con respecto a la enfermedad que les ha impedido buscar servicios relacionados con la tuberculosis y acceder</v>
      </c>
      <c r="C136" s="4">
        <f t="shared" si="4"/>
        <v>1</v>
      </c>
      <c r="D136" s="4" t="str">
        <f t="shared" si="5"/>
        <v>TB O-8 Porcentaje de personas con tuberculosis que han sufrido estigmatización en centros de atención de la salud a causa de su estado con respecto a la enfermedad que les ha impedido buscar servicios relacionados con la tuberculosis y acceder-1</v>
      </c>
      <c r="E136" s="4" t="str">
        <f>CHOOSE(Translations!$C$1+1,I136,J136,K136)</f>
        <v>Género</v>
      </c>
      <c r="F136" s="4" t="str">
        <f>CHOOSE(Translations!$C$1+1,L136,M136,N136)</f>
        <v>Hombres</v>
      </c>
      <c r="G136" s="4" t="s">
        <v>6190</v>
      </c>
      <c r="H136" s="6" t="s">
        <v>6191</v>
      </c>
      <c r="I136" s="6" t="s">
        <v>800</v>
      </c>
      <c r="J136" s="6" t="s">
        <v>801</v>
      </c>
      <c r="K136" s="6" t="s">
        <v>802</v>
      </c>
      <c r="L136" s="6" t="s">
        <v>5831</v>
      </c>
      <c r="M136" s="6" t="s">
        <v>5832</v>
      </c>
      <c r="N136" s="6" t="s">
        <v>5833</v>
      </c>
      <c r="O136" s="6" t="s">
        <v>926</v>
      </c>
      <c r="P136" s="6" t="s">
        <v>927</v>
      </c>
      <c r="Q136" s="6" t="s">
        <v>928</v>
      </c>
    </row>
    <row r="137" spans="1:17">
      <c r="A137" s="4" t="s">
        <v>929</v>
      </c>
      <c r="B137" s="4" t="str">
        <f>CHOOSE(Translations!$C$1+1,O137,P137,Q137)</f>
        <v>TB O-9 Porcentajeo de personas con tuberculosis que han sufrido estigmatización en centros comunitarios a causa de su estado con respecto a la enfermedad que les ha impedido buscar servicios relacionados con la tuberculosis y acceder</v>
      </c>
      <c r="C137" s="4">
        <f t="shared" si="4"/>
        <v>0</v>
      </c>
      <c r="D137" s="4" t="str">
        <f t="shared" si="5"/>
        <v>TB O-9 Porcentajeo de personas con tuberculosis que han sufrido estigmatización en centros comunitarios a causa de su estado con respecto a la enfermedad que les ha impedido buscar servicios relacionados con la tuberculosis y acceder-0</v>
      </c>
      <c r="E137" s="4" t="str">
        <f>CHOOSE(Translations!$C$1+1,I137,J137,K137)</f>
        <v>Género</v>
      </c>
      <c r="F137" s="4" t="str">
        <f>CHOOSE(Translations!$C$1+1,L137,M137,N137)</f>
        <v>Mujeres</v>
      </c>
      <c r="G137" s="4" t="s">
        <v>6192</v>
      </c>
      <c r="H137" s="6" t="s">
        <v>6193</v>
      </c>
      <c r="I137" s="6" t="s">
        <v>800</v>
      </c>
      <c r="J137" s="6" t="s">
        <v>801</v>
      </c>
      <c r="K137" s="6" t="s">
        <v>802</v>
      </c>
      <c r="L137" s="6" t="s">
        <v>5826</v>
      </c>
      <c r="M137" s="6" t="s">
        <v>5827</v>
      </c>
      <c r="N137" s="6" t="s">
        <v>5828</v>
      </c>
      <c r="O137" s="6" t="s">
        <v>932</v>
      </c>
      <c r="P137" s="6" t="s">
        <v>933</v>
      </c>
      <c r="Q137" s="6" t="s">
        <v>934</v>
      </c>
    </row>
    <row r="138" spans="1:17">
      <c r="A138" s="4" t="s">
        <v>929</v>
      </c>
      <c r="B138" s="4" t="str">
        <f>CHOOSE(Translations!$C$1+1,O138,P138,Q138)</f>
        <v>TB O-9 Porcentajeo de personas con tuberculosis que han sufrido estigmatización en centros comunitarios a causa de su estado con respecto a la enfermedad que les ha impedido buscar servicios relacionados con la tuberculosis y acceder</v>
      </c>
      <c r="C138" s="4">
        <f t="shared" si="4"/>
        <v>1</v>
      </c>
      <c r="D138" s="4" t="str">
        <f t="shared" si="5"/>
        <v>TB O-9 Porcentajeo de personas con tuberculosis que han sufrido estigmatización en centros comunitarios a causa de su estado con respecto a la enfermedad que les ha impedido buscar servicios relacionados con la tuberculosis y acceder-1</v>
      </c>
      <c r="E138" s="4" t="str">
        <f>CHOOSE(Translations!$C$1+1,I138,J138,K138)</f>
        <v>Género</v>
      </c>
      <c r="F138" s="4" t="str">
        <f>CHOOSE(Translations!$C$1+1,L138,M138,N138)</f>
        <v>Hombres</v>
      </c>
      <c r="G138" s="4" t="s">
        <v>6194</v>
      </c>
      <c r="H138" s="6" t="s">
        <v>6195</v>
      </c>
      <c r="I138" s="6" t="s">
        <v>800</v>
      </c>
      <c r="J138" s="6" t="s">
        <v>801</v>
      </c>
      <c r="K138" s="6" t="s">
        <v>802</v>
      </c>
      <c r="L138" s="6" t="s">
        <v>5831</v>
      </c>
      <c r="M138" s="6" t="s">
        <v>5832</v>
      </c>
      <c r="N138" s="6" t="s">
        <v>5833</v>
      </c>
      <c r="O138" s="6" t="s">
        <v>932</v>
      </c>
      <c r="P138" s="6" t="s">
        <v>933</v>
      </c>
      <c r="Q138" s="6" t="s">
        <v>934</v>
      </c>
    </row>
    <row r="139" spans="1:17">
      <c r="A139" s="4" t="s">
        <v>6196</v>
      </c>
      <c r="B139" s="4" t="str">
        <f>CHOOSE(Translations!$C$1+1,O139,P139,Q139)</f>
        <v>Malaria O-1a Proporción de la población que durmió bajo un mosquitero tratado con insecticida la noche anterior</v>
      </c>
      <c r="C139" s="4">
        <f t="shared" si="4"/>
        <v>0</v>
      </c>
      <c r="D139" s="4" t="str">
        <f t="shared" si="5"/>
        <v>Malaria O-1a Proporción de la población que durmió bajo un mosquitero tratado con insecticida la noche anterior-0</v>
      </c>
      <c r="E139" s="4" t="str">
        <f>CHOOSE(Translations!$C$1+1,I139,J139,K139)</f>
        <v>Género</v>
      </c>
      <c r="F139" s="4" t="str">
        <f>CHOOSE(Translations!$C$1+1,L139,M139,N139)</f>
        <v>Mujeres</v>
      </c>
      <c r="G139" s="4" t="s">
        <v>6197</v>
      </c>
      <c r="H139" s="6" t="s">
        <v>6198</v>
      </c>
      <c r="I139" s="6" t="s">
        <v>800</v>
      </c>
      <c r="J139" s="6" t="s">
        <v>801</v>
      </c>
      <c r="K139" s="6" t="s">
        <v>802</v>
      </c>
      <c r="L139" s="6" t="s">
        <v>5826</v>
      </c>
      <c r="M139" s="6" t="s">
        <v>5827</v>
      </c>
      <c r="N139" s="6" t="s">
        <v>5828</v>
      </c>
      <c r="O139" s="6" t="s">
        <v>6199</v>
      </c>
      <c r="P139" s="6" t="s">
        <v>6200</v>
      </c>
      <c r="Q139" s="6" t="s">
        <v>6201</v>
      </c>
    </row>
    <row r="140" spans="1:17">
      <c r="A140" s="4" t="s">
        <v>6196</v>
      </c>
      <c r="B140" s="4" t="str">
        <f>CHOOSE(Translations!$C$1+1,O140,P140,Q140)</f>
        <v>Malaria O-1a Proporción de la población que durmió bajo un mosquitero tratado con insecticida la noche anterior</v>
      </c>
      <c r="C140" s="4">
        <f t="shared" si="4"/>
        <v>1</v>
      </c>
      <c r="D140" s="4" t="str">
        <f t="shared" si="5"/>
        <v>Malaria O-1a Proporción de la población que durmió bajo un mosquitero tratado con insecticida la noche anterior-1</v>
      </c>
      <c r="E140" s="4" t="str">
        <f>CHOOSE(Translations!$C$1+1,I140,J140,K140)</f>
        <v>Género</v>
      </c>
      <c r="F140" s="4" t="str">
        <f>CHOOSE(Translations!$C$1+1,L140,M140,N140)</f>
        <v>Hombres</v>
      </c>
      <c r="G140" s="4" t="s">
        <v>6202</v>
      </c>
      <c r="H140" s="6" t="s">
        <v>6203</v>
      </c>
      <c r="I140" s="6" t="s">
        <v>800</v>
      </c>
      <c r="J140" s="6" t="s">
        <v>801</v>
      </c>
      <c r="K140" s="6" t="s">
        <v>802</v>
      </c>
      <c r="L140" s="6" t="s">
        <v>5831</v>
      </c>
      <c r="M140" s="6" t="s">
        <v>5832</v>
      </c>
      <c r="N140" s="6" t="s">
        <v>5833</v>
      </c>
      <c r="O140" s="6" t="s">
        <v>6199</v>
      </c>
      <c r="P140" s="6" t="s">
        <v>6200</v>
      </c>
      <c r="Q140" s="6" t="s">
        <v>6201</v>
      </c>
    </row>
    <row r="141" spans="1:17">
      <c r="A141" s="4" t="s">
        <v>6204</v>
      </c>
      <c r="B141" s="4" t="str">
        <f>CHOOSE(Translations!$C$1+1,O141,P141,Q141)</f>
        <v>Malaria O-3 Proporción de la población que utiliza mosquiteros tratados con insecticida entre la población que tiene acceso a ellos</v>
      </c>
      <c r="C141" s="4">
        <f t="shared" si="4"/>
        <v>0</v>
      </c>
      <c r="D141" s="4" t="str">
        <f t="shared" si="5"/>
        <v>Malaria O-3 Proporción de la población que utiliza mosquiteros tratados con insecticida entre la población que tiene acceso a ellos-0</v>
      </c>
      <c r="E141" s="4" t="str">
        <f>CHOOSE(Translations!$C$1+1,I141,J141,K141)</f>
        <v>Género</v>
      </c>
      <c r="F141" s="4" t="str">
        <f>CHOOSE(Translations!$C$1+1,L141,M141,N141)</f>
        <v>Mujeres</v>
      </c>
      <c r="G141" s="4" t="s">
        <v>6205</v>
      </c>
      <c r="H141" s="6" t="s">
        <v>6206</v>
      </c>
      <c r="I141" s="6" t="s">
        <v>800</v>
      </c>
      <c r="J141" s="6" t="s">
        <v>801</v>
      </c>
      <c r="K141" s="6" t="s">
        <v>802</v>
      </c>
      <c r="L141" s="6" t="s">
        <v>5826</v>
      </c>
      <c r="M141" s="6" t="s">
        <v>5827</v>
      </c>
      <c r="N141" s="6" t="s">
        <v>5828</v>
      </c>
      <c r="O141" s="6" t="s">
        <v>6207</v>
      </c>
      <c r="P141" s="6" t="s">
        <v>6208</v>
      </c>
      <c r="Q141" s="6" t="s">
        <v>6209</v>
      </c>
    </row>
    <row r="142" spans="1:17">
      <c r="A142" s="4" t="s">
        <v>6204</v>
      </c>
      <c r="B142" s="4" t="str">
        <f>CHOOSE(Translations!$C$1+1,O142,P142,Q142)</f>
        <v>Malaria O-3 Proporción de la población que utiliza mosquiteros tratados con insecticida entre la población que tiene acceso a ellos</v>
      </c>
      <c r="C142" s="4">
        <f t="shared" si="4"/>
        <v>1</v>
      </c>
      <c r="D142" s="4" t="str">
        <f t="shared" si="5"/>
        <v>Malaria O-3 Proporción de la población que utiliza mosquiteros tratados con insecticida entre la población que tiene acceso a ellos-1</v>
      </c>
      <c r="E142" s="4" t="str">
        <f>CHOOSE(Translations!$C$1+1,I142,J142,K142)</f>
        <v>Género</v>
      </c>
      <c r="F142" s="4" t="str">
        <f>CHOOSE(Translations!$C$1+1,L142,M142,N142)</f>
        <v>Hombres</v>
      </c>
      <c r="G142" s="4" t="s">
        <v>6210</v>
      </c>
      <c r="H142" s="6" t="s">
        <v>6211</v>
      </c>
      <c r="I142" s="6" t="s">
        <v>800</v>
      </c>
      <c r="J142" s="6" t="s">
        <v>801</v>
      </c>
      <c r="K142" s="6" t="s">
        <v>802</v>
      </c>
      <c r="L142" s="6" t="s">
        <v>5831</v>
      </c>
      <c r="M142" s="6" t="s">
        <v>5832</v>
      </c>
      <c r="N142" s="6" t="s">
        <v>5833</v>
      </c>
      <c r="O142" s="6" t="s">
        <v>6207</v>
      </c>
      <c r="P142" s="6" t="s">
        <v>6208</v>
      </c>
      <c r="Q142" s="6" t="s">
        <v>6209</v>
      </c>
    </row>
    <row r="143" spans="1:17">
      <c r="A143" s="4" t="s">
        <v>6212</v>
      </c>
      <c r="B143" s="4" t="str">
        <f>CHOOSE(Translations!$C$1+1,O143,P143,Q143)</f>
        <v>Malaria O-9⁽ᴹ⁾ Tasa anual de análisis de sangre por cada 100 habitantes (en entornos de eliminación de la malaria)</v>
      </c>
      <c r="C143" s="4">
        <f t="shared" si="4"/>
        <v>0</v>
      </c>
      <c r="D143" s="4" t="str">
        <f t="shared" si="5"/>
        <v>Malaria O-9⁽ᴹ⁾ Tasa anual de análisis de sangre por cada 100 habitantes (en entornos de eliminación de la malaria)-0</v>
      </c>
      <c r="E143" s="4" t="str">
        <f>CHOOSE(Translations!$C$1+1,I143,J143,K143)</f>
        <v>Detección de casos</v>
      </c>
      <c r="F143" s="4" t="str">
        <f>CHOOSE(Translations!$C$1+1,L143,M143,N143)</f>
        <v>Pasiva</v>
      </c>
      <c r="G143" s="4" t="s">
        <v>6213</v>
      </c>
      <c r="H143" s="6" t="s">
        <v>6214</v>
      </c>
      <c r="I143" s="6" t="s">
        <v>6215</v>
      </c>
      <c r="J143" s="6" t="s">
        <v>6216</v>
      </c>
      <c r="K143" s="6" t="s">
        <v>6217</v>
      </c>
      <c r="L143" s="6" t="s">
        <v>6218</v>
      </c>
      <c r="M143" s="6" t="s">
        <v>6218</v>
      </c>
      <c r="N143" s="6" t="s">
        <v>6219</v>
      </c>
      <c r="O143" s="6" t="s">
        <v>6220</v>
      </c>
      <c r="P143" s="6" t="s">
        <v>6221</v>
      </c>
      <c r="Q143" s="6" t="s">
        <v>6222</v>
      </c>
    </row>
    <row r="144" spans="1:17">
      <c r="A144" s="4" t="s">
        <v>6212</v>
      </c>
      <c r="B144" s="4" t="str">
        <f>CHOOSE(Translations!$C$1+1,O144,P144,Q144)</f>
        <v>Malaria O-9⁽ᴹ⁾ Tasa anual de análisis de sangre por cada 100 habitantes (en entornos de eliminación de la malaria)</v>
      </c>
      <c r="C144" s="4">
        <f t="shared" si="4"/>
        <v>1</v>
      </c>
      <c r="D144" s="4" t="str">
        <f t="shared" si="5"/>
        <v>Malaria O-9⁽ᴹ⁾ Tasa anual de análisis de sangre por cada 100 habitantes (en entornos de eliminación de la malaria)-1</v>
      </c>
      <c r="E144" s="4" t="str">
        <f>CHOOSE(Translations!$C$1+1,I144,J144,K144)</f>
        <v>Detección de casos</v>
      </c>
      <c r="F144" s="4" t="str">
        <f>CHOOSE(Translations!$C$1+1,L144,M144,N144)</f>
        <v>Activa</v>
      </c>
      <c r="G144" s="4" t="s">
        <v>6223</v>
      </c>
      <c r="H144" s="6" t="s">
        <v>6224</v>
      </c>
      <c r="I144" s="6" t="s">
        <v>6215</v>
      </c>
      <c r="J144" s="6" t="s">
        <v>6216</v>
      </c>
      <c r="K144" s="6" t="s">
        <v>6217</v>
      </c>
      <c r="L144" s="6" t="s">
        <v>6225</v>
      </c>
      <c r="M144" s="6" t="s">
        <v>6225</v>
      </c>
      <c r="N144" s="6" t="s">
        <v>6226</v>
      </c>
      <c r="O144" s="6" t="s">
        <v>6220</v>
      </c>
      <c r="P144" s="6" t="s">
        <v>6221</v>
      </c>
      <c r="Q144" s="6" t="s">
        <v>6222</v>
      </c>
    </row>
    <row r="145" spans="1:17">
      <c r="A145" s="4" t="s">
        <v>959</v>
      </c>
      <c r="B145" s="4" t="str">
        <f>CHOOSE(Translations!$C$1+1,O145,P145,Q145)</f>
        <v>HSS O-8 Trabajadores de  salud activos por cada 10.000 habitantes</v>
      </c>
      <c r="C145" s="4">
        <f t="shared" si="4"/>
        <v>0</v>
      </c>
      <c r="D145" s="4" t="str">
        <f t="shared" si="5"/>
        <v>HSS O-8 Trabajadores de  salud activos por cada 10.000 habitantes-0</v>
      </c>
      <c r="E145" s="4" t="str">
        <f>CHOOSE(Translations!$C$1+1,I145,J145,K145)</f>
        <v>Grupo de ocupación</v>
      </c>
      <c r="F145" s="4" t="str">
        <f>CHOOSE(Translations!$C$1+1,L145,M145,N145)</f>
        <v>Trabajadores de la salud comunitarios</v>
      </c>
      <c r="G145" s="4" t="s">
        <v>6227</v>
      </c>
      <c r="H145" s="6" t="s">
        <v>6228</v>
      </c>
      <c r="I145" s="6" t="s">
        <v>965</v>
      </c>
      <c r="J145" s="6" t="s">
        <v>966</v>
      </c>
      <c r="K145" s="6" t="s">
        <v>967</v>
      </c>
      <c r="L145" s="6" t="s">
        <v>6229</v>
      </c>
      <c r="M145" s="6" t="s">
        <v>6230</v>
      </c>
      <c r="N145" s="6" t="s">
        <v>6231</v>
      </c>
      <c r="O145" s="6" t="s">
        <v>962</v>
      </c>
      <c r="P145" s="6" t="s">
        <v>963</v>
      </c>
      <c r="Q145" s="6" t="s">
        <v>964</v>
      </c>
    </row>
    <row r="146" spans="1:17">
      <c r="A146" s="4" t="s">
        <v>959</v>
      </c>
      <c r="B146" s="4" t="str">
        <f>CHOOSE(Translations!$C$1+1,O146,P146,Q146)</f>
        <v>HSS O-8 Trabajadores de  salud activos por cada 10.000 habitantes</v>
      </c>
      <c r="C146" s="4">
        <f t="shared" si="4"/>
        <v>1</v>
      </c>
      <c r="D146" s="4" t="str">
        <f t="shared" si="5"/>
        <v>HSS O-8 Trabajadores de  salud activos por cada 10.000 habitantes-1</v>
      </c>
      <c r="E146" s="4" t="str">
        <f>CHOOSE(Translations!$C$1+1,I146,J146,K146)</f>
        <v>Grupo de ocupación</v>
      </c>
      <c r="F146" s="4" t="str">
        <f>CHOOSE(Translations!$C$1+1,L146,M146,N146)</f>
        <v>Farmacéuticos</v>
      </c>
      <c r="G146" s="4" t="s">
        <v>6232</v>
      </c>
      <c r="H146" s="6" t="s">
        <v>6233</v>
      </c>
      <c r="I146" s="6" t="s">
        <v>965</v>
      </c>
      <c r="J146" s="6" t="s">
        <v>966</v>
      </c>
      <c r="K146" s="6" t="s">
        <v>967</v>
      </c>
      <c r="L146" s="6" t="s">
        <v>6234</v>
      </c>
      <c r="M146" s="6" t="s">
        <v>6235</v>
      </c>
      <c r="N146" s="6" t="s">
        <v>6236</v>
      </c>
      <c r="O146" s="6" t="s">
        <v>962</v>
      </c>
      <c r="P146" s="6" t="s">
        <v>963</v>
      </c>
      <c r="Q146" s="6" t="s">
        <v>964</v>
      </c>
    </row>
    <row r="147" spans="1:17">
      <c r="A147" s="4" t="s">
        <v>959</v>
      </c>
      <c r="B147" s="4" t="str">
        <f>CHOOSE(Translations!$C$1+1,O147,P147,Q147)</f>
        <v>HSS O-8 Trabajadores de  salud activos por cada 10.000 habitantes</v>
      </c>
      <c r="C147" s="4">
        <f t="shared" si="4"/>
        <v>2</v>
      </c>
      <c r="D147" s="4" t="str">
        <f t="shared" si="5"/>
        <v>HSS O-8 Trabajadores de  salud activos por cada 10.000 habitantes-2</v>
      </c>
      <c r="E147" s="4" t="str">
        <f>CHOOSE(Translations!$C$1+1,I147,J147,K147)</f>
        <v>Grupo de ocupación</v>
      </c>
      <c r="F147" s="4" t="str">
        <f>CHOOSE(Translations!$C$1+1,L147,M147,N147)</f>
        <v>Técnicos de laboratorio</v>
      </c>
      <c r="G147" s="4" t="s">
        <v>6237</v>
      </c>
      <c r="H147" s="6" t="s">
        <v>6238</v>
      </c>
      <c r="I147" s="6" t="s">
        <v>965</v>
      </c>
      <c r="J147" s="6" t="s">
        <v>966</v>
      </c>
      <c r="K147" s="6" t="s">
        <v>967</v>
      </c>
      <c r="L147" s="6" t="s">
        <v>6239</v>
      </c>
      <c r="M147" s="6" t="s">
        <v>6240</v>
      </c>
      <c r="N147" s="6" t="s">
        <v>6241</v>
      </c>
      <c r="O147" s="6" t="s">
        <v>962</v>
      </c>
      <c r="P147" s="6" t="s">
        <v>963</v>
      </c>
      <c r="Q147" s="6" t="s">
        <v>964</v>
      </c>
    </row>
    <row r="148" spans="1:17">
      <c r="A148" s="4" t="s">
        <v>959</v>
      </c>
      <c r="B148" s="4" t="str">
        <f>CHOOSE(Translations!$C$1+1,O148,P148,Q148)</f>
        <v>HSS O-8 Trabajadores de  salud activos por cada 10.000 habitantes</v>
      </c>
      <c r="C148" s="4">
        <f t="shared" si="4"/>
        <v>3</v>
      </c>
      <c r="D148" s="4" t="str">
        <f t="shared" si="5"/>
        <v>HSS O-8 Trabajadores de  salud activos por cada 10.000 habitantes-3</v>
      </c>
      <c r="E148" s="4" t="str">
        <f>CHOOSE(Translations!$C$1+1,I148,J148,K148)</f>
        <v>Grupo de ocupación</v>
      </c>
      <c r="F148" s="4" t="str">
        <f>CHOOSE(Translations!$C$1+1,L148,M148,N148)</f>
        <v>Enfermeras y parteras</v>
      </c>
      <c r="G148" s="4" t="s">
        <v>6242</v>
      </c>
      <c r="H148" s="6" t="s">
        <v>6243</v>
      </c>
      <c r="I148" s="6" t="s">
        <v>965</v>
      </c>
      <c r="J148" s="6" t="s">
        <v>966</v>
      </c>
      <c r="K148" s="6" t="s">
        <v>967</v>
      </c>
      <c r="L148" s="6" t="s">
        <v>6244</v>
      </c>
      <c r="M148" s="6" t="s">
        <v>6245</v>
      </c>
      <c r="N148" s="6" t="s">
        <v>6246</v>
      </c>
      <c r="O148" s="6" t="s">
        <v>962</v>
      </c>
      <c r="P148" s="6" t="s">
        <v>963</v>
      </c>
      <c r="Q148" s="6" t="s">
        <v>964</v>
      </c>
    </row>
    <row r="149" spans="1:17">
      <c r="A149" s="4" t="s">
        <v>959</v>
      </c>
      <c r="B149" s="4" t="str">
        <f>CHOOSE(Translations!$C$1+1,O149,P149,Q149)</f>
        <v>HSS O-8 Trabajadores de  salud activos por cada 10.000 habitantes</v>
      </c>
      <c r="C149" s="4">
        <f t="shared" si="4"/>
        <v>4</v>
      </c>
      <c r="D149" s="4" t="str">
        <f t="shared" si="5"/>
        <v>HSS O-8 Trabajadores de  salud activos por cada 10.000 habitantes-4</v>
      </c>
      <c r="E149" s="4" t="str">
        <f>CHOOSE(Translations!$C$1+1,I149,J149,K149)</f>
        <v>Grupo de ocupación</v>
      </c>
      <c r="F149" s="4" t="str">
        <f>CHOOSE(Translations!$C$1+1,L149,M149,N149)</f>
        <v>Médicos</v>
      </c>
      <c r="G149" s="4" t="s">
        <v>6247</v>
      </c>
      <c r="H149" s="6" t="s">
        <v>6248</v>
      </c>
      <c r="I149" s="6" t="s">
        <v>965</v>
      </c>
      <c r="J149" s="6" t="s">
        <v>966</v>
      </c>
      <c r="K149" s="6" t="s">
        <v>967</v>
      </c>
      <c r="L149" s="6" t="s">
        <v>6249</v>
      </c>
      <c r="M149" s="6" t="s">
        <v>6250</v>
      </c>
      <c r="N149" s="6" t="s">
        <v>6251</v>
      </c>
      <c r="O149" s="6" t="s">
        <v>962</v>
      </c>
      <c r="P149" s="6" t="s">
        <v>963</v>
      </c>
      <c r="Q149" s="6" t="s">
        <v>964</v>
      </c>
    </row>
    <row r="150" spans="1:17">
      <c r="A150" s="4" t="s">
        <v>970</v>
      </c>
      <c r="B150" s="4" t="str">
        <f>CHOOSE(Translations!$C$1+1,O150,P150,Q150)</f>
        <v>HSS O-9 Porcentaje de clientes prenatales con primera visita antes de las 12 semanas</v>
      </c>
      <c r="C150" s="4">
        <f t="shared" si="4"/>
        <v>0</v>
      </c>
      <c r="D150" s="4" t="str">
        <f t="shared" si="5"/>
        <v>HSS O-9 Porcentaje de clientes prenatales con primera visita antes de las 12 semanas-0</v>
      </c>
      <c r="E150" s="4" t="str">
        <f>CHOOSE(Translations!$C$1+1,I150,J150,K150)</f>
        <v>Edad</v>
      </c>
      <c r="F150" s="4" t="str">
        <f>CHOOSE(Translations!$C$1+1,L150,M150,N150)</f>
        <v>15-19</v>
      </c>
      <c r="G150" s="4" t="s">
        <v>6252</v>
      </c>
      <c r="H150" s="6" t="s">
        <v>6253</v>
      </c>
      <c r="I150" s="6" t="s">
        <v>697</v>
      </c>
      <c r="J150" s="6" t="s">
        <v>697</v>
      </c>
      <c r="K150" s="6" t="s">
        <v>698</v>
      </c>
      <c r="L150" s="6" t="s">
        <v>6045</v>
      </c>
      <c r="M150" s="6" t="s">
        <v>6045</v>
      </c>
      <c r="N150" s="6" t="s">
        <v>6045</v>
      </c>
      <c r="O150" s="6" t="s">
        <v>973</v>
      </c>
      <c r="P150" s="6" t="s">
        <v>974</v>
      </c>
      <c r="Q150" s="6" t="s">
        <v>975</v>
      </c>
    </row>
    <row r="151" spans="1:17">
      <c r="A151" s="4" t="s">
        <v>970</v>
      </c>
      <c r="B151" s="4" t="str">
        <f>CHOOSE(Translations!$C$1+1,O151,P151,Q151)</f>
        <v>HSS O-9 Porcentaje de clientes prenatales con primera visita antes de las 12 semanas</v>
      </c>
      <c r="C151" s="4">
        <f t="shared" si="4"/>
        <v>1</v>
      </c>
      <c r="D151" s="4" t="str">
        <f t="shared" si="5"/>
        <v>HSS O-9 Porcentaje de clientes prenatales con primera visita antes de las 12 semanas-1</v>
      </c>
      <c r="E151" s="4" t="str">
        <f>CHOOSE(Translations!$C$1+1,I151,J151,K151)</f>
        <v>Edad</v>
      </c>
      <c r="F151" s="4" t="str">
        <f>CHOOSE(Translations!$C$1+1,L151,M151,N151)</f>
        <v>10-14</v>
      </c>
      <c r="G151" s="4" t="s">
        <v>6254</v>
      </c>
      <c r="H151" s="6" t="s">
        <v>6255</v>
      </c>
      <c r="I151" s="6" t="s">
        <v>697</v>
      </c>
      <c r="J151" s="6" t="s">
        <v>697</v>
      </c>
      <c r="K151" s="6" t="s">
        <v>698</v>
      </c>
      <c r="L151" s="6" t="s">
        <v>6256</v>
      </c>
      <c r="M151" s="6" t="s">
        <v>6256</v>
      </c>
      <c r="N151" s="6" t="s">
        <v>6256</v>
      </c>
      <c r="O151" s="6" t="s">
        <v>973</v>
      </c>
      <c r="P151" s="6" t="s">
        <v>974</v>
      </c>
      <c r="Q151" s="6" t="s">
        <v>975</v>
      </c>
    </row>
    <row r="153" spans="1:17">
      <c r="A153" s="8" t="s">
        <v>6257</v>
      </c>
    </row>
    <row r="154" spans="1:17">
      <c r="A154" s="4" t="s">
        <v>6258</v>
      </c>
      <c r="B154" s="4" t="s">
        <v>636</v>
      </c>
      <c r="C154" s="4">
        <v>0</v>
      </c>
      <c r="D154" s="4" t="s">
        <v>5785</v>
      </c>
      <c r="E154" s="4" t="s">
        <v>5786</v>
      </c>
      <c r="F154" s="4" t="s">
        <v>6033</v>
      </c>
      <c r="G154" s="4" t="s">
        <v>341</v>
      </c>
      <c r="H154" s="4" t="s">
        <v>5788</v>
      </c>
      <c r="I154" s="4" t="s">
        <v>5372</v>
      </c>
      <c r="J154" s="4" t="s">
        <v>5789</v>
      </c>
      <c r="K154" s="4" t="s">
        <v>5790</v>
      </c>
      <c r="L154" s="4" t="s">
        <v>3754</v>
      </c>
      <c r="M154" s="4" t="s">
        <v>5791</v>
      </c>
      <c r="N154" s="4" t="s">
        <v>5792</v>
      </c>
      <c r="O154" s="4" t="s">
        <v>645</v>
      </c>
      <c r="P154" s="4" t="s">
        <v>646</v>
      </c>
      <c r="Q154" s="4" t="s">
        <v>647</v>
      </c>
    </row>
    <row r="155" spans="1:17" hidden="1">
      <c r="A155" s="4" t="s">
        <v>6259</v>
      </c>
      <c r="B155" s="4" t="str">
        <f>CHOOSE(Translations!$C$1+1,O155,P155,Q155)</f>
        <v>[Name - ES]</v>
      </c>
      <c r="C155" s="4">
        <f>IF(O155=O154,C154+1,0)</f>
        <v>0</v>
      </c>
      <c r="D155" s="4" t="str">
        <f>B155&amp;"-"&amp;C155</f>
        <v>[Name - ES]-0</v>
      </c>
      <c r="E155" s="4" t="str">
        <f>CHOOSE(Translations!$C$1+1,I155,J155,K155)</f>
        <v>[Category - ES]</v>
      </c>
      <c r="F155" s="4" t="str">
        <f>CHOOSE(Translations!$C$1+1,L155,M155,N155)</f>
        <v>[Disaggregation - ES]</v>
      </c>
      <c r="G155" s="4" t="s">
        <v>345</v>
      </c>
      <c r="H155" s="6" t="s">
        <v>5794</v>
      </c>
      <c r="I155" s="6" t="s">
        <v>5795</v>
      </c>
      <c r="J155" s="6" t="s">
        <v>5796</v>
      </c>
      <c r="K155" s="6" t="s">
        <v>5797</v>
      </c>
      <c r="L155" s="6" t="s">
        <v>5798</v>
      </c>
      <c r="M155" s="6" t="s">
        <v>5799</v>
      </c>
      <c r="N155" s="6" t="s">
        <v>5800</v>
      </c>
      <c r="O155" s="6" t="s">
        <v>2860</v>
      </c>
      <c r="P155" s="6" t="s">
        <v>1453</v>
      </c>
      <c r="Q155" s="6" t="s">
        <v>1454</v>
      </c>
    </row>
    <row r="156" spans="1:17">
      <c r="A156" s="4" t="s">
        <v>1000</v>
      </c>
      <c r="B156" s="4" t="str">
        <f>CHOOSE(Translations!$C$1+1,O156,P156,Q156)</f>
        <v>KP-1a⁽ᴹ⁾ Porcentaje de HSH alcanzados por programas de prevención del VIH - paquete definido de servicios</v>
      </c>
      <c r="C156" s="4">
        <f t="shared" ref="C156:C219" si="6">IF(O156=O155,C155+1,0)</f>
        <v>0</v>
      </c>
      <c r="D156" s="4" t="str">
        <f t="shared" ref="D156:D219" si="7">B156&amp;"-"&amp;C156</f>
        <v>KP-1a⁽ᴹ⁾ Porcentaje de HSH alcanzados por programas de prevención del VIH - paquete definido de servicios-0</v>
      </c>
      <c r="E156" s="4" t="str">
        <f>CHOOSE(Translations!$C$1+1,I156,J156,K156)</f>
        <v>Edad</v>
      </c>
      <c r="F156" s="4" t="str">
        <f>CHOOSE(Translations!$C$1+1,L156,M156,N156)</f>
        <v>25+</v>
      </c>
      <c r="G156" s="4" t="s">
        <v>6260</v>
      </c>
      <c r="H156" s="6" t="s">
        <v>6261</v>
      </c>
      <c r="I156" s="6" t="s">
        <v>697</v>
      </c>
      <c r="J156" s="6" t="s">
        <v>697</v>
      </c>
      <c r="K156" s="6" t="s">
        <v>698</v>
      </c>
      <c r="L156" s="6" t="s">
        <v>5878</v>
      </c>
      <c r="M156" s="6" t="s">
        <v>5878</v>
      </c>
      <c r="N156" s="6" t="s">
        <v>5878</v>
      </c>
      <c r="O156" s="6" t="s">
        <v>1004</v>
      </c>
      <c r="P156" s="6" t="s">
        <v>1005</v>
      </c>
      <c r="Q156" s="6" t="s">
        <v>1006</v>
      </c>
    </row>
    <row r="157" spans="1:17">
      <c r="A157" s="4" t="s">
        <v>1000</v>
      </c>
      <c r="B157" s="4" t="str">
        <f>CHOOSE(Translations!$C$1+1,O157,P157,Q157)</f>
        <v>KP-1a⁽ᴹ⁾ Porcentaje de HSH alcanzados por programas de prevención del VIH - paquete definido de servicios</v>
      </c>
      <c r="C157" s="4">
        <f t="shared" si="6"/>
        <v>1</v>
      </c>
      <c r="D157" s="4" t="str">
        <f t="shared" si="7"/>
        <v>KP-1a⁽ᴹ⁾ Porcentaje de HSH alcanzados por programas de prevención del VIH - paquete definido de servicios-1</v>
      </c>
      <c r="E157" s="4" t="str">
        <f>CHOOSE(Translations!$C$1+1,I157,J157,K157)</f>
        <v>Edad</v>
      </c>
      <c r="F157" s="4" t="str">
        <f>CHOOSE(Translations!$C$1+1,L157,M157,N157)</f>
        <v>&lt;25</v>
      </c>
      <c r="G157" s="4" t="s">
        <v>6262</v>
      </c>
      <c r="H157" s="6" t="s">
        <v>6263</v>
      </c>
      <c r="I157" s="6" t="s">
        <v>697</v>
      </c>
      <c r="J157" s="6" t="s">
        <v>697</v>
      </c>
      <c r="K157" s="6" t="s">
        <v>698</v>
      </c>
      <c r="L157" s="6" t="s">
        <v>5881</v>
      </c>
      <c r="M157" s="6" t="s">
        <v>5881</v>
      </c>
      <c r="N157" s="6" t="s">
        <v>5881</v>
      </c>
      <c r="O157" s="6" t="s">
        <v>1004</v>
      </c>
      <c r="P157" s="6" t="s">
        <v>1005</v>
      </c>
      <c r="Q157" s="6" t="s">
        <v>1006</v>
      </c>
    </row>
    <row r="158" spans="1:17">
      <c r="A158" s="4" t="s">
        <v>1007</v>
      </c>
      <c r="B158" s="4" t="str">
        <f>CHOOSE(Translations!$C$1+1,O158,P158,Q158)</f>
        <v>KP-1b⁽ᴹ⁾ Porcentaje de personas transgénero alcanzados por programas de prevención del VIH - paquete definido de servicios</v>
      </c>
      <c r="C158" s="4">
        <f t="shared" si="6"/>
        <v>0</v>
      </c>
      <c r="D158" s="4" t="str">
        <f t="shared" si="7"/>
        <v>KP-1b⁽ᴹ⁾ Porcentaje de personas transgénero alcanzados por programas de prevención del VIH - paquete definido de servicios-0</v>
      </c>
      <c r="E158" s="4" t="str">
        <f>CHOOSE(Translations!$C$1+1,I158,J158,K158)</f>
        <v>Edad</v>
      </c>
      <c r="F158" s="4" t="str">
        <f>CHOOSE(Translations!$C$1+1,L158,M158,N158)</f>
        <v>25+</v>
      </c>
      <c r="G158" s="4" t="s">
        <v>6264</v>
      </c>
      <c r="H158" s="6" t="s">
        <v>6265</v>
      </c>
      <c r="I158" s="6" t="s">
        <v>697</v>
      </c>
      <c r="J158" s="6" t="s">
        <v>697</v>
      </c>
      <c r="K158" s="6" t="s">
        <v>698</v>
      </c>
      <c r="L158" s="6" t="s">
        <v>5878</v>
      </c>
      <c r="M158" s="6" t="s">
        <v>5878</v>
      </c>
      <c r="N158" s="6" t="s">
        <v>5878</v>
      </c>
      <c r="O158" s="6" t="s">
        <v>1009</v>
      </c>
      <c r="P158" s="6" t="s">
        <v>1010</v>
      </c>
      <c r="Q158" s="6" t="s">
        <v>1011</v>
      </c>
    </row>
    <row r="159" spans="1:17">
      <c r="A159" s="4" t="s">
        <v>1007</v>
      </c>
      <c r="B159" s="4" t="str">
        <f>CHOOSE(Translations!$C$1+1,O159,P159,Q159)</f>
        <v>KP-1b⁽ᴹ⁾ Porcentaje de personas transgénero alcanzados por programas de prevención del VIH - paquete definido de servicios</v>
      </c>
      <c r="C159" s="4">
        <f t="shared" si="6"/>
        <v>1</v>
      </c>
      <c r="D159" s="4" t="str">
        <f t="shared" si="7"/>
        <v>KP-1b⁽ᴹ⁾ Porcentaje de personas transgénero alcanzados por programas de prevención del VIH - paquete definido de servicios-1</v>
      </c>
      <c r="E159" s="4" t="str">
        <f>CHOOSE(Translations!$C$1+1,I159,J159,K159)</f>
        <v>Edad</v>
      </c>
      <c r="F159" s="4" t="str">
        <f>CHOOSE(Translations!$C$1+1,L159,M159,N159)</f>
        <v>&lt;25</v>
      </c>
      <c r="G159" s="4" t="s">
        <v>6266</v>
      </c>
      <c r="H159" s="6" t="s">
        <v>6267</v>
      </c>
      <c r="I159" s="6" t="s">
        <v>697</v>
      </c>
      <c r="J159" s="6" t="s">
        <v>697</v>
      </c>
      <c r="K159" s="6" t="s">
        <v>698</v>
      </c>
      <c r="L159" s="6" t="s">
        <v>5881</v>
      </c>
      <c r="M159" s="6" t="s">
        <v>5881</v>
      </c>
      <c r="N159" s="6" t="s">
        <v>5881</v>
      </c>
      <c r="O159" s="6" t="s">
        <v>1009</v>
      </c>
      <c r="P159" s="6" t="s">
        <v>1010</v>
      </c>
      <c r="Q159" s="6" t="s">
        <v>1011</v>
      </c>
    </row>
    <row r="160" spans="1:17">
      <c r="A160" s="4" t="s">
        <v>1012</v>
      </c>
      <c r="B160" s="4" t="str">
        <f>CHOOSE(Translations!$C$1+1,O160,P160,Q160)</f>
        <v>KP-1c⁽ᴹ⁾ Porcentaje de trabajadores sexuales alcanzados por programas de prevención del VIH - paquete definido de servicios</v>
      </c>
      <c r="C160" s="4">
        <f t="shared" si="6"/>
        <v>0</v>
      </c>
      <c r="D160" s="4" t="str">
        <f t="shared" si="7"/>
        <v>KP-1c⁽ᴹ⁾ Porcentaje de trabajadores sexuales alcanzados por programas de prevención del VIH - paquete definido de servicios-0</v>
      </c>
      <c r="E160" s="4" t="str">
        <f>CHOOSE(Translations!$C$1+1,I160,J160,K160)</f>
        <v>Género</v>
      </c>
      <c r="F160" s="4" t="str">
        <f>CHOOSE(Translations!$C$1+1,L160,M160,N160)</f>
        <v>Transgénero</v>
      </c>
      <c r="G160" s="4" t="s">
        <v>6268</v>
      </c>
      <c r="H160" s="6" t="s">
        <v>6269</v>
      </c>
      <c r="I160" s="6" t="s">
        <v>800</v>
      </c>
      <c r="J160" s="6" t="s">
        <v>801</v>
      </c>
      <c r="K160" s="6" t="s">
        <v>802</v>
      </c>
      <c r="L160" s="6" t="s">
        <v>5888</v>
      </c>
      <c r="M160" s="6" t="s">
        <v>5889</v>
      </c>
      <c r="N160" s="6" t="s">
        <v>5890</v>
      </c>
      <c r="O160" s="6" t="s">
        <v>1014</v>
      </c>
      <c r="P160" s="6" t="s">
        <v>1015</v>
      </c>
      <c r="Q160" s="6" t="s">
        <v>1016</v>
      </c>
    </row>
    <row r="161" spans="1:17">
      <c r="A161" s="4" t="s">
        <v>1012</v>
      </c>
      <c r="B161" s="4" t="str">
        <f>CHOOSE(Translations!$C$1+1,O161,P161,Q161)</f>
        <v>KP-1c⁽ᴹ⁾ Porcentaje de trabajadores sexuales alcanzados por programas de prevención del VIH - paquete definido de servicios</v>
      </c>
      <c r="C161" s="4">
        <f t="shared" si="6"/>
        <v>1</v>
      </c>
      <c r="D161" s="4" t="str">
        <f t="shared" si="7"/>
        <v>KP-1c⁽ᴹ⁾ Porcentaje de trabajadores sexuales alcanzados por programas de prevención del VIH - paquete definido de servicios-1</v>
      </c>
      <c r="E161" s="4" t="str">
        <f>CHOOSE(Translations!$C$1+1,I161,J161,K161)</f>
        <v>Género</v>
      </c>
      <c r="F161" s="4" t="str">
        <f>CHOOSE(Translations!$C$1+1,L161,M161,N161)</f>
        <v>Mujeres</v>
      </c>
      <c r="G161" s="4" t="s">
        <v>6270</v>
      </c>
      <c r="H161" s="6" t="s">
        <v>6271</v>
      </c>
      <c r="I161" s="6" t="s">
        <v>800</v>
      </c>
      <c r="J161" s="6" t="s">
        <v>801</v>
      </c>
      <c r="K161" s="6" t="s">
        <v>802</v>
      </c>
      <c r="L161" s="6" t="s">
        <v>5826</v>
      </c>
      <c r="M161" s="6" t="s">
        <v>5827</v>
      </c>
      <c r="N161" s="6" t="s">
        <v>5828</v>
      </c>
      <c r="O161" s="6" t="s">
        <v>1014</v>
      </c>
      <c r="P161" s="6" t="s">
        <v>1015</v>
      </c>
      <c r="Q161" s="6" t="s">
        <v>1016</v>
      </c>
    </row>
    <row r="162" spans="1:17">
      <c r="A162" s="4" t="s">
        <v>1012</v>
      </c>
      <c r="B162" s="4" t="str">
        <f>CHOOSE(Translations!$C$1+1,O162,P162,Q162)</f>
        <v>KP-1c⁽ᴹ⁾ Porcentaje de trabajadores sexuales alcanzados por programas de prevención del VIH - paquete definido de servicios</v>
      </c>
      <c r="C162" s="4">
        <f t="shared" si="6"/>
        <v>2</v>
      </c>
      <c r="D162" s="4" t="str">
        <f t="shared" si="7"/>
        <v>KP-1c⁽ᴹ⁾ Porcentaje de trabajadores sexuales alcanzados por programas de prevención del VIH - paquete definido de servicios-2</v>
      </c>
      <c r="E162" s="4" t="str">
        <f>CHOOSE(Translations!$C$1+1,I162,J162,K162)</f>
        <v>Género</v>
      </c>
      <c r="F162" s="4" t="str">
        <f>CHOOSE(Translations!$C$1+1,L162,M162,N162)</f>
        <v>Hombres</v>
      </c>
      <c r="G162" s="4" t="s">
        <v>6272</v>
      </c>
      <c r="H162" s="6" t="s">
        <v>6273</v>
      </c>
      <c r="I162" s="6" t="s">
        <v>800</v>
      </c>
      <c r="J162" s="6" t="s">
        <v>801</v>
      </c>
      <c r="K162" s="6" t="s">
        <v>802</v>
      </c>
      <c r="L162" s="6" t="s">
        <v>5831</v>
      </c>
      <c r="M162" s="6" t="s">
        <v>5832</v>
      </c>
      <c r="N162" s="6" t="s">
        <v>5833</v>
      </c>
      <c r="O162" s="6" t="s">
        <v>1014</v>
      </c>
      <c r="P162" s="6" t="s">
        <v>1015</v>
      </c>
      <c r="Q162" s="6" t="s">
        <v>1016</v>
      </c>
    </row>
    <row r="163" spans="1:17">
      <c r="A163" s="4" t="s">
        <v>1012</v>
      </c>
      <c r="B163" s="4" t="str">
        <f>CHOOSE(Translations!$C$1+1,O163,P163,Q163)</f>
        <v>KP-1c⁽ᴹ⁾ Porcentaje de trabajadores sexuales alcanzados por programas de prevención del VIH - paquete definido de servicios</v>
      </c>
      <c r="C163" s="4">
        <f t="shared" si="6"/>
        <v>3</v>
      </c>
      <c r="D163" s="4" t="str">
        <f t="shared" si="7"/>
        <v>KP-1c⁽ᴹ⁾ Porcentaje de trabajadores sexuales alcanzados por programas de prevención del VIH - paquete definido de servicios-3</v>
      </c>
      <c r="E163" s="4" t="str">
        <f>CHOOSE(Translations!$C$1+1,I163,J163,K163)</f>
        <v>Edad</v>
      </c>
      <c r="F163" s="4" t="str">
        <f>CHOOSE(Translations!$C$1+1,L163,M163,N163)</f>
        <v>25+</v>
      </c>
      <c r="G163" s="4" t="s">
        <v>6274</v>
      </c>
      <c r="H163" s="6" t="s">
        <v>6275</v>
      </c>
      <c r="I163" s="6" t="s">
        <v>697</v>
      </c>
      <c r="J163" s="6" t="s">
        <v>697</v>
      </c>
      <c r="K163" s="6" t="s">
        <v>698</v>
      </c>
      <c r="L163" s="6" t="s">
        <v>5878</v>
      </c>
      <c r="M163" s="6" t="s">
        <v>5878</v>
      </c>
      <c r="N163" s="6" t="s">
        <v>5878</v>
      </c>
      <c r="O163" s="6" t="s">
        <v>1014</v>
      </c>
      <c r="P163" s="6" t="s">
        <v>1015</v>
      </c>
      <c r="Q163" s="6" t="s">
        <v>1016</v>
      </c>
    </row>
    <row r="164" spans="1:17">
      <c r="A164" s="4" t="s">
        <v>1012</v>
      </c>
      <c r="B164" s="4" t="str">
        <f>CHOOSE(Translations!$C$1+1,O164,P164,Q164)</f>
        <v>KP-1c⁽ᴹ⁾ Porcentaje de trabajadores sexuales alcanzados por programas de prevención del VIH - paquete definido de servicios</v>
      </c>
      <c r="C164" s="4">
        <f t="shared" si="6"/>
        <v>4</v>
      </c>
      <c r="D164" s="4" t="str">
        <f t="shared" si="7"/>
        <v>KP-1c⁽ᴹ⁾ Porcentaje de trabajadores sexuales alcanzados por programas de prevención del VIH - paquete definido de servicios-4</v>
      </c>
      <c r="E164" s="4" t="str">
        <f>CHOOSE(Translations!$C$1+1,I164,J164,K164)</f>
        <v>Edad</v>
      </c>
      <c r="F164" s="4" t="str">
        <f>CHOOSE(Translations!$C$1+1,L164,M164,N164)</f>
        <v>&lt;25</v>
      </c>
      <c r="G164" s="4" t="s">
        <v>6276</v>
      </c>
      <c r="H164" s="6" t="s">
        <v>6277</v>
      </c>
      <c r="I164" s="6" t="s">
        <v>697</v>
      </c>
      <c r="J164" s="6" t="s">
        <v>697</v>
      </c>
      <c r="K164" s="6" t="s">
        <v>698</v>
      </c>
      <c r="L164" s="6" t="s">
        <v>5881</v>
      </c>
      <c r="M164" s="6" t="s">
        <v>5881</v>
      </c>
      <c r="N164" s="6" t="s">
        <v>5881</v>
      </c>
      <c r="O164" s="6" t="s">
        <v>1014</v>
      </c>
      <c r="P164" s="6" t="s">
        <v>1015</v>
      </c>
      <c r="Q164" s="6" t="s">
        <v>1016</v>
      </c>
    </row>
    <row r="165" spans="1:17">
      <c r="A165" s="4" t="s">
        <v>1017</v>
      </c>
      <c r="B165" s="4" t="str">
        <f>CHOOSE(Translations!$C$1+1,O165,P165,Q165)</f>
        <v>KP-1d⁽ᴹ⁾ Porcentaje de personas que consumen drogas inyectables alcanzados por programas de prevención del VIH - paquete definido de servicios</v>
      </c>
      <c r="C165" s="4">
        <f t="shared" si="6"/>
        <v>0</v>
      </c>
      <c r="D165" s="4" t="str">
        <f t="shared" si="7"/>
        <v>KP-1d⁽ᴹ⁾ Porcentaje de personas que consumen drogas inyectables alcanzados por programas de prevención del VIH - paquete definido de servicios-0</v>
      </c>
      <c r="E165" s="4" t="str">
        <f>CHOOSE(Translations!$C$1+1,I165,J165,K165)</f>
        <v>Género</v>
      </c>
      <c r="F165" s="4" t="str">
        <f>CHOOSE(Translations!$C$1+1,L165,M165,N165)</f>
        <v>Transgénero</v>
      </c>
      <c r="G165" s="4" t="s">
        <v>6278</v>
      </c>
      <c r="H165" s="6" t="s">
        <v>6279</v>
      </c>
      <c r="I165" s="6" t="s">
        <v>800</v>
      </c>
      <c r="J165" s="6" t="s">
        <v>801</v>
      </c>
      <c r="K165" s="6" t="s">
        <v>802</v>
      </c>
      <c r="L165" s="6" t="s">
        <v>5888</v>
      </c>
      <c r="M165" s="6" t="s">
        <v>5889</v>
      </c>
      <c r="N165" s="6" t="s">
        <v>5890</v>
      </c>
      <c r="O165" s="6" t="s">
        <v>1019</v>
      </c>
      <c r="P165" s="6" t="s">
        <v>1020</v>
      </c>
      <c r="Q165" s="6" t="s">
        <v>1021</v>
      </c>
    </row>
    <row r="166" spans="1:17">
      <c r="A166" s="4" t="s">
        <v>1017</v>
      </c>
      <c r="B166" s="4" t="str">
        <f>CHOOSE(Translations!$C$1+1,O166,P166,Q166)</f>
        <v>KP-1d⁽ᴹ⁾ Porcentaje de personas que consumen drogas inyectables alcanzados por programas de prevención del VIH - paquete definido de servicios</v>
      </c>
      <c r="C166" s="4">
        <f t="shared" si="6"/>
        <v>1</v>
      </c>
      <c r="D166" s="4" t="str">
        <f t="shared" si="7"/>
        <v>KP-1d⁽ᴹ⁾ Porcentaje de personas que consumen drogas inyectables alcanzados por programas de prevención del VIH - paquete definido de servicios-1</v>
      </c>
      <c r="E166" s="4" t="str">
        <f>CHOOSE(Translations!$C$1+1,I166,J166,K166)</f>
        <v>Género</v>
      </c>
      <c r="F166" s="4" t="str">
        <f>CHOOSE(Translations!$C$1+1,L166,M166,N166)</f>
        <v>Mujeres</v>
      </c>
      <c r="G166" s="4" t="s">
        <v>6280</v>
      </c>
      <c r="H166" s="6" t="s">
        <v>6281</v>
      </c>
      <c r="I166" s="6" t="s">
        <v>800</v>
      </c>
      <c r="J166" s="6" t="s">
        <v>801</v>
      </c>
      <c r="K166" s="6" t="s">
        <v>802</v>
      </c>
      <c r="L166" s="6" t="s">
        <v>5826</v>
      </c>
      <c r="M166" s="6" t="s">
        <v>5827</v>
      </c>
      <c r="N166" s="6" t="s">
        <v>5828</v>
      </c>
      <c r="O166" s="6" t="s">
        <v>1019</v>
      </c>
      <c r="P166" s="6" t="s">
        <v>1020</v>
      </c>
      <c r="Q166" s="6" t="s">
        <v>1021</v>
      </c>
    </row>
    <row r="167" spans="1:17">
      <c r="A167" s="4" t="s">
        <v>1017</v>
      </c>
      <c r="B167" s="4" t="str">
        <f>CHOOSE(Translations!$C$1+1,O167,P167,Q167)</f>
        <v>KP-1d⁽ᴹ⁾ Porcentaje de personas que consumen drogas inyectables alcanzados por programas de prevención del VIH - paquete definido de servicios</v>
      </c>
      <c r="C167" s="4">
        <f t="shared" si="6"/>
        <v>2</v>
      </c>
      <c r="D167" s="4" t="str">
        <f t="shared" si="7"/>
        <v>KP-1d⁽ᴹ⁾ Porcentaje de personas que consumen drogas inyectables alcanzados por programas de prevención del VIH - paquete definido de servicios-2</v>
      </c>
      <c r="E167" s="4" t="str">
        <f>CHOOSE(Translations!$C$1+1,I167,J167,K167)</f>
        <v>Género</v>
      </c>
      <c r="F167" s="4" t="str">
        <f>CHOOSE(Translations!$C$1+1,L167,M167,N167)</f>
        <v>Hombres</v>
      </c>
      <c r="G167" s="4" t="s">
        <v>6282</v>
      </c>
      <c r="H167" s="6" t="s">
        <v>6283</v>
      </c>
      <c r="I167" s="6" t="s">
        <v>800</v>
      </c>
      <c r="J167" s="6" t="s">
        <v>801</v>
      </c>
      <c r="K167" s="6" t="s">
        <v>802</v>
      </c>
      <c r="L167" s="6" t="s">
        <v>5831</v>
      </c>
      <c r="M167" s="6" t="s">
        <v>5832</v>
      </c>
      <c r="N167" s="6" t="s">
        <v>5833</v>
      </c>
      <c r="O167" s="6" t="s">
        <v>1019</v>
      </c>
      <c r="P167" s="6" t="s">
        <v>1020</v>
      </c>
      <c r="Q167" s="6" t="s">
        <v>1021</v>
      </c>
    </row>
    <row r="168" spans="1:17">
      <c r="A168" s="4" t="s">
        <v>1017</v>
      </c>
      <c r="B168" s="4" t="str">
        <f>CHOOSE(Translations!$C$1+1,O168,P168,Q168)</f>
        <v>KP-1d⁽ᴹ⁾ Porcentaje de personas que consumen drogas inyectables alcanzados por programas de prevención del VIH - paquete definido de servicios</v>
      </c>
      <c r="C168" s="4">
        <f t="shared" si="6"/>
        <v>3</v>
      </c>
      <c r="D168" s="4" t="str">
        <f t="shared" si="7"/>
        <v>KP-1d⁽ᴹ⁾ Porcentaje de personas que consumen drogas inyectables alcanzados por programas de prevención del VIH - paquete definido de servicios-3</v>
      </c>
      <c r="E168" s="4" t="str">
        <f>CHOOSE(Translations!$C$1+1,I168,J168,K168)</f>
        <v>Edad</v>
      </c>
      <c r="F168" s="4" t="str">
        <f>CHOOSE(Translations!$C$1+1,L168,M168,N168)</f>
        <v>25+</v>
      </c>
      <c r="G168" s="4" t="s">
        <v>6284</v>
      </c>
      <c r="H168" s="6" t="s">
        <v>6285</v>
      </c>
      <c r="I168" s="6" t="s">
        <v>697</v>
      </c>
      <c r="J168" s="6" t="s">
        <v>697</v>
      </c>
      <c r="K168" s="6" t="s">
        <v>698</v>
      </c>
      <c r="L168" s="6" t="s">
        <v>5878</v>
      </c>
      <c r="M168" s="6" t="s">
        <v>5878</v>
      </c>
      <c r="N168" s="6" t="s">
        <v>5878</v>
      </c>
      <c r="O168" s="6" t="s">
        <v>1019</v>
      </c>
      <c r="P168" s="6" t="s">
        <v>1020</v>
      </c>
      <c r="Q168" s="6" t="s">
        <v>1021</v>
      </c>
    </row>
    <row r="169" spans="1:17">
      <c r="A169" s="4" t="s">
        <v>1017</v>
      </c>
      <c r="B169" s="4" t="str">
        <f>CHOOSE(Translations!$C$1+1,O169,P169,Q169)</f>
        <v>KP-1d⁽ᴹ⁾ Porcentaje de personas que consumen drogas inyectables alcanzados por programas de prevención del VIH - paquete definido de servicios</v>
      </c>
      <c r="C169" s="4">
        <f t="shared" si="6"/>
        <v>4</v>
      </c>
      <c r="D169" s="4" t="str">
        <f t="shared" si="7"/>
        <v>KP-1d⁽ᴹ⁾ Porcentaje de personas que consumen drogas inyectables alcanzados por programas de prevención del VIH - paquete definido de servicios-4</v>
      </c>
      <c r="E169" s="4" t="str">
        <f>CHOOSE(Translations!$C$1+1,I169,J169,K169)</f>
        <v>Edad</v>
      </c>
      <c r="F169" s="4" t="str">
        <f>CHOOSE(Translations!$C$1+1,L169,M169,N169)</f>
        <v>&lt;25</v>
      </c>
      <c r="G169" s="4" t="s">
        <v>6286</v>
      </c>
      <c r="H169" s="6" t="s">
        <v>6287</v>
      </c>
      <c r="I169" s="6" t="s">
        <v>697</v>
      </c>
      <c r="J169" s="6" t="s">
        <v>697</v>
      </c>
      <c r="K169" s="6" t="s">
        <v>698</v>
      </c>
      <c r="L169" s="6" t="s">
        <v>5881</v>
      </c>
      <c r="M169" s="6" t="s">
        <v>5881</v>
      </c>
      <c r="N169" s="6" t="s">
        <v>5881</v>
      </c>
      <c r="O169" s="6" t="s">
        <v>1019</v>
      </c>
      <c r="P169" s="6" t="s">
        <v>1020</v>
      </c>
      <c r="Q169" s="6" t="s">
        <v>1021</v>
      </c>
    </row>
    <row r="170" spans="1:17">
      <c r="A170" s="4" t="s">
        <v>1065</v>
      </c>
      <c r="B170" s="4" t="str">
        <f>CHOOSE(Translations!$C$1+1,O170,P170,Q170)</f>
        <v>YP-1a Porcentaje de jóvenes de 10 a 24 años asistiendo a la escuela alcanzados con programas de educación sexual integral y/o educación basada en el desarrollo de habilidades para la vida y  VIH, en las escuelas</v>
      </c>
      <c r="C170" s="4">
        <f t="shared" si="6"/>
        <v>0</v>
      </c>
      <c r="D170" s="4" t="str">
        <f t="shared" si="7"/>
        <v>YP-1a Porcentaje de jóvenes de 10 a 24 años asistiendo a la escuela alcanzados con programas de educación sexual integral y/o educación basada en el desarrollo de habilidades para la vida y  VIH, en las escuelas-0</v>
      </c>
      <c r="E170" s="4" t="str">
        <f>CHOOSE(Translations!$C$1+1,I170,J170,K170)</f>
        <v>Género</v>
      </c>
      <c r="F170" s="4" t="str">
        <f>CHOOSE(Translations!$C$1+1,L170,M170,N170)</f>
        <v>Mujeres</v>
      </c>
      <c r="G170" s="4" t="s">
        <v>6288</v>
      </c>
      <c r="H170" s="6" t="s">
        <v>6289</v>
      </c>
      <c r="I170" s="6" t="s">
        <v>800</v>
      </c>
      <c r="J170" s="6" t="s">
        <v>801</v>
      </c>
      <c r="K170" s="6" t="s">
        <v>802</v>
      </c>
      <c r="L170" s="6" t="s">
        <v>5826</v>
      </c>
      <c r="M170" s="6" t="s">
        <v>5827</v>
      </c>
      <c r="N170" s="6" t="s">
        <v>5828</v>
      </c>
      <c r="O170" s="6" t="s">
        <v>1067</v>
      </c>
      <c r="P170" s="6" t="s">
        <v>1068</v>
      </c>
      <c r="Q170" s="6" t="s">
        <v>1069</v>
      </c>
    </row>
    <row r="171" spans="1:17">
      <c r="A171" s="4" t="s">
        <v>1065</v>
      </c>
      <c r="B171" s="4" t="str">
        <f>CHOOSE(Translations!$C$1+1,O171,P171,Q171)</f>
        <v>YP-1a Porcentaje de jóvenes de 10 a 24 años asistiendo a la escuela alcanzados con programas de educación sexual integral y/o educación basada en el desarrollo de habilidades para la vida y  VIH, en las escuelas</v>
      </c>
      <c r="C171" s="4">
        <f t="shared" si="6"/>
        <v>1</v>
      </c>
      <c r="D171" s="4" t="str">
        <f t="shared" si="7"/>
        <v>YP-1a Porcentaje de jóvenes de 10 a 24 años asistiendo a la escuela alcanzados con programas de educación sexual integral y/o educación basada en el desarrollo de habilidades para la vida y  VIH, en las escuelas-1</v>
      </c>
      <c r="E171" s="4" t="str">
        <f>CHOOSE(Translations!$C$1+1,I171,J171,K171)</f>
        <v>Género</v>
      </c>
      <c r="F171" s="4" t="str">
        <f>CHOOSE(Translations!$C$1+1,L171,M171,N171)</f>
        <v>Hombres</v>
      </c>
      <c r="G171" s="4" t="s">
        <v>6290</v>
      </c>
      <c r="H171" s="6" t="s">
        <v>6291</v>
      </c>
      <c r="I171" s="6" t="s">
        <v>800</v>
      </c>
      <c r="J171" s="6" t="s">
        <v>801</v>
      </c>
      <c r="K171" s="6" t="s">
        <v>802</v>
      </c>
      <c r="L171" s="6" t="s">
        <v>5831</v>
      </c>
      <c r="M171" s="6" t="s">
        <v>5832</v>
      </c>
      <c r="N171" s="6" t="s">
        <v>5833</v>
      </c>
      <c r="O171" s="6" t="s">
        <v>1067</v>
      </c>
      <c r="P171" s="6" t="s">
        <v>1068</v>
      </c>
      <c r="Q171" s="6" t="s">
        <v>1069</v>
      </c>
    </row>
    <row r="172" spans="1:17">
      <c r="A172" s="4" t="s">
        <v>1070</v>
      </c>
      <c r="B172" s="4" t="str">
        <f>CHOOSE(Translations!$C$1+1,O172,P172,Q172)</f>
        <v>YP-1b Porcentaje de jóvenes de 10 a 24 años alcanzados por programas de educación sexual integral y/o educación basada en el desarrollo de habilidades para la vida y VIH, fuera de las escuelas</v>
      </c>
      <c r="C172" s="4">
        <f t="shared" si="6"/>
        <v>0</v>
      </c>
      <c r="D172" s="4" t="str">
        <f t="shared" si="7"/>
        <v>YP-1b Porcentaje de jóvenes de 10 a 24 años alcanzados por programas de educación sexual integral y/o educación basada en el desarrollo de habilidades para la vida y VIH, fuera de las escuelas-0</v>
      </c>
      <c r="E172" s="4" t="str">
        <f>CHOOSE(Translations!$C$1+1,I172,J172,K172)</f>
        <v>Género</v>
      </c>
      <c r="F172" s="4" t="str">
        <f>CHOOSE(Translations!$C$1+1,L172,M172,N172)</f>
        <v>Mujeres</v>
      </c>
      <c r="G172" s="4" t="s">
        <v>6292</v>
      </c>
      <c r="H172" s="6" t="s">
        <v>6293</v>
      </c>
      <c r="I172" s="6" t="s">
        <v>800</v>
      </c>
      <c r="J172" s="6" t="s">
        <v>801</v>
      </c>
      <c r="K172" s="6" t="s">
        <v>802</v>
      </c>
      <c r="L172" s="6" t="s">
        <v>5826</v>
      </c>
      <c r="M172" s="6" t="s">
        <v>5827</v>
      </c>
      <c r="N172" s="6" t="s">
        <v>5828</v>
      </c>
      <c r="O172" s="6" t="s">
        <v>1072</v>
      </c>
      <c r="P172" s="6" t="s">
        <v>1073</v>
      </c>
      <c r="Q172" s="6" t="s">
        <v>1074</v>
      </c>
    </row>
    <row r="173" spans="1:17">
      <c r="A173" s="4" t="s">
        <v>1070</v>
      </c>
      <c r="B173" s="4" t="str">
        <f>CHOOSE(Translations!$C$1+1,O173,P173,Q173)</f>
        <v>YP-1b Porcentaje de jóvenes de 10 a 24 años alcanzados por programas de educación sexual integral y/o educación basada en el desarrollo de habilidades para la vida y VIH, fuera de las escuelas</v>
      </c>
      <c r="C173" s="4">
        <f t="shared" si="6"/>
        <v>1</v>
      </c>
      <c r="D173" s="4" t="str">
        <f t="shared" si="7"/>
        <v>YP-1b Porcentaje de jóvenes de 10 a 24 años alcanzados por programas de educación sexual integral y/o educación basada en el desarrollo de habilidades para la vida y VIH, fuera de las escuelas-1</v>
      </c>
      <c r="E173" s="4" t="str">
        <f>CHOOSE(Translations!$C$1+1,I173,J173,K173)</f>
        <v>Género</v>
      </c>
      <c r="F173" s="4" t="str">
        <f>CHOOSE(Translations!$C$1+1,L173,M173,N173)</f>
        <v>Hombres</v>
      </c>
      <c r="G173" s="4" t="s">
        <v>6294</v>
      </c>
      <c r="H173" s="6" t="s">
        <v>6295</v>
      </c>
      <c r="I173" s="6" t="s">
        <v>800</v>
      </c>
      <c r="J173" s="6" t="s">
        <v>801</v>
      </c>
      <c r="K173" s="6" t="s">
        <v>802</v>
      </c>
      <c r="L173" s="6" t="s">
        <v>5831</v>
      </c>
      <c r="M173" s="6" t="s">
        <v>5832</v>
      </c>
      <c r="N173" s="6" t="s">
        <v>5833</v>
      </c>
      <c r="O173" s="6" t="s">
        <v>1072</v>
      </c>
      <c r="P173" s="6" t="s">
        <v>1073</v>
      </c>
      <c r="Q173" s="6" t="s">
        <v>1074</v>
      </c>
    </row>
    <row r="174" spans="1:17">
      <c r="A174" s="4" t="s">
        <v>1075</v>
      </c>
      <c r="B174" s="4" t="str">
        <f>CHOOSE(Translations!$C$1+1,O174,P174,Q174)</f>
        <v>YP-2 Porcentaje de niñas adolescentes y mujeres jóvenes alcanzadas por programas de prevención del VIH - paquete definido de servicios</v>
      </c>
      <c r="C174" s="4">
        <f t="shared" si="6"/>
        <v>0</v>
      </c>
      <c r="D174" s="4" t="str">
        <f t="shared" si="7"/>
        <v>YP-2 Porcentaje de niñas adolescentes y mujeres jóvenes alcanzadas por programas de prevención del VIH - paquete definido de servicios-0</v>
      </c>
      <c r="E174" s="4" t="str">
        <f>CHOOSE(Translations!$C$1+1,I174,J174,K174)</f>
        <v>Edad</v>
      </c>
      <c r="F174" s="4" t="str">
        <f>CHOOSE(Translations!$C$1+1,L174,M174,N174)</f>
        <v>20-24</v>
      </c>
      <c r="G174" s="4" t="s">
        <v>6296</v>
      </c>
      <c r="H174" s="6" t="s">
        <v>6297</v>
      </c>
      <c r="I174" s="6" t="s">
        <v>697</v>
      </c>
      <c r="J174" s="6" t="s">
        <v>697</v>
      </c>
      <c r="K174" s="6" t="s">
        <v>698</v>
      </c>
      <c r="L174" s="6" t="s">
        <v>6042</v>
      </c>
      <c r="M174" s="6" t="s">
        <v>6042</v>
      </c>
      <c r="N174" s="6" t="s">
        <v>6042</v>
      </c>
      <c r="O174" s="6" t="s">
        <v>1077</v>
      </c>
      <c r="P174" s="6" t="s">
        <v>1078</v>
      </c>
      <c r="Q174" s="6" t="s">
        <v>1079</v>
      </c>
    </row>
    <row r="175" spans="1:17">
      <c r="A175" s="4" t="s">
        <v>1075</v>
      </c>
      <c r="B175" s="4" t="str">
        <f>CHOOSE(Translations!$C$1+1,O175,P175,Q175)</f>
        <v>YP-2 Porcentaje de niñas adolescentes y mujeres jóvenes alcanzadas por programas de prevención del VIH - paquete definido de servicios</v>
      </c>
      <c r="C175" s="4">
        <f t="shared" si="6"/>
        <v>1</v>
      </c>
      <c r="D175" s="4" t="str">
        <f t="shared" si="7"/>
        <v>YP-2 Porcentaje de niñas adolescentes y mujeres jóvenes alcanzadas por programas de prevención del VIH - paquete definido de servicios-1</v>
      </c>
      <c r="E175" s="4" t="str">
        <f>CHOOSE(Translations!$C$1+1,I175,J175,K175)</f>
        <v>Edad</v>
      </c>
      <c r="F175" s="4" t="str">
        <f>CHOOSE(Translations!$C$1+1,L175,M175,N175)</f>
        <v>15-19</v>
      </c>
      <c r="G175" s="4" t="s">
        <v>6298</v>
      </c>
      <c r="H175" s="6" t="s">
        <v>6299</v>
      </c>
      <c r="I175" s="6" t="s">
        <v>697</v>
      </c>
      <c r="J175" s="6" t="s">
        <v>697</v>
      </c>
      <c r="K175" s="6" t="s">
        <v>698</v>
      </c>
      <c r="L175" s="6" t="s">
        <v>6045</v>
      </c>
      <c r="M175" s="6" t="s">
        <v>6045</v>
      </c>
      <c r="N175" s="6" t="s">
        <v>6045</v>
      </c>
      <c r="O175" s="6" t="s">
        <v>1077</v>
      </c>
      <c r="P175" s="6" t="s">
        <v>1078</v>
      </c>
      <c r="Q175" s="6" t="s">
        <v>1079</v>
      </c>
    </row>
    <row r="176" spans="1:17">
      <c r="A176" s="4" t="s">
        <v>1075</v>
      </c>
      <c r="B176" s="4" t="str">
        <f>CHOOSE(Translations!$C$1+1,O176,P176,Q176)</f>
        <v>YP-2 Porcentaje de niñas adolescentes y mujeres jóvenes alcanzadas por programas de prevención del VIH - paquete definido de servicios</v>
      </c>
      <c r="C176" s="4">
        <f t="shared" si="6"/>
        <v>2</v>
      </c>
      <c r="D176" s="4" t="str">
        <f t="shared" si="7"/>
        <v>YP-2 Porcentaje de niñas adolescentes y mujeres jóvenes alcanzadas por programas de prevención del VIH - paquete definido de servicios-2</v>
      </c>
      <c r="E176" s="4" t="str">
        <f>CHOOSE(Translations!$C$1+1,I176,J176,K176)</f>
        <v>Edad</v>
      </c>
      <c r="F176" s="4" t="str">
        <f>CHOOSE(Translations!$C$1+1,L176,M176,N176)</f>
        <v>10-14</v>
      </c>
      <c r="G176" s="4" t="s">
        <v>6300</v>
      </c>
      <c r="H176" s="6" t="s">
        <v>6301</v>
      </c>
      <c r="I176" s="6" t="s">
        <v>697</v>
      </c>
      <c r="J176" s="6" t="s">
        <v>697</v>
      </c>
      <c r="K176" s="6" t="s">
        <v>698</v>
      </c>
      <c r="L176" s="6" t="s">
        <v>6256</v>
      </c>
      <c r="M176" s="6" t="s">
        <v>6256</v>
      </c>
      <c r="N176" s="6" t="s">
        <v>6256</v>
      </c>
      <c r="O176" s="6" t="s">
        <v>1077</v>
      </c>
      <c r="P176" s="6" t="s">
        <v>1078</v>
      </c>
      <c r="Q176" s="6" t="s">
        <v>1079</v>
      </c>
    </row>
    <row r="177" spans="1:17">
      <c r="A177" s="4" t="s">
        <v>1086</v>
      </c>
      <c r="B177" s="4" t="str">
        <f>CHOOSE(Translations!$C$1+1,O177,P177,Q177)</f>
        <v>PMTCT-1 Porcentaje de mujeres embarazadas que conocen su Estatus de VIH</v>
      </c>
      <c r="C177" s="4">
        <f t="shared" si="6"/>
        <v>0</v>
      </c>
      <c r="D177" s="4" t="str">
        <f t="shared" si="7"/>
        <v>PMTCT-1 Porcentaje de mujeres embarazadas que conocen su Estatus de VIH-0</v>
      </c>
      <c r="E177" s="4" t="str">
        <f>CHOOSE(Translations!$C$1+1,I177,J177,K177)</f>
        <v>Resultado de prueba del VIH</v>
      </c>
      <c r="F177" s="4" t="str">
        <f>CHOOSE(Translations!$C$1+1,L177,M177,N177)</f>
        <v>Negativo</v>
      </c>
      <c r="G177" s="4" t="s">
        <v>6302</v>
      </c>
      <c r="H177" s="6" t="s">
        <v>6303</v>
      </c>
      <c r="I177" s="6" t="s">
        <v>1092</v>
      </c>
      <c r="J177" s="6" t="s">
        <v>1093</v>
      </c>
      <c r="K177" s="6" t="s">
        <v>1094</v>
      </c>
      <c r="L177" s="6" t="s">
        <v>6304</v>
      </c>
      <c r="M177" s="6" t="s">
        <v>6305</v>
      </c>
      <c r="N177" s="6" t="s">
        <v>6306</v>
      </c>
      <c r="O177" s="6" t="s">
        <v>1089</v>
      </c>
      <c r="P177" s="6" t="s">
        <v>1090</v>
      </c>
      <c r="Q177" s="6" t="s">
        <v>1091</v>
      </c>
    </row>
    <row r="178" spans="1:17">
      <c r="A178" s="4" t="s">
        <v>1086</v>
      </c>
      <c r="B178" s="4" t="str">
        <f>CHOOSE(Translations!$C$1+1,O178,P178,Q178)</f>
        <v>PMTCT-1 Porcentaje de mujeres embarazadas que conocen su Estatus de VIH</v>
      </c>
      <c r="C178" s="4">
        <f t="shared" si="6"/>
        <v>1</v>
      </c>
      <c r="D178" s="4" t="str">
        <f t="shared" si="7"/>
        <v>PMTCT-1 Porcentaje de mujeres embarazadas que conocen su Estatus de VIH-1</v>
      </c>
      <c r="E178" s="4" t="str">
        <f>CHOOSE(Translations!$C$1+1,I178,J178,K178)</f>
        <v>Resultado de prueba del VIH</v>
      </c>
      <c r="F178" s="4" t="str">
        <f>CHOOSE(Translations!$C$1+1,L178,M178,N178)</f>
        <v>Positivo</v>
      </c>
      <c r="G178" s="4" t="s">
        <v>6307</v>
      </c>
      <c r="H178" s="6" t="s">
        <v>6308</v>
      </c>
      <c r="I178" s="6" t="s">
        <v>1092</v>
      </c>
      <c r="J178" s="6" t="s">
        <v>1093</v>
      </c>
      <c r="K178" s="6" t="s">
        <v>1094</v>
      </c>
      <c r="L178" s="6" t="s">
        <v>6309</v>
      </c>
      <c r="M178" s="6" t="s">
        <v>6310</v>
      </c>
      <c r="N178" s="6" t="s">
        <v>6311</v>
      </c>
      <c r="O178" s="6" t="s">
        <v>1089</v>
      </c>
      <c r="P178" s="6" t="s">
        <v>1090</v>
      </c>
      <c r="Q178" s="6" t="s">
        <v>1091</v>
      </c>
    </row>
    <row r="179" spans="1:17">
      <c r="A179" s="4" t="s">
        <v>1101</v>
      </c>
      <c r="B179" s="4" t="str">
        <f>CHOOSE(Translations!$C$1+1,O179,P179,Q179)</f>
        <v>PMTCT-3.1 Porcentaje de recién nacidos expuestos al VIH que se sometieron a una prueba virológica del VIH durante los 2 meses posteriores a su nacimiento</v>
      </c>
      <c r="C179" s="4">
        <f t="shared" si="6"/>
        <v>0</v>
      </c>
      <c r="D179" s="4" t="str">
        <f t="shared" si="7"/>
        <v>PMTCT-3.1 Porcentaje de recién nacidos expuestos al VIH que se sometieron a una prueba virológica del VIH durante los 2 meses posteriores a su nacimiento-0</v>
      </c>
      <c r="E179" s="4" t="str">
        <f>CHOOSE(Translations!$C$1+1,I179,J179,K179)</f>
        <v>Resultado de prueba del VIH</v>
      </c>
      <c r="F179" s="4" t="str">
        <f>CHOOSE(Translations!$C$1+1,L179,M179,N179)</f>
        <v>Indeterminado</v>
      </c>
      <c r="G179" s="4" t="s">
        <v>6312</v>
      </c>
      <c r="H179" s="6" t="s">
        <v>6313</v>
      </c>
      <c r="I179" s="6" t="s">
        <v>1092</v>
      </c>
      <c r="J179" s="6" t="s">
        <v>1093</v>
      </c>
      <c r="K179" s="6" t="s">
        <v>1094</v>
      </c>
      <c r="L179" s="6" t="s">
        <v>6314</v>
      </c>
      <c r="M179" s="6" t="s">
        <v>6315</v>
      </c>
      <c r="N179" s="6" t="s">
        <v>6316</v>
      </c>
      <c r="O179" s="6" t="s">
        <v>1103</v>
      </c>
      <c r="P179" s="6" t="s">
        <v>1104</v>
      </c>
      <c r="Q179" s="6" t="s">
        <v>1105</v>
      </c>
    </row>
    <row r="180" spans="1:17">
      <c r="A180" s="4" t="s">
        <v>1101</v>
      </c>
      <c r="B180" s="4" t="str">
        <f>CHOOSE(Translations!$C$1+1,O180,P180,Q180)</f>
        <v>PMTCT-3.1 Porcentaje de recién nacidos expuestos al VIH que se sometieron a una prueba virológica del VIH durante los 2 meses posteriores a su nacimiento</v>
      </c>
      <c r="C180" s="4">
        <f t="shared" si="6"/>
        <v>1</v>
      </c>
      <c r="D180" s="4" t="str">
        <f t="shared" si="7"/>
        <v>PMTCT-3.1 Porcentaje de recién nacidos expuestos al VIH que se sometieron a una prueba virológica del VIH durante los 2 meses posteriores a su nacimiento-1</v>
      </c>
      <c r="E180" s="4" t="str">
        <f>CHOOSE(Translations!$C$1+1,I180,J180,K180)</f>
        <v>Resultado de prueba del VIH</v>
      </c>
      <c r="F180" s="4" t="str">
        <f>CHOOSE(Translations!$C$1+1,L180,M180,N180)</f>
        <v>Negativo</v>
      </c>
      <c r="G180" s="4" t="s">
        <v>6317</v>
      </c>
      <c r="H180" s="6" t="s">
        <v>6318</v>
      </c>
      <c r="I180" s="6" t="s">
        <v>1092</v>
      </c>
      <c r="J180" s="6" t="s">
        <v>1093</v>
      </c>
      <c r="K180" s="6" t="s">
        <v>1094</v>
      </c>
      <c r="L180" s="6" t="s">
        <v>6304</v>
      </c>
      <c r="M180" s="6" t="s">
        <v>6305</v>
      </c>
      <c r="N180" s="6" t="s">
        <v>6306</v>
      </c>
      <c r="O180" s="6" t="s">
        <v>1103</v>
      </c>
      <c r="P180" s="6" t="s">
        <v>1104</v>
      </c>
      <c r="Q180" s="6" t="s">
        <v>1105</v>
      </c>
    </row>
    <row r="181" spans="1:17">
      <c r="A181" s="4" t="s">
        <v>1101</v>
      </c>
      <c r="B181" s="4" t="str">
        <f>CHOOSE(Translations!$C$1+1,O181,P181,Q181)</f>
        <v>PMTCT-3.1 Porcentaje de recién nacidos expuestos al VIH que se sometieron a una prueba virológica del VIH durante los 2 meses posteriores a su nacimiento</v>
      </c>
      <c r="C181" s="4">
        <f t="shared" si="6"/>
        <v>2</v>
      </c>
      <c r="D181" s="4" t="str">
        <f t="shared" si="7"/>
        <v>PMTCT-3.1 Porcentaje de recién nacidos expuestos al VIH que se sometieron a una prueba virológica del VIH durante los 2 meses posteriores a su nacimiento-2</v>
      </c>
      <c r="E181" s="4" t="str">
        <f>CHOOSE(Translations!$C$1+1,I181,J181,K181)</f>
        <v>Resultado de prueba del VIH</v>
      </c>
      <c r="F181" s="4" t="str">
        <f>CHOOSE(Translations!$C$1+1,L181,M181,N181)</f>
        <v>Positivo</v>
      </c>
      <c r="G181" s="4" t="s">
        <v>6319</v>
      </c>
      <c r="H181" s="6" t="s">
        <v>6320</v>
      </c>
      <c r="I181" s="6" t="s">
        <v>1092</v>
      </c>
      <c r="J181" s="6" t="s">
        <v>1093</v>
      </c>
      <c r="K181" s="6" t="s">
        <v>1094</v>
      </c>
      <c r="L181" s="6" t="s">
        <v>6309</v>
      </c>
      <c r="M181" s="6" t="s">
        <v>6310</v>
      </c>
      <c r="N181" s="6" t="s">
        <v>6311</v>
      </c>
      <c r="O181" s="6" t="s">
        <v>1103</v>
      </c>
      <c r="P181" s="6" t="s">
        <v>1104</v>
      </c>
      <c r="Q181" s="6" t="s">
        <v>1105</v>
      </c>
    </row>
    <row r="182" spans="1:17">
      <c r="A182" s="4" t="s">
        <v>1112</v>
      </c>
      <c r="B182" s="4" t="str">
        <f>CHOOSE(Translations!$C$1+1,O182,P182,Q182)</f>
        <v>HTS-2 Número de niñas adolescentes y mujeres jóvenes que se sometieron a la prueba del VIH y recibieron los resultados durante el período de reporte</v>
      </c>
      <c r="C182" s="4">
        <f t="shared" si="6"/>
        <v>0</v>
      </c>
      <c r="D182" s="4" t="str">
        <f t="shared" si="7"/>
        <v>HTS-2 Número de niñas adolescentes y mujeres jóvenes que se sometieron a la prueba del VIH y recibieron los resultados durante el período de reporte-0</v>
      </c>
      <c r="E182" s="4" t="str">
        <f>CHOOSE(Translations!$C$1+1,I182,J182,K182)</f>
        <v>Resultado de prueba del VIH</v>
      </c>
      <c r="F182" s="4" t="str">
        <f>CHOOSE(Translations!$C$1+1,L182,M182,N182)</f>
        <v>Negativo</v>
      </c>
      <c r="G182" s="4" t="s">
        <v>6321</v>
      </c>
      <c r="H182" s="6" t="s">
        <v>6322</v>
      </c>
      <c r="I182" s="6" t="s">
        <v>1092</v>
      </c>
      <c r="J182" s="6" t="s">
        <v>1093</v>
      </c>
      <c r="K182" s="6" t="s">
        <v>1094</v>
      </c>
      <c r="L182" s="6" t="s">
        <v>6304</v>
      </c>
      <c r="M182" s="6" t="s">
        <v>6305</v>
      </c>
      <c r="N182" s="6" t="s">
        <v>6306</v>
      </c>
      <c r="O182" s="6" t="s">
        <v>1114</v>
      </c>
      <c r="P182" s="6" t="s">
        <v>1115</v>
      </c>
      <c r="Q182" s="6" t="s">
        <v>1116</v>
      </c>
    </row>
    <row r="183" spans="1:17">
      <c r="A183" s="4" t="s">
        <v>1112</v>
      </c>
      <c r="B183" s="4" t="str">
        <f>CHOOSE(Translations!$C$1+1,O183,P183,Q183)</f>
        <v>HTS-2 Número de niñas adolescentes y mujeres jóvenes que se sometieron a la prueba del VIH y recibieron los resultados durante el período de reporte</v>
      </c>
      <c r="C183" s="4">
        <f t="shared" si="6"/>
        <v>1</v>
      </c>
      <c r="D183" s="4" t="str">
        <f t="shared" si="7"/>
        <v>HTS-2 Número de niñas adolescentes y mujeres jóvenes que se sometieron a la prueba del VIH y recibieron los resultados durante el período de reporte-1</v>
      </c>
      <c r="E183" s="4" t="str">
        <f>CHOOSE(Translations!$C$1+1,I183,J183,K183)</f>
        <v>Resultado de prueba del VIH</v>
      </c>
      <c r="F183" s="4" t="str">
        <f>CHOOSE(Translations!$C$1+1,L183,M183,N183)</f>
        <v>Positivo</v>
      </c>
      <c r="G183" s="4" t="s">
        <v>6323</v>
      </c>
      <c r="H183" s="6" t="s">
        <v>6324</v>
      </c>
      <c r="I183" s="6" t="s">
        <v>1092</v>
      </c>
      <c r="J183" s="6" t="s">
        <v>1093</v>
      </c>
      <c r="K183" s="6" t="s">
        <v>1094</v>
      </c>
      <c r="L183" s="6" t="s">
        <v>6309</v>
      </c>
      <c r="M183" s="6" t="s">
        <v>6310</v>
      </c>
      <c r="N183" s="6" t="s">
        <v>6311</v>
      </c>
      <c r="O183" s="6" t="s">
        <v>1114</v>
      </c>
      <c r="P183" s="6" t="s">
        <v>1115</v>
      </c>
      <c r="Q183" s="6" t="s">
        <v>1116</v>
      </c>
    </row>
    <row r="184" spans="1:17">
      <c r="A184" s="4" t="s">
        <v>1112</v>
      </c>
      <c r="B184" s="4" t="str">
        <f>CHOOSE(Translations!$C$1+1,O184,P184,Q184)</f>
        <v>HTS-2 Número de niñas adolescentes y mujeres jóvenes que se sometieron a la prueba del VIH y recibieron los resultados durante el período de reporte</v>
      </c>
      <c r="C184" s="4">
        <f t="shared" si="6"/>
        <v>2</v>
      </c>
      <c r="D184" s="4" t="str">
        <f t="shared" si="7"/>
        <v>HTS-2 Número de niñas adolescentes y mujeres jóvenes que se sometieron a la prueba del VIH y recibieron los resultados durante el período de reporte-2</v>
      </c>
      <c r="E184" s="4" t="str">
        <f>CHOOSE(Translations!$C$1+1,I184,J184,K184)</f>
        <v>Edad</v>
      </c>
      <c r="F184" s="4" t="str">
        <f>CHOOSE(Translations!$C$1+1,L184,M184,N184)</f>
        <v>15-24</v>
      </c>
      <c r="G184" s="4" t="s">
        <v>6325</v>
      </c>
      <c r="H184" s="6" t="s">
        <v>6326</v>
      </c>
      <c r="I184" s="6" t="s">
        <v>697</v>
      </c>
      <c r="J184" s="6" t="s">
        <v>697</v>
      </c>
      <c r="K184" s="6" t="s">
        <v>698</v>
      </c>
      <c r="L184" s="6" t="s">
        <v>6327</v>
      </c>
      <c r="M184" s="6" t="s">
        <v>6327</v>
      </c>
      <c r="N184" s="6" t="s">
        <v>6327</v>
      </c>
      <c r="O184" s="6" t="s">
        <v>1114</v>
      </c>
      <c r="P184" s="6" t="s">
        <v>1115</v>
      </c>
      <c r="Q184" s="6" t="s">
        <v>1116</v>
      </c>
    </row>
    <row r="185" spans="1:17">
      <c r="A185" s="4" t="s">
        <v>1112</v>
      </c>
      <c r="B185" s="4" t="str">
        <f>CHOOSE(Translations!$C$1+1,O185,P185,Q185)</f>
        <v>HTS-2 Número de niñas adolescentes y mujeres jóvenes que se sometieron a la prueba del VIH y recibieron los resultados durante el período de reporte</v>
      </c>
      <c r="C185" s="4">
        <f t="shared" si="6"/>
        <v>3</v>
      </c>
      <c r="D185" s="4" t="str">
        <f t="shared" si="7"/>
        <v>HTS-2 Número de niñas adolescentes y mujeres jóvenes que se sometieron a la prueba del VIH y recibieron los resultados durante el período de reporte-3</v>
      </c>
      <c r="E185" s="4" t="str">
        <f>CHOOSE(Translations!$C$1+1,I185,J185,K185)</f>
        <v>Edad</v>
      </c>
      <c r="F185" s="4" t="str">
        <f>CHOOSE(Translations!$C$1+1,L185,M185,N185)</f>
        <v>20-24</v>
      </c>
      <c r="G185" s="4" t="s">
        <v>6328</v>
      </c>
      <c r="H185" s="6" t="s">
        <v>6329</v>
      </c>
      <c r="I185" s="6" t="s">
        <v>697</v>
      </c>
      <c r="J185" s="6" t="s">
        <v>697</v>
      </c>
      <c r="K185" s="6" t="s">
        <v>698</v>
      </c>
      <c r="L185" s="6" t="s">
        <v>6042</v>
      </c>
      <c r="M185" s="6" t="s">
        <v>6042</v>
      </c>
      <c r="N185" s="6" t="s">
        <v>6042</v>
      </c>
      <c r="O185" s="6" t="s">
        <v>1114</v>
      </c>
      <c r="P185" s="6" t="s">
        <v>1115</v>
      </c>
      <c r="Q185" s="6" t="s">
        <v>1116</v>
      </c>
    </row>
    <row r="186" spans="1:17">
      <c r="A186" s="4" t="s">
        <v>1112</v>
      </c>
      <c r="B186" s="4" t="str">
        <f>CHOOSE(Translations!$C$1+1,O186,P186,Q186)</f>
        <v>HTS-2 Número de niñas adolescentes y mujeres jóvenes que se sometieron a la prueba del VIH y recibieron los resultados durante el período de reporte</v>
      </c>
      <c r="C186" s="4">
        <f t="shared" si="6"/>
        <v>4</v>
      </c>
      <c r="D186" s="4" t="str">
        <f t="shared" si="7"/>
        <v>HTS-2 Número de niñas adolescentes y mujeres jóvenes que se sometieron a la prueba del VIH y recibieron los resultados durante el período de reporte-4</v>
      </c>
      <c r="E186" s="4" t="str">
        <f>CHOOSE(Translations!$C$1+1,I186,J186,K186)</f>
        <v>Edad</v>
      </c>
      <c r="F186" s="4" t="str">
        <f>CHOOSE(Translations!$C$1+1,L186,M186,N186)</f>
        <v>15-19</v>
      </c>
      <c r="G186" s="4" t="s">
        <v>6330</v>
      </c>
      <c r="H186" s="6" t="s">
        <v>6331</v>
      </c>
      <c r="I186" s="6" t="s">
        <v>697</v>
      </c>
      <c r="J186" s="6" t="s">
        <v>697</v>
      </c>
      <c r="K186" s="6" t="s">
        <v>698</v>
      </c>
      <c r="L186" s="6" t="s">
        <v>6045</v>
      </c>
      <c r="M186" s="6" t="s">
        <v>6045</v>
      </c>
      <c r="N186" s="6" t="s">
        <v>6045</v>
      </c>
      <c r="O186" s="6" t="s">
        <v>1114</v>
      </c>
      <c r="P186" s="6" t="s">
        <v>1115</v>
      </c>
      <c r="Q186" s="6" t="s">
        <v>1116</v>
      </c>
    </row>
    <row r="187" spans="1:17">
      <c r="A187" s="4" t="s">
        <v>1120</v>
      </c>
      <c r="B187" s="4" t="str">
        <f>CHOOSE(Translations!$C$1+1,O187,P187,Q187)</f>
        <v>HTS-3a⁽ᴹ⁾ Porcentaje de HSH a los que se les ha realizado una prueba de VIH durante el período de reporte y que conocen sus resultados</v>
      </c>
      <c r="C187" s="4">
        <f t="shared" si="6"/>
        <v>0</v>
      </c>
      <c r="D187" s="4" t="str">
        <f t="shared" si="7"/>
        <v>HTS-3a⁽ᴹ⁾ Porcentaje de HSH a los que se les ha realizado una prueba de VIH durante el período de reporte y que conocen sus resultados-0</v>
      </c>
      <c r="E187" s="4" t="str">
        <f>CHOOSE(Translations!$C$1+1,I187,J187,K187)</f>
        <v>Resultado de prueba del VIH</v>
      </c>
      <c r="F187" s="4" t="str">
        <f>CHOOSE(Translations!$C$1+1,L187,M187,N187)</f>
        <v>Negativo</v>
      </c>
      <c r="G187" s="4" t="s">
        <v>6332</v>
      </c>
      <c r="H187" s="6" t="s">
        <v>6333</v>
      </c>
      <c r="I187" s="6" t="s">
        <v>1092</v>
      </c>
      <c r="J187" s="6" t="s">
        <v>1093</v>
      </c>
      <c r="K187" s="6" t="s">
        <v>1094</v>
      </c>
      <c r="L187" s="6" t="s">
        <v>6304</v>
      </c>
      <c r="M187" s="6" t="s">
        <v>6305</v>
      </c>
      <c r="N187" s="6" t="s">
        <v>6306</v>
      </c>
      <c r="O187" s="6" t="s">
        <v>1122</v>
      </c>
      <c r="P187" s="6" t="s">
        <v>1123</v>
      </c>
      <c r="Q187" s="6" t="s">
        <v>1124</v>
      </c>
    </row>
    <row r="188" spans="1:17">
      <c r="A188" s="4" t="s">
        <v>1120</v>
      </c>
      <c r="B188" s="4" t="str">
        <f>CHOOSE(Translations!$C$1+1,O188,P188,Q188)</f>
        <v>HTS-3a⁽ᴹ⁾ Porcentaje de HSH a los que se les ha realizado una prueba de VIH durante el período de reporte y que conocen sus resultados</v>
      </c>
      <c r="C188" s="4">
        <f t="shared" si="6"/>
        <v>1</v>
      </c>
      <c r="D188" s="4" t="str">
        <f t="shared" si="7"/>
        <v>HTS-3a⁽ᴹ⁾ Porcentaje de HSH a los que se les ha realizado una prueba de VIH durante el período de reporte y que conocen sus resultados-1</v>
      </c>
      <c r="E188" s="4" t="str">
        <f>CHOOSE(Translations!$C$1+1,I188,J188,K188)</f>
        <v>Resultado de prueba del VIH</v>
      </c>
      <c r="F188" s="4" t="str">
        <f>CHOOSE(Translations!$C$1+1,L188,M188,N188)</f>
        <v>Positivo</v>
      </c>
      <c r="G188" s="4" t="s">
        <v>6334</v>
      </c>
      <c r="H188" s="6" t="s">
        <v>6335</v>
      </c>
      <c r="I188" s="6" t="s">
        <v>1092</v>
      </c>
      <c r="J188" s="6" t="s">
        <v>1093</v>
      </c>
      <c r="K188" s="6" t="s">
        <v>1094</v>
      </c>
      <c r="L188" s="6" t="s">
        <v>6309</v>
      </c>
      <c r="M188" s="6" t="s">
        <v>6310</v>
      </c>
      <c r="N188" s="6" t="s">
        <v>6311</v>
      </c>
      <c r="O188" s="6" t="s">
        <v>1122</v>
      </c>
      <c r="P188" s="6" t="s">
        <v>1123</v>
      </c>
      <c r="Q188" s="6" t="s">
        <v>1124</v>
      </c>
    </row>
    <row r="189" spans="1:17">
      <c r="A189" s="4" t="s">
        <v>1120</v>
      </c>
      <c r="B189" s="4" t="str">
        <f>CHOOSE(Translations!$C$1+1,O189,P189,Q189)</f>
        <v>HTS-3a⁽ᴹ⁾ Porcentaje de HSH a los que se les ha realizado una prueba de VIH durante el período de reporte y que conocen sus resultados</v>
      </c>
      <c r="C189" s="4">
        <f t="shared" si="6"/>
        <v>2</v>
      </c>
      <c r="D189" s="4" t="str">
        <f t="shared" si="7"/>
        <v>HTS-3a⁽ᴹ⁾ Porcentaje de HSH a los que se les ha realizado una prueba de VIH durante el período de reporte y que conocen sus resultados-2</v>
      </c>
      <c r="E189" s="4" t="str">
        <f>CHOOSE(Translations!$C$1+1,I189,J189,K189)</f>
        <v>Edad</v>
      </c>
      <c r="F189" s="4" t="str">
        <f>CHOOSE(Translations!$C$1+1,L189,M189,N189)</f>
        <v>25+</v>
      </c>
      <c r="G189" s="4" t="s">
        <v>6336</v>
      </c>
      <c r="H189" s="6" t="s">
        <v>6337</v>
      </c>
      <c r="I189" s="6" t="s">
        <v>697</v>
      </c>
      <c r="J189" s="6" t="s">
        <v>697</v>
      </c>
      <c r="K189" s="6" t="s">
        <v>698</v>
      </c>
      <c r="L189" s="6" t="s">
        <v>5878</v>
      </c>
      <c r="M189" s="6" t="s">
        <v>5878</v>
      </c>
      <c r="N189" s="6" t="s">
        <v>5878</v>
      </c>
      <c r="O189" s="6" t="s">
        <v>1122</v>
      </c>
      <c r="P189" s="6" t="s">
        <v>1123</v>
      </c>
      <c r="Q189" s="6" t="s">
        <v>1124</v>
      </c>
    </row>
    <row r="190" spans="1:17">
      <c r="A190" s="4" t="s">
        <v>1120</v>
      </c>
      <c r="B190" s="4" t="str">
        <f>CHOOSE(Translations!$C$1+1,O190,P190,Q190)</f>
        <v>HTS-3a⁽ᴹ⁾ Porcentaje de HSH a los que se les ha realizado una prueba de VIH durante el período de reporte y que conocen sus resultados</v>
      </c>
      <c r="C190" s="4">
        <f t="shared" si="6"/>
        <v>3</v>
      </c>
      <c r="D190" s="4" t="str">
        <f t="shared" si="7"/>
        <v>HTS-3a⁽ᴹ⁾ Porcentaje de HSH a los que se les ha realizado una prueba de VIH durante el período de reporte y que conocen sus resultados-3</v>
      </c>
      <c r="E190" s="4" t="str">
        <f>CHOOSE(Translations!$C$1+1,I190,J190,K190)</f>
        <v>Edad</v>
      </c>
      <c r="F190" s="4" t="str">
        <f>CHOOSE(Translations!$C$1+1,L190,M190,N190)</f>
        <v>&lt;25</v>
      </c>
      <c r="G190" s="4" t="s">
        <v>6338</v>
      </c>
      <c r="H190" s="6" t="s">
        <v>6339</v>
      </c>
      <c r="I190" s="6" t="s">
        <v>697</v>
      </c>
      <c r="J190" s="6" t="s">
        <v>697</v>
      </c>
      <c r="K190" s="6" t="s">
        <v>698</v>
      </c>
      <c r="L190" s="6" t="s">
        <v>5881</v>
      </c>
      <c r="M190" s="6" t="s">
        <v>5881</v>
      </c>
      <c r="N190" s="6" t="s">
        <v>5881</v>
      </c>
      <c r="O190" s="6" t="s">
        <v>1122</v>
      </c>
      <c r="P190" s="6" t="s">
        <v>1123</v>
      </c>
      <c r="Q190" s="6" t="s">
        <v>1124</v>
      </c>
    </row>
    <row r="191" spans="1:17">
      <c r="A191" s="4" t="s">
        <v>1125</v>
      </c>
      <c r="B191" s="4" t="str">
        <f>CHOOSE(Translations!$C$1+1,O191,P191,Q191)</f>
        <v>HTS-3b⁽ᴹ⁾ Porcentaje de personas transgénero a los que se les ha realizado una prueba de VIH durante el período de reporte y que conocen sus resultados</v>
      </c>
      <c r="C191" s="4">
        <f t="shared" si="6"/>
        <v>0</v>
      </c>
      <c r="D191" s="4" t="str">
        <f t="shared" si="7"/>
        <v>HTS-3b⁽ᴹ⁾ Porcentaje de personas transgénero a los que se les ha realizado una prueba de VIH durante el período de reporte y que conocen sus resultados-0</v>
      </c>
      <c r="E191" s="4" t="str">
        <f>CHOOSE(Translations!$C$1+1,I191,J191,K191)</f>
        <v>Resultado de prueba del VIH</v>
      </c>
      <c r="F191" s="4" t="str">
        <f>CHOOSE(Translations!$C$1+1,L191,M191,N191)</f>
        <v>Negativo</v>
      </c>
      <c r="G191" s="4" t="s">
        <v>6340</v>
      </c>
      <c r="H191" s="6" t="s">
        <v>6341</v>
      </c>
      <c r="I191" s="6" t="s">
        <v>1092</v>
      </c>
      <c r="J191" s="6" t="s">
        <v>1093</v>
      </c>
      <c r="K191" s="6" t="s">
        <v>1094</v>
      </c>
      <c r="L191" s="6" t="s">
        <v>6304</v>
      </c>
      <c r="M191" s="6" t="s">
        <v>6305</v>
      </c>
      <c r="N191" s="6" t="s">
        <v>6306</v>
      </c>
      <c r="O191" s="6" t="s">
        <v>1127</v>
      </c>
      <c r="P191" s="6" t="s">
        <v>1128</v>
      </c>
      <c r="Q191" s="6" t="s">
        <v>1129</v>
      </c>
    </row>
    <row r="192" spans="1:17">
      <c r="A192" s="4" t="s">
        <v>1125</v>
      </c>
      <c r="B192" s="4" t="str">
        <f>CHOOSE(Translations!$C$1+1,O192,P192,Q192)</f>
        <v>HTS-3b⁽ᴹ⁾ Porcentaje de personas transgénero a los que se les ha realizado una prueba de VIH durante el período de reporte y que conocen sus resultados</v>
      </c>
      <c r="C192" s="4">
        <f t="shared" si="6"/>
        <v>1</v>
      </c>
      <c r="D192" s="4" t="str">
        <f t="shared" si="7"/>
        <v>HTS-3b⁽ᴹ⁾ Porcentaje de personas transgénero a los que se les ha realizado una prueba de VIH durante el período de reporte y que conocen sus resultados-1</v>
      </c>
      <c r="E192" s="4" t="str">
        <f>CHOOSE(Translations!$C$1+1,I192,J192,K192)</f>
        <v>Resultado de prueba del VIH</v>
      </c>
      <c r="F192" s="4" t="str">
        <f>CHOOSE(Translations!$C$1+1,L192,M192,N192)</f>
        <v>Positivo</v>
      </c>
      <c r="G192" s="4" t="s">
        <v>6342</v>
      </c>
      <c r="H192" s="6" t="s">
        <v>6343</v>
      </c>
      <c r="I192" s="6" t="s">
        <v>1092</v>
      </c>
      <c r="J192" s="6" t="s">
        <v>1093</v>
      </c>
      <c r="K192" s="6" t="s">
        <v>1094</v>
      </c>
      <c r="L192" s="6" t="s">
        <v>6309</v>
      </c>
      <c r="M192" s="6" t="s">
        <v>6310</v>
      </c>
      <c r="N192" s="6" t="s">
        <v>6311</v>
      </c>
      <c r="O192" s="6" t="s">
        <v>1127</v>
      </c>
      <c r="P192" s="6" t="s">
        <v>1128</v>
      </c>
      <c r="Q192" s="6" t="s">
        <v>1129</v>
      </c>
    </row>
    <row r="193" spans="1:17">
      <c r="A193" s="4" t="s">
        <v>1125</v>
      </c>
      <c r="B193" s="4" t="str">
        <f>CHOOSE(Translations!$C$1+1,O193,P193,Q193)</f>
        <v>HTS-3b⁽ᴹ⁾ Porcentaje de personas transgénero a los que se les ha realizado una prueba de VIH durante el período de reporte y que conocen sus resultados</v>
      </c>
      <c r="C193" s="4">
        <f t="shared" si="6"/>
        <v>2</v>
      </c>
      <c r="D193" s="4" t="str">
        <f t="shared" si="7"/>
        <v>HTS-3b⁽ᴹ⁾ Porcentaje de personas transgénero a los que se les ha realizado una prueba de VIH durante el período de reporte y que conocen sus resultados-2</v>
      </c>
      <c r="E193" s="4" t="str">
        <f>CHOOSE(Translations!$C$1+1,I193,J193,K193)</f>
        <v>Edad</v>
      </c>
      <c r="F193" s="4" t="str">
        <f>CHOOSE(Translations!$C$1+1,L193,M193,N193)</f>
        <v>25+</v>
      </c>
      <c r="G193" s="4" t="s">
        <v>6344</v>
      </c>
      <c r="H193" s="6" t="s">
        <v>6345</v>
      </c>
      <c r="I193" s="6" t="s">
        <v>697</v>
      </c>
      <c r="J193" s="6" t="s">
        <v>697</v>
      </c>
      <c r="K193" s="6" t="s">
        <v>698</v>
      </c>
      <c r="L193" s="6" t="s">
        <v>5878</v>
      </c>
      <c r="M193" s="6" t="s">
        <v>5878</v>
      </c>
      <c r="N193" s="6" t="s">
        <v>5878</v>
      </c>
      <c r="O193" s="6" t="s">
        <v>1127</v>
      </c>
      <c r="P193" s="6" t="s">
        <v>1128</v>
      </c>
      <c r="Q193" s="6" t="s">
        <v>1129</v>
      </c>
    </row>
    <row r="194" spans="1:17">
      <c r="A194" s="4" t="s">
        <v>1125</v>
      </c>
      <c r="B194" s="4" t="str">
        <f>CHOOSE(Translations!$C$1+1,O194,P194,Q194)</f>
        <v>HTS-3b⁽ᴹ⁾ Porcentaje de personas transgénero a los que se les ha realizado una prueba de VIH durante el período de reporte y que conocen sus resultados</v>
      </c>
      <c r="C194" s="4">
        <f t="shared" si="6"/>
        <v>3</v>
      </c>
      <c r="D194" s="4" t="str">
        <f t="shared" si="7"/>
        <v>HTS-3b⁽ᴹ⁾ Porcentaje de personas transgénero a los que se les ha realizado una prueba de VIH durante el período de reporte y que conocen sus resultados-3</v>
      </c>
      <c r="E194" s="4" t="str">
        <f>CHOOSE(Translations!$C$1+1,I194,J194,K194)</f>
        <v>Edad</v>
      </c>
      <c r="F194" s="4" t="str">
        <f>CHOOSE(Translations!$C$1+1,L194,M194,N194)</f>
        <v>&lt;25</v>
      </c>
      <c r="G194" s="4" t="s">
        <v>6346</v>
      </c>
      <c r="H194" s="6" t="s">
        <v>6347</v>
      </c>
      <c r="I194" s="6" t="s">
        <v>697</v>
      </c>
      <c r="J194" s="6" t="s">
        <v>697</v>
      </c>
      <c r="K194" s="6" t="s">
        <v>698</v>
      </c>
      <c r="L194" s="6" t="s">
        <v>5881</v>
      </c>
      <c r="M194" s="6" t="s">
        <v>5881</v>
      </c>
      <c r="N194" s="6" t="s">
        <v>5881</v>
      </c>
      <c r="O194" s="6" t="s">
        <v>1127</v>
      </c>
      <c r="P194" s="6" t="s">
        <v>1128</v>
      </c>
      <c r="Q194" s="6" t="s">
        <v>1129</v>
      </c>
    </row>
    <row r="195" spans="1:17">
      <c r="A195" s="4" t="s">
        <v>1130</v>
      </c>
      <c r="B195" s="4" t="str">
        <f>CHOOSE(Translations!$C$1+1,O195,P195,Q195)</f>
        <v>HTS-3c⁽ᴹ⁾ Porcentaje de trabajadores sexuales a los que se les ha realizado una prueba de VIH durante el período de reporte y que conocen sus resultados</v>
      </c>
      <c r="C195" s="4">
        <f t="shared" si="6"/>
        <v>0</v>
      </c>
      <c r="D195" s="4" t="str">
        <f t="shared" si="7"/>
        <v>HTS-3c⁽ᴹ⁾ Porcentaje de trabajadores sexuales a los que se les ha realizado una prueba de VIH durante el período de reporte y que conocen sus resultados-0</v>
      </c>
      <c r="E195" s="4" t="str">
        <f>CHOOSE(Translations!$C$1+1,I195,J195,K195)</f>
        <v>Resultado de prueba del VIH</v>
      </c>
      <c r="F195" s="4" t="str">
        <f>CHOOSE(Translations!$C$1+1,L195,M195,N195)</f>
        <v>Negativo</v>
      </c>
      <c r="G195" s="4" t="s">
        <v>6348</v>
      </c>
      <c r="H195" s="6" t="s">
        <v>6349</v>
      </c>
      <c r="I195" s="6" t="s">
        <v>1092</v>
      </c>
      <c r="J195" s="6" t="s">
        <v>1093</v>
      </c>
      <c r="K195" s="6" t="s">
        <v>1094</v>
      </c>
      <c r="L195" s="6" t="s">
        <v>6304</v>
      </c>
      <c r="M195" s="6" t="s">
        <v>6305</v>
      </c>
      <c r="N195" s="6" t="s">
        <v>6306</v>
      </c>
      <c r="O195" s="6" t="s">
        <v>1132</v>
      </c>
      <c r="P195" s="6" t="s">
        <v>1133</v>
      </c>
      <c r="Q195" s="6" t="s">
        <v>1134</v>
      </c>
    </row>
    <row r="196" spans="1:17">
      <c r="A196" s="4" t="s">
        <v>1130</v>
      </c>
      <c r="B196" s="4" t="str">
        <f>CHOOSE(Translations!$C$1+1,O196,P196,Q196)</f>
        <v>HTS-3c⁽ᴹ⁾ Porcentaje de trabajadores sexuales a los que se les ha realizado una prueba de VIH durante el período de reporte y que conocen sus resultados</v>
      </c>
      <c r="C196" s="4">
        <f t="shared" si="6"/>
        <v>1</v>
      </c>
      <c r="D196" s="4" t="str">
        <f t="shared" si="7"/>
        <v>HTS-3c⁽ᴹ⁾ Porcentaje de trabajadores sexuales a los que se les ha realizado una prueba de VIH durante el período de reporte y que conocen sus resultados-1</v>
      </c>
      <c r="E196" s="4" t="str">
        <f>CHOOSE(Translations!$C$1+1,I196,J196,K196)</f>
        <v>Resultado de prueba del VIH</v>
      </c>
      <c r="F196" s="4" t="str">
        <f>CHOOSE(Translations!$C$1+1,L196,M196,N196)</f>
        <v>Positivo</v>
      </c>
      <c r="G196" s="4" t="s">
        <v>6350</v>
      </c>
      <c r="H196" s="6" t="s">
        <v>6351</v>
      </c>
      <c r="I196" s="6" t="s">
        <v>1092</v>
      </c>
      <c r="J196" s="6" t="s">
        <v>1093</v>
      </c>
      <c r="K196" s="6" t="s">
        <v>1094</v>
      </c>
      <c r="L196" s="6" t="s">
        <v>6309</v>
      </c>
      <c r="M196" s="6" t="s">
        <v>6310</v>
      </c>
      <c r="N196" s="6" t="s">
        <v>6311</v>
      </c>
      <c r="O196" s="6" t="s">
        <v>1132</v>
      </c>
      <c r="P196" s="6" t="s">
        <v>1133</v>
      </c>
      <c r="Q196" s="6" t="s">
        <v>1134</v>
      </c>
    </row>
    <row r="197" spans="1:17">
      <c r="A197" s="4" t="s">
        <v>1130</v>
      </c>
      <c r="B197" s="4" t="str">
        <f>CHOOSE(Translations!$C$1+1,O197,P197,Q197)</f>
        <v>HTS-3c⁽ᴹ⁾ Porcentaje de trabajadores sexuales a los que se les ha realizado una prueba de VIH durante el período de reporte y que conocen sus resultados</v>
      </c>
      <c r="C197" s="4">
        <f t="shared" si="6"/>
        <v>2</v>
      </c>
      <c r="D197" s="4" t="str">
        <f t="shared" si="7"/>
        <v>HTS-3c⁽ᴹ⁾ Porcentaje de trabajadores sexuales a los que se les ha realizado una prueba de VIH durante el período de reporte y que conocen sus resultados-2</v>
      </c>
      <c r="E197" s="4" t="str">
        <f>CHOOSE(Translations!$C$1+1,I197,J197,K197)</f>
        <v>Género</v>
      </c>
      <c r="F197" s="4" t="str">
        <f>CHOOSE(Translations!$C$1+1,L197,M197,N197)</f>
        <v>Transgénero</v>
      </c>
      <c r="G197" s="4" t="s">
        <v>6352</v>
      </c>
      <c r="H197" s="6" t="s">
        <v>6353</v>
      </c>
      <c r="I197" s="6" t="s">
        <v>800</v>
      </c>
      <c r="J197" s="6" t="s">
        <v>801</v>
      </c>
      <c r="K197" s="6" t="s">
        <v>802</v>
      </c>
      <c r="L197" s="6" t="s">
        <v>5888</v>
      </c>
      <c r="M197" s="6" t="s">
        <v>5889</v>
      </c>
      <c r="N197" s="6" t="s">
        <v>5890</v>
      </c>
      <c r="O197" s="6" t="s">
        <v>1132</v>
      </c>
      <c r="P197" s="6" t="s">
        <v>1133</v>
      </c>
      <c r="Q197" s="6" t="s">
        <v>1134</v>
      </c>
    </row>
    <row r="198" spans="1:17">
      <c r="A198" s="4" t="s">
        <v>1130</v>
      </c>
      <c r="B198" s="4" t="str">
        <f>CHOOSE(Translations!$C$1+1,O198,P198,Q198)</f>
        <v>HTS-3c⁽ᴹ⁾ Porcentaje de trabajadores sexuales a los que se les ha realizado una prueba de VIH durante el período de reporte y que conocen sus resultados</v>
      </c>
      <c r="C198" s="4">
        <f t="shared" si="6"/>
        <v>3</v>
      </c>
      <c r="D198" s="4" t="str">
        <f t="shared" si="7"/>
        <v>HTS-3c⁽ᴹ⁾ Porcentaje de trabajadores sexuales a los que se les ha realizado una prueba de VIH durante el período de reporte y que conocen sus resultados-3</v>
      </c>
      <c r="E198" s="4" t="str">
        <f>CHOOSE(Translations!$C$1+1,I198,J198,K198)</f>
        <v>Género</v>
      </c>
      <c r="F198" s="4" t="str">
        <f>CHOOSE(Translations!$C$1+1,L198,M198,N198)</f>
        <v>Mujeres</v>
      </c>
      <c r="G198" s="4" t="s">
        <v>6354</v>
      </c>
      <c r="H198" s="6" t="s">
        <v>6355</v>
      </c>
      <c r="I198" s="6" t="s">
        <v>800</v>
      </c>
      <c r="J198" s="6" t="s">
        <v>801</v>
      </c>
      <c r="K198" s="6" t="s">
        <v>802</v>
      </c>
      <c r="L198" s="6" t="s">
        <v>5826</v>
      </c>
      <c r="M198" s="6" t="s">
        <v>5827</v>
      </c>
      <c r="N198" s="6" t="s">
        <v>5828</v>
      </c>
      <c r="O198" s="6" t="s">
        <v>1132</v>
      </c>
      <c r="P198" s="6" t="s">
        <v>1133</v>
      </c>
      <c r="Q198" s="6" t="s">
        <v>1134</v>
      </c>
    </row>
    <row r="199" spans="1:17">
      <c r="A199" s="4" t="s">
        <v>1130</v>
      </c>
      <c r="B199" s="4" t="str">
        <f>CHOOSE(Translations!$C$1+1,O199,P199,Q199)</f>
        <v>HTS-3c⁽ᴹ⁾ Porcentaje de trabajadores sexuales a los que se les ha realizado una prueba de VIH durante el período de reporte y que conocen sus resultados</v>
      </c>
      <c r="C199" s="4">
        <f t="shared" si="6"/>
        <v>4</v>
      </c>
      <c r="D199" s="4" t="str">
        <f t="shared" si="7"/>
        <v>HTS-3c⁽ᴹ⁾ Porcentaje de trabajadores sexuales a los que se les ha realizado una prueba de VIH durante el período de reporte y que conocen sus resultados-4</v>
      </c>
      <c r="E199" s="4" t="str">
        <f>CHOOSE(Translations!$C$1+1,I199,J199,K199)</f>
        <v>Género</v>
      </c>
      <c r="F199" s="4" t="str">
        <f>CHOOSE(Translations!$C$1+1,L199,M199,N199)</f>
        <v>Hombres</v>
      </c>
      <c r="G199" s="4" t="s">
        <v>6356</v>
      </c>
      <c r="H199" s="6" t="s">
        <v>6357</v>
      </c>
      <c r="I199" s="6" t="s">
        <v>800</v>
      </c>
      <c r="J199" s="6" t="s">
        <v>801</v>
      </c>
      <c r="K199" s="6" t="s">
        <v>802</v>
      </c>
      <c r="L199" s="6" t="s">
        <v>5831</v>
      </c>
      <c r="M199" s="6" t="s">
        <v>5832</v>
      </c>
      <c r="N199" s="6" t="s">
        <v>5833</v>
      </c>
      <c r="O199" s="6" t="s">
        <v>1132</v>
      </c>
      <c r="P199" s="6" t="s">
        <v>1133</v>
      </c>
      <c r="Q199" s="6" t="s">
        <v>1134</v>
      </c>
    </row>
    <row r="200" spans="1:17">
      <c r="A200" s="4" t="s">
        <v>1130</v>
      </c>
      <c r="B200" s="4" t="str">
        <f>CHOOSE(Translations!$C$1+1,O200,P200,Q200)</f>
        <v>HTS-3c⁽ᴹ⁾ Porcentaje de trabajadores sexuales a los que se les ha realizado una prueba de VIH durante el período de reporte y que conocen sus resultados</v>
      </c>
      <c r="C200" s="4">
        <f t="shared" si="6"/>
        <v>5</v>
      </c>
      <c r="D200" s="4" t="str">
        <f t="shared" si="7"/>
        <v>HTS-3c⁽ᴹ⁾ Porcentaje de trabajadores sexuales a los que se les ha realizado una prueba de VIH durante el período de reporte y que conocen sus resultados-5</v>
      </c>
      <c r="E200" s="4" t="str">
        <f>CHOOSE(Translations!$C$1+1,I200,J200,K200)</f>
        <v>Edad</v>
      </c>
      <c r="F200" s="4" t="str">
        <f>CHOOSE(Translations!$C$1+1,L200,M200,N200)</f>
        <v>25+</v>
      </c>
      <c r="G200" s="4" t="s">
        <v>6358</v>
      </c>
      <c r="H200" s="6" t="s">
        <v>6359</v>
      </c>
      <c r="I200" s="6" t="s">
        <v>697</v>
      </c>
      <c r="J200" s="6" t="s">
        <v>697</v>
      </c>
      <c r="K200" s="6" t="s">
        <v>698</v>
      </c>
      <c r="L200" s="6" t="s">
        <v>5878</v>
      </c>
      <c r="M200" s="6" t="s">
        <v>5878</v>
      </c>
      <c r="N200" s="6" t="s">
        <v>5878</v>
      </c>
      <c r="O200" s="6" t="s">
        <v>1132</v>
      </c>
      <c r="P200" s="6" t="s">
        <v>1133</v>
      </c>
      <c r="Q200" s="6" t="s">
        <v>1134</v>
      </c>
    </row>
    <row r="201" spans="1:17">
      <c r="A201" s="4" t="s">
        <v>1130</v>
      </c>
      <c r="B201" s="4" t="str">
        <f>CHOOSE(Translations!$C$1+1,O201,P201,Q201)</f>
        <v>HTS-3c⁽ᴹ⁾ Porcentaje de trabajadores sexuales a los que se les ha realizado una prueba de VIH durante el período de reporte y que conocen sus resultados</v>
      </c>
      <c r="C201" s="4">
        <f t="shared" si="6"/>
        <v>6</v>
      </c>
      <c r="D201" s="4" t="str">
        <f t="shared" si="7"/>
        <v>HTS-3c⁽ᴹ⁾ Porcentaje de trabajadores sexuales a los que se les ha realizado una prueba de VIH durante el período de reporte y que conocen sus resultados-6</v>
      </c>
      <c r="E201" s="4" t="str">
        <f>CHOOSE(Translations!$C$1+1,I201,J201,K201)</f>
        <v>Edad</v>
      </c>
      <c r="F201" s="4" t="str">
        <f>CHOOSE(Translations!$C$1+1,L201,M201,N201)</f>
        <v>&lt;25</v>
      </c>
      <c r="G201" s="4" t="s">
        <v>6360</v>
      </c>
      <c r="H201" s="6" t="s">
        <v>6361</v>
      </c>
      <c r="I201" s="6" t="s">
        <v>697</v>
      </c>
      <c r="J201" s="6" t="s">
        <v>697</v>
      </c>
      <c r="K201" s="6" t="s">
        <v>698</v>
      </c>
      <c r="L201" s="6" t="s">
        <v>5881</v>
      </c>
      <c r="M201" s="6" t="s">
        <v>5881</v>
      </c>
      <c r="N201" s="6" t="s">
        <v>5881</v>
      </c>
      <c r="O201" s="6" t="s">
        <v>1132</v>
      </c>
      <c r="P201" s="6" t="s">
        <v>1133</v>
      </c>
      <c r="Q201" s="6" t="s">
        <v>1134</v>
      </c>
    </row>
    <row r="202" spans="1:17">
      <c r="A202" s="4" t="s">
        <v>1138</v>
      </c>
      <c r="B202" s="4" t="str">
        <f>CHOOSE(Translations!$C$1+1,O202,P202,Q202)</f>
        <v>HTS-3d⁽ᴹ⁾ Porcentaje de consumidores de drogas inyectables a los que se les ha realizado una prueba de VIH durante el período de reporte y que conocen sus resultados</v>
      </c>
      <c r="C202" s="4">
        <f t="shared" si="6"/>
        <v>0</v>
      </c>
      <c r="D202" s="4" t="str">
        <f t="shared" si="7"/>
        <v>HTS-3d⁽ᴹ⁾ Porcentaje de consumidores de drogas inyectables a los que se les ha realizado una prueba de VIH durante el período de reporte y que conocen sus resultados-0</v>
      </c>
      <c r="E202" s="4" t="str">
        <f>CHOOSE(Translations!$C$1+1,I202,J202,K202)</f>
        <v>Resultado de prueba del VIH</v>
      </c>
      <c r="F202" s="4" t="str">
        <f>CHOOSE(Translations!$C$1+1,L202,M202,N202)</f>
        <v>Negativo</v>
      </c>
      <c r="G202" s="4" t="s">
        <v>6362</v>
      </c>
      <c r="H202" s="6" t="s">
        <v>6363</v>
      </c>
      <c r="I202" s="6" t="s">
        <v>1092</v>
      </c>
      <c r="J202" s="6" t="s">
        <v>1093</v>
      </c>
      <c r="K202" s="6" t="s">
        <v>1094</v>
      </c>
      <c r="L202" s="6" t="s">
        <v>6304</v>
      </c>
      <c r="M202" s="6" t="s">
        <v>6305</v>
      </c>
      <c r="N202" s="6" t="s">
        <v>6306</v>
      </c>
      <c r="O202" s="6" t="s">
        <v>1140</v>
      </c>
      <c r="P202" s="6" t="s">
        <v>1141</v>
      </c>
      <c r="Q202" s="6" t="s">
        <v>1142</v>
      </c>
    </row>
    <row r="203" spans="1:17">
      <c r="A203" s="4" t="s">
        <v>1138</v>
      </c>
      <c r="B203" s="4" t="str">
        <f>CHOOSE(Translations!$C$1+1,O203,P203,Q203)</f>
        <v>HTS-3d⁽ᴹ⁾ Porcentaje de consumidores de drogas inyectables a los que se les ha realizado una prueba de VIH durante el período de reporte y que conocen sus resultados</v>
      </c>
      <c r="C203" s="4">
        <f t="shared" si="6"/>
        <v>1</v>
      </c>
      <c r="D203" s="4" t="str">
        <f t="shared" si="7"/>
        <v>HTS-3d⁽ᴹ⁾ Porcentaje de consumidores de drogas inyectables a los que se les ha realizado una prueba de VIH durante el período de reporte y que conocen sus resultados-1</v>
      </c>
      <c r="E203" s="4" t="str">
        <f>CHOOSE(Translations!$C$1+1,I203,J203,K203)</f>
        <v>Resultado de prueba del VIH</v>
      </c>
      <c r="F203" s="4" t="str">
        <f>CHOOSE(Translations!$C$1+1,L203,M203,N203)</f>
        <v>Positivo</v>
      </c>
      <c r="G203" s="4" t="s">
        <v>6364</v>
      </c>
      <c r="H203" s="6" t="s">
        <v>6365</v>
      </c>
      <c r="I203" s="6" t="s">
        <v>1092</v>
      </c>
      <c r="J203" s="6" t="s">
        <v>1093</v>
      </c>
      <c r="K203" s="6" t="s">
        <v>1094</v>
      </c>
      <c r="L203" s="6" t="s">
        <v>6309</v>
      </c>
      <c r="M203" s="6" t="s">
        <v>6310</v>
      </c>
      <c r="N203" s="6" t="s">
        <v>6311</v>
      </c>
      <c r="O203" s="6" t="s">
        <v>1140</v>
      </c>
      <c r="P203" s="6" t="s">
        <v>1141</v>
      </c>
      <c r="Q203" s="6" t="s">
        <v>1142</v>
      </c>
    </row>
    <row r="204" spans="1:17">
      <c r="A204" s="4" t="s">
        <v>1138</v>
      </c>
      <c r="B204" s="4" t="str">
        <f>CHOOSE(Translations!$C$1+1,O204,P204,Q204)</f>
        <v>HTS-3d⁽ᴹ⁾ Porcentaje de consumidores de drogas inyectables a los que se les ha realizado una prueba de VIH durante el período de reporte y que conocen sus resultados</v>
      </c>
      <c r="C204" s="4">
        <f t="shared" si="6"/>
        <v>2</v>
      </c>
      <c r="D204" s="4" t="str">
        <f t="shared" si="7"/>
        <v>HTS-3d⁽ᴹ⁾ Porcentaje de consumidores de drogas inyectables a los que se les ha realizado una prueba de VIH durante el período de reporte y que conocen sus resultados-2</v>
      </c>
      <c r="E204" s="4" t="str">
        <f>CHOOSE(Translations!$C$1+1,I204,J204,K204)</f>
        <v>Género</v>
      </c>
      <c r="F204" s="4" t="str">
        <f>CHOOSE(Translations!$C$1+1,L204,M204,N204)</f>
        <v>Transgénero</v>
      </c>
      <c r="G204" s="4" t="s">
        <v>6366</v>
      </c>
      <c r="H204" s="6" t="s">
        <v>6367</v>
      </c>
      <c r="I204" s="6" t="s">
        <v>800</v>
      </c>
      <c r="J204" s="6" t="s">
        <v>801</v>
      </c>
      <c r="K204" s="6" t="s">
        <v>802</v>
      </c>
      <c r="L204" s="6" t="s">
        <v>5888</v>
      </c>
      <c r="M204" s="6" t="s">
        <v>5889</v>
      </c>
      <c r="N204" s="6" t="s">
        <v>5890</v>
      </c>
      <c r="O204" s="6" t="s">
        <v>1140</v>
      </c>
      <c r="P204" s="6" t="s">
        <v>1141</v>
      </c>
      <c r="Q204" s="6" t="s">
        <v>1142</v>
      </c>
    </row>
    <row r="205" spans="1:17">
      <c r="A205" s="4" t="s">
        <v>1138</v>
      </c>
      <c r="B205" s="4" t="str">
        <f>CHOOSE(Translations!$C$1+1,O205,P205,Q205)</f>
        <v>HTS-3d⁽ᴹ⁾ Porcentaje de consumidores de drogas inyectables a los que se les ha realizado una prueba de VIH durante el período de reporte y que conocen sus resultados</v>
      </c>
      <c r="C205" s="4">
        <f t="shared" si="6"/>
        <v>3</v>
      </c>
      <c r="D205" s="4" t="str">
        <f t="shared" si="7"/>
        <v>HTS-3d⁽ᴹ⁾ Porcentaje de consumidores de drogas inyectables a los que se les ha realizado una prueba de VIH durante el período de reporte y que conocen sus resultados-3</v>
      </c>
      <c r="E205" s="4" t="str">
        <f>CHOOSE(Translations!$C$1+1,I205,J205,K205)</f>
        <v>Género</v>
      </c>
      <c r="F205" s="4" t="str">
        <f>CHOOSE(Translations!$C$1+1,L205,M205,N205)</f>
        <v>Mujeres</v>
      </c>
      <c r="G205" s="4" t="s">
        <v>6368</v>
      </c>
      <c r="H205" s="6" t="s">
        <v>6369</v>
      </c>
      <c r="I205" s="6" t="s">
        <v>800</v>
      </c>
      <c r="J205" s="6" t="s">
        <v>801</v>
      </c>
      <c r="K205" s="6" t="s">
        <v>802</v>
      </c>
      <c r="L205" s="6" t="s">
        <v>5826</v>
      </c>
      <c r="M205" s="6" t="s">
        <v>5827</v>
      </c>
      <c r="N205" s="6" t="s">
        <v>5828</v>
      </c>
      <c r="O205" s="6" t="s">
        <v>1140</v>
      </c>
      <c r="P205" s="6" t="s">
        <v>1141</v>
      </c>
      <c r="Q205" s="6" t="s">
        <v>1142</v>
      </c>
    </row>
    <row r="206" spans="1:17">
      <c r="A206" s="4" t="s">
        <v>1138</v>
      </c>
      <c r="B206" s="4" t="str">
        <f>CHOOSE(Translations!$C$1+1,O206,P206,Q206)</f>
        <v>HTS-3d⁽ᴹ⁾ Porcentaje de consumidores de drogas inyectables a los que se les ha realizado una prueba de VIH durante el período de reporte y que conocen sus resultados</v>
      </c>
      <c r="C206" s="4">
        <f t="shared" si="6"/>
        <v>4</v>
      </c>
      <c r="D206" s="4" t="str">
        <f t="shared" si="7"/>
        <v>HTS-3d⁽ᴹ⁾ Porcentaje de consumidores de drogas inyectables a los que se les ha realizado una prueba de VIH durante el período de reporte y que conocen sus resultados-4</v>
      </c>
      <c r="E206" s="4" t="str">
        <f>CHOOSE(Translations!$C$1+1,I206,J206,K206)</f>
        <v>Género</v>
      </c>
      <c r="F206" s="4" t="str">
        <f>CHOOSE(Translations!$C$1+1,L206,M206,N206)</f>
        <v>Hombres</v>
      </c>
      <c r="G206" s="4" t="s">
        <v>6370</v>
      </c>
      <c r="H206" s="6" t="s">
        <v>6371</v>
      </c>
      <c r="I206" s="6" t="s">
        <v>800</v>
      </c>
      <c r="J206" s="6" t="s">
        <v>801</v>
      </c>
      <c r="K206" s="6" t="s">
        <v>802</v>
      </c>
      <c r="L206" s="6" t="s">
        <v>5831</v>
      </c>
      <c r="M206" s="6" t="s">
        <v>5832</v>
      </c>
      <c r="N206" s="6" t="s">
        <v>5833</v>
      </c>
      <c r="O206" s="6" t="s">
        <v>1140</v>
      </c>
      <c r="P206" s="6" t="s">
        <v>1141</v>
      </c>
      <c r="Q206" s="6" t="s">
        <v>1142</v>
      </c>
    </row>
    <row r="207" spans="1:17">
      <c r="A207" s="4" t="s">
        <v>1138</v>
      </c>
      <c r="B207" s="4" t="str">
        <f>CHOOSE(Translations!$C$1+1,O207,P207,Q207)</f>
        <v>HTS-3d⁽ᴹ⁾ Porcentaje de consumidores de drogas inyectables a los que se les ha realizado una prueba de VIH durante el período de reporte y que conocen sus resultados</v>
      </c>
      <c r="C207" s="4">
        <f t="shared" si="6"/>
        <v>5</v>
      </c>
      <c r="D207" s="4" t="str">
        <f t="shared" si="7"/>
        <v>HTS-3d⁽ᴹ⁾ Porcentaje de consumidores de drogas inyectables a los que se les ha realizado una prueba de VIH durante el período de reporte y que conocen sus resultados-5</v>
      </c>
      <c r="E207" s="4" t="str">
        <f>CHOOSE(Translations!$C$1+1,I207,J207,K207)</f>
        <v>Edad</v>
      </c>
      <c r="F207" s="4" t="str">
        <f>CHOOSE(Translations!$C$1+1,L207,M207,N207)</f>
        <v>25+</v>
      </c>
      <c r="G207" s="4" t="s">
        <v>6372</v>
      </c>
      <c r="H207" s="6" t="s">
        <v>6373</v>
      </c>
      <c r="I207" s="6" t="s">
        <v>697</v>
      </c>
      <c r="J207" s="6" t="s">
        <v>697</v>
      </c>
      <c r="K207" s="6" t="s">
        <v>698</v>
      </c>
      <c r="L207" s="6" t="s">
        <v>5878</v>
      </c>
      <c r="M207" s="6" t="s">
        <v>5878</v>
      </c>
      <c r="N207" s="6" t="s">
        <v>5878</v>
      </c>
      <c r="O207" s="6" t="s">
        <v>1140</v>
      </c>
      <c r="P207" s="6" t="s">
        <v>1141</v>
      </c>
      <c r="Q207" s="6" t="s">
        <v>1142</v>
      </c>
    </row>
    <row r="208" spans="1:17">
      <c r="A208" s="4" t="s">
        <v>1138</v>
      </c>
      <c r="B208" s="4" t="str">
        <f>CHOOSE(Translations!$C$1+1,O208,P208,Q208)</f>
        <v>HTS-3d⁽ᴹ⁾ Porcentaje de consumidores de drogas inyectables a los que se les ha realizado una prueba de VIH durante el período de reporte y que conocen sus resultados</v>
      </c>
      <c r="C208" s="4">
        <f t="shared" si="6"/>
        <v>6</v>
      </c>
      <c r="D208" s="4" t="str">
        <f t="shared" si="7"/>
        <v>HTS-3d⁽ᴹ⁾ Porcentaje de consumidores de drogas inyectables a los que se les ha realizado una prueba de VIH durante el período de reporte y que conocen sus resultados-6</v>
      </c>
      <c r="E208" s="4" t="str">
        <f>CHOOSE(Translations!$C$1+1,I208,J208,K208)</f>
        <v>Edad</v>
      </c>
      <c r="F208" s="4" t="str">
        <f>CHOOSE(Translations!$C$1+1,L208,M208,N208)</f>
        <v>&lt;25</v>
      </c>
      <c r="G208" s="4" t="s">
        <v>6374</v>
      </c>
      <c r="H208" s="6" t="s">
        <v>6375</v>
      </c>
      <c r="I208" s="6" t="s">
        <v>697</v>
      </c>
      <c r="J208" s="6" t="s">
        <v>697</v>
      </c>
      <c r="K208" s="6" t="s">
        <v>698</v>
      </c>
      <c r="L208" s="6" t="s">
        <v>5881</v>
      </c>
      <c r="M208" s="6" t="s">
        <v>5881</v>
      </c>
      <c r="N208" s="6" t="s">
        <v>5881</v>
      </c>
      <c r="O208" s="6" t="s">
        <v>1140</v>
      </c>
      <c r="P208" s="6" t="s">
        <v>1141</v>
      </c>
      <c r="Q208" s="6" t="s">
        <v>1142</v>
      </c>
    </row>
    <row r="209" spans="1:17">
      <c r="A209" s="4" t="s">
        <v>1143</v>
      </c>
      <c r="B209" s="4" t="str">
        <f>CHOOSE(Translations!$C$1+1,O209,P209,Q209)</f>
        <v>HTS-3e Porcentaje de otras poblaciones vulnerables a los que se les ha realizado una prueba de VIH durante el período de reporte y que conocen sus resultados</v>
      </c>
      <c r="C209" s="4">
        <f t="shared" si="6"/>
        <v>0</v>
      </c>
      <c r="D209" s="4" t="str">
        <f t="shared" si="7"/>
        <v>HTS-3e Porcentaje de otras poblaciones vulnerables a los que se les ha realizado una prueba de VIH durante el período de reporte y que conocen sus resultados-0</v>
      </c>
      <c r="E209" s="4" t="str">
        <f>CHOOSE(Translations!$C$1+1,I209,J209,K209)</f>
        <v>Resultado de prueba del VIH</v>
      </c>
      <c r="F209" s="4" t="str">
        <f>CHOOSE(Translations!$C$1+1,L209,M209,N209)</f>
        <v>Negativo</v>
      </c>
      <c r="G209" s="4" t="s">
        <v>6376</v>
      </c>
      <c r="H209" s="6" t="s">
        <v>6377</v>
      </c>
      <c r="I209" s="6" t="s">
        <v>1092</v>
      </c>
      <c r="J209" s="6" t="s">
        <v>1093</v>
      </c>
      <c r="K209" s="6" t="s">
        <v>1094</v>
      </c>
      <c r="L209" s="6" t="s">
        <v>6304</v>
      </c>
      <c r="M209" s="6" t="s">
        <v>6305</v>
      </c>
      <c r="N209" s="6" t="s">
        <v>6306</v>
      </c>
      <c r="O209" s="6" t="s">
        <v>1145</v>
      </c>
      <c r="P209" s="6" t="s">
        <v>1146</v>
      </c>
      <c r="Q209" s="6" t="s">
        <v>1147</v>
      </c>
    </row>
    <row r="210" spans="1:17">
      <c r="A210" s="4" t="s">
        <v>1143</v>
      </c>
      <c r="B210" s="4" t="str">
        <f>CHOOSE(Translations!$C$1+1,O210,P210,Q210)</f>
        <v>HTS-3e Porcentaje de otras poblaciones vulnerables a los que se les ha realizado una prueba de VIH durante el período de reporte y que conocen sus resultados</v>
      </c>
      <c r="C210" s="4">
        <f t="shared" si="6"/>
        <v>1</v>
      </c>
      <c r="D210" s="4" t="str">
        <f t="shared" si="7"/>
        <v>HTS-3e Porcentaje de otras poblaciones vulnerables a los que se les ha realizado una prueba de VIH durante el período de reporte y que conocen sus resultados-1</v>
      </c>
      <c r="E210" s="4" t="str">
        <f>CHOOSE(Translations!$C$1+1,I210,J210,K210)</f>
        <v>Resultado de prueba del VIH</v>
      </c>
      <c r="F210" s="4" t="str">
        <f>CHOOSE(Translations!$C$1+1,L210,M210,N210)</f>
        <v>Positivo</v>
      </c>
      <c r="G210" s="4" t="s">
        <v>6378</v>
      </c>
      <c r="H210" s="6" t="s">
        <v>6379</v>
      </c>
      <c r="I210" s="6" t="s">
        <v>1092</v>
      </c>
      <c r="J210" s="6" t="s">
        <v>1093</v>
      </c>
      <c r="K210" s="6" t="s">
        <v>1094</v>
      </c>
      <c r="L210" s="6" t="s">
        <v>6309</v>
      </c>
      <c r="M210" s="6" t="s">
        <v>6310</v>
      </c>
      <c r="N210" s="6" t="s">
        <v>6311</v>
      </c>
      <c r="O210" s="6" t="s">
        <v>1145</v>
      </c>
      <c r="P210" s="6" t="s">
        <v>1146</v>
      </c>
      <c r="Q210" s="6" t="s">
        <v>1147</v>
      </c>
    </row>
    <row r="211" spans="1:17">
      <c r="A211" s="4" t="s">
        <v>1148</v>
      </c>
      <c r="B211" s="4" t="str">
        <f>CHOOSE(Translations!$C$1+1,O211,P211,Q211)</f>
        <v>HTS-3f⁽ᴹ⁾ Número de personas privadas de libertad en centros penitenciarios y otros lugares de reclusión a los que se les ha realizado una prueba de VIH durante el período de reporte y que conocen sus resultados</v>
      </c>
      <c r="C211" s="4">
        <f t="shared" si="6"/>
        <v>0</v>
      </c>
      <c r="D211" s="4" t="str">
        <f t="shared" si="7"/>
        <v>HTS-3f⁽ᴹ⁾ Número de personas privadas de libertad en centros penitenciarios y otros lugares de reclusión a los que se les ha realizado una prueba de VIH durante el período de reporte y que conocen sus resultados-0</v>
      </c>
      <c r="E211" s="4" t="str">
        <f>CHOOSE(Translations!$C$1+1,I211,J211,K211)</f>
        <v>Resultado de prueba del VIH</v>
      </c>
      <c r="F211" s="4" t="str">
        <f>CHOOSE(Translations!$C$1+1,L211,M211,N211)</f>
        <v>Negativo</v>
      </c>
      <c r="G211" s="4" t="s">
        <v>6380</v>
      </c>
      <c r="H211" s="6" t="s">
        <v>6381</v>
      </c>
      <c r="I211" s="6" t="s">
        <v>1092</v>
      </c>
      <c r="J211" s="6" t="s">
        <v>1093</v>
      </c>
      <c r="K211" s="6" t="s">
        <v>1094</v>
      </c>
      <c r="L211" s="6" t="s">
        <v>6304</v>
      </c>
      <c r="M211" s="6" t="s">
        <v>6305</v>
      </c>
      <c r="N211" s="6" t="s">
        <v>6306</v>
      </c>
      <c r="O211" s="6" t="s">
        <v>1150</v>
      </c>
      <c r="P211" s="6" t="s">
        <v>1151</v>
      </c>
      <c r="Q211" s="6" t="s">
        <v>1152</v>
      </c>
    </row>
    <row r="212" spans="1:17">
      <c r="A212" s="4" t="s">
        <v>1148</v>
      </c>
      <c r="B212" s="4" t="str">
        <f>CHOOSE(Translations!$C$1+1,O212,P212,Q212)</f>
        <v>HTS-3f⁽ᴹ⁾ Número de personas privadas de libertad en centros penitenciarios y otros lugares de reclusión a los que se les ha realizado una prueba de VIH durante el período de reporte y que conocen sus resultados</v>
      </c>
      <c r="C212" s="4">
        <f t="shared" si="6"/>
        <v>1</v>
      </c>
      <c r="D212" s="4" t="str">
        <f t="shared" si="7"/>
        <v>HTS-3f⁽ᴹ⁾ Número de personas privadas de libertad en centros penitenciarios y otros lugares de reclusión a los que se les ha realizado una prueba de VIH durante el período de reporte y que conocen sus resultados-1</v>
      </c>
      <c r="E212" s="4" t="str">
        <f>CHOOSE(Translations!$C$1+1,I212,J212,K212)</f>
        <v>Resultado de prueba del VIH</v>
      </c>
      <c r="F212" s="4" t="str">
        <f>CHOOSE(Translations!$C$1+1,L212,M212,N212)</f>
        <v>Positivo</v>
      </c>
      <c r="G212" s="4" t="s">
        <v>6382</v>
      </c>
      <c r="H212" s="6" t="s">
        <v>6383</v>
      </c>
      <c r="I212" s="6" t="s">
        <v>1092</v>
      </c>
      <c r="J212" s="6" t="s">
        <v>1093</v>
      </c>
      <c r="K212" s="6" t="s">
        <v>1094</v>
      </c>
      <c r="L212" s="6" t="s">
        <v>6309</v>
      </c>
      <c r="M212" s="6" t="s">
        <v>6310</v>
      </c>
      <c r="N212" s="6" t="s">
        <v>6311</v>
      </c>
      <c r="O212" s="6" t="s">
        <v>1150</v>
      </c>
      <c r="P212" s="6" t="s">
        <v>1151</v>
      </c>
      <c r="Q212" s="6" t="s">
        <v>1152</v>
      </c>
    </row>
    <row r="213" spans="1:17">
      <c r="A213" s="4" t="s">
        <v>1153</v>
      </c>
      <c r="B213" s="4" t="str">
        <f>CHOOSE(Translations!$C$1+1,O213,P213,Q213)</f>
        <v>HTS-4 Porcentaje de resultados de VIH positivos entre el total de pruebas de VIH realizadas durante el período de reporte.</v>
      </c>
      <c r="C213" s="4">
        <f t="shared" si="6"/>
        <v>0</v>
      </c>
      <c r="D213" s="4" t="str">
        <f t="shared" si="7"/>
        <v>HTS-4 Porcentaje de resultados de VIH positivos entre el total de pruebas de VIH realizadas durante el período de reporte.-0</v>
      </c>
      <c r="E213" s="4" t="str">
        <f>CHOOSE(Translations!$C$1+1,I213,J213,K213)</f>
        <v>Diagnóstico en establecimientos de salud</v>
      </c>
      <c r="F213" s="4" t="str">
        <f>CHOOSE(Translations!$C$1+1,L213,M213,N213)</f>
        <v>Otros</v>
      </c>
      <c r="G213" s="4" t="s">
        <v>6384</v>
      </c>
      <c r="H213" s="6" t="s">
        <v>6385</v>
      </c>
      <c r="I213" s="6" t="s">
        <v>6386</v>
      </c>
      <c r="J213" s="6" t="s">
        <v>6387</v>
      </c>
      <c r="K213" s="6" t="s">
        <v>6388</v>
      </c>
      <c r="L213" s="6" t="s">
        <v>6389</v>
      </c>
      <c r="M213" s="6" t="s">
        <v>6390</v>
      </c>
      <c r="N213" s="6" t="s">
        <v>6391</v>
      </c>
      <c r="O213" s="6" t="s">
        <v>1155</v>
      </c>
      <c r="P213" s="6" t="s">
        <v>1156</v>
      </c>
      <c r="Q213" s="6" t="s">
        <v>1157</v>
      </c>
    </row>
    <row r="214" spans="1:17">
      <c r="A214" s="4" t="s">
        <v>1153</v>
      </c>
      <c r="B214" s="4" t="str">
        <f>CHOOSE(Translations!$C$1+1,O214,P214,Q214)</f>
        <v>HTS-4 Porcentaje de resultados de VIH positivos entre el total de pruebas de VIH realizadas durante el período de reporte.</v>
      </c>
      <c r="C214" s="4">
        <f t="shared" si="6"/>
        <v>1</v>
      </c>
      <c r="D214" s="4" t="str">
        <f t="shared" si="7"/>
        <v>HTS-4 Porcentaje de resultados de VIH positivos entre el total de pruebas de VIH realizadas durante el período de reporte.-1</v>
      </c>
      <c r="E214" s="4" t="str">
        <f>CHOOSE(Translations!$C$1+1,I214,J214,K214)</f>
        <v>Diagnóstico en establecimientos de salud</v>
      </c>
      <c r="F214" s="4" t="str">
        <f>CHOOSE(Translations!$C$1+1,L214,M214,N214)</f>
        <v>Centros de consejería y pruebas</v>
      </c>
      <c r="G214" s="4" t="s">
        <v>6392</v>
      </c>
      <c r="H214" s="6" t="s">
        <v>6393</v>
      </c>
      <c r="I214" s="6" t="s">
        <v>6386</v>
      </c>
      <c r="J214" s="6" t="s">
        <v>6387</v>
      </c>
      <c r="K214" s="6" t="s">
        <v>6388</v>
      </c>
      <c r="L214" s="6" t="s">
        <v>6394</v>
      </c>
      <c r="M214" s="6" t="s">
        <v>6395</v>
      </c>
      <c r="N214" s="6" t="s">
        <v>6396</v>
      </c>
      <c r="O214" s="6" t="s">
        <v>1155</v>
      </c>
      <c r="P214" s="6" t="s">
        <v>1156</v>
      </c>
      <c r="Q214" s="6" t="s">
        <v>1157</v>
      </c>
    </row>
    <row r="215" spans="1:17">
      <c r="A215" s="4" t="s">
        <v>1153</v>
      </c>
      <c r="B215" s="4" t="str">
        <f>CHOOSE(Translations!$C$1+1,O215,P215,Q215)</f>
        <v>HTS-4 Porcentaje de resultados de VIH positivos entre el total de pruebas de VIH realizadas durante el período de reporte.</v>
      </c>
      <c r="C215" s="4">
        <f t="shared" si="6"/>
        <v>2</v>
      </c>
      <c r="D215" s="4" t="str">
        <f t="shared" si="7"/>
        <v>HTS-4 Porcentaje de resultados de VIH positivos entre el total de pruebas de VIH realizadas durante el período de reporte.-2</v>
      </c>
      <c r="E215" s="4" t="str">
        <f>CHOOSE(Translations!$C$1+1,I215,J215,K215)</f>
        <v>Diagnóstico en establecimientos de salud</v>
      </c>
      <c r="F215" s="4" t="str">
        <f>CHOOSE(Translations!$C$1+1,L215,M215,N215)</f>
        <v>Servicios de TB</v>
      </c>
      <c r="G215" s="4" t="s">
        <v>6397</v>
      </c>
      <c r="H215" s="6" t="s">
        <v>6398</v>
      </c>
      <c r="I215" s="6" t="s">
        <v>6386</v>
      </c>
      <c r="J215" s="6" t="s">
        <v>6387</v>
      </c>
      <c r="K215" s="6" t="s">
        <v>6388</v>
      </c>
      <c r="L215" s="6" t="s">
        <v>6399</v>
      </c>
      <c r="M215" s="6" t="s">
        <v>6400</v>
      </c>
      <c r="N215" s="6" t="s">
        <v>6401</v>
      </c>
      <c r="O215" s="6" t="s">
        <v>1155</v>
      </c>
      <c r="P215" s="6" t="s">
        <v>1156</v>
      </c>
      <c r="Q215" s="6" t="s">
        <v>1157</v>
      </c>
    </row>
    <row r="216" spans="1:17">
      <c r="A216" s="4" t="s">
        <v>1153</v>
      </c>
      <c r="B216" s="4" t="str">
        <f>CHOOSE(Translations!$C$1+1,O216,P216,Q216)</f>
        <v>HTS-4 Porcentaje de resultados de VIH positivos entre el total de pruebas de VIH realizadas durante el período de reporte.</v>
      </c>
      <c r="C216" s="4">
        <f t="shared" si="6"/>
        <v>3</v>
      </c>
      <c r="D216" s="4" t="str">
        <f t="shared" si="7"/>
        <v>HTS-4 Porcentaje de resultados de VIH positivos entre el total de pruebas de VIH realizadas durante el período de reporte.-3</v>
      </c>
      <c r="E216" s="4" t="str">
        <f>CHOOSE(Translations!$C$1+1,I216,J216,K216)</f>
        <v>Diagnóstico en establecimientos de salud</v>
      </c>
      <c r="F216" s="4" t="str">
        <f>CHOOSE(Translations!$C$1+1,L216,M216,N216)</f>
        <v>Planificación familiar</v>
      </c>
      <c r="G216" s="4" t="s">
        <v>6402</v>
      </c>
      <c r="H216" s="6" t="s">
        <v>6403</v>
      </c>
      <c r="I216" s="6" t="s">
        <v>6386</v>
      </c>
      <c r="J216" s="6" t="s">
        <v>6387</v>
      </c>
      <c r="K216" s="6" t="s">
        <v>6388</v>
      </c>
      <c r="L216" s="6" t="s">
        <v>6404</v>
      </c>
      <c r="M216" s="6" t="s">
        <v>6405</v>
      </c>
      <c r="N216" s="6" t="s">
        <v>6406</v>
      </c>
      <c r="O216" s="6" t="s">
        <v>1155</v>
      </c>
      <c r="P216" s="6" t="s">
        <v>1156</v>
      </c>
      <c r="Q216" s="6" t="s">
        <v>1157</v>
      </c>
    </row>
    <row r="217" spans="1:17">
      <c r="A217" s="4" t="s">
        <v>1153</v>
      </c>
      <c r="B217" s="4" t="str">
        <f>CHOOSE(Translations!$C$1+1,O217,P217,Q217)</f>
        <v>HTS-4 Porcentaje de resultados de VIH positivos entre el total de pruebas de VIH realizadas durante el período de reporte.</v>
      </c>
      <c r="C217" s="4">
        <f t="shared" si="6"/>
        <v>4</v>
      </c>
      <c r="D217" s="4" t="str">
        <f t="shared" si="7"/>
        <v>HTS-4 Porcentaje de resultados de VIH positivos entre el total de pruebas de VIH realizadas durante el período de reporte.-4</v>
      </c>
      <c r="E217" s="4" t="str">
        <f>CHOOSE(Translations!$C$1+1,I217,J217,K217)</f>
        <v>Diagnóstico en establecimientos de salud</v>
      </c>
      <c r="F217" s="4" t="str">
        <f>CHOOSE(Translations!$C$1+1,L217,M217,N217)</f>
        <v>Clínicas de atención prenatal</v>
      </c>
      <c r="G217" s="4" t="s">
        <v>6407</v>
      </c>
      <c r="H217" s="6" t="s">
        <v>6408</v>
      </c>
      <c r="I217" s="6" t="s">
        <v>6386</v>
      </c>
      <c r="J217" s="6" t="s">
        <v>6387</v>
      </c>
      <c r="K217" s="6" t="s">
        <v>6388</v>
      </c>
      <c r="L217" s="6" t="s">
        <v>6409</v>
      </c>
      <c r="M217" s="6" t="s">
        <v>6410</v>
      </c>
      <c r="N217" s="6" t="s">
        <v>6411</v>
      </c>
      <c r="O217" s="6" t="s">
        <v>1155</v>
      </c>
      <c r="P217" s="6" t="s">
        <v>1156</v>
      </c>
      <c r="Q217" s="6" t="s">
        <v>1157</v>
      </c>
    </row>
    <row r="218" spans="1:17">
      <c r="A218" s="4" t="s">
        <v>1153</v>
      </c>
      <c r="B218" s="4" t="str">
        <f>CHOOSE(Translations!$C$1+1,O218,P218,Q218)</f>
        <v>HTS-4 Porcentaje de resultados de VIH positivos entre el total de pruebas de VIH realizadas durante el período de reporte.</v>
      </c>
      <c r="C218" s="4">
        <f t="shared" si="6"/>
        <v>5</v>
      </c>
      <c r="D218" s="4" t="str">
        <f t="shared" si="7"/>
        <v>HTS-4 Porcentaje de resultados de VIH positivos entre el total de pruebas de VIH realizadas durante el período de reporte.-5</v>
      </c>
      <c r="E218" s="4" t="str">
        <f>CHOOSE(Translations!$C$1+1,I218,J218,K218)</f>
        <v>Diagnóstico en la comunidad</v>
      </c>
      <c r="F218" s="4" t="str">
        <f>CHOOSE(Translations!$C$1+1,L218,M218,N218)</f>
        <v>Consejería y prueba en la comunidad</v>
      </c>
      <c r="G218" s="4" t="s">
        <v>6412</v>
      </c>
      <c r="H218" s="6" t="s">
        <v>6413</v>
      </c>
      <c r="I218" s="6" t="s">
        <v>6414</v>
      </c>
      <c r="J218" s="6" t="s">
        <v>6415</v>
      </c>
      <c r="K218" s="6" t="s">
        <v>6416</v>
      </c>
      <c r="L218" s="6" t="s">
        <v>6417</v>
      </c>
      <c r="M218" s="6" t="s">
        <v>6418</v>
      </c>
      <c r="N218" s="6" t="s">
        <v>6419</v>
      </c>
      <c r="O218" s="6" t="s">
        <v>1155</v>
      </c>
      <c r="P218" s="6" t="s">
        <v>1156</v>
      </c>
      <c r="Q218" s="6" t="s">
        <v>1157</v>
      </c>
    </row>
    <row r="219" spans="1:17">
      <c r="A219" s="4" t="s">
        <v>1153</v>
      </c>
      <c r="B219" s="4" t="str">
        <f>CHOOSE(Translations!$C$1+1,O219,P219,Q219)</f>
        <v>HTS-4 Porcentaje de resultados de VIH positivos entre el total de pruebas de VIH realizadas durante el período de reporte.</v>
      </c>
      <c r="C219" s="4">
        <f t="shared" si="6"/>
        <v>6</v>
      </c>
      <c r="D219" s="4" t="str">
        <f t="shared" si="7"/>
        <v>HTS-4 Porcentaje de resultados de VIH positivos entre el total de pruebas de VIH realizadas durante el período de reporte.-6</v>
      </c>
      <c r="E219" s="4" t="str">
        <f>CHOOSE(Translations!$C$1+1,I219,J219,K219)</f>
        <v>Diagnóstico en la comunidad</v>
      </c>
      <c r="F219" s="4" t="str">
        <f>CHOOSE(Translations!$C$1+1,L219,M219,N219)</f>
        <v>Pruebas en unidades móviles</v>
      </c>
      <c r="G219" s="4" t="s">
        <v>6420</v>
      </c>
      <c r="H219" s="6" t="s">
        <v>6421</v>
      </c>
      <c r="I219" s="6" t="s">
        <v>6414</v>
      </c>
      <c r="J219" s="6" t="s">
        <v>6415</v>
      </c>
      <c r="K219" s="6" t="s">
        <v>6416</v>
      </c>
      <c r="L219" s="6" t="s">
        <v>6422</v>
      </c>
      <c r="M219" s="6" t="s">
        <v>6423</v>
      </c>
      <c r="N219" s="6" t="s">
        <v>6424</v>
      </c>
      <c r="O219" s="6" t="s">
        <v>1155</v>
      </c>
      <c r="P219" s="6" t="s">
        <v>1156</v>
      </c>
      <c r="Q219" s="6" t="s">
        <v>1157</v>
      </c>
    </row>
    <row r="220" spans="1:17">
      <c r="A220" s="4" t="s">
        <v>1153</v>
      </c>
      <c r="B220" s="4" t="str">
        <f>CHOOSE(Translations!$C$1+1,O220,P220,Q220)</f>
        <v>HTS-4 Porcentaje de resultados de VIH positivos entre el total de pruebas de VIH realizadas durante el período de reporte.</v>
      </c>
      <c r="C220" s="4">
        <f t="shared" ref="C220:C283" si="8">IF(O220=O219,C219+1,0)</f>
        <v>7</v>
      </c>
      <c r="D220" s="4" t="str">
        <f t="shared" ref="D220:D283" si="9">B220&amp;"-"&amp;C220</f>
        <v>HTS-4 Porcentaje de resultados de VIH positivos entre el total de pruebas de VIH realizadas durante el período de reporte.-7</v>
      </c>
      <c r="E220" s="4" t="str">
        <f>CHOOSE(Translations!$C$1+1,I220,J220,K220)</f>
        <v>Género</v>
      </c>
      <c r="F220" s="4" t="str">
        <f>CHOOSE(Translations!$C$1+1,L220,M220,N220)</f>
        <v>Mujeres</v>
      </c>
      <c r="G220" s="4" t="s">
        <v>6425</v>
      </c>
      <c r="H220" s="6" t="s">
        <v>6426</v>
      </c>
      <c r="I220" s="6" t="s">
        <v>800</v>
      </c>
      <c r="J220" s="6" t="s">
        <v>801</v>
      </c>
      <c r="K220" s="6" t="s">
        <v>802</v>
      </c>
      <c r="L220" s="6" t="s">
        <v>5826</v>
      </c>
      <c r="M220" s="6" t="s">
        <v>5827</v>
      </c>
      <c r="N220" s="6" t="s">
        <v>5828</v>
      </c>
      <c r="O220" s="6" t="s">
        <v>1155</v>
      </c>
      <c r="P220" s="6" t="s">
        <v>1156</v>
      </c>
      <c r="Q220" s="6" t="s">
        <v>1157</v>
      </c>
    </row>
    <row r="221" spans="1:17">
      <c r="A221" s="4" t="s">
        <v>1153</v>
      </c>
      <c r="B221" s="4" t="str">
        <f>CHOOSE(Translations!$C$1+1,O221,P221,Q221)</f>
        <v>HTS-4 Porcentaje de resultados de VIH positivos entre el total de pruebas de VIH realizadas durante el período de reporte.</v>
      </c>
      <c r="C221" s="4">
        <f t="shared" si="8"/>
        <v>8</v>
      </c>
      <c r="D221" s="4" t="str">
        <f t="shared" si="9"/>
        <v>HTS-4 Porcentaje de resultados de VIH positivos entre el total de pruebas de VIH realizadas durante el período de reporte.-8</v>
      </c>
      <c r="E221" s="4" t="str">
        <f>CHOOSE(Translations!$C$1+1,I221,J221,K221)</f>
        <v>Género</v>
      </c>
      <c r="F221" s="4" t="str">
        <f>CHOOSE(Translations!$C$1+1,L221,M221,N221)</f>
        <v>Hombres</v>
      </c>
      <c r="G221" s="4" t="s">
        <v>6427</v>
      </c>
      <c r="H221" s="6" t="s">
        <v>6428</v>
      </c>
      <c r="I221" s="6" t="s">
        <v>800</v>
      </c>
      <c r="J221" s="6" t="s">
        <v>801</v>
      </c>
      <c r="K221" s="6" t="s">
        <v>802</v>
      </c>
      <c r="L221" s="6" t="s">
        <v>5831</v>
      </c>
      <c r="M221" s="6" t="s">
        <v>5832</v>
      </c>
      <c r="N221" s="6" t="s">
        <v>5833</v>
      </c>
      <c r="O221" s="6" t="s">
        <v>1155</v>
      </c>
      <c r="P221" s="6" t="s">
        <v>1156</v>
      </c>
      <c r="Q221" s="6" t="s">
        <v>1157</v>
      </c>
    </row>
    <row r="222" spans="1:17">
      <c r="A222" s="4" t="s">
        <v>1153</v>
      </c>
      <c r="B222" s="4" t="str">
        <f>CHOOSE(Translations!$C$1+1,O222,P222,Q222)</f>
        <v>HTS-4 Porcentaje de resultados de VIH positivos entre el total de pruebas de VIH realizadas durante el período de reporte.</v>
      </c>
      <c r="C222" s="4">
        <f t="shared" si="8"/>
        <v>9</v>
      </c>
      <c r="D222" s="4" t="str">
        <f t="shared" si="9"/>
        <v>HTS-4 Porcentaje de resultados de VIH positivos entre el total de pruebas de VIH realizadas durante el período de reporte.-9</v>
      </c>
      <c r="E222" s="4" t="str">
        <f>CHOOSE(Translations!$C$1+1,I222,J222,K222)</f>
        <v>Edad</v>
      </c>
      <c r="F222" s="4" t="str">
        <f>CHOOSE(Translations!$C$1+1,L222,M222,N222)</f>
        <v>15+</v>
      </c>
      <c r="G222" s="4" t="s">
        <v>6429</v>
      </c>
      <c r="H222" s="6" t="s">
        <v>6430</v>
      </c>
      <c r="I222" s="6" t="s">
        <v>697</v>
      </c>
      <c r="J222" s="6" t="s">
        <v>697</v>
      </c>
      <c r="K222" s="6" t="s">
        <v>698</v>
      </c>
      <c r="L222" s="6" t="s">
        <v>5836</v>
      </c>
      <c r="M222" s="6" t="s">
        <v>5836</v>
      </c>
      <c r="N222" s="6" t="s">
        <v>5836</v>
      </c>
      <c r="O222" s="6" t="s">
        <v>1155</v>
      </c>
      <c r="P222" s="6" t="s">
        <v>1156</v>
      </c>
      <c r="Q222" s="6" t="s">
        <v>1157</v>
      </c>
    </row>
    <row r="223" spans="1:17">
      <c r="A223" s="4" t="s">
        <v>1153</v>
      </c>
      <c r="B223" s="4" t="str">
        <f>CHOOSE(Translations!$C$1+1,O223,P223,Q223)</f>
        <v>HTS-4 Porcentaje de resultados de VIH positivos entre el total de pruebas de VIH realizadas durante el período de reporte.</v>
      </c>
      <c r="C223" s="4">
        <f t="shared" si="8"/>
        <v>10</v>
      </c>
      <c r="D223" s="4" t="str">
        <f t="shared" si="9"/>
        <v>HTS-4 Porcentaje de resultados de VIH positivos entre el total de pruebas de VIH realizadas durante el período de reporte.-10</v>
      </c>
      <c r="E223" s="4" t="str">
        <f>CHOOSE(Translations!$C$1+1,I223,J223,K223)</f>
        <v>Edad</v>
      </c>
      <c r="F223" s="4" t="str">
        <f>CHOOSE(Translations!$C$1+1,L223,M223,N223)</f>
        <v>&lt;15</v>
      </c>
      <c r="G223" s="4" t="s">
        <v>6431</v>
      </c>
      <c r="H223" s="6" t="s">
        <v>6432</v>
      </c>
      <c r="I223" s="6" t="s">
        <v>697</v>
      </c>
      <c r="J223" s="6" t="s">
        <v>697</v>
      </c>
      <c r="K223" s="6" t="s">
        <v>698</v>
      </c>
      <c r="L223" s="6" t="s">
        <v>5839</v>
      </c>
      <c r="M223" s="6" t="s">
        <v>5839</v>
      </c>
      <c r="N223" s="6" t="s">
        <v>5839</v>
      </c>
      <c r="O223" s="6" t="s">
        <v>1155</v>
      </c>
      <c r="P223" s="6" t="s">
        <v>1156</v>
      </c>
      <c r="Q223" s="6" t="s">
        <v>1157</v>
      </c>
    </row>
    <row r="224" spans="1:17">
      <c r="A224" s="4" t="s">
        <v>1161</v>
      </c>
      <c r="B224" s="4" t="str">
        <f>CHOOSE(Translations!$C$1+1,O224,P224,Q224)</f>
        <v>HTS-5 Porcentaje de personas con diagnóstico nuevo de VIH que han iniciado terapia antirretroviral</v>
      </c>
      <c r="C224" s="4">
        <f t="shared" si="8"/>
        <v>0</v>
      </c>
      <c r="D224" s="4" t="str">
        <f t="shared" si="9"/>
        <v>HTS-5 Porcentaje de personas con diagnóstico nuevo de VIH que han iniciado terapia antirretroviral-0</v>
      </c>
      <c r="E224" s="4" t="str">
        <f>CHOOSE(Translations!$C$1+1,I224,J224,K224)</f>
        <v>Grupo de riesgo objetivo</v>
      </c>
      <c r="F224" s="4" t="str">
        <f>CHOOSE(Translations!$C$1+1,L224,M224,N224)</f>
        <v>Reclusos</v>
      </c>
      <c r="G224" s="4" t="s">
        <v>6433</v>
      </c>
      <c r="H224" s="6" t="s">
        <v>6434</v>
      </c>
      <c r="I224" s="6" t="s">
        <v>1229</v>
      </c>
      <c r="J224" s="6" t="s">
        <v>1230</v>
      </c>
      <c r="K224" s="6" t="s">
        <v>1231</v>
      </c>
      <c r="L224" s="6" t="s">
        <v>6130</v>
      </c>
      <c r="M224" s="6" t="s">
        <v>6131</v>
      </c>
      <c r="N224" s="6" t="s">
        <v>6132</v>
      </c>
      <c r="O224" s="6" t="s">
        <v>1163</v>
      </c>
      <c r="P224" s="6" t="s">
        <v>1164</v>
      </c>
      <c r="Q224" s="6" t="s">
        <v>1165</v>
      </c>
    </row>
    <row r="225" spans="1:17">
      <c r="A225" s="4" t="s">
        <v>1161</v>
      </c>
      <c r="B225" s="4" t="str">
        <f>CHOOSE(Translations!$C$1+1,O225,P225,Q225)</f>
        <v>HTS-5 Porcentaje de personas con diagnóstico nuevo de VIH que han iniciado terapia antirretroviral</v>
      </c>
      <c r="C225" s="4">
        <f t="shared" si="8"/>
        <v>1</v>
      </c>
      <c r="D225" s="4" t="str">
        <f t="shared" si="9"/>
        <v>HTS-5 Porcentaje de personas con diagnóstico nuevo de VIH que han iniciado terapia antirretroviral-1</v>
      </c>
      <c r="E225" s="4" t="str">
        <f>CHOOSE(Translations!$C$1+1,I225,J225,K225)</f>
        <v>Grupo de riesgo objetivo</v>
      </c>
      <c r="F225" s="4" t="str">
        <f>CHOOSE(Translations!$C$1+1,L225,M225,N225)</f>
        <v>PWID</v>
      </c>
      <c r="G225" s="4" t="s">
        <v>6435</v>
      </c>
      <c r="H225" s="6" t="s">
        <v>6436</v>
      </c>
      <c r="I225" s="6" t="s">
        <v>1229</v>
      </c>
      <c r="J225" s="6" t="s">
        <v>1230</v>
      </c>
      <c r="K225" s="6" t="s">
        <v>1231</v>
      </c>
      <c r="L225" s="6" t="s">
        <v>6135</v>
      </c>
      <c r="M225" s="6" t="s">
        <v>6136</v>
      </c>
      <c r="N225" s="6" t="s">
        <v>6137</v>
      </c>
      <c r="O225" s="6" t="s">
        <v>1163</v>
      </c>
      <c r="P225" s="6" t="s">
        <v>1164</v>
      </c>
      <c r="Q225" s="6" t="s">
        <v>1165</v>
      </c>
    </row>
    <row r="226" spans="1:17">
      <c r="A226" s="4" t="s">
        <v>1161</v>
      </c>
      <c r="B226" s="4" t="str">
        <f>CHOOSE(Translations!$C$1+1,O226,P226,Q226)</f>
        <v>HTS-5 Porcentaje de personas con diagnóstico nuevo de VIH que han iniciado terapia antirretroviral</v>
      </c>
      <c r="C226" s="4">
        <f t="shared" si="8"/>
        <v>2</v>
      </c>
      <c r="D226" s="4" t="str">
        <f t="shared" si="9"/>
        <v>HTS-5 Porcentaje de personas con diagnóstico nuevo de VIH que han iniciado terapia antirretroviral-2</v>
      </c>
      <c r="E226" s="4" t="str">
        <f>CHOOSE(Translations!$C$1+1,I226,J226,K226)</f>
        <v>Grupo de riesgo objetivo</v>
      </c>
      <c r="F226" s="4" t="str">
        <f>CHOOSE(Translations!$C$1+1,L226,M226,N226)</f>
        <v>Trabajadores sexuales</v>
      </c>
      <c r="G226" s="4" t="s">
        <v>6437</v>
      </c>
      <c r="H226" s="6" t="s">
        <v>6438</v>
      </c>
      <c r="I226" s="6" t="s">
        <v>1229</v>
      </c>
      <c r="J226" s="6" t="s">
        <v>1230</v>
      </c>
      <c r="K226" s="6" t="s">
        <v>1231</v>
      </c>
      <c r="L226" s="6" t="s">
        <v>6140</v>
      </c>
      <c r="M226" s="6" t="s">
        <v>6141</v>
      </c>
      <c r="N226" s="6" t="s">
        <v>6142</v>
      </c>
      <c r="O226" s="6" t="s">
        <v>1163</v>
      </c>
      <c r="P226" s="6" t="s">
        <v>1164</v>
      </c>
      <c r="Q226" s="6" t="s">
        <v>1165</v>
      </c>
    </row>
    <row r="227" spans="1:17">
      <c r="A227" s="4" t="s">
        <v>1161</v>
      </c>
      <c r="B227" s="4" t="str">
        <f>CHOOSE(Translations!$C$1+1,O227,P227,Q227)</f>
        <v>HTS-5 Porcentaje de personas con diagnóstico nuevo de VIH que han iniciado terapia antirretroviral</v>
      </c>
      <c r="C227" s="4">
        <f t="shared" si="8"/>
        <v>3</v>
      </c>
      <c r="D227" s="4" t="str">
        <f t="shared" si="9"/>
        <v>HTS-5 Porcentaje de personas con diagnóstico nuevo de VIH que han iniciado terapia antirretroviral-3</v>
      </c>
      <c r="E227" s="4" t="str">
        <f>CHOOSE(Translations!$C$1+1,I227,J227,K227)</f>
        <v>Grupo de riesgo objetivo</v>
      </c>
      <c r="F227" s="4" t="str">
        <f>CHOOSE(Translations!$C$1+1,L227,M227,N227)</f>
        <v>HSH</v>
      </c>
      <c r="G227" s="4" t="s">
        <v>6439</v>
      </c>
      <c r="H227" s="6" t="s">
        <v>6440</v>
      </c>
      <c r="I227" s="6" t="s">
        <v>1229</v>
      </c>
      <c r="J227" s="6" t="s">
        <v>1230</v>
      </c>
      <c r="K227" s="6" t="s">
        <v>1231</v>
      </c>
      <c r="L227" s="6" t="s">
        <v>6145</v>
      </c>
      <c r="M227" s="6" t="s">
        <v>505</v>
      </c>
      <c r="N227" s="6" t="s">
        <v>505</v>
      </c>
      <c r="O227" s="6" t="s">
        <v>1163</v>
      </c>
      <c r="P227" s="6" t="s">
        <v>1164</v>
      </c>
      <c r="Q227" s="6" t="s">
        <v>1165</v>
      </c>
    </row>
    <row r="228" spans="1:17">
      <c r="A228" s="4" t="s">
        <v>1161</v>
      </c>
      <c r="B228" s="4" t="str">
        <f>CHOOSE(Translations!$C$1+1,O228,P228,Q228)</f>
        <v>HTS-5 Porcentaje de personas con diagnóstico nuevo de VIH que han iniciado terapia antirretroviral</v>
      </c>
      <c r="C228" s="4">
        <f t="shared" si="8"/>
        <v>4</v>
      </c>
      <c r="D228" s="4" t="str">
        <f t="shared" si="9"/>
        <v>HTS-5 Porcentaje de personas con diagnóstico nuevo de VIH que han iniciado terapia antirretroviral-4</v>
      </c>
      <c r="E228" s="4" t="str">
        <f>CHOOSE(Translations!$C$1+1,I228,J228,K228)</f>
        <v>Género</v>
      </c>
      <c r="F228" s="4" t="str">
        <f>CHOOSE(Translations!$C$1+1,L228,M228,N228)</f>
        <v>Transgénero</v>
      </c>
      <c r="G228" s="4" t="s">
        <v>6441</v>
      </c>
      <c r="H228" s="6" t="s">
        <v>6442</v>
      </c>
      <c r="I228" s="6" t="s">
        <v>800</v>
      </c>
      <c r="J228" s="6" t="s">
        <v>801</v>
      </c>
      <c r="K228" s="6" t="s">
        <v>802</v>
      </c>
      <c r="L228" s="6" t="s">
        <v>5888</v>
      </c>
      <c r="M228" s="6" t="s">
        <v>5889</v>
      </c>
      <c r="N228" s="6" t="s">
        <v>5890</v>
      </c>
      <c r="O228" s="6" t="s">
        <v>1163</v>
      </c>
      <c r="P228" s="6" t="s">
        <v>1164</v>
      </c>
      <c r="Q228" s="6" t="s">
        <v>1165</v>
      </c>
    </row>
    <row r="229" spans="1:17">
      <c r="A229" s="4" t="s">
        <v>1161</v>
      </c>
      <c r="B229" s="4" t="str">
        <f>CHOOSE(Translations!$C$1+1,O229,P229,Q229)</f>
        <v>HTS-5 Porcentaje de personas con diagnóstico nuevo de VIH que han iniciado terapia antirretroviral</v>
      </c>
      <c r="C229" s="4">
        <f t="shared" si="8"/>
        <v>5</v>
      </c>
      <c r="D229" s="4" t="str">
        <f t="shared" si="9"/>
        <v>HTS-5 Porcentaje de personas con diagnóstico nuevo de VIH que han iniciado terapia antirretroviral-5</v>
      </c>
      <c r="E229" s="4" t="str">
        <f>CHOOSE(Translations!$C$1+1,I229,J229,K229)</f>
        <v>Género</v>
      </c>
      <c r="F229" s="4" t="str">
        <f>CHOOSE(Translations!$C$1+1,L229,M229,N229)</f>
        <v>Mujeres</v>
      </c>
      <c r="G229" s="4" t="s">
        <v>6443</v>
      </c>
      <c r="H229" s="6" t="s">
        <v>6444</v>
      </c>
      <c r="I229" s="6" t="s">
        <v>800</v>
      </c>
      <c r="J229" s="6" t="s">
        <v>801</v>
      </c>
      <c r="K229" s="6" t="s">
        <v>802</v>
      </c>
      <c r="L229" s="6" t="s">
        <v>5826</v>
      </c>
      <c r="M229" s="6" t="s">
        <v>5827</v>
      </c>
      <c r="N229" s="6" t="s">
        <v>5828</v>
      </c>
      <c r="O229" s="6" t="s">
        <v>1163</v>
      </c>
      <c r="P229" s="6" t="s">
        <v>1164</v>
      </c>
      <c r="Q229" s="6" t="s">
        <v>1165</v>
      </c>
    </row>
    <row r="230" spans="1:17">
      <c r="A230" s="4" t="s">
        <v>1161</v>
      </c>
      <c r="B230" s="4" t="str">
        <f>CHOOSE(Translations!$C$1+1,O230,P230,Q230)</f>
        <v>HTS-5 Porcentaje de personas con diagnóstico nuevo de VIH que han iniciado terapia antirretroviral</v>
      </c>
      <c r="C230" s="4">
        <f t="shared" si="8"/>
        <v>6</v>
      </c>
      <c r="D230" s="4" t="str">
        <f t="shared" si="9"/>
        <v>HTS-5 Porcentaje de personas con diagnóstico nuevo de VIH que han iniciado terapia antirretroviral-6</v>
      </c>
      <c r="E230" s="4" t="str">
        <f>CHOOSE(Translations!$C$1+1,I230,J230,K230)</f>
        <v>Género</v>
      </c>
      <c r="F230" s="4" t="str">
        <f>CHOOSE(Translations!$C$1+1,L230,M230,N230)</f>
        <v>Hombres</v>
      </c>
      <c r="G230" s="4" t="s">
        <v>6445</v>
      </c>
      <c r="H230" s="6" t="s">
        <v>6446</v>
      </c>
      <c r="I230" s="6" t="s">
        <v>800</v>
      </c>
      <c r="J230" s="6" t="s">
        <v>801</v>
      </c>
      <c r="K230" s="6" t="s">
        <v>802</v>
      </c>
      <c r="L230" s="6" t="s">
        <v>5831</v>
      </c>
      <c r="M230" s="6" t="s">
        <v>5832</v>
      </c>
      <c r="N230" s="6" t="s">
        <v>5833</v>
      </c>
      <c r="O230" s="6" t="s">
        <v>1163</v>
      </c>
      <c r="P230" s="6" t="s">
        <v>1164</v>
      </c>
      <c r="Q230" s="6" t="s">
        <v>1165</v>
      </c>
    </row>
    <row r="231" spans="1:17">
      <c r="A231" s="4" t="s">
        <v>1170</v>
      </c>
      <c r="B231" s="4" t="str">
        <f>CHOOSE(Translations!$C$1+1,O231,P231,Q231)</f>
        <v>TCS-1.1⁽ᴹ⁾ Porcentaje de personas en TARV entre todas las personas viviendo con VIH al final del período de reporte</v>
      </c>
      <c r="C231" s="4">
        <f t="shared" si="8"/>
        <v>0</v>
      </c>
      <c r="D231" s="4" t="str">
        <f t="shared" si="9"/>
        <v>TCS-1.1⁽ᴹ⁾ Porcentaje de personas en TARV entre todas las personas viviendo con VIH al final del período de reporte-0</v>
      </c>
      <c r="E231" s="4" t="str">
        <f>CHOOSE(Translations!$C$1+1,I231,J231,K231)</f>
        <v>Grupo de riesgo objetivo</v>
      </c>
      <c r="F231" s="4" t="str">
        <f>CHOOSE(Translations!$C$1+1,L231,M231,N231)</f>
        <v>Reclusos</v>
      </c>
      <c r="G231" s="4" t="s">
        <v>6447</v>
      </c>
      <c r="H231" s="6" t="s">
        <v>6448</v>
      </c>
      <c r="I231" s="6" t="s">
        <v>1229</v>
      </c>
      <c r="J231" s="6" t="s">
        <v>1230</v>
      </c>
      <c r="K231" s="6" t="s">
        <v>1231</v>
      </c>
      <c r="L231" s="6" t="s">
        <v>6130</v>
      </c>
      <c r="M231" s="6" t="s">
        <v>6131</v>
      </c>
      <c r="N231" s="6" t="s">
        <v>6132</v>
      </c>
      <c r="O231" s="6" t="s">
        <v>1172</v>
      </c>
      <c r="P231" s="6" t="s">
        <v>1173</v>
      </c>
      <c r="Q231" s="6" t="s">
        <v>1174</v>
      </c>
    </row>
    <row r="232" spans="1:17">
      <c r="A232" s="4" t="s">
        <v>1170</v>
      </c>
      <c r="B232" s="4" t="str">
        <f>CHOOSE(Translations!$C$1+1,O232,P232,Q232)</f>
        <v>TCS-1.1⁽ᴹ⁾ Porcentaje de personas en TARV entre todas las personas viviendo con VIH al final del período de reporte</v>
      </c>
      <c r="C232" s="4">
        <f t="shared" si="8"/>
        <v>1</v>
      </c>
      <c r="D232" s="4" t="str">
        <f t="shared" si="9"/>
        <v>TCS-1.1⁽ᴹ⁾ Porcentaje de personas en TARV entre todas las personas viviendo con VIH al final del período de reporte-1</v>
      </c>
      <c r="E232" s="4" t="str">
        <f>CHOOSE(Translations!$C$1+1,I232,J232,K232)</f>
        <v>Grupo de riesgo objetivo</v>
      </c>
      <c r="F232" s="4" t="str">
        <f>CHOOSE(Translations!$C$1+1,L232,M232,N232)</f>
        <v>PWID</v>
      </c>
      <c r="G232" s="4" t="s">
        <v>6449</v>
      </c>
      <c r="H232" s="6" t="s">
        <v>6450</v>
      </c>
      <c r="I232" s="6" t="s">
        <v>1229</v>
      </c>
      <c r="J232" s="6" t="s">
        <v>1230</v>
      </c>
      <c r="K232" s="6" t="s">
        <v>1231</v>
      </c>
      <c r="L232" s="6" t="s">
        <v>6135</v>
      </c>
      <c r="M232" s="6" t="s">
        <v>6136</v>
      </c>
      <c r="N232" s="6" t="s">
        <v>6137</v>
      </c>
      <c r="O232" s="6" t="s">
        <v>1172</v>
      </c>
      <c r="P232" s="6" t="s">
        <v>1173</v>
      </c>
      <c r="Q232" s="6" t="s">
        <v>1174</v>
      </c>
    </row>
    <row r="233" spans="1:17">
      <c r="A233" s="4" t="s">
        <v>1170</v>
      </c>
      <c r="B233" s="4" t="str">
        <f>CHOOSE(Translations!$C$1+1,O233,P233,Q233)</f>
        <v>TCS-1.1⁽ᴹ⁾ Porcentaje de personas en TARV entre todas las personas viviendo con VIH al final del período de reporte</v>
      </c>
      <c r="C233" s="4">
        <f t="shared" si="8"/>
        <v>2</v>
      </c>
      <c r="D233" s="4" t="str">
        <f t="shared" si="9"/>
        <v>TCS-1.1⁽ᴹ⁾ Porcentaje de personas en TARV entre todas las personas viviendo con VIH al final del período de reporte-2</v>
      </c>
      <c r="E233" s="4" t="str">
        <f>CHOOSE(Translations!$C$1+1,I233,J233,K233)</f>
        <v>Grupo de riesgo objetivo</v>
      </c>
      <c r="F233" s="4" t="str">
        <f>CHOOSE(Translations!$C$1+1,L233,M233,N233)</f>
        <v>Trabajadores sexuales</v>
      </c>
      <c r="G233" s="4" t="s">
        <v>6451</v>
      </c>
      <c r="H233" s="6" t="s">
        <v>6452</v>
      </c>
      <c r="I233" s="6" t="s">
        <v>1229</v>
      </c>
      <c r="J233" s="6" t="s">
        <v>1230</v>
      </c>
      <c r="K233" s="6" t="s">
        <v>1231</v>
      </c>
      <c r="L233" s="6" t="s">
        <v>6140</v>
      </c>
      <c r="M233" s="6" t="s">
        <v>6141</v>
      </c>
      <c r="N233" s="6" t="s">
        <v>6142</v>
      </c>
      <c r="O233" s="6" t="s">
        <v>1172</v>
      </c>
      <c r="P233" s="6" t="s">
        <v>1173</v>
      </c>
      <c r="Q233" s="6" t="s">
        <v>1174</v>
      </c>
    </row>
    <row r="234" spans="1:17">
      <c r="A234" s="4" t="s">
        <v>1170</v>
      </c>
      <c r="B234" s="4" t="str">
        <f>CHOOSE(Translations!$C$1+1,O234,P234,Q234)</f>
        <v>TCS-1.1⁽ᴹ⁾ Porcentaje de personas en TARV entre todas las personas viviendo con VIH al final del período de reporte</v>
      </c>
      <c r="C234" s="4">
        <f t="shared" si="8"/>
        <v>3</v>
      </c>
      <c r="D234" s="4" t="str">
        <f t="shared" si="9"/>
        <v>TCS-1.1⁽ᴹ⁾ Porcentaje de personas en TARV entre todas las personas viviendo con VIH al final del período de reporte-3</v>
      </c>
      <c r="E234" s="4" t="str">
        <f>CHOOSE(Translations!$C$1+1,I234,J234,K234)</f>
        <v>Grupo de riesgo objetivo</v>
      </c>
      <c r="F234" s="4" t="str">
        <f>CHOOSE(Translations!$C$1+1,L234,M234,N234)</f>
        <v>HSH</v>
      </c>
      <c r="G234" s="4" t="s">
        <v>6453</v>
      </c>
      <c r="H234" s="6" t="s">
        <v>6454</v>
      </c>
      <c r="I234" s="6" t="s">
        <v>1229</v>
      </c>
      <c r="J234" s="6" t="s">
        <v>1230</v>
      </c>
      <c r="K234" s="6" t="s">
        <v>1231</v>
      </c>
      <c r="L234" s="6" t="s">
        <v>6145</v>
      </c>
      <c r="M234" s="6" t="s">
        <v>505</v>
      </c>
      <c r="N234" s="6" t="s">
        <v>505</v>
      </c>
      <c r="O234" s="6" t="s">
        <v>1172</v>
      </c>
      <c r="P234" s="6" t="s">
        <v>1173</v>
      </c>
      <c r="Q234" s="6" t="s">
        <v>1174</v>
      </c>
    </row>
    <row r="235" spans="1:17">
      <c r="A235" s="4" t="s">
        <v>1170</v>
      </c>
      <c r="B235" s="4" t="str">
        <f>CHOOSE(Translations!$C$1+1,O235,P235,Q235)</f>
        <v>TCS-1.1⁽ᴹ⁾ Porcentaje de personas en TARV entre todas las personas viviendo con VIH al final del período de reporte</v>
      </c>
      <c r="C235" s="4">
        <f t="shared" si="8"/>
        <v>4</v>
      </c>
      <c r="D235" s="4" t="str">
        <f t="shared" si="9"/>
        <v>TCS-1.1⁽ᴹ⁾ Porcentaje de personas en TARV entre todas las personas viviendo con VIH al final del período de reporte-4</v>
      </c>
      <c r="E235" s="4" t="str">
        <f>CHOOSE(Translations!$C$1+1,I235,J235,K235)</f>
        <v>Duración del tratamiento</v>
      </c>
      <c r="F235" s="4" t="str">
        <f>CHOOSE(Translations!$C$1+1,L235,M235,N235)</f>
        <v>Iniciaron TARV recientemente</v>
      </c>
      <c r="G235" s="4" t="s">
        <v>6455</v>
      </c>
      <c r="H235" s="6" t="s">
        <v>6456</v>
      </c>
      <c r="I235" s="6" t="s">
        <v>6457</v>
      </c>
      <c r="J235" s="6" t="s">
        <v>6458</v>
      </c>
      <c r="K235" s="6" t="s">
        <v>6459</v>
      </c>
      <c r="L235" s="6" t="s">
        <v>6460</v>
      </c>
      <c r="M235" s="6" t="s">
        <v>6461</v>
      </c>
      <c r="N235" s="6" t="s">
        <v>6462</v>
      </c>
      <c r="O235" s="6" t="s">
        <v>1172</v>
      </c>
      <c r="P235" s="6" t="s">
        <v>1173</v>
      </c>
      <c r="Q235" s="6" t="s">
        <v>1174</v>
      </c>
    </row>
    <row r="236" spans="1:17">
      <c r="A236" s="4" t="s">
        <v>1170</v>
      </c>
      <c r="B236" s="4" t="str">
        <f>CHOOSE(Translations!$C$1+1,O236,P236,Q236)</f>
        <v>TCS-1.1⁽ᴹ⁾ Porcentaje de personas en TARV entre todas las personas viviendo con VIH al final del período de reporte</v>
      </c>
      <c r="C236" s="4">
        <f t="shared" si="8"/>
        <v>5</v>
      </c>
      <c r="D236" s="4" t="str">
        <f t="shared" si="9"/>
        <v>TCS-1.1⁽ᴹ⁾ Porcentaje de personas en TARV entre todas las personas viviendo con VIH al final del período de reporte-5</v>
      </c>
      <c r="E236" s="4" t="str">
        <f>CHOOSE(Translations!$C$1+1,I236,J236,K236)</f>
        <v>Género | Edad</v>
      </c>
      <c r="F236" s="4" t="str">
        <f>CHOOSE(Translations!$C$1+1,L236,M236,N236)</f>
        <v>Mujeres 15-24</v>
      </c>
      <c r="G236" s="4" t="s">
        <v>6463</v>
      </c>
      <c r="H236" s="6" t="s">
        <v>6464</v>
      </c>
      <c r="I236" s="6" t="s">
        <v>5803</v>
      </c>
      <c r="J236" s="6" t="s">
        <v>5804</v>
      </c>
      <c r="K236" s="6" t="s">
        <v>5805</v>
      </c>
      <c r="L236" s="6" t="s">
        <v>6465</v>
      </c>
      <c r="M236" s="6" t="s">
        <v>6466</v>
      </c>
      <c r="N236" s="6" t="s">
        <v>6467</v>
      </c>
      <c r="O236" s="6" t="s">
        <v>1172</v>
      </c>
      <c r="P236" s="6" t="s">
        <v>1173</v>
      </c>
      <c r="Q236" s="6" t="s">
        <v>1174</v>
      </c>
    </row>
    <row r="237" spans="1:17">
      <c r="A237" s="4" t="s">
        <v>1170</v>
      </c>
      <c r="B237" s="4" t="str">
        <f>CHOOSE(Translations!$C$1+1,O237,P237,Q237)</f>
        <v>TCS-1.1⁽ᴹ⁾ Porcentaje de personas en TARV entre todas las personas viviendo con VIH al final del período de reporte</v>
      </c>
      <c r="C237" s="4">
        <f t="shared" si="8"/>
        <v>6</v>
      </c>
      <c r="D237" s="4" t="str">
        <f t="shared" si="9"/>
        <v>TCS-1.1⁽ᴹ⁾ Porcentaje de personas en TARV entre todas las personas viviendo con VIH al final del período de reporte-6</v>
      </c>
      <c r="E237" s="4" t="str">
        <f>CHOOSE(Translations!$C$1+1,I237,J237,K237)</f>
        <v>Género | Edad</v>
      </c>
      <c r="F237" s="4" t="str">
        <f>CHOOSE(Translations!$C$1+1,L237,M237,N237)</f>
        <v>Hombres 15-24</v>
      </c>
      <c r="G237" s="4" t="s">
        <v>6468</v>
      </c>
      <c r="H237" s="6" t="s">
        <v>6469</v>
      </c>
      <c r="I237" s="6" t="s">
        <v>5803</v>
      </c>
      <c r="J237" s="6" t="s">
        <v>5804</v>
      </c>
      <c r="K237" s="6" t="s">
        <v>5805</v>
      </c>
      <c r="L237" s="6" t="s">
        <v>6470</v>
      </c>
      <c r="M237" s="6" t="s">
        <v>6471</v>
      </c>
      <c r="N237" s="6" t="s">
        <v>6472</v>
      </c>
      <c r="O237" s="6" t="s">
        <v>1172</v>
      </c>
      <c r="P237" s="6" t="s">
        <v>1173</v>
      </c>
      <c r="Q237" s="6" t="s">
        <v>1174</v>
      </c>
    </row>
    <row r="238" spans="1:17">
      <c r="A238" s="4" t="s">
        <v>1170</v>
      </c>
      <c r="B238" s="4" t="str">
        <f>CHOOSE(Translations!$C$1+1,O238,P238,Q238)</f>
        <v>TCS-1.1⁽ᴹ⁾ Porcentaje de personas en TARV entre todas las personas viviendo con VIH al final del período de reporte</v>
      </c>
      <c r="C238" s="4">
        <f t="shared" si="8"/>
        <v>7</v>
      </c>
      <c r="D238" s="4" t="str">
        <f t="shared" si="9"/>
        <v>TCS-1.1⁽ᴹ⁾ Porcentaje de personas en TARV entre todas las personas viviendo con VIH al final del período de reporte-7</v>
      </c>
      <c r="E238" s="4" t="str">
        <f>CHOOSE(Translations!$C$1+1,I238,J238,K238)</f>
        <v>Género | Edad</v>
      </c>
      <c r="F238" s="4" t="str">
        <f>CHOOSE(Translations!$C$1+1,L238,M238,N238)</f>
        <v>Mujeres 20-24</v>
      </c>
      <c r="G238" s="4" t="s">
        <v>6473</v>
      </c>
      <c r="H238" s="6" t="s">
        <v>6474</v>
      </c>
      <c r="I238" s="6" t="s">
        <v>5803</v>
      </c>
      <c r="J238" s="6" t="s">
        <v>5804</v>
      </c>
      <c r="K238" s="6" t="s">
        <v>5805</v>
      </c>
      <c r="L238" s="6" t="s">
        <v>5806</v>
      </c>
      <c r="M238" s="6" t="s">
        <v>5807</v>
      </c>
      <c r="N238" s="6" t="s">
        <v>5808</v>
      </c>
      <c r="O238" s="6" t="s">
        <v>1172</v>
      </c>
      <c r="P238" s="6" t="s">
        <v>1173</v>
      </c>
      <c r="Q238" s="6" t="s">
        <v>1174</v>
      </c>
    </row>
    <row r="239" spans="1:17">
      <c r="A239" s="4" t="s">
        <v>1170</v>
      </c>
      <c r="B239" s="4" t="str">
        <f>CHOOSE(Translations!$C$1+1,O239,P239,Q239)</f>
        <v>TCS-1.1⁽ᴹ⁾ Porcentaje de personas en TARV entre todas las personas viviendo con VIH al final del período de reporte</v>
      </c>
      <c r="C239" s="4">
        <f t="shared" si="8"/>
        <v>8</v>
      </c>
      <c r="D239" s="4" t="str">
        <f t="shared" si="9"/>
        <v>TCS-1.1⁽ᴹ⁾ Porcentaje de personas en TARV entre todas las personas viviendo con VIH al final del período de reporte-8</v>
      </c>
      <c r="E239" s="4" t="str">
        <f>CHOOSE(Translations!$C$1+1,I239,J239,K239)</f>
        <v>Género | Edad</v>
      </c>
      <c r="F239" s="4" t="str">
        <f>CHOOSE(Translations!$C$1+1,L239,M239,N239)</f>
        <v>Hombres 20-24</v>
      </c>
      <c r="G239" s="4" t="s">
        <v>6475</v>
      </c>
      <c r="H239" s="6" t="s">
        <v>6476</v>
      </c>
      <c r="I239" s="6" t="s">
        <v>5803</v>
      </c>
      <c r="J239" s="6" t="s">
        <v>5804</v>
      </c>
      <c r="K239" s="6" t="s">
        <v>5805</v>
      </c>
      <c r="L239" s="6" t="s">
        <v>5811</v>
      </c>
      <c r="M239" s="6" t="s">
        <v>5812</v>
      </c>
      <c r="N239" s="6" t="s">
        <v>5813</v>
      </c>
      <c r="O239" s="6" t="s">
        <v>1172</v>
      </c>
      <c r="P239" s="6" t="s">
        <v>1173</v>
      </c>
      <c r="Q239" s="6" t="s">
        <v>1174</v>
      </c>
    </row>
    <row r="240" spans="1:17">
      <c r="A240" s="4" t="s">
        <v>1170</v>
      </c>
      <c r="B240" s="4" t="str">
        <f>CHOOSE(Translations!$C$1+1,O240,P240,Q240)</f>
        <v>TCS-1.1⁽ᴹ⁾ Porcentaje de personas en TARV entre todas las personas viviendo con VIH al final del período de reporte</v>
      </c>
      <c r="C240" s="4">
        <f t="shared" si="8"/>
        <v>9</v>
      </c>
      <c r="D240" s="4" t="str">
        <f t="shared" si="9"/>
        <v>TCS-1.1⁽ᴹ⁾ Porcentaje de personas en TARV entre todas las personas viviendo con VIH al final del período de reporte-9</v>
      </c>
      <c r="E240" s="4" t="str">
        <f>CHOOSE(Translations!$C$1+1,I240,J240,K240)</f>
        <v>Género | Edad</v>
      </c>
      <c r="F240" s="4" t="str">
        <f>CHOOSE(Translations!$C$1+1,L240,M240,N240)</f>
        <v>Mujeres 15-19</v>
      </c>
      <c r="G240" s="4" t="s">
        <v>6477</v>
      </c>
      <c r="H240" s="6" t="s">
        <v>6478</v>
      </c>
      <c r="I240" s="6" t="s">
        <v>5803</v>
      </c>
      <c r="J240" s="6" t="s">
        <v>5804</v>
      </c>
      <c r="K240" s="6" t="s">
        <v>5805</v>
      </c>
      <c r="L240" s="6" t="s">
        <v>5816</v>
      </c>
      <c r="M240" s="6" t="s">
        <v>5817</v>
      </c>
      <c r="N240" s="6" t="s">
        <v>5818</v>
      </c>
      <c r="O240" s="6" t="s">
        <v>1172</v>
      </c>
      <c r="P240" s="6" t="s">
        <v>1173</v>
      </c>
      <c r="Q240" s="6" t="s">
        <v>1174</v>
      </c>
    </row>
    <row r="241" spans="1:17">
      <c r="A241" s="4" t="s">
        <v>1170</v>
      </c>
      <c r="B241" s="4" t="str">
        <f>CHOOSE(Translations!$C$1+1,O241,P241,Q241)</f>
        <v>TCS-1.1⁽ᴹ⁾ Porcentaje de personas en TARV entre todas las personas viviendo con VIH al final del período de reporte</v>
      </c>
      <c r="C241" s="4">
        <f t="shared" si="8"/>
        <v>10</v>
      </c>
      <c r="D241" s="4" t="str">
        <f t="shared" si="9"/>
        <v>TCS-1.1⁽ᴹ⁾ Porcentaje de personas en TARV entre todas las personas viviendo con VIH al final del período de reporte-10</v>
      </c>
      <c r="E241" s="4" t="str">
        <f>CHOOSE(Translations!$C$1+1,I241,J241,K241)</f>
        <v>Género | Edad</v>
      </c>
      <c r="F241" s="4" t="str">
        <f>CHOOSE(Translations!$C$1+1,L241,M241,N241)</f>
        <v>Hombres 15-19</v>
      </c>
      <c r="G241" s="4" t="s">
        <v>6479</v>
      </c>
      <c r="H241" s="6" t="s">
        <v>6480</v>
      </c>
      <c r="I241" s="6" t="s">
        <v>5803</v>
      </c>
      <c r="J241" s="6" t="s">
        <v>5804</v>
      </c>
      <c r="K241" s="6" t="s">
        <v>5805</v>
      </c>
      <c r="L241" s="6" t="s">
        <v>5821</v>
      </c>
      <c r="M241" s="6" t="s">
        <v>5822</v>
      </c>
      <c r="N241" s="6" t="s">
        <v>5823</v>
      </c>
      <c r="O241" s="6" t="s">
        <v>1172</v>
      </c>
      <c r="P241" s="6" t="s">
        <v>1173</v>
      </c>
      <c r="Q241" s="6" t="s">
        <v>1174</v>
      </c>
    </row>
    <row r="242" spans="1:17">
      <c r="A242" s="4" t="s">
        <v>1170</v>
      </c>
      <c r="B242" s="4" t="str">
        <f>CHOOSE(Translations!$C$1+1,O242,P242,Q242)</f>
        <v>TCS-1.1⁽ᴹ⁾ Porcentaje de personas en TARV entre todas las personas viviendo con VIH al final del período de reporte</v>
      </c>
      <c r="C242" s="4">
        <f t="shared" si="8"/>
        <v>11</v>
      </c>
      <c r="D242" s="4" t="str">
        <f t="shared" si="9"/>
        <v>TCS-1.1⁽ᴹ⁾ Porcentaje de personas en TARV entre todas las personas viviendo con VIH al final del período de reporte-11</v>
      </c>
      <c r="E242" s="4" t="str">
        <f>CHOOSE(Translations!$C$1+1,I242,J242,K242)</f>
        <v>Género | Edad</v>
      </c>
      <c r="F242" s="4" t="str">
        <f>CHOOSE(Translations!$C$1+1,L242,M242,N242)</f>
        <v>Mujeres 15+</v>
      </c>
      <c r="G242" s="4" t="s">
        <v>6481</v>
      </c>
      <c r="H242" s="6" t="s">
        <v>6482</v>
      </c>
      <c r="I242" s="6" t="s">
        <v>5803</v>
      </c>
      <c r="J242" s="6" t="s">
        <v>5804</v>
      </c>
      <c r="K242" s="6" t="s">
        <v>5805</v>
      </c>
      <c r="L242" s="6" t="s">
        <v>6483</v>
      </c>
      <c r="M242" s="6" t="s">
        <v>6484</v>
      </c>
      <c r="N242" s="6" t="s">
        <v>6485</v>
      </c>
      <c r="O242" s="6" t="s">
        <v>1172</v>
      </c>
      <c r="P242" s="6" t="s">
        <v>1173</v>
      </c>
      <c r="Q242" s="6" t="s">
        <v>1174</v>
      </c>
    </row>
    <row r="243" spans="1:17">
      <c r="A243" s="4" t="s">
        <v>1170</v>
      </c>
      <c r="B243" s="4" t="str">
        <f>CHOOSE(Translations!$C$1+1,O243,P243,Q243)</f>
        <v>TCS-1.1⁽ᴹ⁾ Porcentaje de personas en TARV entre todas las personas viviendo con VIH al final del período de reporte</v>
      </c>
      <c r="C243" s="4">
        <f t="shared" si="8"/>
        <v>12</v>
      </c>
      <c r="D243" s="4" t="str">
        <f t="shared" si="9"/>
        <v>TCS-1.1⁽ᴹ⁾ Porcentaje de personas en TARV entre todas las personas viviendo con VIH al final del período de reporte-12</v>
      </c>
      <c r="E243" s="4" t="str">
        <f>CHOOSE(Translations!$C$1+1,I243,J243,K243)</f>
        <v>Género | Edad</v>
      </c>
      <c r="F243" s="4" t="str">
        <f>CHOOSE(Translations!$C$1+1,L243,M243,N243)</f>
        <v>Hombres 15+</v>
      </c>
      <c r="G243" s="4" t="s">
        <v>6486</v>
      </c>
      <c r="H243" s="6" t="s">
        <v>6487</v>
      </c>
      <c r="I243" s="6" t="s">
        <v>5803</v>
      </c>
      <c r="J243" s="6" t="s">
        <v>5804</v>
      </c>
      <c r="K243" s="6" t="s">
        <v>5805</v>
      </c>
      <c r="L243" s="6" t="s">
        <v>6488</v>
      </c>
      <c r="M243" s="6" t="s">
        <v>6489</v>
      </c>
      <c r="N243" s="6" t="s">
        <v>6490</v>
      </c>
      <c r="O243" s="6" t="s">
        <v>1172</v>
      </c>
      <c r="P243" s="6" t="s">
        <v>1173</v>
      </c>
      <c r="Q243" s="6" t="s">
        <v>1174</v>
      </c>
    </row>
    <row r="244" spans="1:17">
      <c r="A244" s="4" t="s">
        <v>1170</v>
      </c>
      <c r="B244" s="4" t="str">
        <f>CHOOSE(Translations!$C$1+1,O244,P244,Q244)</f>
        <v>TCS-1.1⁽ᴹ⁾ Porcentaje de personas en TARV entre todas las personas viviendo con VIH al final del período de reporte</v>
      </c>
      <c r="C244" s="4">
        <f t="shared" si="8"/>
        <v>13</v>
      </c>
      <c r="D244" s="4" t="str">
        <f t="shared" si="9"/>
        <v>TCS-1.1⁽ᴹ⁾ Porcentaje de personas en TARV entre todas las personas viviendo con VIH al final del período de reporte-13</v>
      </c>
      <c r="E244" s="4" t="str">
        <f>CHOOSE(Translations!$C$1+1,I244,J244,K244)</f>
        <v>Género</v>
      </c>
      <c r="F244" s="4" t="str">
        <f>CHOOSE(Translations!$C$1+1,L244,M244,N244)</f>
        <v>Transgénero</v>
      </c>
      <c r="G244" s="4" t="s">
        <v>6491</v>
      </c>
      <c r="H244" s="6" t="s">
        <v>6492</v>
      </c>
      <c r="I244" s="6" t="s">
        <v>800</v>
      </c>
      <c r="J244" s="6" t="s">
        <v>801</v>
      </c>
      <c r="K244" s="6" t="s">
        <v>802</v>
      </c>
      <c r="L244" s="6" t="s">
        <v>5888</v>
      </c>
      <c r="M244" s="6" t="s">
        <v>5889</v>
      </c>
      <c r="N244" s="6" t="s">
        <v>5890</v>
      </c>
      <c r="O244" s="6" t="s">
        <v>1172</v>
      </c>
      <c r="P244" s="6" t="s">
        <v>1173</v>
      </c>
      <c r="Q244" s="6" t="s">
        <v>1174</v>
      </c>
    </row>
    <row r="245" spans="1:17">
      <c r="A245" s="4" t="s">
        <v>1170</v>
      </c>
      <c r="B245" s="4" t="str">
        <f>CHOOSE(Translations!$C$1+1,O245,P245,Q245)</f>
        <v>TCS-1.1⁽ᴹ⁾ Porcentaje de personas en TARV entre todas las personas viviendo con VIH al final del período de reporte</v>
      </c>
      <c r="C245" s="4">
        <f t="shared" si="8"/>
        <v>14</v>
      </c>
      <c r="D245" s="4" t="str">
        <f t="shared" si="9"/>
        <v>TCS-1.1⁽ᴹ⁾ Porcentaje de personas en TARV entre todas las personas viviendo con VIH al final del período de reporte-14</v>
      </c>
      <c r="E245" s="4" t="str">
        <f>CHOOSE(Translations!$C$1+1,I245,J245,K245)</f>
        <v>Género</v>
      </c>
      <c r="F245" s="4" t="str">
        <f>CHOOSE(Translations!$C$1+1,L245,M245,N245)</f>
        <v>Mujeres</v>
      </c>
      <c r="G245" s="4" t="s">
        <v>6493</v>
      </c>
      <c r="H245" s="6" t="s">
        <v>6494</v>
      </c>
      <c r="I245" s="6" t="s">
        <v>800</v>
      </c>
      <c r="J245" s="6" t="s">
        <v>801</v>
      </c>
      <c r="K245" s="6" t="s">
        <v>802</v>
      </c>
      <c r="L245" s="6" t="s">
        <v>5826</v>
      </c>
      <c r="M245" s="6" t="s">
        <v>5827</v>
      </c>
      <c r="N245" s="6" t="s">
        <v>5828</v>
      </c>
      <c r="O245" s="6" t="s">
        <v>1172</v>
      </c>
      <c r="P245" s="6" t="s">
        <v>1173</v>
      </c>
      <c r="Q245" s="6" t="s">
        <v>1174</v>
      </c>
    </row>
    <row r="246" spans="1:17">
      <c r="A246" s="4" t="s">
        <v>1170</v>
      </c>
      <c r="B246" s="4" t="str">
        <f>CHOOSE(Translations!$C$1+1,O246,P246,Q246)</f>
        <v>TCS-1.1⁽ᴹ⁾ Porcentaje de personas en TARV entre todas las personas viviendo con VIH al final del período de reporte</v>
      </c>
      <c r="C246" s="4">
        <f t="shared" si="8"/>
        <v>15</v>
      </c>
      <c r="D246" s="4" t="str">
        <f t="shared" si="9"/>
        <v>TCS-1.1⁽ᴹ⁾ Porcentaje de personas en TARV entre todas las personas viviendo con VIH al final del período de reporte-15</v>
      </c>
      <c r="E246" s="4" t="str">
        <f>CHOOSE(Translations!$C$1+1,I246,J246,K246)</f>
        <v>Género</v>
      </c>
      <c r="F246" s="4" t="str">
        <f>CHOOSE(Translations!$C$1+1,L246,M246,N246)</f>
        <v>Hombres</v>
      </c>
      <c r="G246" s="4" t="s">
        <v>6495</v>
      </c>
      <c r="H246" s="6" t="s">
        <v>6496</v>
      </c>
      <c r="I246" s="6" t="s">
        <v>800</v>
      </c>
      <c r="J246" s="6" t="s">
        <v>801</v>
      </c>
      <c r="K246" s="6" t="s">
        <v>802</v>
      </c>
      <c r="L246" s="6" t="s">
        <v>5831</v>
      </c>
      <c r="M246" s="6" t="s">
        <v>5832</v>
      </c>
      <c r="N246" s="6" t="s">
        <v>5833</v>
      </c>
      <c r="O246" s="6" t="s">
        <v>1172</v>
      </c>
      <c r="P246" s="6" t="s">
        <v>1173</v>
      </c>
      <c r="Q246" s="6" t="s">
        <v>1174</v>
      </c>
    </row>
    <row r="247" spans="1:17">
      <c r="A247" s="4" t="s">
        <v>1170</v>
      </c>
      <c r="B247" s="4" t="str">
        <f>CHOOSE(Translations!$C$1+1,O247,P247,Q247)</f>
        <v>TCS-1.1⁽ᴹ⁾ Porcentaje de personas en TARV entre todas las personas viviendo con VIH al final del período de reporte</v>
      </c>
      <c r="C247" s="4">
        <f t="shared" si="8"/>
        <v>16</v>
      </c>
      <c r="D247" s="4" t="str">
        <f t="shared" si="9"/>
        <v>TCS-1.1⁽ᴹ⁾ Porcentaje de personas en TARV entre todas las personas viviendo con VIH al final del período de reporte-16</v>
      </c>
      <c r="E247" s="4" t="str">
        <f>CHOOSE(Translations!$C$1+1,I247,J247,K247)</f>
        <v>Edad</v>
      </c>
      <c r="F247" s="4" t="str">
        <f>CHOOSE(Translations!$C$1+1,L247,M247,N247)</f>
        <v>15+</v>
      </c>
      <c r="G247" s="4" t="s">
        <v>6497</v>
      </c>
      <c r="H247" s="6" t="s">
        <v>6498</v>
      </c>
      <c r="I247" s="6" t="s">
        <v>697</v>
      </c>
      <c r="J247" s="6" t="s">
        <v>697</v>
      </c>
      <c r="K247" s="6" t="s">
        <v>698</v>
      </c>
      <c r="L247" s="6" t="s">
        <v>5836</v>
      </c>
      <c r="M247" s="6" t="s">
        <v>5836</v>
      </c>
      <c r="N247" s="6" t="s">
        <v>5836</v>
      </c>
      <c r="O247" s="6" t="s">
        <v>1172</v>
      </c>
      <c r="P247" s="6" t="s">
        <v>1173</v>
      </c>
      <c r="Q247" s="6" t="s">
        <v>1174</v>
      </c>
    </row>
    <row r="248" spans="1:17">
      <c r="A248" s="4" t="s">
        <v>1170</v>
      </c>
      <c r="B248" s="4" t="str">
        <f>CHOOSE(Translations!$C$1+1,O248,P248,Q248)</f>
        <v>TCS-1.1⁽ᴹ⁾ Porcentaje de personas en TARV entre todas las personas viviendo con VIH al final del período de reporte</v>
      </c>
      <c r="C248" s="4">
        <f t="shared" si="8"/>
        <v>17</v>
      </c>
      <c r="D248" s="4" t="str">
        <f t="shared" si="9"/>
        <v>TCS-1.1⁽ᴹ⁾ Porcentaje de personas en TARV entre todas las personas viviendo con VIH al final del período de reporte-17</v>
      </c>
      <c r="E248" s="4" t="str">
        <f>CHOOSE(Translations!$C$1+1,I248,J248,K248)</f>
        <v>Edad</v>
      </c>
      <c r="F248" s="4" t="str">
        <f>CHOOSE(Translations!$C$1+1,L248,M248,N248)</f>
        <v>&lt;15</v>
      </c>
      <c r="G248" s="4" t="s">
        <v>6499</v>
      </c>
      <c r="H248" s="6" t="s">
        <v>6500</v>
      </c>
      <c r="I248" s="6" t="s">
        <v>697</v>
      </c>
      <c r="J248" s="6" t="s">
        <v>697</v>
      </c>
      <c r="K248" s="6" t="s">
        <v>698</v>
      </c>
      <c r="L248" s="6" t="s">
        <v>5839</v>
      </c>
      <c r="M248" s="6" t="s">
        <v>5839</v>
      </c>
      <c r="N248" s="6" t="s">
        <v>5839</v>
      </c>
      <c r="O248" s="6" t="s">
        <v>1172</v>
      </c>
      <c r="P248" s="6" t="s">
        <v>1173</v>
      </c>
      <c r="Q248" s="6" t="s">
        <v>1174</v>
      </c>
    </row>
    <row r="249" spans="1:17">
      <c r="A249" s="4" t="s">
        <v>1178</v>
      </c>
      <c r="B249" s="4" t="str">
        <f>CHOOSE(Translations!$C$1+1,O249,P249,Q249)</f>
        <v>TCS-1b⁽ᴹ⁾ Porcentaje de adultos (15 años o más) en TARV entre el total de adultos viviendo con VIH al final del período de reporte</v>
      </c>
      <c r="C249" s="4">
        <f t="shared" si="8"/>
        <v>0</v>
      </c>
      <c r="D249" s="4" t="str">
        <f t="shared" si="9"/>
        <v>TCS-1b⁽ᴹ⁾ Porcentaje de adultos (15 años o más) en TARV entre el total de adultos viviendo con VIH al final del período de reporte-0</v>
      </c>
      <c r="E249" s="4" t="str">
        <f>CHOOSE(Translations!$C$1+1,I249,J249,K249)</f>
        <v>Grupo de riesgo objetivo</v>
      </c>
      <c r="F249" s="4" t="str">
        <f>CHOOSE(Translations!$C$1+1,L249,M249,N249)</f>
        <v>Reclusos</v>
      </c>
      <c r="G249" s="4" t="s">
        <v>6501</v>
      </c>
      <c r="H249" s="6" t="s">
        <v>6502</v>
      </c>
      <c r="I249" s="6" t="s">
        <v>1229</v>
      </c>
      <c r="J249" s="6" t="s">
        <v>1230</v>
      </c>
      <c r="K249" s="6" t="s">
        <v>1231</v>
      </c>
      <c r="L249" s="6" t="s">
        <v>6130</v>
      </c>
      <c r="M249" s="6" t="s">
        <v>6131</v>
      </c>
      <c r="N249" s="6" t="s">
        <v>6132</v>
      </c>
      <c r="O249" s="6" t="s">
        <v>1180</v>
      </c>
      <c r="P249" s="6" t="s">
        <v>1181</v>
      </c>
      <c r="Q249" s="6" t="s">
        <v>1182</v>
      </c>
    </row>
    <row r="250" spans="1:17">
      <c r="A250" s="4" t="s">
        <v>1178</v>
      </c>
      <c r="B250" s="4" t="str">
        <f>CHOOSE(Translations!$C$1+1,O250,P250,Q250)</f>
        <v>TCS-1b⁽ᴹ⁾ Porcentaje de adultos (15 años o más) en TARV entre el total de adultos viviendo con VIH al final del período de reporte</v>
      </c>
      <c r="C250" s="4">
        <f t="shared" si="8"/>
        <v>1</v>
      </c>
      <c r="D250" s="4" t="str">
        <f t="shared" si="9"/>
        <v>TCS-1b⁽ᴹ⁾ Porcentaje de adultos (15 años o más) en TARV entre el total de adultos viviendo con VIH al final del período de reporte-1</v>
      </c>
      <c r="E250" s="4" t="str">
        <f>CHOOSE(Translations!$C$1+1,I250,J250,K250)</f>
        <v>Grupo de riesgo objetivo</v>
      </c>
      <c r="F250" s="4" t="str">
        <f>CHOOSE(Translations!$C$1+1,L250,M250,N250)</f>
        <v>PWID</v>
      </c>
      <c r="G250" s="4" t="s">
        <v>6503</v>
      </c>
      <c r="H250" s="6" t="s">
        <v>6504</v>
      </c>
      <c r="I250" s="6" t="s">
        <v>1229</v>
      </c>
      <c r="J250" s="6" t="s">
        <v>1230</v>
      </c>
      <c r="K250" s="6" t="s">
        <v>1231</v>
      </c>
      <c r="L250" s="6" t="s">
        <v>6135</v>
      </c>
      <c r="M250" s="6" t="s">
        <v>6136</v>
      </c>
      <c r="N250" s="6" t="s">
        <v>6137</v>
      </c>
      <c r="O250" s="6" t="s">
        <v>1180</v>
      </c>
      <c r="P250" s="6" t="s">
        <v>1181</v>
      </c>
      <c r="Q250" s="6" t="s">
        <v>1182</v>
      </c>
    </row>
    <row r="251" spans="1:17">
      <c r="A251" s="4" t="s">
        <v>1178</v>
      </c>
      <c r="B251" s="4" t="str">
        <f>CHOOSE(Translations!$C$1+1,O251,P251,Q251)</f>
        <v>TCS-1b⁽ᴹ⁾ Porcentaje de adultos (15 años o más) en TARV entre el total de adultos viviendo con VIH al final del período de reporte</v>
      </c>
      <c r="C251" s="4">
        <f t="shared" si="8"/>
        <v>2</v>
      </c>
      <c r="D251" s="4" t="str">
        <f t="shared" si="9"/>
        <v>TCS-1b⁽ᴹ⁾ Porcentaje de adultos (15 años o más) en TARV entre el total de adultos viviendo con VIH al final del período de reporte-2</v>
      </c>
      <c r="E251" s="4" t="str">
        <f>CHOOSE(Translations!$C$1+1,I251,J251,K251)</f>
        <v>Grupo de riesgo objetivo</v>
      </c>
      <c r="F251" s="4" t="str">
        <f>CHOOSE(Translations!$C$1+1,L251,M251,N251)</f>
        <v>Trabajadores sexuales</v>
      </c>
      <c r="G251" s="4" t="s">
        <v>6505</v>
      </c>
      <c r="H251" s="6" t="s">
        <v>6506</v>
      </c>
      <c r="I251" s="6" t="s">
        <v>1229</v>
      </c>
      <c r="J251" s="6" t="s">
        <v>1230</v>
      </c>
      <c r="K251" s="6" t="s">
        <v>1231</v>
      </c>
      <c r="L251" s="6" t="s">
        <v>6140</v>
      </c>
      <c r="M251" s="6" t="s">
        <v>6141</v>
      </c>
      <c r="N251" s="6" t="s">
        <v>6142</v>
      </c>
      <c r="O251" s="6" t="s">
        <v>1180</v>
      </c>
      <c r="P251" s="6" t="s">
        <v>1181</v>
      </c>
      <c r="Q251" s="6" t="s">
        <v>1182</v>
      </c>
    </row>
    <row r="252" spans="1:17">
      <c r="A252" s="4" t="s">
        <v>1178</v>
      </c>
      <c r="B252" s="4" t="str">
        <f>CHOOSE(Translations!$C$1+1,O252,P252,Q252)</f>
        <v>TCS-1b⁽ᴹ⁾ Porcentaje de adultos (15 años o más) en TARV entre el total de adultos viviendo con VIH al final del período de reporte</v>
      </c>
      <c r="C252" s="4">
        <f t="shared" si="8"/>
        <v>3</v>
      </c>
      <c r="D252" s="4" t="str">
        <f t="shared" si="9"/>
        <v>TCS-1b⁽ᴹ⁾ Porcentaje de adultos (15 años o más) en TARV entre el total de adultos viviendo con VIH al final del período de reporte-3</v>
      </c>
      <c r="E252" s="4" t="str">
        <f>CHOOSE(Translations!$C$1+1,I252,J252,K252)</f>
        <v>Grupo de riesgo objetivo</v>
      </c>
      <c r="F252" s="4" t="str">
        <f>CHOOSE(Translations!$C$1+1,L252,M252,N252)</f>
        <v>HSH</v>
      </c>
      <c r="G252" s="4" t="s">
        <v>6507</v>
      </c>
      <c r="H252" s="6" t="s">
        <v>6508</v>
      </c>
      <c r="I252" s="6" t="s">
        <v>1229</v>
      </c>
      <c r="J252" s="6" t="s">
        <v>1230</v>
      </c>
      <c r="K252" s="6" t="s">
        <v>1231</v>
      </c>
      <c r="L252" s="6" t="s">
        <v>6145</v>
      </c>
      <c r="M252" s="6" t="s">
        <v>505</v>
      </c>
      <c r="N252" s="6" t="s">
        <v>505</v>
      </c>
      <c r="O252" s="6" t="s">
        <v>1180</v>
      </c>
      <c r="P252" s="6" t="s">
        <v>1181</v>
      </c>
      <c r="Q252" s="6" t="s">
        <v>1182</v>
      </c>
    </row>
    <row r="253" spans="1:17">
      <c r="A253" s="4" t="s">
        <v>1178</v>
      </c>
      <c r="B253" s="4" t="str">
        <f>CHOOSE(Translations!$C$1+1,O253,P253,Q253)</f>
        <v>TCS-1b⁽ᴹ⁾ Porcentaje de adultos (15 años o más) en TARV entre el total de adultos viviendo con VIH al final del período de reporte</v>
      </c>
      <c r="C253" s="4">
        <f t="shared" si="8"/>
        <v>4</v>
      </c>
      <c r="D253" s="4" t="str">
        <f t="shared" si="9"/>
        <v>TCS-1b⁽ᴹ⁾ Porcentaje de adultos (15 años o más) en TARV entre el total de adultos viviendo con VIH al final del período de reporte-4</v>
      </c>
      <c r="E253" s="4" t="str">
        <f>CHOOSE(Translations!$C$1+1,I253,J253,K253)</f>
        <v>Duración del tratamiento</v>
      </c>
      <c r="F253" s="4" t="str">
        <f>CHOOSE(Translations!$C$1+1,L253,M253,N253)</f>
        <v>Iniciaron TARV recientemente</v>
      </c>
      <c r="G253" s="4" t="s">
        <v>6509</v>
      </c>
      <c r="H253" s="6" t="s">
        <v>6510</v>
      </c>
      <c r="I253" s="6" t="s">
        <v>6457</v>
      </c>
      <c r="J253" s="6" t="s">
        <v>6458</v>
      </c>
      <c r="K253" s="6" t="s">
        <v>6459</v>
      </c>
      <c r="L253" s="6" t="s">
        <v>6460</v>
      </c>
      <c r="M253" s="6" t="s">
        <v>6461</v>
      </c>
      <c r="N253" s="6" t="s">
        <v>6462</v>
      </c>
      <c r="O253" s="6" t="s">
        <v>1180</v>
      </c>
      <c r="P253" s="6" t="s">
        <v>1181</v>
      </c>
      <c r="Q253" s="6" t="s">
        <v>1182</v>
      </c>
    </row>
    <row r="254" spans="1:17">
      <c r="A254" s="4" t="s">
        <v>1178</v>
      </c>
      <c r="B254" s="4" t="str">
        <f>CHOOSE(Translations!$C$1+1,O254,P254,Q254)</f>
        <v>TCS-1b⁽ᴹ⁾ Porcentaje de adultos (15 años o más) en TARV entre el total de adultos viviendo con VIH al final del período de reporte</v>
      </c>
      <c r="C254" s="4">
        <f t="shared" si="8"/>
        <v>5</v>
      </c>
      <c r="D254" s="4" t="str">
        <f t="shared" si="9"/>
        <v>TCS-1b⁽ᴹ⁾ Porcentaje de adultos (15 años o más) en TARV entre el total de adultos viviendo con VIH al final del período de reporte-5</v>
      </c>
      <c r="E254" s="4" t="str">
        <f>CHOOSE(Translations!$C$1+1,I254,J254,K254)</f>
        <v>Género | Edad</v>
      </c>
      <c r="F254" s="4" t="str">
        <f>CHOOSE(Translations!$C$1+1,L254,M254,N254)</f>
        <v>Mujeres 15-24</v>
      </c>
      <c r="G254" s="4" t="s">
        <v>6511</v>
      </c>
      <c r="H254" s="6" t="s">
        <v>6512</v>
      </c>
      <c r="I254" s="6" t="s">
        <v>5803</v>
      </c>
      <c r="J254" s="6" t="s">
        <v>5804</v>
      </c>
      <c r="K254" s="6" t="s">
        <v>5805</v>
      </c>
      <c r="L254" s="6" t="s">
        <v>6465</v>
      </c>
      <c r="M254" s="6" t="s">
        <v>6466</v>
      </c>
      <c r="N254" s="6" t="s">
        <v>6467</v>
      </c>
      <c r="O254" s="6" t="s">
        <v>1180</v>
      </c>
      <c r="P254" s="6" t="s">
        <v>1181</v>
      </c>
      <c r="Q254" s="6" t="s">
        <v>1182</v>
      </c>
    </row>
    <row r="255" spans="1:17">
      <c r="A255" s="4" t="s">
        <v>1178</v>
      </c>
      <c r="B255" s="4" t="str">
        <f>CHOOSE(Translations!$C$1+1,O255,P255,Q255)</f>
        <v>TCS-1b⁽ᴹ⁾ Porcentaje de adultos (15 años o más) en TARV entre el total de adultos viviendo con VIH al final del período de reporte</v>
      </c>
      <c r="C255" s="4">
        <f t="shared" si="8"/>
        <v>6</v>
      </c>
      <c r="D255" s="4" t="str">
        <f t="shared" si="9"/>
        <v>TCS-1b⁽ᴹ⁾ Porcentaje de adultos (15 años o más) en TARV entre el total de adultos viviendo con VIH al final del período de reporte-6</v>
      </c>
      <c r="E255" s="4" t="str">
        <f>CHOOSE(Translations!$C$1+1,I255,J255,K255)</f>
        <v>Género | Edad</v>
      </c>
      <c r="F255" s="4" t="str">
        <f>CHOOSE(Translations!$C$1+1,L255,M255,N255)</f>
        <v>Hombres 15-24</v>
      </c>
      <c r="G255" s="4" t="s">
        <v>6513</v>
      </c>
      <c r="H255" s="6" t="s">
        <v>6514</v>
      </c>
      <c r="I255" s="6" t="s">
        <v>5803</v>
      </c>
      <c r="J255" s="6" t="s">
        <v>5804</v>
      </c>
      <c r="K255" s="6" t="s">
        <v>5805</v>
      </c>
      <c r="L255" s="6" t="s">
        <v>6470</v>
      </c>
      <c r="M255" s="6" t="s">
        <v>6471</v>
      </c>
      <c r="N255" s="6" t="s">
        <v>6472</v>
      </c>
      <c r="O255" s="6" t="s">
        <v>1180</v>
      </c>
      <c r="P255" s="6" t="s">
        <v>1181</v>
      </c>
      <c r="Q255" s="6" t="s">
        <v>1182</v>
      </c>
    </row>
    <row r="256" spans="1:17">
      <c r="A256" s="4" t="s">
        <v>1178</v>
      </c>
      <c r="B256" s="4" t="str">
        <f>CHOOSE(Translations!$C$1+1,O256,P256,Q256)</f>
        <v>TCS-1b⁽ᴹ⁾ Porcentaje de adultos (15 años o más) en TARV entre el total de adultos viviendo con VIH al final del período de reporte</v>
      </c>
      <c r="C256" s="4">
        <f t="shared" si="8"/>
        <v>7</v>
      </c>
      <c r="D256" s="4" t="str">
        <f t="shared" si="9"/>
        <v>TCS-1b⁽ᴹ⁾ Porcentaje de adultos (15 años o más) en TARV entre el total de adultos viviendo con VIH al final del período de reporte-7</v>
      </c>
      <c r="E256" s="4" t="str">
        <f>CHOOSE(Translations!$C$1+1,I256,J256,K256)</f>
        <v>Género | Edad</v>
      </c>
      <c r="F256" s="4" t="str">
        <f>CHOOSE(Translations!$C$1+1,L256,M256,N256)</f>
        <v>Mujeres 20-24</v>
      </c>
      <c r="G256" s="4" t="s">
        <v>6515</v>
      </c>
      <c r="H256" s="6" t="s">
        <v>6516</v>
      </c>
      <c r="I256" s="6" t="s">
        <v>5803</v>
      </c>
      <c r="J256" s="6" t="s">
        <v>5804</v>
      </c>
      <c r="K256" s="6" t="s">
        <v>5805</v>
      </c>
      <c r="L256" s="6" t="s">
        <v>5806</v>
      </c>
      <c r="M256" s="6" t="s">
        <v>5807</v>
      </c>
      <c r="N256" s="6" t="s">
        <v>5808</v>
      </c>
      <c r="O256" s="6" t="s">
        <v>1180</v>
      </c>
      <c r="P256" s="6" t="s">
        <v>1181</v>
      </c>
      <c r="Q256" s="6" t="s">
        <v>1182</v>
      </c>
    </row>
    <row r="257" spans="1:17">
      <c r="A257" s="4" t="s">
        <v>1178</v>
      </c>
      <c r="B257" s="4" t="str">
        <f>CHOOSE(Translations!$C$1+1,O257,P257,Q257)</f>
        <v>TCS-1b⁽ᴹ⁾ Porcentaje de adultos (15 años o más) en TARV entre el total de adultos viviendo con VIH al final del período de reporte</v>
      </c>
      <c r="C257" s="4">
        <f t="shared" si="8"/>
        <v>8</v>
      </c>
      <c r="D257" s="4" t="str">
        <f t="shared" si="9"/>
        <v>TCS-1b⁽ᴹ⁾ Porcentaje de adultos (15 años o más) en TARV entre el total de adultos viviendo con VIH al final del período de reporte-8</v>
      </c>
      <c r="E257" s="4" t="str">
        <f>CHOOSE(Translations!$C$1+1,I257,J257,K257)</f>
        <v>Género | Edad</v>
      </c>
      <c r="F257" s="4" t="str">
        <f>CHOOSE(Translations!$C$1+1,L257,M257,N257)</f>
        <v>Hombres 20-24</v>
      </c>
      <c r="G257" s="4" t="s">
        <v>6517</v>
      </c>
      <c r="H257" s="6" t="s">
        <v>6518</v>
      </c>
      <c r="I257" s="6" t="s">
        <v>5803</v>
      </c>
      <c r="J257" s="6" t="s">
        <v>5804</v>
      </c>
      <c r="K257" s="6" t="s">
        <v>5805</v>
      </c>
      <c r="L257" s="6" t="s">
        <v>5811</v>
      </c>
      <c r="M257" s="6" t="s">
        <v>5812</v>
      </c>
      <c r="N257" s="6" t="s">
        <v>5813</v>
      </c>
      <c r="O257" s="6" t="s">
        <v>1180</v>
      </c>
      <c r="P257" s="6" t="s">
        <v>1181</v>
      </c>
      <c r="Q257" s="6" t="s">
        <v>1182</v>
      </c>
    </row>
    <row r="258" spans="1:17">
      <c r="A258" s="4" t="s">
        <v>1178</v>
      </c>
      <c r="B258" s="4" t="str">
        <f>CHOOSE(Translations!$C$1+1,O258,P258,Q258)</f>
        <v>TCS-1b⁽ᴹ⁾ Porcentaje de adultos (15 años o más) en TARV entre el total de adultos viviendo con VIH al final del período de reporte</v>
      </c>
      <c r="C258" s="4">
        <f t="shared" si="8"/>
        <v>9</v>
      </c>
      <c r="D258" s="4" t="str">
        <f t="shared" si="9"/>
        <v>TCS-1b⁽ᴹ⁾ Porcentaje de adultos (15 años o más) en TARV entre el total de adultos viviendo con VIH al final del período de reporte-9</v>
      </c>
      <c r="E258" s="4" t="str">
        <f>CHOOSE(Translations!$C$1+1,I258,J258,K258)</f>
        <v>Género | Edad</v>
      </c>
      <c r="F258" s="4" t="str">
        <f>CHOOSE(Translations!$C$1+1,L258,M258,N258)</f>
        <v>Mujeres 15-19</v>
      </c>
      <c r="G258" s="4" t="s">
        <v>6519</v>
      </c>
      <c r="H258" s="6" t="s">
        <v>6520</v>
      </c>
      <c r="I258" s="6" t="s">
        <v>5803</v>
      </c>
      <c r="J258" s="6" t="s">
        <v>5804</v>
      </c>
      <c r="K258" s="6" t="s">
        <v>5805</v>
      </c>
      <c r="L258" s="6" t="s">
        <v>5816</v>
      </c>
      <c r="M258" s="6" t="s">
        <v>5817</v>
      </c>
      <c r="N258" s="6" t="s">
        <v>5818</v>
      </c>
      <c r="O258" s="6" t="s">
        <v>1180</v>
      </c>
      <c r="P258" s="6" t="s">
        <v>1181</v>
      </c>
      <c r="Q258" s="6" t="s">
        <v>1182</v>
      </c>
    </row>
    <row r="259" spans="1:17">
      <c r="A259" s="4" t="s">
        <v>1178</v>
      </c>
      <c r="B259" s="4" t="str">
        <f>CHOOSE(Translations!$C$1+1,O259,P259,Q259)</f>
        <v>TCS-1b⁽ᴹ⁾ Porcentaje de adultos (15 años o más) en TARV entre el total de adultos viviendo con VIH al final del período de reporte</v>
      </c>
      <c r="C259" s="4">
        <f t="shared" si="8"/>
        <v>10</v>
      </c>
      <c r="D259" s="4" t="str">
        <f t="shared" si="9"/>
        <v>TCS-1b⁽ᴹ⁾ Porcentaje de adultos (15 años o más) en TARV entre el total de adultos viviendo con VIH al final del período de reporte-10</v>
      </c>
      <c r="E259" s="4" t="str">
        <f>CHOOSE(Translations!$C$1+1,I259,J259,K259)</f>
        <v>Género | Edad</v>
      </c>
      <c r="F259" s="4" t="str">
        <f>CHOOSE(Translations!$C$1+1,L259,M259,N259)</f>
        <v>Hombres 15-19</v>
      </c>
      <c r="G259" s="4" t="s">
        <v>6521</v>
      </c>
      <c r="H259" s="6" t="s">
        <v>6522</v>
      </c>
      <c r="I259" s="6" t="s">
        <v>5803</v>
      </c>
      <c r="J259" s="6" t="s">
        <v>5804</v>
      </c>
      <c r="K259" s="6" t="s">
        <v>5805</v>
      </c>
      <c r="L259" s="6" t="s">
        <v>5821</v>
      </c>
      <c r="M259" s="6" t="s">
        <v>5822</v>
      </c>
      <c r="N259" s="6" t="s">
        <v>5823</v>
      </c>
      <c r="O259" s="6" t="s">
        <v>1180</v>
      </c>
      <c r="P259" s="6" t="s">
        <v>1181</v>
      </c>
      <c r="Q259" s="6" t="s">
        <v>1182</v>
      </c>
    </row>
    <row r="260" spans="1:17">
      <c r="A260" s="4" t="s">
        <v>1178</v>
      </c>
      <c r="B260" s="4" t="str">
        <f>CHOOSE(Translations!$C$1+1,O260,P260,Q260)</f>
        <v>TCS-1b⁽ᴹ⁾ Porcentaje de adultos (15 años o más) en TARV entre el total de adultos viviendo con VIH al final del período de reporte</v>
      </c>
      <c r="C260" s="4">
        <f t="shared" si="8"/>
        <v>11</v>
      </c>
      <c r="D260" s="4" t="str">
        <f t="shared" si="9"/>
        <v>TCS-1b⁽ᴹ⁾ Porcentaje de adultos (15 años o más) en TARV entre el total de adultos viviendo con VIH al final del período de reporte-11</v>
      </c>
      <c r="E260" s="4" t="str">
        <f>CHOOSE(Translations!$C$1+1,I260,J260,K260)</f>
        <v>Género | Edad</v>
      </c>
      <c r="F260" s="4" t="str">
        <f>CHOOSE(Translations!$C$1+1,L260,M260,N260)</f>
        <v>Mujeres 15+</v>
      </c>
      <c r="G260" s="4" t="s">
        <v>6523</v>
      </c>
      <c r="H260" s="6" t="s">
        <v>6524</v>
      </c>
      <c r="I260" s="6" t="s">
        <v>5803</v>
      </c>
      <c r="J260" s="6" t="s">
        <v>5804</v>
      </c>
      <c r="K260" s="6" t="s">
        <v>5805</v>
      </c>
      <c r="L260" s="6" t="s">
        <v>6483</v>
      </c>
      <c r="M260" s="6" t="s">
        <v>6484</v>
      </c>
      <c r="N260" s="6" t="s">
        <v>6485</v>
      </c>
      <c r="O260" s="6" t="s">
        <v>1180</v>
      </c>
      <c r="P260" s="6" t="s">
        <v>1181</v>
      </c>
      <c r="Q260" s="6" t="s">
        <v>1182</v>
      </c>
    </row>
    <row r="261" spans="1:17">
      <c r="A261" s="4" t="s">
        <v>1178</v>
      </c>
      <c r="B261" s="4" t="str">
        <f>CHOOSE(Translations!$C$1+1,O261,P261,Q261)</f>
        <v>TCS-1b⁽ᴹ⁾ Porcentaje de adultos (15 años o más) en TARV entre el total de adultos viviendo con VIH al final del período de reporte</v>
      </c>
      <c r="C261" s="4">
        <f t="shared" si="8"/>
        <v>12</v>
      </c>
      <c r="D261" s="4" t="str">
        <f t="shared" si="9"/>
        <v>TCS-1b⁽ᴹ⁾ Porcentaje de adultos (15 años o más) en TARV entre el total de adultos viviendo con VIH al final del período de reporte-12</v>
      </c>
      <c r="E261" s="4" t="str">
        <f>CHOOSE(Translations!$C$1+1,I261,J261,K261)</f>
        <v>Género | Edad</v>
      </c>
      <c r="F261" s="4" t="str">
        <f>CHOOSE(Translations!$C$1+1,L261,M261,N261)</f>
        <v>Hombres 15+</v>
      </c>
      <c r="G261" s="4" t="s">
        <v>6525</v>
      </c>
      <c r="H261" s="6" t="s">
        <v>6526</v>
      </c>
      <c r="I261" s="6" t="s">
        <v>5803</v>
      </c>
      <c r="J261" s="6" t="s">
        <v>5804</v>
      </c>
      <c r="K261" s="6" t="s">
        <v>5805</v>
      </c>
      <c r="L261" s="6" t="s">
        <v>6488</v>
      </c>
      <c r="M261" s="6" t="s">
        <v>6489</v>
      </c>
      <c r="N261" s="6" t="s">
        <v>6490</v>
      </c>
      <c r="O261" s="6" t="s">
        <v>1180</v>
      </c>
      <c r="P261" s="6" t="s">
        <v>1181</v>
      </c>
      <c r="Q261" s="6" t="s">
        <v>1182</v>
      </c>
    </row>
    <row r="262" spans="1:17">
      <c r="A262" s="4" t="s">
        <v>1178</v>
      </c>
      <c r="B262" s="4" t="str">
        <f>CHOOSE(Translations!$C$1+1,O262,P262,Q262)</f>
        <v>TCS-1b⁽ᴹ⁾ Porcentaje de adultos (15 años o más) en TARV entre el total de adultos viviendo con VIH al final del período de reporte</v>
      </c>
      <c r="C262" s="4">
        <f t="shared" si="8"/>
        <v>13</v>
      </c>
      <c r="D262" s="4" t="str">
        <f t="shared" si="9"/>
        <v>TCS-1b⁽ᴹ⁾ Porcentaje de adultos (15 años o más) en TARV entre el total de adultos viviendo con VIH al final del período de reporte-13</v>
      </c>
      <c r="E262" s="4" t="str">
        <f>CHOOSE(Translations!$C$1+1,I262,J262,K262)</f>
        <v>Género</v>
      </c>
      <c r="F262" s="4" t="str">
        <f>CHOOSE(Translations!$C$1+1,L262,M262,N262)</f>
        <v>Transgénero</v>
      </c>
      <c r="G262" s="4" t="s">
        <v>6527</v>
      </c>
      <c r="H262" s="6" t="s">
        <v>6528</v>
      </c>
      <c r="I262" s="6" t="s">
        <v>800</v>
      </c>
      <c r="J262" s="6" t="s">
        <v>801</v>
      </c>
      <c r="K262" s="6" t="s">
        <v>802</v>
      </c>
      <c r="L262" s="6" t="s">
        <v>5888</v>
      </c>
      <c r="M262" s="6" t="s">
        <v>5889</v>
      </c>
      <c r="N262" s="6" t="s">
        <v>5890</v>
      </c>
      <c r="O262" s="6" t="s">
        <v>1180</v>
      </c>
      <c r="P262" s="6" t="s">
        <v>1181</v>
      </c>
      <c r="Q262" s="6" t="s">
        <v>1182</v>
      </c>
    </row>
    <row r="263" spans="1:17">
      <c r="A263" s="4" t="s">
        <v>1178</v>
      </c>
      <c r="B263" s="4" t="str">
        <f>CHOOSE(Translations!$C$1+1,O263,P263,Q263)</f>
        <v>TCS-1b⁽ᴹ⁾ Porcentaje de adultos (15 años o más) en TARV entre el total de adultos viviendo con VIH al final del período de reporte</v>
      </c>
      <c r="C263" s="4">
        <f t="shared" si="8"/>
        <v>14</v>
      </c>
      <c r="D263" s="4" t="str">
        <f t="shared" si="9"/>
        <v>TCS-1b⁽ᴹ⁾ Porcentaje de adultos (15 años o más) en TARV entre el total de adultos viviendo con VIH al final del período de reporte-14</v>
      </c>
      <c r="E263" s="4" t="str">
        <f>CHOOSE(Translations!$C$1+1,I263,J263,K263)</f>
        <v>Género</v>
      </c>
      <c r="F263" s="4" t="str">
        <f>CHOOSE(Translations!$C$1+1,L263,M263,N263)</f>
        <v>Mujeres</v>
      </c>
      <c r="G263" s="4" t="s">
        <v>6529</v>
      </c>
      <c r="H263" s="6" t="s">
        <v>6530</v>
      </c>
      <c r="I263" s="6" t="s">
        <v>800</v>
      </c>
      <c r="J263" s="6" t="s">
        <v>801</v>
      </c>
      <c r="K263" s="6" t="s">
        <v>802</v>
      </c>
      <c r="L263" s="6" t="s">
        <v>5826</v>
      </c>
      <c r="M263" s="6" t="s">
        <v>5827</v>
      </c>
      <c r="N263" s="6" t="s">
        <v>5828</v>
      </c>
      <c r="O263" s="6" t="s">
        <v>1180</v>
      </c>
      <c r="P263" s="6" t="s">
        <v>1181</v>
      </c>
      <c r="Q263" s="6" t="s">
        <v>1182</v>
      </c>
    </row>
    <row r="264" spans="1:17">
      <c r="A264" s="4" t="s">
        <v>1178</v>
      </c>
      <c r="B264" s="4" t="str">
        <f>CHOOSE(Translations!$C$1+1,O264,P264,Q264)</f>
        <v>TCS-1b⁽ᴹ⁾ Porcentaje de adultos (15 años o más) en TARV entre el total de adultos viviendo con VIH al final del período de reporte</v>
      </c>
      <c r="C264" s="4">
        <f t="shared" si="8"/>
        <v>15</v>
      </c>
      <c r="D264" s="4" t="str">
        <f t="shared" si="9"/>
        <v>TCS-1b⁽ᴹ⁾ Porcentaje de adultos (15 años o más) en TARV entre el total de adultos viviendo con VIH al final del período de reporte-15</v>
      </c>
      <c r="E264" s="4" t="str">
        <f>CHOOSE(Translations!$C$1+1,I264,J264,K264)</f>
        <v>Género</v>
      </c>
      <c r="F264" s="4" t="str">
        <f>CHOOSE(Translations!$C$1+1,L264,M264,N264)</f>
        <v>Hombres</v>
      </c>
      <c r="G264" s="4" t="s">
        <v>6531</v>
      </c>
      <c r="H264" s="6" t="s">
        <v>6532</v>
      </c>
      <c r="I264" s="6" t="s">
        <v>800</v>
      </c>
      <c r="J264" s="6" t="s">
        <v>801</v>
      </c>
      <c r="K264" s="6" t="s">
        <v>802</v>
      </c>
      <c r="L264" s="6" t="s">
        <v>5831</v>
      </c>
      <c r="M264" s="6" t="s">
        <v>5832</v>
      </c>
      <c r="N264" s="6" t="s">
        <v>5833</v>
      </c>
      <c r="O264" s="6" t="s">
        <v>1180</v>
      </c>
      <c r="P264" s="6" t="s">
        <v>1181</v>
      </c>
      <c r="Q264" s="6" t="s">
        <v>1182</v>
      </c>
    </row>
    <row r="265" spans="1:17">
      <c r="A265" s="4" t="s">
        <v>1186</v>
      </c>
      <c r="B265" s="4" t="str">
        <f>CHOOSE(Translations!$C$1+1,O265,P265,Q265)</f>
        <v>TCS-1c⁽ᴹ⁾ Porcentaje de niños (menores de 15 años) en TARV entre el total de niños viviendo con VIH al final del período de reporte</v>
      </c>
      <c r="C265" s="4">
        <f t="shared" si="8"/>
        <v>0</v>
      </c>
      <c r="D265" s="4" t="str">
        <f t="shared" si="9"/>
        <v>TCS-1c⁽ᴹ⁾ Porcentaje de niños (menores de 15 años) en TARV entre el total de niños viviendo con VIH al final del período de reporte-0</v>
      </c>
      <c r="E265" s="4" t="str">
        <f>CHOOSE(Translations!$C$1+1,I265,J265,K265)</f>
        <v>Duración del tratamiento</v>
      </c>
      <c r="F265" s="4" t="str">
        <f>CHOOSE(Translations!$C$1+1,L265,M265,N265)</f>
        <v>Iniciaron TARV recientemente</v>
      </c>
      <c r="G265" s="4" t="s">
        <v>6533</v>
      </c>
      <c r="H265" s="6" t="s">
        <v>6534</v>
      </c>
      <c r="I265" s="6" t="s">
        <v>6457</v>
      </c>
      <c r="J265" s="6" t="s">
        <v>6458</v>
      </c>
      <c r="K265" s="6" t="s">
        <v>6459</v>
      </c>
      <c r="L265" s="6" t="s">
        <v>6460</v>
      </c>
      <c r="M265" s="6" t="s">
        <v>6461</v>
      </c>
      <c r="N265" s="6" t="s">
        <v>6462</v>
      </c>
      <c r="O265" s="6" t="s">
        <v>1188</v>
      </c>
      <c r="P265" s="6" t="s">
        <v>1189</v>
      </c>
      <c r="Q265" s="6" t="s">
        <v>1190</v>
      </c>
    </row>
    <row r="266" spans="1:17">
      <c r="A266" s="4" t="s">
        <v>1186</v>
      </c>
      <c r="B266" s="4" t="str">
        <f>CHOOSE(Translations!$C$1+1,O266,P266,Q266)</f>
        <v>TCS-1c⁽ᴹ⁾ Porcentaje de niños (menores de 15 años) en TARV entre el total de niños viviendo con VIH al final del período de reporte</v>
      </c>
      <c r="C266" s="4">
        <f t="shared" si="8"/>
        <v>1</v>
      </c>
      <c r="D266" s="4" t="str">
        <f t="shared" si="9"/>
        <v>TCS-1c⁽ᴹ⁾ Porcentaje de niños (menores de 15 años) en TARV entre el total de niños viviendo con VIH al final del período de reporte-1</v>
      </c>
      <c r="E266" s="4" t="str">
        <f>CHOOSE(Translations!$C$1+1,I266,J266,K266)</f>
        <v>Género</v>
      </c>
      <c r="F266" s="4" t="str">
        <f>CHOOSE(Translations!$C$1+1,L266,M266,N266)</f>
        <v>Mujeres</v>
      </c>
      <c r="G266" s="4" t="s">
        <v>6535</v>
      </c>
      <c r="H266" s="6" t="s">
        <v>6536</v>
      </c>
      <c r="I266" s="6" t="s">
        <v>800</v>
      </c>
      <c r="J266" s="6" t="s">
        <v>801</v>
      </c>
      <c r="K266" s="6" t="s">
        <v>802</v>
      </c>
      <c r="L266" s="6" t="s">
        <v>5826</v>
      </c>
      <c r="M266" s="6" t="s">
        <v>5827</v>
      </c>
      <c r="N266" s="6" t="s">
        <v>5828</v>
      </c>
      <c r="O266" s="6" t="s">
        <v>1188</v>
      </c>
      <c r="P266" s="6" t="s">
        <v>1189</v>
      </c>
      <c r="Q266" s="6" t="s">
        <v>1190</v>
      </c>
    </row>
    <row r="267" spans="1:17">
      <c r="A267" s="4" t="s">
        <v>1186</v>
      </c>
      <c r="B267" s="4" t="str">
        <f>CHOOSE(Translations!$C$1+1,O267,P267,Q267)</f>
        <v>TCS-1c⁽ᴹ⁾ Porcentaje de niños (menores de 15 años) en TARV entre el total de niños viviendo con VIH al final del período de reporte</v>
      </c>
      <c r="C267" s="4">
        <f t="shared" si="8"/>
        <v>2</v>
      </c>
      <c r="D267" s="4" t="str">
        <f t="shared" si="9"/>
        <v>TCS-1c⁽ᴹ⁾ Porcentaje de niños (menores de 15 años) en TARV entre el total de niños viviendo con VIH al final del período de reporte-2</v>
      </c>
      <c r="E267" s="4" t="str">
        <f>CHOOSE(Translations!$C$1+1,I267,J267,K267)</f>
        <v>Género</v>
      </c>
      <c r="F267" s="4" t="str">
        <f>CHOOSE(Translations!$C$1+1,L267,M267,N267)</f>
        <v>Hombres</v>
      </c>
      <c r="G267" s="4" t="s">
        <v>6537</v>
      </c>
      <c r="H267" s="6" t="s">
        <v>6538</v>
      </c>
      <c r="I267" s="6" t="s">
        <v>800</v>
      </c>
      <c r="J267" s="6" t="s">
        <v>801</v>
      </c>
      <c r="K267" s="6" t="s">
        <v>802</v>
      </c>
      <c r="L267" s="6" t="s">
        <v>5831</v>
      </c>
      <c r="M267" s="6" t="s">
        <v>5832</v>
      </c>
      <c r="N267" s="6" t="s">
        <v>5833</v>
      </c>
      <c r="O267" s="6" t="s">
        <v>1188</v>
      </c>
      <c r="P267" s="6" t="s">
        <v>1189</v>
      </c>
      <c r="Q267" s="6" t="s">
        <v>1190</v>
      </c>
    </row>
    <row r="268" spans="1:17">
      <c r="A268" s="4" t="s">
        <v>1195</v>
      </c>
      <c r="B268" s="4" t="str">
        <f>CHOOSE(Translations!$C$1+1,O268,P268,Q268)</f>
        <v>TCP-1⁽ᴹ⁾ Número de casos notificados de todas las formas de tuberculosis (esto es, confirmados bacteriológicamente y con diagnóstico clínico), casos nuevos y recaídas.</v>
      </c>
      <c r="C268" s="4">
        <f t="shared" si="8"/>
        <v>0</v>
      </c>
      <c r="D268" s="4" t="str">
        <f t="shared" si="9"/>
        <v>TCP-1⁽ᴹ⁾ Número de casos notificados de todas las formas de tuberculosis (esto es, confirmados bacteriológicamente y con diagnóstico clínico), casos nuevos y recaídas.-0</v>
      </c>
      <c r="E268" s="4" t="str">
        <f>CHOOSE(Translations!$C$1+1,I268,J268,K268)</f>
        <v>Definición de caso</v>
      </c>
      <c r="F268" s="4" t="str">
        <f>CHOOSE(Translations!$C$1+1,L268,M268,N268)</f>
        <v>Confirmado bacteriológicamente</v>
      </c>
      <c r="G268" s="4" t="s">
        <v>6539</v>
      </c>
      <c r="H268" s="6" t="s">
        <v>6540</v>
      </c>
      <c r="I268" s="6" t="s">
        <v>6541</v>
      </c>
      <c r="J268" s="6" t="s">
        <v>5913</v>
      </c>
      <c r="K268" s="6" t="s">
        <v>5914</v>
      </c>
      <c r="L268" s="6" t="s">
        <v>6542</v>
      </c>
      <c r="M268" s="6" t="s">
        <v>6543</v>
      </c>
      <c r="N268" s="6" t="s">
        <v>6544</v>
      </c>
      <c r="O268" s="6" t="s">
        <v>1197</v>
      </c>
      <c r="P268" s="6" t="s">
        <v>1198</v>
      </c>
      <c r="Q268" s="6" t="s">
        <v>1199</v>
      </c>
    </row>
    <row r="269" spans="1:17">
      <c r="A269" s="4" t="s">
        <v>1195</v>
      </c>
      <c r="B269" s="4" t="str">
        <f>CHOOSE(Translations!$C$1+1,O269,P269,Q269)</f>
        <v>TCP-1⁽ᴹ⁾ Número de casos notificados de todas las formas de tuberculosis (esto es, confirmados bacteriológicamente y con diagnóstico clínico), casos nuevos y recaídas.</v>
      </c>
      <c r="C269" s="4">
        <f t="shared" si="8"/>
        <v>1</v>
      </c>
      <c r="D269" s="4" t="str">
        <f t="shared" si="9"/>
        <v>TCP-1⁽ᴹ⁾ Número de casos notificados de todas las formas de tuberculosis (esto es, confirmados bacteriológicamente y con diagnóstico clínico), casos nuevos y recaídas.-1</v>
      </c>
      <c r="E269" s="4" t="str">
        <f>CHOOSE(Translations!$C$1+1,I269,J269,K269)</f>
        <v>Resultado de prueba del VIH</v>
      </c>
      <c r="F269" s="4" t="str">
        <f>CHOOSE(Translations!$C$1+1,L269,M269,N269)</f>
        <v>No documentado</v>
      </c>
      <c r="G269" s="4" t="s">
        <v>6545</v>
      </c>
      <c r="H269" s="6" t="s">
        <v>6546</v>
      </c>
      <c r="I269" s="6" t="s">
        <v>1092</v>
      </c>
      <c r="J269" s="6" t="s">
        <v>1093</v>
      </c>
      <c r="K269" s="6" t="s">
        <v>1094</v>
      </c>
      <c r="L269" s="6" t="s">
        <v>6547</v>
      </c>
      <c r="M269" s="6" t="s">
        <v>6548</v>
      </c>
      <c r="N269" s="6" t="s">
        <v>6549</v>
      </c>
      <c r="O269" s="6" t="s">
        <v>1197</v>
      </c>
      <c r="P269" s="6" t="s">
        <v>1198</v>
      </c>
      <c r="Q269" s="6" t="s">
        <v>1199</v>
      </c>
    </row>
    <row r="270" spans="1:17">
      <c r="A270" s="4" t="s">
        <v>1195</v>
      </c>
      <c r="B270" s="4" t="str">
        <f>CHOOSE(Translations!$C$1+1,O270,P270,Q270)</f>
        <v>TCP-1⁽ᴹ⁾ Número de casos notificados de todas las formas de tuberculosis (esto es, confirmados bacteriológicamente y con diagnóstico clínico), casos nuevos y recaídas.</v>
      </c>
      <c r="C270" s="4">
        <f t="shared" si="8"/>
        <v>2</v>
      </c>
      <c r="D270" s="4" t="str">
        <f t="shared" si="9"/>
        <v>TCP-1⁽ᴹ⁾ Número de casos notificados de todas las formas de tuberculosis (esto es, confirmados bacteriológicamente y con diagnóstico clínico), casos nuevos y recaídas.-2</v>
      </c>
      <c r="E270" s="4" t="str">
        <f>CHOOSE(Translations!$C$1+1,I270,J270,K270)</f>
        <v>Resultado de prueba del VIH</v>
      </c>
      <c r="F270" s="4" t="str">
        <f>CHOOSE(Translations!$C$1+1,L270,M270,N270)</f>
        <v>Negativo</v>
      </c>
      <c r="G270" s="4" t="s">
        <v>6550</v>
      </c>
      <c r="H270" s="6" t="s">
        <v>6551</v>
      </c>
      <c r="I270" s="6" t="s">
        <v>1092</v>
      </c>
      <c r="J270" s="6" t="s">
        <v>1093</v>
      </c>
      <c r="K270" s="6" t="s">
        <v>1094</v>
      </c>
      <c r="L270" s="6" t="s">
        <v>6304</v>
      </c>
      <c r="M270" s="6" t="s">
        <v>6305</v>
      </c>
      <c r="N270" s="6" t="s">
        <v>6306</v>
      </c>
      <c r="O270" s="6" t="s">
        <v>1197</v>
      </c>
      <c r="P270" s="6" t="s">
        <v>1198</v>
      </c>
      <c r="Q270" s="6" t="s">
        <v>1199</v>
      </c>
    </row>
    <row r="271" spans="1:17">
      <c r="A271" s="4" t="s">
        <v>1195</v>
      </c>
      <c r="B271" s="4" t="str">
        <f>CHOOSE(Translations!$C$1+1,O271,P271,Q271)</f>
        <v>TCP-1⁽ᴹ⁾ Número de casos notificados de todas las formas de tuberculosis (esto es, confirmados bacteriológicamente y con diagnóstico clínico), casos nuevos y recaídas.</v>
      </c>
      <c r="C271" s="4">
        <f t="shared" si="8"/>
        <v>3</v>
      </c>
      <c r="D271" s="4" t="str">
        <f t="shared" si="9"/>
        <v>TCP-1⁽ᴹ⁾ Número de casos notificados de todas las formas de tuberculosis (esto es, confirmados bacteriológicamente y con diagnóstico clínico), casos nuevos y recaídas.-3</v>
      </c>
      <c r="E271" s="4" t="str">
        <f>CHOOSE(Translations!$C$1+1,I271,J271,K271)</f>
        <v>Resultado de prueba del VIH</v>
      </c>
      <c r="F271" s="4" t="str">
        <f>CHOOSE(Translations!$C$1+1,L271,M271,N271)</f>
        <v>Positivo</v>
      </c>
      <c r="G271" s="4" t="s">
        <v>6552</v>
      </c>
      <c r="H271" s="6" t="s">
        <v>6553</v>
      </c>
      <c r="I271" s="6" t="s">
        <v>1092</v>
      </c>
      <c r="J271" s="6" t="s">
        <v>1093</v>
      </c>
      <c r="K271" s="6" t="s">
        <v>1094</v>
      </c>
      <c r="L271" s="6" t="s">
        <v>6309</v>
      </c>
      <c r="M271" s="6" t="s">
        <v>6310</v>
      </c>
      <c r="N271" s="6" t="s">
        <v>6311</v>
      </c>
      <c r="O271" s="6" t="s">
        <v>1197</v>
      </c>
      <c r="P271" s="6" t="s">
        <v>1198</v>
      </c>
      <c r="Q271" s="6" t="s">
        <v>1199</v>
      </c>
    </row>
    <row r="272" spans="1:17">
      <c r="A272" s="4" t="s">
        <v>1195</v>
      </c>
      <c r="B272" s="4" t="str">
        <f>CHOOSE(Translations!$C$1+1,O272,P272,Q272)</f>
        <v>TCP-1⁽ᴹ⁾ Número de casos notificados de todas las formas de tuberculosis (esto es, confirmados bacteriológicamente y con diagnóstico clínico), casos nuevos y recaídas.</v>
      </c>
      <c r="C272" s="4">
        <f t="shared" si="8"/>
        <v>4</v>
      </c>
      <c r="D272" s="4" t="str">
        <f t="shared" si="9"/>
        <v>TCP-1⁽ᴹ⁾ Número de casos notificados de todas las formas de tuberculosis (esto es, confirmados bacteriológicamente y con diagnóstico clínico), casos nuevos y recaídas.-4</v>
      </c>
      <c r="E272" s="4" t="str">
        <f>CHOOSE(Translations!$C$1+1,I272,J272,K272)</f>
        <v>Género</v>
      </c>
      <c r="F272" s="4" t="str">
        <f>CHOOSE(Translations!$C$1+1,L272,M272,N272)</f>
        <v>Mujeres</v>
      </c>
      <c r="G272" s="4" t="s">
        <v>6554</v>
      </c>
      <c r="H272" s="6" t="s">
        <v>6555</v>
      </c>
      <c r="I272" s="6" t="s">
        <v>800</v>
      </c>
      <c r="J272" s="6" t="s">
        <v>801</v>
      </c>
      <c r="K272" s="6" t="s">
        <v>802</v>
      </c>
      <c r="L272" s="6" t="s">
        <v>5826</v>
      </c>
      <c r="M272" s="6" t="s">
        <v>5827</v>
      </c>
      <c r="N272" s="6" t="s">
        <v>5828</v>
      </c>
      <c r="O272" s="6" t="s">
        <v>1197</v>
      </c>
      <c r="P272" s="6" t="s">
        <v>1198</v>
      </c>
      <c r="Q272" s="6" t="s">
        <v>1199</v>
      </c>
    </row>
    <row r="273" spans="1:17">
      <c r="A273" s="4" t="s">
        <v>1195</v>
      </c>
      <c r="B273" s="4" t="str">
        <f>CHOOSE(Translations!$C$1+1,O273,P273,Q273)</f>
        <v>TCP-1⁽ᴹ⁾ Número de casos notificados de todas las formas de tuberculosis (esto es, confirmados bacteriológicamente y con diagnóstico clínico), casos nuevos y recaídas.</v>
      </c>
      <c r="C273" s="4">
        <f t="shared" si="8"/>
        <v>5</v>
      </c>
      <c r="D273" s="4" t="str">
        <f t="shared" si="9"/>
        <v>TCP-1⁽ᴹ⁾ Número de casos notificados de todas las formas de tuberculosis (esto es, confirmados bacteriológicamente y con diagnóstico clínico), casos nuevos y recaídas.-5</v>
      </c>
      <c r="E273" s="4" t="str">
        <f>CHOOSE(Translations!$C$1+1,I273,J273,K273)</f>
        <v>Género</v>
      </c>
      <c r="F273" s="4" t="str">
        <f>CHOOSE(Translations!$C$1+1,L273,M273,N273)</f>
        <v>Hombres</v>
      </c>
      <c r="G273" s="4" t="s">
        <v>6556</v>
      </c>
      <c r="H273" s="6" t="s">
        <v>6557</v>
      </c>
      <c r="I273" s="6" t="s">
        <v>800</v>
      </c>
      <c r="J273" s="6" t="s">
        <v>801</v>
      </c>
      <c r="K273" s="6" t="s">
        <v>802</v>
      </c>
      <c r="L273" s="6" t="s">
        <v>5831</v>
      </c>
      <c r="M273" s="6" t="s">
        <v>5832</v>
      </c>
      <c r="N273" s="6" t="s">
        <v>5833</v>
      </c>
      <c r="O273" s="6" t="s">
        <v>1197</v>
      </c>
      <c r="P273" s="6" t="s">
        <v>1198</v>
      </c>
      <c r="Q273" s="6" t="s">
        <v>1199</v>
      </c>
    </row>
    <row r="274" spans="1:17">
      <c r="A274" s="4" t="s">
        <v>1195</v>
      </c>
      <c r="B274" s="4" t="str">
        <f>CHOOSE(Translations!$C$1+1,O274,P274,Q274)</f>
        <v>TCP-1⁽ᴹ⁾ Número de casos notificados de todas las formas de tuberculosis (esto es, confirmados bacteriológicamente y con diagnóstico clínico), casos nuevos y recaídas.</v>
      </c>
      <c r="C274" s="4">
        <f t="shared" si="8"/>
        <v>6</v>
      </c>
      <c r="D274" s="4" t="str">
        <f t="shared" si="9"/>
        <v>TCP-1⁽ᴹ⁾ Número de casos notificados de todas las formas de tuberculosis (esto es, confirmados bacteriológicamente y con diagnóstico clínico), casos nuevos y recaídas.-6</v>
      </c>
      <c r="E274" s="4" t="str">
        <f>CHOOSE(Translations!$C$1+1,I274,J274,K274)</f>
        <v>Edad</v>
      </c>
      <c r="F274" s="4" t="str">
        <f>CHOOSE(Translations!$C$1+1,L274,M274,N274)</f>
        <v>15+</v>
      </c>
      <c r="G274" s="4" t="s">
        <v>6558</v>
      </c>
      <c r="H274" s="6" t="s">
        <v>6559</v>
      </c>
      <c r="I274" s="6" t="s">
        <v>697</v>
      </c>
      <c r="J274" s="6" t="s">
        <v>697</v>
      </c>
      <c r="K274" s="6" t="s">
        <v>698</v>
      </c>
      <c r="L274" s="6" t="s">
        <v>5836</v>
      </c>
      <c r="M274" s="6" t="s">
        <v>5836</v>
      </c>
      <c r="N274" s="6" t="s">
        <v>5836</v>
      </c>
      <c r="O274" s="6" t="s">
        <v>1197</v>
      </c>
      <c r="P274" s="6" t="s">
        <v>1198</v>
      </c>
      <c r="Q274" s="6" t="s">
        <v>1199</v>
      </c>
    </row>
    <row r="275" spans="1:17">
      <c r="A275" s="4" t="s">
        <v>1195</v>
      </c>
      <c r="B275" s="4" t="str">
        <f>CHOOSE(Translations!$C$1+1,O275,P275,Q275)</f>
        <v>TCP-1⁽ᴹ⁾ Número de casos notificados de todas las formas de tuberculosis (esto es, confirmados bacteriológicamente y con diagnóstico clínico), casos nuevos y recaídas.</v>
      </c>
      <c r="C275" s="4">
        <f t="shared" si="8"/>
        <v>7</v>
      </c>
      <c r="D275" s="4" t="str">
        <f t="shared" si="9"/>
        <v>TCP-1⁽ᴹ⁾ Número de casos notificados de todas las formas de tuberculosis (esto es, confirmados bacteriológicamente y con diagnóstico clínico), casos nuevos y recaídas.-7</v>
      </c>
      <c r="E275" s="4" t="str">
        <f>CHOOSE(Translations!$C$1+1,I275,J275,K275)</f>
        <v>Edad</v>
      </c>
      <c r="F275" s="4" t="str">
        <f>CHOOSE(Translations!$C$1+1,L275,M275,N275)</f>
        <v>&lt;15</v>
      </c>
      <c r="G275" s="4" t="s">
        <v>6560</v>
      </c>
      <c r="H275" s="6" t="s">
        <v>6561</v>
      </c>
      <c r="I275" s="6" t="s">
        <v>697</v>
      </c>
      <c r="J275" s="6" t="s">
        <v>697</v>
      </c>
      <c r="K275" s="6" t="s">
        <v>698</v>
      </c>
      <c r="L275" s="6" t="s">
        <v>5839</v>
      </c>
      <c r="M275" s="6" t="s">
        <v>5839</v>
      </c>
      <c r="N275" s="6" t="s">
        <v>5839</v>
      </c>
      <c r="O275" s="6" t="s">
        <v>1197</v>
      </c>
      <c r="P275" s="6" t="s">
        <v>1198</v>
      </c>
      <c r="Q275" s="6" t="s">
        <v>1199</v>
      </c>
    </row>
    <row r="276" spans="1:17">
      <c r="A276" s="4" t="s">
        <v>1203</v>
      </c>
      <c r="B276" s="4" t="str">
        <f>CHOOSE(Translations!$C$1+1,O276,P276,Q276)</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6" s="4">
        <f t="shared" si="8"/>
        <v>0</v>
      </c>
      <c r="D276" s="4"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recaídas.-0</v>
      </c>
      <c r="E276" s="4" t="str">
        <f>CHOOSE(Translations!$C$1+1,I276,J276,K276)</f>
        <v>Resultado de prueba del VIH</v>
      </c>
      <c r="F276" s="4" t="str">
        <f>CHOOSE(Translations!$C$1+1,L276,M276,N276)</f>
        <v>No documentado</v>
      </c>
      <c r="G276" s="4" t="s">
        <v>6562</v>
      </c>
      <c r="H276" s="6" t="s">
        <v>6563</v>
      </c>
      <c r="I276" s="6" t="s">
        <v>1092</v>
      </c>
      <c r="J276" s="6" t="s">
        <v>1093</v>
      </c>
      <c r="K276" s="6" t="s">
        <v>1094</v>
      </c>
      <c r="L276" s="6" t="s">
        <v>6547</v>
      </c>
      <c r="M276" s="6" t="s">
        <v>6548</v>
      </c>
      <c r="N276" s="6" t="s">
        <v>6549</v>
      </c>
      <c r="O276" s="6" t="s">
        <v>1205</v>
      </c>
      <c r="P276" s="6" t="s">
        <v>1206</v>
      </c>
      <c r="Q276" s="6" t="s">
        <v>1207</v>
      </c>
    </row>
    <row r="277" spans="1:17">
      <c r="A277" s="4" t="s">
        <v>1203</v>
      </c>
      <c r="B277" s="4" t="str">
        <f>CHOOSE(Translations!$C$1+1,O277,P277,Q277)</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7" s="4">
        <f t="shared" si="8"/>
        <v>1</v>
      </c>
      <c r="D277" s="4"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v>
      </c>
      <c r="E277" s="4" t="str">
        <f>CHOOSE(Translations!$C$1+1,I277,J277,K277)</f>
        <v>Resultado de prueba del VIH</v>
      </c>
      <c r="F277" s="4" t="str">
        <f>CHOOSE(Translations!$C$1+1,L277,M277,N277)</f>
        <v>Negativo</v>
      </c>
      <c r="G277" s="4" t="s">
        <v>6564</v>
      </c>
      <c r="H277" s="6" t="s">
        <v>6565</v>
      </c>
      <c r="I277" s="6" t="s">
        <v>1092</v>
      </c>
      <c r="J277" s="6" t="s">
        <v>1093</v>
      </c>
      <c r="K277" s="6" t="s">
        <v>1094</v>
      </c>
      <c r="L277" s="6" t="s">
        <v>6304</v>
      </c>
      <c r="M277" s="6" t="s">
        <v>6305</v>
      </c>
      <c r="N277" s="6" t="s">
        <v>6306</v>
      </c>
      <c r="O277" s="6" t="s">
        <v>1205</v>
      </c>
      <c r="P277" s="6" t="s">
        <v>1206</v>
      </c>
      <c r="Q277" s="6" t="s">
        <v>1207</v>
      </c>
    </row>
    <row r="278" spans="1:17">
      <c r="A278" s="4" t="s">
        <v>1203</v>
      </c>
      <c r="B278" s="4" t="str">
        <f>CHOOSE(Translations!$C$1+1,O278,P278,Q278)</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8" s="4">
        <f t="shared" si="8"/>
        <v>2</v>
      </c>
      <c r="D278" s="4"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recaídas.-2</v>
      </c>
      <c r="E278" s="4" t="str">
        <f>CHOOSE(Translations!$C$1+1,I278,J278,K278)</f>
        <v>Resultado de prueba del VIH</v>
      </c>
      <c r="F278" s="4" t="str">
        <f>CHOOSE(Translations!$C$1+1,L278,M278,N278)</f>
        <v>Positivo</v>
      </c>
      <c r="G278" s="4" t="s">
        <v>6566</v>
      </c>
      <c r="H278" s="6" t="s">
        <v>6567</v>
      </c>
      <c r="I278" s="6" t="s">
        <v>1092</v>
      </c>
      <c r="J278" s="6" t="s">
        <v>1093</v>
      </c>
      <c r="K278" s="6" t="s">
        <v>1094</v>
      </c>
      <c r="L278" s="6" t="s">
        <v>6309</v>
      </c>
      <c r="M278" s="6" t="s">
        <v>6310</v>
      </c>
      <c r="N278" s="6" t="s">
        <v>6311</v>
      </c>
      <c r="O278" s="6" t="s">
        <v>1205</v>
      </c>
      <c r="P278" s="6" t="s">
        <v>1206</v>
      </c>
      <c r="Q278" s="6" t="s">
        <v>1207</v>
      </c>
    </row>
    <row r="279" spans="1:17">
      <c r="A279" s="4" t="s">
        <v>1203</v>
      </c>
      <c r="B279" s="4" t="str">
        <f>CHOOSE(Translations!$C$1+1,O279,P279,Q279)</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9" s="4">
        <f t="shared" si="8"/>
        <v>3</v>
      </c>
      <c r="D279" s="4"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recaídas.-3</v>
      </c>
      <c r="E279" s="4" t="str">
        <f>CHOOSE(Translations!$C$1+1,I279,J279,K279)</f>
        <v>Género</v>
      </c>
      <c r="F279" s="4" t="str">
        <f>CHOOSE(Translations!$C$1+1,L279,M279,N279)</f>
        <v>Mujeres</v>
      </c>
      <c r="G279" s="4" t="s">
        <v>6568</v>
      </c>
      <c r="H279" s="6" t="s">
        <v>6569</v>
      </c>
      <c r="I279" s="6" t="s">
        <v>800</v>
      </c>
      <c r="J279" s="6" t="s">
        <v>801</v>
      </c>
      <c r="K279" s="6" t="s">
        <v>802</v>
      </c>
      <c r="L279" s="6" t="s">
        <v>5826</v>
      </c>
      <c r="M279" s="6" t="s">
        <v>5827</v>
      </c>
      <c r="N279" s="6" t="s">
        <v>5828</v>
      </c>
      <c r="O279" s="6" t="s">
        <v>1205</v>
      </c>
      <c r="P279" s="6" t="s">
        <v>1206</v>
      </c>
      <c r="Q279" s="6" t="s">
        <v>1207</v>
      </c>
    </row>
    <row r="280" spans="1:17">
      <c r="A280" s="4" t="s">
        <v>1203</v>
      </c>
      <c r="B280" s="4" t="str">
        <f>CHOOSE(Translations!$C$1+1,O280,P280,Q280)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0" s="4">
        <f t="shared" si="8"/>
        <v>4</v>
      </c>
      <c r="D280" s="4"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recaídas.-4</v>
      </c>
      <c r="E280" s="4" t="str">
        <f>CHOOSE(Translations!$C$1+1,I280,J280,K280)</f>
        <v>Género</v>
      </c>
      <c r="F280" s="4" t="str">
        <f>CHOOSE(Translations!$C$1+1,L280,M280,N280)</f>
        <v>Hombres</v>
      </c>
      <c r="G280" s="4" t="s">
        <v>6570</v>
      </c>
      <c r="H280" s="6" t="s">
        <v>6571</v>
      </c>
      <c r="I280" s="6" t="s">
        <v>800</v>
      </c>
      <c r="J280" s="6" t="s">
        <v>801</v>
      </c>
      <c r="K280" s="6" t="s">
        <v>802</v>
      </c>
      <c r="L280" s="6" t="s">
        <v>5831</v>
      </c>
      <c r="M280" s="6" t="s">
        <v>5832</v>
      </c>
      <c r="N280" s="6" t="s">
        <v>5833</v>
      </c>
      <c r="O280" s="6" t="s">
        <v>1205</v>
      </c>
      <c r="P280" s="6" t="s">
        <v>1206</v>
      </c>
      <c r="Q280" s="6" t="s">
        <v>1207</v>
      </c>
    </row>
    <row r="281" spans="1:17">
      <c r="A281" s="4" t="s">
        <v>1203</v>
      </c>
      <c r="B281" s="4" t="str">
        <f>CHOOSE(Translations!$C$1+1,O281,P281,Q281)</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1" s="4">
        <f t="shared" si="8"/>
        <v>5</v>
      </c>
      <c r="D281" s="4"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recaídas.-5</v>
      </c>
      <c r="E281" s="4" t="str">
        <f>CHOOSE(Translations!$C$1+1,I281,J281,K281)</f>
        <v>Edad</v>
      </c>
      <c r="F281" s="4" t="str">
        <f>CHOOSE(Translations!$C$1+1,L281,M281,N281)</f>
        <v>15+</v>
      </c>
      <c r="G281" s="4" t="s">
        <v>6572</v>
      </c>
      <c r="H281" s="6" t="s">
        <v>6573</v>
      </c>
      <c r="I281" s="6" t="s">
        <v>697</v>
      </c>
      <c r="J281" s="6" t="s">
        <v>697</v>
      </c>
      <c r="K281" s="6" t="s">
        <v>698</v>
      </c>
      <c r="L281" s="6" t="s">
        <v>5836</v>
      </c>
      <c r="M281" s="6" t="s">
        <v>5836</v>
      </c>
      <c r="N281" s="6" t="s">
        <v>5836</v>
      </c>
      <c r="O281" s="6" t="s">
        <v>1205</v>
      </c>
      <c r="P281" s="6" t="s">
        <v>1206</v>
      </c>
      <c r="Q281" s="6" t="s">
        <v>1207</v>
      </c>
    </row>
    <row r="282" spans="1:17">
      <c r="A282" s="4" t="s">
        <v>1203</v>
      </c>
      <c r="B282" s="4" t="str">
        <f>CHOOSE(Translations!$C$1+1,O282,P282,Q282)</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2" s="4">
        <f t="shared" si="8"/>
        <v>6</v>
      </c>
      <c r="D282" s="4"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recaídas.-6</v>
      </c>
      <c r="E282" s="4" t="str">
        <f>CHOOSE(Translations!$C$1+1,I282,J282,K282)</f>
        <v>Edad</v>
      </c>
      <c r="F282" s="4" t="str">
        <f>CHOOSE(Translations!$C$1+1,L282,M282,N282)</f>
        <v>&lt;15</v>
      </c>
      <c r="G282" s="4" t="s">
        <v>6574</v>
      </c>
      <c r="H282" s="6" t="s">
        <v>6575</v>
      </c>
      <c r="I282" s="6" t="s">
        <v>697</v>
      </c>
      <c r="J282" s="6" t="s">
        <v>697</v>
      </c>
      <c r="K282" s="6" t="s">
        <v>698</v>
      </c>
      <c r="L282" s="6" t="s">
        <v>5839</v>
      </c>
      <c r="M282" s="6" t="s">
        <v>5839</v>
      </c>
      <c r="N282" s="6" t="s">
        <v>5839</v>
      </c>
      <c r="O282" s="6" t="s">
        <v>1205</v>
      </c>
      <c r="P282" s="6" t="s">
        <v>1206</v>
      </c>
      <c r="Q282" s="6" t="s">
        <v>1207</v>
      </c>
    </row>
    <row r="283" spans="1:17">
      <c r="A283" s="4" t="s">
        <v>1214</v>
      </c>
      <c r="B283" s="4" t="str">
        <f>CHOOSE(Translations!$C$1+1,O283,P283,Q283)</f>
        <v>TCP-5.1 Número de personas en contacto con pacientes de tuberculosis que empezaron a recibir terapia preventiva.</v>
      </c>
      <c r="C283" s="4">
        <f t="shared" si="8"/>
        <v>0</v>
      </c>
      <c r="D283" s="4" t="str">
        <f t="shared" si="9"/>
        <v>TCP-5.1 Número de personas en contacto con pacientes de tuberculosis que empezaron a recibir terapia preventiva.-0</v>
      </c>
      <c r="E283" s="4" t="str">
        <f>CHOOSE(Translations!$C$1+1,I283,J283,K283)</f>
        <v>Edad</v>
      </c>
      <c r="F283" s="4" t="str">
        <f>CHOOSE(Translations!$C$1+1,L283,M283,N283)</f>
        <v>15+</v>
      </c>
      <c r="G283" s="4" t="s">
        <v>6576</v>
      </c>
      <c r="H283" s="6" t="s">
        <v>6577</v>
      </c>
      <c r="I283" s="6" t="s">
        <v>697</v>
      </c>
      <c r="J283" s="6" t="s">
        <v>697</v>
      </c>
      <c r="K283" s="6" t="s">
        <v>698</v>
      </c>
      <c r="L283" s="6" t="s">
        <v>5836</v>
      </c>
      <c r="M283" s="6" t="s">
        <v>5836</v>
      </c>
      <c r="N283" s="6" t="s">
        <v>5836</v>
      </c>
      <c r="O283" s="6" t="s">
        <v>1216</v>
      </c>
      <c r="P283" s="6" t="s">
        <v>1217</v>
      </c>
      <c r="Q283" s="6" t="s">
        <v>1218</v>
      </c>
    </row>
    <row r="284" spans="1:17">
      <c r="A284" s="4" t="s">
        <v>1214</v>
      </c>
      <c r="B284" s="4" t="str">
        <f>CHOOSE(Translations!$C$1+1,O284,P284,Q284)</f>
        <v>TCP-5.1 Número de personas en contacto con pacientes de tuberculosis que empezaron a recibir terapia preventiva.</v>
      </c>
      <c r="C284" s="4">
        <f t="shared" ref="C284:C347" si="10">IF(O284=O283,C283+1,0)</f>
        <v>1</v>
      </c>
      <c r="D284" s="4" t="str">
        <f t="shared" ref="D284:D347" si="11">B284&amp;"-"&amp;C284</f>
        <v>TCP-5.1 Número de personas en contacto con pacientes de tuberculosis que empezaron a recibir terapia preventiva.-1</v>
      </c>
      <c r="E284" s="4" t="str">
        <f>CHOOSE(Translations!$C$1+1,I284,J284,K284)</f>
        <v>Edad</v>
      </c>
      <c r="F284" s="4" t="str">
        <f>CHOOSE(Translations!$C$1+1,L284,M284,N284)</f>
        <v>5-14</v>
      </c>
      <c r="G284" s="4" t="s">
        <v>6578</v>
      </c>
      <c r="H284" s="6" t="s">
        <v>6579</v>
      </c>
      <c r="I284" s="6" t="s">
        <v>697</v>
      </c>
      <c r="J284" s="6" t="s">
        <v>697</v>
      </c>
      <c r="K284" s="6" t="s">
        <v>698</v>
      </c>
      <c r="L284" s="6" t="s">
        <v>5872</v>
      </c>
      <c r="M284" s="6" t="s">
        <v>5872</v>
      </c>
      <c r="N284" s="6" t="s">
        <v>5872</v>
      </c>
      <c r="O284" s="6" t="s">
        <v>1216</v>
      </c>
      <c r="P284" s="6" t="s">
        <v>1217</v>
      </c>
      <c r="Q284" s="6" t="s">
        <v>1218</v>
      </c>
    </row>
    <row r="285" spans="1:17">
      <c r="A285" s="4" t="s">
        <v>1214</v>
      </c>
      <c r="B285" s="4" t="str">
        <f>CHOOSE(Translations!$C$1+1,O285,P285,Q285)</f>
        <v>TCP-5.1 Número de personas en contacto con pacientes de tuberculosis que empezaron a recibir terapia preventiva.</v>
      </c>
      <c r="C285" s="4">
        <f t="shared" si="10"/>
        <v>2</v>
      </c>
      <c r="D285" s="4" t="str">
        <f t="shared" si="11"/>
        <v>TCP-5.1 Número de personas en contacto con pacientes de tuberculosis que empezaron a recibir terapia preventiva.-2</v>
      </c>
      <c r="E285" s="4" t="str">
        <f>CHOOSE(Translations!$C$1+1,I285,J285,K285)</f>
        <v>Edad</v>
      </c>
      <c r="F285" s="4" t="str">
        <f>CHOOSE(Translations!$C$1+1,L285,M285,N285)</f>
        <v>&lt;5</v>
      </c>
      <c r="G285" s="4" t="s">
        <v>6580</v>
      </c>
      <c r="H285" s="6" t="s">
        <v>6581</v>
      </c>
      <c r="I285" s="6" t="s">
        <v>697</v>
      </c>
      <c r="J285" s="6" t="s">
        <v>697</v>
      </c>
      <c r="K285" s="6" t="s">
        <v>698</v>
      </c>
      <c r="L285" s="6" t="s">
        <v>5875</v>
      </c>
      <c r="M285" s="6" t="s">
        <v>5875</v>
      </c>
      <c r="N285" s="6" t="s">
        <v>5875</v>
      </c>
      <c r="O285" s="6" t="s">
        <v>1216</v>
      </c>
      <c r="P285" s="6" t="s">
        <v>1217</v>
      </c>
      <c r="Q285" s="6" t="s">
        <v>1218</v>
      </c>
    </row>
    <row r="286" spans="1:17">
      <c r="A286" s="4" t="s">
        <v>1224</v>
      </c>
      <c r="B286" s="4" t="str">
        <f>CHOOSE(Translations!$C$1+1,O286,P286,Q286)</f>
        <v>TCP-6b Número de casos de tuberculosis (en todas sus formas) notificados entre las poblaciones clave afectadas o los grupos de alto riesgo (distintos de los reclusos).</v>
      </c>
      <c r="C286" s="4">
        <f t="shared" si="10"/>
        <v>0</v>
      </c>
      <c r="D286" s="4" t="str">
        <f t="shared" si="11"/>
        <v>TCP-6b Número de casos de tuberculosis (en todas sus formas) notificados entre las poblaciones clave afectadas o los grupos de alto riesgo (distintos de los reclusos).-0</v>
      </c>
      <c r="E286" s="4" t="str">
        <f>CHOOSE(Translations!$C$1+1,I286,J286,K286)</f>
        <v>Grupo de riesgo objetivo</v>
      </c>
      <c r="F286" s="4" t="str">
        <f>CHOOSE(Translations!$C$1+1,L286,M286,N286)</f>
        <v>Otro grupo de riesgo objetivo [especificar]</v>
      </c>
      <c r="G286" s="4" t="s">
        <v>6582</v>
      </c>
      <c r="H286" s="6" t="s">
        <v>6583</v>
      </c>
      <c r="I286" s="6" t="s">
        <v>1229</v>
      </c>
      <c r="J286" s="6" t="s">
        <v>1230</v>
      </c>
      <c r="K286" s="6" t="s">
        <v>1231</v>
      </c>
      <c r="L286" s="6" t="s">
        <v>6584</v>
      </c>
      <c r="M286" s="6" t="s">
        <v>6585</v>
      </c>
      <c r="N286" s="6" t="s">
        <v>6586</v>
      </c>
      <c r="O286" s="6" t="s">
        <v>1226</v>
      </c>
      <c r="P286" s="6" t="s">
        <v>1227</v>
      </c>
      <c r="Q286" s="6" t="s">
        <v>1228</v>
      </c>
    </row>
    <row r="287" spans="1:17">
      <c r="A287" s="4" t="s">
        <v>1224</v>
      </c>
      <c r="B287" s="4" t="str">
        <f>CHOOSE(Translations!$C$1+1,O287,P287,Q287)</f>
        <v>TCP-6b Número de casos de tuberculosis (en todas sus formas) notificados entre las poblaciones clave afectadas o los grupos de alto riesgo (distintos de los reclusos).</v>
      </c>
      <c r="C287" s="4">
        <f t="shared" si="10"/>
        <v>1</v>
      </c>
      <c r="D287" s="4" t="str">
        <f t="shared" si="11"/>
        <v>TCP-6b Número de casos de tuberculosis (en todas sus formas) notificados entre las poblaciones clave afectadas o los grupos de alto riesgo (distintos de los reclusos).-1</v>
      </c>
      <c r="E287" s="4" t="str">
        <f>CHOOSE(Translations!$C$1+1,I287,J287,K287)</f>
        <v>Grupo de riesgo objetivo</v>
      </c>
      <c r="F287" s="4" t="str">
        <f>CHOOSE(Translations!$C$1+1,L287,M287,N287)</f>
        <v>Migrantes/refugiados/personas internamente desplazadas</v>
      </c>
      <c r="G287" s="4" t="s">
        <v>6587</v>
      </c>
      <c r="H287" s="6" t="s">
        <v>6588</v>
      </c>
      <c r="I287" s="6" t="s">
        <v>1229</v>
      </c>
      <c r="J287" s="6" t="s">
        <v>1230</v>
      </c>
      <c r="K287" s="6" t="s">
        <v>1231</v>
      </c>
      <c r="L287" s="6" t="s">
        <v>6589</v>
      </c>
      <c r="M287" s="6" t="s">
        <v>6590</v>
      </c>
      <c r="N287" s="6" t="s">
        <v>6591</v>
      </c>
      <c r="O287" s="6" t="s">
        <v>1226</v>
      </c>
      <c r="P287" s="6" t="s">
        <v>1227</v>
      </c>
      <c r="Q287" s="6" t="s">
        <v>1228</v>
      </c>
    </row>
    <row r="288" spans="1:17">
      <c r="A288" s="4" t="s">
        <v>1253</v>
      </c>
      <c r="B288" s="4" t="str">
        <f>CHOOSE(Translations!$C$1+1,O288,P288,Q288)</f>
        <v>MDR TB-2⁽ᴹ⁾ Número de casos de tuberculosis resistente a la rifampicina y/o multirresistente notificados.</v>
      </c>
      <c r="C288" s="4">
        <f t="shared" si="10"/>
        <v>0</v>
      </c>
      <c r="D288" s="4" t="str">
        <f t="shared" si="11"/>
        <v>MDR TB-2⁽ᴹ⁾ Número de casos de tuberculosis resistente a la rifampicina y/o multirresistente notificados.-0</v>
      </c>
      <c r="E288" s="4" t="str">
        <f>CHOOSE(Translations!$C$1+1,I288,J288,K288)</f>
        <v>Género</v>
      </c>
      <c r="F288" s="4" t="str">
        <f>CHOOSE(Translations!$C$1+1,L288,M288,N288)</f>
        <v>Mujeres</v>
      </c>
      <c r="G288" s="4" t="s">
        <v>6592</v>
      </c>
      <c r="H288" s="6" t="s">
        <v>6593</v>
      </c>
      <c r="I288" s="6" t="s">
        <v>800</v>
      </c>
      <c r="J288" s="6" t="s">
        <v>801</v>
      </c>
      <c r="K288" s="6" t="s">
        <v>802</v>
      </c>
      <c r="L288" s="6" t="s">
        <v>5826</v>
      </c>
      <c r="M288" s="6" t="s">
        <v>5827</v>
      </c>
      <c r="N288" s="6" t="s">
        <v>5828</v>
      </c>
      <c r="O288" s="6" t="s">
        <v>1255</v>
      </c>
      <c r="P288" s="6" t="s">
        <v>1256</v>
      </c>
      <c r="Q288" s="6" t="s">
        <v>1257</v>
      </c>
    </row>
    <row r="289" spans="1:17">
      <c r="A289" s="4" t="s">
        <v>1253</v>
      </c>
      <c r="B289" s="4" t="str">
        <f>CHOOSE(Translations!$C$1+1,O289,P289,Q289)</f>
        <v>MDR TB-2⁽ᴹ⁾ Número de casos de tuberculosis resistente a la rifampicina y/o multirresistente notificados.</v>
      </c>
      <c r="C289" s="4">
        <f t="shared" si="10"/>
        <v>1</v>
      </c>
      <c r="D289" s="4" t="str">
        <f t="shared" si="11"/>
        <v>MDR TB-2⁽ᴹ⁾ Número de casos de tuberculosis resistente a la rifampicina y/o multirresistente notificados.-1</v>
      </c>
      <c r="E289" s="4" t="str">
        <f>CHOOSE(Translations!$C$1+1,I289,J289,K289)</f>
        <v>Género</v>
      </c>
      <c r="F289" s="4" t="str">
        <f>CHOOSE(Translations!$C$1+1,L289,M289,N289)</f>
        <v>Hombres</v>
      </c>
      <c r="G289" s="4" t="s">
        <v>6594</v>
      </c>
      <c r="H289" s="6" t="s">
        <v>6595</v>
      </c>
      <c r="I289" s="6" t="s">
        <v>800</v>
      </c>
      <c r="J289" s="6" t="s">
        <v>801</v>
      </c>
      <c r="K289" s="6" t="s">
        <v>802</v>
      </c>
      <c r="L289" s="6" t="s">
        <v>5831</v>
      </c>
      <c r="M289" s="6" t="s">
        <v>5832</v>
      </c>
      <c r="N289" s="6" t="s">
        <v>5833</v>
      </c>
      <c r="O289" s="6" t="s">
        <v>1255</v>
      </c>
      <c r="P289" s="6" t="s">
        <v>1256</v>
      </c>
      <c r="Q289" s="6" t="s">
        <v>1257</v>
      </c>
    </row>
    <row r="290" spans="1:17">
      <c r="A290" s="4" t="s">
        <v>1253</v>
      </c>
      <c r="B290" s="4" t="str">
        <f>CHOOSE(Translations!$C$1+1,O290,P290,Q290)</f>
        <v>MDR TB-2⁽ᴹ⁾ Número de casos de tuberculosis resistente a la rifampicina y/o multirresistente notificados.</v>
      </c>
      <c r="C290" s="4">
        <f t="shared" si="10"/>
        <v>2</v>
      </c>
      <c r="D290" s="4" t="str">
        <f t="shared" si="11"/>
        <v>MDR TB-2⁽ᴹ⁾ Número de casos de tuberculosis resistente a la rifampicina y/o multirresistente notificados.-2</v>
      </c>
      <c r="E290" s="4" t="str">
        <f>CHOOSE(Translations!$C$1+1,I290,J290,K290)</f>
        <v>Edad</v>
      </c>
      <c r="F290" s="4" t="str">
        <f>CHOOSE(Translations!$C$1+1,L290,M290,N290)</f>
        <v>15+</v>
      </c>
      <c r="G290" s="4" t="s">
        <v>6596</v>
      </c>
      <c r="H290" s="6" t="s">
        <v>6597</v>
      </c>
      <c r="I290" s="6" t="s">
        <v>697</v>
      </c>
      <c r="J290" s="6" t="s">
        <v>697</v>
      </c>
      <c r="K290" s="6" t="s">
        <v>698</v>
      </c>
      <c r="L290" s="6" t="s">
        <v>5836</v>
      </c>
      <c r="M290" s="6" t="s">
        <v>5836</v>
      </c>
      <c r="N290" s="6" t="s">
        <v>5836</v>
      </c>
      <c r="O290" s="6" t="s">
        <v>1255</v>
      </c>
      <c r="P290" s="6" t="s">
        <v>1256</v>
      </c>
      <c r="Q290" s="6" t="s">
        <v>1257</v>
      </c>
    </row>
    <row r="291" spans="1:17">
      <c r="A291" s="4" t="s">
        <v>1253</v>
      </c>
      <c r="B291" s="4" t="str">
        <f>CHOOSE(Translations!$C$1+1,O291,P291,Q291)</f>
        <v>MDR TB-2⁽ᴹ⁾ Número de casos de tuberculosis resistente a la rifampicina y/o multirresistente notificados.</v>
      </c>
      <c r="C291" s="4">
        <f t="shared" si="10"/>
        <v>3</v>
      </c>
      <c r="D291" s="4" t="str">
        <f t="shared" si="11"/>
        <v>MDR TB-2⁽ᴹ⁾ Número de casos de tuberculosis resistente a la rifampicina y/o multirresistente notificados.-3</v>
      </c>
      <c r="E291" s="4" t="str">
        <f>CHOOSE(Translations!$C$1+1,I291,J291,K291)</f>
        <v>Edad</v>
      </c>
      <c r="F291" s="4" t="str">
        <f>CHOOSE(Translations!$C$1+1,L291,M291,N291)</f>
        <v>&lt;15</v>
      </c>
      <c r="G291" s="4" t="s">
        <v>6598</v>
      </c>
      <c r="H291" s="6" t="s">
        <v>6599</v>
      </c>
      <c r="I291" s="6" t="s">
        <v>697</v>
      </c>
      <c r="J291" s="6" t="s">
        <v>697</v>
      </c>
      <c r="K291" s="6" t="s">
        <v>698</v>
      </c>
      <c r="L291" s="6" t="s">
        <v>5839</v>
      </c>
      <c r="M291" s="6" t="s">
        <v>5839</v>
      </c>
      <c r="N291" s="6" t="s">
        <v>5839</v>
      </c>
      <c r="O291" s="6" t="s">
        <v>1255</v>
      </c>
      <c r="P291" s="6" t="s">
        <v>1256</v>
      </c>
      <c r="Q291" s="6" t="s">
        <v>1257</v>
      </c>
    </row>
    <row r="292" spans="1:17">
      <c r="A292" s="4" t="s">
        <v>1258</v>
      </c>
      <c r="B292" s="4" t="str">
        <f>CHOOSE(Translations!$C$1+1,O292,P292,Q292)</f>
        <v>MDR TB-3⁽ᴹ⁾ Número de casos de tuberculosis resistente a la rifampicina y/o multirresistente que empezaron a recibir tratamiento de segunda línea.</v>
      </c>
      <c r="C292" s="4">
        <f t="shared" si="10"/>
        <v>0</v>
      </c>
      <c r="D292" s="4" t="str">
        <f t="shared" si="11"/>
        <v>MDR TB-3⁽ᴹ⁾ Número de casos de tuberculosis resistente a la rifampicina y/o multirresistente que empezaron a recibir tratamiento de segunda línea.-0</v>
      </c>
      <c r="E292" s="4" t="str">
        <f>CHOOSE(Translations!$C$1+1,I292,J292,K292)</f>
        <v>Tipo de tratamiento</v>
      </c>
      <c r="F292" s="4" t="str">
        <f>CHOOSE(Translations!$C$1+1,L292,M292,N292)</f>
        <v>Regimenes acortados</v>
      </c>
      <c r="G292" s="4" t="s">
        <v>6600</v>
      </c>
      <c r="H292" s="6" t="s">
        <v>6601</v>
      </c>
      <c r="I292" s="6" t="s">
        <v>6602</v>
      </c>
      <c r="J292" s="6" t="s">
        <v>6603</v>
      </c>
      <c r="K292" s="6" t="s">
        <v>6604</v>
      </c>
      <c r="L292" s="6" t="s">
        <v>6605</v>
      </c>
      <c r="M292" s="6" t="s">
        <v>6606</v>
      </c>
      <c r="N292" s="6" t="s">
        <v>6607</v>
      </c>
      <c r="O292" s="6" t="s">
        <v>1260</v>
      </c>
      <c r="P292" s="6" t="s">
        <v>1261</v>
      </c>
      <c r="Q292" s="6" t="s">
        <v>1262</v>
      </c>
    </row>
    <row r="293" spans="1:17">
      <c r="A293" s="4" t="s">
        <v>1258</v>
      </c>
      <c r="B293" s="4" t="str">
        <f>CHOOSE(Translations!$C$1+1,O293,P293,Q293)</f>
        <v>MDR TB-3⁽ᴹ⁾ Número de casos de tuberculosis resistente a la rifampicina y/o multirresistente que empezaron a recibir tratamiento de segunda línea.</v>
      </c>
      <c r="C293" s="4">
        <f t="shared" si="10"/>
        <v>1</v>
      </c>
      <c r="D293" s="4" t="str">
        <f t="shared" si="11"/>
        <v>MDR TB-3⁽ᴹ⁾ Número de casos de tuberculosis resistente a la rifampicina y/o multirresistente que empezaron a recibir tratamiento de segunda línea.-1</v>
      </c>
      <c r="E293" s="4" t="str">
        <f>CHOOSE(Translations!$C$1+1,I293,J293,K293)</f>
        <v>Tipo de tratamiento</v>
      </c>
      <c r="F293" s="4" t="str">
        <f>CHOOSE(Translations!$C$1+1,L293,M293,N293)</f>
        <v>Nuevas drogas anti tuberculosis</v>
      </c>
      <c r="G293" s="4" t="s">
        <v>6608</v>
      </c>
      <c r="H293" s="6" t="s">
        <v>6609</v>
      </c>
      <c r="I293" s="6" t="s">
        <v>6602</v>
      </c>
      <c r="J293" s="6" t="s">
        <v>6603</v>
      </c>
      <c r="K293" s="6" t="s">
        <v>6604</v>
      </c>
      <c r="L293" s="6" t="s">
        <v>6610</v>
      </c>
      <c r="M293" s="6" t="s">
        <v>6611</v>
      </c>
      <c r="N293" s="6" t="s">
        <v>6612</v>
      </c>
      <c r="O293" s="6" t="s">
        <v>1260</v>
      </c>
      <c r="P293" s="6" t="s">
        <v>1261</v>
      </c>
      <c r="Q293" s="6" t="s">
        <v>1262</v>
      </c>
    </row>
    <row r="294" spans="1:17">
      <c r="A294" s="4" t="s">
        <v>1258</v>
      </c>
      <c r="B294" s="4" t="str">
        <f>CHOOSE(Translations!$C$1+1,O294,P294,Q294)</f>
        <v>MDR TB-3⁽ᴹ⁾ Número de casos de tuberculosis resistente a la rifampicina y/o multirresistente que empezaron a recibir tratamiento de segunda línea.</v>
      </c>
      <c r="C294" s="4">
        <f t="shared" si="10"/>
        <v>2</v>
      </c>
      <c r="D294" s="4" t="str">
        <f t="shared" si="11"/>
        <v>MDR TB-3⁽ᴹ⁾ Número de casos de tuberculosis resistente a la rifampicina y/o multirresistente que empezaron a recibir tratamiento de segunda línea.-2</v>
      </c>
      <c r="E294" s="4" t="str">
        <f>CHOOSE(Translations!$C$1+1,I294,J294,K294)</f>
        <v>Género</v>
      </c>
      <c r="F294" s="4" t="str">
        <f>CHOOSE(Translations!$C$1+1,L294,M294,N294)</f>
        <v>Mujeres</v>
      </c>
      <c r="G294" s="4" t="s">
        <v>6613</v>
      </c>
      <c r="H294" s="6" t="s">
        <v>6614</v>
      </c>
      <c r="I294" s="6" t="s">
        <v>800</v>
      </c>
      <c r="J294" s="6" t="s">
        <v>801</v>
      </c>
      <c r="K294" s="6" t="s">
        <v>802</v>
      </c>
      <c r="L294" s="6" t="s">
        <v>5826</v>
      </c>
      <c r="M294" s="6" t="s">
        <v>5827</v>
      </c>
      <c r="N294" s="6" t="s">
        <v>5828</v>
      </c>
      <c r="O294" s="6" t="s">
        <v>1260</v>
      </c>
      <c r="P294" s="6" t="s">
        <v>1261</v>
      </c>
      <c r="Q294" s="6" t="s">
        <v>1262</v>
      </c>
    </row>
    <row r="295" spans="1:17">
      <c r="A295" s="4" t="s">
        <v>1258</v>
      </c>
      <c r="B295" s="4" t="str">
        <f>CHOOSE(Translations!$C$1+1,O295,P295,Q295)</f>
        <v>MDR TB-3⁽ᴹ⁾ Número de casos de tuberculosis resistente a la rifampicina y/o multirresistente que empezaron a recibir tratamiento de segunda línea.</v>
      </c>
      <c r="C295" s="4">
        <f t="shared" si="10"/>
        <v>3</v>
      </c>
      <c r="D295" s="4" t="str">
        <f t="shared" si="11"/>
        <v>MDR TB-3⁽ᴹ⁾ Número de casos de tuberculosis resistente a la rifampicina y/o multirresistente que empezaron a recibir tratamiento de segunda línea.-3</v>
      </c>
      <c r="E295" s="4" t="str">
        <f>CHOOSE(Translations!$C$1+1,I295,J295,K295)</f>
        <v>Género</v>
      </c>
      <c r="F295" s="4" t="str">
        <f>CHOOSE(Translations!$C$1+1,L295,M295,N295)</f>
        <v>Hombres</v>
      </c>
      <c r="G295" s="4" t="s">
        <v>6615</v>
      </c>
      <c r="H295" s="6" t="s">
        <v>6616</v>
      </c>
      <c r="I295" s="6" t="s">
        <v>800</v>
      </c>
      <c r="J295" s="6" t="s">
        <v>801</v>
      </c>
      <c r="K295" s="6" t="s">
        <v>802</v>
      </c>
      <c r="L295" s="6" t="s">
        <v>5831</v>
      </c>
      <c r="M295" s="6" t="s">
        <v>5832</v>
      </c>
      <c r="N295" s="6" t="s">
        <v>5833</v>
      </c>
      <c r="O295" s="6" t="s">
        <v>1260</v>
      </c>
      <c r="P295" s="6" t="s">
        <v>1261</v>
      </c>
      <c r="Q295" s="6" t="s">
        <v>1262</v>
      </c>
    </row>
    <row r="296" spans="1:17">
      <c r="A296" s="4" t="s">
        <v>1258</v>
      </c>
      <c r="B296" s="4" t="str">
        <f>CHOOSE(Translations!$C$1+1,O296,P296,Q296)</f>
        <v>MDR TB-3⁽ᴹ⁾ Número de casos de tuberculosis resistente a la rifampicina y/o multirresistente que empezaron a recibir tratamiento de segunda línea.</v>
      </c>
      <c r="C296" s="4">
        <f t="shared" si="10"/>
        <v>4</v>
      </c>
      <c r="D296" s="4" t="str">
        <f t="shared" si="11"/>
        <v>MDR TB-3⁽ᴹ⁾ Número de casos de tuberculosis resistente a la rifampicina y/o multirresistente que empezaron a recibir tratamiento de segunda línea.-4</v>
      </c>
      <c r="E296" s="4" t="str">
        <f>CHOOSE(Translations!$C$1+1,I296,J296,K296)</f>
        <v>Edad</v>
      </c>
      <c r="F296" s="4" t="str">
        <f>CHOOSE(Translations!$C$1+1,L296,M296,N296)</f>
        <v>15+</v>
      </c>
      <c r="G296" s="4" t="s">
        <v>6617</v>
      </c>
      <c r="H296" s="6" t="s">
        <v>6618</v>
      </c>
      <c r="I296" s="6" t="s">
        <v>697</v>
      </c>
      <c r="J296" s="6" t="s">
        <v>697</v>
      </c>
      <c r="K296" s="6" t="s">
        <v>698</v>
      </c>
      <c r="L296" s="6" t="s">
        <v>5836</v>
      </c>
      <c r="M296" s="6" t="s">
        <v>5836</v>
      </c>
      <c r="N296" s="6" t="s">
        <v>5836</v>
      </c>
      <c r="O296" s="6" t="s">
        <v>1260</v>
      </c>
      <c r="P296" s="6" t="s">
        <v>1261</v>
      </c>
      <c r="Q296" s="6" t="s">
        <v>1262</v>
      </c>
    </row>
    <row r="297" spans="1:17">
      <c r="A297" s="4" t="s">
        <v>1258</v>
      </c>
      <c r="B297" s="4" t="str">
        <f>CHOOSE(Translations!$C$1+1,O297,P297,Q297)</f>
        <v>MDR TB-3⁽ᴹ⁾ Número de casos de tuberculosis resistente a la rifampicina y/o multirresistente que empezaron a recibir tratamiento de segunda línea.</v>
      </c>
      <c r="C297" s="4">
        <f t="shared" si="10"/>
        <v>5</v>
      </c>
      <c r="D297" s="4" t="str">
        <f t="shared" si="11"/>
        <v>MDR TB-3⁽ᴹ⁾ Número de casos de tuberculosis resistente a la rifampicina y/o multirresistente que empezaron a recibir tratamiento de segunda línea.-5</v>
      </c>
      <c r="E297" s="4" t="str">
        <f>CHOOSE(Translations!$C$1+1,I297,J297,K297)</f>
        <v>Edad</v>
      </c>
      <c r="F297" s="4" t="str">
        <f>CHOOSE(Translations!$C$1+1,L297,M297,N297)</f>
        <v>&lt;15</v>
      </c>
      <c r="G297" s="4" t="s">
        <v>6619</v>
      </c>
      <c r="H297" s="6" t="s">
        <v>6620</v>
      </c>
      <c r="I297" s="6" t="s">
        <v>697</v>
      </c>
      <c r="J297" s="6" t="s">
        <v>697</v>
      </c>
      <c r="K297" s="6" t="s">
        <v>698</v>
      </c>
      <c r="L297" s="6" t="s">
        <v>5839</v>
      </c>
      <c r="M297" s="6" t="s">
        <v>5839</v>
      </c>
      <c r="N297" s="6" t="s">
        <v>5839</v>
      </c>
      <c r="O297" s="6" t="s">
        <v>1260</v>
      </c>
      <c r="P297" s="6" t="s">
        <v>1261</v>
      </c>
      <c r="Q297" s="6" t="s">
        <v>1262</v>
      </c>
    </row>
    <row r="298" spans="1:17">
      <c r="A298" s="4" t="s">
        <v>1291</v>
      </c>
      <c r="B298" s="4" t="str">
        <f>CHOOSE(Translations!$C$1+1,O298,P298,Q298)</f>
        <v>MDR TB-9 Índice de éxito del tratamiento de los casos de tuberculosis resistente a la rifampicina y/o tuberculosis multirresistente: Porcentaje de casos de tuberculosis resistente a la rifampicina y/o tuberculosis multirresistente tratados con éxito.</v>
      </c>
      <c r="C298" s="4">
        <f t="shared" si="10"/>
        <v>0</v>
      </c>
      <c r="D298" s="4" t="str">
        <f t="shared" si="11"/>
        <v>MDR TB-9 Índice de éxito del tratamiento de los casos de tuberculosis resistente a la rifampicina y/o tuberculosis multirresistente: Porcentaje de casos de tuberculosis resistente a la rifampicina y/o tuberculosis multirresistente tratados con éxito.-0</v>
      </c>
      <c r="E298" s="4" t="str">
        <f>CHOOSE(Translations!$C$1+1,I298,J298,K298)</f>
        <v>Definición de caso</v>
      </c>
      <c r="F298" s="4" t="str">
        <f>CHOOSE(Translations!$C$1+1,L298,M298,N298)</f>
        <v>TB-XDR</v>
      </c>
      <c r="G298" s="4" t="s">
        <v>6621</v>
      </c>
      <c r="H298" s="6" t="s">
        <v>6622</v>
      </c>
      <c r="I298" s="6" t="s">
        <v>6541</v>
      </c>
      <c r="J298" s="6" t="s">
        <v>5913</v>
      </c>
      <c r="K298" s="6" t="s">
        <v>5914</v>
      </c>
      <c r="L298" s="6" t="s">
        <v>6623</v>
      </c>
      <c r="M298" s="6" t="s">
        <v>6624</v>
      </c>
      <c r="N298" s="6" t="s">
        <v>6624</v>
      </c>
      <c r="O298" s="6" t="s">
        <v>1293</v>
      </c>
      <c r="P298" s="6" t="s">
        <v>1294</v>
      </c>
      <c r="Q298" s="6" t="s">
        <v>1295</v>
      </c>
    </row>
    <row r="299" spans="1:17">
      <c r="A299" s="4" t="s">
        <v>1291</v>
      </c>
      <c r="B299" s="4" t="str">
        <f>CHOOSE(Translations!$C$1+1,O299,P299,Q299)</f>
        <v>MDR TB-9 Índice de éxito del tratamiento de los casos de tuberculosis resistente a la rifampicina y/o tuberculosis multirresistente: Porcentaje de casos de tuberculosis resistente a la rifampicina y/o tuberculosis multirresistente tratados con éxito.</v>
      </c>
      <c r="C299" s="4">
        <f t="shared" si="10"/>
        <v>1</v>
      </c>
      <c r="D299" s="4" t="str">
        <f t="shared" si="11"/>
        <v>MDR TB-9 Índice de éxito del tratamiento de los casos de tuberculosis resistente a la rifampicina y/o tuberculosis multirresistente: Porcentaje de casos de tuberculosis resistente a la rifampicina y/o tuberculosis multirresistente tratados con éxito.-1</v>
      </c>
      <c r="E299" s="4" t="str">
        <f>CHOOSE(Translations!$C$1+1,I299,J299,K299)</f>
        <v>Resultado de prueba del VIH</v>
      </c>
      <c r="F299" s="4" t="str">
        <f>CHOOSE(Translations!$C$1+1,L299,M299,N299)</f>
        <v>Positivo</v>
      </c>
      <c r="G299" s="4" t="s">
        <v>6625</v>
      </c>
      <c r="H299" s="6" t="s">
        <v>6626</v>
      </c>
      <c r="I299" s="6" t="s">
        <v>1092</v>
      </c>
      <c r="J299" s="6" t="s">
        <v>1093</v>
      </c>
      <c r="K299" s="6" t="s">
        <v>1094</v>
      </c>
      <c r="L299" s="6" t="s">
        <v>6309</v>
      </c>
      <c r="M299" s="6" t="s">
        <v>6310</v>
      </c>
      <c r="N299" s="6" t="s">
        <v>6311</v>
      </c>
      <c r="O299" s="6" t="s">
        <v>1293</v>
      </c>
      <c r="P299" s="6" t="s">
        <v>1294</v>
      </c>
      <c r="Q299" s="6" t="s">
        <v>1295</v>
      </c>
    </row>
    <row r="300" spans="1:17">
      <c r="A300" s="4" t="s">
        <v>1291</v>
      </c>
      <c r="B300" s="4" t="str">
        <f>CHOOSE(Translations!$C$1+1,O300,P300,Q300)</f>
        <v>MDR TB-9 Índice de éxito del tratamiento de los casos de tuberculosis resistente a la rifampicina y/o tuberculosis multirresistente: Porcentaje de casos de tuberculosis resistente a la rifampicina y/o tuberculosis multirresistente tratados con éxito.</v>
      </c>
      <c r="C300" s="4">
        <f t="shared" si="10"/>
        <v>2</v>
      </c>
      <c r="D300" s="4" t="str">
        <f t="shared" si="11"/>
        <v>MDR TB-9 Índice de éxito del tratamiento de los casos de tuberculosis resistente a la rifampicina y/o tuberculosis multirresistente: Porcentaje de casos de tuberculosis resistente a la rifampicina y/o tuberculosis multirresistente tratados con éxito.-2</v>
      </c>
      <c r="E300" s="4" t="str">
        <f>CHOOSE(Translations!$C$1+1,I300,J300,K300)</f>
        <v>Género</v>
      </c>
      <c r="F300" s="4" t="str">
        <f>CHOOSE(Translations!$C$1+1,L300,M300,N300)</f>
        <v>Mujeres</v>
      </c>
      <c r="G300" s="4" t="s">
        <v>6627</v>
      </c>
      <c r="H300" s="6" t="s">
        <v>6628</v>
      </c>
      <c r="I300" s="6" t="s">
        <v>800</v>
      </c>
      <c r="J300" s="6" t="s">
        <v>801</v>
      </c>
      <c r="K300" s="6" t="s">
        <v>802</v>
      </c>
      <c r="L300" s="6" t="s">
        <v>5826</v>
      </c>
      <c r="M300" s="6" t="s">
        <v>5827</v>
      </c>
      <c r="N300" s="6" t="s">
        <v>5828</v>
      </c>
      <c r="O300" s="6" t="s">
        <v>1293</v>
      </c>
      <c r="P300" s="6" t="s">
        <v>1294</v>
      </c>
      <c r="Q300" s="6" t="s">
        <v>1295</v>
      </c>
    </row>
    <row r="301" spans="1:17">
      <c r="A301" s="4" t="s">
        <v>1291</v>
      </c>
      <c r="B301" s="4" t="str">
        <f>CHOOSE(Translations!$C$1+1,O301,P301,Q301)</f>
        <v>MDR TB-9 Índice de éxito del tratamiento de los casos de tuberculosis resistente a la rifampicina y/o tuberculosis multirresistente: Porcentaje de casos de tuberculosis resistente a la rifampicina y/o tuberculosis multirresistente tratados con éxito.</v>
      </c>
      <c r="C301" s="4">
        <f t="shared" si="10"/>
        <v>3</v>
      </c>
      <c r="D301" s="4" t="str">
        <f t="shared" si="11"/>
        <v>MDR TB-9 Índice de éxito del tratamiento de los casos de tuberculosis resistente a la rifampicina y/o tuberculosis multirresistente: Porcentaje de casos de tuberculosis resistente a la rifampicina y/o tuberculosis multirresistente tratados con éxito.-3</v>
      </c>
      <c r="E301" s="4" t="str">
        <f>CHOOSE(Translations!$C$1+1,I301,J301,K301)</f>
        <v>Género</v>
      </c>
      <c r="F301" s="4" t="str">
        <f>CHOOSE(Translations!$C$1+1,L301,M301,N301)</f>
        <v>Hombres</v>
      </c>
      <c r="G301" s="4" t="s">
        <v>6629</v>
      </c>
      <c r="H301" s="6" t="s">
        <v>6630</v>
      </c>
      <c r="I301" s="6" t="s">
        <v>800</v>
      </c>
      <c r="J301" s="6" t="s">
        <v>801</v>
      </c>
      <c r="K301" s="6" t="s">
        <v>802</v>
      </c>
      <c r="L301" s="6" t="s">
        <v>5831</v>
      </c>
      <c r="M301" s="6" t="s">
        <v>5832</v>
      </c>
      <c r="N301" s="6" t="s">
        <v>5833</v>
      </c>
      <c r="O301" s="6" t="s">
        <v>1293</v>
      </c>
      <c r="P301" s="6" t="s">
        <v>1294</v>
      </c>
      <c r="Q301" s="6" t="s">
        <v>1295</v>
      </c>
    </row>
    <row r="302" spans="1:17">
      <c r="A302" s="4" t="s">
        <v>1291</v>
      </c>
      <c r="B302" s="4" t="str">
        <f>CHOOSE(Translations!$C$1+1,O302,P302,Q302)</f>
        <v>MDR TB-9 Índice de éxito del tratamiento de los casos de tuberculosis resistente a la rifampicina y/o tuberculosis multirresistente: Porcentaje de casos de tuberculosis resistente a la rifampicina y/o tuberculosis multirresistente tratados con éxito.</v>
      </c>
      <c r="C302" s="4">
        <f t="shared" si="10"/>
        <v>4</v>
      </c>
      <c r="D302" s="4" t="str">
        <f t="shared" si="11"/>
        <v>MDR TB-9 Índice de éxito del tratamiento de los casos de tuberculosis resistente a la rifampicina y/o tuberculosis multirresistente: Porcentaje de casos de tuberculosis resistente a la rifampicina y/o tuberculosis multirresistente tratados con éxito.-4</v>
      </c>
      <c r="E302" s="4" t="str">
        <f>CHOOSE(Translations!$C$1+1,I302,J302,K302)</f>
        <v>Edad</v>
      </c>
      <c r="F302" s="4" t="str">
        <f>CHOOSE(Translations!$C$1+1,L302,M302,N302)</f>
        <v>15+</v>
      </c>
      <c r="G302" s="4" t="s">
        <v>6631</v>
      </c>
      <c r="H302" s="6" t="s">
        <v>6632</v>
      </c>
      <c r="I302" s="6" t="s">
        <v>697</v>
      </c>
      <c r="J302" s="6" t="s">
        <v>697</v>
      </c>
      <c r="K302" s="6" t="s">
        <v>698</v>
      </c>
      <c r="L302" s="6" t="s">
        <v>5836</v>
      </c>
      <c r="M302" s="6" t="s">
        <v>5836</v>
      </c>
      <c r="N302" s="6" t="s">
        <v>5836</v>
      </c>
      <c r="O302" s="6" t="s">
        <v>1293</v>
      </c>
      <c r="P302" s="6" t="s">
        <v>1294</v>
      </c>
      <c r="Q302" s="6" t="s">
        <v>1295</v>
      </c>
    </row>
    <row r="303" spans="1:17">
      <c r="A303" s="4" t="s">
        <v>1291</v>
      </c>
      <c r="B303" s="4" t="str">
        <f>CHOOSE(Translations!$C$1+1,O303,P303,Q303)</f>
        <v>MDR TB-9 Índice de éxito del tratamiento de los casos de tuberculosis resistente a la rifampicina y/o tuberculosis multirresistente: Porcentaje de casos de tuberculosis resistente a la rifampicina y/o tuberculosis multirresistente tratados con éxito.</v>
      </c>
      <c r="C303" s="4">
        <f t="shared" si="10"/>
        <v>5</v>
      </c>
      <c r="D303" s="4" t="str">
        <f t="shared" si="11"/>
        <v>MDR TB-9 Índice de éxito del tratamiento de los casos de tuberculosis resistente a la rifampicina y/o tuberculosis multirresistente: Porcentaje de casos de tuberculosis resistente a la rifampicina y/o tuberculosis multirresistente tratados con éxito.-5</v>
      </c>
      <c r="E303" s="4" t="str">
        <f>CHOOSE(Translations!$C$1+1,I303,J303,K303)</f>
        <v>Edad</v>
      </c>
      <c r="F303" s="4" t="str">
        <f>CHOOSE(Translations!$C$1+1,L303,M303,N303)</f>
        <v>&lt;15</v>
      </c>
      <c r="G303" s="4" t="s">
        <v>6633</v>
      </c>
      <c r="H303" s="6" t="s">
        <v>6634</v>
      </c>
      <c r="I303" s="6" t="s">
        <v>697</v>
      </c>
      <c r="J303" s="6" t="s">
        <v>697</v>
      </c>
      <c r="K303" s="6" t="s">
        <v>698</v>
      </c>
      <c r="L303" s="6" t="s">
        <v>5839</v>
      </c>
      <c r="M303" s="6" t="s">
        <v>5839</v>
      </c>
      <c r="N303" s="6" t="s">
        <v>5839</v>
      </c>
      <c r="O303" s="6" t="s">
        <v>1293</v>
      </c>
      <c r="P303" s="6" t="s">
        <v>1294</v>
      </c>
      <c r="Q303" s="6" t="s">
        <v>1295</v>
      </c>
    </row>
    <row r="304" spans="1:17">
      <c r="A304" s="4" t="s">
        <v>1302</v>
      </c>
      <c r="B304" s="4" t="str">
        <f>CHOOSE(Translations!$C$1+1,O304,P304,Q304)</f>
        <v>TB/HIV-5 Porcentaje de casos nuevos y recaídas de TB registrados, con estado serológico de VIH documentado</v>
      </c>
      <c r="C304" s="4">
        <f t="shared" si="10"/>
        <v>0</v>
      </c>
      <c r="D304" s="4" t="str">
        <f t="shared" si="11"/>
        <v>TB/HIV-5 Porcentaje de casos nuevos y recaídas de TB registrados, con estado serológico de VIH documentado-0</v>
      </c>
      <c r="E304" s="4" t="str">
        <f>CHOOSE(Translations!$C$1+1,I304,J304,K304)</f>
        <v>Resultado de prueba del VIH</v>
      </c>
      <c r="F304" s="4" t="str">
        <f>CHOOSE(Translations!$C$1+1,L304,M304,N304)</f>
        <v>Positivo</v>
      </c>
      <c r="G304" s="4" t="s">
        <v>6635</v>
      </c>
      <c r="H304" s="6" t="s">
        <v>6636</v>
      </c>
      <c r="I304" s="6" t="s">
        <v>1092</v>
      </c>
      <c r="J304" s="6" t="s">
        <v>1093</v>
      </c>
      <c r="K304" s="6" t="s">
        <v>1094</v>
      </c>
      <c r="L304" s="6" t="s">
        <v>6309</v>
      </c>
      <c r="M304" s="6" t="s">
        <v>6310</v>
      </c>
      <c r="N304" s="6" t="s">
        <v>6311</v>
      </c>
      <c r="O304" s="6" t="s">
        <v>1304</v>
      </c>
      <c r="P304" s="6" t="s">
        <v>1305</v>
      </c>
      <c r="Q304" s="6" t="s">
        <v>1306</v>
      </c>
    </row>
    <row r="305" spans="1:17">
      <c r="A305" s="4" t="s">
        <v>1302</v>
      </c>
      <c r="B305" s="4" t="str">
        <f>CHOOSE(Translations!$C$1+1,O305,P305,Q305)</f>
        <v>TB/HIV-5 Porcentaje de casos nuevos y recaídas de TB registrados, con estado serológico de VIH documentado</v>
      </c>
      <c r="C305" s="4">
        <f t="shared" si="10"/>
        <v>1</v>
      </c>
      <c r="D305" s="4" t="str">
        <f t="shared" si="11"/>
        <v>TB/HIV-5 Porcentaje de casos nuevos y recaídas de TB registrados, con estado serológico de VIH documentado-1</v>
      </c>
      <c r="E305" s="4" t="str">
        <f>CHOOSE(Translations!$C$1+1,I305,J305,K305)</f>
        <v>Género</v>
      </c>
      <c r="F305" s="4" t="str">
        <f>CHOOSE(Translations!$C$1+1,L305,M305,N305)</f>
        <v>Mujeres</v>
      </c>
      <c r="G305" s="4" t="s">
        <v>6637</v>
      </c>
      <c r="H305" s="6" t="s">
        <v>6638</v>
      </c>
      <c r="I305" s="6" t="s">
        <v>800</v>
      </c>
      <c r="J305" s="6" t="s">
        <v>801</v>
      </c>
      <c r="K305" s="6" t="s">
        <v>802</v>
      </c>
      <c r="L305" s="6" t="s">
        <v>5826</v>
      </c>
      <c r="M305" s="6" t="s">
        <v>5827</v>
      </c>
      <c r="N305" s="6" t="s">
        <v>5828</v>
      </c>
      <c r="O305" s="6" t="s">
        <v>1304</v>
      </c>
      <c r="P305" s="6" t="s">
        <v>1305</v>
      </c>
      <c r="Q305" s="6" t="s">
        <v>1306</v>
      </c>
    </row>
    <row r="306" spans="1:17">
      <c r="A306" s="4" t="s">
        <v>1302</v>
      </c>
      <c r="B306" s="4" t="str">
        <f>CHOOSE(Translations!$C$1+1,O306,P306,Q306)</f>
        <v>TB/HIV-5 Porcentaje de casos nuevos y recaídas de TB registrados, con estado serológico de VIH documentado</v>
      </c>
      <c r="C306" s="4">
        <f t="shared" si="10"/>
        <v>2</v>
      </c>
      <c r="D306" s="4" t="str">
        <f t="shared" si="11"/>
        <v>TB/HIV-5 Porcentaje de casos nuevos y recaídas de TB registrados, con estado serológico de VIH documentado-2</v>
      </c>
      <c r="E306" s="4" t="str">
        <f>CHOOSE(Translations!$C$1+1,I306,J306,K306)</f>
        <v>Género</v>
      </c>
      <c r="F306" s="4" t="str">
        <f>CHOOSE(Translations!$C$1+1,L306,M306,N306)</f>
        <v>Hombres</v>
      </c>
      <c r="G306" s="4" t="s">
        <v>6639</v>
      </c>
      <c r="H306" s="6" t="s">
        <v>6640</v>
      </c>
      <c r="I306" s="6" t="s">
        <v>800</v>
      </c>
      <c r="J306" s="6" t="s">
        <v>801</v>
      </c>
      <c r="K306" s="6" t="s">
        <v>802</v>
      </c>
      <c r="L306" s="6" t="s">
        <v>5831</v>
      </c>
      <c r="M306" s="6" t="s">
        <v>5832</v>
      </c>
      <c r="N306" s="6" t="s">
        <v>5833</v>
      </c>
      <c r="O306" s="6" t="s">
        <v>1304</v>
      </c>
      <c r="P306" s="6" t="s">
        <v>1305</v>
      </c>
      <c r="Q306" s="6" t="s">
        <v>1306</v>
      </c>
    </row>
    <row r="307" spans="1:17">
      <c r="A307" s="4" t="s">
        <v>1302</v>
      </c>
      <c r="B307" s="4" t="str">
        <f>CHOOSE(Translations!$C$1+1,O307,P307,Q307)</f>
        <v>TB/HIV-5 Porcentaje de casos nuevos y recaídas de TB registrados, con estado serológico de VIH documentado</v>
      </c>
      <c r="C307" s="4">
        <f t="shared" si="10"/>
        <v>3</v>
      </c>
      <c r="D307" s="4" t="str">
        <f t="shared" si="11"/>
        <v>TB/HIV-5 Porcentaje de casos nuevos y recaídas de TB registrados, con estado serológico de VIH documentado-3</v>
      </c>
      <c r="E307" s="4" t="str">
        <f>CHOOSE(Translations!$C$1+1,I307,J307,K307)</f>
        <v>Edad</v>
      </c>
      <c r="F307" s="4" t="str">
        <f>CHOOSE(Translations!$C$1+1,L307,M307,N307)</f>
        <v>15+</v>
      </c>
      <c r="G307" s="4" t="s">
        <v>6641</v>
      </c>
      <c r="H307" s="6" t="s">
        <v>6642</v>
      </c>
      <c r="I307" s="6" t="s">
        <v>697</v>
      </c>
      <c r="J307" s="6" t="s">
        <v>697</v>
      </c>
      <c r="K307" s="6" t="s">
        <v>698</v>
      </c>
      <c r="L307" s="6" t="s">
        <v>5836</v>
      </c>
      <c r="M307" s="6" t="s">
        <v>5836</v>
      </c>
      <c r="N307" s="6" t="s">
        <v>5836</v>
      </c>
      <c r="O307" s="6" t="s">
        <v>1304</v>
      </c>
      <c r="P307" s="6" t="s">
        <v>1305</v>
      </c>
      <c r="Q307" s="6" t="s">
        <v>1306</v>
      </c>
    </row>
    <row r="308" spans="1:17">
      <c r="A308" s="4" t="s">
        <v>1302</v>
      </c>
      <c r="B308" s="4" t="str">
        <f>CHOOSE(Translations!$C$1+1,O308,P308,Q308)</f>
        <v>TB/HIV-5 Porcentaje de casos nuevos y recaídas de TB registrados, con estado serológico de VIH documentado</v>
      </c>
      <c r="C308" s="4">
        <f t="shared" si="10"/>
        <v>4</v>
      </c>
      <c r="D308" s="4" t="str">
        <f t="shared" si="11"/>
        <v>TB/HIV-5 Porcentaje de casos nuevos y recaídas de TB registrados, con estado serológico de VIH documentado-4</v>
      </c>
      <c r="E308" s="4" t="str">
        <f>CHOOSE(Translations!$C$1+1,I308,J308,K308)</f>
        <v>Edad</v>
      </c>
      <c r="F308" s="4" t="str">
        <f>CHOOSE(Translations!$C$1+1,L308,M308,N308)</f>
        <v>5-14</v>
      </c>
      <c r="G308" s="4" t="s">
        <v>6643</v>
      </c>
      <c r="H308" s="6" t="s">
        <v>6644</v>
      </c>
      <c r="I308" s="6" t="s">
        <v>697</v>
      </c>
      <c r="J308" s="6" t="s">
        <v>697</v>
      </c>
      <c r="K308" s="6" t="s">
        <v>698</v>
      </c>
      <c r="L308" s="6" t="s">
        <v>5872</v>
      </c>
      <c r="M308" s="6" t="s">
        <v>5872</v>
      </c>
      <c r="N308" s="6" t="s">
        <v>5872</v>
      </c>
      <c r="O308" s="6" t="s">
        <v>1304</v>
      </c>
      <c r="P308" s="6" t="s">
        <v>1305</v>
      </c>
      <c r="Q308" s="6" t="s">
        <v>1306</v>
      </c>
    </row>
    <row r="309" spans="1:17">
      <c r="A309" s="4" t="s">
        <v>1302</v>
      </c>
      <c r="B309" s="4" t="str">
        <f>CHOOSE(Translations!$C$1+1,O309,P309,Q309)</f>
        <v>TB/HIV-5 Porcentaje de casos nuevos y recaídas de TB registrados, con estado serológico de VIH documentado</v>
      </c>
      <c r="C309" s="4">
        <f t="shared" si="10"/>
        <v>5</v>
      </c>
      <c r="D309" s="4" t="str">
        <f t="shared" si="11"/>
        <v>TB/HIV-5 Porcentaje de casos nuevos y recaídas de TB registrados, con estado serológico de VIH documentado-5</v>
      </c>
      <c r="E309" s="4" t="str">
        <f>CHOOSE(Translations!$C$1+1,I309,J309,K309)</f>
        <v>Edad</v>
      </c>
      <c r="F309" s="4" t="str">
        <f>CHOOSE(Translations!$C$1+1,L309,M309,N309)</f>
        <v>&lt;5</v>
      </c>
      <c r="G309" s="4" t="s">
        <v>6645</v>
      </c>
      <c r="H309" s="6" t="s">
        <v>6646</v>
      </c>
      <c r="I309" s="6" t="s">
        <v>697</v>
      </c>
      <c r="J309" s="6" t="s">
        <v>697</v>
      </c>
      <c r="K309" s="6" t="s">
        <v>698</v>
      </c>
      <c r="L309" s="6" t="s">
        <v>5875</v>
      </c>
      <c r="M309" s="6" t="s">
        <v>5875</v>
      </c>
      <c r="N309" s="6" t="s">
        <v>5875</v>
      </c>
      <c r="O309" s="6" t="s">
        <v>1304</v>
      </c>
      <c r="P309" s="6" t="s">
        <v>1305</v>
      </c>
      <c r="Q309" s="6" t="s">
        <v>1306</v>
      </c>
    </row>
    <row r="310" spans="1:17">
      <c r="A310" s="4" t="s">
        <v>1307</v>
      </c>
      <c r="B310" s="4" t="str">
        <f>CHOOSE(Translations!$C$1+1,O310,P310,Q310)</f>
        <v>TB/HIV-6⁽ᴹ⁾ Porcentaje de casos nuevos y recaídas de TB coinfectados con VIH que recibieron TARV durante el tratamiento de la TB</v>
      </c>
      <c r="C310" s="4">
        <f t="shared" si="10"/>
        <v>0</v>
      </c>
      <c r="D310" s="4" t="str">
        <f t="shared" si="11"/>
        <v>TB/HIV-6⁽ᴹ⁾ Porcentaje de casos nuevos y recaídas de TB coinfectados con VIH que recibieron TARV durante el tratamiento de la TB-0</v>
      </c>
      <c r="E310" s="4" t="str">
        <f>CHOOSE(Translations!$C$1+1,I310,J310,K310)</f>
        <v>Género</v>
      </c>
      <c r="F310" s="4" t="str">
        <f>CHOOSE(Translations!$C$1+1,L310,M310,N310)</f>
        <v>Mujeres</v>
      </c>
      <c r="G310" s="4" t="s">
        <v>6647</v>
      </c>
      <c r="H310" s="6" t="s">
        <v>6648</v>
      </c>
      <c r="I310" s="6" t="s">
        <v>800</v>
      </c>
      <c r="J310" s="6" t="s">
        <v>801</v>
      </c>
      <c r="K310" s="6" t="s">
        <v>802</v>
      </c>
      <c r="L310" s="6" t="s">
        <v>5826</v>
      </c>
      <c r="M310" s="6" t="s">
        <v>5827</v>
      </c>
      <c r="N310" s="6" t="s">
        <v>5828</v>
      </c>
      <c r="O310" s="6" t="s">
        <v>1309</v>
      </c>
      <c r="P310" s="6" t="s">
        <v>1310</v>
      </c>
      <c r="Q310" s="6" t="s">
        <v>1311</v>
      </c>
    </row>
    <row r="311" spans="1:17">
      <c r="A311" s="4" t="s">
        <v>1307</v>
      </c>
      <c r="B311" s="4" t="str">
        <f>CHOOSE(Translations!$C$1+1,O311,P311,Q311)</f>
        <v>TB/HIV-6⁽ᴹ⁾ Porcentaje de casos nuevos y recaídas de TB coinfectados con VIH que recibieron TARV durante el tratamiento de la TB</v>
      </c>
      <c r="C311" s="4">
        <f t="shared" si="10"/>
        <v>1</v>
      </c>
      <c r="D311" s="4" t="str">
        <f t="shared" si="11"/>
        <v>TB/HIV-6⁽ᴹ⁾ Porcentaje de casos nuevos y recaídas de TB coinfectados con VIH que recibieron TARV durante el tratamiento de la TB-1</v>
      </c>
      <c r="E311" s="4" t="str">
        <f>CHOOSE(Translations!$C$1+1,I311,J311,K311)</f>
        <v>Género</v>
      </c>
      <c r="F311" s="4" t="str">
        <f>CHOOSE(Translations!$C$1+1,L311,M311,N311)</f>
        <v>Hombres</v>
      </c>
      <c r="G311" s="4" t="s">
        <v>6649</v>
      </c>
      <c r="H311" s="6" t="s">
        <v>6650</v>
      </c>
      <c r="I311" s="6" t="s">
        <v>800</v>
      </c>
      <c r="J311" s="6" t="s">
        <v>801</v>
      </c>
      <c r="K311" s="6" t="s">
        <v>802</v>
      </c>
      <c r="L311" s="6" t="s">
        <v>5831</v>
      </c>
      <c r="M311" s="6" t="s">
        <v>5832</v>
      </c>
      <c r="N311" s="6" t="s">
        <v>5833</v>
      </c>
      <c r="O311" s="6" t="s">
        <v>1309</v>
      </c>
      <c r="P311" s="6" t="s">
        <v>1310</v>
      </c>
      <c r="Q311" s="6" t="s">
        <v>1311</v>
      </c>
    </row>
    <row r="312" spans="1:17">
      <c r="A312" s="4" t="s">
        <v>1307</v>
      </c>
      <c r="B312" s="4" t="str">
        <f>CHOOSE(Translations!$C$1+1,O312,P312,Q312)</f>
        <v>TB/HIV-6⁽ᴹ⁾ Porcentaje de casos nuevos y recaídas de TB coinfectados con VIH que recibieron TARV durante el tratamiento de la TB</v>
      </c>
      <c r="C312" s="4">
        <f t="shared" si="10"/>
        <v>2</v>
      </c>
      <c r="D312" s="4" t="str">
        <f t="shared" si="11"/>
        <v>TB/HIV-6⁽ᴹ⁾ Porcentaje de casos nuevos y recaídas de TB coinfectados con VIH que recibieron TARV durante el tratamiento de la TB-2</v>
      </c>
      <c r="E312" s="4" t="str">
        <f>CHOOSE(Translations!$C$1+1,I312,J312,K312)</f>
        <v>Edad</v>
      </c>
      <c r="F312" s="4" t="str">
        <f>CHOOSE(Translations!$C$1+1,L312,M312,N312)</f>
        <v>15+</v>
      </c>
      <c r="G312" s="4" t="s">
        <v>6651</v>
      </c>
      <c r="H312" s="6" t="s">
        <v>6652</v>
      </c>
      <c r="I312" s="6" t="s">
        <v>697</v>
      </c>
      <c r="J312" s="6" t="s">
        <v>697</v>
      </c>
      <c r="K312" s="6" t="s">
        <v>698</v>
      </c>
      <c r="L312" s="6" t="s">
        <v>5836</v>
      </c>
      <c r="M312" s="6" t="s">
        <v>5836</v>
      </c>
      <c r="N312" s="6" t="s">
        <v>5836</v>
      </c>
      <c r="O312" s="6" t="s">
        <v>1309</v>
      </c>
      <c r="P312" s="6" t="s">
        <v>1310</v>
      </c>
      <c r="Q312" s="6" t="s">
        <v>1311</v>
      </c>
    </row>
    <row r="313" spans="1:17">
      <c r="A313" s="4" t="s">
        <v>1307</v>
      </c>
      <c r="B313" s="4" t="str">
        <f>CHOOSE(Translations!$C$1+1,O313,P313,Q313)</f>
        <v>TB/HIV-6⁽ᴹ⁾ Porcentaje de casos nuevos y recaídas de TB coinfectados con VIH que recibieron TARV durante el tratamiento de la TB</v>
      </c>
      <c r="C313" s="4">
        <f t="shared" si="10"/>
        <v>3</v>
      </c>
      <c r="D313" s="4" t="str">
        <f t="shared" si="11"/>
        <v>TB/HIV-6⁽ᴹ⁾ Porcentaje de casos nuevos y recaídas de TB coinfectados con VIH que recibieron TARV durante el tratamiento de la TB-3</v>
      </c>
      <c r="E313" s="4" t="str">
        <f>CHOOSE(Translations!$C$1+1,I313,J313,K313)</f>
        <v>Edad</v>
      </c>
      <c r="F313" s="4" t="str">
        <f>CHOOSE(Translations!$C$1+1,L313,M313,N313)</f>
        <v>5-14</v>
      </c>
      <c r="G313" s="4" t="s">
        <v>6653</v>
      </c>
      <c r="H313" s="6" t="s">
        <v>6654</v>
      </c>
      <c r="I313" s="6" t="s">
        <v>697</v>
      </c>
      <c r="J313" s="6" t="s">
        <v>697</v>
      </c>
      <c r="K313" s="6" t="s">
        <v>698</v>
      </c>
      <c r="L313" s="6" t="s">
        <v>5872</v>
      </c>
      <c r="M313" s="6" t="s">
        <v>5872</v>
      </c>
      <c r="N313" s="6" t="s">
        <v>5872</v>
      </c>
      <c r="O313" s="6" t="s">
        <v>1309</v>
      </c>
      <c r="P313" s="6" t="s">
        <v>1310</v>
      </c>
      <c r="Q313" s="6" t="s">
        <v>1311</v>
      </c>
    </row>
    <row r="314" spans="1:17">
      <c r="A314" s="4" t="s">
        <v>1307</v>
      </c>
      <c r="B314" s="4" t="str">
        <f>CHOOSE(Translations!$C$1+1,O314,P314,Q314)</f>
        <v>TB/HIV-6⁽ᴹ⁾ Porcentaje de casos nuevos y recaídas de TB coinfectados con VIH que recibieron TARV durante el tratamiento de la TB</v>
      </c>
      <c r="C314" s="4">
        <f t="shared" si="10"/>
        <v>4</v>
      </c>
      <c r="D314" s="4" t="str">
        <f t="shared" si="11"/>
        <v>TB/HIV-6⁽ᴹ⁾ Porcentaje de casos nuevos y recaídas de TB coinfectados con VIH que recibieron TARV durante el tratamiento de la TB-4</v>
      </c>
      <c r="E314" s="4" t="str">
        <f>CHOOSE(Translations!$C$1+1,I314,J314,K314)</f>
        <v>Edad</v>
      </c>
      <c r="F314" s="4" t="str">
        <f>CHOOSE(Translations!$C$1+1,L314,M314,N314)</f>
        <v>&lt;5</v>
      </c>
      <c r="G314" s="4" t="s">
        <v>6655</v>
      </c>
      <c r="H314" s="6" t="s">
        <v>6656</v>
      </c>
      <c r="I314" s="6" t="s">
        <v>697</v>
      </c>
      <c r="J314" s="6" t="s">
        <v>697</v>
      </c>
      <c r="K314" s="6" t="s">
        <v>698</v>
      </c>
      <c r="L314" s="6" t="s">
        <v>5875</v>
      </c>
      <c r="M314" s="6" t="s">
        <v>5875</v>
      </c>
      <c r="N314" s="6" t="s">
        <v>5875</v>
      </c>
      <c r="O314" s="6" t="s">
        <v>1309</v>
      </c>
      <c r="P314" s="6" t="s">
        <v>1310</v>
      </c>
      <c r="Q314" s="6" t="s">
        <v>1311</v>
      </c>
    </row>
    <row r="315" spans="1:17">
      <c r="A315" s="4" t="s">
        <v>1312</v>
      </c>
      <c r="B315" s="4" t="str">
        <f>CHOOSE(Translations!$C$1+1,O315,P315,Q315)</f>
        <v>TB/HIV-7 Porcentaje de personas que viven con el VIH recibiendo terapia antirretroviral que han iniciado la terapia preventiva de TB entre las personas que viven con el VIH elegibles durante el período de reporte</v>
      </c>
      <c r="C315" s="4">
        <f t="shared" si="10"/>
        <v>0</v>
      </c>
      <c r="D315" s="4" t="str">
        <f t="shared" si="11"/>
        <v>TB/HIV-7 Porcentaje de personas que viven con el VIH recibiendo terapia antirretroviral que han iniciado la terapia preventiva de TB entre las personas que viven con el VIH elegibles durante el período de reporte-0</v>
      </c>
      <c r="E315" s="4" t="str">
        <f>CHOOSE(Translations!$C$1+1,I315,J315,K315)</f>
        <v>Régimen de TPT</v>
      </c>
      <c r="F315" s="4" t="str">
        <f>CHOOSE(Translations!$C$1+1,L315,M315,N315)</f>
        <v>INH</v>
      </c>
      <c r="G315" s="4" t="s">
        <v>6657</v>
      </c>
      <c r="H315" s="6" t="s">
        <v>6658</v>
      </c>
      <c r="I315" s="6" t="s">
        <v>6659</v>
      </c>
      <c r="J315" s="6" t="s">
        <v>6660</v>
      </c>
      <c r="K315" s="6" t="s">
        <v>6661</v>
      </c>
      <c r="L315" s="6" t="s">
        <v>6662</v>
      </c>
      <c r="M315" s="6" t="s">
        <v>6662</v>
      </c>
      <c r="N315" s="6" t="s">
        <v>6662</v>
      </c>
      <c r="O315" s="6" t="s">
        <v>1314</v>
      </c>
      <c r="P315" s="6" t="s">
        <v>1315</v>
      </c>
      <c r="Q315" s="6" t="s">
        <v>1316</v>
      </c>
    </row>
    <row r="316" spans="1:17">
      <c r="A316" s="4" t="s">
        <v>1312</v>
      </c>
      <c r="B316" s="4" t="str">
        <f>CHOOSE(Translations!$C$1+1,O316,P316,Q316)</f>
        <v>TB/HIV-7 Porcentaje de personas que viven con el VIH recibiendo terapia antirretroviral que han iniciado la terapia preventiva de TB entre las personas que viven con el VIH elegibles durante el período de reporte</v>
      </c>
      <c r="C316" s="4">
        <f t="shared" si="10"/>
        <v>1</v>
      </c>
      <c r="D316" s="4" t="str">
        <f t="shared" si="11"/>
        <v>TB/HIV-7 Porcentaje de personas que viven con el VIH recibiendo terapia antirretroviral que han iniciado la terapia preventiva de TB entre las personas que viven con el VIH elegibles durante el período de reporte-1</v>
      </c>
      <c r="E316" s="4" t="str">
        <f>CHOOSE(Translations!$C$1+1,I316,J316,K316)</f>
        <v>Régimen de TPT</v>
      </c>
      <c r="F316" s="4" t="str">
        <f>CHOOSE(Translations!$C$1+1,L316,M316,N316)</f>
        <v>3RH</v>
      </c>
      <c r="G316" s="4" t="s">
        <v>6663</v>
      </c>
      <c r="H316" s="6" t="s">
        <v>6664</v>
      </c>
      <c r="I316" s="6" t="s">
        <v>6659</v>
      </c>
      <c r="J316" s="6" t="s">
        <v>6660</v>
      </c>
      <c r="K316" s="6" t="s">
        <v>6661</v>
      </c>
      <c r="L316" s="6" t="s">
        <v>6665</v>
      </c>
      <c r="M316" s="6" t="s">
        <v>6665</v>
      </c>
      <c r="N316" s="6" t="s">
        <v>6665</v>
      </c>
      <c r="O316" s="6" t="s">
        <v>1314</v>
      </c>
      <c r="P316" s="6" t="s">
        <v>1315</v>
      </c>
      <c r="Q316" s="6" t="s">
        <v>1316</v>
      </c>
    </row>
    <row r="317" spans="1:17">
      <c r="A317" s="4" t="s">
        <v>1312</v>
      </c>
      <c r="B317" s="4" t="str">
        <f>CHOOSE(Translations!$C$1+1,O317,P317,Q317)</f>
        <v>TB/HIV-7 Porcentaje de personas que viven con el VIH recibiendo terapia antirretroviral que han iniciado la terapia preventiva de TB entre las personas que viven con el VIH elegibles durante el período de reporte</v>
      </c>
      <c r="C317" s="4">
        <f t="shared" si="10"/>
        <v>2</v>
      </c>
      <c r="D317" s="4" t="str">
        <f t="shared" si="11"/>
        <v>TB/HIV-7 Porcentaje de personas que viven con el VIH recibiendo terapia antirretroviral que han iniciado la terapia preventiva de TB entre las personas que viven con el VIH elegibles durante el período de reporte-2</v>
      </c>
      <c r="E317" s="4" t="str">
        <f>CHOOSE(Translations!$C$1+1,I317,J317,K317)</f>
        <v>Régimen de TPT</v>
      </c>
      <c r="F317" s="4" t="str">
        <f>CHOOSE(Translations!$C$1+1,L317,M317,N317)</f>
        <v>RIF</v>
      </c>
      <c r="G317" s="4" t="s">
        <v>6666</v>
      </c>
      <c r="H317" s="6" t="s">
        <v>6667</v>
      </c>
      <c r="I317" s="6" t="s">
        <v>6659</v>
      </c>
      <c r="J317" s="6" t="s">
        <v>6660</v>
      </c>
      <c r="K317" s="6" t="s">
        <v>6661</v>
      </c>
      <c r="L317" s="6" t="s">
        <v>6668</v>
      </c>
      <c r="M317" s="6" t="s">
        <v>6668</v>
      </c>
      <c r="N317" s="6" t="s">
        <v>6668</v>
      </c>
      <c r="O317" s="6" t="s">
        <v>1314</v>
      </c>
      <c r="P317" s="6" t="s">
        <v>1315</v>
      </c>
      <c r="Q317" s="6" t="s">
        <v>1316</v>
      </c>
    </row>
    <row r="318" spans="1:17">
      <c r="A318" s="4" t="s">
        <v>1312</v>
      </c>
      <c r="B318" s="4" t="str">
        <f>CHOOSE(Translations!$C$1+1,O318,P318,Q318)</f>
        <v>TB/HIV-7 Porcentaje de personas que viven con el VIH recibiendo terapia antirretroviral que han iniciado la terapia preventiva de TB entre las personas que viven con el VIH elegibles durante el período de reporte</v>
      </c>
      <c r="C318" s="4">
        <f t="shared" si="10"/>
        <v>3</v>
      </c>
      <c r="D318" s="4" t="str">
        <f t="shared" si="11"/>
        <v>TB/HIV-7 Porcentaje de personas que viven con el VIH recibiendo terapia antirretroviral que han iniciado la terapia preventiva de TB entre las personas que viven con el VIH elegibles durante el período de reporte-3</v>
      </c>
      <c r="E318" s="4" t="str">
        <f>CHOOSE(Translations!$C$1+1,I318,J318,K318)</f>
        <v>Régimen de TPT</v>
      </c>
      <c r="F318" s="4" t="str">
        <f>CHOOSE(Translations!$C$1+1,L318,M318,N318)</f>
        <v>1HP</v>
      </c>
      <c r="G318" s="4" t="s">
        <v>6669</v>
      </c>
      <c r="H318" s="6" t="s">
        <v>6670</v>
      </c>
      <c r="I318" s="6" t="s">
        <v>6659</v>
      </c>
      <c r="J318" s="6" t="s">
        <v>6660</v>
      </c>
      <c r="K318" s="6" t="s">
        <v>6661</v>
      </c>
      <c r="L318" s="6" t="s">
        <v>6671</v>
      </c>
      <c r="M318" s="6" t="s">
        <v>6671</v>
      </c>
      <c r="N318" s="6" t="s">
        <v>6671</v>
      </c>
      <c r="O318" s="6" t="s">
        <v>1314</v>
      </c>
      <c r="P318" s="6" t="s">
        <v>1315</v>
      </c>
      <c r="Q318" s="6" t="s">
        <v>1316</v>
      </c>
    </row>
    <row r="319" spans="1:17">
      <c r="A319" s="4" t="s">
        <v>1312</v>
      </c>
      <c r="B319" s="4" t="str">
        <f>CHOOSE(Translations!$C$1+1,O319,P319,Q319)</f>
        <v>TB/HIV-7 Porcentaje de personas que viven con el VIH recibiendo terapia antirretroviral que han iniciado la terapia preventiva de TB entre las personas que viven con el VIH elegibles durante el período de reporte</v>
      </c>
      <c r="C319" s="4">
        <f t="shared" si="10"/>
        <v>4</v>
      </c>
      <c r="D319" s="4" t="str">
        <f t="shared" si="11"/>
        <v>TB/HIV-7 Porcentaje de personas que viven con el VIH recibiendo terapia antirretroviral que han iniciado la terapia preventiva de TB entre las personas que viven con el VIH elegibles durante el período de reporte-4</v>
      </c>
      <c r="E319" s="4" t="str">
        <f>CHOOSE(Translations!$C$1+1,I319,J319,K319)</f>
        <v>Régimen de TPT</v>
      </c>
      <c r="F319" s="4" t="str">
        <f>CHOOSE(Translations!$C$1+1,L319,M319,N319)</f>
        <v>3HP</v>
      </c>
      <c r="G319" s="4" t="s">
        <v>6672</v>
      </c>
      <c r="H319" s="6" t="s">
        <v>6673</v>
      </c>
      <c r="I319" s="6" t="s">
        <v>6659</v>
      </c>
      <c r="J319" s="6" t="s">
        <v>6660</v>
      </c>
      <c r="K319" s="6" t="s">
        <v>6661</v>
      </c>
      <c r="L319" s="6" t="s">
        <v>6674</v>
      </c>
      <c r="M319" s="6" t="s">
        <v>6674</v>
      </c>
      <c r="N319" s="6" t="s">
        <v>6674</v>
      </c>
      <c r="O319" s="6" t="s">
        <v>1314</v>
      </c>
      <c r="P319" s="6" t="s">
        <v>1315</v>
      </c>
      <c r="Q319" s="6" t="s">
        <v>1316</v>
      </c>
    </row>
    <row r="320" spans="1:17">
      <c r="A320" s="4" t="s">
        <v>1312</v>
      </c>
      <c r="B320" s="4" t="str">
        <f>CHOOSE(Translations!$C$1+1,O320,P320,Q320)</f>
        <v>TB/HIV-7 Porcentaje de personas que viven con el VIH recibiendo terapia antirretroviral que han iniciado la terapia preventiva de TB entre las personas que viven con el VIH elegibles durante el período de reporte</v>
      </c>
      <c r="C320" s="4">
        <f t="shared" si="10"/>
        <v>5</v>
      </c>
      <c r="D320" s="4" t="str">
        <f t="shared" si="11"/>
        <v>TB/HIV-7 Porcentaje de personas que viven con el VIH recibiendo terapia antirretroviral que han iniciado la terapia preventiva de TB entre las personas que viven con el VIH elegibles durante el período de reporte-5</v>
      </c>
      <c r="E320" s="4" t="str">
        <f>CHOOSE(Translations!$C$1+1,I320,J320,K320)</f>
        <v>Género</v>
      </c>
      <c r="F320" s="4" t="str">
        <f>CHOOSE(Translations!$C$1+1,L320,M320,N320)</f>
        <v>Mujeres</v>
      </c>
      <c r="G320" s="4" t="s">
        <v>6675</v>
      </c>
      <c r="H320" s="6" t="s">
        <v>6676</v>
      </c>
      <c r="I320" s="6" t="s">
        <v>800</v>
      </c>
      <c r="J320" s="6" t="s">
        <v>801</v>
      </c>
      <c r="K320" s="6" t="s">
        <v>802</v>
      </c>
      <c r="L320" s="6" t="s">
        <v>5826</v>
      </c>
      <c r="M320" s="6" t="s">
        <v>5827</v>
      </c>
      <c r="N320" s="6" t="s">
        <v>5828</v>
      </c>
      <c r="O320" s="6" t="s">
        <v>1314</v>
      </c>
      <c r="P320" s="6" t="s">
        <v>1315</v>
      </c>
      <c r="Q320" s="6" t="s">
        <v>1316</v>
      </c>
    </row>
    <row r="321" spans="1:17">
      <c r="A321" s="4" t="s">
        <v>1312</v>
      </c>
      <c r="B321" s="4" t="str">
        <f>CHOOSE(Translations!$C$1+1,O321,P321,Q321)</f>
        <v>TB/HIV-7 Porcentaje de personas que viven con el VIH recibiendo terapia antirretroviral que han iniciado la terapia preventiva de TB entre las personas que viven con el VIH elegibles durante el período de reporte</v>
      </c>
      <c r="C321" s="4">
        <f t="shared" si="10"/>
        <v>6</v>
      </c>
      <c r="D321" s="4" t="str">
        <f t="shared" si="11"/>
        <v>TB/HIV-7 Porcentaje de personas que viven con el VIH recibiendo terapia antirretroviral que han iniciado la terapia preventiva de TB entre las personas que viven con el VIH elegibles durante el período de reporte-6</v>
      </c>
      <c r="E321" s="4" t="str">
        <f>CHOOSE(Translations!$C$1+1,I321,J321,K321)</f>
        <v>Género</v>
      </c>
      <c r="F321" s="4" t="str">
        <f>CHOOSE(Translations!$C$1+1,L321,M321,N321)</f>
        <v>Hombres</v>
      </c>
      <c r="G321" s="4" t="s">
        <v>6677</v>
      </c>
      <c r="H321" s="6" t="s">
        <v>6678</v>
      </c>
      <c r="I321" s="6" t="s">
        <v>800</v>
      </c>
      <c r="J321" s="6" t="s">
        <v>801</v>
      </c>
      <c r="K321" s="6" t="s">
        <v>802</v>
      </c>
      <c r="L321" s="6" t="s">
        <v>5831</v>
      </c>
      <c r="M321" s="6" t="s">
        <v>5832</v>
      </c>
      <c r="N321" s="6" t="s">
        <v>5833</v>
      </c>
      <c r="O321" s="6" t="s">
        <v>1314</v>
      </c>
      <c r="P321" s="6" t="s">
        <v>1315</v>
      </c>
      <c r="Q321" s="6" t="s">
        <v>1316</v>
      </c>
    </row>
    <row r="322" spans="1:17">
      <c r="A322" s="4" t="s">
        <v>1312</v>
      </c>
      <c r="B322" s="4" t="str">
        <f>CHOOSE(Translations!$C$1+1,O322,P322,Q322)</f>
        <v>TB/HIV-7 Porcentaje de personas que viven con el VIH recibiendo terapia antirretroviral que han iniciado la terapia preventiva de TB entre las personas que viven con el VIH elegibles durante el período de reporte</v>
      </c>
      <c r="C322" s="4">
        <f t="shared" si="10"/>
        <v>7</v>
      </c>
      <c r="D322" s="4" t="str">
        <f t="shared" si="11"/>
        <v>TB/HIV-7 Porcentaje de personas que viven con el VIH recibiendo terapia antirretroviral que han iniciado la terapia preventiva de TB entre las personas que viven con el VIH elegibles durante el período de reporte-7</v>
      </c>
      <c r="E322" s="4" t="str">
        <f>CHOOSE(Translations!$C$1+1,I322,J322,K322)</f>
        <v>Edad</v>
      </c>
      <c r="F322" s="4" t="str">
        <f>CHOOSE(Translations!$C$1+1,L322,M322,N322)</f>
        <v>15+</v>
      </c>
      <c r="G322" s="4" t="s">
        <v>6679</v>
      </c>
      <c r="H322" s="6" t="s">
        <v>6680</v>
      </c>
      <c r="I322" s="6" t="s">
        <v>697</v>
      </c>
      <c r="J322" s="6" t="s">
        <v>697</v>
      </c>
      <c r="K322" s="6" t="s">
        <v>698</v>
      </c>
      <c r="L322" s="6" t="s">
        <v>5836</v>
      </c>
      <c r="M322" s="6" t="s">
        <v>5836</v>
      </c>
      <c r="N322" s="6" t="s">
        <v>5836</v>
      </c>
      <c r="O322" s="6" t="s">
        <v>1314</v>
      </c>
      <c r="P322" s="6" t="s">
        <v>1315</v>
      </c>
      <c r="Q322" s="6" t="s">
        <v>1316</v>
      </c>
    </row>
    <row r="323" spans="1:17">
      <c r="A323" s="4" t="s">
        <v>1312</v>
      </c>
      <c r="B323" s="4" t="str">
        <f>CHOOSE(Translations!$C$1+1,O323,P323,Q323)</f>
        <v>TB/HIV-7 Porcentaje de personas que viven con el VIH recibiendo terapia antirretroviral que han iniciado la terapia preventiva de TB entre las personas que viven con el VIH elegibles durante el período de reporte</v>
      </c>
      <c r="C323" s="4">
        <f t="shared" si="10"/>
        <v>8</v>
      </c>
      <c r="D323" s="4" t="str">
        <f t="shared" si="11"/>
        <v>TB/HIV-7 Porcentaje de personas que viven con el VIH recibiendo terapia antirretroviral que han iniciado la terapia preventiva de TB entre las personas que viven con el VIH elegibles durante el período de reporte-8</v>
      </c>
      <c r="E323" s="4" t="str">
        <f>CHOOSE(Translations!$C$1+1,I323,J323,K323)</f>
        <v>Edad</v>
      </c>
      <c r="F323" s="4" t="str">
        <f>CHOOSE(Translations!$C$1+1,L323,M323,N323)</f>
        <v>5-14</v>
      </c>
      <c r="G323" s="4" t="s">
        <v>6681</v>
      </c>
      <c r="H323" s="6" t="s">
        <v>6682</v>
      </c>
      <c r="I323" s="6" t="s">
        <v>697</v>
      </c>
      <c r="J323" s="6" t="s">
        <v>697</v>
      </c>
      <c r="K323" s="6" t="s">
        <v>698</v>
      </c>
      <c r="L323" s="6" t="s">
        <v>5872</v>
      </c>
      <c r="M323" s="6" t="s">
        <v>5872</v>
      </c>
      <c r="N323" s="6" t="s">
        <v>5872</v>
      </c>
      <c r="O323" s="6" t="s">
        <v>1314</v>
      </c>
      <c r="P323" s="6" t="s">
        <v>1315</v>
      </c>
      <c r="Q323" s="6" t="s">
        <v>1316</v>
      </c>
    </row>
    <row r="324" spans="1:17">
      <c r="A324" s="4" t="s">
        <v>1312</v>
      </c>
      <c r="B324" s="4" t="str">
        <f>CHOOSE(Translations!$C$1+1,O324,P324,Q324)</f>
        <v>TB/HIV-7 Porcentaje de personas que viven con el VIH recibiendo terapia antirretroviral que han iniciado la terapia preventiva de TB entre las personas que viven con el VIH elegibles durante el período de reporte</v>
      </c>
      <c r="C324" s="4">
        <f t="shared" si="10"/>
        <v>9</v>
      </c>
      <c r="D324" s="4" t="str">
        <f t="shared" si="11"/>
        <v>TB/HIV-7 Porcentaje de personas que viven con el VIH recibiendo terapia antirretroviral que han iniciado la terapia preventiva de TB entre las personas que viven con el VIH elegibles durante el período de reporte-9</v>
      </c>
      <c r="E324" s="4" t="str">
        <f>CHOOSE(Translations!$C$1+1,I324,J324,K324)</f>
        <v>Edad</v>
      </c>
      <c r="F324" s="4" t="str">
        <f>CHOOSE(Translations!$C$1+1,L324,M324,N324)</f>
        <v>&lt;5</v>
      </c>
      <c r="G324" s="4" t="s">
        <v>6683</v>
      </c>
      <c r="H324" s="6" t="s">
        <v>6684</v>
      </c>
      <c r="I324" s="6" t="s">
        <v>697</v>
      </c>
      <c r="J324" s="6" t="s">
        <v>697</v>
      </c>
      <c r="K324" s="6" t="s">
        <v>698</v>
      </c>
      <c r="L324" s="6" t="s">
        <v>5875</v>
      </c>
      <c r="M324" s="6" t="s">
        <v>5875</v>
      </c>
      <c r="N324" s="6" t="s">
        <v>5875</v>
      </c>
      <c r="O324" s="6" t="s">
        <v>1314</v>
      </c>
      <c r="P324" s="6" t="s">
        <v>1315</v>
      </c>
      <c r="Q324" s="6" t="s">
        <v>1316</v>
      </c>
    </row>
    <row r="325" spans="1:17">
      <c r="A325" s="4" t="s">
        <v>6685</v>
      </c>
      <c r="B325" s="4" t="str">
        <f>CHOOSE(Translations!$C$1+1,O325,P325,Q325)</f>
        <v>VC-1⁽ᴹ⁾ Número de mosquiteros tratados con insecticida de larga duración distribuidos a poblaciones vulnerables a través de campañas a gran escala</v>
      </c>
      <c r="C325" s="4">
        <f t="shared" si="10"/>
        <v>0</v>
      </c>
      <c r="D325" s="4" t="str">
        <f t="shared" si="11"/>
        <v>VC-1⁽ᴹ⁾ Número de mosquiteros tratados con insecticida de larga duración distribuidos a poblaciones vulnerables a través de campañas a gran escala-0</v>
      </c>
      <c r="E325" s="4" t="str">
        <f>CHOOSE(Translations!$C$1+1,I325,J325,K325)</f>
        <v>Grupo de riesgo objetivo</v>
      </c>
      <c r="F325" s="4" t="str">
        <f>CHOOSE(Translations!$C$1+1,L325,M325,N325)</f>
        <v>Otro grupo de riesgo objetivo [especificar]</v>
      </c>
      <c r="G325" s="4" t="s">
        <v>6686</v>
      </c>
      <c r="H325" s="6" t="s">
        <v>6687</v>
      </c>
      <c r="I325" s="6" t="s">
        <v>1229</v>
      </c>
      <c r="J325" s="6" t="s">
        <v>1230</v>
      </c>
      <c r="K325" s="6" t="s">
        <v>1231</v>
      </c>
      <c r="L325" s="6" t="s">
        <v>6584</v>
      </c>
      <c r="M325" s="6" t="s">
        <v>6585</v>
      </c>
      <c r="N325" s="6" t="s">
        <v>6586</v>
      </c>
      <c r="O325" s="6" t="s">
        <v>6688</v>
      </c>
      <c r="P325" s="6" t="s">
        <v>6689</v>
      </c>
      <c r="Q325" s="6" t="s">
        <v>6690</v>
      </c>
    </row>
    <row r="326" spans="1:17">
      <c r="A326" s="4" t="s">
        <v>6685</v>
      </c>
      <c r="B326" s="4" t="str">
        <f>CHOOSE(Translations!$C$1+1,O326,P326,Q326)</f>
        <v>VC-1⁽ᴹ⁾ Número de mosquiteros tratados con insecticida de larga duración distribuidos a poblaciones vulnerables a través de campañas a gran escala</v>
      </c>
      <c r="C326" s="4">
        <f t="shared" si="10"/>
        <v>1</v>
      </c>
      <c r="D326" s="4" t="str">
        <f t="shared" si="11"/>
        <v>VC-1⁽ᴹ⁾ Número de mosquiteros tratados con insecticida de larga duración distribuidos a poblaciones vulnerables a través de campañas a gran escala-1</v>
      </c>
      <c r="E326" s="4" t="str">
        <f>CHOOSE(Translations!$C$1+1,I326,J326,K326)</f>
        <v>Grupo de riesgo objetivo</v>
      </c>
      <c r="F326" s="4" t="str">
        <f>CHOOSE(Translations!$C$1+1,L326,M326,N326)</f>
        <v>Reclusos</v>
      </c>
      <c r="G326" s="4" t="s">
        <v>6691</v>
      </c>
      <c r="H326" s="6" t="s">
        <v>6692</v>
      </c>
      <c r="I326" s="6" t="s">
        <v>1229</v>
      </c>
      <c r="J326" s="6" t="s">
        <v>1230</v>
      </c>
      <c r="K326" s="6" t="s">
        <v>1231</v>
      </c>
      <c r="L326" s="6" t="s">
        <v>6130</v>
      </c>
      <c r="M326" s="6" t="s">
        <v>6131</v>
      </c>
      <c r="N326" s="6" t="s">
        <v>6132</v>
      </c>
      <c r="O326" s="6" t="s">
        <v>6688</v>
      </c>
      <c r="P326" s="6" t="s">
        <v>6689</v>
      </c>
      <c r="Q326" s="6" t="s">
        <v>6690</v>
      </c>
    </row>
    <row r="327" spans="1:17">
      <c r="A327" s="4" t="s">
        <v>6685</v>
      </c>
      <c r="B327" s="4" t="str">
        <f>CHOOSE(Translations!$C$1+1,O327,P327,Q327)</f>
        <v>VC-1⁽ᴹ⁾ Número de mosquiteros tratados con insecticida de larga duración distribuidos a poblaciones vulnerables a través de campañas a gran escala</v>
      </c>
      <c r="C327" s="4">
        <f t="shared" si="10"/>
        <v>2</v>
      </c>
      <c r="D327" s="4" t="str">
        <f t="shared" si="11"/>
        <v>VC-1⁽ᴹ⁾ Número de mosquiteros tratados con insecticida de larga duración distribuidos a poblaciones vulnerables a través de campañas a gran escala-2</v>
      </c>
      <c r="E327" s="4" t="str">
        <f>CHOOSE(Translations!$C$1+1,I327,J327,K327)</f>
        <v>Grupo de riesgo objetivo</v>
      </c>
      <c r="F327" s="4" t="str">
        <f>CHOOSE(Translations!$C$1+1,L327,M327,N327)</f>
        <v>Migrantes/refugiados/personas internamente desplazadas</v>
      </c>
      <c r="G327" s="4" t="s">
        <v>6693</v>
      </c>
      <c r="H327" s="6" t="s">
        <v>6694</v>
      </c>
      <c r="I327" s="6" t="s">
        <v>1229</v>
      </c>
      <c r="J327" s="6" t="s">
        <v>1230</v>
      </c>
      <c r="K327" s="6" t="s">
        <v>1231</v>
      </c>
      <c r="L327" s="6" t="s">
        <v>6589</v>
      </c>
      <c r="M327" s="6" t="s">
        <v>6590</v>
      </c>
      <c r="N327" s="6" t="s">
        <v>6591</v>
      </c>
      <c r="O327" s="6" t="s">
        <v>6688</v>
      </c>
      <c r="P327" s="6" t="s">
        <v>6689</v>
      </c>
      <c r="Q327" s="6" t="s">
        <v>6690</v>
      </c>
    </row>
    <row r="328" spans="1:17">
      <c r="A328" s="4" t="s">
        <v>6695</v>
      </c>
      <c r="B328" s="4" t="str">
        <f>CHOOSE(Translations!$C$1+1,O328,P328,Q328)</f>
        <v>VC-3⁽ᴹ⁾ Número de mosquiteros tratados con insecticida de larga duración distribuidos entre los grupos de riesgo objetivo a través de distribución continua.</v>
      </c>
      <c r="C328" s="4">
        <f t="shared" si="10"/>
        <v>0</v>
      </c>
      <c r="D328" s="4" t="str">
        <f t="shared" si="11"/>
        <v>VC-3⁽ᴹ⁾ Número de mosquiteros tratados con insecticida de larga duración distribuidos entre los grupos de riesgo objetivo a través de distribución continua.-0</v>
      </c>
      <c r="E328" s="4" t="str">
        <f>CHOOSE(Translations!$C$1+1,I328,J328,K328)</f>
        <v>Grupo de riesgo objetivo</v>
      </c>
      <c r="F328" s="4" t="str">
        <f>CHOOSE(Translations!$C$1+1,L328,M328,N328)</f>
        <v>Otro grupo de riesgo objetivo [especificar]</v>
      </c>
      <c r="G328" s="4" t="s">
        <v>6696</v>
      </c>
      <c r="H328" s="6" t="s">
        <v>6697</v>
      </c>
      <c r="I328" s="6" t="s">
        <v>1229</v>
      </c>
      <c r="J328" s="6" t="s">
        <v>1230</v>
      </c>
      <c r="K328" s="6" t="s">
        <v>1231</v>
      </c>
      <c r="L328" s="6" t="s">
        <v>6584</v>
      </c>
      <c r="M328" s="6" t="s">
        <v>6585</v>
      </c>
      <c r="N328" s="6" t="s">
        <v>6586</v>
      </c>
      <c r="O328" s="6" t="s">
        <v>6698</v>
      </c>
      <c r="P328" s="6" t="s">
        <v>6699</v>
      </c>
      <c r="Q328" s="6" t="s">
        <v>6700</v>
      </c>
    </row>
    <row r="329" spans="1:17">
      <c r="A329" s="4" t="s">
        <v>6695</v>
      </c>
      <c r="B329" s="4" t="str">
        <f>CHOOSE(Translations!$C$1+1,O329,P329,Q329)</f>
        <v>VC-3⁽ᴹ⁾ Número de mosquiteros tratados con insecticida de larga duración distribuidos entre los grupos de riesgo objetivo a través de distribución continua.</v>
      </c>
      <c r="C329" s="4">
        <f t="shared" si="10"/>
        <v>1</v>
      </c>
      <c r="D329" s="4" t="str">
        <f t="shared" si="11"/>
        <v>VC-3⁽ᴹ⁾ Número de mosquiteros tratados con insecticida de larga duración distribuidos entre los grupos de riesgo objetivo a través de distribución continua.-1</v>
      </c>
      <c r="E329" s="4" t="str">
        <f>CHOOSE(Translations!$C$1+1,I329,J329,K329)</f>
        <v>Grupo de riesgo objetivo</v>
      </c>
      <c r="F329" s="4" t="str">
        <f>CHOOSE(Translations!$C$1+1,L329,M329,N329)</f>
        <v>Niños escolar</v>
      </c>
      <c r="G329" s="4" t="s">
        <v>6701</v>
      </c>
      <c r="H329" s="6" t="s">
        <v>6702</v>
      </c>
      <c r="I329" s="6" t="s">
        <v>1229</v>
      </c>
      <c r="J329" s="6" t="s">
        <v>1230</v>
      </c>
      <c r="K329" s="6" t="s">
        <v>1231</v>
      </c>
      <c r="L329" s="6" t="s">
        <v>6703</v>
      </c>
      <c r="M329" s="6" t="s">
        <v>6704</v>
      </c>
      <c r="N329" s="6" t="s">
        <v>6705</v>
      </c>
      <c r="O329" s="6" t="s">
        <v>6698</v>
      </c>
      <c r="P329" s="6" t="s">
        <v>6699</v>
      </c>
      <c r="Q329" s="6" t="s">
        <v>6700</v>
      </c>
    </row>
    <row r="330" spans="1:17">
      <c r="A330" s="4" t="s">
        <v>6695</v>
      </c>
      <c r="B330" s="4" t="str">
        <f>CHOOSE(Translations!$C$1+1,O330,P330,Q330)</f>
        <v>VC-3⁽ᴹ⁾ Número de mosquiteros tratados con insecticida de larga duración distribuidos entre los grupos de riesgo objetivo a través de distribución continua.</v>
      </c>
      <c r="C330" s="4">
        <f t="shared" si="10"/>
        <v>2</v>
      </c>
      <c r="D330" s="4" t="str">
        <f t="shared" si="11"/>
        <v>VC-3⁽ᴹ⁾ Número de mosquiteros tratados con insecticida de larga duración distribuidos entre los grupos de riesgo objetivo a través de distribución continua.-2</v>
      </c>
      <c r="E330" s="4" t="str">
        <f>CHOOSE(Translations!$C$1+1,I330,J330,K330)</f>
        <v>Grupo de riesgo objetivo</v>
      </c>
      <c r="F330" s="4" t="str">
        <f>CHOOSE(Translations!$C$1+1,L330,M330,N330)</f>
        <v>Niños menores de 5 años</v>
      </c>
      <c r="G330" s="4" t="s">
        <v>6706</v>
      </c>
      <c r="H330" s="6" t="s">
        <v>6707</v>
      </c>
      <c r="I330" s="6" t="s">
        <v>1229</v>
      </c>
      <c r="J330" s="6" t="s">
        <v>1230</v>
      </c>
      <c r="K330" s="6" t="s">
        <v>1231</v>
      </c>
      <c r="L330" s="6" t="s">
        <v>6708</v>
      </c>
      <c r="M330" s="6" t="s">
        <v>6709</v>
      </c>
      <c r="N330" s="6" t="s">
        <v>6710</v>
      </c>
      <c r="O330" s="6" t="s">
        <v>6698</v>
      </c>
      <c r="P330" s="6" t="s">
        <v>6699</v>
      </c>
      <c r="Q330" s="6" t="s">
        <v>6700</v>
      </c>
    </row>
    <row r="331" spans="1:17">
      <c r="A331" s="4" t="s">
        <v>6695</v>
      </c>
      <c r="B331" s="4" t="str">
        <f>CHOOSE(Translations!$C$1+1,O331,P331,Q331)</f>
        <v>VC-3⁽ᴹ⁾ Número de mosquiteros tratados con insecticida de larga duración distribuidos entre los grupos de riesgo objetivo a través de distribución continua.</v>
      </c>
      <c r="C331" s="4">
        <f t="shared" si="10"/>
        <v>3</v>
      </c>
      <c r="D331" s="4" t="str">
        <f t="shared" si="11"/>
        <v>VC-3⁽ᴹ⁾ Número de mosquiteros tratados con insecticida de larga duración distribuidos entre los grupos de riesgo objetivo a través de distribución continua.-3</v>
      </c>
      <c r="E331" s="4" t="str">
        <f>CHOOSE(Translations!$C$1+1,I331,J331,K331)</f>
        <v>Grupo de riesgo objetivo</v>
      </c>
      <c r="F331" s="4" t="str">
        <f>CHOOSE(Translations!$C$1+1,L331,M331,N331)</f>
        <v>Mujeres embarazadas</v>
      </c>
      <c r="G331" s="4" t="s">
        <v>6711</v>
      </c>
      <c r="H331" s="6" t="s">
        <v>6712</v>
      </c>
      <c r="I331" s="6" t="s">
        <v>1229</v>
      </c>
      <c r="J331" s="6" t="s">
        <v>1230</v>
      </c>
      <c r="K331" s="6" t="s">
        <v>1231</v>
      </c>
      <c r="L331" s="6" t="s">
        <v>6713</v>
      </c>
      <c r="M331" s="6" t="s">
        <v>6714</v>
      </c>
      <c r="N331" s="6" t="s">
        <v>6715</v>
      </c>
      <c r="O331" s="6" t="s">
        <v>6698</v>
      </c>
      <c r="P331" s="6" t="s">
        <v>6699</v>
      </c>
      <c r="Q331" s="6" t="s">
        <v>6700</v>
      </c>
    </row>
    <row r="332" spans="1:17">
      <c r="A332" s="4" t="s">
        <v>6716</v>
      </c>
      <c r="B332" s="4" t="str">
        <f>CHOOSE(Translations!$C$1+1,O332,P332,Q332)</f>
        <v>CM-1a⁽ᴹ⁾ Proporción de casos sospechosos de malaria que se someten a una prueba parasitológica en establecimientos de salud del sector público</v>
      </c>
      <c r="C332" s="4">
        <f t="shared" si="10"/>
        <v>0</v>
      </c>
      <c r="D332" s="4" t="str">
        <f t="shared" si="11"/>
        <v>CM-1a⁽ᴹ⁾ Proporción de casos sospechosos de malaria que se someten a una prueba parasitológica en establecimientos de salud del sector público-0</v>
      </c>
      <c r="E332" s="4" t="str">
        <f>CHOOSE(Translations!$C$1+1,I332,J332,K332)</f>
        <v>Tipo de pruebas</v>
      </c>
      <c r="F332" s="4" t="str">
        <f>CHOOSE(Translations!$C$1+1,L332,M332,N332)</f>
        <v>Prueba de diagnóstico rápido</v>
      </c>
      <c r="G332" s="4" t="s">
        <v>6717</v>
      </c>
      <c r="H332" s="6" t="s">
        <v>6718</v>
      </c>
      <c r="I332" s="6" t="s">
        <v>5973</v>
      </c>
      <c r="J332" s="6" t="s">
        <v>5974</v>
      </c>
      <c r="K332" s="6" t="s">
        <v>5975</v>
      </c>
      <c r="L332" s="6" t="s">
        <v>5976</v>
      </c>
      <c r="M332" s="6" t="s">
        <v>5977</v>
      </c>
      <c r="N332" s="6" t="s">
        <v>5978</v>
      </c>
      <c r="O332" s="6" t="s">
        <v>6719</v>
      </c>
      <c r="P332" s="6" t="s">
        <v>6720</v>
      </c>
      <c r="Q332" s="6" t="s">
        <v>6721</v>
      </c>
    </row>
    <row r="333" spans="1:17">
      <c r="A333" s="4" t="s">
        <v>6716</v>
      </c>
      <c r="B333" s="4" t="str">
        <f>CHOOSE(Translations!$C$1+1,O333,P333,Q333)</f>
        <v>CM-1a⁽ᴹ⁾ Proporción de casos sospechosos de malaria que se someten a una prueba parasitológica en establecimientos de salud del sector público</v>
      </c>
      <c r="C333" s="4">
        <f t="shared" si="10"/>
        <v>1</v>
      </c>
      <c r="D333" s="4" t="str">
        <f t="shared" si="11"/>
        <v>CM-1a⁽ᴹ⁾ Proporción de casos sospechosos de malaria que se someten a una prueba parasitológica en establecimientos de salud del sector público-1</v>
      </c>
      <c r="E333" s="4" t="str">
        <f>CHOOSE(Translations!$C$1+1,I333,J333,K333)</f>
        <v>Tipo de pruebas</v>
      </c>
      <c r="F333" s="4" t="str">
        <f>CHOOSE(Translations!$C$1+1,L333,M333,N333)</f>
        <v>Microscopio</v>
      </c>
      <c r="G333" s="4" t="s">
        <v>6722</v>
      </c>
      <c r="H333" s="6" t="s">
        <v>6723</v>
      </c>
      <c r="I333" s="6" t="s">
        <v>5973</v>
      </c>
      <c r="J333" s="6" t="s">
        <v>5974</v>
      </c>
      <c r="K333" s="6" t="s">
        <v>5975</v>
      </c>
      <c r="L333" s="6" t="s">
        <v>5984</v>
      </c>
      <c r="M333" s="6" t="s">
        <v>5985</v>
      </c>
      <c r="N333" s="6" t="s">
        <v>5986</v>
      </c>
      <c r="O333" s="6" t="s">
        <v>6719</v>
      </c>
      <c r="P333" s="6" t="s">
        <v>6720</v>
      </c>
      <c r="Q333" s="6" t="s">
        <v>6721</v>
      </c>
    </row>
    <row r="334" spans="1:17">
      <c r="A334" s="4" t="s">
        <v>6716</v>
      </c>
      <c r="B334" s="4" t="str">
        <f>CHOOSE(Translations!$C$1+1,O334,P334,Q334)</f>
        <v>CM-1a⁽ᴹ⁾ Proporción de casos sospechosos de malaria que se someten a una prueba parasitológica en establecimientos de salud del sector público</v>
      </c>
      <c r="C334" s="4">
        <f t="shared" si="10"/>
        <v>2</v>
      </c>
      <c r="D334" s="4" t="str">
        <f t="shared" si="11"/>
        <v>CM-1a⁽ᴹ⁾ Proporción de casos sospechosos de malaria que se someten a una prueba parasitológica en establecimientos de salud del sector público-2</v>
      </c>
      <c r="E334" s="4" t="str">
        <f>CHOOSE(Translations!$C$1+1,I334,J334,K334)</f>
        <v>Edad</v>
      </c>
      <c r="F334" s="4" t="str">
        <f>CHOOSE(Translations!$C$1+1,L334,M334,N334)</f>
        <v>5+</v>
      </c>
      <c r="G334" s="4" t="s">
        <v>6724</v>
      </c>
      <c r="H334" s="6" t="s">
        <v>6725</v>
      </c>
      <c r="I334" s="6" t="s">
        <v>697</v>
      </c>
      <c r="J334" s="6" t="s">
        <v>697</v>
      </c>
      <c r="K334" s="6" t="s">
        <v>698</v>
      </c>
      <c r="L334" s="6" t="s">
        <v>5928</v>
      </c>
      <c r="M334" s="6" t="s">
        <v>5928</v>
      </c>
      <c r="N334" s="6" t="s">
        <v>5928</v>
      </c>
      <c r="O334" s="6" t="s">
        <v>6719</v>
      </c>
      <c r="P334" s="6" t="s">
        <v>6720</v>
      </c>
      <c r="Q334" s="6" t="s">
        <v>6721</v>
      </c>
    </row>
    <row r="335" spans="1:17">
      <c r="A335" s="4" t="s">
        <v>6716</v>
      </c>
      <c r="B335" s="4" t="str">
        <f>CHOOSE(Translations!$C$1+1,O335,P335,Q335)</f>
        <v>CM-1a⁽ᴹ⁾ Proporción de casos sospechosos de malaria que se someten a una prueba parasitológica en establecimientos de salud del sector público</v>
      </c>
      <c r="C335" s="4">
        <f t="shared" si="10"/>
        <v>3</v>
      </c>
      <c r="D335" s="4" t="str">
        <f t="shared" si="11"/>
        <v>CM-1a⁽ᴹ⁾ Proporción de casos sospechosos de malaria que se someten a una prueba parasitológica en establecimientos de salud del sector público-3</v>
      </c>
      <c r="E335" s="4" t="str">
        <f>CHOOSE(Translations!$C$1+1,I335,J335,K335)</f>
        <v>Edad</v>
      </c>
      <c r="F335" s="4" t="str">
        <f>CHOOSE(Translations!$C$1+1,L335,M335,N335)</f>
        <v>&lt;5</v>
      </c>
      <c r="G335" s="4" t="s">
        <v>6726</v>
      </c>
      <c r="H335" s="6" t="s">
        <v>6727</v>
      </c>
      <c r="I335" s="6" t="s">
        <v>697</v>
      </c>
      <c r="J335" s="6" t="s">
        <v>697</v>
      </c>
      <c r="K335" s="6" t="s">
        <v>698</v>
      </c>
      <c r="L335" s="6" t="s">
        <v>5875</v>
      </c>
      <c r="M335" s="6" t="s">
        <v>5875</v>
      </c>
      <c r="N335" s="6" t="s">
        <v>5875</v>
      </c>
      <c r="O335" s="6" t="s">
        <v>6719</v>
      </c>
      <c r="P335" s="6" t="s">
        <v>6720</v>
      </c>
      <c r="Q335" s="6" t="s">
        <v>6721</v>
      </c>
    </row>
    <row r="336" spans="1:17">
      <c r="A336" s="4" t="s">
        <v>6728</v>
      </c>
      <c r="B336" s="4" t="str">
        <f>CHOOSE(Translations!$C$1+1,O336,P336,Q336)</f>
        <v>CM-1b⁽ᴹ⁾ Proporción de casos sospechosos de malaria que se someten a una prueba parasitológica en la comunidad</v>
      </c>
      <c r="C336" s="4">
        <f t="shared" si="10"/>
        <v>0</v>
      </c>
      <c r="D336" s="4" t="str">
        <f t="shared" si="11"/>
        <v>CM-1b⁽ᴹ⁾ Proporción de casos sospechosos de malaria que se someten a una prueba parasitológica en la comunidad-0</v>
      </c>
      <c r="E336" s="4" t="str">
        <f>CHOOSE(Translations!$C$1+1,I336,J336,K336)</f>
        <v>Tipo de pruebas</v>
      </c>
      <c r="F336" s="4" t="str">
        <f>CHOOSE(Translations!$C$1+1,L336,M336,N336)</f>
        <v>Prueba de diagnóstico rápido</v>
      </c>
      <c r="G336" s="4" t="s">
        <v>6729</v>
      </c>
      <c r="H336" s="6" t="s">
        <v>6730</v>
      </c>
      <c r="I336" s="6" t="s">
        <v>5973</v>
      </c>
      <c r="J336" s="6" t="s">
        <v>5974</v>
      </c>
      <c r="K336" s="6" t="s">
        <v>5975</v>
      </c>
      <c r="L336" s="6" t="s">
        <v>5976</v>
      </c>
      <c r="M336" s="6" t="s">
        <v>5977</v>
      </c>
      <c r="N336" s="6" t="s">
        <v>5978</v>
      </c>
      <c r="O336" s="6" t="s">
        <v>6731</v>
      </c>
      <c r="P336" s="6" t="s">
        <v>6732</v>
      </c>
      <c r="Q336" s="6" t="s">
        <v>6733</v>
      </c>
    </row>
    <row r="337" spans="1:17">
      <c r="A337" s="4" t="s">
        <v>6728</v>
      </c>
      <c r="B337" s="4" t="str">
        <f>CHOOSE(Translations!$C$1+1,O337,P337,Q337)</f>
        <v>CM-1b⁽ᴹ⁾ Proporción de casos sospechosos de malaria que se someten a una prueba parasitológica en la comunidad</v>
      </c>
      <c r="C337" s="4">
        <f t="shared" si="10"/>
        <v>1</v>
      </c>
      <c r="D337" s="4" t="str">
        <f t="shared" si="11"/>
        <v>CM-1b⁽ᴹ⁾ Proporción de casos sospechosos de malaria que se someten a una prueba parasitológica en la comunidad-1</v>
      </c>
      <c r="E337" s="4" t="str">
        <f>CHOOSE(Translations!$C$1+1,I337,J337,K337)</f>
        <v>Tipo de pruebas</v>
      </c>
      <c r="F337" s="4" t="str">
        <f>CHOOSE(Translations!$C$1+1,L337,M337,N337)</f>
        <v>Microscopio</v>
      </c>
      <c r="G337" s="4" t="s">
        <v>6734</v>
      </c>
      <c r="H337" s="6" t="s">
        <v>6735</v>
      </c>
      <c r="I337" s="6" t="s">
        <v>5973</v>
      </c>
      <c r="J337" s="6" t="s">
        <v>5974</v>
      </c>
      <c r="K337" s="6" t="s">
        <v>5975</v>
      </c>
      <c r="L337" s="6" t="s">
        <v>5984</v>
      </c>
      <c r="M337" s="6" t="s">
        <v>5985</v>
      </c>
      <c r="N337" s="6" t="s">
        <v>5986</v>
      </c>
      <c r="O337" s="6" t="s">
        <v>6731</v>
      </c>
      <c r="P337" s="6" t="s">
        <v>6732</v>
      </c>
      <c r="Q337" s="6" t="s">
        <v>6733</v>
      </c>
    </row>
    <row r="338" spans="1:17">
      <c r="A338" s="4" t="s">
        <v>6728</v>
      </c>
      <c r="B338" s="4" t="str">
        <f>CHOOSE(Translations!$C$1+1,O338,P338,Q338)</f>
        <v>CM-1b⁽ᴹ⁾ Proporción de casos sospechosos de malaria que se someten a una prueba parasitológica en la comunidad</v>
      </c>
      <c r="C338" s="4">
        <f t="shared" si="10"/>
        <v>2</v>
      </c>
      <c r="D338" s="4" t="str">
        <f t="shared" si="11"/>
        <v>CM-1b⁽ᴹ⁾ Proporción de casos sospechosos de malaria que se someten a una prueba parasitológica en la comunidad-2</v>
      </c>
      <c r="E338" s="4" t="str">
        <f>CHOOSE(Translations!$C$1+1,I338,J338,K338)</f>
        <v>Edad</v>
      </c>
      <c r="F338" s="4" t="str">
        <f>CHOOSE(Translations!$C$1+1,L338,M338,N338)</f>
        <v>5+</v>
      </c>
      <c r="G338" s="4" t="s">
        <v>6736</v>
      </c>
      <c r="H338" s="6" t="s">
        <v>6737</v>
      </c>
      <c r="I338" s="6" t="s">
        <v>697</v>
      </c>
      <c r="J338" s="6" t="s">
        <v>697</v>
      </c>
      <c r="K338" s="6" t="s">
        <v>698</v>
      </c>
      <c r="L338" s="6" t="s">
        <v>5928</v>
      </c>
      <c r="M338" s="6" t="s">
        <v>5928</v>
      </c>
      <c r="N338" s="6" t="s">
        <v>5928</v>
      </c>
      <c r="O338" s="6" t="s">
        <v>6731</v>
      </c>
      <c r="P338" s="6" t="s">
        <v>6732</v>
      </c>
      <c r="Q338" s="6" t="s">
        <v>6733</v>
      </c>
    </row>
    <row r="339" spans="1:17">
      <c r="A339" s="4" t="s">
        <v>6728</v>
      </c>
      <c r="B339" s="4" t="str">
        <f>CHOOSE(Translations!$C$1+1,O339,P339,Q339)</f>
        <v>CM-1b⁽ᴹ⁾ Proporción de casos sospechosos de malaria que se someten a una prueba parasitológica en la comunidad</v>
      </c>
      <c r="C339" s="4">
        <f t="shared" si="10"/>
        <v>3</v>
      </c>
      <c r="D339" s="4" t="str">
        <f t="shared" si="11"/>
        <v>CM-1b⁽ᴹ⁾ Proporción de casos sospechosos de malaria que se someten a una prueba parasitológica en la comunidad-3</v>
      </c>
      <c r="E339" s="4" t="str">
        <f>CHOOSE(Translations!$C$1+1,I339,J339,K339)</f>
        <v>Edad</v>
      </c>
      <c r="F339" s="4" t="str">
        <f>CHOOSE(Translations!$C$1+1,L339,M339,N339)</f>
        <v>&lt;5</v>
      </c>
      <c r="G339" s="4" t="s">
        <v>6738</v>
      </c>
      <c r="H339" s="6" t="s">
        <v>6739</v>
      </c>
      <c r="I339" s="6" t="s">
        <v>697</v>
      </c>
      <c r="J339" s="6" t="s">
        <v>697</v>
      </c>
      <c r="K339" s="6" t="s">
        <v>698</v>
      </c>
      <c r="L339" s="6" t="s">
        <v>5875</v>
      </c>
      <c r="M339" s="6" t="s">
        <v>5875</v>
      </c>
      <c r="N339" s="6" t="s">
        <v>5875</v>
      </c>
      <c r="O339" s="6" t="s">
        <v>6731</v>
      </c>
      <c r="P339" s="6" t="s">
        <v>6732</v>
      </c>
      <c r="Q339" s="6" t="s">
        <v>6733</v>
      </c>
    </row>
    <row r="340" spans="1:17">
      <c r="A340" s="4" t="s">
        <v>6740</v>
      </c>
      <c r="B340" s="4" t="str">
        <f>CHOOSE(Translations!$C$1+1,O340,P340,Q340)</f>
        <v>CM-1c⁽ᴹ⁾ Proporción de casos sospechosos de malaria que se someten a una prueba parasitológica en establecimientos   del sector privado</v>
      </c>
      <c r="C340" s="4">
        <f t="shared" si="10"/>
        <v>0</v>
      </c>
      <c r="D340" s="4" t="str">
        <f t="shared" si="11"/>
        <v>CM-1c⁽ᴹ⁾ Proporción de casos sospechosos de malaria que se someten a una prueba parasitológica en establecimientos   del sector privado-0</v>
      </c>
      <c r="E340" s="4" t="str">
        <f>CHOOSE(Translations!$C$1+1,I340,J340,K340)</f>
        <v>Tipo de pruebas</v>
      </c>
      <c r="F340" s="4" t="str">
        <f>CHOOSE(Translations!$C$1+1,L340,M340,N340)</f>
        <v>Prueba de diagnóstico rápido</v>
      </c>
      <c r="G340" s="4" t="s">
        <v>6741</v>
      </c>
      <c r="H340" s="6" t="s">
        <v>6742</v>
      </c>
      <c r="I340" s="6" t="s">
        <v>5973</v>
      </c>
      <c r="J340" s="6" t="s">
        <v>5974</v>
      </c>
      <c r="K340" s="6" t="s">
        <v>5975</v>
      </c>
      <c r="L340" s="6" t="s">
        <v>5976</v>
      </c>
      <c r="M340" s="6" t="s">
        <v>5977</v>
      </c>
      <c r="N340" s="6" t="s">
        <v>5978</v>
      </c>
      <c r="O340" s="6" t="s">
        <v>6743</v>
      </c>
      <c r="P340" s="6" t="s">
        <v>6744</v>
      </c>
      <c r="Q340" s="6" t="s">
        <v>6745</v>
      </c>
    </row>
    <row r="341" spans="1:17">
      <c r="A341" s="4" t="s">
        <v>6740</v>
      </c>
      <c r="B341" s="4" t="str">
        <f>CHOOSE(Translations!$C$1+1,O341,P341,Q341)</f>
        <v>CM-1c⁽ᴹ⁾ Proporción de casos sospechosos de malaria que se someten a una prueba parasitológica en establecimientos   del sector privado</v>
      </c>
      <c r="C341" s="4">
        <f t="shared" si="10"/>
        <v>1</v>
      </c>
      <c r="D341" s="4" t="str">
        <f t="shared" si="11"/>
        <v>CM-1c⁽ᴹ⁾ Proporción de casos sospechosos de malaria que se someten a una prueba parasitológica en establecimientos   del sector privado-1</v>
      </c>
      <c r="E341" s="4" t="str">
        <f>CHOOSE(Translations!$C$1+1,I341,J341,K341)</f>
        <v>Tipo de pruebas</v>
      </c>
      <c r="F341" s="4" t="str">
        <f>CHOOSE(Translations!$C$1+1,L341,M341,N341)</f>
        <v>Microscopio</v>
      </c>
      <c r="G341" s="4" t="s">
        <v>6746</v>
      </c>
      <c r="H341" s="6" t="s">
        <v>6747</v>
      </c>
      <c r="I341" s="6" t="s">
        <v>5973</v>
      </c>
      <c r="J341" s="6" t="s">
        <v>5974</v>
      </c>
      <c r="K341" s="6" t="s">
        <v>5975</v>
      </c>
      <c r="L341" s="6" t="s">
        <v>5984</v>
      </c>
      <c r="M341" s="6" t="s">
        <v>5985</v>
      </c>
      <c r="N341" s="6" t="s">
        <v>5986</v>
      </c>
      <c r="O341" s="6" t="s">
        <v>6743</v>
      </c>
      <c r="P341" s="6" t="s">
        <v>6744</v>
      </c>
      <c r="Q341" s="6" t="s">
        <v>6745</v>
      </c>
    </row>
    <row r="342" spans="1:17">
      <c r="A342" s="4" t="s">
        <v>6740</v>
      </c>
      <c r="B342" s="4" t="str">
        <f>CHOOSE(Translations!$C$1+1,O342,P342,Q342)</f>
        <v>CM-1c⁽ᴹ⁾ Proporción de casos sospechosos de malaria que se someten a una prueba parasitológica en establecimientos   del sector privado</v>
      </c>
      <c r="C342" s="4">
        <f t="shared" si="10"/>
        <v>2</v>
      </c>
      <c r="D342" s="4" t="str">
        <f t="shared" si="11"/>
        <v>CM-1c⁽ᴹ⁾ Proporción de casos sospechosos de malaria que se someten a una prueba parasitológica en establecimientos   del sector privado-2</v>
      </c>
      <c r="E342" s="4" t="str">
        <f>CHOOSE(Translations!$C$1+1,I342,J342,K342)</f>
        <v>Edad</v>
      </c>
      <c r="F342" s="4" t="str">
        <f>CHOOSE(Translations!$C$1+1,L342,M342,N342)</f>
        <v>5+</v>
      </c>
      <c r="G342" s="4" t="s">
        <v>6748</v>
      </c>
      <c r="H342" s="6" t="s">
        <v>6749</v>
      </c>
      <c r="I342" s="6" t="s">
        <v>697</v>
      </c>
      <c r="J342" s="6" t="s">
        <v>697</v>
      </c>
      <c r="K342" s="6" t="s">
        <v>698</v>
      </c>
      <c r="L342" s="6" t="s">
        <v>5928</v>
      </c>
      <c r="M342" s="6" t="s">
        <v>5928</v>
      </c>
      <c r="N342" s="6" t="s">
        <v>5928</v>
      </c>
      <c r="O342" s="6" t="s">
        <v>6743</v>
      </c>
      <c r="P342" s="6" t="s">
        <v>6744</v>
      </c>
      <c r="Q342" s="6" t="s">
        <v>6745</v>
      </c>
    </row>
    <row r="343" spans="1:17">
      <c r="A343" s="4" t="s">
        <v>6740</v>
      </c>
      <c r="B343" s="4" t="str">
        <f>CHOOSE(Translations!$C$1+1,O343,P343,Q343)</f>
        <v>CM-1c⁽ᴹ⁾ Proporción de casos sospechosos de malaria que se someten a una prueba parasitológica en establecimientos   del sector privado</v>
      </c>
      <c r="C343" s="4">
        <f t="shared" si="10"/>
        <v>3</v>
      </c>
      <c r="D343" s="4" t="str">
        <f t="shared" si="11"/>
        <v>CM-1c⁽ᴹ⁾ Proporción de casos sospechosos de malaria que se someten a una prueba parasitológica en establecimientos   del sector privado-3</v>
      </c>
      <c r="E343" s="4" t="str">
        <f>CHOOSE(Translations!$C$1+1,I343,J343,K343)</f>
        <v>Edad</v>
      </c>
      <c r="F343" s="4" t="str">
        <f>CHOOSE(Translations!$C$1+1,L343,M343,N343)</f>
        <v>&lt;5</v>
      </c>
      <c r="G343" s="4" t="s">
        <v>6750</v>
      </c>
      <c r="H343" s="6" t="s">
        <v>6751</v>
      </c>
      <c r="I343" s="6" t="s">
        <v>697</v>
      </c>
      <c r="J343" s="6" t="s">
        <v>697</v>
      </c>
      <c r="K343" s="6" t="s">
        <v>698</v>
      </c>
      <c r="L343" s="6" t="s">
        <v>5875</v>
      </c>
      <c r="M343" s="6" t="s">
        <v>5875</v>
      </c>
      <c r="N343" s="6" t="s">
        <v>5875</v>
      </c>
      <c r="O343" s="6" t="s">
        <v>6743</v>
      </c>
      <c r="P343" s="6" t="s">
        <v>6744</v>
      </c>
      <c r="Q343" s="6" t="s">
        <v>6745</v>
      </c>
    </row>
    <row r="344" spans="1:17">
      <c r="A344" s="4" t="s">
        <v>6752</v>
      </c>
      <c r="B344" s="4" t="str">
        <f>CHOOSE(Translations!$C$1+1,O344,P344,Q344)</f>
        <v>CM-2a⁽ᴹ⁾ Proporción de casos de malaria confirmados que han recibido tratamiento contra la malaria de primera línea en establecimientos de salud del sector público</v>
      </c>
      <c r="C344" s="4">
        <f t="shared" si="10"/>
        <v>0</v>
      </c>
      <c r="D344" s="4" t="str">
        <f t="shared" si="11"/>
        <v>CM-2a⁽ᴹ⁾ Proporción de casos de malaria confirmados que han recibido tratamiento contra la malaria de primera línea en establecimientos de salud del sector público-0</v>
      </c>
      <c r="E344" s="4" t="str">
        <f>CHOOSE(Translations!$C$1+1,I344,J344,K344)</f>
        <v>Edad</v>
      </c>
      <c r="F344" s="4" t="str">
        <f>CHOOSE(Translations!$C$1+1,L344,M344,N344)</f>
        <v>5+</v>
      </c>
      <c r="G344" s="4" t="s">
        <v>6753</v>
      </c>
      <c r="H344" s="6" t="s">
        <v>6754</v>
      </c>
      <c r="I344" s="6" t="s">
        <v>697</v>
      </c>
      <c r="J344" s="6" t="s">
        <v>697</v>
      </c>
      <c r="K344" s="6" t="s">
        <v>698</v>
      </c>
      <c r="L344" s="6" t="s">
        <v>5928</v>
      </c>
      <c r="M344" s="6" t="s">
        <v>5928</v>
      </c>
      <c r="N344" s="6" t="s">
        <v>5928</v>
      </c>
      <c r="O344" s="6" t="s">
        <v>6755</v>
      </c>
      <c r="P344" s="6" t="s">
        <v>6756</v>
      </c>
      <c r="Q344" s="6" t="s">
        <v>6757</v>
      </c>
    </row>
    <row r="345" spans="1:17">
      <c r="A345" s="4" t="s">
        <v>6752</v>
      </c>
      <c r="B345" s="4" t="str">
        <f>CHOOSE(Translations!$C$1+1,O345,P345,Q345)</f>
        <v>CM-2a⁽ᴹ⁾ Proporción de casos de malaria confirmados que han recibido tratamiento contra la malaria de primera línea en establecimientos de salud del sector público</v>
      </c>
      <c r="C345" s="4">
        <f t="shared" si="10"/>
        <v>1</v>
      </c>
      <c r="D345" s="4" t="str">
        <f t="shared" si="11"/>
        <v>CM-2a⁽ᴹ⁾ Proporción de casos de malaria confirmados que han recibido tratamiento contra la malaria de primera línea en establecimientos de salud del sector público-1</v>
      </c>
      <c r="E345" s="4" t="str">
        <f>CHOOSE(Translations!$C$1+1,I345,J345,K345)</f>
        <v>Edad</v>
      </c>
      <c r="F345" s="4" t="str">
        <f>CHOOSE(Translations!$C$1+1,L345,M345,N345)</f>
        <v>&lt;5</v>
      </c>
      <c r="G345" s="4" t="s">
        <v>6758</v>
      </c>
      <c r="H345" s="6" t="s">
        <v>6759</v>
      </c>
      <c r="I345" s="6" t="s">
        <v>697</v>
      </c>
      <c r="J345" s="6" t="s">
        <v>697</v>
      </c>
      <c r="K345" s="6" t="s">
        <v>698</v>
      </c>
      <c r="L345" s="6" t="s">
        <v>5875</v>
      </c>
      <c r="M345" s="6" t="s">
        <v>5875</v>
      </c>
      <c r="N345" s="6" t="s">
        <v>5875</v>
      </c>
      <c r="O345" s="6" t="s">
        <v>6755</v>
      </c>
      <c r="P345" s="6" t="s">
        <v>6756</v>
      </c>
      <c r="Q345" s="6" t="s">
        <v>6757</v>
      </c>
    </row>
    <row r="346" spans="1:17">
      <c r="A346" s="4" t="s">
        <v>6760</v>
      </c>
      <c r="B346" s="4" t="str">
        <f>CHOOSE(Translations!$C$1+1,O346,P346,Q346)</f>
        <v>CM-2b⁽ᴹ⁾ Proporción de casos de malaria confirmados que han recibido tratamiento contra la malaria de primera línea en la comunidad</v>
      </c>
      <c r="C346" s="4">
        <f t="shared" si="10"/>
        <v>0</v>
      </c>
      <c r="D346" s="4" t="str">
        <f t="shared" si="11"/>
        <v>CM-2b⁽ᴹ⁾ Proporción de casos de malaria confirmados que han recibido tratamiento contra la malaria de primera línea en la comunidad-0</v>
      </c>
      <c r="E346" s="4" t="str">
        <f>CHOOSE(Translations!$C$1+1,I346,J346,K346)</f>
        <v>Edad</v>
      </c>
      <c r="F346" s="4" t="str">
        <f>CHOOSE(Translations!$C$1+1,L346,M346,N346)</f>
        <v>5+</v>
      </c>
      <c r="G346" s="4" t="s">
        <v>6761</v>
      </c>
      <c r="H346" s="6" t="s">
        <v>6762</v>
      </c>
      <c r="I346" s="6" t="s">
        <v>697</v>
      </c>
      <c r="J346" s="6" t="s">
        <v>697</v>
      </c>
      <c r="K346" s="6" t="s">
        <v>698</v>
      </c>
      <c r="L346" s="6" t="s">
        <v>5928</v>
      </c>
      <c r="M346" s="6" t="s">
        <v>5928</v>
      </c>
      <c r="N346" s="6" t="s">
        <v>5928</v>
      </c>
      <c r="O346" s="6" t="s">
        <v>6763</v>
      </c>
      <c r="P346" s="6" t="s">
        <v>6764</v>
      </c>
      <c r="Q346" s="6" t="s">
        <v>6765</v>
      </c>
    </row>
    <row r="347" spans="1:17">
      <c r="A347" s="4" t="s">
        <v>6760</v>
      </c>
      <c r="B347" s="4" t="str">
        <f>CHOOSE(Translations!$C$1+1,O347,P347,Q347)</f>
        <v>CM-2b⁽ᴹ⁾ Proporción de casos de malaria confirmados que han recibido tratamiento contra la malaria de primera línea en la comunidad</v>
      </c>
      <c r="C347" s="4">
        <f t="shared" si="10"/>
        <v>1</v>
      </c>
      <c r="D347" s="4" t="str">
        <f t="shared" si="11"/>
        <v>CM-2b⁽ᴹ⁾ Proporción de casos de malaria confirmados que han recibido tratamiento contra la malaria de primera línea en la comunidad-1</v>
      </c>
      <c r="E347" s="4" t="str">
        <f>CHOOSE(Translations!$C$1+1,I347,J347,K347)</f>
        <v>Edad</v>
      </c>
      <c r="F347" s="4" t="str">
        <f>CHOOSE(Translations!$C$1+1,L347,M347,N347)</f>
        <v>&lt;5</v>
      </c>
      <c r="G347" s="4" t="s">
        <v>6766</v>
      </c>
      <c r="H347" s="6" t="s">
        <v>6767</v>
      </c>
      <c r="I347" s="6" t="s">
        <v>697</v>
      </c>
      <c r="J347" s="6" t="s">
        <v>697</v>
      </c>
      <c r="K347" s="6" t="s">
        <v>698</v>
      </c>
      <c r="L347" s="6" t="s">
        <v>5875</v>
      </c>
      <c r="M347" s="6" t="s">
        <v>5875</v>
      </c>
      <c r="N347" s="6" t="s">
        <v>5875</v>
      </c>
      <c r="O347" s="6" t="s">
        <v>6763</v>
      </c>
      <c r="P347" s="6" t="s">
        <v>6764</v>
      </c>
      <c r="Q347" s="6" t="s">
        <v>6765</v>
      </c>
    </row>
    <row r="348" spans="1:17">
      <c r="A348" s="4" t="s">
        <v>6768</v>
      </c>
      <c r="B348" s="4" t="str">
        <f>CHOOSE(Translations!$C$1+1,O348,P348,Q348)</f>
        <v>CM-2c⁽ᴹ⁾ Proporción de casos de malaria confirmados que han recibido tratamiento contra la malaria de primera línea en establecimientos del sector privado</v>
      </c>
      <c r="C348" s="4">
        <f t="shared" ref="C348:C384" si="12">IF(O348=O347,C347+1,0)</f>
        <v>0</v>
      </c>
      <c r="D348" s="4" t="str">
        <f t="shared" ref="D348:D384" si="13">B348&amp;"-"&amp;C348</f>
        <v>CM-2c⁽ᴹ⁾ Proporción de casos de malaria confirmados que han recibido tratamiento contra la malaria de primera línea en establecimientos del sector privado-0</v>
      </c>
      <c r="E348" s="4" t="str">
        <f>CHOOSE(Translations!$C$1+1,I348,J348,K348)</f>
        <v>Edad</v>
      </c>
      <c r="F348" s="4" t="str">
        <f>CHOOSE(Translations!$C$1+1,L348,M348,N348)</f>
        <v>5+</v>
      </c>
      <c r="G348" s="4" t="s">
        <v>6769</v>
      </c>
      <c r="H348" s="6" t="s">
        <v>6770</v>
      </c>
      <c r="I348" s="6" t="s">
        <v>697</v>
      </c>
      <c r="J348" s="6" t="s">
        <v>697</v>
      </c>
      <c r="K348" s="6" t="s">
        <v>698</v>
      </c>
      <c r="L348" s="6" t="s">
        <v>5928</v>
      </c>
      <c r="M348" s="6" t="s">
        <v>5928</v>
      </c>
      <c r="N348" s="6" t="s">
        <v>5928</v>
      </c>
      <c r="O348" s="6" t="s">
        <v>6771</v>
      </c>
      <c r="P348" s="6" t="s">
        <v>6772</v>
      </c>
      <c r="Q348" s="6" t="s">
        <v>6773</v>
      </c>
    </row>
    <row r="349" spans="1:17">
      <c r="A349" s="4" t="s">
        <v>6768</v>
      </c>
      <c r="B349" s="4" t="str">
        <f>CHOOSE(Translations!$C$1+1,O349,P349,Q349)</f>
        <v>CM-2c⁽ᴹ⁾ Proporción de casos de malaria confirmados que han recibido tratamiento contra la malaria de primera línea en establecimientos del sector privado</v>
      </c>
      <c r="C349" s="4">
        <f t="shared" si="12"/>
        <v>1</v>
      </c>
      <c r="D349" s="4" t="str">
        <f t="shared" si="13"/>
        <v>CM-2c⁽ᴹ⁾ Proporción de casos de malaria confirmados que han recibido tratamiento contra la malaria de primera línea en establecimientos del sector privado-1</v>
      </c>
      <c r="E349" s="4" t="str">
        <f>CHOOSE(Translations!$C$1+1,I349,J349,K349)</f>
        <v>Edad</v>
      </c>
      <c r="F349" s="4" t="str">
        <f>CHOOSE(Translations!$C$1+1,L349,M349,N349)</f>
        <v>&lt;5</v>
      </c>
      <c r="G349" s="4" t="s">
        <v>6774</v>
      </c>
      <c r="H349" s="6" t="s">
        <v>6775</v>
      </c>
      <c r="I349" s="6" t="s">
        <v>697</v>
      </c>
      <c r="J349" s="6" t="s">
        <v>697</v>
      </c>
      <c r="K349" s="6" t="s">
        <v>698</v>
      </c>
      <c r="L349" s="6" t="s">
        <v>5875</v>
      </c>
      <c r="M349" s="6" t="s">
        <v>5875</v>
      </c>
      <c r="N349" s="6" t="s">
        <v>5875</v>
      </c>
      <c r="O349" s="6" t="s">
        <v>6771</v>
      </c>
      <c r="P349" s="6" t="s">
        <v>6772</v>
      </c>
      <c r="Q349" s="6" t="s">
        <v>6773</v>
      </c>
    </row>
    <row r="350" spans="1:17">
      <c r="A350" s="4" t="s">
        <v>6776</v>
      </c>
      <c r="B350" s="4" t="str">
        <f>CHOOSE(Translations!$C$1+1,O350,P350,Q350)</f>
        <v>CM-3a Proporción de casos de malaria (sospechosos y confirmados) que han recibido tratamiento contra la malaria de primera línea en establecimientos de salud del sector público</v>
      </c>
      <c r="C350" s="4">
        <f t="shared" si="12"/>
        <v>0</v>
      </c>
      <c r="D350" s="4" t="str">
        <f t="shared" si="13"/>
        <v>CM-3a Proporción de casos de malaria (sospechosos y confirmados) que han recibido tratamiento contra la malaria de primera línea en establecimientos de salud del sector público-0</v>
      </c>
      <c r="E350" s="4" t="str">
        <f>CHOOSE(Translations!$C$1+1,I350,J350,K350)</f>
        <v>Edad</v>
      </c>
      <c r="F350" s="4" t="str">
        <f>CHOOSE(Translations!$C$1+1,L350,M350,N350)</f>
        <v>5+</v>
      </c>
      <c r="G350" s="4" t="s">
        <v>6777</v>
      </c>
      <c r="H350" s="6" t="s">
        <v>6778</v>
      </c>
      <c r="I350" s="6" t="s">
        <v>697</v>
      </c>
      <c r="J350" s="6" t="s">
        <v>697</v>
      </c>
      <c r="K350" s="6" t="s">
        <v>698</v>
      </c>
      <c r="L350" s="6" t="s">
        <v>5928</v>
      </c>
      <c r="M350" s="6" t="s">
        <v>5928</v>
      </c>
      <c r="N350" s="6" t="s">
        <v>5928</v>
      </c>
      <c r="O350" s="6" t="s">
        <v>6779</v>
      </c>
      <c r="P350" s="6" t="s">
        <v>6780</v>
      </c>
      <c r="Q350" s="6" t="s">
        <v>6781</v>
      </c>
    </row>
    <row r="351" spans="1:17">
      <c r="A351" s="4" t="s">
        <v>6776</v>
      </c>
      <c r="B351" s="4" t="str">
        <f>CHOOSE(Translations!$C$1+1,O351,P351,Q351)</f>
        <v>CM-3a Proporción de casos de malaria (sospechosos y confirmados) que han recibido tratamiento contra la malaria de primera línea en establecimientos de salud del sector público</v>
      </c>
      <c r="C351" s="4">
        <f t="shared" si="12"/>
        <v>1</v>
      </c>
      <c r="D351" s="4" t="str">
        <f t="shared" si="13"/>
        <v>CM-3a Proporción de casos de malaria (sospechosos y confirmados) que han recibido tratamiento contra la malaria de primera línea en establecimientos de salud del sector público-1</v>
      </c>
      <c r="E351" s="4" t="str">
        <f>CHOOSE(Translations!$C$1+1,I351,J351,K351)</f>
        <v>Edad</v>
      </c>
      <c r="F351" s="4" t="str">
        <f>CHOOSE(Translations!$C$1+1,L351,M351,N351)</f>
        <v>&lt;5</v>
      </c>
      <c r="G351" s="4" t="s">
        <v>6782</v>
      </c>
      <c r="H351" s="6" t="s">
        <v>6783</v>
      </c>
      <c r="I351" s="6" t="s">
        <v>697</v>
      </c>
      <c r="J351" s="6" t="s">
        <v>697</v>
      </c>
      <c r="K351" s="6" t="s">
        <v>698</v>
      </c>
      <c r="L351" s="6" t="s">
        <v>5875</v>
      </c>
      <c r="M351" s="6" t="s">
        <v>5875</v>
      </c>
      <c r="N351" s="6" t="s">
        <v>5875</v>
      </c>
      <c r="O351" s="6" t="s">
        <v>6779</v>
      </c>
      <c r="P351" s="6" t="s">
        <v>6780</v>
      </c>
      <c r="Q351" s="6" t="s">
        <v>6781</v>
      </c>
    </row>
    <row r="352" spans="1:17">
      <c r="A352" s="4" t="s">
        <v>6784</v>
      </c>
      <c r="B352" s="4" t="str">
        <f>CHOOSE(Translations!$C$1+1,O352,P352,Q352)</f>
        <v>CM-3b Proporción de casos de malaria (sospechosos y confirmados) que han recibido tratamiento contra la malaria de primera línea en la comunidad</v>
      </c>
      <c r="C352" s="4">
        <f t="shared" si="12"/>
        <v>0</v>
      </c>
      <c r="D352" s="4" t="str">
        <f t="shared" si="13"/>
        <v>CM-3b Proporción de casos de malaria (sospechosos y confirmados) que han recibido tratamiento contra la malaria de primera línea en la comunidad-0</v>
      </c>
      <c r="E352" s="4" t="str">
        <f>CHOOSE(Translations!$C$1+1,I352,J352,K352)</f>
        <v>Edad</v>
      </c>
      <c r="F352" s="4" t="str">
        <f>CHOOSE(Translations!$C$1+1,L352,M352,N352)</f>
        <v>5+</v>
      </c>
      <c r="G352" s="4" t="s">
        <v>6785</v>
      </c>
      <c r="H352" s="6" t="s">
        <v>6786</v>
      </c>
      <c r="I352" s="6" t="s">
        <v>697</v>
      </c>
      <c r="J352" s="6" t="s">
        <v>697</v>
      </c>
      <c r="K352" s="6" t="s">
        <v>698</v>
      </c>
      <c r="L352" s="6" t="s">
        <v>5928</v>
      </c>
      <c r="M352" s="6" t="s">
        <v>5928</v>
      </c>
      <c r="N352" s="6" t="s">
        <v>5928</v>
      </c>
      <c r="O352" s="6" t="s">
        <v>6787</v>
      </c>
      <c r="P352" s="6" t="s">
        <v>6788</v>
      </c>
      <c r="Q352" s="6" t="s">
        <v>6789</v>
      </c>
    </row>
    <row r="353" spans="1:17">
      <c r="A353" s="4" t="s">
        <v>6784</v>
      </c>
      <c r="B353" s="4" t="str">
        <f>CHOOSE(Translations!$C$1+1,O353,P353,Q353)</f>
        <v>CM-3b Proporción de casos de malaria (sospechosos y confirmados) que han recibido tratamiento contra la malaria de primera línea en la comunidad</v>
      </c>
      <c r="C353" s="4">
        <f t="shared" si="12"/>
        <v>1</v>
      </c>
      <c r="D353" s="4" t="str">
        <f t="shared" si="13"/>
        <v>CM-3b Proporción de casos de malaria (sospechosos y confirmados) que han recibido tratamiento contra la malaria de primera línea en la comunidad-1</v>
      </c>
      <c r="E353" s="4" t="str">
        <f>CHOOSE(Translations!$C$1+1,I353,J353,K353)</f>
        <v>Edad</v>
      </c>
      <c r="F353" s="4" t="str">
        <f>CHOOSE(Translations!$C$1+1,L353,M353,N353)</f>
        <v>&lt;5</v>
      </c>
      <c r="G353" s="4" t="s">
        <v>6790</v>
      </c>
      <c r="H353" s="6" t="s">
        <v>6791</v>
      </c>
      <c r="I353" s="6" t="s">
        <v>697</v>
      </c>
      <c r="J353" s="6" t="s">
        <v>697</v>
      </c>
      <c r="K353" s="6" t="s">
        <v>698</v>
      </c>
      <c r="L353" s="6" t="s">
        <v>5875</v>
      </c>
      <c r="M353" s="6" t="s">
        <v>5875</v>
      </c>
      <c r="N353" s="6" t="s">
        <v>5875</v>
      </c>
      <c r="O353" s="6" t="s">
        <v>6787</v>
      </c>
      <c r="P353" s="6" t="s">
        <v>6788</v>
      </c>
      <c r="Q353" s="6" t="s">
        <v>6789</v>
      </c>
    </row>
    <row r="354" spans="1:17">
      <c r="A354" s="4" t="s">
        <v>6792</v>
      </c>
      <c r="B354" s="4" t="str">
        <f>CHOOSE(Translations!$C$1+1,O354,P354,Q354)</f>
        <v>CM-3c Proporción de casos de malaria (sospechosos y confirmados) que han recibido tratamiento contra la malaria de primera línea en centros del sector privado</v>
      </c>
      <c r="C354" s="4">
        <f t="shared" si="12"/>
        <v>0</v>
      </c>
      <c r="D354" s="4" t="str">
        <f t="shared" si="13"/>
        <v>CM-3c Proporción de casos de malaria (sospechosos y confirmados) que han recibido tratamiento contra la malaria de primera línea en centros del sector privado-0</v>
      </c>
      <c r="E354" s="4" t="str">
        <f>CHOOSE(Translations!$C$1+1,I354,J354,K354)</f>
        <v>Edad</v>
      </c>
      <c r="F354" s="4" t="str">
        <f>CHOOSE(Translations!$C$1+1,L354,M354,N354)</f>
        <v>5+</v>
      </c>
      <c r="G354" s="4" t="s">
        <v>6793</v>
      </c>
      <c r="H354" s="6" t="s">
        <v>6794</v>
      </c>
      <c r="I354" s="6" t="s">
        <v>697</v>
      </c>
      <c r="J354" s="6" t="s">
        <v>697</v>
      </c>
      <c r="K354" s="6" t="s">
        <v>698</v>
      </c>
      <c r="L354" s="6" t="s">
        <v>5928</v>
      </c>
      <c r="M354" s="6" t="s">
        <v>5928</v>
      </c>
      <c r="N354" s="6" t="s">
        <v>5928</v>
      </c>
      <c r="O354" s="6" t="s">
        <v>6795</v>
      </c>
      <c r="P354" s="6" t="s">
        <v>6796</v>
      </c>
      <c r="Q354" s="6" t="s">
        <v>6797</v>
      </c>
    </row>
    <row r="355" spans="1:17">
      <c r="A355" s="4" t="s">
        <v>6792</v>
      </c>
      <c r="B355" s="4" t="str">
        <f>CHOOSE(Translations!$C$1+1,O355,P355,Q355)</f>
        <v>CM-3c Proporción de casos de malaria (sospechosos y confirmados) que han recibido tratamiento contra la malaria de primera línea en centros del sector privado</v>
      </c>
      <c r="C355" s="4">
        <f t="shared" si="12"/>
        <v>1</v>
      </c>
      <c r="D355" s="4" t="str">
        <f t="shared" si="13"/>
        <v>CM-3c Proporción de casos de malaria (sospechosos y confirmados) que han recibido tratamiento contra la malaria de primera línea en centros del sector privado-1</v>
      </c>
      <c r="E355" s="4" t="str">
        <f>CHOOSE(Translations!$C$1+1,I355,J355,K355)</f>
        <v>Edad</v>
      </c>
      <c r="F355" s="4" t="str">
        <f>CHOOSE(Translations!$C$1+1,L355,M355,N355)</f>
        <v>&lt;5</v>
      </c>
      <c r="G355" s="4" t="s">
        <v>6798</v>
      </c>
      <c r="H355" s="6" t="s">
        <v>6799</v>
      </c>
      <c r="I355" s="6" t="s">
        <v>697</v>
      </c>
      <c r="J355" s="6" t="s">
        <v>697</v>
      </c>
      <c r="K355" s="6" t="s">
        <v>698</v>
      </c>
      <c r="L355" s="6" t="s">
        <v>5875</v>
      </c>
      <c r="M355" s="6" t="s">
        <v>5875</v>
      </c>
      <c r="N355" s="6" t="s">
        <v>5875</v>
      </c>
      <c r="O355" s="6" t="s">
        <v>6795</v>
      </c>
      <c r="P355" s="6" t="s">
        <v>6796</v>
      </c>
      <c r="Q355" s="6" t="s">
        <v>6797</v>
      </c>
    </row>
    <row r="356" spans="1:17">
      <c r="A356" s="4" t="s">
        <v>6800</v>
      </c>
      <c r="B356" s="4" t="str">
        <f>CHOOSE(Translations!$C$1+1,O356,P356,Q356)</f>
        <v>SPI-2 Porcentaje de niños de entre 3 y 59 meses que recibieron cursos completos de quimioprevención de la malaria estacional (tres o cuatro) por estación de transmisión en las áreas seleccionadas</v>
      </c>
      <c r="C356" s="4">
        <f t="shared" si="12"/>
        <v>0</v>
      </c>
      <c r="D356" s="4" t="str">
        <f t="shared" si="13"/>
        <v>SPI-2 Porcentaje de niños de entre 3 y 59 meses que recibieron cursos completos de quimioprevención de la malaria estacional (tres o cuatro) por estación de transmisión en las áreas seleccionadas-0</v>
      </c>
      <c r="E356" s="4" t="str">
        <f>CHOOSE(Translations!$C$1+1,I356,J356,K356)</f>
        <v>Género</v>
      </c>
      <c r="F356" s="4" t="str">
        <f>CHOOSE(Translations!$C$1+1,L356,M356,N356)</f>
        <v>Mujeres</v>
      </c>
      <c r="G356" s="4" t="s">
        <v>6801</v>
      </c>
      <c r="H356" s="6" t="s">
        <v>6802</v>
      </c>
      <c r="I356" s="6" t="s">
        <v>800</v>
      </c>
      <c r="J356" s="6" t="s">
        <v>801</v>
      </c>
      <c r="K356" s="6" t="s">
        <v>802</v>
      </c>
      <c r="L356" s="6" t="s">
        <v>5826</v>
      </c>
      <c r="M356" s="6" t="s">
        <v>5827</v>
      </c>
      <c r="N356" s="6" t="s">
        <v>5828</v>
      </c>
      <c r="O356" s="6" t="s">
        <v>6803</v>
      </c>
      <c r="P356" s="6" t="s">
        <v>6804</v>
      </c>
      <c r="Q356" s="6" t="s">
        <v>6805</v>
      </c>
    </row>
    <row r="357" spans="1:17">
      <c r="A357" s="4" t="s">
        <v>6800</v>
      </c>
      <c r="B357" s="4" t="str">
        <f>CHOOSE(Translations!$C$1+1,O357,P357,Q357)</f>
        <v>SPI-2 Porcentaje de niños de entre 3 y 59 meses que recibieron cursos completos de quimioprevención de la malaria estacional (tres o cuatro) por estación de transmisión en las áreas seleccionadas</v>
      </c>
      <c r="C357" s="4">
        <f t="shared" si="12"/>
        <v>1</v>
      </c>
      <c r="D357" s="4" t="str">
        <f t="shared" si="13"/>
        <v>SPI-2 Porcentaje de niños de entre 3 y 59 meses que recibieron cursos completos de quimioprevención de la malaria estacional (tres o cuatro) por estación de transmisión en las áreas seleccionadas-1</v>
      </c>
      <c r="E357" s="4" t="str">
        <f>CHOOSE(Translations!$C$1+1,I357,J357,K357)</f>
        <v>Género</v>
      </c>
      <c r="F357" s="4" t="str">
        <f>CHOOSE(Translations!$C$1+1,L357,M357,N357)</f>
        <v>Hombres</v>
      </c>
      <c r="G357" s="4" t="s">
        <v>6806</v>
      </c>
      <c r="H357" s="6" t="s">
        <v>6807</v>
      </c>
      <c r="I357" s="6" t="s">
        <v>800</v>
      </c>
      <c r="J357" s="6" t="s">
        <v>801</v>
      </c>
      <c r="K357" s="6" t="s">
        <v>802</v>
      </c>
      <c r="L357" s="6" t="s">
        <v>5831</v>
      </c>
      <c r="M357" s="6" t="s">
        <v>5832</v>
      </c>
      <c r="N357" s="6" t="s">
        <v>5833</v>
      </c>
      <c r="O357" s="6" t="s">
        <v>6803</v>
      </c>
      <c r="P357" s="6" t="s">
        <v>6804</v>
      </c>
      <c r="Q357" s="6" t="s">
        <v>6805</v>
      </c>
    </row>
    <row r="358" spans="1:17">
      <c r="A358" s="4" t="s">
        <v>1347</v>
      </c>
      <c r="B358" s="4" t="str">
        <f>CHOOSE(Translations!$C$1+1,O358,P358,Q358)</f>
        <v>M&amp;E-2a Exhaustividad de los informes de los establecimientos de salud  : porcentaje de informes mensuales previstos  de los establecimientos de salud  (para el período de reporte) que se reciben realmente</v>
      </c>
      <c r="C358" s="4">
        <f t="shared" si="12"/>
        <v>0</v>
      </c>
      <c r="D358" s="4" t="str">
        <f t="shared" si="13"/>
        <v>M&amp;E-2a Exhaustividad de los informes de los establecimientos de salud  : porcentaje de informes mensuales previstos  de los establecimientos de salud  (para el período de reporte) que se reciben realmente-0</v>
      </c>
      <c r="E358" s="4" t="str">
        <f>CHOOSE(Translations!$C$1+1,I358,J358,K358)</f>
        <v>Tipo de informe</v>
      </c>
      <c r="F358" s="4" t="str">
        <f>CHOOSE(Translations!$C$1+1,L358,M358,N358)</f>
        <v>Informes integrados</v>
      </c>
      <c r="G358" s="4" t="s">
        <v>6808</v>
      </c>
      <c r="H358" s="6" t="s">
        <v>6809</v>
      </c>
      <c r="I358" s="6" t="s">
        <v>1352</v>
      </c>
      <c r="J358" s="6" t="s">
        <v>1353</v>
      </c>
      <c r="K358" s="6" t="s">
        <v>1354</v>
      </c>
      <c r="L358" s="6" t="s">
        <v>6810</v>
      </c>
      <c r="M358" s="6" t="s">
        <v>6811</v>
      </c>
      <c r="N358" s="6" t="s">
        <v>6812</v>
      </c>
      <c r="O358" s="6" t="s">
        <v>1349</v>
      </c>
      <c r="P358" s="6" t="s">
        <v>1350</v>
      </c>
      <c r="Q358" s="6" t="s">
        <v>1351</v>
      </c>
    </row>
    <row r="359" spans="1:17">
      <c r="A359" s="4" t="s">
        <v>1347</v>
      </c>
      <c r="B359" s="4" t="str">
        <f>CHOOSE(Translations!$C$1+1,O359,P359,Q359)</f>
        <v>M&amp;E-2a Exhaustividad de los informes de los establecimientos de salud  : porcentaje de informes mensuales previstos  de los establecimientos de salud  (para el período de reporte) que se reciben realmente</v>
      </c>
      <c r="C359" s="4">
        <f t="shared" si="12"/>
        <v>1</v>
      </c>
      <c r="D359" s="4" t="str">
        <f t="shared" si="13"/>
        <v>M&amp;E-2a Exhaustividad de los informes de los establecimientos de salud  : porcentaje de informes mensuales previstos  de los establecimientos de salud  (para el período de reporte) que se reciben realmente-1</v>
      </c>
      <c r="E359" s="4" t="str">
        <f>CHOOSE(Translations!$C$1+1,I359,J359,K359)</f>
        <v>Tipo de informe</v>
      </c>
      <c r="F359" s="4" t="str">
        <f>CHOOSE(Translations!$C$1+1,L359,M359,N359)</f>
        <v>Informes de malaria</v>
      </c>
      <c r="G359" s="4" t="s">
        <v>6813</v>
      </c>
      <c r="H359" s="6" t="s">
        <v>6814</v>
      </c>
      <c r="I359" s="6" t="s">
        <v>1352</v>
      </c>
      <c r="J359" s="6" t="s">
        <v>1353</v>
      </c>
      <c r="K359" s="6" t="s">
        <v>1354</v>
      </c>
      <c r="L359" s="6" t="s">
        <v>6815</v>
      </c>
      <c r="M359" s="6" t="s">
        <v>6816</v>
      </c>
      <c r="N359" s="6" t="s">
        <v>6817</v>
      </c>
      <c r="O359" s="6" t="s">
        <v>1349</v>
      </c>
      <c r="P359" s="6" t="s">
        <v>1350</v>
      </c>
      <c r="Q359" s="6" t="s">
        <v>1351</v>
      </c>
    </row>
    <row r="360" spans="1:17">
      <c r="A360" s="4" t="s">
        <v>1347</v>
      </c>
      <c r="B360" s="4" t="str">
        <f>CHOOSE(Translations!$C$1+1,O360,P360,Q360)</f>
        <v>M&amp;E-2a Exhaustividad de los informes de los establecimientos de salud  : porcentaje de informes mensuales previstos  de los establecimientos de salud  (para el período de reporte) que se reciben realmente</v>
      </c>
      <c r="C360" s="4">
        <f t="shared" si="12"/>
        <v>2</v>
      </c>
      <c r="D360" s="4" t="str">
        <f t="shared" si="13"/>
        <v>M&amp;E-2a Exhaustividad de los informes de los establecimientos de salud  : porcentaje de informes mensuales previstos  de los establecimientos de salud  (para el período de reporte) que se reciben realmente-2</v>
      </c>
      <c r="E360" s="4" t="str">
        <f>CHOOSE(Translations!$C$1+1,I360,J360,K360)</f>
        <v>Tipo de informe</v>
      </c>
      <c r="F360" s="4" t="str">
        <f>CHOOSE(Translations!$C$1+1,L360,M360,N360)</f>
        <v>Informes de tuberculosis</v>
      </c>
      <c r="G360" s="4" t="s">
        <v>6818</v>
      </c>
      <c r="H360" s="6" t="s">
        <v>6819</v>
      </c>
      <c r="I360" s="6" t="s">
        <v>1352</v>
      </c>
      <c r="J360" s="6" t="s">
        <v>1353</v>
      </c>
      <c r="K360" s="6" t="s">
        <v>1354</v>
      </c>
      <c r="L360" s="6" t="s">
        <v>6820</v>
      </c>
      <c r="M360" s="6" t="s">
        <v>6821</v>
      </c>
      <c r="N360" s="6" t="s">
        <v>6822</v>
      </c>
      <c r="O360" s="6" t="s">
        <v>1349</v>
      </c>
      <c r="P360" s="6" t="s">
        <v>1350</v>
      </c>
      <c r="Q360" s="6" t="s">
        <v>1351</v>
      </c>
    </row>
    <row r="361" spans="1:17">
      <c r="A361" s="4" t="s">
        <v>1347</v>
      </c>
      <c r="B361" s="4" t="str">
        <f>CHOOSE(Translations!$C$1+1,O361,P361,Q361)</f>
        <v>M&amp;E-2a Exhaustividad de los informes de los establecimientos de salud  : porcentaje de informes mensuales previstos  de los establecimientos de salud  (para el período de reporte) que se reciben realmente</v>
      </c>
      <c r="C361" s="4">
        <f t="shared" si="12"/>
        <v>3</v>
      </c>
      <c r="D361" s="4" t="str">
        <f t="shared" si="13"/>
        <v>M&amp;E-2a Exhaustividad de los informes de los establecimientos de salud  : porcentaje de informes mensuales previstos  de los establecimientos de salud  (para el período de reporte) que se reciben realmente-3</v>
      </c>
      <c r="E361" s="4" t="str">
        <f>CHOOSE(Translations!$C$1+1,I361,J361,K361)</f>
        <v>Tipo de informe</v>
      </c>
      <c r="F361" s="4" t="str">
        <f>CHOOSE(Translations!$C$1+1,L361,M361,N361)</f>
        <v>Informes de VIH</v>
      </c>
      <c r="G361" s="4" t="s">
        <v>6823</v>
      </c>
      <c r="H361" s="6" t="s">
        <v>6824</v>
      </c>
      <c r="I361" s="6" t="s">
        <v>1352</v>
      </c>
      <c r="J361" s="6" t="s">
        <v>1353</v>
      </c>
      <c r="K361" s="6" t="s">
        <v>1354</v>
      </c>
      <c r="L361" s="6" t="s">
        <v>6825</v>
      </c>
      <c r="M361" s="6" t="s">
        <v>6826</v>
      </c>
      <c r="N361" s="6" t="s">
        <v>6827</v>
      </c>
      <c r="O361" s="6" t="s">
        <v>1349</v>
      </c>
      <c r="P361" s="6" t="s">
        <v>1350</v>
      </c>
      <c r="Q361" s="6" t="s">
        <v>1351</v>
      </c>
    </row>
    <row r="362" spans="1:17">
      <c r="A362" s="4" t="s">
        <v>1355</v>
      </c>
      <c r="B362" s="4" t="str">
        <f>CHOOSE(Translations!$C$1+1,O362,P362,Q362)</f>
        <v>M&amp;E-2b Puntualidad de los informes de los  establecimientos de salud : porcentaje de informes de los establecimientos de salud  enviados mensualmente ( para el período de reporte) que se reciben puntualmente de acuerdo con las directrices nacionales</v>
      </c>
      <c r="C362" s="4">
        <f t="shared" si="12"/>
        <v>0</v>
      </c>
      <c r="D362" s="4" t="str">
        <f t="shared" si="13"/>
        <v>M&amp;E-2b Puntualidad de los informes de los  establecimientos de salud : porcentaje de informes de los establecimientos de salud  enviados mensualmente ( para el período de reporte) que se reciben puntualmente de acuerdo con las directrices nacionales-0</v>
      </c>
      <c r="E362" s="4" t="str">
        <f>CHOOSE(Translations!$C$1+1,I362,J362,K362)</f>
        <v>Tipo de informe</v>
      </c>
      <c r="F362" s="4" t="str">
        <f>CHOOSE(Translations!$C$1+1,L362,M362,N362)</f>
        <v>Informes integrados</v>
      </c>
      <c r="G362" s="4" t="s">
        <v>6828</v>
      </c>
      <c r="H362" s="6" t="s">
        <v>6829</v>
      </c>
      <c r="I362" s="6" t="s">
        <v>1352</v>
      </c>
      <c r="J362" s="6" t="s">
        <v>1353</v>
      </c>
      <c r="K362" s="6" t="s">
        <v>1354</v>
      </c>
      <c r="L362" s="6" t="s">
        <v>6810</v>
      </c>
      <c r="M362" s="6" t="s">
        <v>6811</v>
      </c>
      <c r="N362" s="6" t="s">
        <v>6812</v>
      </c>
      <c r="O362" s="6" t="s">
        <v>1357</v>
      </c>
      <c r="P362" s="6" t="s">
        <v>1358</v>
      </c>
      <c r="Q362" s="6" t="s">
        <v>1359</v>
      </c>
    </row>
    <row r="363" spans="1:17">
      <c r="A363" s="4" t="s">
        <v>1355</v>
      </c>
      <c r="B363" s="4" t="str">
        <f>CHOOSE(Translations!$C$1+1,O363,P363,Q363)</f>
        <v>M&amp;E-2b Puntualidad de los informes de los  establecimientos de salud : porcentaje de informes de los establecimientos de salud  enviados mensualmente ( para el período de reporte) que se reciben puntualmente de acuerdo con las directrices nacionales</v>
      </c>
      <c r="C363" s="4">
        <f t="shared" si="12"/>
        <v>1</v>
      </c>
      <c r="D363" s="4" t="str">
        <f t="shared" si="13"/>
        <v>M&amp;E-2b Puntualidad de los informes de los  establecimientos de salud : porcentaje de informes de los establecimientos de salud  enviados mensualmente ( para el período de reporte) que se reciben puntualmente de acuerdo con las directrices nacionales-1</v>
      </c>
      <c r="E363" s="4" t="str">
        <f>CHOOSE(Translations!$C$1+1,I363,J363,K363)</f>
        <v>Tipo de informe</v>
      </c>
      <c r="F363" s="4" t="str">
        <f>CHOOSE(Translations!$C$1+1,L363,M363,N363)</f>
        <v>Informes de malaria</v>
      </c>
      <c r="G363" s="4" t="s">
        <v>6830</v>
      </c>
      <c r="H363" s="6" t="s">
        <v>6831</v>
      </c>
      <c r="I363" s="6" t="s">
        <v>1352</v>
      </c>
      <c r="J363" s="6" t="s">
        <v>1353</v>
      </c>
      <c r="K363" s="6" t="s">
        <v>1354</v>
      </c>
      <c r="L363" s="6" t="s">
        <v>6815</v>
      </c>
      <c r="M363" s="6" t="s">
        <v>6816</v>
      </c>
      <c r="N363" s="6" t="s">
        <v>6817</v>
      </c>
      <c r="O363" s="6" t="s">
        <v>1357</v>
      </c>
      <c r="P363" s="6" t="s">
        <v>1358</v>
      </c>
      <c r="Q363" s="6" t="s">
        <v>1359</v>
      </c>
    </row>
    <row r="364" spans="1:17">
      <c r="A364" s="4" t="s">
        <v>1355</v>
      </c>
      <c r="B364" s="4" t="str">
        <f>CHOOSE(Translations!$C$1+1,O364,P364,Q364)</f>
        <v>M&amp;E-2b Puntualidad de los informes de los  establecimientos de salud : porcentaje de informes de los establecimientos de salud  enviados mensualmente ( para el período de reporte) que se reciben puntualmente de acuerdo con las directrices nacionales</v>
      </c>
      <c r="C364" s="4">
        <f t="shared" si="12"/>
        <v>2</v>
      </c>
      <c r="D364" s="4" t="str">
        <f t="shared" si="13"/>
        <v>M&amp;E-2b Puntualidad de los informes de los  establecimientos de salud : porcentaje de informes de los establecimientos de salud  enviados mensualmente ( para el período de reporte) que se reciben puntualmente de acuerdo con las directrices nacionales-2</v>
      </c>
      <c r="E364" s="4" t="str">
        <f>CHOOSE(Translations!$C$1+1,I364,J364,K364)</f>
        <v>Tipo de informe</v>
      </c>
      <c r="F364" s="4" t="str">
        <f>CHOOSE(Translations!$C$1+1,L364,M364,N364)</f>
        <v>Informes de tuberculosis</v>
      </c>
      <c r="G364" s="4" t="s">
        <v>6832</v>
      </c>
      <c r="H364" s="6" t="s">
        <v>6833</v>
      </c>
      <c r="I364" s="6" t="s">
        <v>1352</v>
      </c>
      <c r="J364" s="6" t="s">
        <v>1353</v>
      </c>
      <c r="K364" s="6" t="s">
        <v>1354</v>
      </c>
      <c r="L364" s="6" t="s">
        <v>6820</v>
      </c>
      <c r="M364" s="6" t="s">
        <v>6821</v>
      </c>
      <c r="N364" s="6" t="s">
        <v>6822</v>
      </c>
      <c r="O364" s="6" t="s">
        <v>1357</v>
      </c>
      <c r="P364" s="6" t="s">
        <v>1358</v>
      </c>
      <c r="Q364" s="6" t="s">
        <v>1359</v>
      </c>
    </row>
    <row r="365" spans="1:17">
      <c r="A365" s="4" t="s">
        <v>1355</v>
      </c>
      <c r="B365" s="4" t="str">
        <f>CHOOSE(Translations!$C$1+1,O365,P365,Q365)</f>
        <v>M&amp;E-2b Puntualidad de los informes de los  establecimientos de salud : porcentaje de informes de los establecimientos de salud  enviados mensualmente ( para el período de reporte) que se reciben puntualmente de acuerdo con las directrices nacionales</v>
      </c>
      <c r="C365" s="4">
        <f t="shared" si="12"/>
        <v>3</v>
      </c>
      <c r="D365" s="4" t="str">
        <f t="shared" si="13"/>
        <v>M&amp;E-2b Puntualidad de los informes de los  establecimientos de salud : porcentaje de informes de los establecimientos de salud  enviados mensualmente ( para el período de reporte) que se reciben puntualmente de acuerdo con las directrices nacionales-3</v>
      </c>
      <c r="E365" s="4" t="str">
        <f>CHOOSE(Translations!$C$1+1,I365,J365,K365)</f>
        <v>Tipo de informe</v>
      </c>
      <c r="F365" s="4" t="str">
        <f>CHOOSE(Translations!$C$1+1,L365,M365,N365)</f>
        <v>Informes de VIH</v>
      </c>
      <c r="G365" s="4" t="s">
        <v>6834</v>
      </c>
      <c r="H365" s="6" t="s">
        <v>6835</v>
      </c>
      <c r="I365" s="6" t="s">
        <v>1352</v>
      </c>
      <c r="J365" s="6" t="s">
        <v>1353</v>
      </c>
      <c r="K365" s="6" t="s">
        <v>1354</v>
      </c>
      <c r="L365" s="6" t="s">
        <v>6825</v>
      </c>
      <c r="M365" s="6" t="s">
        <v>6826</v>
      </c>
      <c r="N365" s="6" t="s">
        <v>6827</v>
      </c>
      <c r="O365" s="6" t="s">
        <v>1357</v>
      </c>
      <c r="P365" s="6" t="s">
        <v>1358</v>
      </c>
      <c r="Q365" s="6" t="s">
        <v>1359</v>
      </c>
    </row>
    <row r="366" spans="1:17">
      <c r="A366" s="4" t="s">
        <v>1376</v>
      </c>
      <c r="B366" s="4" t="str">
        <f>CHOOSE(Translations!$C$1+1,O366,P366,Q366)</f>
        <v>HRH-1 Tasa de puestos vacantes: número de puestos de salud a tiempo completo vacantes durante al menos 6 meses como porcentaje total del número de puestos financiados</v>
      </c>
      <c r="C366" s="4">
        <f t="shared" si="12"/>
        <v>0</v>
      </c>
      <c r="D366" s="4" t="str">
        <f t="shared" si="13"/>
        <v>HRH-1 Tasa de puestos vacantes: número de puestos de salud a tiempo completo vacantes durante al menos 6 meses como porcentaje total del número de puestos financiados-0</v>
      </c>
      <c r="E366" s="4" t="str">
        <f>CHOOSE(Translations!$C$1+1,I366,J366,K366)</f>
        <v>Grupo de ocupación</v>
      </c>
      <c r="F366" s="4" t="str">
        <f>CHOOSE(Translations!$C$1+1,L366,M366,N366)</f>
        <v>Trabajadores de la salud comunitarios</v>
      </c>
      <c r="G366" s="4" t="s">
        <v>6836</v>
      </c>
      <c r="H366" s="6" t="s">
        <v>6837</v>
      </c>
      <c r="I366" s="6" t="s">
        <v>965</v>
      </c>
      <c r="J366" s="6" t="s">
        <v>966</v>
      </c>
      <c r="K366" s="6" t="s">
        <v>967</v>
      </c>
      <c r="L366" s="6" t="s">
        <v>6229</v>
      </c>
      <c r="M366" s="6" t="s">
        <v>6230</v>
      </c>
      <c r="N366" s="6" t="s">
        <v>6231</v>
      </c>
      <c r="O366" s="6" t="s">
        <v>1378</v>
      </c>
      <c r="P366" s="6" t="s">
        <v>1379</v>
      </c>
      <c r="Q366" s="6" t="s">
        <v>1380</v>
      </c>
    </row>
    <row r="367" spans="1:17">
      <c r="A367" s="4" t="s">
        <v>1376</v>
      </c>
      <c r="B367" s="4" t="str">
        <f>CHOOSE(Translations!$C$1+1,O367,P367,Q367)</f>
        <v>HRH-1 Tasa de puestos vacantes: número de puestos de salud a tiempo completo vacantes durante al menos 6 meses como porcentaje total del número de puestos financiados</v>
      </c>
      <c r="C367" s="4">
        <f t="shared" si="12"/>
        <v>1</v>
      </c>
      <c r="D367" s="4" t="str">
        <f t="shared" si="13"/>
        <v>HRH-1 Tasa de puestos vacantes: número de puestos de salud a tiempo completo vacantes durante al menos 6 meses como porcentaje total del número de puestos financiados-1</v>
      </c>
      <c r="E367" s="4" t="str">
        <f>CHOOSE(Translations!$C$1+1,I367,J367,K367)</f>
        <v>Grupo de ocupación</v>
      </c>
      <c r="F367" s="4" t="str">
        <f>CHOOSE(Translations!$C$1+1,L367,M367,N367)</f>
        <v>Farmacéuticos</v>
      </c>
      <c r="G367" s="4" t="s">
        <v>6838</v>
      </c>
      <c r="H367" s="6" t="s">
        <v>6839</v>
      </c>
      <c r="I367" s="6" t="s">
        <v>965</v>
      </c>
      <c r="J367" s="6" t="s">
        <v>966</v>
      </c>
      <c r="K367" s="6" t="s">
        <v>967</v>
      </c>
      <c r="L367" s="6" t="s">
        <v>6234</v>
      </c>
      <c r="M367" s="6" t="s">
        <v>6235</v>
      </c>
      <c r="N367" s="6" t="s">
        <v>6236</v>
      </c>
      <c r="O367" s="6" t="s">
        <v>1378</v>
      </c>
      <c r="P367" s="6" t="s">
        <v>1379</v>
      </c>
      <c r="Q367" s="6" t="s">
        <v>1380</v>
      </c>
    </row>
    <row r="368" spans="1:17">
      <c r="A368" s="4" t="s">
        <v>1376</v>
      </c>
      <c r="B368" s="4" t="str">
        <f>CHOOSE(Translations!$C$1+1,O368,P368,Q368)</f>
        <v>HRH-1 Tasa de puestos vacantes: número de puestos de salud a tiempo completo vacantes durante al menos 6 meses como porcentaje total del número de puestos financiados</v>
      </c>
      <c r="C368" s="4">
        <f t="shared" si="12"/>
        <v>2</v>
      </c>
      <c r="D368" s="4" t="str">
        <f t="shared" si="13"/>
        <v>HRH-1 Tasa de puestos vacantes: número de puestos de salud a tiempo completo vacantes durante al menos 6 meses como porcentaje total del número de puestos financiados-2</v>
      </c>
      <c r="E368" s="4" t="str">
        <f>CHOOSE(Translations!$C$1+1,I368,J368,K368)</f>
        <v>Grupo de ocupación</v>
      </c>
      <c r="F368" s="4" t="str">
        <f>CHOOSE(Translations!$C$1+1,L368,M368,N368)</f>
        <v>Técnicos de laboratorio</v>
      </c>
      <c r="G368" s="4" t="s">
        <v>6840</v>
      </c>
      <c r="H368" s="6" t="s">
        <v>6841</v>
      </c>
      <c r="I368" s="6" t="s">
        <v>965</v>
      </c>
      <c r="J368" s="6" t="s">
        <v>966</v>
      </c>
      <c r="K368" s="6" t="s">
        <v>967</v>
      </c>
      <c r="L368" s="6" t="s">
        <v>6239</v>
      </c>
      <c r="M368" s="6" t="s">
        <v>6240</v>
      </c>
      <c r="N368" s="6" t="s">
        <v>6241</v>
      </c>
      <c r="O368" s="6" t="s">
        <v>1378</v>
      </c>
      <c r="P368" s="6" t="s">
        <v>1379</v>
      </c>
      <c r="Q368" s="6" t="s">
        <v>1380</v>
      </c>
    </row>
    <row r="369" spans="1:17">
      <c r="A369" s="4" t="s">
        <v>1376</v>
      </c>
      <c r="B369" s="4" t="str">
        <f>CHOOSE(Translations!$C$1+1,O369,P369,Q369)</f>
        <v>HRH-1 Tasa de puestos vacantes: número de puestos de salud a tiempo completo vacantes durante al menos 6 meses como porcentaje total del número de puestos financiados</v>
      </c>
      <c r="C369" s="4">
        <f t="shared" si="12"/>
        <v>3</v>
      </c>
      <c r="D369" s="4" t="str">
        <f t="shared" si="13"/>
        <v>HRH-1 Tasa de puestos vacantes: número de puestos de salud a tiempo completo vacantes durante al menos 6 meses como porcentaje total del número de puestos financiados-3</v>
      </c>
      <c r="E369" s="4" t="str">
        <f>CHOOSE(Translations!$C$1+1,I369,J369,K369)</f>
        <v>Grupo de ocupación</v>
      </c>
      <c r="F369" s="4" t="str">
        <f>CHOOSE(Translations!$C$1+1,L369,M369,N369)</f>
        <v>Enfermeras y parteras</v>
      </c>
      <c r="G369" s="4" t="s">
        <v>6842</v>
      </c>
      <c r="H369" s="6" t="s">
        <v>6843</v>
      </c>
      <c r="I369" s="6" t="s">
        <v>965</v>
      </c>
      <c r="J369" s="6" t="s">
        <v>966</v>
      </c>
      <c r="K369" s="6" t="s">
        <v>967</v>
      </c>
      <c r="L369" s="6" t="s">
        <v>6244</v>
      </c>
      <c r="M369" s="6" t="s">
        <v>6245</v>
      </c>
      <c r="N369" s="6" t="s">
        <v>6246</v>
      </c>
      <c r="O369" s="6" t="s">
        <v>1378</v>
      </c>
      <c r="P369" s="6" t="s">
        <v>1379</v>
      </c>
      <c r="Q369" s="6" t="s">
        <v>1380</v>
      </c>
    </row>
    <row r="370" spans="1:17">
      <c r="A370" s="4" t="s">
        <v>1376</v>
      </c>
      <c r="B370" s="4" t="str">
        <f>CHOOSE(Translations!$C$1+1,O370,P370,Q370)</f>
        <v>HRH-1 Tasa de puestos vacantes: número de puestos de salud a tiempo completo vacantes durante al menos 6 meses como porcentaje total del número de puestos financiados</v>
      </c>
      <c r="C370" s="4">
        <f t="shared" si="12"/>
        <v>4</v>
      </c>
      <c r="D370" s="4" t="str">
        <f t="shared" si="13"/>
        <v>HRH-1 Tasa de puestos vacantes: número de puestos de salud a tiempo completo vacantes durante al menos 6 meses como porcentaje total del número de puestos financiados-4</v>
      </c>
      <c r="E370" s="4" t="str">
        <f>CHOOSE(Translations!$C$1+1,I370,J370,K370)</f>
        <v>Grupo de ocupación</v>
      </c>
      <c r="F370" s="4" t="str">
        <f>CHOOSE(Translations!$C$1+1,L370,M370,N370)</f>
        <v>Médicos</v>
      </c>
      <c r="G370" s="4" t="s">
        <v>6844</v>
      </c>
      <c r="H370" s="6" t="s">
        <v>6845</v>
      </c>
      <c r="I370" s="6" t="s">
        <v>965</v>
      </c>
      <c r="J370" s="6" t="s">
        <v>966</v>
      </c>
      <c r="K370" s="6" t="s">
        <v>967</v>
      </c>
      <c r="L370" s="6" t="s">
        <v>6249</v>
      </c>
      <c r="M370" s="6" t="s">
        <v>6250</v>
      </c>
      <c r="N370" s="6" t="s">
        <v>6251</v>
      </c>
      <c r="O370" s="6" t="s">
        <v>1378</v>
      </c>
      <c r="P370" s="6" t="s">
        <v>1379</v>
      </c>
      <c r="Q370" s="6" t="s">
        <v>1380</v>
      </c>
    </row>
    <row r="371" spans="1:17">
      <c r="A371" s="4" t="s">
        <v>1381</v>
      </c>
      <c r="B371" s="4" t="str">
        <f>CHOOSE(Translations!$C$1+1,O371,P371,Q371)</f>
        <v>HRH-2 Proporción de estudiantes graduados de un programa de educación y formación de personal sanitario respecto del número de estudiantes inscritos en primer año</v>
      </c>
      <c r="C371" s="4">
        <f t="shared" si="12"/>
        <v>0</v>
      </c>
      <c r="D371" s="4" t="str">
        <f t="shared" si="13"/>
        <v>HRH-2 Proporción de estudiantes graduados de un programa de educación y formación de personal sanitario respecto del número de estudiantes inscritos en primer año-0</v>
      </c>
      <c r="E371" s="4" t="str">
        <f>CHOOSE(Translations!$C$1+1,I371,J371,K371)</f>
        <v>Grupo de ocupación</v>
      </c>
      <c r="F371" s="4" t="str">
        <f>CHOOSE(Translations!$C$1+1,L371,M371,N371)</f>
        <v>Trabajadores de la salud comunitarios</v>
      </c>
      <c r="G371" s="4" t="s">
        <v>6846</v>
      </c>
      <c r="H371" s="6" t="s">
        <v>6847</v>
      </c>
      <c r="I371" s="6" t="s">
        <v>965</v>
      </c>
      <c r="J371" s="6" t="s">
        <v>966</v>
      </c>
      <c r="K371" s="6" t="s">
        <v>967</v>
      </c>
      <c r="L371" s="6" t="s">
        <v>6229</v>
      </c>
      <c r="M371" s="6" t="s">
        <v>6230</v>
      </c>
      <c r="N371" s="6" t="s">
        <v>6231</v>
      </c>
      <c r="O371" s="6" t="s">
        <v>1383</v>
      </c>
      <c r="P371" s="6" t="s">
        <v>1384</v>
      </c>
      <c r="Q371" s="6" t="s">
        <v>1385</v>
      </c>
    </row>
    <row r="372" spans="1:17">
      <c r="A372" s="4" t="s">
        <v>1381</v>
      </c>
      <c r="B372" s="4" t="str">
        <f>CHOOSE(Translations!$C$1+1,O372,P372,Q372)</f>
        <v>HRH-2 Proporción de estudiantes graduados de un programa de educación y formación de personal sanitario respecto del número de estudiantes inscritos en primer año</v>
      </c>
      <c r="C372" s="4">
        <f t="shared" si="12"/>
        <v>1</v>
      </c>
      <c r="D372" s="4" t="str">
        <f t="shared" si="13"/>
        <v>HRH-2 Proporción de estudiantes graduados de un programa de educación y formación de personal sanitario respecto del número de estudiantes inscritos en primer año-1</v>
      </c>
      <c r="E372" s="4" t="str">
        <f>CHOOSE(Translations!$C$1+1,I372,J372,K372)</f>
        <v>Grupo de ocupación</v>
      </c>
      <c r="F372" s="4" t="str">
        <f>CHOOSE(Translations!$C$1+1,L372,M372,N372)</f>
        <v>Farmacéuticos</v>
      </c>
      <c r="G372" s="4" t="s">
        <v>6848</v>
      </c>
      <c r="H372" s="6" t="s">
        <v>6849</v>
      </c>
      <c r="I372" s="6" t="s">
        <v>965</v>
      </c>
      <c r="J372" s="6" t="s">
        <v>966</v>
      </c>
      <c r="K372" s="6" t="s">
        <v>967</v>
      </c>
      <c r="L372" s="6" t="s">
        <v>6234</v>
      </c>
      <c r="M372" s="6" t="s">
        <v>6235</v>
      </c>
      <c r="N372" s="6" t="s">
        <v>6236</v>
      </c>
      <c r="O372" s="6" t="s">
        <v>1383</v>
      </c>
      <c r="P372" s="6" t="s">
        <v>1384</v>
      </c>
      <c r="Q372" s="6" t="s">
        <v>1385</v>
      </c>
    </row>
    <row r="373" spans="1:17">
      <c r="A373" s="4" t="s">
        <v>1381</v>
      </c>
      <c r="B373" s="4" t="str">
        <f>CHOOSE(Translations!$C$1+1,O373,P373,Q373)</f>
        <v>HRH-2 Proporción de estudiantes graduados de un programa de educación y formación de personal sanitario respecto del número de estudiantes inscritos en primer año</v>
      </c>
      <c r="C373" s="4">
        <f t="shared" si="12"/>
        <v>2</v>
      </c>
      <c r="D373" s="4" t="str">
        <f t="shared" si="13"/>
        <v>HRH-2 Proporción de estudiantes graduados de un programa de educación y formación de personal sanitario respecto del número de estudiantes inscritos en primer año-2</v>
      </c>
      <c r="E373" s="4" t="str">
        <f>CHOOSE(Translations!$C$1+1,I373,J373,K373)</f>
        <v>Grupo de ocupación</v>
      </c>
      <c r="F373" s="4" t="str">
        <f>CHOOSE(Translations!$C$1+1,L373,M373,N373)</f>
        <v>Técnicos de laboratorio</v>
      </c>
      <c r="G373" s="4" t="s">
        <v>6850</v>
      </c>
      <c r="H373" s="6" t="s">
        <v>6851</v>
      </c>
      <c r="I373" s="6" t="s">
        <v>965</v>
      </c>
      <c r="J373" s="6" t="s">
        <v>966</v>
      </c>
      <c r="K373" s="6" t="s">
        <v>967</v>
      </c>
      <c r="L373" s="6" t="s">
        <v>6239</v>
      </c>
      <c r="M373" s="6" t="s">
        <v>6240</v>
      </c>
      <c r="N373" s="6" t="s">
        <v>6241</v>
      </c>
      <c r="O373" s="6" t="s">
        <v>1383</v>
      </c>
      <c r="P373" s="6" t="s">
        <v>1384</v>
      </c>
      <c r="Q373" s="6" t="s">
        <v>1385</v>
      </c>
    </row>
    <row r="374" spans="1:17">
      <c r="A374" s="4" t="s">
        <v>1381</v>
      </c>
      <c r="B374" s="4" t="str">
        <f>CHOOSE(Translations!$C$1+1,O374,P374,Q374)</f>
        <v>HRH-2 Proporción de estudiantes graduados de un programa de educación y formación de personal sanitario respecto del número de estudiantes inscritos en primer año</v>
      </c>
      <c r="C374" s="4">
        <f t="shared" si="12"/>
        <v>3</v>
      </c>
      <c r="D374" s="4" t="str">
        <f t="shared" si="13"/>
        <v>HRH-2 Proporción de estudiantes graduados de un programa de educación y formación de personal sanitario respecto del número de estudiantes inscritos en primer año-3</v>
      </c>
      <c r="E374" s="4" t="str">
        <f>CHOOSE(Translations!$C$1+1,I374,J374,K374)</f>
        <v>Grupo de ocupación</v>
      </c>
      <c r="F374" s="4" t="str">
        <f>CHOOSE(Translations!$C$1+1,L374,M374,N374)</f>
        <v>Enfermeras y parteras</v>
      </c>
      <c r="G374" s="4" t="s">
        <v>6852</v>
      </c>
      <c r="H374" s="6" t="s">
        <v>6853</v>
      </c>
      <c r="I374" s="6" t="s">
        <v>965</v>
      </c>
      <c r="J374" s="6" t="s">
        <v>966</v>
      </c>
      <c r="K374" s="6" t="s">
        <v>967</v>
      </c>
      <c r="L374" s="6" t="s">
        <v>6244</v>
      </c>
      <c r="M374" s="6" t="s">
        <v>6245</v>
      </c>
      <c r="N374" s="6" t="s">
        <v>6246</v>
      </c>
      <c r="O374" s="6" t="s">
        <v>1383</v>
      </c>
      <c r="P374" s="6" t="s">
        <v>1384</v>
      </c>
      <c r="Q374" s="6" t="s">
        <v>1385</v>
      </c>
    </row>
    <row r="375" spans="1:17">
      <c r="A375" s="4" t="s">
        <v>1381</v>
      </c>
      <c r="B375" s="4" t="str">
        <f>CHOOSE(Translations!$C$1+1,O375,P375,Q375)</f>
        <v>HRH-2 Proporción de estudiantes graduados de un programa de educación y formación de personal sanitario respecto del número de estudiantes inscritos en primer año</v>
      </c>
      <c r="C375" s="4">
        <f t="shared" si="12"/>
        <v>4</v>
      </c>
      <c r="D375" s="4" t="str">
        <f t="shared" si="13"/>
        <v>HRH-2 Proporción de estudiantes graduados de un programa de educación y formación de personal sanitario respecto del número de estudiantes inscritos en primer año-4</v>
      </c>
      <c r="E375" s="4" t="str">
        <f>CHOOSE(Translations!$C$1+1,I375,J375,K375)</f>
        <v>Grupo de ocupación</v>
      </c>
      <c r="F375" s="4" t="str">
        <f>CHOOSE(Translations!$C$1+1,L375,M375,N375)</f>
        <v>Médicos</v>
      </c>
      <c r="G375" s="4" t="s">
        <v>6854</v>
      </c>
      <c r="H375" s="6" t="s">
        <v>6855</v>
      </c>
      <c r="I375" s="6" t="s">
        <v>965</v>
      </c>
      <c r="J375" s="6" t="s">
        <v>966</v>
      </c>
      <c r="K375" s="6" t="s">
        <v>967</v>
      </c>
      <c r="L375" s="6" t="s">
        <v>6249</v>
      </c>
      <c r="M375" s="6" t="s">
        <v>6250</v>
      </c>
      <c r="N375" s="6" t="s">
        <v>6251</v>
      </c>
      <c r="O375" s="6" t="s">
        <v>1383</v>
      </c>
      <c r="P375" s="6" t="s">
        <v>1384</v>
      </c>
      <c r="Q375" s="6" t="s">
        <v>1385</v>
      </c>
    </row>
    <row r="376" spans="1:17">
      <c r="A376" s="4" t="s">
        <v>1407</v>
      </c>
      <c r="B376" s="4" t="str">
        <f>CHOOSE(Translations!$C$1+1,O376,P376,Q376)</f>
        <v>SD-6 Número de  condiciones de la atención integrada en la comunidad de enfermedades infantiles tratadas en niños menores de 5 años en áreas objetivo durante el período de informes</v>
      </c>
      <c r="C376" s="4">
        <f t="shared" si="12"/>
        <v>0</v>
      </c>
      <c r="D376" s="4" t="str">
        <f t="shared" si="13"/>
        <v>SD-6 Número de  condiciones de la atención integrada en la comunidad de enfermedades infantiles tratadas en niños menores de 5 años en áreas objetivo durante el período de informes-0</v>
      </c>
      <c r="E376" s="4" t="str">
        <f>CHOOSE(Translations!$C$1+1,I376,J376,K376)</f>
        <v>Condición GICC</v>
      </c>
      <c r="F376" s="4" t="str">
        <f>CHOOSE(Translations!$C$1+1,L376,M376,N376)</f>
        <v>Malnutrición</v>
      </c>
      <c r="G376" s="4" t="s">
        <v>6856</v>
      </c>
      <c r="H376" s="6" t="s">
        <v>6857</v>
      </c>
      <c r="I376" s="6" t="s">
        <v>1412</v>
      </c>
      <c r="J376" s="6" t="s">
        <v>1413</v>
      </c>
      <c r="K376" s="6" t="s">
        <v>1414</v>
      </c>
      <c r="L376" s="6" t="s">
        <v>6858</v>
      </c>
      <c r="M376" s="6" t="s">
        <v>6858</v>
      </c>
      <c r="N376" s="6" t="s">
        <v>6859</v>
      </c>
      <c r="O376" s="6" t="s">
        <v>1409</v>
      </c>
      <c r="P376" s="6" t="s">
        <v>1410</v>
      </c>
      <c r="Q376" s="6" t="s">
        <v>1411</v>
      </c>
    </row>
    <row r="377" spans="1:17">
      <c r="A377" s="4" t="s">
        <v>1407</v>
      </c>
      <c r="B377" s="4" t="str">
        <f>CHOOSE(Translations!$C$1+1,O377,P377,Q377)</f>
        <v>SD-6 Número de  condiciones de la atención integrada en la comunidad de enfermedades infantiles tratadas en niños menores de 5 años en áreas objetivo durante el período de informes</v>
      </c>
      <c r="C377" s="4">
        <f t="shared" si="12"/>
        <v>1</v>
      </c>
      <c r="D377" s="4" t="str">
        <f t="shared" si="13"/>
        <v>SD-6 Número de  condiciones de la atención integrada en la comunidad de enfermedades infantiles tratadas en niños menores de 5 años en áreas objetivo durante el período de informes-1</v>
      </c>
      <c r="E377" s="4" t="str">
        <f>CHOOSE(Translations!$C$1+1,I377,J377,K377)</f>
        <v>Condición GICC</v>
      </c>
      <c r="F377" s="4" t="str">
        <f>CHOOSE(Translations!$C$1+1,L377,M377,N377)</f>
        <v>Diarrea</v>
      </c>
      <c r="G377" s="4" t="s">
        <v>6860</v>
      </c>
      <c r="H377" s="6" t="s">
        <v>6861</v>
      </c>
      <c r="I377" s="6" t="s">
        <v>1412</v>
      </c>
      <c r="J377" s="6" t="s">
        <v>1413</v>
      </c>
      <c r="K377" s="6" t="s">
        <v>1414</v>
      </c>
      <c r="L377" s="6" t="s">
        <v>6862</v>
      </c>
      <c r="M377" s="6" t="s">
        <v>6863</v>
      </c>
      <c r="N377" s="6" t="s">
        <v>6864</v>
      </c>
      <c r="O377" s="6" t="s">
        <v>1409</v>
      </c>
      <c r="P377" s="6" t="s">
        <v>1410</v>
      </c>
      <c r="Q377" s="6" t="s">
        <v>1411</v>
      </c>
    </row>
    <row r="378" spans="1:17">
      <c r="A378" s="4" t="s">
        <v>1407</v>
      </c>
      <c r="B378" s="4" t="str">
        <f>CHOOSE(Translations!$C$1+1,O378,P378,Q378)</f>
        <v>SD-6 Número de  condiciones de la atención integrada en la comunidad de enfermedades infantiles tratadas en niños menores de 5 años en áreas objetivo durante el período de informes</v>
      </c>
      <c r="C378" s="4">
        <f t="shared" si="12"/>
        <v>2</v>
      </c>
      <c r="D378" s="4" t="str">
        <f t="shared" si="13"/>
        <v>SD-6 Número de  condiciones de la atención integrada en la comunidad de enfermedades infantiles tratadas en niños menores de 5 años en áreas objetivo durante el período de informes-2</v>
      </c>
      <c r="E378" s="4" t="str">
        <f>CHOOSE(Translations!$C$1+1,I378,J378,K378)</f>
        <v>Condición GICC</v>
      </c>
      <c r="F378" s="4" t="str">
        <f>CHOOSE(Translations!$C$1+1,L378,M378,N378)</f>
        <v>Neumonía</v>
      </c>
      <c r="G378" s="4" t="s">
        <v>6865</v>
      </c>
      <c r="H378" s="6" t="s">
        <v>6866</v>
      </c>
      <c r="I378" s="6" t="s">
        <v>1412</v>
      </c>
      <c r="J378" s="6" t="s">
        <v>1413</v>
      </c>
      <c r="K378" s="6" t="s">
        <v>1414</v>
      </c>
      <c r="L378" s="6" t="s">
        <v>6867</v>
      </c>
      <c r="M378" s="6" t="s">
        <v>6868</v>
      </c>
      <c r="N378" s="6" t="s">
        <v>6869</v>
      </c>
      <c r="O378" s="6" t="s">
        <v>1409</v>
      </c>
      <c r="P378" s="6" t="s">
        <v>1410</v>
      </c>
      <c r="Q378" s="6" t="s">
        <v>1411</v>
      </c>
    </row>
    <row r="379" spans="1:17">
      <c r="A379" s="4" t="s">
        <v>1407</v>
      </c>
      <c r="B379" s="4" t="str">
        <f>CHOOSE(Translations!$C$1+1,O379,P379,Q379)</f>
        <v>SD-6 Número de  condiciones de la atención integrada en la comunidad de enfermedades infantiles tratadas en niños menores de 5 años en áreas objetivo durante el período de informes</v>
      </c>
      <c r="C379" s="4">
        <f t="shared" si="12"/>
        <v>3</v>
      </c>
      <c r="D379" s="4" t="str">
        <f t="shared" si="13"/>
        <v>SD-6 Número de  condiciones de la atención integrada en la comunidad de enfermedades infantiles tratadas en niños menores de 5 años en áreas objetivo durante el período de informes-3</v>
      </c>
      <c r="E379" s="4" t="str">
        <f>CHOOSE(Translations!$C$1+1,I379,J379,K379)</f>
        <v>Condición GICC</v>
      </c>
      <c r="F379" s="4" t="str">
        <f>CHOOSE(Translations!$C$1+1,L379,M379,N379)</f>
        <v>Malaria</v>
      </c>
      <c r="G379" s="4" t="s">
        <v>6870</v>
      </c>
      <c r="H379" s="6" t="s">
        <v>6871</v>
      </c>
      <c r="I379" s="6" t="s">
        <v>1412</v>
      </c>
      <c r="J379" s="6" t="s">
        <v>1413</v>
      </c>
      <c r="K379" s="6" t="s">
        <v>1414</v>
      </c>
      <c r="L379" s="6" t="s">
        <v>6872</v>
      </c>
      <c r="M379" s="6" t="s">
        <v>6873</v>
      </c>
      <c r="N379" s="6" t="s">
        <v>6872</v>
      </c>
      <c r="O379" s="6" t="s">
        <v>1409</v>
      </c>
      <c r="P379" s="6" t="s">
        <v>1410</v>
      </c>
      <c r="Q379" s="6" t="s">
        <v>1411</v>
      </c>
    </row>
    <row r="380" spans="1:17">
      <c r="A380" s="4" t="s">
        <v>1297</v>
      </c>
      <c r="B380" s="4" t="str">
        <f>CHOOSE(Translations!$C$1+1,O380,P380,Q380)</f>
        <v>TB/HIV-3.1a Porcentaje de personas que viven con VIH que iniciaron TARV que se han sometido a un tamizaje de TB</v>
      </c>
      <c r="C380" s="4">
        <f t="shared" si="12"/>
        <v>0</v>
      </c>
      <c r="D380" s="4" t="str">
        <f t="shared" si="13"/>
        <v>TB/HIV-3.1a Porcentaje de personas que viven con VIH que iniciaron TARV que se han sometido a un tamizaje de TB-0</v>
      </c>
      <c r="E380" s="4" t="str">
        <f>CHOOSE(Translations!$C$1+1,I380,J380,K380)</f>
        <v>Género</v>
      </c>
      <c r="F380" s="4" t="str">
        <f>CHOOSE(Translations!$C$1+1,L380,M380,N380)</f>
        <v>Mujeres</v>
      </c>
      <c r="G380" s="4" t="s">
        <v>6874</v>
      </c>
      <c r="H380" s="6" t="s">
        <v>6875</v>
      </c>
      <c r="I380" s="6" t="s">
        <v>800</v>
      </c>
      <c r="J380" s="6" t="s">
        <v>801</v>
      </c>
      <c r="K380" s="6" t="s">
        <v>802</v>
      </c>
      <c r="L380" s="6" t="s">
        <v>5826</v>
      </c>
      <c r="M380" s="6" t="s">
        <v>5827</v>
      </c>
      <c r="N380" s="6" t="s">
        <v>5828</v>
      </c>
      <c r="O380" s="6" t="s">
        <v>1299</v>
      </c>
      <c r="P380" s="6" t="s">
        <v>1300</v>
      </c>
      <c r="Q380" s="6" t="s">
        <v>1301</v>
      </c>
    </row>
    <row r="381" spans="1:17">
      <c r="A381" s="4" t="s">
        <v>1297</v>
      </c>
      <c r="B381" s="4" t="str">
        <f>CHOOSE(Translations!$C$1+1,O381,P381,Q381)</f>
        <v>TB/HIV-3.1a Porcentaje de personas que viven con VIH que iniciaron TARV que se han sometido a un tamizaje de TB</v>
      </c>
      <c r="C381" s="4">
        <f t="shared" si="12"/>
        <v>1</v>
      </c>
      <c r="D381" s="4" t="str">
        <f t="shared" si="13"/>
        <v>TB/HIV-3.1a Porcentaje de personas que viven con VIH que iniciaron TARV que se han sometido a un tamizaje de TB-1</v>
      </c>
      <c r="E381" s="4" t="str">
        <f>CHOOSE(Translations!$C$1+1,I381,J381,K381)</f>
        <v>Género</v>
      </c>
      <c r="F381" s="4" t="str">
        <f>CHOOSE(Translations!$C$1+1,L381,M381,N381)</f>
        <v>Hombres</v>
      </c>
      <c r="G381" s="4" t="s">
        <v>6876</v>
      </c>
      <c r="H381" s="6" t="s">
        <v>6877</v>
      </c>
      <c r="I381" s="6" t="s">
        <v>800</v>
      </c>
      <c r="J381" s="6" t="s">
        <v>801</v>
      </c>
      <c r="K381" s="6" t="s">
        <v>802</v>
      </c>
      <c r="L381" s="6" t="s">
        <v>5831</v>
      </c>
      <c r="M381" s="6" t="s">
        <v>5832</v>
      </c>
      <c r="N381" s="6" t="s">
        <v>5833</v>
      </c>
      <c r="O381" s="6" t="s">
        <v>1299</v>
      </c>
      <c r="P381" s="6" t="s">
        <v>1300</v>
      </c>
      <c r="Q381" s="6" t="s">
        <v>1301</v>
      </c>
    </row>
    <row r="382" spans="1:17">
      <c r="A382" s="4" t="s">
        <v>1297</v>
      </c>
      <c r="B382" s="4" t="str">
        <f>CHOOSE(Translations!$C$1+1,O382,P382,Q382)</f>
        <v>TB/HIV-3.1a Porcentaje de personas que viven con VIH que iniciaron TARV que se han sometido a un tamizaje de TB</v>
      </c>
      <c r="C382" s="4">
        <f t="shared" si="12"/>
        <v>2</v>
      </c>
      <c r="D382" s="4" t="str">
        <f t="shared" si="13"/>
        <v>TB/HIV-3.1a Porcentaje de personas que viven con VIH que iniciaron TARV que se han sometido a un tamizaje de TB-2</v>
      </c>
      <c r="E382" s="4" t="str">
        <f>CHOOSE(Translations!$C$1+1,I382,J382,K382)</f>
        <v>Edad</v>
      </c>
      <c r="F382" s="4" t="str">
        <f>CHOOSE(Translations!$C$1+1,L382,M382,N382)</f>
        <v>15+</v>
      </c>
      <c r="G382" s="4" t="s">
        <v>6878</v>
      </c>
      <c r="H382" s="6" t="s">
        <v>6879</v>
      </c>
      <c r="I382" s="6" t="s">
        <v>697</v>
      </c>
      <c r="J382" s="6" t="s">
        <v>697</v>
      </c>
      <c r="K382" s="6" t="s">
        <v>698</v>
      </c>
      <c r="L382" s="6" t="s">
        <v>5836</v>
      </c>
      <c r="M382" s="6" t="s">
        <v>5836</v>
      </c>
      <c r="N382" s="6" t="s">
        <v>5836</v>
      </c>
      <c r="O382" s="6" t="s">
        <v>1299</v>
      </c>
      <c r="P382" s="6" t="s">
        <v>1300</v>
      </c>
      <c r="Q382" s="6" t="s">
        <v>1301</v>
      </c>
    </row>
    <row r="383" spans="1:17">
      <c r="A383" s="4" t="s">
        <v>1297</v>
      </c>
      <c r="B383" s="4" t="str">
        <f>CHOOSE(Translations!$C$1+1,O383,P383,Q383)</f>
        <v>TB/HIV-3.1a Porcentaje de personas que viven con VIH que iniciaron TARV que se han sometido a un tamizaje de TB</v>
      </c>
      <c r="C383" s="4">
        <f t="shared" si="12"/>
        <v>3</v>
      </c>
      <c r="D383" s="4" t="str">
        <f t="shared" si="13"/>
        <v>TB/HIV-3.1a Porcentaje de personas que viven con VIH que iniciaron TARV que se han sometido a un tamizaje de TB-3</v>
      </c>
      <c r="E383" s="4" t="str">
        <f>CHOOSE(Translations!$C$1+1,I383,J383,K383)</f>
        <v>Edad</v>
      </c>
      <c r="F383" s="4" t="str">
        <f>CHOOSE(Translations!$C$1+1,L383,M383,N383)</f>
        <v>5-14</v>
      </c>
      <c r="G383" s="4" t="s">
        <v>6880</v>
      </c>
      <c r="H383" s="6" t="s">
        <v>6881</v>
      </c>
      <c r="I383" s="6" t="s">
        <v>697</v>
      </c>
      <c r="J383" s="6" t="s">
        <v>697</v>
      </c>
      <c r="K383" s="6" t="s">
        <v>698</v>
      </c>
      <c r="L383" s="6" t="s">
        <v>5872</v>
      </c>
      <c r="M383" s="6" t="s">
        <v>5872</v>
      </c>
      <c r="N383" s="6" t="s">
        <v>5872</v>
      </c>
      <c r="O383" s="6" t="s">
        <v>1299</v>
      </c>
      <c r="P383" s="6" t="s">
        <v>1300</v>
      </c>
      <c r="Q383" s="6" t="s">
        <v>1301</v>
      </c>
    </row>
    <row r="384" spans="1:17">
      <c r="A384" s="4" t="s">
        <v>1297</v>
      </c>
      <c r="B384" s="4" t="str">
        <f>CHOOSE(Translations!$C$1+1,O384,P384,Q384)</f>
        <v>TB/HIV-3.1a Porcentaje de personas que viven con VIH que iniciaron TARV que se han sometido a un tamizaje de TB</v>
      </c>
      <c r="C384" s="4">
        <f t="shared" si="12"/>
        <v>4</v>
      </c>
      <c r="D384" s="4" t="str">
        <f t="shared" si="13"/>
        <v>TB/HIV-3.1a Porcentaje de personas que viven con VIH que iniciaron TARV que se han sometido a un tamizaje de TB-4</v>
      </c>
      <c r="E384" s="4" t="str">
        <f>CHOOSE(Translations!$C$1+1,I384,J384,K384)</f>
        <v>Edad</v>
      </c>
      <c r="F384" s="4" t="str">
        <f>CHOOSE(Translations!$C$1+1,L384,M384,N384)</f>
        <v>&lt;5</v>
      </c>
      <c r="G384" s="4" t="s">
        <v>6882</v>
      </c>
      <c r="H384" s="6" t="s">
        <v>6883</v>
      </c>
      <c r="I384" s="6" t="s">
        <v>697</v>
      </c>
      <c r="J384" s="6" t="s">
        <v>697</v>
      </c>
      <c r="K384" s="6" t="s">
        <v>698</v>
      </c>
      <c r="L384" s="6" t="s">
        <v>5875</v>
      </c>
      <c r="M384" s="6" t="s">
        <v>5875</v>
      </c>
      <c r="N384" s="6" t="s">
        <v>5875</v>
      </c>
      <c r="O384" s="6" t="s">
        <v>1299</v>
      </c>
      <c r="P384" s="6" t="s">
        <v>1300</v>
      </c>
      <c r="Q384" s="6" t="s">
        <v>1301</v>
      </c>
    </row>
  </sheetData>
  <sheetProtection selectLockedCells="1" selectUnlockedCells="1"/>
  <dataValidations count="1">
    <dataValidation type="custom" allowBlank="1" showInputMessage="1" showErrorMessage="1" errorTitle="X-Author for Excel" error="Id and Lookup fields are not editable." promptTitle="X-Author for Excel" sqref="G3:G65 G69:G151 G155:G384" xr:uid="{00000000-0002-0000-0F00-000000000000}">
      <formula1>""</formula1>
    </dataValidation>
  </dataValidations>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D1:R915"/>
  <sheetViews>
    <sheetView topLeftCell="B1" zoomScaleSheetLayoutView="100" workbookViewId="0">
      <selection activeCell="I4" sqref="I4"/>
    </sheetView>
  </sheetViews>
  <sheetFormatPr defaultColWidth="8.625" defaultRowHeight="12.75"/>
  <cols>
    <col min="1" max="3" width="8.625" style="3"/>
    <col min="4" max="4" width="20.625" style="3" customWidth="1"/>
    <col min="5" max="5" width="22.125" style="3" customWidth="1"/>
    <col min="6" max="6" width="18.625" style="3" customWidth="1"/>
    <col min="7" max="7" width="8.625" style="3"/>
    <col min="8" max="8" width="8.625" style="3" customWidth="1"/>
    <col min="9" max="9" width="13" style="3" customWidth="1"/>
    <col min="10" max="10" width="38.625" style="3" customWidth="1"/>
    <col min="11" max="11" width="12.625" style="3" customWidth="1"/>
    <col min="12" max="12" width="12.125" style="3" customWidth="1"/>
    <col min="13" max="13" width="14" style="3" customWidth="1"/>
    <col min="14" max="14" width="9.625" style="3" customWidth="1"/>
    <col min="15" max="15" width="9.125" style="3" customWidth="1"/>
    <col min="16" max="16384" width="8.625" style="3"/>
  </cols>
  <sheetData>
    <row r="1" spans="4:18">
      <c r="D1" s="8" t="s">
        <v>6884</v>
      </c>
    </row>
    <row r="2" spans="4:18">
      <c r="D2" s="4" t="s">
        <v>6885</v>
      </c>
      <c r="E2" s="4" t="s">
        <v>6886</v>
      </c>
      <c r="F2" s="4" t="s">
        <v>6887</v>
      </c>
      <c r="G2" s="4"/>
      <c r="H2" s="4" t="s">
        <v>5372</v>
      </c>
      <c r="I2" s="4" t="s">
        <v>3754</v>
      </c>
      <c r="J2" s="4" t="s">
        <v>6888</v>
      </c>
      <c r="K2" s="4" t="s">
        <v>5414</v>
      </c>
      <c r="L2" s="4" t="s">
        <v>3050</v>
      </c>
      <c r="M2" s="4" t="s">
        <v>3049</v>
      </c>
      <c r="N2" s="4" t="s">
        <v>3599</v>
      </c>
      <c r="O2" s="4" t="s">
        <v>341</v>
      </c>
      <c r="P2" s="4" t="s">
        <v>3047</v>
      </c>
      <c r="Q2" s="4" t="s">
        <v>3048</v>
      </c>
      <c r="R2" s="4" t="s">
        <v>3046</v>
      </c>
    </row>
    <row r="3" spans="4:18" hidden="1">
      <c r="D3" s="6" t="s">
        <v>6889</v>
      </c>
      <c r="E3" s="4" t="s">
        <v>6890</v>
      </c>
      <c r="F3" s="6" t="s">
        <v>6891</v>
      </c>
      <c r="G3" s="4"/>
      <c r="H3" s="6" t="s">
        <v>5795</v>
      </c>
      <c r="I3" s="6" t="s">
        <v>5798</v>
      </c>
      <c r="J3" s="4" t="str">
        <f>F3&amp;H3&amp;I3</f>
        <v>[Impact Indicator Name][Category][Disaggregation]</v>
      </c>
      <c r="K3" s="6" t="s">
        <v>6892</v>
      </c>
      <c r="L3" s="6" t="s">
        <v>6893</v>
      </c>
      <c r="M3" s="6" t="s">
        <v>6894</v>
      </c>
      <c r="N3" s="6" t="s">
        <v>6895</v>
      </c>
      <c r="O3" s="4" t="s">
        <v>345</v>
      </c>
      <c r="P3" s="9" t="s">
        <v>6896</v>
      </c>
      <c r="Q3" s="10" t="s">
        <v>6897</v>
      </c>
      <c r="R3" s="11" t="s">
        <v>6898</v>
      </c>
    </row>
    <row r="4" spans="4:18">
      <c r="D4" s="6" t="s">
        <v>6899</v>
      </c>
      <c r="E4" s="4" t="s">
        <v>3093</v>
      </c>
      <c r="F4" s="6"/>
      <c r="G4" s="4"/>
      <c r="H4" s="6"/>
      <c r="I4" s="6"/>
      <c r="J4" s="4" t="str">
        <f t="shared" ref="J4:J67" si="0">F4&amp;H4&amp;I4</f>
        <v/>
      </c>
      <c r="K4" s="6"/>
      <c r="L4" s="6"/>
      <c r="M4" s="6"/>
      <c r="N4" s="6"/>
      <c r="O4" s="4" t="s">
        <v>3755</v>
      </c>
      <c r="P4" s="9"/>
      <c r="Q4" s="10"/>
      <c r="R4" s="11"/>
    </row>
    <row r="5" spans="4:18">
      <c r="D5" s="6" t="s">
        <v>6900</v>
      </c>
      <c r="E5" s="4" t="s">
        <v>3093</v>
      </c>
      <c r="F5" s="6"/>
      <c r="G5" s="4"/>
      <c r="H5" s="6"/>
      <c r="I5" s="6"/>
      <c r="J5" s="4" t="str">
        <f t="shared" si="0"/>
        <v/>
      </c>
      <c r="K5" s="6"/>
      <c r="L5" s="6"/>
      <c r="M5" s="6"/>
      <c r="N5" s="6"/>
      <c r="O5" s="4" t="s">
        <v>3756</v>
      </c>
      <c r="P5" s="9"/>
      <c r="Q5" s="10"/>
      <c r="R5" s="11"/>
    </row>
    <row r="6" spans="4:18">
      <c r="D6" s="6" t="s">
        <v>6901</v>
      </c>
      <c r="E6" s="4" t="s">
        <v>3093</v>
      </c>
      <c r="F6" s="6"/>
      <c r="G6" s="4"/>
      <c r="H6" s="6"/>
      <c r="I6" s="6"/>
      <c r="J6" s="4" t="str">
        <f t="shared" si="0"/>
        <v/>
      </c>
      <c r="K6" s="6"/>
      <c r="L6" s="6"/>
      <c r="M6" s="6"/>
      <c r="N6" s="6"/>
      <c r="O6" s="4" t="s">
        <v>3757</v>
      </c>
      <c r="P6" s="9"/>
      <c r="Q6" s="10"/>
      <c r="R6" s="11"/>
    </row>
    <row r="7" spans="4:18">
      <c r="D7" s="6" t="s">
        <v>6902</v>
      </c>
      <c r="E7" s="4" t="s">
        <v>3093</v>
      </c>
      <c r="F7" s="6"/>
      <c r="G7" s="4"/>
      <c r="H7" s="6"/>
      <c r="I7" s="6"/>
      <c r="J7" s="4" t="str">
        <f t="shared" si="0"/>
        <v/>
      </c>
      <c r="K7" s="6"/>
      <c r="L7" s="6"/>
      <c r="M7" s="6"/>
      <c r="N7" s="6"/>
      <c r="O7" s="4" t="s">
        <v>3758</v>
      </c>
      <c r="P7" s="9"/>
      <c r="Q7" s="10"/>
      <c r="R7" s="11"/>
    </row>
    <row r="8" spans="4:18">
      <c r="D8" s="6" t="s">
        <v>6903</v>
      </c>
      <c r="E8" s="4" t="s">
        <v>3093</v>
      </c>
      <c r="F8" s="6"/>
      <c r="G8" s="4"/>
      <c r="H8" s="6"/>
      <c r="I8" s="6"/>
      <c r="J8" s="4" t="str">
        <f t="shared" si="0"/>
        <v/>
      </c>
      <c r="K8" s="6"/>
      <c r="L8" s="6"/>
      <c r="M8" s="6"/>
      <c r="N8" s="6"/>
      <c r="O8" s="4" t="s">
        <v>3759</v>
      </c>
      <c r="P8" s="9"/>
      <c r="Q8" s="10"/>
      <c r="R8" s="11"/>
    </row>
    <row r="9" spans="4:18">
      <c r="D9" s="6" t="s">
        <v>6904</v>
      </c>
      <c r="E9" s="4" t="s">
        <v>3093</v>
      </c>
      <c r="F9" s="6"/>
      <c r="G9" s="4"/>
      <c r="H9" s="6"/>
      <c r="I9" s="6"/>
      <c r="J9" s="4" t="str">
        <f t="shared" si="0"/>
        <v/>
      </c>
      <c r="K9" s="6"/>
      <c r="L9" s="6"/>
      <c r="M9" s="6"/>
      <c r="N9" s="6"/>
      <c r="O9" s="4" t="s">
        <v>3760</v>
      </c>
      <c r="P9" s="9"/>
      <c r="Q9" s="10"/>
      <c r="R9" s="11"/>
    </row>
    <row r="10" spans="4:18">
      <c r="D10" s="6" t="s">
        <v>6905</v>
      </c>
      <c r="E10" s="4" t="s">
        <v>3093</v>
      </c>
      <c r="F10" s="6"/>
      <c r="G10" s="4"/>
      <c r="H10" s="6"/>
      <c r="I10" s="6"/>
      <c r="J10" s="4" t="str">
        <f t="shared" si="0"/>
        <v/>
      </c>
      <c r="K10" s="6"/>
      <c r="L10" s="6"/>
      <c r="M10" s="6"/>
      <c r="N10" s="6"/>
      <c r="O10" s="4" t="s">
        <v>3761</v>
      </c>
      <c r="P10" s="9"/>
      <c r="Q10" s="10"/>
      <c r="R10" s="11"/>
    </row>
    <row r="11" spans="4:18">
      <c r="D11" s="6" t="s">
        <v>6906</v>
      </c>
      <c r="E11" s="4" t="s">
        <v>3093</v>
      </c>
      <c r="F11" s="6"/>
      <c r="G11" s="4"/>
      <c r="H11" s="6"/>
      <c r="I11" s="6"/>
      <c r="J11" s="4" t="str">
        <f t="shared" si="0"/>
        <v/>
      </c>
      <c r="K11" s="6"/>
      <c r="L11" s="6"/>
      <c r="M11" s="6"/>
      <c r="N11" s="6"/>
      <c r="O11" s="4" t="s">
        <v>3762</v>
      </c>
      <c r="P11" s="9"/>
      <c r="Q11" s="10"/>
      <c r="R11" s="11"/>
    </row>
    <row r="12" spans="4:18">
      <c r="D12" s="6" t="s">
        <v>6907</v>
      </c>
      <c r="E12" s="4" t="s">
        <v>3093</v>
      </c>
      <c r="F12" s="6"/>
      <c r="G12" s="4"/>
      <c r="H12" s="6"/>
      <c r="I12" s="6"/>
      <c r="J12" s="4" t="str">
        <f t="shared" si="0"/>
        <v/>
      </c>
      <c r="K12" s="6"/>
      <c r="L12" s="6"/>
      <c r="M12" s="6"/>
      <c r="N12" s="6"/>
      <c r="O12" s="4" t="s">
        <v>3763</v>
      </c>
      <c r="P12" s="9"/>
      <c r="Q12" s="10"/>
      <c r="R12" s="11"/>
    </row>
    <row r="13" spans="4:18">
      <c r="D13" s="6" t="s">
        <v>6908</v>
      </c>
      <c r="E13" s="4" t="s">
        <v>3093</v>
      </c>
      <c r="F13" s="6"/>
      <c r="G13" s="4"/>
      <c r="H13" s="6"/>
      <c r="I13" s="6"/>
      <c r="J13" s="4" t="str">
        <f t="shared" si="0"/>
        <v/>
      </c>
      <c r="K13" s="6"/>
      <c r="L13" s="6"/>
      <c r="M13" s="6"/>
      <c r="N13" s="6"/>
      <c r="O13" s="4" t="s">
        <v>3764</v>
      </c>
      <c r="P13" s="9"/>
      <c r="Q13" s="10"/>
      <c r="R13" s="11"/>
    </row>
    <row r="14" spans="4:18">
      <c r="D14" s="6" t="s">
        <v>6909</v>
      </c>
      <c r="E14" s="4" t="s">
        <v>3100</v>
      </c>
      <c r="F14" s="6"/>
      <c r="G14" s="4"/>
      <c r="H14" s="6"/>
      <c r="I14" s="6"/>
      <c r="J14" s="4" t="str">
        <f t="shared" si="0"/>
        <v/>
      </c>
      <c r="K14" s="6"/>
      <c r="L14" s="6"/>
      <c r="M14" s="6"/>
      <c r="N14" s="6"/>
      <c r="O14" s="4" t="s">
        <v>3765</v>
      </c>
      <c r="P14" s="9"/>
      <c r="Q14" s="10"/>
      <c r="R14" s="11"/>
    </row>
    <row r="15" spans="4:18">
      <c r="D15" s="6" t="s">
        <v>6910</v>
      </c>
      <c r="E15" s="4" t="s">
        <v>3100</v>
      </c>
      <c r="F15" s="6"/>
      <c r="G15" s="4"/>
      <c r="H15" s="6"/>
      <c r="I15" s="6"/>
      <c r="J15" s="4" t="str">
        <f t="shared" si="0"/>
        <v/>
      </c>
      <c r="K15" s="6"/>
      <c r="L15" s="6"/>
      <c r="M15" s="6"/>
      <c r="N15" s="6"/>
      <c r="O15" s="4" t="s">
        <v>3766</v>
      </c>
      <c r="P15" s="9"/>
      <c r="Q15" s="10"/>
      <c r="R15" s="11"/>
    </row>
    <row r="16" spans="4:18">
      <c r="D16" s="6" t="s">
        <v>6911</v>
      </c>
      <c r="E16" s="4" t="s">
        <v>3100</v>
      </c>
      <c r="F16" s="6"/>
      <c r="G16" s="4"/>
      <c r="H16" s="6"/>
      <c r="I16" s="6"/>
      <c r="J16" s="4" t="str">
        <f t="shared" si="0"/>
        <v/>
      </c>
      <c r="K16" s="6"/>
      <c r="L16" s="6"/>
      <c r="M16" s="6"/>
      <c r="N16" s="6"/>
      <c r="O16" s="4" t="s">
        <v>3767</v>
      </c>
      <c r="P16" s="9"/>
      <c r="Q16" s="10"/>
      <c r="R16" s="11"/>
    </row>
    <row r="17" spans="4:18">
      <c r="D17" s="6" t="s">
        <v>6912</v>
      </c>
      <c r="E17" s="4" t="s">
        <v>3100</v>
      </c>
      <c r="F17" s="6"/>
      <c r="G17" s="4"/>
      <c r="H17" s="6"/>
      <c r="I17" s="6"/>
      <c r="J17" s="4" t="str">
        <f t="shared" si="0"/>
        <v/>
      </c>
      <c r="K17" s="6"/>
      <c r="L17" s="6"/>
      <c r="M17" s="6"/>
      <c r="N17" s="6"/>
      <c r="O17" s="4" t="s">
        <v>3768</v>
      </c>
      <c r="P17" s="9"/>
      <c r="Q17" s="10"/>
      <c r="R17" s="11"/>
    </row>
    <row r="18" spans="4:18">
      <c r="D18" s="6" t="s">
        <v>6913</v>
      </c>
      <c r="E18" s="4" t="s">
        <v>3100</v>
      </c>
      <c r="F18" s="6"/>
      <c r="G18" s="4"/>
      <c r="H18" s="6"/>
      <c r="I18" s="6"/>
      <c r="J18" s="4" t="str">
        <f t="shared" si="0"/>
        <v/>
      </c>
      <c r="K18" s="6"/>
      <c r="L18" s="6"/>
      <c r="M18" s="6"/>
      <c r="N18" s="6"/>
      <c r="O18" s="4" t="s">
        <v>3769</v>
      </c>
      <c r="P18" s="9"/>
      <c r="Q18" s="10"/>
      <c r="R18" s="11"/>
    </row>
    <row r="19" spans="4:18">
      <c r="D19" s="6" t="s">
        <v>6914</v>
      </c>
      <c r="E19" s="4" t="s">
        <v>3100</v>
      </c>
      <c r="F19" s="6"/>
      <c r="G19" s="4"/>
      <c r="H19" s="6"/>
      <c r="I19" s="6"/>
      <c r="J19" s="4" t="str">
        <f t="shared" si="0"/>
        <v/>
      </c>
      <c r="K19" s="6"/>
      <c r="L19" s="6"/>
      <c r="M19" s="6"/>
      <c r="N19" s="6"/>
      <c r="O19" s="4" t="s">
        <v>3770</v>
      </c>
      <c r="P19" s="9"/>
      <c r="Q19" s="10"/>
      <c r="R19" s="11"/>
    </row>
    <row r="20" spans="4:18">
      <c r="D20" s="6" t="s">
        <v>6915</v>
      </c>
      <c r="E20" s="4" t="s">
        <v>3100</v>
      </c>
      <c r="F20" s="6"/>
      <c r="G20" s="4"/>
      <c r="H20" s="6"/>
      <c r="I20" s="6"/>
      <c r="J20" s="4" t="str">
        <f t="shared" si="0"/>
        <v/>
      </c>
      <c r="K20" s="6"/>
      <c r="L20" s="6"/>
      <c r="M20" s="6"/>
      <c r="N20" s="6"/>
      <c r="O20" s="4" t="s">
        <v>3771</v>
      </c>
      <c r="P20" s="9"/>
      <c r="Q20" s="10"/>
      <c r="R20" s="11"/>
    </row>
    <row r="21" spans="4:18">
      <c r="D21" s="6" t="s">
        <v>6916</v>
      </c>
      <c r="E21" s="4" t="s">
        <v>3100</v>
      </c>
      <c r="F21" s="6"/>
      <c r="G21" s="4"/>
      <c r="H21" s="6"/>
      <c r="I21" s="6"/>
      <c r="J21" s="4" t="str">
        <f t="shared" si="0"/>
        <v/>
      </c>
      <c r="K21" s="6"/>
      <c r="L21" s="6"/>
      <c r="M21" s="6"/>
      <c r="N21" s="6"/>
      <c r="O21" s="4" t="s">
        <v>3772</v>
      </c>
      <c r="P21" s="9"/>
      <c r="Q21" s="10"/>
      <c r="R21" s="11"/>
    </row>
    <row r="22" spans="4:18">
      <c r="D22" s="6" t="s">
        <v>6917</v>
      </c>
      <c r="E22" s="4" t="s">
        <v>3100</v>
      </c>
      <c r="F22" s="6"/>
      <c r="G22" s="4"/>
      <c r="H22" s="6"/>
      <c r="I22" s="6"/>
      <c r="J22" s="4" t="str">
        <f t="shared" si="0"/>
        <v/>
      </c>
      <c r="K22" s="6"/>
      <c r="L22" s="6"/>
      <c r="M22" s="6"/>
      <c r="N22" s="6"/>
      <c r="O22" s="4" t="s">
        <v>3773</v>
      </c>
      <c r="P22" s="9"/>
      <c r="Q22" s="10"/>
      <c r="R22" s="11"/>
    </row>
    <row r="23" spans="4:18">
      <c r="D23" s="6" t="s">
        <v>6918</v>
      </c>
      <c r="E23" s="4" t="s">
        <v>3100</v>
      </c>
      <c r="F23" s="6"/>
      <c r="G23" s="4"/>
      <c r="H23" s="6"/>
      <c r="I23" s="6"/>
      <c r="J23" s="4" t="str">
        <f t="shared" si="0"/>
        <v/>
      </c>
      <c r="K23" s="6"/>
      <c r="L23" s="6"/>
      <c r="M23" s="6"/>
      <c r="N23" s="6"/>
      <c r="O23" s="4" t="s">
        <v>3774</v>
      </c>
      <c r="P23" s="9"/>
      <c r="Q23" s="10"/>
      <c r="R23" s="11"/>
    </row>
    <row r="24" spans="4:18">
      <c r="D24" s="6" t="s">
        <v>6919</v>
      </c>
      <c r="E24" s="4" t="s">
        <v>3107</v>
      </c>
      <c r="F24" s="6"/>
      <c r="G24" s="4"/>
      <c r="H24" s="6"/>
      <c r="I24" s="6"/>
      <c r="J24" s="4" t="str">
        <f t="shared" si="0"/>
        <v/>
      </c>
      <c r="K24" s="6"/>
      <c r="L24" s="6"/>
      <c r="M24" s="6"/>
      <c r="N24" s="6"/>
      <c r="O24" s="4" t="s">
        <v>3775</v>
      </c>
      <c r="P24" s="9"/>
      <c r="Q24" s="10"/>
      <c r="R24" s="11"/>
    </row>
    <row r="25" spans="4:18">
      <c r="D25" s="6" t="s">
        <v>6920</v>
      </c>
      <c r="E25" s="4" t="s">
        <v>3107</v>
      </c>
      <c r="F25" s="6"/>
      <c r="G25" s="4"/>
      <c r="H25" s="6"/>
      <c r="I25" s="6"/>
      <c r="J25" s="4" t="str">
        <f t="shared" si="0"/>
        <v/>
      </c>
      <c r="K25" s="6"/>
      <c r="L25" s="6"/>
      <c r="M25" s="6"/>
      <c r="N25" s="6"/>
      <c r="O25" s="4" t="s">
        <v>3776</v>
      </c>
      <c r="P25" s="9"/>
      <c r="Q25" s="10"/>
      <c r="R25" s="11"/>
    </row>
    <row r="26" spans="4:18">
      <c r="D26" s="6" t="s">
        <v>6921</v>
      </c>
      <c r="E26" s="4" t="s">
        <v>3107</v>
      </c>
      <c r="F26" s="6"/>
      <c r="G26" s="4"/>
      <c r="H26" s="6"/>
      <c r="I26" s="6"/>
      <c r="J26" s="4" t="str">
        <f t="shared" si="0"/>
        <v/>
      </c>
      <c r="K26" s="6"/>
      <c r="L26" s="6"/>
      <c r="M26" s="6"/>
      <c r="N26" s="6"/>
      <c r="O26" s="4" t="s">
        <v>3777</v>
      </c>
      <c r="P26" s="9"/>
      <c r="Q26" s="10"/>
      <c r="R26" s="11"/>
    </row>
    <row r="27" spans="4:18">
      <c r="D27" s="6" t="s">
        <v>6922</v>
      </c>
      <c r="E27" s="4" t="s">
        <v>3107</v>
      </c>
      <c r="F27" s="6"/>
      <c r="G27" s="4"/>
      <c r="H27" s="6"/>
      <c r="I27" s="6"/>
      <c r="J27" s="4" t="str">
        <f t="shared" si="0"/>
        <v/>
      </c>
      <c r="K27" s="6"/>
      <c r="L27" s="6"/>
      <c r="M27" s="6"/>
      <c r="N27" s="6"/>
      <c r="O27" s="4" t="s">
        <v>3778</v>
      </c>
      <c r="P27" s="9"/>
      <c r="Q27" s="10"/>
      <c r="R27" s="11"/>
    </row>
    <row r="28" spans="4:18">
      <c r="D28" s="6" t="s">
        <v>6923</v>
      </c>
      <c r="E28" s="4" t="s">
        <v>3107</v>
      </c>
      <c r="F28" s="6"/>
      <c r="G28" s="4"/>
      <c r="H28" s="6"/>
      <c r="I28" s="6"/>
      <c r="J28" s="4" t="str">
        <f t="shared" si="0"/>
        <v/>
      </c>
      <c r="K28" s="6"/>
      <c r="L28" s="6"/>
      <c r="M28" s="6"/>
      <c r="N28" s="6"/>
      <c r="O28" s="4" t="s">
        <v>3779</v>
      </c>
      <c r="P28" s="9"/>
      <c r="Q28" s="10"/>
      <c r="R28" s="11"/>
    </row>
    <row r="29" spans="4:18">
      <c r="D29" s="6" t="s">
        <v>6924</v>
      </c>
      <c r="E29" s="4" t="s">
        <v>3107</v>
      </c>
      <c r="F29" s="6"/>
      <c r="G29" s="4"/>
      <c r="H29" s="6"/>
      <c r="I29" s="6"/>
      <c r="J29" s="4" t="str">
        <f t="shared" si="0"/>
        <v/>
      </c>
      <c r="K29" s="6"/>
      <c r="L29" s="6"/>
      <c r="M29" s="6"/>
      <c r="N29" s="6"/>
      <c r="O29" s="4" t="s">
        <v>3780</v>
      </c>
      <c r="P29" s="9"/>
      <c r="Q29" s="10"/>
      <c r="R29" s="11"/>
    </row>
    <row r="30" spans="4:18">
      <c r="D30" s="6" t="s">
        <v>6925</v>
      </c>
      <c r="E30" s="4" t="s">
        <v>3107</v>
      </c>
      <c r="F30" s="6"/>
      <c r="G30" s="4"/>
      <c r="H30" s="6"/>
      <c r="I30" s="6"/>
      <c r="J30" s="4" t="str">
        <f t="shared" si="0"/>
        <v/>
      </c>
      <c r="K30" s="6"/>
      <c r="L30" s="6"/>
      <c r="M30" s="6"/>
      <c r="N30" s="6"/>
      <c r="O30" s="4" t="s">
        <v>3781</v>
      </c>
      <c r="P30" s="9"/>
      <c r="Q30" s="10"/>
      <c r="R30" s="11"/>
    </row>
    <row r="31" spans="4:18">
      <c r="D31" s="6" t="s">
        <v>6926</v>
      </c>
      <c r="E31" s="4" t="s">
        <v>3107</v>
      </c>
      <c r="F31" s="6"/>
      <c r="G31" s="4"/>
      <c r="H31" s="6"/>
      <c r="I31" s="6"/>
      <c r="J31" s="4" t="str">
        <f t="shared" si="0"/>
        <v/>
      </c>
      <c r="K31" s="6"/>
      <c r="L31" s="6"/>
      <c r="M31" s="6"/>
      <c r="N31" s="6"/>
      <c r="O31" s="4" t="s">
        <v>3782</v>
      </c>
      <c r="P31" s="9"/>
      <c r="Q31" s="10"/>
      <c r="R31" s="11"/>
    </row>
    <row r="32" spans="4:18">
      <c r="D32" s="6" t="s">
        <v>6927</v>
      </c>
      <c r="E32" s="4" t="s">
        <v>3107</v>
      </c>
      <c r="F32" s="6"/>
      <c r="G32" s="4"/>
      <c r="H32" s="6"/>
      <c r="I32" s="6"/>
      <c r="J32" s="4" t="str">
        <f t="shared" si="0"/>
        <v/>
      </c>
      <c r="K32" s="6"/>
      <c r="L32" s="6"/>
      <c r="M32" s="6"/>
      <c r="N32" s="6"/>
      <c r="O32" s="4" t="s">
        <v>3783</v>
      </c>
      <c r="P32" s="9"/>
      <c r="Q32" s="10"/>
      <c r="R32" s="11"/>
    </row>
    <row r="33" spans="4:18">
      <c r="D33" s="6" t="s">
        <v>6928</v>
      </c>
      <c r="E33" s="4" t="s">
        <v>3107</v>
      </c>
      <c r="F33" s="6"/>
      <c r="G33" s="4"/>
      <c r="H33" s="6"/>
      <c r="I33" s="6"/>
      <c r="J33" s="4" t="str">
        <f t="shared" si="0"/>
        <v/>
      </c>
      <c r="K33" s="6"/>
      <c r="L33" s="6"/>
      <c r="M33" s="6"/>
      <c r="N33" s="6"/>
      <c r="O33" s="4" t="s">
        <v>3784</v>
      </c>
      <c r="P33" s="9"/>
      <c r="Q33" s="10"/>
      <c r="R33" s="11"/>
    </row>
    <row r="34" spans="4:18">
      <c r="D34" s="6" t="s">
        <v>6929</v>
      </c>
      <c r="E34" s="4" t="s">
        <v>3114</v>
      </c>
      <c r="F34" s="6"/>
      <c r="G34" s="4"/>
      <c r="H34" s="6"/>
      <c r="I34" s="6"/>
      <c r="J34" s="4" t="str">
        <f t="shared" si="0"/>
        <v/>
      </c>
      <c r="K34" s="6"/>
      <c r="L34" s="6"/>
      <c r="M34" s="6"/>
      <c r="N34" s="6"/>
      <c r="O34" s="4" t="s">
        <v>3785</v>
      </c>
      <c r="P34" s="9"/>
      <c r="Q34" s="10"/>
      <c r="R34" s="11"/>
    </row>
    <row r="35" spans="4:18">
      <c r="D35" s="6" t="s">
        <v>6930</v>
      </c>
      <c r="E35" s="4" t="s">
        <v>3114</v>
      </c>
      <c r="F35" s="6"/>
      <c r="G35" s="4"/>
      <c r="H35" s="6"/>
      <c r="I35" s="6"/>
      <c r="J35" s="4" t="str">
        <f t="shared" si="0"/>
        <v/>
      </c>
      <c r="K35" s="6"/>
      <c r="L35" s="6"/>
      <c r="M35" s="6"/>
      <c r="N35" s="6"/>
      <c r="O35" s="4" t="s">
        <v>3786</v>
      </c>
      <c r="P35" s="9"/>
      <c r="Q35" s="10"/>
      <c r="R35" s="11"/>
    </row>
    <row r="36" spans="4:18">
      <c r="D36" s="6" t="s">
        <v>6931</v>
      </c>
      <c r="E36" s="4" t="s">
        <v>3114</v>
      </c>
      <c r="F36" s="6"/>
      <c r="G36" s="4"/>
      <c r="H36" s="6"/>
      <c r="I36" s="6"/>
      <c r="J36" s="4" t="str">
        <f t="shared" si="0"/>
        <v/>
      </c>
      <c r="K36" s="6"/>
      <c r="L36" s="6"/>
      <c r="M36" s="6"/>
      <c r="N36" s="6"/>
      <c r="O36" s="4" t="s">
        <v>3787</v>
      </c>
      <c r="P36" s="9"/>
      <c r="Q36" s="10"/>
      <c r="R36" s="11"/>
    </row>
    <row r="37" spans="4:18">
      <c r="D37" s="6" t="s">
        <v>6932</v>
      </c>
      <c r="E37" s="4" t="s">
        <v>3114</v>
      </c>
      <c r="F37" s="6"/>
      <c r="G37" s="4"/>
      <c r="H37" s="6"/>
      <c r="I37" s="6"/>
      <c r="J37" s="4" t="str">
        <f t="shared" si="0"/>
        <v/>
      </c>
      <c r="K37" s="6"/>
      <c r="L37" s="6"/>
      <c r="M37" s="6"/>
      <c r="N37" s="6"/>
      <c r="O37" s="4" t="s">
        <v>3788</v>
      </c>
      <c r="P37" s="9"/>
      <c r="Q37" s="10"/>
      <c r="R37" s="11"/>
    </row>
    <row r="38" spans="4:18">
      <c r="D38" s="6" t="s">
        <v>6933</v>
      </c>
      <c r="E38" s="4" t="s">
        <v>3114</v>
      </c>
      <c r="F38" s="6"/>
      <c r="G38" s="4"/>
      <c r="H38" s="6"/>
      <c r="I38" s="6"/>
      <c r="J38" s="4" t="str">
        <f t="shared" si="0"/>
        <v/>
      </c>
      <c r="K38" s="6"/>
      <c r="L38" s="6"/>
      <c r="M38" s="6"/>
      <c r="N38" s="6"/>
      <c r="O38" s="4" t="s">
        <v>3789</v>
      </c>
      <c r="P38" s="9"/>
      <c r="Q38" s="10"/>
      <c r="R38" s="11"/>
    </row>
    <row r="39" spans="4:18">
      <c r="D39" s="6" t="s">
        <v>6934</v>
      </c>
      <c r="E39" s="4" t="s">
        <v>3114</v>
      </c>
      <c r="F39" s="6"/>
      <c r="G39" s="4"/>
      <c r="H39" s="6"/>
      <c r="I39" s="6"/>
      <c r="J39" s="4" t="str">
        <f t="shared" si="0"/>
        <v/>
      </c>
      <c r="K39" s="6"/>
      <c r="L39" s="6"/>
      <c r="M39" s="6"/>
      <c r="N39" s="6"/>
      <c r="O39" s="4" t="s">
        <v>3790</v>
      </c>
      <c r="P39" s="9"/>
      <c r="Q39" s="10"/>
      <c r="R39" s="11"/>
    </row>
    <row r="40" spans="4:18">
      <c r="D40" s="6" t="s">
        <v>6935</v>
      </c>
      <c r="E40" s="4" t="s">
        <v>3114</v>
      </c>
      <c r="F40" s="6"/>
      <c r="G40" s="4"/>
      <c r="H40" s="6"/>
      <c r="I40" s="6"/>
      <c r="J40" s="4" t="str">
        <f t="shared" si="0"/>
        <v/>
      </c>
      <c r="K40" s="6"/>
      <c r="L40" s="6"/>
      <c r="M40" s="6"/>
      <c r="N40" s="6"/>
      <c r="O40" s="4" t="s">
        <v>3791</v>
      </c>
      <c r="P40" s="9"/>
      <c r="Q40" s="10"/>
      <c r="R40" s="11"/>
    </row>
    <row r="41" spans="4:18">
      <c r="D41" s="6" t="s">
        <v>6936</v>
      </c>
      <c r="E41" s="4" t="s">
        <v>3114</v>
      </c>
      <c r="F41" s="6"/>
      <c r="G41" s="4"/>
      <c r="H41" s="6"/>
      <c r="I41" s="6"/>
      <c r="J41" s="4" t="str">
        <f t="shared" si="0"/>
        <v/>
      </c>
      <c r="K41" s="6"/>
      <c r="L41" s="6"/>
      <c r="M41" s="6"/>
      <c r="N41" s="6"/>
      <c r="O41" s="4" t="s">
        <v>3792</v>
      </c>
      <c r="P41" s="9"/>
      <c r="Q41" s="10"/>
      <c r="R41" s="11"/>
    </row>
    <row r="42" spans="4:18">
      <c r="D42" s="6" t="s">
        <v>6937</v>
      </c>
      <c r="E42" s="4" t="s">
        <v>3114</v>
      </c>
      <c r="F42" s="6"/>
      <c r="G42" s="4"/>
      <c r="H42" s="6"/>
      <c r="I42" s="6"/>
      <c r="J42" s="4" t="str">
        <f t="shared" si="0"/>
        <v/>
      </c>
      <c r="K42" s="6"/>
      <c r="L42" s="6"/>
      <c r="M42" s="6"/>
      <c r="N42" s="6"/>
      <c r="O42" s="4" t="s">
        <v>3793</v>
      </c>
      <c r="P42" s="9"/>
      <c r="Q42" s="10"/>
      <c r="R42" s="11"/>
    </row>
    <row r="43" spans="4:18">
      <c r="D43" s="6" t="s">
        <v>6938</v>
      </c>
      <c r="E43" s="4" t="s">
        <v>3114</v>
      </c>
      <c r="F43" s="6"/>
      <c r="G43" s="4"/>
      <c r="H43" s="6"/>
      <c r="I43" s="6"/>
      <c r="J43" s="4" t="str">
        <f t="shared" si="0"/>
        <v/>
      </c>
      <c r="K43" s="6"/>
      <c r="L43" s="6"/>
      <c r="M43" s="6"/>
      <c r="N43" s="6"/>
      <c r="O43" s="4" t="s">
        <v>3794</v>
      </c>
      <c r="P43" s="9"/>
      <c r="Q43" s="10"/>
      <c r="R43" s="11"/>
    </row>
    <row r="44" spans="4:18">
      <c r="D44" s="6" t="s">
        <v>6939</v>
      </c>
      <c r="E44" s="4" t="s">
        <v>3121</v>
      </c>
      <c r="F44" s="6"/>
      <c r="G44" s="4"/>
      <c r="H44" s="6"/>
      <c r="I44" s="6"/>
      <c r="J44" s="4" t="str">
        <f t="shared" si="0"/>
        <v/>
      </c>
      <c r="K44" s="6"/>
      <c r="L44" s="6"/>
      <c r="M44" s="6"/>
      <c r="N44" s="6"/>
      <c r="O44" s="4" t="s">
        <v>3795</v>
      </c>
      <c r="P44" s="9"/>
      <c r="Q44" s="10"/>
      <c r="R44" s="11"/>
    </row>
    <row r="45" spans="4:18">
      <c r="D45" s="6" t="s">
        <v>6940</v>
      </c>
      <c r="E45" s="4" t="s">
        <v>3121</v>
      </c>
      <c r="F45" s="6"/>
      <c r="G45" s="4"/>
      <c r="H45" s="6"/>
      <c r="I45" s="6"/>
      <c r="J45" s="4" t="str">
        <f t="shared" si="0"/>
        <v/>
      </c>
      <c r="K45" s="6"/>
      <c r="L45" s="6"/>
      <c r="M45" s="6"/>
      <c r="N45" s="6"/>
      <c r="O45" s="4" t="s">
        <v>3796</v>
      </c>
      <c r="P45" s="9"/>
      <c r="Q45" s="10"/>
      <c r="R45" s="11"/>
    </row>
    <row r="46" spans="4:18">
      <c r="D46" s="6" t="s">
        <v>6941</v>
      </c>
      <c r="E46" s="4" t="s">
        <v>3121</v>
      </c>
      <c r="F46" s="6"/>
      <c r="G46" s="4"/>
      <c r="H46" s="6"/>
      <c r="I46" s="6"/>
      <c r="J46" s="4" t="str">
        <f t="shared" si="0"/>
        <v/>
      </c>
      <c r="K46" s="6"/>
      <c r="L46" s="6"/>
      <c r="M46" s="6"/>
      <c r="N46" s="6"/>
      <c r="O46" s="4" t="s">
        <v>3797</v>
      </c>
      <c r="P46" s="9"/>
      <c r="Q46" s="10"/>
      <c r="R46" s="11"/>
    </row>
    <row r="47" spans="4:18">
      <c r="D47" s="6" t="s">
        <v>6942</v>
      </c>
      <c r="E47" s="4" t="s">
        <v>3121</v>
      </c>
      <c r="F47" s="6"/>
      <c r="G47" s="4"/>
      <c r="H47" s="6"/>
      <c r="I47" s="6"/>
      <c r="J47" s="4" t="str">
        <f t="shared" si="0"/>
        <v/>
      </c>
      <c r="K47" s="6"/>
      <c r="L47" s="6"/>
      <c r="M47" s="6"/>
      <c r="N47" s="6"/>
      <c r="O47" s="4" t="s">
        <v>3798</v>
      </c>
      <c r="P47" s="9"/>
      <c r="Q47" s="10"/>
      <c r="R47" s="11"/>
    </row>
    <row r="48" spans="4:18">
      <c r="D48" s="6" t="s">
        <v>6943</v>
      </c>
      <c r="E48" s="4" t="s">
        <v>3121</v>
      </c>
      <c r="F48" s="6"/>
      <c r="G48" s="4"/>
      <c r="H48" s="6"/>
      <c r="I48" s="6"/>
      <c r="J48" s="4" t="str">
        <f t="shared" si="0"/>
        <v/>
      </c>
      <c r="K48" s="6"/>
      <c r="L48" s="6"/>
      <c r="M48" s="6"/>
      <c r="N48" s="6"/>
      <c r="O48" s="4" t="s">
        <v>3799</v>
      </c>
      <c r="P48" s="9"/>
      <c r="Q48" s="10"/>
      <c r="R48" s="11"/>
    </row>
    <row r="49" spans="4:18">
      <c r="D49" s="6" t="s">
        <v>6944</v>
      </c>
      <c r="E49" s="4" t="s">
        <v>3121</v>
      </c>
      <c r="F49" s="6"/>
      <c r="G49" s="4"/>
      <c r="H49" s="6"/>
      <c r="I49" s="6"/>
      <c r="J49" s="4" t="str">
        <f t="shared" si="0"/>
        <v/>
      </c>
      <c r="K49" s="6"/>
      <c r="L49" s="6"/>
      <c r="M49" s="6"/>
      <c r="N49" s="6"/>
      <c r="O49" s="4" t="s">
        <v>3800</v>
      </c>
      <c r="P49" s="9"/>
      <c r="Q49" s="10"/>
      <c r="R49" s="11"/>
    </row>
    <row r="50" spans="4:18">
      <c r="D50" s="6" t="s">
        <v>6945</v>
      </c>
      <c r="E50" s="4" t="s">
        <v>3121</v>
      </c>
      <c r="F50" s="6"/>
      <c r="G50" s="4"/>
      <c r="H50" s="6"/>
      <c r="I50" s="6"/>
      <c r="J50" s="4" t="str">
        <f t="shared" si="0"/>
        <v/>
      </c>
      <c r="K50" s="6"/>
      <c r="L50" s="6"/>
      <c r="M50" s="6"/>
      <c r="N50" s="6"/>
      <c r="O50" s="4" t="s">
        <v>3801</v>
      </c>
      <c r="P50" s="9"/>
      <c r="Q50" s="10"/>
      <c r="R50" s="11"/>
    </row>
    <row r="51" spans="4:18">
      <c r="D51" s="6" t="s">
        <v>6946</v>
      </c>
      <c r="E51" s="4" t="s">
        <v>3121</v>
      </c>
      <c r="F51" s="6"/>
      <c r="G51" s="4"/>
      <c r="H51" s="6"/>
      <c r="I51" s="6"/>
      <c r="J51" s="4" t="str">
        <f t="shared" si="0"/>
        <v/>
      </c>
      <c r="K51" s="6"/>
      <c r="L51" s="6"/>
      <c r="M51" s="6"/>
      <c r="N51" s="6"/>
      <c r="O51" s="4" t="s">
        <v>3802</v>
      </c>
      <c r="P51" s="9"/>
      <c r="Q51" s="10"/>
      <c r="R51" s="11"/>
    </row>
    <row r="52" spans="4:18">
      <c r="D52" s="6" t="s">
        <v>6947</v>
      </c>
      <c r="E52" s="4" t="s">
        <v>3121</v>
      </c>
      <c r="F52" s="6"/>
      <c r="G52" s="4"/>
      <c r="H52" s="6"/>
      <c r="I52" s="6"/>
      <c r="J52" s="4" t="str">
        <f t="shared" si="0"/>
        <v/>
      </c>
      <c r="K52" s="6"/>
      <c r="L52" s="6"/>
      <c r="M52" s="6"/>
      <c r="N52" s="6"/>
      <c r="O52" s="4" t="s">
        <v>3803</v>
      </c>
      <c r="P52" s="9"/>
      <c r="Q52" s="10"/>
      <c r="R52" s="11"/>
    </row>
    <row r="53" spans="4:18">
      <c r="D53" s="6" t="s">
        <v>6948</v>
      </c>
      <c r="E53" s="4" t="s">
        <v>3121</v>
      </c>
      <c r="F53" s="6"/>
      <c r="G53" s="4"/>
      <c r="H53" s="6"/>
      <c r="I53" s="6"/>
      <c r="J53" s="4" t="str">
        <f t="shared" si="0"/>
        <v/>
      </c>
      <c r="K53" s="6"/>
      <c r="L53" s="6"/>
      <c r="M53" s="6"/>
      <c r="N53" s="6"/>
      <c r="O53" s="4" t="s">
        <v>3804</v>
      </c>
      <c r="P53" s="9"/>
      <c r="Q53" s="10"/>
      <c r="R53" s="11"/>
    </row>
    <row r="54" spans="4:18">
      <c r="D54" s="6" t="s">
        <v>6949</v>
      </c>
      <c r="E54" s="4" t="s">
        <v>3128</v>
      </c>
      <c r="F54" s="6"/>
      <c r="G54" s="4"/>
      <c r="H54" s="6"/>
      <c r="I54" s="6"/>
      <c r="J54" s="4" t="str">
        <f t="shared" si="0"/>
        <v/>
      </c>
      <c r="K54" s="6"/>
      <c r="L54" s="6"/>
      <c r="M54" s="6"/>
      <c r="N54" s="6"/>
      <c r="O54" s="4" t="s">
        <v>3805</v>
      </c>
      <c r="P54" s="9"/>
      <c r="Q54" s="10"/>
      <c r="R54" s="11"/>
    </row>
    <row r="55" spans="4:18">
      <c r="D55" s="6" t="s">
        <v>6950</v>
      </c>
      <c r="E55" s="4" t="s">
        <v>3128</v>
      </c>
      <c r="F55" s="6"/>
      <c r="G55" s="4"/>
      <c r="H55" s="6"/>
      <c r="I55" s="6"/>
      <c r="J55" s="4" t="str">
        <f t="shared" si="0"/>
        <v/>
      </c>
      <c r="K55" s="6"/>
      <c r="L55" s="6"/>
      <c r="M55" s="6"/>
      <c r="N55" s="6"/>
      <c r="O55" s="4" t="s">
        <v>3806</v>
      </c>
      <c r="P55" s="9"/>
      <c r="Q55" s="10"/>
      <c r="R55" s="11"/>
    </row>
    <row r="56" spans="4:18">
      <c r="D56" s="6" t="s">
        <v>6951</v>
      </c>
      <c r="E56" s="4" t="s">
        <v>3128</v>
      </c>
      <c r="F56" s="6"/>
      <c r="G56" s="4"/>
      <c r="H56" s="6"/>
      <c r="I56" s="6"/>
      <c r="J56" s="4" t="str">
        <f t="shared" si="0"/>
        <v/>
      </c>
      <c r="K56" s="6"/>
      <c r="L56" s="6"/>
      <c r="M56" s="6"/>
      <c r="N56" s="6"/>
      <c r="O56" s="4" t="s">
        <v>3807</v>
      </c>
      <c r="P56" s="9"/>
      <c r="Q56" s="10"/>
      <c r="R56" s="11"/>
    </row>
    <row r="57" spans="4:18">
      <c r="D57" s="6" t="s">
        <v>6952</v>
      </c>
      <c r="E57" s="4" t="s">
        <v>3128</v>
      </c>
      <c r="F57" s="6"/>
      <c r="G57" s="4"/>
      <c r="H57" s="6"/>
      <c r="I57" s="6"/>
      <c r="J57" s="4" t="str">
        <f t="shared" si="0"/>
        <v/>
      </c>
      <c r="K57" s="6"/>
      <c r="L57" s="6"/>
      <c r="M57" s="6"/>
      <c r="N57" s="6"/>
      <c r="O57" s="4" t="s">
        <v>3808</v>
      </c>
      <c r="P57" s="9"/>
      <c r="Q57" s="10"/>
      <c r="R57" s="11"/>
    </row>
    <row r="58" spans="4:18">
      <c r="D58" s="6" t="s">
        <v>6953</v>
      </c>
      <c r="E58" s="4" t="s">
        <v>3128</v>
      </c>
      <c r="F58" s="6"/>
      <c r="G58" s="4"/>
      <c r="H58" s="6"/>
      <c r="I58" s="6"/>
      <c r="J58" s="4" t="str">
        <f t="shared" si="0"/>
        <v/>
      </c>
      <c r="K58" s="6"/>
      <c r="L58" s="6"/>
      <c r="M58" s="6"/>
      <c r="N58" s="6"/>
      <c r="O58" s="4" t="s">
        <v>3809</v>
      </c>
      <c r="P58" s="9"/>
      <c r="Q58" s="10"/>
      <c r="R58" s="11"/>
    </row>
    <row r="59" spans="4:18">
      <c r="D59" s="6" t="s">
        <v>6954</v>
      </c>
      <c r="E59" s="4" t="s">
        <v>3128</v>
      </c>
      <c r="F59" s="6"/>
      <c r="G59" s="4"/>
      <c r="H59" s="6"/>
      <c r="I59" s="6"/>
      <c r="J59" s="4" t="str">
        <f t="shared" si="0"/>
        <v/>
      </c>
      <c r="K59" s="6"/>
      <c r="L59" s="6"/>
      <c r="M59" s="6"/>
      <c r="N59" s="6"/>
      <c r="O59" s="4" t="s">
        <v>3810</v>
      </c>
      <c r="P59" s="9"/>
      <c r="Q59" s="10"/>
      <c r="R59" s="11"/>
    </row>
    <row r="60" spans="4:18">
      <c r="D60" s="6" t="s">
        <v>6955</v>
      </c>
      <c r="E60" s="4" t="s">
        <v>3128</v>
      </c>
      <c r="F60" s="6"/>
      <c r="G60" s="4"/>
      <c r="H60" s="6"/>
      <c r="I60" s="6"/>
      <c r="J60" s="4" t="str">
        <f t="shared" si="0"/>
        <v/>
      </c>
      <c r="K60" s="6"/>
      <c r="L60" s="6"/>
      <c r="M60" s="6"/>
      <c r="N60" s="6"/>
      <c r="O60" s="4" t="s">
        <v>3811</v>
      </c>
      <c r="P60" s="9"/>
      <c r="Q60" s="10"/>
      <c r="R60" s="11"/>
    </row>
    <row r="61" spans="4:18">
      <c r="D61" s="6" t="s">
        <v>6956</v>
      </c>
      <c r="E61" s="4" t="s">
        <v>3128</v>
      </c>
      <c r="F61" s="6"/>
      <c r="G61" s="4"/>
      <c r="H61" s="6"/>
      <c r="I61" s="6"/>
      <c r="J61" s="4" t="str">
        <f t="shared" si="0"/>
        <v/>
      </c>
      <c r="K61" s="6"/>
      <c r="L61" s="6"/>
      <c r="M61" s="6"/>
      <c r="N61" s="6"/>
      <c r="O61" s="4" t="s">
        <v>3812</v>
      </c>
      <c r="P61" s="9"/>
      <c r="Q61" s="10"/>
      <c r="R61" s="11"/>
    </row>
    <row r="62" spans="4:18">
      <c r="D62" s="6" t="s">
        <v>6957</v>
      </c>
      <c r="E62" s="4" t="s">
        <v>3128</v>
      </c>
      <c r="F62" s="6"/>
      <c r="G62" s="4"/>
      <c r="H62" s="6"/>
      <c r="I62" s="6"/>
      <c r="J62" s="4" t="str">
        <f t="shared" si="0"/>
        <v/>
      </c>
      <c r="K62" s="6"/>
      <c r="L62" s="6"/>
      <c r="M62" s="6"/>
      <c r="N62" s="6"/>
      <c r="O62" s="4" t="s">
        <v>3813</v>
      </c>
      <c r="P62" s="9"/>
      <c r="Q62" s="10"/>
      <c r="R62" s="11"/>
    </row>
    <row r="63" spans="4:18">
      <c r="D63" s="6" t="s">
        <v>6958</v>
      </c>
      <c r="E63" s="4" t="s">
        <v>3128</v>
      </c>
      <c r="F63" s="6"/>
      <c r="G63" s="4"/>
      <c r="H63" s="6"/>
      <c r="I63" s="6"/>
      <c r="J63" s="4" t="str">
        <f t="shared" si="0"/>
        <v/>
      </c>
      <c r="K63" s="6"/>
      <c r="L63" s="6"/>
      <c r="M63" s="6"/>
      <c r="N63" s="6"/>
      <c r="O63" s="4" t="s">
        <v>3814</v>
      </c>
      <c r="P63" s="9"/>
      <c r="Q63" s="10"/>
      <c r="R63" s="11"/>
    </row>
    <row r="64" spans="4:18">
      <c r="D64" s="6" t="s">
        <v>6959</v>
      </c>
      <c r="E64" s="4" t="s">
        <v>3135</v>
      </c>
      <c r="F64" s="6"/>
      <c r="G64" s="4"/>
      <c r="H64" s="6"/>
      <c r="I64" s="6"/>
      <c r="J64" s="4" t="str">
        <f t="shared" si="0"/>
        <v/>
      </c>
      <c r="K64" s="6"/>
      <c r="L64" s="6"/>
      <c r="M64" s="6"/>
      <c r="N64" s="6"/>
      <c r="O64" s="4" t="s">
        <v>3815</v>
      </c>
      <c r="P64" s="9"/>
      <c r="Q64" s="10"/>
      <c r="R64" s="11"/>
    </row>
    <row r="65" spans="4:18">
      <c r="D65" s="6" t="s">
        <v>6960</v>
      </c>
      <c r="E65" s="4" t="s">
        <v>3135</v>
      </c>
      <c r="F65" s="6"/>
      <c r="G65" s="4"/>
      <c r="H65" s="6"/>
      <c r="I65" s="6"/>
      <c r="J65" s="4" t="str">
        <f t="shared" si="0"/>
        <v/>
      </c>
      <c r="K65" s="6"/>
      <c r="L65" s="6"/>
      <c r="M65" s="6"/>
      <c r="N65" s="6"/>
      <c r="O65" s="4" t="s">
        <v>3816</v>
      </c>
      <c r="P65" s="9"/>
      <c r="Q65" s="10"/>
      <c r="R65" s="11"/>
    </row>
    <row r="66" spans="4:18">
      <c r="D66" s="6" t="s">
        <v>6961</v>
      </c>
      <c r="E66" s="4" t="s">
        <v>3135</v>
      </c>
      <c r="F66" s="6"/>
      <c r="G66" s="4"/>
      <c r="H66" s="6"/>
      <c r="I66" s="6"/>
      <c r="J66" s="4" t="str">
        <f t="shared" si="0"/>
        <v/>
      </c>
      <c r="K66" s="6"/>
      <c r="L66" s="6"/>
      <c r="M66" s="6"/>
      <c r="N66" s="6"/>
      <c r="O66" s="4" t="s">
        <v>3817</v>
      </c>
      <c r="P66" s="9"/>
      <c r="Q66" s="10"/>
      <c r="R66" s="11"/>
    </row>
    <row r="67" spans="4:18">
      <c r="D67" s="6" t="s">
        <v>6962</v>
      </c>
      <c r="E67" s="4" t="s">
        <v>3135</v>
      </c>
      <c r="F67" s="6"/>
      <c r="G67" s="4"/>
      <c r="H67" s="6"/>
      <c r="I67" s="6"/>
      <c r="J67" s="4" t="str">
        <f t="shared" si="0"/>
        <v/>
      </c>
      <c r="K67" s="6"/>
      <c r="L67" s="6"/>
      <c r="M67" s="6"/>
      <c r="N67" s="6"/>
      <c r="O67" s="4" t="s">
        <v>3818</v>
      </c>
      <c r="P67" s="9"/>
      <c r="Q67" s="10"/>
      <c r="R67" s="11"/>
    </row>
    <row r="68" spans="4:18">
      <c r="D68" s="6" t="s">
        <v>6963</v>
      </c>
      <c r="E68" s="4" t="s">
        <v>3135</v>
      </c>
      <c r="F68" s="6"/>
      <c r="G68" s="4"/>
      <c r="H68" s="6"/>
      <c r="I68" s="6"/>
      <c r="J68" s="4" t="str">
        <f t="shared" ref="J68:J131" si="1">F68&amp;H68&amp;I68</f>
        <v/>
      </c>
      <c r="K68" s="6"/>
      <c r="L68" s="6"/>
      <c r="M68" s="6"/>
      <c r="N68" s="6"/>
      <c r="O68" s="4" t="s">
        <v>3819</v>
      </c>
      <c r="P68" s="9"/>
      <c r="Q68" s="10"/>
      <c r="R68" s="11"/>
    </row>
    <row r="69" spans="4:18">
      <c r="D69" s="6" t="s">
        <v>6964</v>
      </c>
      <c r="E69" s="4" t="s">
        <v>3135</v>
      </c>
      <c r="F69" s="6"/>
      <c r="G69" s="4"/>
      <c r="H69" s="6"/>
      <c r="I69" s="6"/>
      <c r="J69" s="4" t="str">
        <f t="shared" si="1"/>
        <v/>
      </c>
      <c r="K69" s="6"/>
      <c r="L69" s="6"/>
      <c r="M69" s="6"/>
      <c r="N69" s="6"/>
      <c r="O69" s="4" t="s">
        <v>3820</v>
      </c>
      <c r="P69" s="9"/>
      <c r="Q69" s="10"/>
      <c r="R69" s="11"/>
    </row>
    <row r="70" spans="4:18">
      <c r="D70" s="6" t="s">
        <v>6965</v>
      </c>
      <c r="E70" s="4" t="s">
        <v>3135</v>
      </c>
      <c r="F70" s="6"/>
      <c r="G70" s="4"/>
      <c r="H70" s="6"/>
      <c r="I70" s="6"/>
      <c r="J70" s="4" t="str">
        <f t="shared" si="1"/>
        <v/>
      </c>
      <c r="K70" s="6"/>
      <c r="L70" s="6"/>
      <c r="M70" s="6"/>
      <c r="N70" s="6"/>
      <c r="O70" s="4" t="s">
        <v>3821</v>
      </c>
      <c r="P70" s="9"/>
      <c r="Q70" s="10"/>
      <c r="R70" s="11"/>
    </row>
    <row r="71" spans="4:18">
      <c r="D71" s="6" t="s">
        <v>6966</v>
      </c>
      <c r="E71" s="4" t="s">
        <v>3135</v>
      </c>
      <c r="F71" s="6"/>
      <c r="G71" s="4"/>
      <c r="H71" s="6"/>
      <c r="I71" s="6"/>
      <c r="J71" s="4" t="str">
        <f t="shared" si="1"/>
        <v/>
      </c>
      <c r="K71" s="6"/>
      <c r="L71" s="6"/>
      <c r="M71" s="6"/>
      <c r="N71" s="6"/>
      <c r="O71" s="4" t="s">
        <v>3822</v>
      </c>
      <c r="P71" s="9"/>
      <c r="Q71" s="10"/>
      <c r="R71" s="11"/>
    </row>
    <row r="72" spans="4:18">
      <c r="D72" s="6" t="s">
        <v>6967</v>
      </c>
      <c r="E72" s="4" t="s">
        <v>3135</v>
      </c>
      <c r="F72" s="6"/>
      <c r="G72" s="4"/>
      <c r="H72" s="6"/>
      <c r="I72" s="6"/>
      <c r="J72" s="4" t="str">
        <f t="shared" si="1"/>
        <v/>
      </c>
      <c r="K72" s="6"/>
      <c r="L72" s="6"/>
      <c r="M72" s="6"/>
      <c r="N72" s="6"/>
      <c r="O72" s="4" t="s">
        <v>3823</v>
      </c>
      <c r="P72" s="9"/>
      <c r="Q72" s="10"/>
      <c r="R72" s="11"/>
    </row>
    <row r="73" spans="4:18">
      <c r="D73" s="6" t="s">
        <v>6968</v>
      </c>
      <c r="E73" s="4" t="s">
        <v>3135</v>
      </c>
      <c r="F73" s="6"/>
      <c r="G73" s="4"/>
      <c r="H73" s="6"/>
      <c r="I73" s="6"/>
      <c r="J73" s="4" t="str">
        <f t="shared" si="1"/>
        <v/>
      </c>
      <c r="K73" s="6"/>
      <c r="L73" s="6"/>
      <c r="M73" s="6"/>
      <c r="N73" s="6"/>
      <c r="O73" s="4" t="s">
        <v>3824</v>
      </c>
      <c r="P73" s="9"/>
      <c r="Q73" s="10"/>
      <c r="R73" s="11"/>
    </row>
    <row r="74" spans="4:18">
      <c r="D74" s="6" t="s">
        <v>6969</v>
      </c>
      <c r="E74" s="4" t="s">
        <v>3142</v>
      </c>
      <c r="F74" s="6"/>
      <c r="G74" s="4"/>
      <c r="H74" s="6"/>
      <c r="I74" s="6"/>
      <c r="J74" s="4" t="str">
        <f t="shared" si="1"/>
        <v/>
      </c>
      <c r="K74" s="6"/>
      <c r="L74" s="6"/>
      <c r="M74" s="6"/>
      <c r="N74" s="6"/>
      <c r="O74" s="4" t="s">
        <v>3825</v>
      </c>
      <c r="P74" s="9"/>
      <c r="Q74" s="10"/>
      <c r="R74" s="11"/>
    </row>
    <row r="75" spans="4:18">
      <c r="D75" s="6" t="s">
        <v>6970</v>
      </c>
      <c r="E75" s="4" t="s">
        <v>3142</v>
      </c>
      <c r="F75" s="6"/>
      <c r="G75" s="4"/>
      <c r="H75" s="6"/>
      <c r="I75" s="6"/>
      <c r="J75" s="4" t="str">
        <f t="shared" si="1"/>
        <v/>
      </c>
      <c r="K75" s="6"/>
      <c r="L75" s="6"/>
      <c r="M75" s="6"/>
      <c r="N75" s="6"/>
      <c r="O75" s="4" t="s">
        <v>3826</v>
      </c>
      <c r="P75" s="9"/>
      <c r="Q75" s="10"/>
      <c r="R75" s="11"/>
    </row>
    <row r="76" spans="4:18">
      <c r="D76" s="6" t="s">
        <v>6971</v>
      </c>
      <c r="E76" s="4" t="s">
        <v>3142</v>
      </c>
      <c r="F76" s="6"/>
      <c r="G76" s="4"/>
      <c r="H76" s="6"/>
      <c r="I76" s="6"/>
      <c r="J76" s="4" t="str">
        <f t="shared" si="1"/>
        <v/>
      </c>
      <c r="K76" s="6"/>
      <c r="L76" s="6"/>
      <c r="M76" s="6"/>
      <c r="N76" s="6"/>
      <c r="O76" s="4" t="s">
        <v>3827</v>
      </c>
      <c r="P76" s="9"/>
      <c r="Q76" s="10"/>
      <c r="R76" s="11"/>
    </row>
    <row r="77" spans="4:18">
      <c r="D77" s="6" t="s">
        <v>6972</v>
      </c>
      <c r="E77" s="4" t="s">
        <v>3142</v>
      </c>
      <c r="F77" s="6"/>
      <c r="G77" s="4"/>
      <c r="H77" s="6"/>
      <c r="I77" s="6"/>
      <c r="J77" s="4" t="str">
        <f t="shared" si="1"/>
        <v/>
      </c>
      <c r="K77" s="6"/>
      <c r="L77" s="6"/>
      <c r="M77" s="6"/>
      <c r="N77" s="6"/>
      <c r="O77" s="4" t="s">
        <v>3828</v>
      </c>
      <c r="P77" s="9"/>
      <c r="Q77" s="10"/>
      <c r="R77" s="11"/>
    </row>
    <row r="78" spans="4:18">
      <c r="D78" s="6" t="s">
        <v>6973</v>
      </c>
      <c r="E78" s="4" t="s">
        <v>3142</v>
      </c>
      <c r="F78" s="6"/>
      <c r="G78" s="4"/>
      <c r="H78" s="6"/>
      <c r="I78" s="6"/>
      <c r="J78" s="4" t="str">
        <f t="shared" si="1"/>
        <v/>
      </c>
      <c r="K78" s="6"/>
      <c r="L78" s="6"/>
      <c r="M78" s="6"/>
      <c r="N78" s="6"/>
      <c r="O78" s="4" t="s">
        <v>3829</v>
      </c>
      <c r="P78" s="9"/>
      <c r="Q78" s="10"/>
      <c r="R78" s="11"/>
    </row>
    <row r="79" spans="4:18">
      <c r="D79" s="6" t="s">
        <v>6974</v>
      </c>
      <c r="E79" s="4" t="s">
        <v>3142</v>
      </c>
      <c r="F79" s="6"/>
      <c r="G79" s="4"/>
      <c r="H79" s="6"/>
      <c r="I79" s="6"/>
      <c r="J79" s="4" t="str">
        <f t="shared" si="1"/>
        <v/>
      </c>
      <c r="K79" s="6"/>
      <c r="L79" s="6"/>
      <c r="M79" s="6"/>
      <c r="N79" s="6"/>
      <c r="O79" s="4" t="s">
        <v>3830</v>
      </c>
      <c r="P79" s="9"/>
      <c r="Q79" s="10"/>
      <c r="R79" s="11"/>
    </row>
    <row r="80" spans="4:18">
      <c r="D80" s="6" t="s">
        <v>6975</v>
      </c>
      <c r="E80" s="4" t="s">
        <v>3142</v>
      </c>
      <c r="F80" s="6"/>
      <c r="G80" s="4"/>
      <c r="H80" s="6"/>
      <c r="I80" s="6"/>
      <c r="J80" s="4" t="str">
        <f t="shared" si="1"/>
        <v/>
      </c>
      <c r="K80" s="6"/>
      <c r="L80" s="6"/>
      <c r="M80" s="6"/>
      <c r="N80" s="6"/>
      <c r="O80" s="4" t="s">
        <v>3831</v>
      </c>
      <c r="P80" s="9"/>
      <c r="Q80" s="10"/>
      <c r="R80" s="11"/>
    </row>
    <row r="81" spans="4:18">
      <c r="D81" s="6" t="s">
        <v>6976</v>
      </c>
      <c r="E81" s="4" t="s">
        <v>3142</v>
      </c>
      <c r="F81" s="6"/>
      <c r="G81" s="4"/>
      <c r="H81" s="6"/>
      <c r="I81" s="6"/>
      <c r="J81" s="4" t="str">
        <f t="shared" si="1"/>
        <v/>
      </c>
      <c r="K81" s="6"/>
      <c r="L81" s="6"/>
      <c r="M81" s="6"/>
      <c r="N81" s="6"/>
      <c r="O81" s="4" t="s">
        <v>3832</v>
      </c>
      <c r="P81" s="9"/>
      <c r="Q81" s="10"/>
      <c r="R81" s="11"/>
    </row>
    <row r="82" spans="4:18">
      <c r="D82" s="6" t="s">
        <v>6977</v>
      </c>
      <c r="E82" s="4" t="s">
        <v>3142</v>
      </c>
      <c r="F82" s="6"/>
      <c r="G82" s="4"/>
      <c r="H82" s="6"/>
      <c r="I82" s="6"/>
      <c r="J82" s="4" t="str">
        <f t="shared" si="1"/>
        <v/>
      </c>
      <c r="K82" s="6"/>
      <c r="L82" s="6"/>
      <c r="M82" s="6"/>
      <c r="N82" s="6"/>
      <c r="O82" s="4" t="s">
        <v>3833</v>
      </c>
      <c r="P82" s="9"/>
      <c r="Q82" s="10"/>
      <c r="R82" s="11"/>
    </row>
    <row r="83" spans="4:18">
      <c r="D83" s="6" t="s">
        <v>6978</v>
      </c>
      <c r="E83" s="4" t="s">
        <v>3142</v>
      </c>
      <c r="F83" s="6"/>
      <c r="G83" s="4"/>
      <c r="H83" s="6"/>
      <c r="I83" s="6"/>
      <c r="J83" s="4" t="str">
        <f t="shared" si="1"/>
        <v/>
      </c>
      <c r="K83" s="6"/>
      <c r="L83" s="6"/>
      <c r="M83" s="6"/>
      <c r="N83" s="6"/>
      <c r="O83" s="4" t="s">
        <v>3834</v>
      </c>
      <c r="P83" s="9"/>
      <c r="Q83" s="10"/>
      <c r="R83" s="11"/>
    </row>
    <row r="84" spans="4:18">
      <c r="D84" s="6" t="s">
        <v>6979</v>
      </c>
      <c r="E84" s="4" t="s">
        <v>3149</v>
      </c>
      <c r="F84" s="6"/>
      <c r="G84" s="4"/>
      <c r="H84" s="6"/>
      <c r="I84" s="6"/>
      <c r="J84" s="4" t="str">
        <f t="shared" si="1"/>
        <v/>
      </c>
      <c r="K84" s="6"/>
      <c r="L84" s="6"/>
      <c r="M84" s="6"/>
      <c r="N84" s="6"/>
      <c r="O84" s="4" t="s">
        <v>3835</v>
      </c>
      <c r="P84" s="9"/>
      <c r="Q84" s="10"/>
      <c r="R84" s="11"/>
    </row>
    <row r="85" spans="4:18">
      <c r="D85" s="6" t="s">
        <v>6980</v>
      </c>
      <c r="E85" s="4" t="s">
        <v>3149</v>
      </c>
      <c r="F85" s="6"/>
      <c r="G85" s="4"/>
      <c r="H85" s="6"/>
      <c r="I85" s="6"/>
      <c r="J85" s="4" t="str">
        <f t="shared" si="1"/>
        <v/>
      </c>
      <c r="K85" s="6"/>
      <c r="L85" s="6"/>
      <c r="M85" s="6"/>
      <c r="N85" s="6"/>
      <c r="O85" s="4" t="s">
        <v>3836</v>
      </c>
      <c r="P85" s="9"/>
      <c r="Q85" s="10"/>
      <c r="R85" s="11"/>
    </row>
    <row r="86" spans="4:18">
      <c r="D86" s="6" t="s">
        <v>6981</v>
      </c>
      <c r="E86" s="4" t="s">
        <v>3149</v>
      </c>
      <c r="F86" s="6"/>
      <c r="G86" s="4"/>
      <c r="H86" s="6"/>
      <c r="I86" s="6"/>
      <c r="J86" s="4" t="str">
        <f t="shared" si="1"/>
        <v/>
      </c>
      <c r="K86" s="6"/>
      <c r="L86" s="6"/>
      <c r="M86" s="6"/>
      <c r="N86" s="6"/>
      <c r="O86" s="4" t="s">
        <v>3837</v>
      </c>
      <c r="P86" s="9"/>
      <c r="Q86" s="10"/>
      <c r="R86" s="11"/>
    </row>
    <row r="87" spans="4:18">
      <c r="D87" s="6" t="s">
        <v>6982</v>
      </c>
      <c r="E87" s="4" t="s">
        <v>3149</v>
      </c>
      <c r="F87" s="6"/>
      <c r="G87" s="4"/>
      <c r="H87" s="6"/>
      <c r="I87" s="6"/>
      <c r="J87" s="4" t="str">
        <f t="shared" si="1"/>
        <v/>
      </c>
      <c r="K87" s="6"/>
      <c r="L87" s="6"/>
      <c r="M87" s="6"/>
      <c r="N87" s="6"/>
      <c r="O87" s="4" t="s">
        <v>3838</v>
      </c>
      <c r="P87" s="9"/>
      <c r="Q87" s="10"/>
      <c r="R87" s="11"/>
    </row>
    <row r="88" spans="4:18">
      <c r="D88" s="6" t="s">
        <v>6983</v>
      </c>
      <c r="E88" s="4" t="s">
        <v>3149</v>
      </c>
      <c r="F88" s="6"/>
      <c r="G88" s="4"/>
      <c r="H88" s="6"/>
      <c r="I88" s="6"/>
      <c r="J88" s="4" t="str">
        <f t="shared" si="1"/>
        <v/>
      </c>
      <c r="K88" s="6"/>
      <c r="L88" s="6"/>
      <c r="M88" s="6"/>
      <c r="N88" s="6"/>
      <c r="O88" s="4" t="s">
        <v>3839</v>
      </c>
      <c r="P88" s="9"/>
      <c r="Q88" s="10"/>
      <c r="R88" s="11"/>
    </row>
    <row r="89" spans="4:18">
      <c r="D89" s="6" t="s">
        <v>6984</v>
      </c>
      <c r="E89" s="4" t="s">
        <v>3149</v>
      </c>
      <c r="F89" s="6"/>
      <c r="G89" s="4"/>
      <c r="H89" s="6"/>
      <c r="I89" s="6"/>
      <c r="J89" s="4" t="str">
        <f t="shared" si="1"/>
        <v/>
      </c>
      <c r="K89" s="6"/>
      <c r="L89" s="6"/>
      <c r="M89" s="6"/>
      <c r="N89" s="6"/>
      <c r="O89" s="4" t="s">
        <v>3840</v>
      </c>
      <c r="P89" s="9"/>
      <c r="Q89" s="10"/>
      <c r="R89" s="11"/>
    </row>
    <row r="90" spans="4:18">
      <c r="D90" s="6" t="s">
        <v>6985</v>
      </c>
      <c r="E90" s="4" t="s">
        <v>3149</v>
      </c>
      <c r="F90" s="6"/>
      <c r="G90" s="4"/>
      <c r="H90" s="6"/>
      <c r="I90" s="6"/>
      <c r="J90" s="4" t="str">
        <f t="shared" si="1"/>
        <v/>
      </c>
      <c r="K90" s="6"/>
      <c r="L90" s="6"/>
      <c r="M90" s="6"/>
      <c r="N90" s="6"/>
      <c r="O90" s="4" t="s">
        <v>3841</v>
      </c>
      <c r="P90" s="9"/>
      <c r="Q90" s="10"/>
      <c r="R90" s="11"/>
    </row>
    <row r="91" spans="4:18">
      <c r="D91" s="6" t="s">
        <v>6986</v>
      </c>
      <c r="E91" s="4" t="s">
        <v>3149</v>
      </c>
      <c r="F91" s="6"/>
      <c r="G91" s="4"/>
      <c r="H91" s="6"/>
      <c r="I91" s="6"/>
      <c r="J91" s="4" t="str">
        <f t="shared" si="1"/>
        <v/>
      </c>
      <c r="K91" s="6"/>
      <c r="L91" s="6"/>
      <c r="M91" s="6"/>
      <c r="N91" s="6"/>
      <c r="O91" s="4" t="s">
        <v>3842</v>
      </c>
      <c r="P91" s="9"/>
      <c r="Q91" s="10"/>
      <c r="R91" s="11"/>
    </row>
    <row r="92" spans="4:18">
      <c r="D92" s="6" t="s">
        <v>6987</v>
      </c>
      <c r="E92" s="4" t="s">
        <v>3149</v>
      </c>
      <c r="F92" s="6"/>
      <c r="G92" s="4"/>
      <c r="H92" s="6"/>
      <c r="I92" s="6"/>
      <c r="J92" s="4" t="str">
        <f t="shared" si="1"/>
        <v/>
      </c>
      <c r="K92" s="6"/>
      <c r="L92" s="6"/>
      <c r="M92" s="6"/>
      <c r="N92" s="6"/>
      <c r="O92" s="4" t="s">
        <v>3843</v>
      </c>
      <c r="P92" s="9"/>
      <c r="Q92" s="10"/>
      <c r="R92" s="11"/>
    </row>
    <row r="93" spans="4:18">
      <c r="D93" s="6" t="s">
        <v>6988</v>
      </c>
      <c r="E93" s="4" t="s">
        <v>3149</v>
      </c>
      <c r="F93" s="6"/>
      <c r="G93" s="4"/>
      <c r="H93" s="6"/>
      <c r="I93" s="6"/>
      <c r="J93" s="4" t="str">
        <f t="shared" si="1"/>
        <v/>
      </c>
      <c r="K93" s="6"/>
      <c r="L93" s="6"/>
      <c r="M93" s="6"/>
      <c r="N93" s="6"/>
      <c r="O93" s="4" t="s">
        <v>3844</v>
      </c>
      <c r="P93" s="9"/>
      <c r="Q93" s="10"/>
      <c r="R93" s="11"/>
    </row>
    <row r="94" spans="4:18">
      <c r="D94" s="6" t="s">
        <v>6989</v>
      </c>
      <c r="E94" s="4" t="s">
        <v>3156</v>
      </c>
      <c r="F94" s="6"/>
      <c r="G94" s="4"/>
      <c r="H94" s="6"/>
      <c r="I94" s="6"/>
      <c r="J94" s="4" t="str">
        <f t="shared" si="1"/>
        <v/>
      </c>
      <c r="K94" s="6"/>
      <c r="L94" s="6"/>
      <c r="M94" s="6"/>
      <c r="N94" s="6"/>
      <c r="O94" s="4" t="s">
        <v>3845</v>
      </c>
      <c r="P94" s="9"/>
      <c r="Q94" s="10"/>
      <c r="R94" s="11"/>
    </row>
    <row r="95" spans="4:18">
      <c r="D95" s="6" t="s">
        <v>6990</v>
      </c>
      <c r="E95" s="4" t="s">
        <v>3156</v>
      </c>
      <c r="F95" s="6"/>
      <c r="G95" s="4"/>
      <c r="H95" s="6"/>
      <c r="I95" s="6"/>
      <c r="J95" s="4" t="str">
        <f t="shared" si="1"/>
        <v/>
      </c>
      <c r="K95" s="6"/>
      <c r="L95" s="6"/>
      <c r="M95" s="6"/>
      <c r="N95" s="6"/>
      <c r="O95" s="4" t="s">
        <v>3846</v>
      </c>
      <c r="P95" s="9"/>
      <c r="Q95" s="10"/>
      <c r="R95" s="11"/>
    </row>
    <row r="96" spans="4:18">
      <c r="D96" s="6" t="s">
        <v>6991</v>
      </c>
      <c r="E96" s="4" t="s">
        <v>3156</v>
      </c>
      <c r="F96" s="6"/>
      <c r="G96" s="4"/>
      <c r="H96" s="6"/>
      <c r="I96" s="6"/>
      <c r="J96" s="4" t="str">
        <f t="shared" si="1"/>
        <v/>
      </c>
      <c r="K96" s="6"/>
      <c r="L96" s="6"/>
      <c r="M96" s="6"/>
      <c r="N96" s="6"/>
      <c r="O96" s="4" t="s">
        <v>3847</v>
      </c>
      <c r="P96" s="9"/>
      <c r="Q96" s="10"/>
      <c r="R96" s="11"/>
    </row>
    <row r="97" spans="4:18">
      <c r="D97" s="6" t="s">
        <v>6992</v>
      </c>
      <c r="E97" s="4" t="s">
        <v>3156</v>
      </c>
      <c r="F97" s="6"/>
      <c r="G97" s="4"/>
      <c r="H97" s="6"/>
      <c r="I97" s="6"/>
      <c r="J97" s="4" t="str">
        <f t="shared" si="1"/>
        <v/>
      </c>
      <c r="K97" s="6"/>
      <c r="L97" s="6"/>
      <c r="M97" s="6"/>
      <c r="N97" s="6"/>
      <c r="O97" s="4" t="s">
        <v>3848</v>
      </c>
      <c r="P97" s="9"/>
      <c r="Q97" s="10"/>
      <c r="R97" s="11"/>
    </row>
    <row r="98" spans="4:18">
      <c r="D98" s="6" t="s">
        <v>6993</v>
      </c>
      <c r="E98" s="4" t="s">
        <v>3156</v>
      </c>
      <c r="F98" s="6"/>
      <c r="G98" s="4"/>
      <c r="H98" s="6"/>
      <c r="I98" s="6"/>
      <c r="J98" s="4" t="str">
        <f t="shared" si="1"/>
        <v/>
      </c>
      <c r="K98" s="6"/>
      <c r="L98" s="6"/>
      <c r="M98" s="6"/>
      <c r="N98" s="6"/>
      <c r="O98" s="4" t="s">
        <v>3849</v>
      </c>
      <c r="P98" s="9"/>
      <c r="Q98" s="10"/>
      <c r="R98" s="11"/>
    </row>
    <row r="99" spans="4:18">
      <c r="D99" s="6" t="s">
        <v>6994</v>
      </c>
      <c r="E99" s="4" t="s">
        <v>3156</v>
      </c>
      <c r="F99" s="6"/>
      <c r="G99" s="4"/>
      <c r="H99" s="6"/>
      <c r="I99" s="6"/>
      <c r="J99" s="4" t="str">
        <f t="shared" si="1"/>
        <v/>
      </c>
      <c r="K99" s="6"/>
      <c r="L99" s="6"/>
      <c r="M99" s="6"/>
      <c r="N99" s="6"/>
      <c r="O99" s="4" t="s">
        <v>3850</v>
      </c>
      <c r="P99" s="9"/>
      <c r="Q99" s="10"/>
      <c r="R99" s="11"/>
    </row>
    <row r="100" spans="4:18">
      <c r="D100" s="6" t="s">
        <v>6995</v>
      </c>
      <c r="E100" s="4" t="s">
        <v>3156</v>
      </c>
      <c r="F100" s="6"/>
      <c r="G100" s="4"/>
      <c r="H100" s="6"/>
      <c r="I100" s="6"/>
      <c r="J100" s="4" t="str">
        <f t="shared" si="1"/>
        <v/>
      </c>
      <c r="K100" s="6"/>
      <c r="L100" s="6"/>
      <c r="M100" s="6"/>
      <c r="N100" s="6"/>
      <c r="O100" s="4" t="s">
        <v>3851</v>
      </c>
      <c r="P100" s="9"/>
      <c r="Q100" s="10"/>
      <c r="R100" s="11"/>
    </row>
    <row r="101" spans="4:18">
      <c r="D101" s="6" t="s">
        <v>6996</v>
      </c>
      <c r="E101" s="4" t="s">
        <v>3156</v>
      </c>
      <c r="F101" s="6"/>
      <c r="G101" s="4"/>
      <c r="H101" s="6"/>
      <c r="I101" s="6"/>
      <c r="J101" s="4" t="str">
        <f t="shared" si="1"/>
        <v/>
      </c>
      <c r="K101" s="6"/>
      <c r="L101" s="6"/>
      <c r="M101" s="6"/>
      <c r="N101" s="6"/>
      <c r="O101" s="4" t="s">
        <v>3852</v>
      </c>
      <c r="P101" s="9"/>
      <c r="Q101" s="10"/>
      <c r="R101" s="11"/>
    </row>
    <row r="102" spans="4:18">
      <c r="D102" s="6" t="s">
        <v>6997</v>
      </c>
      <c r="E102" s="4" t="s">
        <v>3156</v>
      </c>
      <c r="F102" s="6"/>
      <c r="G102" s="4"/>
      <c r="H102" s="6"/>
      <c r="I102" s="6"/>
      <c r="J102" s="4" t="str">
        <f t="shared" si="1"/>
        <v/>
      </c>
      <c r="K102" s="6"/>
      <c r="L102" s="6"/>
      <c r="M102" s="6"/>
      <c r="N102" s="6"/>
      <c r="O102" s="4" t="s">
        <v>3853</v>
      </c>
      <c r="P102" s="9"/>
      <c r="Q102" s="10"/>
      <c r="R102" s="11"/>
    </row>
    <row r="103" spans="4:18">
      <c r="D103" s="6" t="s">
        <v>6998</v>
      </c>
      <c r="E103" s="4" t="s">
        <v>3156</v>
      </c>
      <c r="F103" s="6"/>
      <c r="G103" s="4"/>
      <c r="H103" s="6"/>
      <c r="I103" s="6"/>
      <c r="J103" s="4" t="str">
        <f t="shared" si="1"/>
        <v/>
      </c>
      <c r="K103" s="6"/>
      <c r="L103" s="6"/>
      <c r="M103" s="6"/>
      <c r="N103" s="6"/>
      <c r="O103" s="4" t="s">
        <v>3854</v>
      </c>
      <c r="P103" s="9"/>
      <c r="Q103" s="10"/>
      <c r="R103" s="11"/>
    </row>
    <row r="104" spans="4:18">
      <c r="D104" s="6" t="s">
        <v>6999</v>
      </c>
      <c r="E104" s="4" t="s">
        <v>3163</v>
      </c>
      <c r="F104" s="6"/>
      <c r="G104" s="4"/>
      <c r="H104" s="6"/>
      <c r="I104" s="6"/>
      <c r="J104" s="4" t="str">
        <f t="shared" si="1"/>
        <v/>
      </c>
      <c r="K104" s="6"/>
      <c r="L104" s="6"/>
      <c r="M104" s="6"/>
      <c r="N104" s="6"/>
      <c r="O104" s="4" t="s">
        <v>3855</v>
      </c>
      <c r="P104" s="9"/>
      <c r="Q104" s="10"/>
      <c r="R104" s="11"/>
    </row>
    <row r="105" spans="4:18">
      <c r="D105" s="6" t="s">
        <v>7000</v>
      </c>
      <c r="E105" s="4" t="s">
        <v>3163</v>
      </c>
      <c r="F105" s="6"/>
      <c r="G105" s="4"/>
      <c r="H105" s="6"/>
      <c r="I105" s="6"/>
      <c r="J105" s="4" t="str">
        <f t="shared" si="1"/>
        <v/>
      </c>
      <c r="K105" s="6"/>
      <c r="L105" s="6"/>
      <c r="M105" s="6"/>
      <c r="N105" s="6"/>
      <c r="O105" s="4" t="s">
        <v>3856</v>
      </c>
      <c r="P105" s="9"/>
      <c r="Q105" s="10"/>
      <c r="R105" s="11"/>
    </row>
    <row r="106" spans="4:18">
      <c r="D106" s="6" t="s">
        <v>7001</v>
      </c>
      <c r="E106" s="4" t="s">
        <v>3163</v>
      </c>
      <c r="F106" s="6"/>
      <c r="G106" s="4"/>
      <c r="H106" s="6"/>
      <c r="I106" s="6"/>
      <c r="J106" s="4" t="str">
        <f t="shared" si="1"/>
        <v/>
      </c>
      <c r="K106" s="6"/>
      <c r="L106" s="6"/>
      <c r="M106" s="6"/>
      <c r="N106" s="6"/>
      <c r="O106" s="4" t="s">
        <v>3857</v>
      </c>
      <c r="P106" s="9"/>
      <c r="Q106" s="10"/>
      <c r="R106" s="11"/>
    </row>
    <row r="107" spans="4:18">
      <c r="D107" s="6" t="s">
        <v>7002</v>
      </c>
      <c r="E107" s="4" t="s">
        <v>3163</v>
      </c>
      <c r="F107" s="6"/>
      <c r="G107" s="4"/>
      <c r="H107" s="6"/>
      <c r="I107" s="6"/>
      <c r="J107" s="4" t="str">
        <f t="shared" si="1"/>
        <v/>
      </c>
      <c r="K107" s="6"/>
      <c r="L107" s="6"/>
      <c r="M107" s="6"/>
      <c r="N107" s="6"/>
      <c r="O107" s="4" t="s">
        <v>3858</v>
      </c>
      <c r="P107" s="9"/>
      <c r="Q107" s="10"/>
      <c r="R107" s="11"/>
    </row>
    <row r="108" spans="4:18">
      <c r="D108" s="6" t="s">
        <v>7003</v>
      </c>
      <c r="E108" s="4" t="s">
        <v>3163</v>
      </c>
      <c r="F108" s="6"/>
      <c r="G108" s="4"/>
      <c r="H108" s="6"/>
      <c r="I108" s="6"/>
      <c r="J108" s="4" t="str">
        <f t="shared" si="1"/>
        <v/>
      </c>
      <c r="K108" s="6"/>
      <c r="L108" s="6"/>
      <c r="M108" s="6"/>
      <c r="N108" s="6"/>
      <c r="O108" s="4" t="s">
        <v>3859</v>
      </c>
      <c r="P108" s="9"/>
      <c r="Q108" s="10"/>
      <c r="R108" s="11"/>
    </row>
    <row r="109" spans="4:18">
      <c r="D109" s="6" t="s">
        <v>7004</v>
      </c>
      <c r="E109" s="4" t="s">
        <v>3163</v>
      </c>
      <c r="F109" s="6"/>
      <c r="G109" s="4"/>
      <c r="H109" s="6"/>
      <c r="I109" s="6"/>
      <c r="J109" s="4" t="str">
        <f t="shared" si="1"/>
        <v/>
      </c>
      <c r="K109" s="6"/>
      <c r="L109" s="6"/>
      <c r="M109" s="6"/>
      <c r="N109" s="6"/>
      <c r="O109" s="4" t="s">
        <v>3860</v>
      </c>
      <c r="P109" s="9"/>
      <c r="Q109" s="10"/>
      <c r="R109" s="11"/>
    </row>
    <row r="110" spans="4:18">
      <c r="D110" s="6" t="s">
        <v>7005</v>
      </c>
      <c r="E110" s="4" t="s">
        <v>3163</v>
      </c>
      <c r="F110" s="6"/>
      <c r="G110" s="4"/>
      <c r="H110" s="6"/>
      <c r="I110" s="6"/>
      <c r="J110" s="4" t="str">
        <f t="shared" si="1"/>
        <v/>
      </c>
      <c r="K110" s="6"/>
      <c r="L110" s="6"/>
      <c r="M110" s="6"/>
      <c r="N110" s="6"/>
      <c r="O110" s="4" t="s">
        <v>3861</v>
      </c>
      <c r="P110" s="9"/>
      <c r="Q110" s="10"/>
      <c r="R110" s="11"/>
    </row>
    <row r="111" spans="4:18">
      <c r="D111" s="6" t="s">
        <v>7006</v>
      </c>
      <c r="E111" s="4" t="s">
        <v>3163</v>
      </c>
      <c r="F111" s="6"/>
      <c r="G111" s="4"/>
      <c r="H111" s="6"/>
      <c r="I111" s="6"/>
      <c r="J111" s="4" t="str">
        <f t="shared" si="1"/>
        <v/>
      </c>
      <c r="K111" s="6"/>
      <c r="L111" s="6"/>
      <c r="M111" s="6"/>
      <c r="N111" s="6"/>
      <c r="O111" s="4" t="s">
        <v>3862</v>
      </c>
      <c r="P111" s="9"/>
      <c r="Q111" s="10"/>
      <c r="R111" s="11"/>
    </row>
    <row r="112" spans="4:18">
      <c r="D112" s="6" t="s">
        <v>7007</v>
      </c>
      <c r="E112" s="4" t="s">
        <v>3163</v>
      </c>
      <c r="F112" s="6"/>
      <c r="G112" s="4"/>
      <c r="H112" s="6"/>
      <c r="I112" s="6"/>
      <c r="J112" s="4" t="str">
        <f t="shared" si="1"/>
        <v/>
      </c>
      <c r="K112" s="6"/>
      <c r="L112" s="6"/>
      <c r="M112" s="6"/>
      <c r="N112" s="6"/>
      <c r="O112" s="4" t="s">
        <v>3863</v>
      </c>
      <c r="P112" s="9"/>
      <c r="Q112" s="10"/>
      <c r="R112" s="11"/>
    </row>
    <row r="113" spans="4:18">
      <c r="D113" s="6" t="s">
        <v>7008</v>
      </c>
      <c r="E113" s="4" t="s">
        <v>3163</v>
      </c>
      <c r="F113" s="6"/>
      <c r="G113" s="4"/>
      <c r="H113" s="6"/>
      <c r="I113" s="6"/>
      <c r="J113" s="4" t="str">
        <f t="shared" si="1"/>
        <v/>
      </c>
      <c r="K113" s="6"/>
      <c r="L113" s="6"/>
      <c r="M113" s="6"/>
      <c r="N113" s="6"/>
      <c r="O113" s="4" t="s">
        <v>3864</v>
      </c>
      <c r="P113" s="9"/>
      <c r="Q113" s="10"/>
      <c r="R113" s="11"/>
    </row>
    <row r="114" spans="4:18">
      <c r="D114" s="6" t="s">
        <v>7009</v>
      </c>
      <c r="E114" s="4" t="s">
        <v>3170</v>
      </c>
      <c r="F114" s="6"/>
      <c r="G114" s="4"/>
      <c r="H114" s="6"/>
      <c r="I114" s="6"/>
      <c r="J114" s="4" t="str">
        <f t="shared" si="1"/>
        <v/>
      </c>
      <c r="K114" s="6"/>
      <c r="L114" s="6"/>
      <c r="M114" s="6"/>
      <c r="N114" s="6"/>
      <c r="O114" s="4" t="s">
        <v>3865</v>
      </c>
      <c r="P114" s="9"/>
      <c r="Q114" s="10"/>
      <c r="R114" s="11"/>
    </row>
    <row r="115" spans="4:18">
      <c r="D115" s="6" t="s">
        <v>7010</v>
      </c>
      <c r="E115" s="4" t="s">
        <v>3170</v>
      </c>
      <c r="F115" s="6"/>
      <c r="G115" s="4"/>
      <c r="H115" s="6"/>
      <c r="I115" s="6"/>
      <c r="J115" s="4" t="str">
        <f t="shared" si="1"/>
        <v/>
      </c>
      <c r="K115" s="6"/>
      <c r="L115" s="6"/>
      <c r="M115" s="6"/>
      <c r="N115" s="6"/>
      <c r="O115" s="4" t="s">
        <v>3866</v>
      </c>
      <c r="P115" s="9"/>
      <c r="Q115" s="10"/>
      <c r="R115" s="11"/>
    </row>
    <row r="116" spans="4:18">
      <c r="D116" s="6" t="s">
        <v>7011</v>
      </c>
      <c r="E116" s="4" t="s">
        <v>3170</v>
      </c>
      <c r="F116" s="6"/>
      <c r="G116" s="4"/>
      <c r="H116" s="6"/>
      <c r="I116" s="6"/>
      <c r="J116" s="4" t="str">
        <f t="shared" si="1"/>
        <v/>
      </c>
      <c r="K116" s="6"/>
      <c r="L116" s="6"/>
      <c r="M116" s="6"/>
      <c r="N116" s="6"/>
      <c r="O116" s="4" t="s">
        <v>3867</v>
      </c>
      <c r="P116" s="9"/>
      <c r="Q116" s="10"/>
      <c r="R116" s="11"/>
    </row>
    <row r="117" spans="4:18">
      <c r="D117" s="6" t="s">
        <v>7012</v>
      </c>
      <c r="E117" s="4" t="s">
        <v>3170</v>
      </c>
      <c r="F117" s="6"/>
      <c r="G117" s="4"/>
      <c r="H117" s="6"/>
      <c r="I117" s="6"/>
      <c r="J117" s="4" t="str">
        <f t="shared" si="1"/>
        <v/>
      </c>
      <c r="K117" s="6"/>
      <c r="L117" s="6"/>
      <c r="M117" s="6"/>
      <c r="N117" s="6"/>
      <c r="O117" s="4" t="s">
        <v>3868</v>
      </c>
      <c r="P117" s="9"/>
      <c r="Q117" s="10"/>
      <c r="R117" s="11"/>
    </row>
    <row r="118" spans="4:18">
      <c r="D118" s="6" t="s">
        <v>7013</v>
      </c>
      <c r="E118" s="4" t="s">
        <v>3170</v>
      </c>
      <c r="F118" s="6"/>
      <c r="G118" s="4"/>
      <c r="H118" s="6"/>
      <c r="I118" s="6"/>
      <c r="J118" s="4" t="str">
        <f t="shared" si="1"/>
        <v/>
      </c>
      <c r="K118" s="6"/>
      <c r="L118" s="6"/>
      <c r="M118" s="6"/>
      <c r="N118" s="6"/>
      <c r="O118" s="4" t="s">
        <v>3869</v>
      </c>
      <c r="P118" s="9"/>
      <c r="Q118" s="10"/>
      <c r="R118" s="11"/>
    </row>
    <row r="119" spans="4:18">
      <c r="D119" s="6" t="s">
        <v>7014</v>
      </c>
      <c r="E119" s="4" t="s">
        <v>3170</v>
      </c>
      <c r="F119" s="6"/>
      <c r="G119" s="4"/>
      <c r="H119" s="6"/>
      <c r="I119" s="6"/>
      <c r="J119" s="4" t="str">
        <f t="shared" si="1"/>
        <v/>
      </c>
      <c r="K119" s="6"/>
      <c r="L119" s="6"/>
      <c r="M119" s="6"/>
      <c r="N119" s="6"/>
      <c r="O119" s="4" t="s">
        <v>3870</v>
      </c>
      <c r="P119" s="9"/>
      <c r="Q119" s="10"/>
      <c r="R119" s="11"/>
    </row>
    <row r="120" spans="4:18">
      <c r="D120" s="6" t="s">
        <v>7015</v>
      </c>
      <c r="E120" s="4" t="s">
        <v>3170</v>
      </c>
      <c r="F120" s="6"/>
      <c r="G120" s="4"/>
      <c r="H120" s="6"/>
      <c r="I120" s="6"/>
      <c r="J120" s="4" t="str">
        <f t="shared" si="1"/>
        <v/>
      </c>
      <c r="K120" s="6"/>
      <c r="L120" s="6"/>
      <c r="M120" s="6"/>
      <c r="N120" s="6"/>
      <c r="O120" s="4" t="s">
        <v>3871</v>
      </c>
      <c r="P120" s="9"/>
      <c r="Q120" s="10"/>
      <c r="R120" s="11"/>
    </row>
    <row r="121" spans="4:18">
      <c r="D121" s="6" t="s">
        <v>7016</v>
      </c>
      <c r="E121" s="4" t="s">
        <v>3170</v>
      </c>
      <c r="F121" s="6"/>
      <c r="G121" s="4"/>
      <c r="H121" s="6"/>
      <c r="I121" s="6"/>
      <c r="J121" s="4" t="str">
        <f t="shared" si="1"/>
        <v/>
      </c>
      <c r="K121" s="6"/>
      <c r="L121" s="6"/>
      <c r="M121" s="6"/>
      <c r="N121" s="6"/>
      <c r="O121" s="4" t="s">
        <v>3872</v>
      </c>
      <c r="P121" s="9"/>
      <c r="Q121" s="10"/>
      <c r="R121" s="11"/>
    </row>
    <row r="122" spans="4:18">
      <c r="D122" s="6" t="s">
        <v>7017</v>
      </c>
      <c r="E122" s="4" t="s">
        <v>3170</v>
      </c>
      <c r="F122" s="6"/>
      <c r="G122" s="4"/>
      <c r="H122" s="6"/>
      <c r="I122" s="6"/>
      <c r="J122" s="4" t="str">
        <f t="shared" si="1"/>
        <v/>
      </c>
      <c r="K122" s="6"/>
      <c r="L122" s="6"/>
      <c r="M122" s="6"/>
      <c r="N122" s="6"/>
      <c r="O122" s="4" t="s">
        <v>3873</v>
      </c>
      <c r="P122" s="9"/>
      <c r="Q122" s="10"/>
      <c r="R122" s="11"/>
    </row>
    <row r="123" spans="4:18">
      <c r="D123" s="6" t="s">
        <v>7018</v>
      </c>
      <c r="E123" s="4" t="s">
        <v>3170</v>
      </c>
      <c r="F123" s="6"/>
      <c r="G123" s="4"/>
      <c r="H123" s="6"/>
      <c r="I123" s="6"/>
      <c r="J123" s="4" t="str">
        <f t="shared" si="1"/>
        <v/>
      </c>
      <c r="K123" s="6"/>
      <c r="L123" s="6"/>
      <c r="M123" s="6"/>
      <c r="N123" s="6"/>
      <c r="O123" s="4" t="s">
        <v>3874</v>
      </c>
      <c r="P123" s="9"/>
      <c r="Q123" s="10"/>
      <c r="R123" s="11"/>
    </row>
    <row r="124" spans="4:18">
      <c r="D124" s="6" t="s">
        <v>7019</v>
      </c>
      <c r="E124" s="4" t="s">
        <v>3177</v>
      </c>
      <c r="F124" s="6"/>
      <c r="G124" s="4"/>
      <c r="H124" s="6"/>
      <c r="I124" s="6"/>
      <c r="J124" s="4" t="str">
        <f t="shared" si="1"/>
        <v/>
      </c>
      <c r="K124" s="6"/>
      <c r="L124" s="6"/>
      <c r="M124" s="6"/>
      <c r="N124" s="6"/>
      <c r="O124" s="4" t="s">
        <v>3875</v>
      </c>
      <c r="P124" s="9"/>
      <c r="Q124" s="10"/>
      <c r="R124" s="11"/>
    </row>
    <row r="125" spans="4:18">
      <c r="D125" s="6" t="s">
        <v>7020</v>
      </c>
      <c r="E125" s="4" t="s">
        <v>3177</v>
      </c>
      <c r="F125" s="6"/>
      <c r="G125" s="4"/>
      <c r="H125" s="6"/>
      <c r="I125" s="6"/>
      <c r="J125" s="4" t="str">
        <f t="shared" si="1"/>
        <v/>
      </c>
      <c r="K125" s="6"/>
      <c r="L125" s="6"/>
      <c r="M125" s="6"/>
      <c r="N125" s="6"/>
      <c r="O125" s="4" t="s">
        <v>3876</v>
      </c>
      <c r="P125" s="9"/>
      <c r="Q125" s="10"/>
      <c r="R125" s="11"/>
    </row>
    <row r="126" spans="4:18">
      <c r="D126" s="6" t="s">
        <v>7021</v>
      </c>
      <c r="E126" s="4" t="s">
        <v>3177</v>
      </c>
      <c r="F126" s="6"/>
      <c r="G126" s="4"/>
      <c r="H126" s="6"/>
      <c r="I126" s="6"/>
      <c r="J126" s="4" t="str">
        <f t="shared" si="1"/>
        <v/>
      </c>
      <c r="K126" s="6"/>
      <c r="L126" s="6"/>
      <c r="M126" s="6"/>
      <c r="N126" s="6"/>
      <c r="O126" s="4" t="s">
        <v>3877</v>
      </c>
      <c r="P126" s="9"/>
      <c r="Q126" s="10"/>
      <c r="R126" s="11"/>
    </row>
    <row r="127" spans="4:18">
      <c r="D127" s="6" t="s">
        <v>7022</v>
      </c>
      <c r="E127" s="4" t="s">
        <v>3177</v>
      </c>
      <c r="F127" s="6"/>
      <c r="G127" s="4"/>
      <c r="H127" s="6"/>
      <c r="I127" s="6"/>
      <c r="J127" s="4" t="str">
        <f t="shared" si="1"/>
        <v/>
      </c>
      <c r="K127" s="6"/>
      <c r="L127" s="6"/>
      <c r="M127" s="6"/>
      <c r="N127" s="6"/>
      <c r="O127" s="4" t="s">
        <v>3878</v>
      </c>
      <c r="P127" s="9"/>
      <c r="Q127" s="10"/>
      <c r="R127" s="11"/>
    </row>
    <row r="128" spans="4:18">
      <c r="D128" s="6" t="s">
        <v>7023</v>
      </c>
      <c r="E128" s="4" t="s">
        <v>3177</v>
      </c>
      <c r="F128" s="6"/>
      <c r="G128" s="4"/>
      <c r="H128" s="6"/>
      <c r="I128" s="6"/>
      <c r="J128" s="4" t="str">
        <f t="shared" si="1"/>
        <v/>
      </c>
      <c r="K128" s="6"/>
      <c r="L128" s="6"/>
      <c r="M128" s="6"/>
      <c r="N128" s="6"/>
      <c r="O128" s="4" t="s">
        <v>3879</v>
      </c>
      <c r="P128" s="9"/>
      <c r="Q128" s="10"/>
      <c r="R128" s="11"/>
    </row>
    <row r="129" spans="4:18">
      <c r="D129" s="6" t="s">
        <v>7024</v>
      </c>
      <c r="E129" s="4" t="s">
        <v>3177</v>
      </c>
      <c r="F129" s="6"/>
      <c r="G129" s="4"/>
      <c r="H129" s="6"/>
      <c r="I129" s="6"/>
      <c r="J129" s="4" t="str">
        <f t="shared" si="1"/>
        <v/>
      </c>
      <c r="K129" s="6"/>
      <c r="L129" s="6"/>
      <c r="M129" s="6"/>
      <c r="N129" s="6"/>
      <c r="O129" s="4" t="s">
        <v>3880</v>
      </c>
      <c r="P129" s="9"/>
      <c r="Q129" s="10"/>
      <c r="R129" s="11"/>
    </row>
    <row r="130" spans="4:18">
      <c r="D130" s="6" t="s">
        <v>7025</v>
      </c>
      <c r="E130" s="4" t="s">
        <v>3177</v>
      </c>
      <c r="F130" s="6"/>
      <c r="G130" s="4"/>
      <c r="H130" s="6"/>
      <c r="I130" s="6"/>
      <c r="J130" s="4" t="str">
        <f t="shared" si="1"/>
        <v/>
      </c>
      <c r="K130" s="6"/>
      <c r="L130" s="6"/>
      <c r="M130" s="6"/>
      <c r="N130" s="6"/>
      <c r="O130" s="4" t="s">
        <v>3881</v>
      </c>
      <c r="P130" s="9"/>
      <c r="Q130" s="10"/>
      <c r="R130" s="11"/>
    </row>
    <row r="131" spans="4:18">
      <c r="D131" s="6" t="s">
        <v>7026</v>
      </c>
      <c r="E131" s="4" t="s">
        <v>3177</v>
      </c>
      <c r="F131" s="6"/>
      <c r="G131" s="4"/>
      <c r="H131" s="6"/>
      <c r="I131" s="6"/>
      <c r="J131" s="4" t="str">
        <f t="shared" si="1"/>
        <v/>
      </c>
      <c r="K131" s="6"/>
      <c r="L131" s="6"/>
      <c r="M131" s="6"/>
      <c r="N131" s="6"/>
      <c r="O131" s="4" t="s">
        <v>3882</v>
      </c>
      <c r="P131" s="9"/>
      <c r="Q131" s="10"/>
      <c r="R131" s="11"/>
    </row>
    <row r="132" spans="4:18">
      <c r="D132" s="6" t="s">
        <v>7027</v>
      </c>
      <c r="E132" s="4" t="s">
        <v>3177</v>
      </c>
      <c r="F132" s="6"/>
      <c r="G132" s="4"/>
      <c r="H132" s="6"/>
      <c r="I132" s="6"/>
      <c r="J132" s="4" t="str">
        <f t="shared" ref="J132:J153" si="2">F132&amp;H132&amp;I132</f>
        <v/>
      </c>
      <c r="K132" s="6"/>
      <c r="L132" s="6"/>
      <c r="M132" s="6"/>
      <c r="N132" s="6"/>
      <c r="O132" s="4" t="s">
        <v>3883</v>
      </c>
      <c r="P132" s="9"/>
      <c r="Q132" s="10"/>
      <c r="R132" s="11"/>
    </row>
    <row r="133" spans="4:18">
      <c r="D133" s="6" t="s">
        <v>7028</v>
      </c>
      <c r="E133" s="4" t="s">
        <v>3177</v>
      </c>
      <c r="F133" s="6"/>
      <c r="G133" s="4"/>
      <c r="H133" s="6"/>
      <c r="I133" s="6"/>
      <c r="J133" s="4" t="str">
        <f t="shared" si="2"/>
        <v/>
      </c>
      <c r="K133" s="6"/>
      <c r="L133" s="6"/>
      <c r="M133" s="6"/>
      <c r="N133" s="6"/>
      <c r="O133" s="4" t="s">
        <v>3884</v>
      </c>
      <c r="P133" s="9"/>
      <c r="Q133" s="10"/>
      <c r="R133" s="11"/>
    </row>
    <row r="134" spans="4:18">
      <c r="D134" s="6" t="s">
        <v>7029</v>
      </c>
      <c r="E134" s="4" t="s">
        <v>3184</v>
      </c>
      <c r="F134" s="6"/>
      <c r="G134" s="4"/>
      <c r="H134" s="6"/>
      <c r="I134" s="6"/>
      <c r="J134" s="4" t="str">
        <f t="shared" si="2"/>
        <v/>
      </c>
      <c r="K134" s="6"/>
      <c r="L134" s="6"/>
      <c r="M134" s="6"/>
      <c r="N134" s="6"/>
      <c r="O134" s="4" t="s">
        <v>3885</v>
      </c>
      <c r="P134" s="9"/>
      <c r="Q134" s="10"/>
      <c r="R134" s="11"/>
    </row>
    <row r="135" spans="4:18">
      <c r="D135" s="6" t="s">
        <v>7030</v>
      </c>
      <c r="E135" s="4" t="s">
        <v>3184</v>
      </c>
      <c r="F135" s="6"/>
      <c r="G135" s="4"/>
      <c r="H135" s="6"/>
      <c r="I135" s="6"/>
      <c r="J135" s="4" t="str">
        <f t="shared" si="2"/>
        <v/>
      </c>
      <c r="K135" s="6"/>
      <c r="L135" s="6"/>
      <c r="M135" s="6"/>
      <c r="N135" s="6"/>
      <c r="O135" s="4" t="s">
        <v>3886</v>
      </c>
      <c r="P135" s="9"/>
      <c r="Q135" s="10"/>
      <c r="R135" s="11"/>
    </row>
    <row r="136" spans="4:18">
      <c r="D136" s="6" t="s">
        <v>7031</v>
      </c>
      <c r="E136" s="4" t="s">
        <v>3184</v>
      </c>
      <c r="F136" s="6"/>
      <c r="G136" s="4"/>
      <c r="H136" s="6"/>
      <c r="I136" s="6"/>
      <c r="J136" s="4" t="str">
        <f t="shared" si="2"/>
        <v/>
      </c>
      <c r="K136" s="6"/>
      <c r="L136" s="6"/>
      <c r="M136" s="6"/>
      <c r="N136" s="6"/>
      <c r="O136" s="4" t="s">
        <v>3887</v>
      </c>
      <c r="P136" s="9"/>
      <c r="Q136" s="10"/>
      <c r="R136" s="11"/>
    </row>
    <row r="137" spans="4:18">
      <c r="D137" s="6" t="s">
        <v>7032</v>
      </c>
      <c r="E137" s="4" t="s">
        <v>3184</v>
      </c>
      <c r="F137" s="6"/>
      <c r="G137" s="4"/>
      <c r="H137" s="6"/>
      <c r="I137" s="6"/>
      <c r="J137" s="4" t="str">
        <f t="shared" si="2"/>
        <v/>
      </c>
      <c r="K137" s="6"/>
      <c r="L137" s="6"/>
      <c r="M137" s="6"/>
      <c r="N137" s="6"/>
      <c r="O137" s="4" t="s">
        <v>3888</v>
      </c>
      <c r="P137" s="9"/>
      <c r="Q137" s="10"/>
      <c r="R137" s="11"/>
    </row>
    <row r="138" spans="4:18">
      <c r="D138" s="6" t="s">
        <v>7033</v>
      </c>
      <c r="E138" s="4" t="s">
        <v>3184</v>
      </c>
      <c r="F138" s="6"/>
      <c r="G138" s="4"/>
      <c r="H138" s="6"/>
      <c r="I138" s="6"/>
      <c r="J138" s="4" t="str">
        <f t="shared" si="2"/>
        <v/>
      </c>
      <c r="K138" s="6"/>
      <c r="L138" s="6"/>
      <c r="M138" s="6"/>
      <c r="N138" s="6"/>
      <c r="O138" s="4" t="s">
        <v>3889</v>
      </c>
      <c r="P138" s="9"/>
      <c r="Q138" s="10"/>
      <c r="R138" s="11"/>
    </row>
    <row r="139" spans="4:18">
      <c r="D139" s="6" t="s">
        <v>7034</v>
      </c>
      <c r="E139" s="4" t="s">
        <v>3184</v>
      </c>
      <c r="F139" s="6"/>
      <c r="G139" s="4"/>
      <c r="H139" s="6"/>
      <c r="I139" s="6"/>
      <c r="J139" s="4" t="str">
        <f t="shared" si="2"/>
        <v/>
      </c>
      <c r="K139" s="6"/>
      <c r="L139" s="6"/>
      <c r="M139" s="6"/>
      <c r="N139" s="6"/>
      <c r="O139" s="4" t="s">
        <v>3890</v>
      </c>
      <c r="P139" s="9"/>
      <c r="Q139" s="10"/>
      <c r="R139" s="11"/>
    </row>
    <row r="140" spans="4:18">
      <c r="D140" s="6" t="s">
        <v>7035</v>
      </c>
      <c r="E140" s="4" t="s">
        <v>3184</v>
      </c>
      <c r="F140" s="6"/>
      <c r="G140" s="4"/>
      <c r="H140" s="6"/>
      <c r="I140" s="6"/>
      <c r="J140" s="4" t="str">
        <f t="shared" si="2"/>
        <v/>
      </c>
      <c r="K140" s="6"/>
      <c r="L140" s="6"/>
      <c r="M140" s="6"/>
      <c r="N140" s="6"/>
      <c r="O140" s="4" t="s">
        <v>3891</v>
      </c>
      <c r="P140" s="9"/>
      <c r="Q140" s="10"/>
      <c r="R140" s="11"/>
    </row>
    <row r="141" spans="4:18">
      <c r="D141" s="6" t="s">
        <v>7036</v>
      </c>
      <c r="E141" s="4" t="s">
        <v>3184</v>
      </c>
      <c r="F141" s="6"/>
      <c r="G141" s="4"/>
      <c r="H141" s="6"/>
      <c r="I141" s="6"/>
      <c r="J141" s="4" t="str">
        <f t="shared" si="2"/>
        <v/>
      </c>
      <c r="K141" s="6"/>
      <c r="L141" s="6"/>
      <c r="M141" s="6"/>
      <c r="N141" s="6"/>
      <c r="O141" s="4" t="s">
        <v>3892</v>
      </c>
      <c r="P141" s="9"/>
      <c r="Q141" s="10"/>
      <c r="R141" s="11"/>
    </row>
    <row r="142" spans="4:18">
      <c r="D142" s="6" t="s">
        <v>7037</v>
      </c>
      <c r="E142" s="4" t="s">
        <v>3184</v>
      </c>
      <c r="F142" s="6"/>
      <c r="G142" s="4"/>
      <c r="H142" s="6"/>
      <c r="I142" s="6"/>
      <c r="J142" s="4" t="str">
        <f t="shared" si="2"/>
        <v/>
      </c>
      <c r="K142" s="6"/>
      <c r="L142" s="6"/>
      <c r="M142" s="6"/>
      <c r="N142" s="6"/>
      <c r="O142" s="4" t="s">
        <v>3893</v>
      </c>
      <c r="P142" s="9"/>
      <c r="Q142" s="10"/>
      <c r="R142" s="11"/>
    </row>
    <row r="143" spans="4:18">
      <c r="D143" s="6" t="s">
        <v>7038</v>
      </c>
      <c r="E143" s="4" t="s">
        <v>3184</v>
      </c>
      <c r="F143" s="6"/>
      <c r="G143" s="4"/>
      <c r="H143" s="6"/>
      <c r="I143" s="6"/>
      <c r="J143" s="4" t="str">
        <f t="shared" si="2"/>
        <v/>
      </c>
      <c r="K143" s="6"/>
      <c r="L143" s="6"/>
      <c r="M143" s="6"/>
      <c r="N143" s="6"/>
      <c r="O143" s="4" t="s">
        <v>3894</v>
      </c>
      <c r="P143" s="9"/>
      <c r="Q143" s="10"/>
      <c r="R143" s="11"/>
    </row>
    <row r="144" spans="4:18">
      <c r="D144" s="6" t="s">
        <v>7039</v>
      </c>
      <c r="E144" s="4" t="s">
        <v>3191</v>
      </c>
      <c r="F144" s="6"/>
      <c r="G144" s="4"/>
      <c r="H144" s="6"/>
      <c r="I144" s="6"/>
      <c r="J144" s="4" t="str">
        <f t="shared" si="2"/>
        <v/>
      </c>
      <c r="K144" s="6"/>
      <c r="L144" s="6"/>
      <c r="M144" s="6"/>
      <c r="N144" s="6"/>
      <c r="O144" s="4" t="s">
        <v>3895</v>
      </c>
      <c r="P144" s="9"/>
      <c r="Q144" s="10"/>
      <c r="R144" s="11"/>
    </row>
    <row r="145" spans="4:18">
      <c r="D145" s="6" t="s">
        <v>7040</v>
      </c>
      <c r="E145" s="4" t="s">
        <v>3191</v>
      </c>
      <c r="F145" s="6"/>
      <c r="G145" s="4"/>
      <c r="H145" s="6"/>
      <c r="I145" s="6"/>
      <c r="J145" s="4" t="str">
        <f t="shared" si="2"/>
        <v/>
      </c>
      <c r="K145" s="6"/>
      <c r="L145" s="6"/>
      <c r="M145" s="6"/>
      <c r="N145" s="6"/>
      <c r="O145" s="4" t="s">
        <v>3896</v>
      </c>
      <c r="P145" s="9"/>
      <c r="Q145" s="10"/>
      <c r="R145" s="11"/>
    </row>
    <row r="146" spans="4:18">
      <c r="D146" s="6" t="s">
        <v>7041</v>
      </c>
      <c r="E146" s="4" t="s">
        <v>3191</v>
      </c>
      <c r="F146" s="6"/>
      <c r="G146" s="4"/>
      <c r="H146" s="6"/>
      <c r="I146" s="6"/>
      <c r="J146" s="4" t="str">
        <f t="shared" si="2"/>
        <v/>
      </c>
      <c r="K146" s="6"/>
      <c r="L146" s="6"/>
      <c r="M146" s="6"/>
      <c r="N146" s="6"/>
      <c r="O146" s="4" t="s">
        <v>3897</v>
      </c>
      <c r="P146" s="9"/>
      <c r="Q146" s="10"/>
      <c r="R146" s="11"/>
    </row>
    <row r="147" spans="4:18">
      <c r="D147" s="6" t="s">
        <v>7042</v>
      </c>
      <c r="E147" s="4" t="s">
        <v>3191</v>
      </c>
      <c r="F147" s="6"/>
      <c r="G147" s="4"/>
      <c r="H147" s="6"/>
      <c r="I147" s="6"/>
      <c r="J147" s="4" t="str">
        <f t="shared" si="2"/>
        <v/>
      </c>
      <c r="K147" s="6"/>
      <c r="L147" s="6"/>
      <c r="M147" s="6"/>
      <c r="N147" s="6"/>
      <c r="O147" s="4" t="s">
        <v>3898</v>
      </c>
      <c r="P147" s="9"/>
      <c r="Q147" s="10"/>
      <c r="R147" s="11"/>
    </row>
    <row r="148" spans="4:18">
      <c r="D148" s="6" t="s">
        <v>7043</v>
      </c>
      <c r="E148" s="4" t="s">
        <v>3191</v>
      </c>
      <c r="F148" s="6"/>
      <c r="G148" s="4"/>
      <c r="H148" s="6"/>
      <c r="I148" s="6"/>
      <c r="J148" s="4" t="str">
        <f t="shared" si="2"/>
        <v/>
      </c>
      <c r="K148" s="6"/>
      <c r="L148" s="6"/>
      <c r="M148" s="6"/>
      <c r="N148" s="6"/>
      <c r="O148" s="4" t="s">
        <v>3899</v>
      </c>
      <c r="P148" s="9"/>
      <c r="Q148" s="10"/>
      <c r="R148" s="11"/>
    </row>
    <row r="149" spans="4:18">
      <c r="D149" s="6" t="s">
        <v>7044</v>
      </c>
      <c r="E149" s="4" t="s">
        <v>3191</v>
      </c>
      <c r="F149" s="6"/>
      <c r="G149" s="4"/>
      <c r="H149" s="6"/>
      <c r="I149" s="6"/>
      <c r="J149" s="4" t="str">
        <f t="shared" si="2"/>
        <v/>
      </c>
      <c r="K149" s="6"/>
      <c r="L149" s="6"/>
      <c r="M149" s="6"/>
      <c r="N149" s="6"/>
      <c r="O149" s="4" t="s">
        <v>3900</v>
      </c>
      <c r="P149" s="9"/>
      <c r="Q149" s="10"/>
      <c r="R149" s="11"/>
    </row>
    <row r="150" spans="4:18">
      <c r="D150" s="6" t="s">
        <v>7045</v>
      </c>
      <c r="E150" s="4" t="s">
        <v>3191</v>
      </c>
      <c r="F150" s="6"/>
      <c r="G150" s="4"/>
      <c r="H150" s="6"/>
      <c r="I150" s="6"/>
      <c r="J150" s="4" t="str">
        <f t="shared" si="2"/>
        <v/>
      </c>
      <c r="K150" s="6"/>
      <c r="L150" s="6"/>
      <c r="M150" s="6"/>
      <c r="N150" s="6"/>
      <c r="O150" s="4" t="s">
        <v>3901</v>
      </c>
      <c r="P150" s="9"/>
      <c r="Q150" s="10"/>
      <c r="R150" s="11"/>
    </row>
    <row r="151" spans="4:18">
      <c r="D151" s="6" t="s">
        <v>7046</v>
      </c>
      <c r="E151" s="4" t="s">
        <v>3191</v>
      </c>
      <c r="F151" s="6"/>
      <c r="G151" s="4"/>
      <c r="H151" s="6"/>
      <c r="I151" s="6"/>
      <c r="J151" s="4" t="str">
        <f t="shared" si="2"/>
        <v/>
      </c>
      <c r="K151" s="6"/>
      <c r="L151" s="6"/>
      <c r="M151" s="6"/>
      <c r="N151" s="6"/>
      <c r="O151" s="4" t="s">
        <v>3902</v>
      </c>
      <c r="P151" s="9"/>
      <c r="Q151" s="10"/>
      <c r="R151" s="11"/>
    </row>
    <row r="152" spans="4:18">
      <c r="D152" s="6" t="s">
        <v>7047</v>
      </c>
      <c r="E152" s="4" t="s">
        <v>3191</v>
      </c>
      <c r="F152" s="6"/>
      <c r="G152" s="4"/>
      <c r="H152" s="6"/>
      <c r="I152" s="6"/>
      <c r="J152" s="4" t="str">
        <f t="shared" si="2"/>
        <v/>
      </c>
      <c r="K152" s="6"/>
      <c r="L152" s="6"/>
      <c r="M152" s="6"/>
      <c r="N152" s="6"/>
      <c r="O152" s="4" t="s">
        <v>3903</v>
      </c>
      <c r="P152" s="9"/>
      <c r="Q152" s="10"/>
      <c r="R152" s="11"/>
    </row>
    <row r="153" spans="4:18">
      <c r="D153" s="6" t="s">
        <v>7048</v>
      </c>
      <c r="E153" s="4" t="s">
        <v>3191</v>
      </c>
      <c r="F153" s="6"/>
      <c r="G153" s="4"/>
      <c r="H153" s="6"/>
      <c r="I153" s="6"/>
      <c r="J153" s="4" t="str">
        <f t="shared" si="2"/>
        <v/>
      </c>
      <c r="K153" s="6"/>
      <c r="L153" s="6"/>
      <c r="M153" s="6"/>
      <c r="N153" s="6"/>
      <c r="O153" s="4" t="s">
        <v>3904</v>
      </c>
      <c r="P153" s="9"/>
      <c r="Q153" s="10"/>
      <c r="R153" s="11"/>
    </row>
    <row r="157" spans="4:18">
      <c r="D157" s="8" t="s">
        <v>7049</v>
      </c>
    </row>
    <row r="158" spans="4:18">
      <c r="D158" s="4" t="s">
        <v>7050</v>
      </c>
      <c r="E158" s="4" t="s">
        <v>7051</v>
      </c>
      <c r="F158" s="4" t="s">
        <v>7052</v>
      </c>
      <c r="G158" s="4"/>
      <c r="H158" s="4" t="s">
        <v>5372</v>
      </c>
      <c r="I158" s="4" t="s">
        <v>3754</v>
      </c>
      <c r="J158" s="4" t="s">
        <v>6888</v>
      </c>
      <c r="K158" s="4" t="s">
        <v>5414</v>
      </c>
      <c r="L158" s="4" t="s">
        <v>3050</v>
      </c>
      <c r="M158" s="4" t="s">
        <v>3049</v>
      </c>
      <c r="N158" s="4" t="s">
        <v>3599</v>
      </c>
      <c r="O158" s="4" t="s">
        <v>341</v>
      </c>
    </row>
    <row r="159" spans="4:18" hidden="1">
      <c r="D159" s="6" t="s">
        <v>7053</v>
      </c>
      <c r="E159" s="4" t="s">
        <v>7054</v>
      </c>
      <c r="F159" s="6" t="s">
        <v>7055</v>
      </c>
      <c r="G159" s="4"/>
      <c r="H159" s="6" t="s">
        <v>5795</v>
      </c>
      <c r="I159" s="6" t="s">
        <v>5798</v>
      </c>
      <c r="J159" s="4" t="str">
        <f>F159&amp;H159&amp;I159</f>
        <v>[Outcome Indicator Name][Category][Disaggregation]</v>
      </c>
      <c r="K159" s="6" t="s">
        <v>6892</v>
      </c>
      <c r="L159" s="6" t="s">
        <v>6893</v>
      </c>
      <c r="M159" s="6" t="s">
        <v>6894</v>
      </c>
      <c r="N159" s="6" t="s">
        <v>6895</v>
      </c>
      <c r="O159" s="4" t="s">
        <v>345</v>
      </c>
    </row>
    <row r="160" spans="4:18">
      <c r="D160" s="6" t="s">
        <v>7056</v>
      </c>
      <c r="E160" s="4" t="s">
        <v>3226</v>
      </c>
      <c r="F160" s="6"/>
      <c r="G160" s="4"/>
      <c r="H160" s="6"/>
      <c r="I160" s="6"/>
      <c r="J160" s="4" t="str">
        <f t="shared" ref="J160:J223" si="3">F160&amp;H160&amp;I160</f>
        <v/>
      </c>
      <c r="K160" s="6"/>
      <c r="L160" s="6"/>
      <c r="M160" s="6"/>
      <c r="N160" s="6"/>
      <c r="O160" s="4" t="s">
        <v>3603</v>
      </c>
    </row>
    <row r="161" spans="4:15">
      <c r="D161" s="6" t="s">
        <v>7057</v>
      </c>
      <c r="E161" s="4" t="s">
        <v>3226</v>
      </c>
      <c r="F161" s="6"/>
      <c r="G161" s="4"/>
      <c r="H161" s="6"/>
      <c r="I161" s="6"/>
      <c r="J161" s="4" t="str">
        <f t="shared" si="3"/>
        <v/>
      </c>
      <c r="K161" s="6"/>
      <c r="L161" s="6"/>
      <c r="M161" s="6"/>
      <c r="N161" s="6"/>
      <c r="O161" s="4" t="s">
        <v>3604</v>
      </c>
    </row>
    <row r="162" spans="4:15">
      <c r="D162" s="6" t="s">
        <v>7058</v>
      </c>
      <c r="E162" s="4" t="s">
        <v>3226</v>
      </c>
      <c r="F162" s="6"/>
      <c r="G162" s="4"/>
      <c r="H162" s="6"/>
      <c r="I162" s="6"/>
      <c r="J162" s="4" t="str">
        <f t="shared" si="3"/>
        <v/>
      </c>
      <c r="K162" s="6"/>
      <c r="L162" s="6"/>
      <c r="M162" s="6"/>
      <c r="N162" s="6"/>
      <c r="O162" s="4" t="s">
        <v>3605</v>
      </c>
    </row>
    <row r="163" spans="4:15">
      <c r="D163" s="6" t="s">
        <v>7059</v>
      </c>
      <c r="E163" s="4" t="s">
        <v>3226</v>
      </c>
      <c r="F163" s="6"/>
      <c r="G163" s="4"/>
      <c r="H163" s="6"/>
      <c r="I163" s="6"/>
      <c r="J163" s="4" t="str">
        <f t="shared" si="3"/>
        <v/>
      </c>
      <c r="K163" s="6"/>
      <c r="L163" s="6"/>
      <c r="M163" s="6"/>
      <c r="N163" s="6"/>
      <c r="O163" s="4" t="s">
        <v>3606</v>
      </c>
    </row>
    <row r="164" spans="4:15">
      <c r="D164" s="6" t="s">
        <v>7060</v>
      </c>
      <c r="E164" s="4" t="s">
        <v>3226</v>
      </c>
      <c r="F164" s="6"/>
      <c r="G164" s="4"/>
      <c r="H164" s="6"/>
      <c r="I164" s="6"/>
      <c r="J164" s="4" t="str">
        <f t="shared" si="3"/>
        <v/>
      </c>
      <c r="K164" s="6"/>
      <c r="L164" s="6"/>
      <c r="M164" s="6"/>
      <c r="N164" s="6"/>
      <c r="O164" s="4" t="s">
        <v>3607</v>
      </c>
    </row>
    <row r="165" spans="4:15">
      <c r="D165" s="6" t="s">
        <v>7061</v>
      </c>
      <c r="E165" s="4" t="s">
        <v>3226</v>
      </c>
      <c r="F165" s="6"/>
      <c r="G165" s="4"/>
      <c r="H165" s="6"/>
      <c r="I165" s="6"/>
      <c r="J165" s="4" t="str">
        <f t="shared" si="3"/>
        <v/>
      </c>
      <c r="K165" s="6"/>
      <c r="L165" s="6"/>
      <c r="M165" s="6"/>
      <c r="N165" s="6"/>
      <c r="O165" s="4" t="s">
        <v>3608</v>
      </c>
    </row>
    <row r="166" spans="4:15">
      <c r="D166" s="6" t="s">
        <v>7062</v>
      </c>
      <c r="E166" s="4" t="s">
        <v>3226</v>
      </c>
      <c r="F166" s="6"/>
      <c r="G166" s="4"/>
      <c r="H166" s="6"/>
      <c r="I166" s="6"/>
      <c r="J166" s="4" t="str">
        <f t="shared" si="3"/>
        <v/>
      </c>
      <c r="K166" s="6"/>
      <c r="L166" s="6"/>
      <c r="M166" s="6"/>
      <c r="N166" s="6"/>
      <c r="O166" s="4" t="s">
        <v>3609</v>
      </c>
    </row>
    <row r="167" spans="4:15">
      <c r="D167" s="6" t="s">
        <v>7063</v>
      </c>
      <c r="E167" s="4" t="s">
        <v>3226</v>
      </c>
      <c r="F167" s="6"/>
      <c r="G167" s="4"/>
      <c r="H167" s="6"/>
      <c r="I167" s="6"/>
      <c r="J167" s="4" t="str">
        <f t="shared" si="3"/>
        <v/>
      </c>
      <c r="K167" s="6"/>
      <c r="L167" s="6"/>
      <c r="M167" s="6"/>
      <c r="N167" s="6"/>
      <c r="O167" s="4" t="s">
        <v>3610</v>
      </c>
    </row>
    <row r="168" spans="4:15">
      <c r="D168" s="6" t="s">
        <v>7064</v>
      </c>
      <c r="E168" s="4" t="s">
        <v>3226</v>
      </c>
      <c r="F168" s="6"/>
      <c r="G168" s="4"/>
      <c r="H168" s="6"/>
      <c r="I168" s="6"/>
      <c r="J168" s="4" t="str">
        <f t="shared" si="3"/>
        <v/>
      </c>
      <c r="K168" s="6"/>
      <c r="L168" s="6"/>
      <c r="M168" s="6"/>
      <c r="N168" s="6"/>
      <c r="O168" s="4" t="s">
        <v>3611</v>
      </c>
    </row>
    <row r="169" spans="4:15">
      <c r="D169" s="6" t="s">
        <v>7065</v>
      </c>
      <c r="E169" s="4" t="s">
        <v>3226</v>
      </c>
      <c r="F169" s="6"/>
      <c r="G169" s="4"/>
      <c r="H169" s="6"/>
      <c r="I169" s="6"/>
      <c r="J169" s="4" t="str">
        <f t="shared" si="3"/>
        <v/>
      </c>
      <c r="K169" s="6"/>
      <c r="L169" s="6"/>
      <c r="M169" s="6"/>
      <c r="N169" s="6"/>
      <c r="O169" s="4" t="s">
        <v>3612</v>
      </c>
    </row>
    <row r="170" spans="4:15">
      <c r="D170" s="6" t="s">
        <v>7066</v>
      </c>
      <c r="E170" s="4" t="s">
        <v>3233</v>
      </c>
      <c r="F170" s="6"/>
      <c r="G170" s="4"/>
      <c r="H170" s="6"/>
      <c r="I170" s="6"/>
      <c r="J170" s="4" t="str">
        <f t="shared" si="3"/>
        <v/>
      </c>
      <c r="K170" s="6"/>
      <c r="L170" s="6"/>
      <c r="M170" s="6"/>
      <c r="N170" s="6"/>
      <c r="O170" s="4" t="s">
        <v>3613</v>
      </c>
    </row>
    <row r="171" spans="4:15">
      <c r="D171" s="6" t="s">
        <v>7067</v>
      </c>
      <c r="E171" s="4" t="s">
        <v>3233</v>
      </c>
      <c r="F171" s="6"/>
      <c r="G171" s="4"/>
      <c r="H171" s="6"/>
      <c r="I171" s="6"/>
      <c r="J171" s="4" t="str">
        <f t="shared" si="3"/>
        <v/>
      </c>
      <c r="K171" s="6"/>
      <c r="L171" s="6"/>
      <c r="M171" s="6"/>
      <c r="N171" s="6"/>
      <c r="O171" s="4" t="s">
        <v>3614</v>
      </c>
    </row>
    <row r="172" spans="4:15">
      <c r="D172" s="6" t="s">
        <v>7068</v>
      </c>
      <c r="E172" s="4" t="s">
        <v>3233</v>
      </c>
      <c r="F172" s="6"/>
      <c r="G172" s="4"/>
      <c r="H172" s="6"/>
      <c r="I172" s="6"/>
      <c r="J172" s="4" t="str">
        <f t="shared" si="3"/>
        <v/>
      </c>
      <c r="K172" s="6"/>
      <c r="L172" s="6"/>
      <c r="M172" s="6"/>
      <c r="N172" s="6"/>
      <c r="O172" s="4" t="s">
        <v>3615</v>
      </c>
    </row>
    <row r="173" spans="4:15">
      <c r="D173" s="6" t="s">
        <v>7069</v>
      </c>
      <c r="E173" s="4" t="s">
        <v>3233</v>
      </c>
      <c r="F173" s="6"/>
      <c r="G173" s="4"/>
      <c r="H173" s="6"/>
      <c r="I173" s="6"/>
      <c r="J173" s="4" t="str">
        <f t="shared" si="3"/>
        <v/>
      </c>
      <c r="K173" s="6"/>
      <c r="L173" s="6"/>
      <c r="M173" s="6"/>
      <c r="N173" s="6"/>
      <c r="O173" s="4" t="s">
        <v>3616</v>
      </c>
    </row>
    <row r="174" spans="4:15">
      <c r="D174" s="6" t="s">
        <v>7070</v>
      </c>
      <c r="E174" s="4" t="s">
        <v>3233</v>
      </c>
      <c r="F174" s="6"/>
      <c r="G174" s="4"/>
      <c r="H174" s="6"/>
      <c r="I174" s="6"/>
      <c r="J174" s="4" t="str">
        <f t="shared" si="3"/>
        <v/>
      </c>
      <c r="K174" s="6"/>
      <c r="L174" s="6"/>
      <c r="M174" s="6"/>
      <c r="N174" s="6"/>
      <c r="O174" s="4" t="s">
        <v>3617</v>
      </c>
    </row>
    <row r="175" spans="4:15">
      <c r="D175" s="6" t="s">
        <v>7071</v>
      </c>
      <c r="E175" s="4" t="s">
        <v>3233</v>
      </c>
      <c r="F175" s="6"/>
      <c r="G175" s="4"/>
      <c r="H175" s="6"/>
      <c r="I175" s="6"/>
      <c r="J175" s="4" t="str">
        <f t="shared" si="3"/>
        <v/>
      </c>
      <c r="K175" s="6"/>
      <c r="L175" s="6"/>
      <c r="M175" s="6"/>
      <c r="N175" s="6"/>
      <c r="O175" s="4" t="s">
        <v>3618</v>
      </c>
    </row>
    <row r="176" spans="4:15">
      <c r="D176" s="6" t="s">
        <v>7072</v>
      </c>
      <c r="E176" s="4" t="s">
        <v>3233</v>
      </c>
      <c r="F176" s="6"/>
      <c r="G176" s="4"/>
      <c r="H176" s="6"/>
      <c r="I176" s="6"/>
      <c r="J176" s="4" t="str">
        <f t="shared" si="3"/>
        <v/>
      </c>
      <c r="K176" s="6"/>
      <c r="L176" s="6"/>
      <c r="M176" s="6"/>
      <c r="N176" s="6"/>
      <c r="O176" s="4" t="s">
        <v>3619</v>
      </c>
    </row>
    <row r="177" spans="4:15">
      <c r="D177" s="6" t="s">
        <v>7073</v>
      </c>
      <c r="E177" s="4" t="s">
        <v>3233</v>
      </c>
      <c r="F177" s="6"/>
      <c r="G177" s="4"/>
      <c r="H177" s="6"/>
      <c r="I177" s="6"/>
      <c r="J177" s="4" t="str">
        <f t="shared" si="3"/>
        <v/>
      </c>
      <c r="K177" s="6"/>
      <c r="L177" s="6"/>
      <c r="M177" s="6"/>
      <c r="N177" s="6"/>
      <c r="O177" s="4" t="s">
        <v>3620</v>
      </c>
    </row>
    <row r="178" spans="4:15">
      <c r="D178" s="6" t="s">
        <v>7074</v>
      </c>
      <c r="E178" s="4" t="s">
        <v>3233</v>
      </c>
      <c r="F178" s="6"/>
      <c r="G178" s="4"/>
      <c r="H178" s="6"/>
      <c r="I178" s="6"/>
      <c r="J178" s="4" t="str">
        <f t="shared" si="3"/>
        <v/>
      </c>
      <c r="K178" s="6"/>
      <c r="L178" s="6"/>
      <c r="M178" s="6"/>
      <c r="N178" s="6"/>
      <c r="O178" s="4" t="s">
        <v>3621</v>
      </c>
    </row>
    <row r="179" spans="4:15">
      <c r="D179" s="6" t="s">
        <v>7075</v>
      </c>
      <c r="E179" s="4" t="s">
        <v>3233</v>
      </c>
      <c r="F179" s="6"/>
      <c r="G179" s="4"/>
      <c r="H179" s="6"/>
      <c r="I179" s="6"/>
      <c r="J179" s="4" t="str">
        <f t="shared" si="3"/>
        <v/>
      </c>
      <c r="K179" s="6"/>
      <c r="L179" s="6"/>
      <c r="M179" s="6"/>
      <c r="N179" s="6"/>
      <c r="O179" s="4" t="s">
        <v>3622</v>
      </c>
    </row>
    <row r="180" spans="4:15">
      <c r="D180" s="6" t="s">
        <v>7076</v>
      </c>
      <c r="E180" s="4" t="s">
        <v>3240</v>
      </c>
      <c r="F180" s="6"/>
      <c r="G180" s="4"/>
      <c r="H180" s="6"/>
      <c r="I180" s="6"/>
      <c r="J180" s="4" t="str">
        <f t="shared" si="3"/>
        <v/>
      </c>
      <c r="K180" s="6"/>
      <c r="L180" s="6"/>
      <c r="M180" s="6"/>
      <c r="N180" s="6"/>
      <c r="O180" s="4" t="s">
        <v>3623</v>
      </c>
    </row>
    <row r="181" spans="4:15">
      <c r="D181" s="6" t="s">
        <v>7077</v>
      </c>
      <c r="E181" s="4" t="s">
        <v>3240</v>
      </c>
      <c r="F181" s="6"/>
      <c r="G181" s="4"/>
      <c r="H181" s="6"/>
      <c r="I181" s="6"/>
      <c r="J181" s="4" t="str">
        <f t="shared" si="3"/>
        <v/>
      </c>
      <c r="K181" s="6"/>
      <c r="L181" s="6"/>
      <c r="M181" s="6"/>
      <c r="N181" s="6"/>
      <c r="O181" s="4" t="s">
        <v>3624</v>
      </c>
    </row>
    <row r="182" spans="4:15">
      <c r="D182" s="6" t="s">
        <v>7078</v>
      </c>
      <c r="E182" s="4" t="s">
        <v>3240</v>
      </c>
      <c r="F182" s="6"/>
      <c r="G182" s="4"/>
      <c r="H182" s="6"/>
      <c r="I182" s="6"/>
      <c r="J182" s="4" t="str">
        <f t="shared" si="3"/>
        <v/>
      </c>
      <c r="K182" s="6"/>
      <c r="L182" s="6"/>
      <c r="M182" s="6"/>
      <c r="N182" s="6"/>
      <c r="O182" s="4" t="s">
        <v>3625</v>
      </c>
    </row>
    <row r="183" spans="4:15">
      <c r="D183" s="6" t="s">
        <v>7079</v>
      </c>
      <c r="E183" s="4" t="s">
        <v>3240</v>
      </c>
      <c r="F183" s="6"/>
      <c r="G183" s="4"/>
      <c r="H183" s="6"/>
      <c r="I183" s="6"/>
      <c r="J183" s="4" t="str">
        <f t="shared" si="3"/>
        <v/>
      </c>
      <c r="K183" s="6"/>
      <c r="L183" s="6"/>
      <c r="M183" s="6"/>
      <c r="N183" s="6"/>
      <c r="O183" s="4" t="s">
        <v>3626</v>
      </c>
    </row>
    <row r="184" spans="4:15">
      <c r="D184" s="6" t="s">
        <v>7080</v>
      </c>
      <c r="E184" s="4" t="s">
        <v>3240</v>
      </c>
      <c r="F184" s="6"/>
      <c r="G184" s="4"/>
      <c r="H184" s="6"/>
      <c r="I184" s="6"/>
      <c r="J184" s="4" t="str">
        <f t="shared" si="3"/>
        <v/>
      </c>
      <c r="K184" s="6"/>
      <c r="L184" s="6"/>
      <c r="M184" s="6"/>
      <c r="N184" s="6"/>
      <c r="O184" s="4" t="s">
        <v>3627</v>
      </c>
    </row>
    <row r="185" spans="4:15">
      <c r="D185" s="6" t="s">
        <v>7081</v>
      </c>
      <c r="E185" s="4" t="s">
        <v>3240</v>
      </c>
      <c r="F185" s="6"/>
      <c r="G185" s="4"/>
      <c r="H185" s="6"/>
      <c r="I185" s="6"/>
      <c r="J185" s="4" t="str">
        <f t="shared" si="3"/>
        <v/>
      </c>
      <c r="K185" s="6"/>
      <c r="L185" s="6"/>
      <c r="M185" s="6"/>
      <c r="N185" s="6"/>
      <c r="O185" s="4" t="s">
        <v>3628</v>
      </c>
    </row>
    <row r="186" spans="4:15">
      <c r="D186" s="6" t="s">
        <v>7082</v>
      </c>
      <c r="E186" s="4" t="s">
        <v>3240</v>
      </c>
      <c r="F186" s="6"/>
      <c r="G186" s="4"/>
      <c r="H186" s="6"/>
      <c r="I186" s="6"/>
      <c r="J186" s="4" t="str">
        <f t="shared" si="3"/>
        <v/>
      </c>
      <c r="K186" s="6"/>
      <c r="L186" s="6"/>
      <c r="M186" s="6"/>
      <c r="N186" s="6"/>
      <c r="O186" s="4" t="s">
        <v>3629</v>
      </c>
    </row>
    <row r="187" spans="4:15">
      <c r="D187" s="6" t="s">
        <v>7083</v>
      </c>
      <c r="E187" s="4" t="s">
        <v>3240</v>
      </c>
      <c r="F187" s="6"/>
      <c r="G187" s="4"/>
      <c r="H187" s="6"/>
      <c r="I187" s="6"/>
      <c r="J187" s="4" t="str">
        <f t="shared" si="3"/>
        <v/>
      </c>
      <c r="K187" s="6"/>
      <c r="L187" s="6"/>
      <c r="M187" s="6"/>
      <c r="N187" s="6"/>
      <c r="O187" s="4" t="s">
        <v>3630</v>
      </c>
    </row>
    <row r="188" spans="4:15">
      <c r="D188" s="6" t="s">
        <v>7084</v>
      </c>
      <c r="E188" s="4" t="s">
        <v>3240</v>
      </c>
      <c r="F188" s="6"/>
      <c r="G188" s="4"/>
      <c r="H188" s="6"/>
      <c r="I188" s="6"/>
      <c r="J188" s="4" t="str">
        <f t="shared" si="3"/>
        <v/>
      </c>
      <c r="K188" s="6"/>
      <c r="L188" s="6"/>
      <c r="M188" s="6"/>
      <c r="N188" s="6"/>
      <c r="O188" s="4" t="s">
        <v>3631</v>
      </c>
    </row>
    <row r="189" spans="4:15">
      <c r="D189" s="6" t="s">
        <v>7085</v>
      </c>
      <c r="E189" s="4" t="s">
        <v>3240</v>
      </c>
      <c r="F189" s="6"/>
      <c r="G189" s="4"/>
      <c r="H189" s="6"/>
      <c r="I189" s="6"/>
      <c r="J189" s="4" t="str">
        <f t="shared" si="3"/>
        <v/>
      </c>
      <c r="K189" s="6"/>
      <c r="L189" s="6"/>
      <c r="M189" s="6"/>
      <c r="N189" s="6"/>
      <c r="O189" s="4" t="s">
        <v>3632</v>
      </c>
    </row>
    <row r="190" spans="4:15">
      <c r="D190" s="6" t="s">
        <v>7086</v>
      </c>
      <c r="E190" s="4" t="s">
        <v>3247</v>
      </c>
      <c r="F190" s="6"/>
      <c r="G190" s="4"/>
      <c r="H190" s="6"/>
      <c r="I190" s="6"/>
      <c r="J190" s="4" t="str">
        <f t="shared" si="3"/>
        <v/>
      </c>
      <c r="K190" s="6"/>
      <c r="L190" s="6"/>
      <c r="M190" s="6"/>
      <c r="N190" s="6"/>
      <c r="O190" s="4" t="s">
        <v>3633</v>
      </c>
    </row>
    <row r="191" spans="4:15">
      <c r="D191" s="6" t="s">
        <v>7087</v>
      </c>
      <c r="E191" s="4" t="s">
        <v>3247</v>
      </c>
      <c r="F191" s="6"/>
      <c r="G191" s="4"/>
      <c r="H191" s="6"/>
      <c r="I191" s="6"/>
      <c r="J191" s="4" t="str">
        <f t="shared" si="3"/>
        <v/>
      </c>
      <c r="K191" s="6"/>
      <c r="L191" s="6"/>
      <c r="M191" s="6"/>
      <c r="N191" s="6"/>
      <c r="O191" s="4" t="s">
        <v>3634</v>
      </c>
    </row>
    <row r="192" spans="4:15">
      <c r="D192" s="6" t="s">
        <v>7088</v>
      </c>
      <c r="E192" s="4" t="s">
        <v>3247</v>
      </c>
      <c r="F192" s="6"/>
      <c r="G192" s="4"/>
      <c r="H192" s="6"/>
      <c r="I192" s="6"/>
      <c r="J192" s="4" t="str">
        <f t="shared" si="3"/>
        <v/>
      </c>
      <c r="K192" s="6"/>
      <c r="L192" s="6"/>
      <c r="M192" s="6"/>
      <c r="N192" s="6"/>
      <c r="O192" s="4" t="s">
        <v>3635</v>
      </c>
    </row>
    <row r="193" spans="4:15">
      <c r="D193" s="6" t="s">
        <v>7089</v>
      </c>
      <c r="E193" s="4" t="s">
        <v>3247</v>
      </c>
      <c r="F193" s="6"/>
      <c r="G193" s="4"/>
      <c r="H193" s="6"/>
      <c r="I193" s="6"/>
      <c r="J193" s="4" t="str">
        <f t="shared" si="3"/>
        <v/>
      </c>
      <c r="K193" s="6"/>
      <c r="L193" s="6"/>
      <c r="M193" s="6"/>
      <c r="N193" s="6"/>
      <c r="O193" s="4" t="s">
        <v>3636</v>
      </c>
    </row>
    <row r="194" spans="4:15">
      <c r="D194" s="6" t="s">
        <v>7090</v>
      </c>
      <c r="E194" s="4" t="s">
        <v>3247</v>
      </c>
      <c r="F194" s="6"/>
      <c r="G194" s="4"/>
      <c r="H194" s="6"/>
      <c r="I194" s="6"/>
      <c r="J194" s="4" t="str">
        <f t="shared" si="3"/>
        <v/>
      </c>
      <c r="K194" s="6"/>
      <c r="L194" s="6"/>
      <c r="M194" s="6"/>
      <c r="N194" s="6"/>
      <c r="O194" s="4" t="s">
        <v>3637</v>
      </c>
    </row>
    <row r="195" spans="4:15">
      <c r="D195" s="6" t="s">
        <v>7091</v>
      </c>
      <c r="E195" s="4" t="s">
        <v>3247</v>
      </c>
      <c r="F195" s="6"/>
      <c r="G195" s="4"/>
      <c r="H195" s="6"/>
      <c r="I195" s="6"/>
      <c r="J195" s="4" t="str">
        <f t="shared" si="3"/>
        <v/>
      </c>
      <c r="K195" s="6"/>
      <c r="L195" s="6"/>
      <c r="M195" s="6"/>
      <c r="N195" s="6"/>
      <c r="O195" s="4" t="s">
        <v>3638</v>
      </c>
    </row>
    <row r="196" spans="4:15">
      <c r="D196" s="6" t="s">
        <v>7092</v>
      </c>
      <c r="E196" s="4" t="s">
        <v>3247</v>
      </c>
      <c r="F196" s="6"/>
      <c r="G196" s="4"/>
      <c r="H196" s="6"/>
      <c r="I196" s="6"/>
      <c r="J196" s="4" t="str">
        <f t="shared" si="3"/>
        <v/>
      </c>
      <c r="K196" s="6"/>
      <c r="L196" s="6"/>
      <c r="M196" s="6"/>
      <c r="N196" s="6"/>
      <c r="O196" s="4" t="s">
        <v>3639</v>
      </c>
    </row>
    <row r="197" spans="4:15">
      <c r="D197" s="6" t="s">
        <v>7093</v>
      </c>
      <c r="E197" s="4" t="s">
        <v>3247</v>
      </c>
      <c r="F197" s="6"/>
      <c r="G197" s="4"/>
      <c r="H197" s="6"/>
      <c r="I197" s="6"/>
      <c r="J197" s="4" t="str">
        <f t="shared" si="3"/>
        <v/>
      </c>
      <c r="K197" s="6"/>
      <c r="L197" s="6"/>
      <c r="M197" s="6"/>
      <c r="N197" s="6"/>
      <c r="O197" s="4" t="s">
        <v>3640</v>
      </c>
    </row>
    <row r="198" spans="4:15">
      <c r="D198" s="6" t="s">
        <v>7094</v>
      </c>
      <c r="E198" s="4" t="s">
        <v>3247</v>
      </c>
      <c r="F198" s="6"/>
      <c r="G198" s="4"/>
      <c r="H198" s="6"/>
      <c r="I198" s="6"/>
      <c r="J198" s="4" t="str">
        <f t="shared" si="3"/>
        <v/>
      </c>
      <c r="K198" s="6"/>
      <c r="L198" s="6"/>
      <c r="M198" s="6"/>
      <c r="N198" s="6"/>
      <c r="O198" s="4" t="s">
        <v>3641</v>
      </c>
    </row>
    <row r="199" spans="4:15">
      <c r="D199" s="6" t="s">
        <v>7095</v>
      </c>
      <c r="E199" s="4" t="s">
        <v>3247</v>
      </c>
      <c r="F199" s="6"/>
      <c r="G199" s="4"/>
      <c r="H199" s="6"/>
      <c r="I199" s="6"/>
      <c r="J199" s="4" t="str">
        <f t="shared" si="3"/>
        <v/>
      </c>
      <c r="K199" s="6"/>
      <c r="L199" s="6"/>
      <c r="M199" s="6"/>
      <c r="N199" s="6"/>
      <c r="O199" s="4" t="s">
        <v>3642</v>
      </c>
    </row>
    <row r="200" spans="4:15">
      <c r="D200" s="6" t="s">
        <v>7096</v>
      </c>
      <c r="E200" s="4" t="s">
        <v>3254</v>
      </c>
      <c r="F200" s="6"/>
      <c r="G200" s="4"/>
      <c r="H200" s="6"/>
      <c r="I200" s="6"/>
      <c r="J200" s="4" t="str">
        <f t="shared" si="3"/>
        <v/>
      </c>
      <c r="K200" s="6"/>
      <c r="L200" s="6"/>
      <c r="M200" s="6"/>
      <c r="N200" s="6"/>
      <c r="O200" s="4" t="s">
        <v>3643</v>
      </c>
    </row>
    <row r="201" spans="4:15">
      <c r="D201" s="6" t="s">
        <v>7097</v>
      </c>
      <c r="E201" s="4" t="s">
        <v>3254</v>
      </c>
      <c r="F201" s="6"/>
      <c r="G201" s="4"/>
      <c r="H201" s="6"/>
      <c r="I201" s="6"/>
      <c r="J201" s="4" t="str">
        <f t="shared" si="3"/>
        <v/>
      </c>
      <c r="K201" s="6"/>
      <c r="L201" s="6"/>
      <c r="M201" s="6"/>
      <c r="N201" s="6"/>
      <c r="O201" s="4" t="s">
        <v>3644</v>
      </c>
    </row>
    <row r="202" spans="4:15">
      <c r="D202" s="6" t="s">
        <v>7098</v>
      </c>
      <c r="E202" s="4" t="s">
        <v>3254</v>
      </c>
      <c r="F202" s="6"/>
      <c r="G202" s="4"/>
      <c r="H202" s="6"/>
      <c r="I202" s="6"/>
      <c r="J202" s="4" t="str">
        <f t="shared" si="3"/>
        <v/>
      </c>
      <c r="K202" s="6"/>
      <c r="L202" s="6"/>
      <c r="M202" s="6"/>
      <c r="N202" s="6"/>
      <c r="O202" s="4" t="s">
        <v>3645</v>
      </c>
    </row>
    <row r="203" spans="4:15">
      <c r="D203" s="6" t="s">
        <v>7099</v>
      </c>
      <c r="E203" s="4" t="s">
        <v>3254</v>
      </c>
      <c r="F203" s="6"/>
      <c r="G203" s="4"/>
      <c r="H203" s="6"/>
      <c r="I203" s="6"/>
      <c r="J203" s="4" t="str">
        <f t="shared" si="3"/>
        <v/>
      </c>
      <c r="K203" s="6"/>
      <c r="L203" s="6"/>
      <c r="M203" s="6"/>
      <c r="N203" s="6"/>
      <c r="O203" s="4" t="s">
        <v>3646</v>
      </c>
    </row>
    <row r="204" spans="4:15">
      <c r="D204" s="6" t="s">
        <v>7100</v>
      </c>
      <c r="E204" s="4" t="s">
        <v>3254</v>
      </c>
      <c r="F204" s="6"/>
      <c r="G204" s="4"/>
      <c r="H204" s="6"/>
      <c r="I204" s="6"/>
      <c r="J204" s="4" t="str">
        <f t="shared" si="3"/>
        <v/>
      </c>
      <c r="K204" s="6"/>
      <c r="L204" s="6"/>
      <c r="M204" s="6"/>
      <c r="N204" s="6"/>
      <c r="O204" s="4" t="s">
        <v>3647</v>
      </c>
    </row>
    <row r="205" spans="4:15">
      <c r="D205" s="6" t="s">
        <v>7101</v>
      </c>
      <c r="E205" s="4" t="s">
        <v>3254</v>
      </c>
      <c r="F205" s="6"/>
      <c r="G205" s="4"/>
      <c r="H205" s="6"/>
      <c r="I205" s="6"/>
      <c r="J205" s="4" t="str">
        <f t="shared" si="3"/>
        <v/>
      </c>
      <c r="K205" s="6"/>
      <c r="L205" s="6"/>
      <c r="M205" s="6"/>
      <c r="N205" s="6"/>
      <c r="O205" s="4" t="s">
        <v>3648</v>
      </c>
    </row>
    <row r="206" spans="4:15">
      <c r="D206" s="6" t="s">
        <v>7102</v>
      </c>
      <c r="E206" s="4" t="s">
        <v>3254</v>
      </c>
      <c r="F206" s="6"/>
      <c r="G206" s="4"/>
      <c r="H206" s="6"/>
      <c r="I206" s="6"/>
      <c r="J206" s="4" t="str">
        <f t="shared" si="3"/>
        <v/>
      </c>
      <c r="K206" s="6"/>
      <c r="L206" s="6"/>
      <c r="M206" s="6"/>
      <c r="N206" s="6"/>
      <c r="O206" s="4" t="s">
        <v>3649</v>
      </c>
    </row>
    <row r="207" spans="4:15">
      <c r="D207" s="6" t="s">
        <v>7103</v>
      </c>
      <c r="E207" s="4" t="s">
        <v>3254</v>
      </c>
      <c r="F207" s="6"/>
      <c r="G207" s="4"/>
      <c r="H207" s="6"/>
      <c r="I207" s="6"/>
      <c r="J207" s="4" t="str">
        <f t="shared" si="3"/>
        <v/>
      </c>
      <c r="K207" s="6"/>
      <c r="L207" s="6"/>
      <c r="M207" s="6"/>
      <c r="N207" s="6"/>
      <c r="O207" s="4" t="s">
        <v>3650</v>
      </c>
    </row>
    <row r="208" spans="4:15">
      <c r="D208" s="6" t="s">
        <v>7104</v>
      </c>
      <c r="E208" s="4" t="s">
        <v>3254</v>
      </c>
      <c r="F208" s="6"/>
      <c r="G208" s="4"/>
      <c r="H208" s="6"/>
      <c r="I208" s="6"/>
      <c r="J208" s="4" t="str">
        <f t="shared" si="3"/>
        <v/>
      </c>
      <c r="K208" s="6"/>
      <c r="L208" s="6"/>
      <c r="M208" s="6"/>
      <c r="N208" s="6"/>
      <c r="O208" s="4" t="s">
        <v>3651</v>
      </c>
    </row>
    <row r="209" spans="4:15">
      <c r="D209" s="6" t="s">
        <v>7105</v>
      </c>
      <c r="E209" s="4" t="s">
        <v>3254</v>
      </c>
      <c r="F209" s="6"/>
      <c r="G209" s="4"/>
      <c r="H209" s="6"/>
      <c r="I209" s="6"/>
      <c r="J209" s="4" t="str">
        <f t="shared" si="3"/>
        <v/>
      </c>
      <c r="K209" s="6"/>
      <c r="L209" s="6"/>
      <c r="M209" s="6"/>
      <c r="N209" s="6"/>
      <c r="O209" s="4" t="s">
        <v>3652</v>
      </c>
    </row>
    <row r="210" spans="4:15">
      <c r="D210" s="6" t="s">
        <v>7106</v>
      </c>
      <c r="E210" s="4" t="s">
        <v>3261</v>
      </c>
      <c r="F210" s="6"/>
      <c r="G210" s="4"/>
      <c r="H210" s="6"/>
      <c r="I210" s="6"/>
      <c r="J210" s="4" t="str">
        <f t="shared" si="3"/>
        <v/>
      </c>
      <c r="K210" s="6"/>
      <c r="L210" s="6"/>
      <c r="M210" s="6"/>
      <c r="N210" s="6"/>
      <c r="O210" s="4" t="s">
        <v>3653</v>
      </c>
    </row>
    <row r="211" spans="4:15">
      <c r="D211" s="6" t="s">
        <v>7107</v>
      </c>
      <c r="E211" s="4" t="s">
        <v>3261</v>
      </c>
      <c r="F211" s="6"/>
      <c r="G211" s="4"/>
      <c r="H211" s="6"/>
      <c r="I211" s="6"/>
      <c r="J211" s="4" t="str">
        <f t="shared" si="3"/>
        <v/>
      </c>
      <c r="K211" s="6"/>
      <c r="L211" s="6"/>
      <c r="M211" s="6"/>
      <c r="N211" s="6"/>
      <c r="O211" s="4" t="s">
        <v>3654</v>
      </c>
    </row>
    <row r="212" spans="4:15">
      <c r="D212" s="6" t="s">
        <v>7108</v>
      </c>
      <c r="E212" s="4" t="s">
        <v>3261</v>
      </c>
      <c r="F212" s="6"/>
      <c r="G212" s="4"/>
      <c r="H212" s="6"/>
      <c r="I212" s="6"/>
      <c r="J212" s="4" t="str">
        <f t="shared" si="3"/>
        <v/>
      </c>
      <c r="K212" s="6"/>
      <c r="L212" s="6"/>
      <c r="M212" s="6"/>
      <c r="N212" s="6"/>
      <c r="O212" s="4" t="s">
        <v>3655</v>
      </c>
    </row>
    <row r="213" spans="4:15">
      <c r="D213" s="6" t="s">
        <v>7109</v>
      </c>
      <c r="E213" s="4" t="s">
        <v>3261</v>
      </c>
      <c r="F213" s="6"/>
      <c r="G213" s="4"/>
      <c r="H213" s="6"/>
      <c r="I213" s="6"/>
      <c r="J213" s="4" t="str">
        <f t="shared" si="3"/>
        <v/>
      </c>
      <c r="K213" s="6"/>
      <c r="L213" s="6"/>
      <c r="M213" s="6"/>
      <c r="N213" s="6"/>
      <c r="O213" s="4" t="s">
        <v>3656</v>
      </c>
    </row>
    <row r="214" spans="4:15">
      <c r="D214" s="6" t="s">
        <v>7110</v>
      </c>
      <c r="E214" s="4" t="s">
        <v>3261</v>
      </c>
      <c r="F214" s="6"/>
      <c r="G214" s="4"/>
      <c r="H214" s="6"/>
      <c r="I214" s="6"/>
      <c r="J214" s="4" t="str">
        <f t="shared" si="3"/>
        <v/>
      </c>
      <c r="K214" s="6"/>
      <c r="L214" s="6"/>
      <c r="M214" s="6"/>
      <c r="N214" s="6"/>
      <c r="O214" s="4" t="s">
        <v>3657</v>
      </c>
    </row>
    <row r="215" spans="4:15">
      <c r="D215" s="6" t="s">
        <v>7111</v>
      </c>
      <c r="E215" s="4" t="s">
        <v>3261</v>
      </c>
      <c r="F215" s="6"/>
      <c r="G215" s="4"/>
      <c r="H215" s="6"/>
      <c r="I215" s="6"/>
      <c r="J215" s="4" t="str">
        <f t="shared" si="3"/>
        <v/>
      </c>
      <c r="K215" s="6"/>
      <c r="L215" s="6"/>
      <c r="M215" s="6"/>
      <c r="N215" s="6"/>
      <c r="O215" s="4" t="s">
        <v>3658</v>
      </c>
    </row>
    <row r="216" spans="4:15">
      <c r="D216" s="6" t="s">
        <v>7112</v>
      </c>
      <c r="E216" s="4" t="s">
        <v>3261</v>
      </c>
      <c r="F216" s="6"/>
      <c r="G216" s="4"/>
      <c r="H216" s="6"/>
      <c r="I216" s="6"/>
      <c r="J216" s="4" t="str">
        <f t="shared" si="3"/>
        <v/>
      </c>
      <c r="K216" s="6"/>
      <c r="L216" s="6"/>
      <c r="M216" s="6"/>
      <c r="N216" s="6"/>
      <c r="O216" s="4" t="s">
        <v>3659</v>
      </c>
    </row>
    <row r="217" spans="4:15">
      <c r="D217" s="6" t="s">
        <v>7113</v>
      </c>
      <c r="E217" s="4" t="s">
        <v>3261</v>
      </c>
      <c r="F217" s="6"/>
      <c r="G217" s="4"/>
      <c r="H217" s="6"/>
      <c r="I217" s="6"/>
      <c r="J217" s="4" t="str">
        <f t="shared" si="3"/>
        <v/>
      </c>
      <c r="K217" s="6"/>
      <c r="L217" s="6"/>
      <c r="M217" s="6"/>
      <c r="N217" s="6"/>
      <c r="O217" s="4" t="s">
        <v>3660</v>
      </c>
    </row>
    <row r="218" spans="4:15">
      <c r="D218" s="6" t="s">
        <v>7114</v>
      </c>
      <c r="E218" s="4" t="s">
        <v>3261</v>
      </c>
      <c r="F218" s="6"/>
      <c r="G218" s="4"/>
      <c r="H218" s="6"/>
      <c r="I218" s="6"/>
      <c r="J218" s="4" t="str">
        <f t="shared" si="3"/>
        <v/>
      </c>
      <c r="K218" s="6"/>
      <c r="L218" s="6"/>
      <c r="M218" s="6"/>
      <c r="N218" s="6"/>
      <c r="O218" s="4" t="s">
        <v>3661</v>
      </c>
    </row>
    <row r="219" spans="4:15">
      <c r="D219" s="6" t="s">
        <v>7115</v>
      </c>
      <c r="E219" s="4" t="s">
        <v>3261</v>
      </c>
      <c r="F219" s="6"/>
      <c r="G219" s="4"/>
      <c r="H219" s="6"/>
      <c r="I219" s="6"/>
      <c r="J219" s="4" t="str">
        <f t="shared" si="3"/>
        <v/>
      </c>
      <c r="K219" s="6"/>
      <c r="L219" s="6"/>
      <c r="M219" s="6"/>
      <c r="N219" s="6"/>
      <c r="O219" s="4" t="s">
        <v>3662</v>
      </c>
    </row>
    <row r="220" spans="4:15">
      <c r="D220" s="6" t="s">
        <v>7116</v>
      </c>
      <c r="E220" s="4" t="s">
        <v>3268</v>
      </c>
      <c r="F220" s="6"/>
      <c r="G220" s="4"/>
      <c r="H220" s="6"/>
      <c r="I220" s="6"/>
      <c r="J220" s="4" t="str">
        <f t="shared" si="3"/>
        <v/>
      </c>
      <c r="K220" s="6"/>
      <c r="L220" s="6"/>
      <c r="M220" s="6"/>
      <c r="N220" s="6"/>
      <c r="O220" s="4" t="s">
        <v>3663</v>
      </c>
    </row>
    <row r="221" spans="4:15">
      <c r="D221" s="6" t="s">
        <v>7117</v>
      </c>
      <c r="E221" s="4" t="s">
        <v>3268</v>
      </c>
      <c r="F221" s="6"/>
      <c r="G221" s="4"/>
      <c r="H221" s="6"/>
      <c r="I221" s="6"/>
      <c r="J221" s="4" t="str">
        <f t="shared" si="3"/>
        <v/>
      </c>
      <c r="K221" s="6"/>
      <c r="L221" s="6"/>
      <c r="M221" s="6"/>
      <c r="N221" s="6"/>
      <c r="O221" s="4" t="s">
        <v>3664</v>
      </c>
    </row>
    <row r="222" spans="4:15">
      <c r="D222" s="6" t="s">
        <v>7118</v>
      </c>
      <c r="E222" s="4" t="s">
        <v>3268</v>
      </c>
      <c r="F222" s="6"/>
      <c r="G222" s="4"/>
      <c r="H222" s="6"/>
      <c r="I222" s="6"/>
      <c r="J222" s="4" t="str">
        <f t="shared" si="3"/>
        <v/>
      </c>
      <c r="K222" s="6"/>
      <c r="L222" s="6"/>
      <c r="M222" s="6"/>
      <c r="N222" s="6"/>
      <c r="O222" s="4" t="s">
        <v>3665</v>
      </c>
    </row>
    <row r="223" spans="4:15">
      <c r="D223" s="6" t="s">
        <v>7119</v>
      </c>
      <c r="E223" s="4" t="s">
        <v>3268</v>
      </c>
      <c r="F223" s="6"/>
      <c r="G223" s="4"/>
      <c r="H223" s="6"/>
      <c r="I223" s="6"/>
      <c r="J223" s="4" t="str">
        <f t="shared" si="3"/>
        <v/>
      </c>
      <c r="K223" s="6"/>
      <c r="L223" s="6"/>
      <c r="M223" s="6"/>
      <c r="N223" s="6"/>
      <c r="O223" s="4" t="s">
        <v>3666</v>
      </c>
    </row>
    <row r="224" spans="4:15">
      <c r="D224" s="6" t="s">
        <v>7120</v>
      </c>
      <c r="E224" s="4" t="s">
        <v>3268</v>
      </c>
      <c r="F224" s="6"/>
      <c r="G224" s="4"/>
      <c r="H224" s="6"/>
      <c r="I224" s="6"/>
      <c r="J224" s="4" t="str">
        <f t="shared" ref="J224:J287" si="4">F224&amp;H224&amp;I224</f>
        <v/>
      </c>
      <c r="K224" s="6"/>
      <c r="L224" s="6"/>
      <c r="M224" s="6"/>
      <c r="N224" s="6"/>
      <c r="O224" s="4" t="s">
        <v>3667</v>
      </c>
    </row>
    <row r="225" spans="4:15">
      <c r="D225" s="6" t="s">
        <v>7121</v>
      </c>
      <c r="E225" s="4" t="s">
        <v>3268</v>
      </c>
      <c r="F225" s="6"/>
      <c r="G225" s="4"/>
      <c r="H225" s="6"/>
      <c r="I225" s="6"/>
      <c r="J225" s="4" t="str">
        <f t="shared" si="4"/>
        <v/>
      </c>
      <c r="K225" s="6"/>
      <c r="L225" s="6"/>
      <c r="M225" s="6"/>
      <c r="N225" s="6"/>
      <c r="O225" s="4" t="s">
        <v>3668</v>
      </c>
    </row>
    <row r="226" spans="4:15">
      <c r="D226" s="6" t="s">
        <v>7122</v>
      </c>
      <c r="E226" s="4" t="s">
        <v>3268</v>
      </c>
      <c r="F226" s="6"/>
      <c r="G226" s="4"/>
      <c r="H226" s="6"/>
      <c r="I226" s="6"/>
      <c r="J226" s="4" t="str">
        <f t="shared" si="4"/>
        <v/>
      </c>
      <c r="K226" s="6"/>
      <c r="L226" s="6"/>
      <c r="M226" s="6"/>
      <c r="N226" s="6"/>
      <c r="O226" s="4" t="s">
        <v>3669</v>
      </c>
    </row>
    <row r="227" spans="4:15">
      <c r="D227" s="6" t="s">
        <v>7123</v>
      </c>
      <c r="E227" s="4" t="s">
        <v>3268</v>
      </c>
      <c r="F227" s="6"/>
      <c r="G227" s="4"/>
      <c r="H227" s="6"/>
      <c r="I227" s="6"/>
      <c r="J227" s="4" t="str">
        <f t="shared" si="4"/>
        <v/>
      </c>
      <c r="K227" s="6"/>
      <c r="L227" s="6"/>
      <c r="M227" s="6"/>
      <c r="N227" s="6"/>
      <c r="O227" s="4" t="s">
        <v>3670</v>
      </c>
    </row>
    <row r="228" spans="4:15">
      <c r="D228" s="6" t="s">
        <v>7124</v>
      </c>
      <c r="E228" s="4" t="s">
        <v>3268</v>
      </c>
      <c r="F228" s="6"/>
      <c r="G228" s="4"/>
      <c r="H228" s="6"/>
      <c r="I228" s="6"/>
      <c r="J228" s="4" t="str">
        <f t="shared" si="4"/>
        <v/>
      </c>
      <c r="K228" s="6"/>
      <c r="L228" s="6"/>
      <c r="M228" s="6"/>
      <c r="N228" s="6"/>
      <c r="O228" s="4" t="s">
        <v>3671</v>
      </c>
    </row>
    <row r="229" spans="4:15">
      <c r="D229" s="6" t="s">
        <v>7125</v>
      </c>
      <c r="E229" s="4" t="s">
        <v>3268</v>
      </c>
      <c r="F229" s="6"/>
      <c r="G229" s="4"/>
      <c r="H229" s="6"/>
      <c r="I229" s="6"/>
      <c r="J229" s="4" t="str">
        <f t="shared" si="4"/>
        <v/>
      </c>
      <c r="K229" s="6"/>
      <c r="L229" s="6"/>
      <c r="M229" s="6"/>
      <c r="N229" s="6"/>
      <c r="O229" s="4" t="s">
        <v>3672</v>
      </c>
    </row>
    <row r="230" spans="4:15">
      <c r="D230" s="6" t="s">
        <v>7126</v>
      </c>
      <c r="E230" s="4" t="s">
        <v>3275</v>
      </c>
      <c r="F230" s="6"/>
      <c r="G230" s="4"/>
      <c r="H230" s="6"/>
      <c r="I230" s="6"/>
      <c r="J230" s="4" t="str">
        <f t="shared" si="4"/>
        <v/>
      </c>
      <c r="K230" s="6"/>
      <c r="L230" s="6"/>
      <c r="M230" s="6"/>
      <c r="N230" s="6"/>
      <c r="O230" s="4" t="s">
        <v>3673</v>
      </c>
    </row>
    <row r="231" spans="4:15">
      <c r="D231" s="6" t="s">
        <v>7127</v>
      </c>
      <c r="E231" s="4" t="s">
        <v>3275</v>
      </c>
      <c r="F231" s="6"/>
      <c r="G231" s="4"/>
      <c r="H231" s="6"/>
      <c r="I231" s="6"/>
      <c r="J231" s="4" t="str">
        <f t="shared" si="4"/>
        <v/>
      </c>
      <c r="K231" s="6"/>
      <c r="L231" s="6"/>
      <c r="M231" s="6"/>
      <c r="N231" s="6"/>
      <c r="O231" s="4" t="s">
        <v>3674</v>
      </c>
    </row>
    <row r="232" spans="4:15">
      <c r="D232" s="6" t="s">
        <v>7128</v>
      </c>
      <c r="E232" s="4" t="s">
        <v>3275</v>
      </c>
      <c r="F232" s="6"/>
      <c r="G232" s="4"/>
      <c r="H232" s="6"/>
      <c r="I232" s="6"/>
      <c r="J232" s="4" t="str">
        <f t="shared" si="4"/>
        <v/>
      </c>
      <c r="K232" s="6"/>
      <c r="L232" s="6"/>
      <c r="M232" s="6"/>
      <c r="N232" s="6"/>
      <c r="O232" s="4" t="s">
        <v>3675</v>
      </c>
    </row>
    <row r="233" spans="4:15">
      <c r="D233" s="6" t="s">
        <v>7129</v>
      </c>
      <c r="E233" s="4" t="s">
        <v>3275</v>
      </c>
      <c r="F233" s="6"/>
      <c r="G233" s="4"/>
      <c r="H233" s="6"/>
      <c r="I233" s="6"/>
      <c r="J233" s="4" t="str">
        <f t="shared" si="4"/>
        <v/>
      </c>
      <c r="K233" s="6"/>
      <c r="L233" s="6"/>
      <c r="M233" s="6"/>
      <c r="N233" s="6"/>
      <c r="O233" s="4" t="s">
        <v>3676</v>
      </c>
    </row>
    <row r="234" spans="4:15">
      <c r="D234" s="6" t="s">
        <v>7130</v>
      </c>
      <c r="E234" s="4" t="s">
        <v>3275</v>
      </c>
      <c r="F234" s="6"/>
      <c r="G234" s="4"/>
      <c r="H234" s="6"/>
      <c r="I234" s="6"/>
      <c r="J234" s="4" t="str">
        <f t="shared" si="4"/>
        <v/>
      </c>
      <c r="K234" s="6"/>
      <c r="L234" s="6"/>
      <c r="M234" s="6"/>
      <c r="N234" s="6"/>
      <c r="O234" s="4" t="s">
        <v>3677</v>
      </c>
    </row>
    <row r="235" spans="4:15">
      <c r="D235" s="6" t="s">
        <v>7131</v>
      </c>
      <c r="E235" s="4" t="s">
        <v>3275</v>
      </c>
      <c r="F235" s="6"/>
      <c r="G235" s="4"/>
      <c r="H235" s="6"/>
      <c r="I235" s="6"/>
      <c r="J235" s="4" t="str">
        <f t="shared" si="4"/>
        <v/>
      </c>
      <c r="K235" s="6"/>
      <c r="L235" s="6"/>
      <c r="M235" s="6"/>
      <c r="N235" s="6"/>
      <c r="O235" s="4" t="s">
        <v>3678</v>
      </c>
    </row>
    <row r="236" spans="4:15">
      <c r="D236" s="6" t="s">
        <v>7132</v>
      </c>
      <c r="E236" s="4" t="s">
        <v>3275</v>
      </c>
      <c r="F236" s="6"/>
      <c r="G236" s="4"/>
      <c r="H236" s="6"/>
      <c r="I236" s="6"/>
      <c r="J236" s="4" t="str">
        <f t="shared" si="4"/>
        <v/>
      </c>
      <c r="K236" s="6"/>
      <c r="L236" s="6"/>
      <c r="M236" s="6"/>
      <c r="N236" s="6"/>
      <c r="O236" s="4" t="s">
        <v>3679</v>
      </c>
    </row>
    <row r="237" spans="4:15">
      <c r="D237" s="6" t="s">
        <v>7133</v>
      </c>
      <c r="E237" s="4" t="s">
        <v>3275</v>
      </c>
      <c r="F237" s="6"/>
      <c r="G237" s="4"/>
      <c r="H237" s="6"/>
      <c r="I237" s="6"/>
      <c r="J237" s="4" t="str">
        <f t="shared" si="4"/>
        <v/>
      </c>
      <c r="K237" s="6"/>
      <c r="L237" s="6"/>
      <c r="M237" s="6"/>
      <c r="N237" s="6"/>
      <c r="O237" s="4" t="s">
        <v>3680</v>
      </c>
    </row>
    <row r="238" spans="4:15">
      <c r="D238" s="6" t="s">
        <v>7134</v>
      </c>
      <c r="E238" s="4" t="s">
        <v>3275</v>
      </c>
      <c r="F238" s="6"/>
      <c r="G238" s="4"/>
      <c r="H238" s="6"/>
      <c r="I238" s="6"/>
      <c r="J238" s="4" t="str">
        <f t="shared" si="4"/>
        <v/>
      </c>
      <c r="K238" s="6"/>
      <c r="L238" s="6"/>
      <c r="M238" s="6"/>
      <c r="N238" s="6"/>
      <c r="O238" s="4" t="s">
        <v>3681</v>
      </c>
    </row>
    <row r="239" spans="4:15">
      <c r="D239" s="6" t="s">
        <v>7135</v>
      </c>
      <c r="E239" s="4" t="s">
        <v>3275</v>
      </c>
      <c r="F239" s="6"/>
      <c r="G239" s="4"/>
      <c r="H239" s="6"/>
      <c r="I239" s="6"/>
      <c r="J239" s="4" t="str">
        <f t="shared" si="4"/>
        <v/>
      </c>
      <c r="K239" s="6"/>
      <c r="L239" s="6"/>
      <c r="M239" s="6"/>
      <c r="N239" s="6"/>
      <c r="O239" s="4" t="s">
        <v>3682</v>
      </c>
    </row>
    <row r="240" spans="4:15">
      <c r="D240" s="6" t="s">
        <v>7136</v>
      </c>
      <c r="E240" s="4" t="s">
        <v>3282</v>
      </c>
      <c r="F240" s="6"/>
      <c r="G240" s="4"/>
      <c r="H240" s="6"/>
      <c r="I240" s="6"/>
      <c r="J240" s="4" t="str">
        <f t="shared" si="4"/>
        <v/>
      </c>
      <c r="K240" s="6"/>
      <c r="L240" s="6"/>
      <c r="M240" s="6"/>
      <c r="N240" s="6"/>
      <c r="O240" s="4" t="s">
        <v>3683</v>
      </c>
    </row>
    <row r="241" spans="4:15">
      <c r="D241" s="6" t="s">
        <v>7137</v>
      </c>
      <c r="E241" s="4" t="s">
        <v>3282</v>
      </c>
      <c r="F241" s="6"/>
      <c r="G241" s="4"/>
      <c r="H241" s="6"/>
      <c r="I241" s="6"/>
      <c r="J241" s="4" t="str">
        <f t="shared" si="4"/>
        <v/>
      </c>
      <c r="K241" s="6"/>
      <c r="L241" s="6"/>
      <c r="M241" s="6"/>
      <c r="N241" s="6"/>
      <c r="O241" s="4" t="s">
        <v>3684</v>
      </c>
    </row>
    <row r="242" spans="4:15">
      <c r="D242" s="6" t="s">
        <v>7138</v>
      </c>
      <c r="E242" s="4" t="s">
        <v>3282</v>
      </c>
      <c r="F242" s="6"/>
      <c r="G242" s="4"/>
      <c r="H242" s="6"/>
      <c r="I242" s="6"/>
      <c r="J242" s="4" t="str">
        <f t="shared" si="4"/>
        <v/>
      </c>
      <c r="K242" s="6"/>
      <c r="L242" s="6"/>
      <c r="M242" s="6"/>
      <c r="N242" s="6"/>
      <c r="O242" s="4" t="s">
        <v>3685</v>
      </c>
    </row>
    <row r="243" spans="4:15">
      <c r="D243" s="6" t="s">
        <v>7139</v>
      </c>
      <c r="E243" s="4" t="s">
        <v>3282</v>
      </c>
      <c r="F243" s="6"/>
      <c r="G243" s="4"/>
      <c r="H243" s="6"/>
      <c r="I243" s="6"/>
      <c r="J243" s="4" t="str">
        <f t="shared" si="4"/>
        <v/>
      </c>
      <c r="K243" s="6"/>
      <c r="L243" s="6"/>
      <c r="M243" s="6"/>
      <c r="N243" s="6"/>
      <c r="O243" s="4" t="s">
        <v>3686</v>
      </c>
    </row>
    <row r="244" spans="4:15">
      <c r="D244" s="6" t="s">
        <v>7140</v>
      </c>
      <c r="E244" s="4" t="s">
        <v>3282</v>
      </c>
      <c r="F244" s="6"/>
      <c r="G244" s="4"/>
      <c r="H244" s="6"/>
      <c r="I244" s="6"/>
      <c r="J244" s="4" t="str">
        <f t="shared" si="4"/>
        <v/>
      </c>
      <c r="K244" s="6"/>
      <c r="L244" s="6"/>
      <c r="M244" s="6"/>
      <c r="N244" s="6"/>
      <c r="O244" s="4" t="s">
        <v>3687</v>
      </c>
    </row>
    <row r="245" spans="4:15">
      <c r="D245" s="6" t="s">
        <v>7141</v>
      </c>
      <c r="E245" s="4" t="s">
        <v>3282</v>
      </c>
      <c r="F245" s="6"/>
      <c r="G245" s="4"/>
      <c r="H245" s="6"/>
      <c r="I245" s="6"/>
      <c r="J245" s="4" t="str">
        <f t="shared" si="4"/>
        <v/>
      </c>
      <c r="K245" s="6"/>
      <c r="L245" s="6"/>
      <c r="M245" s="6"/>
      <c r="N245" s="6"/>
      <c r="O245" s="4" t="s">
        <v>3688</v>
      </c>
    </row>
    <row r="246" spans="4:15">
      <c r="D246" s="6" t="s">
        <v>7142</v>
      </c>
      <c r="E246" s="4" t="s">
        <v>3282</v>
      </c>
      <c r="F246" s="6"/>
      <c r="G246" s="4"/>
      <c r="H246" s="6"/>
      <c r="I246" s="6"/>
      <c r="J246" s="4" t="str">
        <f t="shared" si="4"/>
        <v/>
      </c>
      <c r="K246" s="6"/>
      <c r="L246" s="6"/>
      <c r="M246" s="6"/>
      <c r="N246" s="6"/>
      <c r="O246" s="4" t="s">
        <v>3689</v>
      </c>
    </row>
    <row r="247" spans="4:15">
      <c r="D247" s="6" t="s">
        <v>7143</v>
      </c>
      <c r="E247" s="4" t="s">
        <v>3282</v>
      </c>
      <c r="F247" s="6"/>
      <c r="G247" s="4"/>
      <c r="H247" s="6"/>
      <c r="I247" s="6"/>
      <c r="J247" s="4" t="str">
        <f t="shared" si="4"/>
        <v/>
      </c>
      <c r="K247" s="6"/>
      <c r="L247" s="6"/>
      <c r="M247" s="6"/>
      <c r="N247" s="6"/>
      <c r="O247" s="4" t="s">
        <v>3690</v>
      </c>
    </row>
    <row r="248" spans="4:15">
      <c r="D248" s="6" t="s">
        <v>7144</v>
      </c>
      <c r="E248" s="4" t="s">
        <v>3282</v>
      </c>
      <c r="F248" s="6"/>
      <c r="G248" s="4"/>
      <c r="H248" s="6"/>
      <c r="I248" s="6"/>
      <c r="J248" s="4" t="str">
        <f t="shared" si="4"/>
        <v/>
      </c>
      <c r="K248" s="6"/>
      <c r="L248" s="6"/>
      <c r="M248" s="6"/>
      <c r="N248" s="6"/>
      <c r="O248" s="4" t="s">
        <v>3691</v>
      </c>
    </row>
    <row r="249" spans="4:15">
      <c r="D249" s="6" t="s">
        <v>7145</v>
      </c>
      <c r="E249" s="4" t="s">
        <v>3282</v>
      </c>
      <c r="F249" s="6"/>
      <c r="G249" s="4"/>
      <c r="H249" s="6"/>
      <c r="I249" s="6"/>
      <c r="J249" s="4" t="str">
        <f t="shared" si="4"/>
        <v/>
      </c>
      <c r="K249" s="6"/>
      <c r="L249" s="6"/>
      <c r="M249" s="6"/>
      <c r="N249" s="6"/>
      <c r="O249" s="4" t="s">
        <v>3692</v>
      </c>
    </row>
    <row r="250" spans="4:15">
      <c r="D250" s="6" t="s">
        <v>7146</v>
      </c>
      <c r="E250" s="4" t="s">
        <v>3289</v>
      </c>
      <c r="F250" s="6"/>
      <c r="G250" s="4"/>
      <c r="H250" s="6"/>
      <c r="I250" s="6"/>
      <c r="J250" s="4" t="str">
        <f t="shared" si="4"/>
        <v/>
      </c>
      <c r="K250" s="6"/>
      <c r="L250" s="6"/>
      <c r="M250" s="6"/>
      <c r="N250" s="6"/>
      <c r="O250" s="4" t="s">
        <v>3693</v>
      </c>
    </row>
    <row r="251" spans="4:15">
      <c r="D251" s="6" t="s">
        <v>7147</v>
      </c>
      <c r="E251" s="4" t="s">
        <v>3289</v>
      </c>
      <c r="F251" s="6"/>
      <c r="G251" s="4"/>
      <c r="H251" s="6"/>
      <c r="I251" s="6"/>
      <c r="J251" s="4" t="str">
        <f t="shared" si="4"/>
        <v/>
      </c>
      <c r="K251" s="6"/>
      <c r="L251" s="6"/>
      <c r="M251" s="6"/>
      <c r="N251" s="6"/>
      <c r="O251" s="4" t="s">
        <v>3694</v>
      </c>
    </row>
    <row r="252" spans="4:15">
      <c r="D252" s="6" t="s">
        <v>7148</v>
      </c>
      <c r="E252" s="4" t="s">
        <v>3289</v>
      </c>
      <c r="F252" s="6"/>
      <c r="G252" s="4"/>
      <c r="H252" s="6"/>
      <c r="I252" s="6"/>
      <c r="J252" s="4" t="str">
        <f t="shared" si="4"/>
        <v/>
      </c>
      <c r="K252" s="6"/>
      <c r="L252" s="6"/>
      <c r="M252" s="6"/>
      <c r="N252" s="6"/>
      <c r="O252" s="4" t="s">
        <v>3695</v>
      </c>
    </row>
    <row r="253" spans="4:15">
      <c r="D253" s="6" t="s">
        <v>7149</v>
      </c>
      <c r="E253" s="4" t="s">
        <v>3289</v>
      </c>
      <c r="F253" s="6"/>
      <c r="G253" s="4"/>
      <c r="H253" s="6"/>
      <c r="I253" s="6"/>
      <c r="J253" s="4" t="str">
        <f t="shared" si="4"/>
        <v/>
      </c>
      <c r="K253" s="6"/>
      <c r="L253" s="6"/>
      <c r="M253" s="6"/>
      <c r="N253" s="6"/>
      <c r="O253" s="4" t="s">
        <v>3696</v>
      </c>
    </row>
    <row r="254" spans="4:15">
      <c r="D254" s="6" t="s">
        <v>7150</v>
      </c>
      <c r="E254" s="4" t="s">
        <v>3289</v>
      </c>
      <c r="F254" s="6"/>
      <c r="G254" s="4"/>
      <c r="H254" s="6"/>
      <c r="I254" s="6"/>
      <c r="J254" s="4" t="str">
        <f t="shared" si="4"/>
        <v/>
      </c>
      <c r="K254" s="6"/>
      <c r="L254" s="6"/>
      <c r="M254" s="6"/>
      <c r="N254" s="6"/>
      <c r="O254" s="4" t="s">
        <v>3697</v>
      </c>
    </row>
    <row r="255" spans="4:15">
      <c r="D255" s="6" t="s">
        <v>7151</v>
      </c>
      <c r="E255" s="4" t="s">
        <v>3289</v>
      </c>
      <c r="F255" s="6"/>
      <c r="G255" s="4"/>
      <c r="H255" s="6"/>
      <c r="I255" s="6"/>
      <c r="J255" s="4" t="str">
        <f t="shared" si="4"/>
        <v/>
      </c>
      <c r="K255" s="6"/>
      <c r="L255" s="6"/>
      <c r="M255" s="6"/>
      <c r="N255" s="6"/>
      <c r="O255" s="4" t="s">
        <v>3698</v>
      </c>
    </row>
    <row r="256" spans="4:15">
      <c r="D256" s="6" t="s">
        <v>7152</v>
      </c>
      <c r="E256" s="4" t="s">
        <v>3289</v>
      </c>
      <c r="F256" s="6"/>
      <c r="G256" s="4"/>
      <c r="H256" s="6"/>
      <c r="I256" s="6"/>
      <c r="J256" s="4" t="str">
        <f t="shared" si="4"/>
        <v/>
      </c>
      <c r="K256" s="6"/>
      <c r="L256" s="6"/>
      <c r="M256" s="6"/>
      <c r="N256" s="6"/>
      <c r="O256" s="4" t="s">
        <v>3699</v>
      </c>
    </row>
    <row r="257" spans="4:15">
      <c r="D257" s="6" t="s">
        <v>7153</v>
      </c>
      <c r="E257" s="4" t="s">
        <v>3289</v>
      </c>
      <c r="F257" s="6"/>
      <c r="G257" s="4"/>
      <c r="H257" s="6"/>
      <c r="I257" s="6"/>
      <c r="J257" s="4" t="str">
        <f t="shared" si="4"/>
        <v/>
      </c>
      <c r="K257" s="6"/>
      <c r="L257" s="6"/>
      <c r="M257" s="6"/>
      <c r="N257" s="6"/>
      <c r="O257" s="4" t="s">
        <v>3700</v>
      </c>
    </row>
    <row r="258" spans="4:15">
      <c r="D258" s="6" t="s">
        <v>7154</v>
      </c>
      <c r="E258" s="4" t="s">
        <v>3289</v>
      </c>
      <c r="F258" s="6"/>
      <c r="G258" s="4"/>
      <c r="H258" s="6"/>
      <c r="I258" s="6"/>
      <c r="J258" s="4" t="str">
        <f t="shared" si="4"/>
        <v/>
      </c>
      <c r="K258" s="6"/>
      <c r="L258" s="6"/>
      <c r="M258" s="6"/>
      <c r="N258" s="6"/>
      <c r="O258" s="4" t="s">
        <v>3701</v>
      </c>
    </row>
    <row r="259" spans="4:15">
      <c r="D259" s="6" t="s">
        <v>7155</v>
      </c>
      <c r="E259" s="4" t="s">
        <v>3289</v>
      </c>
      <c r="F259" s="6"/>
      <c r="G259" s="4"/>
      <c r="H259" s="6"/>
      <c r="I259" s="6"/>
      <c r="J259" s="4" t="str">
        <f t="shared" si="4"/>
        <v/>
      </c>
      <c r="K259" s="6"/>
      <c r="L259" s="6"/>
      <c r="M259" s="6"/>
      <c r="N259" s="6"/>
      <c r="O259" s="4" t="s">
        <v>3702</v>
      </c>
    </row>
    <row r="260" spans="4:15">
      <c r="D260" s="6" t="s">
        <v>7156</v>
      </c>
      <c r="E260" s="4" t="s">
        <v>3296</v>
      </c>
      <c r="F260" s="6"/>
      <c r="G260" s="4"/>
      <c r="H260" s="6"/>
      <c r="I260" s="6"/>
      <c r="J260" s="4" t="str">
        <f t="shared" si="4"/>
        <v/>
      </c>
      <c r="K260" s="6"/>
      <c r="L260" s="6"/>
      <c r="M260" s="6"/>
      <c r="N260" s="6"/>
      <c r="O260" s="4" t="s">
        <v>3703</v>
      </c>
    </row>
    <row r="261" spans="4:15">
      <c r="D261" s="6" t="s">
        <v>7157</v>
      </c>
      <c r="E261" s="4" t="s">
        <v>3296</v>
      </c>
      <c r="F261" s="6"/>
      <c r="G261" s="4"/>
      <c r="H261" s="6"/>
      <c r="I261" s="6"/>
      <c r="J261" s="4" t="str">
        <f t="shared" si="4"/>
        <v/>
      </c>
      <c r="K261" s="6"/>
      <c r="L261" s="6"/>
      <c r="M261" s="6"/>
      <c r="N261" s="6"/>
      <c r="O261" s="4" t="s">
        <v>3704</v>
      </c>
    </row>
    <row r="262" spans="4:15">
      <c r="D262" s="6" t="s">
        <v>7158</v>
      </c>
      <c r="E262" s="4" t="s">
        <v>3296</v>
      </c>
      <c r="F262" s="6"/>
      <c r="G262" s="4"/>
      <c r="H262" s="6"/>
      <c r="I262" s="6"/>
      <c r="J262" s="4" t="str">
        <f t="shared" si="4"/>
        <v/>
      </c>
      <c r="K262" s="6"/>
      <c r="L262" s="6"/>
      <c r="M262" s="6"/>
      <c r="N262" s="6"/>
      <c r="O262" s="4" t="s">
        <v>3705</v>
      </c>
    </row>
    <row r="263" spans="4:15">
      <c r="D263" s="6" t="s">
        <v>7159</v>
      </c>
      <c r="E263" s="4" t="s">
        <v>3296</v>
      </c>
      <c r="F263" s="6"/>
      <c r="G263" s="4"/>
      <c r="H263" s="6"/>
      <c r="I263" s="6"/>
      <c r="J263" s="4" t="str">
        <f t="shared" si="4"/>
        <v/>
      </c>
      <c r="K263" s="6"/>
      <c r="L263" s="6"/>
      <c r="M263" s="6"/>
      <c r="N263" s="6"/>
      <c r="O263" s="4" t="s">
        <v>3706</v>
      </c>
    </row>
    <row r="264" spans="4:15">
      <c r="D264" s="6" t="s">
        <v>7160</v>
      </c>
      <c r="E264" s="4" t="s">
        <v>3296</v>
      </c>
      <c r="F264" s="6"/>
      <c r="G264" s="4"/>
      <c r="H264" s="6"/>
      <c r="I264" s="6"/>
      <c r="J264" s="4" t="str">
        <f t="shared" si="4"/>
        <v/>
      </c>
      <c r="K264" s="6"/>
      <c r="L264" s="6"/>
      <c r="M264" s="6"/>
      <c r="N264" s="6"/>
      <c r="O264" s="4" t="s">
        <v>3707</v>
      </c>
    </row>
    <row r="265" spans="4:15">
      <c r="D265" s="6" t="s">
        <v>7161</v>
      </c>
      <c r="E265" s="4" t="s">
        <v>3296</v>
      </c>
      <c r="F265" s="6"/>
      <c r="G265" s="4"/>
      <c r="H265" s="6"/>
      <c r="I265" s="6"/>
      <c r="J265" s="4" t="str">
        <f t="shared" si="4"/>
        <v/>
      </c>
      <c r="K265" s="6"/>
      <c r="L265" s="6"/>
      <c r="M265" s="6"/>
      <c r="N265" s="6"/>
      <c r="O265" s="4" t="s">
        <v>3708</v>
      </c>
    </row>
    <row r="266" spans="4:15">
      <c r="D266" s="6" t="s">
        <v>7162</v>
      </c>
      <c r="E266" s="4" t="s">
        <v>3296</v>
      </c>
      <c r="F266" s="6"/>
      <c r="G266" s="4"/>
      <c r="H266" s="6"/>
      <c r="I266" s="6"/>
      <c r="J266" s="4" t="str">
        <f t="shared" si="4"/>
        <v/>
      </c>
      <c r="K266" s="6"/>
      <c r="L266" s="6"/>
      <c r="M266" s="6"/>
      <c r="N266" s="6"/>
      <c r="O266" s="4" t="s">
        <v>3709</v>
      </c>
    </row>
    <row r="267" spans="4:15">
      <c r="D267" s="6" t="s">
        <v>7163</v>
      </c>
      <c r="E267" s="4" t="s">
        <v>3296</v>
      </c>
      <c r="F267" s="6"/>
      <c r="G267" s="4"/>
      <c r="H267" s="6"/>
      <c r="I267" s="6"/>
      <c r="J267" s="4" t="str">
        <f t="shared" si="4"/>
        <v/>
      </c>
      <c r="K267" s="6"/>
      <c r="L267" s="6"/>
      <c r="M267" s="6"/>
      <c r="N267" s="6"/>
      <c r="O267" s="4" t="s">
        <v>3710</v>
      </c>
    </row>
    <row r="268" spans="4:15">
      <c r="D268" s="6" t="s">
        <v>7164</v>
      </c>
      <c r="E268" s="4" t="s">
        <v>3296</v>
      </c>
      <c r="F268" s="6"/>
      <c r="G268" s="4"/>
      <c r="H268" s="6"/>
      <c r="I268" s="6"/>
      <c r="J268" s="4" t="str">
        <f t="shared" si="4"/>
        <v/>
      </c>
      <c r="K268" s="6"/>
      <c r="L268" s="6"/>
      <c r="M268" s="6"/>
      <c r="N268" s="6"/>
      <c r="O268" s="4" t="s">
        <v>3711</v>
      </c>
    </row>
    <row r="269" spans="4:15">
      <c r="D269" s="6" t="s">
        <v>7165</v>
      </c>
      <c r="E269" s="4" t="s">
        <v>3296</v>
      </c>
      <c r="F269" s="6"/>
      <c r="G269" s="4"/>
      <c r="H269" s="6"/>
      <c r="I269" s="6"/>
      <c r="J269" s="4" t="str">
        <f t="shared" si="4"/>
        <v/>
      </c>
      <c r="K269" s="6"/>
      <c r="L269" s="6"/>
      <c r="M269" s="6"/>
      <c r="N269" s="6"/>
      <c r="O269" s="4" t="s">
        <v>3712</v>
      </c>
    </row>
    <row r="270" spans="4:15">
      <c r="D270" s="6" t="s">
        <v>7166</v>
      </c>
      <c r="E270" s="4" t="s">
        <v>3303</v>
      </c>
      <c r="F270" s="6"/>
      <c r="G270" s="4"/>
      <c r="H270" s="6"/>
      <c r="I270" s="6"/>
      <c r="J270" s="4" t="str">
        <f t="shared" si="4"/>
        <v/>
      </c>
      <c r="K270" s="6"/>
      <c r="L270" s="6"/>
      <c r="M270" s="6"/>
      <c r="N270" s="6"/>
      <c r="O270" s="4" t="s">
        <v>3713</v>
      </c>
    </row>
    <row r="271" spans="4:15">
      <c r="D271" s="6" t="s">
        <v>7167</v>
      </c>
      <c r="E271" s="4" t="s">
        <v>3303</v>
      </c>
      <c r="F271" s="6"/>
      <c r="G271" s="4"/>
      <c r="H271" s="6"/>
      <c r="I271" s="6"/>
      <c r="J271" s="4" t="str">
        <f t="shared" si="4"/>
        <v/>
      </c>
      <c r="K271" s="6"/>
      <c r="L271" s="6"/>
      <c r="M271" s="6"/>
      <c r="N271" s="6"/>
      <c r="O271" s="4" t="s">
        <v>3714</v>
      </c>
    </row>
    <row r="272" spans="4:15">
      <c r="D272" s="6" t="s">
        <v>7168</v>
      </c>
      <c r="E272" s="4" t="s">
        <v>3303</v>
      </c>
      <c r="F272" s="6"/>
      <c r="G272" s="4"/>
      <c r="H272" s="6"/>
      <c r="I272" s="6"/>
      <c r="J272" s="4" t="str">
        <f t="shared" si="4"/>
        <v/>
      </c>
      <c r="K272" s="6"/>
      <c r="L272" s="6"/>
      <c r="M272" s="6"/>
      <c r="N272" s="6"/>
      <c r="O272" s="4" t="s">
        <v>3715</v>
      </c>
    </row>
    <row r="273" spans="4:15">
      <c r="D273" s="6" t="s">
        <v>7169</v>
      </c>
      <c r="E273" s="4" t="s">
        <v>3303</v>
      </c>
      <c r="F273" s="6"/>
      <c r="G273" s="4"/>
      <c r="H273" s="6"/>
      <c r="I273" s="6"/>
      <c r="J273" s="4" t="str">
        <f t="shared" si="4"/>
        <v/>
      </c>
      <c r="K273" s="6"/>
      <c r="L273" s="6"/>
      <c r="M273" s="6"/>
      <c r="N273" s="6"/>
      <c r="O273" s="4" t="s">
        <v>3716</v>
      </c>
    </row>
    <row r="274" spans="4:15">
      <c r="D274" s="6" t="s">
        <v>7170</v>
      </c>
      <c r="E274" s="4" t="s">
        <v>3303</v>
      </c>
      <c r="F274" s="6"/>
      <c r="G274" s="4"/>
      <c r="H274" s="6"/>
      <c r="I274" s="6"/>
      <c r="J274" s="4" t="str">
        <f t="shared" si="4"/>
        <v/>
      </c>
      <c r="K274" s="6"/>
      <c r="L274" s="6"/>
      <c r="M274" s="6"/>
      <c r="N274" s="6"/>
      <c r="O274" s="4" t="s">
        <v>3717</v>
      </c>
    </row>
    <row r="275" spans="4:15">
      <c r="D275" s="6" t="s">
        <v>7171</v>
      </c>
      <c r="E275" s="4" t="s">
        <v>3303</v>
      </c>
      <c r="F275" s="6"/>
      <c r="G275" s="4"/>
      <c r="H275" s="6"/>
      <c r="I275" s="6"/>
      <c r="J275" s="4" t="str">
        <f t="shared" si="4"/>
        <v/>
      </c>
      <c r="K275" s="6"/>
      <c r="L275" s="6"/>
      <c r="M275" s="6"/>
      <c r="N275" s="6"/>
      <c r="O275" s="4" t="s">
        <v>3718</v>
      </c>
    </row>
    <row r="276" spans="4:15">
      <c r="D276" s="6" t="s">
        <v>7172</v>
      </c>
      <c r="E276" s="4" t="s">
        <v>3303</v>
      </c>
      <c r="F276" s="6"/>
      <c r="G276" s="4"/>
      <c r="H276" s="6"/>
      <c r="I276" s="6"/>
      <c r="J276" s="4" t="str">
        <f t="shared" si="4"/>
        <v/>
      </c>
      <c r="K276" s="6"/>
      <c r="L276" s="6"/>
      <c r="M276" s="6"/>
      <c r="N276" s="6"/>
      <c r="O276" s="4" t="s">
        <v>3719</v>
      </c>
    </row>
    <row r="277" spans="4:15">
      <c r="D277" s="6" t="s">
        <v>7173</v>
      </c>
      <c r="E277" s="4" t="s">
        <v>3303</v>
      </c>
      <c r="F277" s="6"/>
      <c r="G277" s="4"/>
      <c r="H277" s="6"/>
      <c r="I277" s="6"/>
      <c r="J277" s="4" t="str">
        <f t="shared" si="4"/>
        <v/>
      </c>
      <c r="K277" s="6"/>
      <c r="L277" s="6"/>
      <c r="M277" s="6"/>
      <c r="N277" s="6"/>
      <c r="O277" s="4" t="s">
        <v>3720</v>
      </c>
    </row>
    <row r="278" spans="4:15">
      <c r="D278" s="6" t="s">
        <v>7174</v>
      </c>
      <c r="E278" s="4" t="s">
        <v>3303</v>
      </c>
      <c r="F278" s="6"/>
      <c r="G278" s="4"/>
      <c r="H278" s="6"/>
      <c r="I278" s="6"/>
      <c r="J278" s="4" t="str">
        <f t="shared" si="4"/>
        <v/>
      </c>
      <c r="K278" s="6"/>
      <c r="L278" s="6"/>
      <c r="M278" s="6"/>
      <c r="N278" s="6"/>
      <c r="O278" s="4" t="s">
        <v>3721</v>
      </c>
    </row>
    <row r="279" spans="4:15">
      <c r="D279" s="6" t="s">
        <v>7175</v>
      </c>
      <c r="E279" s="4" t="s">
        <v>3303</v>
      </c>
      <c r="F279" s="6"/>
      <c r="G279" s="4"/>
      <c r="H279" s="6"/>
      <c r="I279" s="6"/>
      <c r="J279" s="4" t="str">
        <f t="shared" si="4"/>
        <v/>
      </c>
      <c r="K279" s="6"/>
      <c r="L279" s="6"/>
      <c r="M279" s="6"/>
      <c r="N279" s="6"/>
      <c r="O279" s="4" t="s">
        <v>3722</v>
      </c>
    </row>
    <row r="280" spans="4:15">
      <c r="D280" s="6" t="s">
        <v>7176</v>
      </c>
      <c r="E280" s="4" t="s">
        <v>3310</v>
      </c>
      <c r="F280" s="6"/>
      <c r="G280" s="4"/>
      <c r="H280" s="6"/>
      <c r="I280" s="6"/>
      <c r="J280" s="4" t="str">
        <f t="shared" si="4"/>
        <v/>
      </c>
      <c r="K280" s="6"/>
      <c r="L280" s="6"/>
      <c r="M280" s="6"/>
      <c r="N280" s="6"/>
      <c r="O280" s="4" t="s">
        <v>3723</v>
      </c>
    </row>
    <row r="281" spans="4:15">
      <c r="D281" s="6" t="s">
        <v>7177</v>
      </c>
      <c r="E281" s="4" t="s">
        <v>3310</v>
      </c>
      <c r="F281" s="6"/>
      <c r="G281" s="4"/>
      <c r="H281" s="6"/>
      <c r="I281" s="6"/>
      <c r="J281" s="4" t="str">
        <f t="shared" si="4"/>
        <v/>
      </c>
      <c r="K281" s="6"/>
      <c r="L281" s="6"/>
      <c r="M281" s="6"/>
      <c r="N281" s="6"/>
      <c r="O281" s="4" t="s">
        <v>3724</v>
      </c>
    </row>
    <row r="282" spans="4:15">
      <c r="D282" s="6" t="s">
        <v>7178</v>
      </c>
      <c r="E282" s="4" t="s">
        <v>3310</v>
      </c>
      <c r="F282" s="6"/>
      <c r="G282" s="4"/>
      <c r="H282" s="6"/>
      <c r="I282" s="6"/>
      <c r="J282" s="4" t="str">
        <f t="shared" si="4"/>
        <v/>
      </c>
      <c r="K282" s="6"/>
      <c r="L282" s="6"/>
      <c r="M282" s="6"/>
      <c r="N282" s="6"/>
      <c r="O282" s="4" t="s">
        <v>3725</v>
      </c>
    </row>
    <row r="283" spans="4:15">
      <c r="D283" s="6" t="s">
        <v>7179</v>
      </c>
      <c r="E283" s="4" t="s">
        <v>3310</v>
      </c>
      <c r="F283" s="6"/>
      <c r="G283" s="4"/>
      <c r="H283" s="6"/>
      <c r="I283" s="6"/>
      <c r="J283" s="4" t="str">
        <f t="shared" si="4"/>
        <v/>
      </c>
      <c r="K283" s="6"/>
      <c r="L283" s="6"/>
      <c r="M283" s="6"/>
      <c r="N283" s="6"/>
      <c r="O283" s="4" t="s">
        <v>3726</v>
      </c>
    </row>
    <row r="284" spans="4:15">
      <c r="D284" s="6" t="s">
        <v>7180</v>
      </c>
      <c r="E284" s="4" t="s">
        <v>3310</v>
      </c>
      <c r="F284" s="6"/>
      <c r="G284" s="4"/>
      <c r="H284" s="6"/>
      <c r="I284" s="6"/>
      <c r="J284" s="4" t="str">
        <f t="shared" si="4"/>
        <v/>
      </c>
      <c r="K284" s="6"/>
      <c r="L284" s="6"/>
      <c r="M284" s="6"/>
      <c r="N284" s="6"/>
      <c r="O284" s="4" t="s">
        <v>3727</v>
      </c>
    </row>
    <row r="285" spans="4:15">
      <c r="D285" s="6" t="s">
        <v>7181</v>
      </c>
      <c r="E285" s="4" t="s">
        <v>3310</v>
      </c>
      <c r="F285" s="6"/>
      <c r="G285" s="4"/>
      <c r="H285" s="6"/>
      <c r="I285" s="6"/>
      <c r="J285" s="4" t="str">
        <f t="shared" si="4"/>
        <v/>
      </c>
      <c r="K285" s="6"/>
      <c r="L285" s="6"/>
      <c r="M285" s="6"/>
      <c r="N285" s="6"/>
      <c r="O285" s="4" t="s">
        <v>3728</v>
      </c>
    </row>
    <row r="286" spans="4:15">
      <c r="D286" s="6" t="s">
        <v>7182</v>
      </c>
      <c r="E286" s="4" t="s">
        <v>3310</v>
      </c>
      <c r="F286" s="6"/>
      <c r="G286" s="4"/>
      <c r="H286" s="6"/>
      <c r="I286" s="6"/>
      <c r="J286" s="4" t="str">
        <f t="shared" si="4"/>
        <v/>
      </c>
      <c r="K286" s="6"/>
      <c r="L286" s="6"/>
      <c r="M286" s="6"/>
      <c r="N286" s="6"/>
      <c r="O286" s="4" t="s">
        <v>3729</v>
      </c>
    </row>
    <row r="287" spans="4:15">
      <c r="D287" s="6" t="s">
        <v>7183</v>
      </c>
      <c r="E287" s="4" t="s">
        <v>3310</v>
      </c>
      <c r="F287" s="6"/>
      <c r="G287" s="4"/>
      <c r="H287" s="6"/>
      <c r="I287" s="6"/>
      <c r="J287" s="4" t="str">
        <f t="shared" si="4"/>
        <v/>
      </c>
      <c r="K287" s="6"/>
      <c r="L287" s="6"/>
      <c r="M287" s="6"/>
      <c r="N287" s="6"/>
      <c r="O287" s="4" t="s">
        <v>3730</v>
      </c>
    </row>
    <row r="288" spans="4:15">
      <c r="D288" s="6" t="s">
        <v>7184</v>
      </c>
      <c r="E288" s="4" t="s">
        <v>3310</v>
      </c>
      <c r="F288" s="6"/>
      <c r="G288" s="4"/>
      <c r="H288" s="6"/>
      <c r="I288" s="6"/>
      <c r="J288" s="4" t="str">
        <f t="shared" ref="J288:J309" si="5">F288&amp;H288&amp;I288</f>
        <v/>
      </c>
      <c r="K288" s="6"/>
      <c r="L288" s="6"/>
      <c r="M288" s="6"/>
      <c r="N288" s="6"/>
      <c r="O288" s="4" t="s">
        <v>3731</v>
      </c>
    </row>
    <row r="289" spans="4:15">
      <c r="D289" s="6" t="s">
        <v>7185</v>
      </c>
      <c r="E289" s="4" t="s">
        <v>3310</v>
      </c>
      <c r="F289" s="6"/>
      <c r="G289" s="4"/>
      <c r="H289" s="6"/>
      <c r="I289" s="6"/>
      <c r="J289" s="4" t="str">
        <f t="shared" si="5"/>
        <v/>
      </c>
      <c r="K289" s="6"/>
      <c r="L289" s="6"/>
      <c r="M289" s="6"/>
      <c r="N289" s="6"/>
      <c r="O289" s="4" t="s">
        <v>3732</v>
      </c>
    </row>
    <row r="290" spans="4:15">
      <c r="D290" s="6" t="s">
        <v>7186</v>
      </c>
      <c r="E290" s="4" t="s">
        <v>3317</v>
      </c>
      <c r="F290" s="6"/>
      <c r="G290" s="4"/>
      <c r="H290" s="6"/>
      <c r="I290" s="6"/>
      <c r="J290" s="4" t="str">
        <f t="shared" si="5"/>
        <v/>
      </c>
      <c r="K290" s="6"/>
      <c r="L290" s="6"/>
      <c r="M290" s="6"/>
      <c r="N290" s="6"/>
      <c r="O290" s="4" t="s">
        <v>3733</v>
      </c>
    </row>
    <row r="291" spans="4:15">
      <c r="D291" s="6" t="s">
        <v>7187</v>
      </c>
      <c r="E291" s="4" t="s">
        <v>3317</v>
      </c>
      <c r="F291" s="6"/>
      <c r="G291" s="4"/>
      <c r="H291" s="6"/>
      <c r="I291" s="6"/>
      <c r="J291" s="4" t="str">
        <f t="shared" si="5"/>
        <v/>
      </c>
      <c r="K291" s="6"/>
      <c r="L291" s="6"/>
      <c r="M291" s="6"/>
      <c r="N291" s="6"/>
      <c r="O291" s="4" t="s">
        <v>3734</v>
      </c>
    </row>
    <row r="292" spans="4:15">
      <c r="D292" s="6" t="s">
        <v>7188</v>
      </c>
      <c r="E292" s="4" t="s">
        <v>3317</v>
      </c>
      <c r="F292" s="6"/>
      <c r="G292" s="4"/>
      <c r="H292" s="6"/>
      <c r="I292" s="6"/>
      <c r="J292" s="4" t="str">
        <f t="shared" si="5"/>
        <v/>
      </c>
      <c r="K292" s="6"/>
      <c r="L292" s="6"/>
      <c r="M292" s="6"/>
      <c r="N292" s="6"/>
      <c r="O292" s="4" t="s">
        <v>3735</v>
      </c>
    </row>
    <row r="293" spans="4:15">
      <c r="D293" s="6" t="s">
        <v>7189</v>
      </c>
      <c r="E293" s="4" t="s">
        <v>3317</v>
      </c>
      <c r="F293" s="6"/>
      <c r="G293" s="4"/>
      <c r="H293" s="6"/>
      <c r="I293" s="6"/>
      <c r="J293" s="4" t="str">
        <f t="shared" si="5"/>
        <v/>
      </c>
      <c r="K293" s="6"/>
      <c r="L293" s="6"/>
      <c r="M293" s="6"/>
      <c r="N293" s="6"/>
      <c r="O293" s="4" t="s">
        <v>3736</v>
      </c>
    </row>
    <row r="294" spans="4:15">
      <c r="D294" s="6" t="s">
        <v>7190</v>
      </c>
      <c r="E294" s="4" t="s">
        <v>3317</v>
      </c>
      <c r="F294" s="6"/>
      <c r="G294" s="4"/>
      <c r="H294" s="6"/>
      <c r="I294" s="6"/>
      <c r="J294" s="4" t="str">
        <f t="shared" si="5"/>
        <v/>
      </c>
      <c r="K294" s="6"/>
      <c r="L294" s="6"/>
      <c r="M294" s="6"/>
      <c r="N294" s="6"/>
      <c r="O294" s="4" t="s">
        <v>3737</v>
      </c>
    </row>
    <row r="295" spans="4:15">
      <c r="D295" s="6" t="s">
        <v>7191</v>
      </c>
      <c r="E295" s="4" t="s">
        <v>3317</v>
      </c>
      <c r="F295" s="6"/>
      <c r="G295" s="4"/>
      <c r="H295" s="6"/>
      <c r="I295" s="6"/>
      <c r="J295" s="4" t="str">
        <f t="shared" si="5"/>
        <v/>
      </c>
      <c r="K295" s="6"/>
      <c r="L295" s="6"/>
      <c r="M295" s="6"/>
      <c r="N295" s="6"/>
      <c r="O295" s="4" t="s">
        <v>3738</v>
      </c>
    </row>
    <row r="296" spans="4:15">
      <c r="D296" s="6" t="s">
        <v>7192</v>
      </c>
      <c r="E296" s="4" t="s">
        <v>3317</v>
      </c>
      <c r="F296" s="6"/>
      <c r="G296" s="4"/>
      <c r="H296" s="6"/>
      <c r="I296" s="6"/>
      <c r="J296" s="4" t="str">
        <f t="shared" si="5"/>
        <v/>
      </c>
      <c r="K296" s="6"/>
      <c r="L296" s="6"/>
      <c r="M296" s="6"/>
      <c r="N296" s="6"/>
      <c r="O296" s="4" t="s">
        <v>3739</v>
      </c>
    </row>
    <row r="297" spans="4:15">
      <c r="D297" s="6" t="s">
        <v>7193</v>
      </c>
      <c r="E297" s="4" t="s">
        <v>3317</v>
      </c>
      <c r="F297" s="6"/>
      <c r="G297" s="4"/>
      <c r="H297" s="6"/>
      <c r="I297" s="6"/>
      <c r="J297" s="4" t="str">
        <f t="shared" si="5"/>
        <v/>
      </c>
      <c r="K297" s="6"/>
      <c r="L297" s="6"/>
      <c r="M297" s="6"/>
      <c r="N297" s="6"/>
      <c r="O297" s="4" t="s">
        <v>3740</v>
      </c>
    </row>
    <row r="298" spans="4:15">
      <c r="D298" s="6" t="s">
        <v>7194</v>
      </c>
      <c r="E298" s="4" t="s">
        <v>3317</v>
      </c>
      <c r="F298" s="6"/>
      <c r="G298" s="4"/>
      <c r="H298" s="6"/>
      <c r="I298" s="6"/>
      <c r="J298" s="4" t="str">
        <f t="shared" si="5"/>
        <v/>
      </c>
      <c r="K298" s="6"/>
      <c r="L298" s="6"/>
      <c r="M298" s="6"/>
      <c r="N298" s="6"/>
      <c r="O298" s="4" t="s">
        <v>3741</v>
      </c>
    </row>
    <row r="299" spans="4:15">
      <c r="D299" s="6" t="s">
        <v>7195</v>
      </c>
      <c r="E299" s="4" t="s">
        <v>3317</v>
      </c>
      <c r="F299" s="6"/>
      <c r="G299" s="4"/>
      <c r="H299" s="6"/>
      <c r="I299" s="6"/>
      <c r="J299" s="4" t="str">
        <f t="shared" si="5"/>
        <v/>
      </c>
      <c r="K299" s="6"/>
      <c r="L299" s="6"/>
      <c r="M299" s="6"/>
      <c r="N299" s="6"/>
      <c r="O299" s="4" t="s">
        <v>3742</v>
      </c>
    </row>
    <row r="300" spans="4:15">
      <c r="D300" s="6" t="s">
        <v>7196</v>
      </c>
      <c r="E300" s="4" t="s">
        <v>3324</v>
      </c>
      <c r="F300" s="6"/>
      <c r="G300" s="4"/>
      <c r="H300" s="6"/>
      <c r="I300" s="6"/>
      <c r="J300" s="4" t="str">
        <f t="shared" si="5"/>
        <v/>
      </c>
      <c r="K300" s="6"/>
      <c r="L300" s="6"/>
      <c r="M300" s="6"/>
      <c r="N300" s="6"/>
      <c r="O300" s="4" t="s">
        <v>3743</v>
      </c>
    </row>
    <row r="301" spans="4:15">
      <c r="D301" s="6" t="s">
        <v>7197</v>
      </c>
      <c r="E301" s="4" t="s">
        <v>3324</v>
      </c>
      <c r="F301" s="6"/>
      <c r="G301" s="4"/>
      <c r="H301" s="6"/>
      <c r="I301" s="6"/>
      <c r="J301" s="4" t="str">
        <f t="shared" si="5"/>
        <v/>
      </c>
      <c r="K301" s="6"/>
      <c r="L301" s="6"/>
      <c r="M301" s="6"/>
      <c r="N301" s="6"/>
      <c r="O301" s="4" t="s">
        <v>3744</v>
      </c>
    </row>
    <row r="302" spans="4:15">
      <c r="D302" s="6" t="s">
        <v>7198</v>
      </c>
      <c r="E302" s="4" t="s">
        <v>3324</v>
      </c>
      <c r="F302" s="6"/>
      <c r="G302" s="4"/>
      <c r="H302" s="6"/>
      <c r="I302" s="6"/>
      <c r="J302" s="4" t="str">
        <f t="shared" si="5"/>
        <v/>
      </c>
      <c r="K302" s="6"/>
      <c r="L302" s="6"/>
      <c r="M302" s="6"/>
      <c r="N302" s="6"/>
      <c r="O302" s="4" t="s">
        <v>3745</v>
      </c>
    </row>
    <row r="303" spans="4:15">
      <c r="D303" s="6" t="s">
        <v>7199</v>
      </c>
      <c r="E303" s="4" t="s">
        <v>3324</v>
      </c>
      <c r="F303" s="6"/>
      <c r="G303" s="4"/>
      <c r="H303" s="6"/>
      <c r="I303" s="6"/>
      <c r="J303" s="4" t="str">
        <f t="shared" si="5"/>
        <v/>
      </c>
      <c r="K303" s="6"/>
      <c r="L303" s="6"/>
      <c r="M303" s="6"/>
      <c r="N303" s="6"/>
      <c r="O303" s="4" t="s">
        <v>3746</v>
      </c>
    </row>
    <row r="304" spans="4:15">
      <c r="D304" s="6" t="s">
        <v>7200</v>
      </c>
      <c r="E304" s="4" t="s">
        <v>3324</v>
      </c>
      <c r="F304" s="6"/>
      <c r="G304" s="4"/>
      <c r="H304" s="6"/>
      <c r="I304" s="6"/>
      <c r="J304" s="4" t="str">
        <f t="shared" si="5"/>
        <v/>
      </c>
      <c r="K304" s="6"/>
      <c r="L304" s="6"/>
      <c r="M304" s="6"/>
      <c r="N304" s="6"/>
      <c r="O304" s="4" t="s">
        <v>3747</v>
      </c>
    </row>
    <row r="305" spans="4:17">
      <c r="D305" s="6" t="s">
        <v>7201</v>
      </c>
      <c r="E305" s="4" t="s">
        <v>3324</v>
      </c>
      <c r="F305" s="6"/>
      <c r="G305" s="4"/>
      <c r="H305" s="6"/>
      <c r="I305" s="6"/>
      <c r="J305" s="4" t="str">
        <f t="shared" si="5"/>
        <v/>
      </c>
      <c r="K305" s="6"/>
      <c r="L305" s="6"/>
      <c r="M305" s="6"/>
      <c r="N305" s="6"/>
      <c r="O305" s="4" t="s">
        <v>3748</v>
      </c>
    </row>
    <row r="306" spans="4:17">
      <c r="D306" s="6" t="s">
        <v>7202</v>
      </c>
      <c r="E306" s="4" t="s">
        <v>3324</v>
      </c>
      <c r="F306" s="6"/>
      <c r="G306" s="4"/>
      <c r="H306" s="6"/>
      <c r="I306" s="6"/>
      <c r="J306" s="4" t="str">
        <f t="shared" si="5"/>
        <v/>
      </c>
      <c r="K306" s="6"/>
      <c r="L306" s="6"/>
      <c r="M306" s="6"/>
      <c r="N306" s="6"/>
      <c r="O306" s="4" t="s">
        <v>3749</v>
      </c>
    </row>
    <row r="307" spans="4:17">
      <c r="D307" s="6" t="s">
        <v>7203</v>
      </c>
      <c r="E307" s="4" t="s">
        <v>3324</v>
      </c>
      <c r="F307" s="6"/>
      <c r="G307" s="4"/>
      <c r="H307" s="6"/>
      <c r="I307" s="6"/>
      <c r="J307" s="4" t="str">
        <f t="shared" si="5"/>
        <v/>
      </c>
      <c r="K307" s="6"/>
      <c r="L307" s="6"/>
      <c r="M307" s="6"/>
      <c r="N307" s="6"/>
      <c r="O307" s="4" t="s">
        <v>3750</v>
      </c>
    </row>
    <row r="308" spans="4:17">
      <c r="D308" s="6" t="s">
        <v>7204</v>
      </c>
      <c r="E308" s="4" t="s">
        <v>3324</v>
      </c>
      <c r="F308" s="6"/>
      <c r="G308" s="4"/>
      <c r="H308" s="6"/>
      <c r="I308" s="6"/>
      <c r="J308" s="4" t="str">
        <f t="shared" si="5"/>
        <v/>
      </c>
      <c r="K308" s="6"/>
      <c r="L308" s="6"/>
      <c r="M308" s="6"/>
      <c r="N308" s="6"/>
      <c r="O308" s="4" t="s">
        <v>3751</v>
      </c>
    </row>
    <row r="309" spans="4:17">
      <c r="D309" s="6" t="s">
        <v>7205</v>
      </c>
      <c r="E309" s="4" t="s">
        <v>3324</v>
      </c>
      <c r="F309" s="6"/>
      <c r="G309" s="4"/>
      <c r="H309" s="6"/>
      <c r="I309" s="6"/>
      <c r="J309" s="4" t="str">
        <f t="shared" si="5"/>
        <v/>
      </c>
      <c r="K309" s="6"/>
      <c r="L309" s="6"/>
      <c r="M309" s="6"/>
      <c r="N309" s="6"/>
      <c r="O309" s="4" t="s">
        <v>3752</v>
      </c>
    </row>
    <row r="313" spans="4:17">
      <c r="D313" s="8" t="s">
        <v>7206</v>
      </c>
    </row>
    <row r="314" spans="4:17">
      <c r="D314" s="4" t="s">
        <v>7207</v>
      </c>
      <c r="E314" s="4" t="s">
        <v>7208</v>
      </c>
      <c r="F314" s="4" t="s">
        <v>7209</v>
      </c>
      <c r="G314" s="4"/>
      <c r="H314" s="4" t="s">
        <v>5372</v>
      </c>
      <c r="I314" s="4" t="s">
        <v>3754</v>
      </c>
      <c r="J314" s="4" t="s">
        <v>6888</v>
      </c>
      <c r="K314" s="4" t="s">
        <v>3048</v>
      </c>
      <c r="L314" s="4" t="s">
        <v>3047</v>
      </c>
      <c r="M314" s="4" t="s">
        <v>3046</v>
      </c>
      <c r="N314" s="4" t="s">
        <v>3335</v>
      </c>
      <c r="O314" s="4" t="s">
        <v>3049</v>
      </c>
      <c r="P314" s="4" t="s">
        <v>3599</v>
      </c>
      <c r="Q314" s="4" t="s">
        <v>341</v>
      </c>
    </row>
    <row r="315" spans="4:17" hidden="1">
      <c r="D315" s="6" t="s">
        <v>7210</v>
      </c>
      <c r="E315" s="4" t="s">
        <v>7211</v>
      </c>
      <c r="F315" s="6" t="s">
        <v>7212</v>
      </c>
      <c r="G315" s="4"/>
      <c r="H315" s="6" t="s">
        <v>5795</v>
      </c>
      <c r="I315" s="6" t="s">
        <v>5798</v>
      </c>
      <c r="J315" s="4" t="str">
        <f>F315&amp;H315&amp;I315</f>
        <v>[Coverage Indicator Name][Category][Disaggregation]</v>
      </c>
      <c r="K315" s="11" t="s">
        <v>6897</v>
      </c>
      <c r="L315" s="9" t="s">
        <v>6896</v>
      </c>
      <c r="M315" s="12" t="s">
        <v>6898</v>
      </c>
      <c r="N315" s="6" t="s">
        <v>7213</v>
      </c>
      <c r="O315" s="6" t="s">
        <v>6894</v>
      </c>
      <c r="P315" s="6" t="s">
        <v>6895</v>
      </c>
      <c r="Q315" s="4" t="s">
        <v>345</v>
      </c>
    </row>
    <row r="316" spans="4:17">
      <c r="D316" s="6" t="s">
        <v>7214</v>
      </c>
      <c r="E316" s="4" t="s">
        <v>3387</v>
      </c>
      <c r="F316" s="6"/>
      <c r="G316" s="4"/>
      <c r="H316" s="6"/>
      <c r="I316" s="6"/>
      <c r="J316" s="4" t="str">
        <f t="shared" ref="J316:J379" si="6">F316&amp;H316&amp;I316</f>
        <v/>
      </c>
      <c r="K316" s="11"/>
      <c r="L316" s="9"/>
      <c r="M316" s="12"/>
      <c r="N316" s="6"/>
      <c r="O316" s="6"/>
      <c r="P316" s="6"/>
      <c r="Q316" s="4" t="s">
        <v>3906</v>
      </c>
    </row>
    <row r="317" spans="4:17">
      <c r="D317" s="6" t="s">
        <v>7215</v>
      </c>
      <c r="E317" s="4" t="s">
        <v>3387</v>
      </c>
      <c r="F317" s="6"/>
      <c r="G317" s="4"/>
      <c r="H317" s="6"/>
      <c r="I317" s="6"/>
      <c r="J317" s="4" t="str">
        <f t="shared" si="6"/>
        <v/>
      </c>
      <c r="K317" s="11"/>
      <c r="L317" s="9"/>
      <c r="M317" s="12"/>
      <c r="N317" s="6"/>
      <c r="O317" s="6"/>
      <c r="P317" s="6"/>
      <c r="Q317" s="4" t="s">
        <v>3907</v>
      </c>
    </row>
    <row r="318" spans="4:17">
      <c r="D318" s="6" t="s">
        <v>7216</v>
      </c>
      <c r="E318" s="4" t="s">
        <v>3387</v>
      </c>
      <c r="F318" s="6"/>
      <c r="G318" s="4"/>
      <c r="H318" s="6"/>
      <c r="I318" s="6"/>
      <c r="J318" s="4" t="str">
        <f t="shared" si="6"/>
        <v/>
      </c>
      <c r="K318" s="11"/>
      <c r="L318" s="9"/>
      <c r="M318" s="12"/>
      <c r="N318" s="6"/>
      <c r="O318" s="6"/>
      <c r="P318" s="6"/>
      <c r="Q318" s="4" t="s">
        <v>3908</v>
      </c>
    </row>
    <row r="319" spans="4:17">
      <c r="D319" s="6" t="s">
        <v>7217</v>
      </c>
      <c r="E319" s="4" t="s">
        <v>3387</v>
      </c>
      <c r="F319" s="6"/>
      <c r="G319" s="4"/>
      <c r="H319" s="6"/>
      <c r="I319" s="6"/>
      <c r="J319" s="4" t="str">
        <f t="shared" si="6"/>
        <v/>
      </c>
      <c r="K319" s="11"/>
      <c r="L319" s="9"/>
      <c r="M319" s="12"/>
      <c r="N319" s="6"/>
      <c r="O319" s="6"/>
      <c r="P319" s="6"/>
      <c r="Q319" s="4" t="s">
        <v>3909</v>
      </c>
    </row>
    <row r="320" spans="4:17">
      <c r="D320" s="6" t="s">
        <v>7218</v>
      </c>
      <c r="E320" s="4" t="s">
        <v>3387</v>
      </c>
      <c r="F320" s="6"/>
      <c r="G320" s="4"/>
      <c r="H320" s="6"/>
      <c r="I320" s="6"/>
      <c r="J320" s="4" t="str">
        <f t="shared" si="6"/>
        <v/>
      </c>
      <c r="K320" s="11"/>
      <c r="L320" s="9"/>
      <c r="M320" s="12"/>
      <c r="N320" s="6"/>
      <c r="O320" s="6"/>
      <c r="P320" s="6"/>
      <c r="Q320" s="4" t="s">
        <v>3910</v>
      </c>
    </row>
    <row r="321" spans="4:17">
      <c r="D321" s="6" t="s">
        <v>7219</v>
      </c>
      <c r="E321" s="4" t="s">
        <v>3387</v>
      </c>
      <c r="F321" s="6"/>
      <c r="G321" s="4"/>
      <c r="H321" s="6"/>
      <c r="I321" s="6"/>
      <c r="J321" s="4" t="str">
        <f t="shared" si="6"/>
        <v/>
      </c>
      <c r="K321" s="11"/>
      <c r="L321" s="9"/>
      <c r="M321" s="12"/>
      <c r="N321" s="6"/>
      <c r="O321" s="6"/>
      <c r="P321" s="6"/>
      <c r="Q321" s="4" t="s">
        <v>3911</v>
      </c>
    </row>
    <row r="322" spans="4:17">
      <c r="D322" s="6" t="s">
        <v>7220</v>
      </c>
      <c r="E322" s="4" t="s">
        <v>3387</v>
      </c>
      <c r="F322" s="6"/>
      <c r="G322" s="4"/>
      <c r="H322" s="6"/>
      <c r="I322" s="6"/>
      <c r="J322" s="4" t="str">
        <f t="shared" si="6"/>
        <v/>
      </c>
      <c r="K322" s="11"/>
      <c r="L322" s="9"/>
      <c r="M322" s="12"/>
      <c r="N322" s="6"/>
      <c r="O322" s="6"/>
      <c r="P322" s="6"/>
      <c r="Q322" s="4" t="s">
        <v>3912</v>
      </c>
    </row>
    <row r="323" spans="4:17">
      <c r="D323" s="6" t="s">
        <v>7221</v>
      </c>
      <c r="E323" s="4" t="s">
        <v>3387</v>
      </c>
      <c r="F323" s="6"/>
      <c r="G323" s="4"/>
      <c r="H323" s="6"/>
      <c r="I323" s="6"/>
      <c r="J323" s="4" t="str">
        <f t="shared" si="6"/>
        <v/>
      </c>
      <c r="K323" s="11"/>
      <c r="L323" s="9"/>
      <c r="M323" s="12"/>
      <c r="N323" s="6"/>
      <c r="O323" s="6"/>
      <c r="P323" s="6"/>
      <c r="Q323" s="4" t="s">
        <v>3913</v>
      </c>
    </row>
    <row r="324" spans="4:17">
      <c r="D324" s="6" t="s">
        <v>7222</v>
      </c>
      <c r="E324" s="4" t="s">
        <v>3387</v>
      </c>
      <c r="F324" s="6"/>
      <c r="G324" s="4"/>
      <c r="H324" s="6"/>
      <c r="I324" s="6"/>
      <c r="J324" s="4" t="str">
        <f t="shared" si="6"/>
        <v/>
      </c>
      <c r="K324" s="11"/>
      <c r="L324" s="9"/>
      <c r="M324" s="12"/>
      <c r="N324" s="6"/>
      <c r="O324" s="6"/>
      <c r="P324" s="6"/>
      <c r="Q324" s="4" t="s">
        <v>3914</v>
      </c>
    </row>
    <row r="325" spans="4:17">
      <c r="D325" s="6" t="s">
        <v>7223</v>
      </c>
      <c r="E325" s="4" t="s">
        <v>3387</v>
      </c>
      <c r="F325" s="6"/>
      <c r="G325" s="4"/>
      <c r="H325" s="6"/>
      <c r="I325" s="6"/>
      <c r="J325" s="4" t="str">
        <f t="shared" si="6"/>
        <v/>
      </c>
      <c r="K325" s="11"/>
      <c r="L325" s="9"/>
      <c r="M325" s="12"/>
      <c r="N325" s="6"/>
      <c r="O325" s="6"/>
      <c r="P325" s="6"/>
      <c r="Q325" s="4" t="s">
        <v>3915</v>
      </c>
    </row>
    <row r="326" spans="4:17">
      <c r="D326" s="6" t="s">
        <v>7224</v>
      </c>
      <c r="E326" s="4" t="s">
        <v>3387</v>
      </c>
      <c r="F326" s="6"/>
      <c r="G326" s="4"/>
      <c r="H326" s="6"/>
      <c r="I326" s="6"/>
      <c r="J326" s="4" t="str">
        <f t="shared" si="6"/>
        <v/>
      </c>
      <c r="K326" s="11"/>
      <c r="L326" s="9"/>
      <c r="M326" s="12"/>
      <c r="N326" s="6"/>
      <c r="O326" s="6"/>
      <c r="P326" s="6"/>
      <c r="Q326" s="4" t="s">
        <v>3916</v>
      </c>
    </row>
    <row r="327" spans="4:17">
      <c r="D327" s="6" t="s">
        <v>7225</v>
      </c>
      <c r="E327" s="4" t="s">
        <v>3387</v>
      </c>
      <c r="F327" s="6"/>
      <c r="G327" s="4"/>
      <c r="H327" s="6"/>
      <c r="I327" s="6"/>
      <c r="J327" s="4" t="str">
        <f t="shared" si="6"/>
        <v/>
      </c>
      <c r="K327" s="11"/>
      <c r="L327" s="9"/>
      <c r="M327" s="12"/>
      <c r="N327" s="6"/>
      <c r="O327" s="6"/>
      <c r="P327" s="6"/>
      <c r="Q327" s="4" t="s">
        <v>3917</v>
      </c>
    </row>
    <row r="328" spans="4:17">
      <c r="D328" s="6" t="s">
        <v>7226</v>
      </c>
      <c r="E328" s="4" t="s">
        <v>3387</v>
      </c>
      <c r="F328" s="6"/>
      <c r="G328" s="4"/>
      <c r="H328" s="6"/>
      <c r="I328" s="6"/>
      <c r="J328" s="4" t="str">
        <f t="shared" si="6"/>
        <v/>
      </c>
      <c r="K328" s="11"/>
      <c r="L328" s="9"/>
      <c r="M328" s="12"/>
      <c r="N328" s="6"/>
      <c r="O328" s="6"/>
      <c r="P328" s="6"/>
      <c r="Q328" s="4" t="s">
        <v>3918</v>
      </c>
    </row>
    <row r="329" spans="4:17">
      <c r="D329" s="6" t="s">
        <v>7227</v>
      </c>
      <c r="E329" s="4" t="s">
        <v>3387</v>
      </c>
      <c r="F329" s="6"/>
      <c r="G329" s="4"/>
      <c r="H329" s="6"/>
      <c r="I329" s="6"/>
      <c r="J329" s="4" t="str">
        <f t="shared" si="6"/>
        <v/>
      </c>
      <c r="K329" s="11"/>
      <c r="L329" s="9"/>
      <c r="M329" s="12"/>
      <c r="N329" s="6"/>
      <c r="O329" s="6"/>
      <c r="P329" s="6"/>
      <c r="Q329" s="4" t="s">
        <v>3919</v>
      </c>
    </row>
    <row r="330" spans="4:17">
      <c r="D330" s="6" t="s">
        <v>7228</v>
      </c>
      <c r="E330" s="4" t="s">
        <v>3387</v>
      </c>
      <c r="F330" s="6"/>
      <c r="G330" s="4"/>
      <c r="H330" s="6"/>
      <c r="I330" s="6"/>
      <c r="J330" s="4" t="str">
        <f t="shared" si="6"/>
        <v/>
      </c>
      <c r="K330" s="11"/>
      <c r="L330" s="9"/>
      <c r="M330" s="12"/>
      <c r="N330" s="6"/>
      <c r="O330" s="6"/>
      <c r="P330" s="6"/>
      <c r="Q330" s="4" t="s">
        <v>3920</v>
      </c>
    </row>
    <row r="331" spans="4:17">
      <c r="D331" s="6" t="s">
        <v>7229</v>
      </c>
      <c r="E331" s="4" t="s">
        <v>3387</v>
      </c>
      <c r="F331" s="6"/>
      <c r="G331" s="4"/>
      <c r="H331" s="6"/>
      <c r="I331" s="6"/>
      <c r="J331" s="4" t="str">
        <f t="shared" si="6"/>
        <v/>
      </c>
      <c r="K331" s="11"/>
      <c r="L331" s="9"/>
      <c r="M331" s="12"/>
      <c r="N331" s="6"/>
      <c r="O331" s="6"/>
      <c r="P331" s="6"/>
      <c r="Q331" s="4" t="s">
        <v>3921</v>
      </c>
    </row>
    <row r="332" spans="4:17">
      <c r="D332" s="6" t="s">
        <v>7230</v>
      </c>
      <c r="E332" s="4" t="s">
        <v>3387</v>
      </c>
      <c r="F332" s="6"/>
      <c r="G332" s="4"/>
      <c r="H332" s="6"/>
      <c r="I332" s="6"/>
      <c r="J332" s="4" t="str">
        <f t="shared" si="6"/>
        <v/>
      </c>
      <c r="K332" s="11"/>
      <c r="L332" s="9"/>
      <c r="M332" s="12"/>
      <c r="N332" s="6"/>
      <c r="O332" s="6"/>
      <c r="P332" s="6"/>
      <c r="Q332" s="4" t="s">
        <v>3922</v>
      </c>
    </row>
    <row r="333" spans="4:17">
      <c r="D333" s="6" t="s">
        <v>7231</v>
      </c>
      <c r="E333" s="4" t="s">
        <v>3387</v>
      </c>
      <c r="F333" s="6"/>
      <c r="G333" s="4"/>
      <c r="H333" s="6"/>
      <c r="I333" s="6"/>
      <c r="J333" s="4" t="str">
        <f t="shared" si="6"/>
        <v/>
      </c>
      <c r="K333" s="11"/>
      <c r="L333" s="9"/>
      <c r="M333" s="12"/>
      <c r="N333" s="6"/>
      <c r="O333" s="6"/>
      <c r="P333" s="6"/>
      <c r="Q333" s="4" t="s">
        <v>3923</v>
      </c>
    </row>
    <row r="334" spans="4:17">
      <c r="D334" s="6" t="s">
        <v>7232</v>
      </c>
      <c r="E334" s="4" t="s">
        <v>3387</v>
      </c>
      <c r="F334" s="6"/>
      <c r="G334" s="4"/>
      <c r="H334" s="6"/>
      <c r="I334" s="6"/>
      <c r="J334" s="4" t="str">
        <f t="shared" si="6"/>
        <v/>
      </c>
      <c r="K334" s="11"/>
      <c r="L334" s="9"/>
      <c r="M334" s="12"/>
      <c r="N334" s="6"/>
      <c r="O334" s="6"/>
      <c r="P334" s="6"/>
      <c r="Q334" s="4" t="s">
        <v>3924</v>
      </c>
    </row>
    <row r="335" spans="4:17">
      <c r="D335" s="6" t="s">
        <v>7233</v>
      </c>
      <c r="E335" s="4" t="s">
        <v>3387</v>
      </c>
      <c r="F335" s="6"/>
      <c r="G335" s="4"/>
      <c r="H335" s="6"/>
      <c r="I335" s="6"/>
      <c r="J335" s="4" t="str">
        <f t="shared" si="6"/>
        <v/>
      </c>
      <c r="K335" s="11"/>
      <c r="L335" s="9"/>
      <c r="M335" s="12"/>
      <c r="N335" s="6"/>
      <c r="O335" s="6"/>
      <c r="P335" s="6"/>
      <c r="Q335" s="4" t="s">
        <v>3925</v>
      </c>
    </row>
    <row r="336" spans="4:17">
      <c r="D336" s="6" t="s">
        <v>7234</v>
      </c>
      <c r="E336" s="4" t="s">
        <v>3394</v>
      </c>
      <c r="F336" s="6"/>
      <c r="G336" s="4"/>
      <c r="H336" s="6"/>
      <c r="I336" s="6"/>
      <c r="J336" s="4" t="str">
        <f t="shared" si="6"/>
        <v/>
      </c>
      <c r="K336" s="11"/>
      <c r="L336" s="9"/>
      <c r="M336" s="12"/>
      <c r="N336" s="6"/>
      <c r="O336" s="6"/>
      <c r="P336" s="6"/>
      <c r="Q336" s="4" t="s">
        <v>3926</v>
      </c>
    </row>
    <row r="337" spans="4:17">
      <c r="D337" s="6" t="s">
        <v>7235</v>
      </c>
      <c r="E337" s="4" t="s">
        <v>3394</v>
      </c>
      <c r="F337" s="6"/>
      <c r="G337" s="4"/>
      <c r="H337" s="6"/>
      <c r="I337" s="6"/>
      <c r="J337" s="4" t="str">
        <f t="shared" si="6"/>
        <v/>
      </c>
      <c r="K337" s="11"/>
      <c r="L337" s="9"/>
      <c r="M337" s="12"/>
      <c r="N337" s="6"/>
      <c r="O337" s="6"/>
      <c r="P337" s="6"/>
      <c r="Q337" s="4" t="s">
        <v>3927</v>
      </c>
    </row>
    <row r="338" spans="4:17">
      <c r="D338" s="6" t="s">
        <v>7236</v>
      </c>
      <c r="E338" s="4" t="s">
        <v>3394</v>
      </c>
      <c r="F338" s="6"/>
      <c r="G338" s="4"/>
      <c r="H338" s="6"/>
      <c r="I338" s="6"/>
      <c r="J338" s="4" t="str">
        <f t="shared" si="6"/>
        <v/>
      </c>
      <c r="K338" s="11"/>
      <c r="L338" s="9"/>
      <c r="M338" s="12"/>
      <c r="N338" s="6"/>
      <c r="O338" s="6"/>
      <c r="P338" s="6"/>
      <c r="Q338" s="4" t="s">
        <v>3928</v>
      </c>
    </row>
    <row r="339" spans="4:17">
      <c r="D339" s="6" t="s">
        <v>7237</v>
      </c>
      <c r="E339" s="4" t="s">
        <v>3394</v>
      </c>
      <c r="F339" s="6"/>
      <c r="G339" s="4"/>
      <c r="H339" s="6"/>
      <c r="I339" s="6"/>
      <c r="J339" s="4" t="str">
        <f t="shared" si="6"/>
        <v/>
      </c>
      <c r="K339" s="11"/>
      <c r="L339" s="9"/>
      <c r="M339" s="12"/>
      <c r="N339" s="6"/>
      <c r="O339" s="6"/>
      <c r="P339" s="6"/>
      <c r="Q339" s="4" t="s">
        <v>3929</v>
      </c>
    </row>
    <row r="340" spans="4:17">
      <c r="D340" s="6" t="s">
        <v>7238</v>
      </c>
      <c r="E340" s="4" t="s">
        <v>3394</v>
      </c>
      <c r="F340" s="6"/>
      <c r="G340" s="4"/>
      <c r="H340" s="6"/>
      <c r="I340" s="6"/>
      <c r="J340" s="4" t="str">
        <f t="shared" si="6"/>
        <v/>
      </c>
      <c r="K340" s="11"/>
      <c r="L340" s="9"/>
      <c r="M340" s="12"/>
      <c r="N340" s="6"/>
      <c r="O340" s="6"/>
      <c r="P340" s="6"/>
      <c r="Q340" s="4" t="s">
        <v>3930</v>
      </c>
    </row>
    <row r="341" spans="4:17">
      <c r="D341" s="6" t="s">
        <v>7239</v>
      </c>
      <c r="E341" s="4" t="s">
        <v>3394</v>
      </c>
      <c r="F341" s="6"/>
      <c r="G341" s="4"/>
      <c r="H341" s="6"/>
      <c r="I341" s="6"/>
      <c r="J341" s="4" t="str">
        <f t="shared" si="6"/>
        <v/>
      </c>
      <c r="K341" s="11"/>
      <c r="L341" s="9"/>
      <c r="M341" s="12"/>
      <c r="N341" s="6"/>
      <c r="O341" s="6"/>
      <c r="P341" s="6"/>
      <c r="Q341" s="4" t="s">
        <v>3931</v>
      </c>
    </row>
    <row r="342" spans="4:17">
      <c r="D342" s="6" t="s">
        <v>7240</v>
      </c>
      <c r="E342" s="4" t="s">
        <v>3394</v>
      </c>
      <c r="F342" s="6"/>
      <c r="G342" s="4"/>
      <c r="H342" s="6"/>
      <c r="I342" s="6"/>
      <c r="J342" s="4" t="str">
        <f t="shared" si="6"/>
        <v/>
      </c>
      <c r="K342" s="11"/>
      <c r="L342" s="9"/>
      <c r="M342" s="12"/>
      <c r="N342" s="6"/>
      <c r="O342" s="6"/>
      <c r="P342" s="6"/>
      <c r="Q342" s="4" t="s">
        <v>3932</v>
      </c>
    </row>
    <row r="343" spans="4:17">
      <c r="D343" s="6" t="s">
        <v>7241</v>
      </c>
      <c r="E343" s="4" t="s">
        <v>3394</v>
      </c>
      <c r="F343" s="6"/>
      <c r="G343" s="4"/>
      <c r="H343" s="6"/>
      <c r="I343" s="6"/>
      <c r="J343" s="4" t="str">
        <f t="shared" si="6"/>
        <v/>
      </c>
      <c r="K343" s="11"/>
      <c r="L343" s="9"/>
      <c r="M343" s="12"/>
      <c r="N343" s="6"/>
      <c r="O343" s="6"/>
      <c r="P343" s="6"/>
      <c r="Q343" s="4" t="s">
        <v>3933</v>
      </c>
    </row>
    <row r="344" spans="4:17">
      <c r="D344" s="6" t="s">
        <v>7242</v>
      </c>
      <c r="E344" s="4" t="s">
        <v>3394</v>
      </c>
      <c r="F344" s="6"/>
      <c r="G344" s="4"/>
      <c r="H344" s="6"/>
      <c r="I344" s="6"/>
      <c r="J344" s="4" t="str">
        <f t="shared" si="6"/>
        <v/>
      </c>
      <c r="K344" s="11"/>
      <c r="L344" s="9"/>
      <c r="M344" s="12"/>
      <c r="N344" s="6"/>
      <c r="O344" s="6"/>
      <c r="P344" s="6"/>
      <c r="Q344" s="4" t="s">
        <v>3934</v>
      </c>
    </row>
    <row r="345" spans="4:17">
      <c r="D345" s="6" t="s">
        <v>7243</v>
      </c>
      <c r="E345" s="4" t="s">
        <v>3394</v>
      </c>
      <c r="F345" s="6"/>
      <c r="G345" s="4"/>
      <c r="H345" s="6"/>
      <c r="I345" s="6"/>
      <c r="J345" s="4" t="str">
        <f t="shared" si="6"/>
        <v/>
      </c>
      <c r="K345" s="11"/>
      <c r="L345" s="9"/>
      <c r="M345" s="12"/>
      <c r="N345" s="6"/>
      <c r="O345" s="6"/>
      <c r="P345" s="6"/>
      <c r="Q345" s="4" t="s">
        <v>3935</v>
      </c>
    </row>
    <row r="346" spans="4:17">
      <c r="D346" s="6" t="s">
        <v>7244</v>
      </c>
      <c r="E346" s="4" t="s">
        <v>3394</v>
      </c>
      <c r="F346" s="6"/>
      <c r="G346" s="4"/>
      <c r="H346" s="6"/>
      <c r="I346" s="6"/>
      <c r="J346" s="4" t="str">
        <f t="shared" si="6"/>
        <v/>
      </c>
      <c r="K346" s="11"/>
      <c r="L346" s="9"/>
      <c r="M346" s="12"/>
      <c r="N346" s="6"/>
      <c r="O346" s="6"/>
      <c r="P346" s="6"/>
      <c r="Q346" s="4" t="s">
        <v>3936</v>
      </c>
    </row>
    <row r="347" spans="4:17">
      <c r="D347" s="6" t="s">
        <v>7245</v>
      </c>
      <c r="E347" s="4" t="s">
        <v>3394</v>
      </c>
      <c r="F347" s="6"/>
      <c r="G347" s="4"/>
      <c r="H347" s="6"/>
      <c r="I347" s="6"/>
      <c r="J347" s="4" t="str">
        <f t="shared" si="6"/>
        <v/>
      </c>
      <c r="K347" s="11"/>
      <c r="L347" s="9"/>
      <c r="M347" s="12"/>
      <c r="N347" s="6"/>
      <c r="O347" s="6"/>
      <c r="P347" s="6"/>
      <c r="Q347" s="4" t="s">
        <v>3937</v>
      </c>
    </row>
    <row r="348" spans="4:17">
      <c r="D348" s="6" t="s">
        <v>7246</v>
      </c>
      <c r="E348" s="4" t="s">
        <v>3394</v>
      </c>
      <c r="F348" s="6"/>
      <c r="G348" s="4"/>
      <c r="H348" s="6"/>
      <c r="I348" s="6"/>
      <c r="J348" s="4" t="str">
        <f t="shared" si="6"/>
        <v/>
      </c>
      <c r="K348" s="11"/>
      <c r="L348" s="9"/>
      <c r="M348" s="12"/>
      <c r="N348" s="6"/>
      <c r="O348" s="6"/>
      <c r="P348" s="6"/>
      <c r="Q348" s="4" t="s">
        <v>3938</v>
      </c>
    </row>
    <row r="349" spans="4:17">
      <c r="D349" s="6" t="s">
        <v>7247</v>
      </c>
      <c r="E349" s="4" t="s">
        <v>3394</v>
      </c>
      <c r="F349" s="6"/>
      <c r="G349" s="4"/>
      <c r="H349" s="6"/>
      <c r="I349" s="6"/>
      <c r="J349" s="4" t="str">
        <f t="shared" si="6"/>
        <v/>
      </c>
      <c r="K349" s="11"/>
      <c r="L349" s="9"/>
      <c r="M349" s="12"/>
      <c r="N349" s="6"/>
      <c r="O349" s="6"/>
      <c r="P349" s="6"/>
      <c r="Q349" s="4" t="s">
        <v>3939</v>
      </c>
    </row>
    <row r="350" spans="4:17">
      <c r="D350" s="6" t="s">
        <v>7248</v>
      </c>
      <c r="E350" s="4" t="s">
        <v>3394</v>
      </c>
      <c r="F350" s="6"/>
      <c r="G350" s="4"/>
      <c r="H350" s="6"/>
      <c r="I350" s="6"/>
      <c r="J350" s="4" t="str">
        <f t="shared" si="6"/>
        <v/>
      </c>
      <c r="K350" s="11"/>
      <c r="L350" s="9"/>
      <c r="M350" s="12"/>
      <c r="N350" s="6"/>
      <c r="O350" s="6"/>
      <c r="P350" s="6"/>
      <c r="Q350" s="4" t="s">
        <v>3940</v>
      </c>
    </row>
    <row r="351" spans="4:17">
      <c r="D351" s="6" t="s">
        <v>7249</v>
      </c>
      <c r="E351" s="4" t="s">
        <v>3394</v>
      </c>
      <c r="F351" s="6"/>
      <c r="G351" s="4"/>
      <c r="H351" s="6"/>
      <c r="I351" s="6"/>
      <c r="J351" s="4" t="str">
        <f t="shared" si="6"/>
        <v/>
      </c>
      <c r="K351" s="11"/>
      <c r="L351" s="9"/>
      <c r="M351" s="12"/>
      <c r="N351" s="6"/>
      <c r="O351" s="6"/>
      <c r="P351" s="6"/>
      <c r="Q351" s="4" t="s">
        <v>3941</v>
      </c>
    </row>
    <row r="352" spans="4:17">
      <c r="D352" s="6" t="s">
        <v>7250</v>
      </c>
      <c r="E352" s="4" t="s">
        <v>3394</v>
      </c>
      <c r="F352" s="6"/>
      <c r="G352" s="4"/>
      <c r="H352" s="6"/>
      <c r="I352" s="6"/>
      <c r="J352" s="4" t="str">
        <f t="shared" si="6"/>
        <v/>
      </c>
      <c r="K352" s="11"/>
      <c r="L352" s="9"/>
      <c r="M352" s="12"/>
      <c r="N352" s="6"/>
      <c r="O352" s="6"/>
      <c r="P352" s="6"/>
      <c r="Q352" s="4" t="s">
        <v>3942</v>
      </c>
    </row>
    <row r="353" spans="4:17">
      <c r="D353" s="6" t="s">
        <v>7251</v>
      </c>
      <c r="E353" s="4" t="s">
        <v>3394</v>
      </c>
      <c r="F353" s="6"/>
      <c r="G353" s="4"/>
      <c r="H353" s="6"/>
      <c r="I353" s="6"/>
      <c r="J353" s="4" t="str">
        <f t="shared" si="6"/>
        <v/>
      </c>
      <c r="K353" s="11"/>
      <c r="L353" s="9"/>
      <c r="M353" s="12"/>
      <c r="N353" s="6"/>
      <c r="O353" s="6"/>
      <c r="P353" s="6"/>
      <c r="Q353" s="4" t="s">
        <v>3943</v>
      </c>
    </row>
    <row r="354" spans="4:17">
      <c r="D354" s="6" t="s">
        <v>7252</v>
      </c>
      <c r="E354" s="4" t="s">
        <v>3394</v>
      </c>
      <c r="F354" s="6"/>
      <c r="G354" s="4"/>
      <c r="H354" s="6"/>
      <c r="I354" s="6"/>
      <c r="J354" s="4" t="str">
        <f t="shared" si="6"/>
        <v/>
      </c>
      <c r="K354" s="11"/>
      <c r="L354" s="9"/>
      <c r="M354" s="12"/>
      <c r="N354" s="6"/>
      <c r="O354" s="6"/>
      <c r="P354" s="6"/>
      <c r="Q354" s="4" t="s">
        <v>3944</v>
      </c>
    </row>
    <row r="355" spans="4:17">
      <c r="D355" s="6" t="s">
        <v>7253</v>
      </c>
      <c r="E355" s="4" t="s">
        <v>3394</v>
      </c>
      <c r="F355" s="6"/>
      <c r="G355" s="4"/>
      <c r="H355" s="6"/>
      <c r="I355" s="6"/>
      <c r="J355" s="4" t="str">
        <f t="shared" si="6"/>
        <v/>
      </c>
      <c r="K355" s="11"/>
      <c r="L355" s="9"/>
      <c r="M355" s="12"/>
      <c r="N355" s="6"/>
      <c r="O355" s="6"/>
      <c r="P355" s="6"/>
      <c r="Q355" s="4" t="s">
        <v>3945</v>
      </c>
    </row>
    <row r="356" spans="4:17">
      <c r="D356" s="6" t="s">
        <v>7254</v>
      </c>
      <c r="E356" s="4" t="s">
        <v>3401</v>
      </c>
      <c r="F356" s="6"/>
      <c r="G356" s="4"/>
      <c r="H356" s="6"/>
      <c r="I356" s="6"/>
      <c r="J356" s="4" t="str">
        <f t="shared" si="6"/>
        <v/>
      </c>
      <c r="K356" s="11"/>
      <c r="L356" s="9"/>
      <c r="M356" s="12"/>
      <c r="N356" s="6"/>
      <c r="O356" s="6"/>
      <c r="P356" s="6"/>
      <c r="Q356" s="4" t="s">
        <v>3946</v>
      </c>
    </row>
    <row r="357" spans="4:17">
      <c r="D357" s="6" t="s">
        <v>7255</v>
      </c>
      <c r="E357" s="4" t="s">
        <v>3401</v>
      </c>
      <c r="F357" s="6"/>
      <c r="G357" s="4"/>
      <c r="H357" s="6"/>
      <c r="I357" s="6"/>
      <c r="J357" s="4" t="str">
        <f t="shared" si="6"/>
        <v/>
      </c>
      <c r="K357" s="11"/>
      <c r="L357" s="9"/>
      <c r="M357" s="12"/>
      <c r="N357" s="6"/>
      <c r="O357" s="6"/>
      <c r="P357" s="6"/>
      <c r="Q357" s="4" t="s">
        <v>3947</v>
      </c>
    </row>
    <row r="358" spans="4:17">
      <c r="D358" s="6" t="s">
        <v>7256</v>
      </c>
      <c r="E358" s="4" t="s">
        <v>3401</v>
      </c>
      <c r="F358" s="6"/>
      <c r="G358" s="4"/>
      <c r="H358" s="6"/>
      <c r="I358" s="6"/>
      <c r="J358" s="4" t="str">
        <f t="shared" si="6"/>
        <v/>
      </c>
      <c r="K358" s="11"/>
      <c r="L358" s="9"/>
      <c r="M358" s="12"/>
      <c r="N358" s="6"/>
      <c r="O358" s="6"/>
      <c r="P358" s="6"/>
      <c r="Q358" s="4" t="s">
        <v>3948</v>
      </c>
    </row>
    <row r="359" spans="4:17">
      <c r="D359" s="6" t="s">
        <v>7257</v>
      </c>
      <c r="E359" s="4" t="s">
        <v>3401</v>
      </c>
      <c r="F359" s="6"/>
      <c r="G359" s="4"/>
      <c r="H359" s="6"/>
      <c r="I359" s="6"/>
      <c r="J359" s="4" t="str">
        <f t="shared" si="6"/>
        <v/>
      </c>
      <c r="K359" s="11"/>
      <c r="L359" s="9"/>
      <c r="M359" s="12"/>
      <c r="N359" s="6"/>
      <c r="O359" s="6"/>
      <c r="P359" s="6"/>
      <c r="Q359" s="4" t="s">
        <v>3949</v>
      </c>
    </row>
    <row r="360" spans="4:17">
      <c r="D360" s="6" t="s">
        <v>7258</v>
      </c>
      <c r="E360" s="4" t="s">
        <v>3401</v>
      </c>
      <c r="F360" s="6"/>
      <c r="G360" s="4"/>
      <c r="H360" s="6"/>
      <c r="I360" s="6"/>
      <c r="J360" s="4" t="str">
        <f t="shared" si="6"/>
        <v/>
      </c>
      <c r="K360" s="11"/>
      <c r="L360" s="9"/>
      <c r="M360" s="12"/>
      <c r="N360" s="6"/>
      <c r="O360" s="6"/>
      <c r="P360" s="6"/>
      <c r="Q360" s="4" t="s">
        <v>3950</v>
      </c>
    </row>
    <row r="361" spans="4:17">
      <c r="D361" s="6" t="s">
        <v>7259</v>
      </c>
      <c r="E361" s="4" t="s">
        <v>3401</v>
      </c>
      <c r="F361" s="6"/>
      <c r="G361" s="4"/>
      <c r="H361" s="6"/>
      <c r="I361" s="6"/>
      <c r="J361" s="4" t="str">
        <f t="shared" si="6"/>
        <v/>
      </c>
      <c r="K361" s="11"/>
      <c r="L361" s="9"/>
      <c r="M361" s="12"/>
      <c r="N361" s="6"/>
      <c r="O361" s="6"/>
      <c r="P361" s="6"/>
      <c r="Q361" s="4" t="s">
        <v>3951</v>
      </c>
    </row>
    <row r="362" spans="4:17">
      <c r="D362" s="6" t="s">
        <v>7260</v>
      </c>
      <c r="E362" s="4" t="s">
        <v>3401</v>
      </c>
      <c r="F362" s="6"/>
      <c r="G362" s="4"/>
      <c r="H362" s="6"/>
      <c r="I362" s="6"/>
      <c r="J362" s="4" t="str">
        <f t="shared" si="6"/>
        <v/>
      </c>
      <c r="K362" s="11"/>
      <c r="L362" s="9"/>
      <c r="M362" s="12"/>
      <c r="N362" s="6"/>
      <c r="O362" s="6"/>
      <c r="P362" s="6"/>
      <c r="Q362" s="4" t="s">
        <v>3952</v>
      </c>
    </row>
    <row r="363" spans="4:17">
      <c r="D363" s="6" t="s">
        <v>7261</v>
      </c>
      <c r="E363" s="4" t="s">
        <v>3401</v>
      </c>
      <c r="F363" s="6"/>
      <c r="G363" s="4"/>
      <c r="H363" s="6"/>
      <c r="I363" s="6"/>
      <c r="J363" s="4" t="str">
        <f t="shared" si="6"/>
        <v/>
      </c>
      <c r="K363" s="11"/>
      <c r="L363" s="9"/>
      <c r="M363" s="12"/>
      <c r="N363" s="6"/>
      <c r="O363" s="6"/>
      <c r="P363" s="6"/>
      <c r="Q363" s="4" t="s">
        <v>3953</v>
      </c>
    </row>
    <row r="364" spans="4:17">
      <c r="D364" s="6" t="s">
        <v>7262</v>
      </c>
      <c r="E364" s="4" t="s">
        <v>3401</v>
      </c>
      <c r="F364" s="6"/>
      <c r="G364" s="4"/>
      <c r="H364" s="6"/>
      <c r="I364" s="6"/>
      <c r="J364" s="4" t="str">
        <f t="shared" si="6"/>
        <v/>
      </c>
      <c r="K364" s="11"/>
      <c r="L364" s="9"/>
      <c r="M364" s="12"/>
      <c r="N364" s="6"/>
      <c r="O364" s="6"/>
      <c r="P364" s="6"/>
      <c r="Q364" s="4" t="s">
        <v>3954</v>
      </c>
    </row>
    <row r="365" spans="4:17">
      <c r="D365" s="6" t="s">
        <v>7263</v>
      </c>
      <c r="E365" s="4" t="s">
        <v>3401</v>
      </c>
      <c r="F365" s="6"/>
      <c r="G365" s="4"/>
      <c r="H365" s="6"/>
      <c r="I365" s="6"/>
      <c r="J365" s="4" t="str">
        <f t="shared" si="6"/>
        <v/>
      </c>
      <c r="K365" s="11"/>
      <c r="L365" s="9"/>
      <c r="M365" s="12"/>
      <c r="N365" s="6"/>
      <c r="O365" s="6"/>
      <c r="P365" s="6"/>
      <c r="Q365" s="4" t="s">
        <v>3955</v>
      </c>
    </row>
    <row r="366" spans="4:17">
      <c r="D366" s="6" t="s">
        <v>7264</v>
      </c>
      <c r="E366" s="4" t="s">
        <v>3401</v>
      </c>
      <c r="F366" s="6"/>
      <c r="G366" s="4"/>
      <c r="H366" s="6"/>
      <c r="I366" s="6"/>
      <c r="J366" s="4" t="str">
        <f t="shared" si="6"/>
        <v/>
      </c>
      <c r="K366" s="11"/>
      <c r="L366" s="9"/>
      <c r="M366" s="12"/>
      <c r="N366" s="6"/>
      <c r="O366" s="6"/>
      <c r="P366" s="6"/>
      <c r="Q366" s="4" t="s">
        <v>3956</v>
      </c>
    </row>
    <row r="367" spans="4:17">
      <c r="D367" s="6" t="s">
        <v>7265</v>
      </c>
      <c r="E367" s="4" t="s">
        <v>3401</v>
      </c>
      <c r="F367" s="6"/>
      <c r="G367" s="4"/>
      <c r="H367" s="6"/>
      <c r="I367" s="6"/>
      <c r="J367" s="4" t="str">
        <f t="shared" si="6"/>
        <v/>
      </c>
      <c r="K367" s="11"/>
      <c r="L367" s="9"/>
      <c r="M367" s="12"/>
      <c r="N367" s="6"/>
      <c r="O367" s="6"/>
      <c r="P367" s="6"/>
      <c r="Q367" s="4" t="s">
        <v>3957</v>
      </c>
    </row>
    <row r="368" spans="4:17">
      <c r="D368" s="6" t="s">
        <v>7266</v>
      </c>
      <c r="E368" s="4" t="s">
        <v>3401</v>
      </c>
      <c r="F368" s="6"/>
      <c r="G368" s="4"/>
      <c r="H368" s="6"/>
      <c r="I368" s="6"/>
      <c r="J368" s="4" t="str">
        <f t="shared" si="6"/>
        <v/>
      </c>
      <c r="K368" s="11"/>
      <c r="L368" s="9"/>
      <c r="M368" s="12"/>
      <c r="N368" s="6"/>
      <c r="O368" s="6"/>
      <c r="P368" s="6"/>
      <c r="Q368" s="4" t="s">
        <v>3958</v>
      </c>
    </row>
    <row r="369" spans="4:17">
      <c r="D369" s="6" t="s">
        <v>7267</v>
      </c>
      <c r="E369" s="4" t="s">
        <v>3401</v>
      </c>
      <c r="F369" s="6"/>
      <c r="G369" s="4"/>
      <c r="H369" s="6"/>
      <c r="I369" s="6"/>
      <c r="J369" s="4" t="str">
        <f t="shared" si="6"/>
        <v/>
      </c>
      <c r="K369" s="11"/>
      <c r="L369" s="9"/>
      <c r="M369" s="12"/>
      <c r="N369" s="6"/>
      <c r="O369" s="6"/>
      <c r="P369" s="6"/>
      <c r="Q369" s="4" t="s">
        <v>3959</v>
      </c>
    </row>
    <row r="370" spans="4:17">
      <c r="D370" s="6" t="s">
        <v>7268</v>
      </c>
      <c r="E370" s="4" t="s">
        <v>3401</v>
      </c>
      <c r="F370" s="6"/>
      <c r="G370" s="4"/>
      <c r="H370" s="6"/>
      <c r="I370" s="6"/>
      <c r="J370" s="4" t="str">
        <f t="shared" si="6"/>
        <v/>
      </c>
      <c r="K370" s="11"/>
      <c r="L370" s="9"/>
      <c r="M370" s="12"/>
      <c r="N370" s="6"/>
      <c r="O370" s="6"/>
      <c r="P370" s="6"/>
      <c r="Q370" s="4" t="s">
        <v>3960</v>
      </c>
    </row>
    <row r="371" spans="4:17">
      <c r="D371" s="6" t="s">
        <v>7269</v>
      </c>
      <c r="E371" s="4" t="s">
        <v>3401</v>
      </c>
      <c r="F371" s="6"/>
      <c r="G371" s="4"/>
      <c r="H371" s="6"/>
      <c r="I371" s="6"/>
      <c r="J371" s="4" t="str">
        <f t="shared" si="6"/>
        <v/>
      </c>
      <c r="K371" s="11"/>
      <c r="L371" s="9"/>
      <c r="M371" s="12"/>
      <c r="N371" s="6"/>
      <c r="O371" s="6"/>
      <c r="P371" s="6"/>
      <c r="Q371" s="4" t="s">
        <v>3961</v>
      </c>
    </row>
    <row r="372" spans="4:17">
      <c r="D372" s="6" t="s">
        <v>7270</v>
      </c>
      <c r="E372" s="4" t="s">
        <v>3401</v>
      </c>
      <c r="F372" s="6"/>
      <c r="G372" s="4"/>
      <c r="H372" s="6"/>
      <c r="I372" s="6"/>
      <c r="J372" s="4" t="str">
        <f t="shared" si="6"/>
        <v/>
      </c>
      <c r="K372" s="11"/>
      <c r="L372" s="9"/>
      <c r="M372" s="12"/>
      <c r="N372" s="6"/>
      <c r="O372" s="6"/>
      <c r="P372" s="6"/>
      <c r="Q372" s="4" t="s">
        <v>3962</v>
      </c>
    </row>
    <row r="373" spans="4:17">
      <c r="D373" s="6" t="s">
        <v>7271</v>
      </c>
      <c r="E373" s="4" t="s">
        <v>3401</v>
      </c>
      <c r="F373" s="6"/>
      <c r="G373" s="4"/>
      <c r="H373" s="6"/>
      <c r="I373" s="6"/>
      <c r="J373" s="4" t="str">
        <f t="shared" si="6"/>
        <v/>
      </c>
      <c r="K373" s="11"/>
      <c r="L373" s="9"/>
      <c r="M373" s="12"/>
      <c r="N373" s="6"/>
      <c r="O373" s="6"/>
      <c r="P373" s="6"/>
      <c r="Q373" s="4" t="s">
        <v>3963</v>
      </c>
    </row>
    <row r="374" spans="4:17">
      <c r="D374" s="6" t="s">
        <v>7272</v>
      </c>
      <c r="E374" s="4" t="s">
        <v>3401</v>
      </c>
      <c r="F374" s="6"/>
      <c r="G374" s="4"/>
      <c r="H374" s="6"/>
      <c r="I374" s="6"/>
      <c r="J374" s="4" t="str">
        <f t="shared" si="6"/>
        <v/>
      </c>
      <c r="K374" s="11"/>
      <c r="L374" s="9"/>
      <c r="M374" s="12"/>
      <c r="N374" s="6"/>
      <c r="O374" s="6"/>
      <c r="P374" s="6"/>
      <c r="Q374" s="4" t="s">
        <v>3964</v>
      </c>
    </row>
    <row r="375" spans="4:17">
      <c r="D375" s="6" t="s">
        <v>7273</v>
      </c>
      <c r="E375" s="4" t="s">
        <v>3401</v>
      </c>
      <c r="F375" s="6"/>
      <c r="G375" s="4"/>
      <c r="H375" s="6"/>
      <c r="I375" s="6"/>
      <c r="J375" s="4" t="str">
        <f t="shared" si="6"/>
        <v/>
      </c>
      <c r="K375" s="11"/>
      <c r="L375" s="9"/>
      <c r="M375" s="12"/>
      <c r="N375" s="6"/>
      <c r="O375" s="6"/>
      <c r="P375" s="6"/>
      <c r="Q375" s="4" t="s">
        <v>3965</v>
      </c>
    </row>
    <row r="376" spans="4:17">
      <c r="D376" s="6" t="s">
        <v>7274</v>
      </c>
      <c r="E376" s="4" t="s">
        <v>3408</v>
      </c>
      <c r="F376" s="6"/>
      <c r="G376" s="4"/>
      <c r="H376" s="6"/>
      <c r="I376" s="6"/>
      <c r="J376" s="4" t="str">
        <f t="shared" si="6"/>
        <v/>
      </c>
      <c r="K376" s="11"/>
      <c r="L376" s="9"/>
      <c r="M376" s="12"/>
      <c r="N376" s="6"/>
      <c r="O376" s="6"/>
      <c r="P376" s="6"/>
      <c r="Q376" s="4" t="s">
        <v>3966</v>
      </c>
    </row>
    <row r="377" spans="4:17">
      <c r="D377" s="6" t="s">
        <v>7275</v>
      </c>
      <c r="E377" s="4" t="s">
        <v>3408</v>
      </c>
      <c r="F377" s="6"/>
      <c r="G377" s="4"/>
      <c r="H377" s="6"/>
      <c r="I377" s="6"/>
      <c r="J377" s="4" t="str">
        <f t="shared" si="6"/>
        <v/>
      </c>
      <c r="K377" s="11"/>
      <c r="L377" s="9"/>
      <c r="M377" s="12"/>
      <c r="N377" s="6"/>
      <c r="O377" s="6"/>
      <c r="P377" s="6"/>
      <c r="Q377" s="4" t="s">
        <v>3967</v>
      </c>
    </row>
    <row r="378" spans="4:17">
      <c r="D378" s="6" t="s">
        <v>7276</v>
      </c>
      <c r="E378" s="4" t="s">
        <v>3408</v>
      </c>
      <c r="F378" s="6"/>
      <c r="G378" s="4"/>
      <c r="H378" s="6"/>
      <c r="I378" s="6"/>
      <c r="J378" s="4" t="str">
        <f t="shared" si="6"/>
        <v/>
      </c>
      <c r="K378" s="11"/>
      <c r="L378" s="9"/>
      <c r="M378" s="12"/>
      <c r="N378" s="6"/>
      <c r="O378" s="6"/>
      <c r="P378" s="6"/>
      <c r="Q378" s="4" t="s">
        <v>3968</v>
      </c>
    </row>
    <row r="379" spans="4:17">
      <c r="D379" s="6" t="s">
        <v>7277</v>
      </c>
      <c r="E379" s="4" t="s">
        <v>3408</v>
      </c>
      <c r="F379" s="6"/>
      <c r="G379" s="4"/>
      <c r="H379" s="6"/>
      <c r="I379" s="6"/>
      <c r="J379" s="4" t="str">
        <f t="shared" si="6"/>
        <v/>
      </c>
      <c r="K379" s="11"/>
      <c r="L379" s="9"/>
      <c r="M379" s="12"/>
      <c r="N379" s="6"/>
      <c r="O379" s="6"/>
      <c r="P379" s="6"/>
      <c r="Q379" s="4" t="s">
        <v>3969</v>
      </c>
    </row>
    <row r="380" spans="4:17">
      <c r="D380" s="6" t="s">
        <v>7278</v>
      </c>
      <c r="E380" s="4" t="s">
        <v>3408</v>
      </c>
      <c r="F380" s="6"/>
      <c r="G380" s="4"/>
      <c r="H380" s="6"/>
      <c r="I380" s="6"/>
      <c r="J380" s="4" t="str">
        <f t="shared" ref="J380:J443" si="7">F380&amp;H380&amp;I380</f>
        <v/>
      </c>
      <c r="K380" s="11"/>
      <c r="L380" s="9"/>
      <c r="M380" s="12"/>
      <c r="N380" s="6"/>
      <c r="O380" s="6"/>
      <c r="P380" s="6"/>
      <c r="Q380" s="4" t="s">
        <v>3970</v>
      </c>
    </row>
    <row r="381" spans="4:17">
      <c r="D381" s="6" t="s">
        <v>7279</v>
      </c>
      <c r="E381" s="4" t="s">
        <v>3408</v>
      </c>
      <c r="F381" s="6"/>
      <c r="G381" s="4"/>
      <c r="H381" s="6"/>
      <c r="I381" s="6"/>
      <c r="J381" s="4" t="str">
        <f t="shared" si="7"/>
        <v/>
      </c>
      <c r="K381" s="11"/>
      <c r="L381" s="9"/>
      <c r="M381" s="12"/>
      <c r="N381" s="6"/>
      <c r="O381" s="6"/>
      <c r="P381" s="6"/>
      <c r="Q381" s="4" t="s">
        <v>3971</v>
      </c>
    </row>
    <row r="382" spans="4:17">
      <c r="D382" s="6" t="s">
        <v>7280</v>
      </c>
      <c r="E382" s="4" t="s">
        <v>3408</v>
      </c>
      <c r="F382" s="6"/>
      <c r="G382" s="4"/>
      <c r="H382" s="6"/>
      <c r="I382" s="6"/>
      <c r="J382" s="4" t="str">
        <f t="shared" si="7"/>
        <v/>
      </c>
      <c r="K382" s="11"/>
      <c r="L382" s="9"/>
      <c r="M382" s="12"/>
      <c r="N382" s="6"/>
      <c r="O382" s="6"/>
      <c r="P382" s="6"/>
      <c r="Q382" s="4" t="s">
        <v>3972</v>
      </c>
    </row>
    <row r="383" spans="4:17">
      <c r="D383" s="6" t="s">
        <v>7281</v>
      </c>
      <c r="E383" s="4" t="s">
        <v>3408</v>
      </c>
      <c r="F383" s="6"/>
      <c r="G383" s="4"/>
      <c r="H383" s="6"/>
      <c r="I383" s="6"/>
      <c r="J383" s="4" t="str">
        <f t="shared" si="7"/>
        <v/>
      </c>
      <c r="K383" s="11"/>
      <c r="L383" s="9"/>
      <c r="M383" s="12"/>
      <c r="N383" s="6"/>
      <c r="O383" s="6"/>
      <c r="P383" s="6"/>
      <c r="Q383" s="4" t="s">
        <v>3973</v>
      </c>
    </row>
    <row r="384" spans="4:17">
      <c r="D384" s="6" t="s">
        <v>7282</v>
      </c>
      <c r="E384" s="4" t="s">
        <v>3408</v>
      </c>
      <c r="F384" s="6"/>
      <c r="G384" s="4"/>
      <c r="H384" s="6"/>
      <c r="I384" s="6"/>
      <c r="J384" s="4" t="str">
        <f t="shared" si="7"/>
        <v/>
      </c>
      <c r="K384" s="11"/>
      <c r="L384" s="9"/>
      <c r="M384" s="12"/>
      <c r="N384" s="6"/>
      <c r="O384" s="6"/>
      <c r="P384" s="6"/>
      <c r="Q384" s="4" t="s">
        <v>3974</v>
      </c>
    </row>
    <row r="385" spans="4:17">
      <c r="D385" s="6" t="s">
        <v>7283</v>
      </c>
      <c r="E385" s="4" t="s">
        <v>3408</v>
      </c>
      <c r="F385" s="6"/>
      <c r="G385" s="4"/>
      <c r="H385" s="6"/>
      <c r="I385" s="6"/>
      <c r="J385" s="4" t="str">
        <f t="shared" si="7"/>
        <v/>
      </c>
      <c r="K385" s="11"/>
      <c r="L385" s="9"/>
      <c r="M385" s="12"/>
      <c r="N385" s="6"/>
      <c r="O385" s="6"/>
      <c r="P385" s="6"/>
      <c r="Q385" s="4" t="s">
        <v>3975</v>
      </c>
    </row>
    <row r="386" spans="4:17">
      <c r="D386" s="6" t="s">
        <v>7284</v>
      </c>
      <c r="E386" s="4" t="s">
        <v>3408</v>
      </c>
      <c r="F386" s="6"/>
      <c r="G386" s="4"/>
      <c r="H386" s="6"/>
      <c r="I386" s="6"/>
      <c r="J386" s="4" t="str">
        <f t="shared" si="7"/>
        <v/>
      </c>
      <c r="K386" s="11"/>
      <c r="L386" s="9"/>
      <c r="M386" s="12"/>
      <c r="N386" s="6"/>
      <c r="O386" s="6"/>
      <c r="P386" s="6"/>
      <c r="Q386" s="4" t="s">
        <v>3976</v>
      </c>
    </row>
    <row r="387" spans="4:17">
      <c r="D387" s="6" t="s">
        <v>7285</v>
      </c>
      <c r="E387" s="4" t="s">
        <v>3408</v>
      </c>
      <c r="F387" s="6"/>
      <c r="G387" s="4"/>
      <c r="H387" s="6"/>
      <c r="I387" s="6"/>
      <c r="J387" s="4" t="str">
        <f t="shared" si="7"/>
        <v/>
      </c>
      <c r="K387" s="11"/>
      <c r="L387" s="9"/>
      <c r="M387" s="12"/>
      <c r="N387" s="6"/>
      <c r="O387" s="6"/>
      <c r="P387" s="6"/>
      <c r="Q387" s="4" t="s">
        <v>3977</v>
      </c>
    </row>
    <row r="388" spans="4:17">
      <c r="D388" s="6" t="s">
        <v>7286</v>
      </c>
      <c r="E388" s="4" t="s">
        <v>3408</v>
      </c>
      <c r="F388" s="6"/>
      <c r="G388" s="4"/>
      <c r="H388" s="6"/>
      <c r="I388" s="6"/>
      <c r="J388" s="4" t="str">
        <f t="shared" si="7"/>
        <v/>
      </c>
      <c r="K388" s="11"/>
      <c r="L388" s="9"/>
      <c r="M388" s="12"/>
      <c r="N388" s="6"/>
      <c r="O388" s="6"/>
      <c r="P388" s="6"/>
      <c r="Q388" s="4" t="s">
        <v>3978</v>
      </c>
    </row>
    <row r="389" spans="4:17">
      <c r="D389" s="6" t="s">
        <v>7287</v>
      </c>
      <c r="E389" s="4" t="s">
        <v>3408</v>
      </c>
      <c r="F389" s="6"/>
      <c r="G389" s="4"/>
      <c r="H389" s="6"/>
      <c r="I389" s="6"/>
      <c r="J389" s="4" t="str">
        <f t="shared" si="7"/>
        <v/>
      </c>
      <c r="K389" s="11"/>
      <c r="L389" s="9"/>
      <c r="M389" s="12"/>
      <c r="N389" s="6"/>
      <c r="O389" s="6"/>
      <c r="P389" s="6"/>
      <c r="Q389" s="4" t="s">
        <v>3979</v>
      </c>
    </row>
    <row r="390" spans="4:17">
      <c r="D390" s="6" t="s">
        <v>7288</v>
      </c>
      <c r="E390" s="4" t="s">
        <v>3408</v>
      </c>
      <c r="F390" s="6"/>
      <c r="G390" s="4"/>
      <c r="H390" s="6"/>
      <c r="I390" s="6"/>
      <c r="J390" s="4" t="str">
        <f t="shared" si="7"/>
        <v/>
      </c>
      <c r="K390" s="11"/>
      <c r="L390" s="9"/>
      <c r="M390" s="12"/>
      <c r="N390" s="6"/>
      <c r="O390" s="6"/>
      <c r="P390" s="6"/>
      <c r="Q390" s="4" t="s">
        <v>3980</v>
      </c>
    </row>
    <row r="391" spans="4:17">
      <c r="D391" s="6" t="s">
        <v>7289</v>
      </c>
      <c r="E391" s="4" t="s">
        <v>3408</v>
      </c>
      <c r="F391" s="6"/>
      <c r="G391" s="4"/>
      <c r="H391" s="6"/>
      <c r="I391" s="6"/>
      <c r="J391" s="4" t="str">
        <f t="shared" si="7"/>
        <v/>
      </c>
      <c r="K391" s="11"/>
      <c r="L391" s="9"/>
      <c r="M391" s="12"/>
      <c r="N391" s="6"/>
      <c r="O391" s="6"/>
      <c r="P391" s="6"/>
      <c r="Q391" s="4" t="s">
        <v>3981</v>
      </c>
    </row>
    <row r="392" spans="4:17">
      <c r="D392" s="6" t="s">
        <v>7290</v>
      </c>
      <c r="E392" s="4" t="s">
        <v>3408</v>
      </c>
      <c r="F392" s="6"/>
      <c r="G392" s="4"/>
      <c r="H392" s="6"/>
      <c r="I392" s="6"/>
      <c r="J392" s="4" t="str">
        <f t="shared" si="7"/>
        <v/>
      </c>
      <c r="K392" s="11"/>
      <c r="L392" s="9"/>
      <c r="M392" s="12"/>
      <c r="N392" s="6"/>
      <c r="O392" s="6"/>
      <c r="P392" s="6"/>
      <c r="Q392" s="4" t="s">
        <v>3982</v>
      </c>
    </row>
    <row r="393" spans="4:17">
      <c r="D393" s="6" t="s">
        <v>7291</v>
      </c>
      <c r="E393" s="4" t="s">
        <v>3408</v>
      </c>
      <c r="F393" s="6"/>
      <c r="G393" s="4"/>
      <c r="H393" s="6"/>
      <c r="I393" s="6"/>
      <c r="J393" s="4" t="str">
        <f t="shared" si="7"/>
        <v/>
      </c>
      <c r="K393" s="11"/>
      <c r="L393" s="9"/>
      <c r="M393" s="12"/>
      <c r="N393" s="6"/>
      <c r="O393" s="6"/>
      <c r="P393" s="6"/>
      <c r="Q393" s="4" t="s">
        <v>3983</v>
      </c>
    </row>
    <row r="394" spans="4:17">
      <c r="D394" s="6" t="s">
        <v>7292</v>
      </c>
      <c r="E394" s="4" t="s">
        <v>3408</v>
      </c>
      <c r="F394" s="6"/>
      <c r="G394" s="4"/>
      <c r="H394" s="6"/>
      <c r="I394" s="6"/>
      <c r="J394" s="4" t="str">
        <f t="shared" si="7"/>
        <v/>
      </c>
      <c r="K394" s="11"/>
      <c r="L394" s="9"/>
      <c r="M394" s="12"/>
      <c r="N394" s="6"/>
      <c r="O394" s="6"/>
      <c r="P394" s="6"/>
      <c r="Q394" s="4" t="s">
        <v>3984</v>
      </c>
    </row>
    <row r="395" spans="4:17">
      <c r="D395" s="6" t="s">
        <v>7293</v>
      </c>
      <c r="E395" s="4" t="s">
        <v>3408</v>
      </c>
      <c r="F395" s="6"/>
      <c r="G395" s="4"/>
      <c r="H395" s="6"/>
      <c r="I395" s="6"/>
      <c r="J395" s="4" t="str">
        <f t="shared" si="7"/>
        <v/>
      </c>
      <c r="K395" s="11"/>
      <c r="L395" s="9"/>
      <c r="M395" s="12"/>
      <c r="N395" s="6"/>
      <c r="O395" s="6"/>
      <c r="P395" s="6"/>
      <c r="Q395" s="4" t="s">
        <v>3985</v>
      </c>
    </row>
    <row r="396" spans="4:17">
      <c r="D396" s="6" t="s">
        <v>7294</v>
      </c>
      <c r="E396" s="4" t="s">
        <v>3415</v>
      </c>
      <c r="F396" s="6"/>
      <c r="G396" s="4"/>
      <c r="H396" s="6"/>
      <c r="I396" s="6"/>
      <c r="J396" s="4" t="str">
        <f t="shared" si="7"/>
        <v/>
      </c>
      <c r="K396" s="11"/>
      <c r="L396" s="9"/>
      <c r="M396" s="12"/>
      <c r="N396" s="6"/>
      <c r="O396" s="6"/>
      <c r="P396" s="6"/>
      <c r="Q396" s="4" t="s">
        <v>3986</v>
      </c>
    </row>
    <row r="397" spans="4:17">
      <c r="D397" s="6" t="s">
        <v>7295</v>
      </c>
      <c r="E397" s="4" t="s">
        <v>3415</v>
      </c>
      <c r="F397" s="6"/>
      <c r="G397" s="4"/>
      <c r="H397" s="6"/>
      <c r="I397" s="6"/>
      <c r="J397" s="4" t="str">
        <f t="shared" si="7"/>
        <v/>
      </c>
      <c r="K397" s="11"/>
      <c r="L397" s="9"/>
      <c r="M397" s="12"/>
      <c r="N397" s="6"/>
      <c r="O397" s="6"/>
      <c r="P397" s="6"/>
      <c r="Q397" s="4" t="s">
        <v>3987</v>
      </c>
    </row>
    <row r="398" spans="4:17">
      <c r="D398" s="6" t="s">
        <v>7296</v>
      </c>
      <c r="E398" s="4" t="s">
        <v>3415</v>
      </c>
      <c r="F398" s="6"/>
      <c r="G398" s="4"/>
      <c r="H398" s="6"/>
      <c r="I398" s="6"/>
      <c r="J398" s="4" t="str">
        <f t="shared" si="7"/>
        <v/>
      </c>
      <c r="K398" s="11"/>
      <c r="L398" s="9"/>
      <c r="M398" s="12"/>
      <c r="N398" s="6"/>
      <c r="O398" s="6"/>
      <c r="P398" s="6"/>
      <c r="Q398" s="4" t="s">
        <v>3988</v>
      </c>
    </row>
    <row r="399" spans="4:17">
      <c r="D399" s="6" t="s">
        <v>7297</v>
      </c>
      <c r="E399" s="4" t="s">
        <v>3415</v>
      </c>
      <c r="F399" s="6"/>
      <c r="G399" s="4"/>
      <c r="H399" s="6"/>
      <c r="I399" s="6"/>
      <c r="J399" s="4" t="str">
        <f t="shared" si="7"/>
        <v/>
      </c>
      <c r="K399" s="11"/>
      <c r="L399" s="9"/>
      <c r="M399" s="12"/>
      <c r="N399" s="6"/>
      <c r="O399" s="6"/>
      <c r="P399" s="6"/>
      <c r="Q399" s="4" t="s">
        <v>3989</v>
      </c>
    </row>
    <row r="400" spans="4:17">
      <c r="D400" s="6" t="s">
        <v>7298</v>
      </c>
      <c r="E400" s="4" t="s">
        <v>3415</v>
      </c>
      <c r="F400" s="6"/>
      <c r="G400" s="4"/>
      <c r="H400" s="6"/>
      <c r="I400" s="6"/>
      <c r="J400" s="4" t="str">
        <f t="shared" si="7"/>
        <v/>
      </c>
      <c r="K400" s="11"/>
      <c r="L400" s="9"/>
      <c r="M400" s="12"/>
      <c r="N400" s="6"/>
      <c r="O400" s="6"/>
      <c r="P400" s="6"/>
      <c r="Q400" s="4" t="s">
        <v>3990</v>
      </c>
    </row>
    <row r="401" spans="4:17">
      <c r="D401" s="6" t="s">
        <v>7299</v>
      </c>
      <c r="E401" s="4" t="s">
        <v>3415</v>
      </c>
      <c r="F401" s="6"/>
      <c r="G401" s="4"/>
      <c r="H401" s="6"/>
      <c r="I401" s="6"/>
      <c r="J401" s="4" t="str">
        <f t="shared" si="7"/>
        <v/>
      </c>
      <c r="K401" s="11"/>
      <c r="L401" s="9"/>
      <c r="M401" s="12"/>
      <c r="N401" s="6"/>
      <c r="O401" s="6"/>
      <c r="P401" s="6"/>
      <c r="Q401" s="4" t="s">
        <v>3991</v>
      </c>
    </row>
    <row r="402" spans="4:17">
      <c r="D402" s="6" t="s">
        <v>7300</v>
      </c>
      <c r="E402" s="4" t="s">
        <v>3415</v>
      </c>
      <c r="F402" s="6"/>
      <c r="G402" s="4"/>
      <c r="H402" s="6"/>
      <c r="I402" s="6"/>
      <c r="J402" s="4" t="str">
        <f t="shared" si="7"/>
        <v/>
      </c>
      <c r="K402" s="11"/>
      <c r="L402" s="9"/>
      <c r="M402" s="12"/>
      <c r="N402" s="6"/>
      <c r="O402" s="6"/>
      <c r="P402" s="6"/>
      <c r="Q402" s="4" t="s">
        <v>3992</v>
      </c>
    </row>
    <row r="403" spans="4:17">
      <c r="D403" s="6" t="s">
        <v>7301</v>
      </c>
      <c r="E403" s="4" t="s">
        <v>3415</v>
      </c>
      <c r="F403" s="6"/>
      <c r="G403" s="4"/>
      <c r="H403" s="6"/>
      <c r="I403" s="6"/>
      <c r="J403" s="4" t="str">
        <f t="shared" si="7"/>
        <v/>
      </c>
      <c r="K403" s="11"/>
      <c r="L403" s="9"/>
      <c r="M403" s="12"/>
      <c r="N403" s="6"/>
      <c r="O403" s="6"/>
      <c r="P403" s="6"/>
      <c r="Q403" s="4" t="s">
        <v>3993</v>
      </c>
    </row>
    <row r="404" spans="4:17">
      <c r="D404" s="6" t="s">
        <v>7302</v>
      </c>
      <c r="E404" s="4" t="s">
        <v>3415</v>
      </c>
      <c r="F404" s="6"/>
      <c r="G404" s="4"/>
      <c r="H404" s="6"/>
      <c r="I404" s="6"/>
      <c r="J404" s="4" t="str">
        <f t="shared" si="7"/>
        <v/>
      </c>
      <c r="K404" s="11"/>
      <c r="L404" s="9"/>
      <c r="M404" s="12"/>
      <c r="N404" s="6"/>
      <c r="O404" s="6"/>
      <c r="P404" s="6"/>
      <c r="Q404" s="4" t="s">
        <v>3994</v>
      </c>
    </row>
    <row r="405" spans="4:17">
      <c r="D405" s="6" t="s">
        <v>7303</v>
      </c>
      <c r="E405" s="4" t="s">
        <v>3415</v>
      </c>
      <c r="F405" s="6"/>
      <c r="G405" s="4"/>
      <c r="H405" s="6"/>
      <c r="I405" s="6"/>
      <c r="J405" s="4" t="str">
        <f t="shared" si="7"/>
        <v/>
      </c>
      <c r="K405" s="11"/>
      <c r="L405" s="9"/>
      <c r="M405" s="12"/>
      <c r="N405" s="6"/>
      <c r="O405" s="6"/>
      <c r="P405" s="6"/>
      <c r="Q405" s="4" t="s">
        <v>3995</v>
      </c>
    </row>
    <row r="406" spans="4:17">
      <c r="D406" s="6" t="s">
        <v>7304</v>
      </c>
      <c r="E406" s="4" t="s">
        <v>3415</v>
      </c>
      <c r="F406" s="6"/>
      <c r="G406" s="4"/>
      <c r="H406" s="6"/>
      <c r="I406" s="6"/>
      <c r="J406" s="4" t="str">
        <f t="shared" si="7"/>
        <v/>
      </c>
      <c r="K406" s="11"/>
      <c r="L406" s="9"/>
      <c r="M406" s="12"/>
      <c r="N406" s="6"/>
      <c r="O406" s="6"/>
      <c r="P406" s="6"/>
      <c r="Q406" s="4" t="s">
        <v>3996</v>
      </c>
    </row>
    <row r="407" spans="4:17">
      <c r="D407" s="6" t="s">
        <v>7305</v>
      </c>
      <c r="E407" s="4" t="s">
        <v>3415</v>
      </c>
      <c r="F407" s="6"/>
      <c r="G407" s="4"/>
      <c r="H407" s="6"/>
      <c r="I407" s="6"/>
      <c r="J407" s="4" t="str">
        <f t="shared" si="7"/>
        <v/>
      </c>
      <c r="K407" s="11"/>
      <c r="L407" s="9"/>
      <c r="M407" s="12"/>
      <c r="N407" s="6"/>
      <c r="O407" s="6"/>
      <c r="P407" s="6"/>
      <c r="Q407" s="4" t="s">
        <v>3997</v>
      </c>
    </row>
    <row r="408" spans="4:17">
      <c r="D408" s="6" t="s">
        <v>7306</v>
      </c>
      <c r="E408" s="4" t="s">
        <v>3415</v>
      </c>
      <c r="F408" s="6"/>
      <c r="G408" s="4"/>
      <c r="H408" s="6"/>
      <c r="I408" s="6"/>
      <c r="J408" s="4" t="str">
        <f t="shared" si="7"/>
        <v/>
      </c>
      <c r="K408" s="11"/>
      <c r="L408" s="9"/>
      <c r="M408" s="12"/>
      <c r="N408" s="6"/>
      <c r="O408" s="6"/>
      <c r="P408" s="6"/>
      <c r="Q408" s="4" t="s">
        <v>3998</v>
      </c>
    </row>
    <row r="409" spans="4:17">
      <c r="D409" s="6" t="s">
        <v>7307</v>
      </c>
      <c r="E409" s="4" t="s">
        <v>3415</v>
      </c>
      <c r="F409" s="6"/>
      <c r="G409" s="4"/>
      <c r="H409" s="6"/>
      <c r="I409" s="6"/>
      <c r="J409" s="4" t="str">
        <f t="shared" si="7"/>
        <v/>
      </c>
      <c r="K409" s="11"/>
      <c r="L409" s="9"/>
      <c r="M409" s="12"/>
      <c r="N409" s="6"/>
      <c r="O409" s="6"/>
      <c r="P409" s="6"/>
      <c r="Q409" s="4" t="s">
        <v>3999</v>
      </c>
    </row>
    <row r="410" spans="4:17">
      <c r="D410" s="6" t="s">
        <v>7308</v>
      </c>
      <c r="E410" s="4" t="s">
        <v>3415</v>
      </c>
      <c r="F410" s="6"/>
      <c r="G410" s="4"/>
      <c r="H410" s="6"/>
      <c r="I410" s="6"/>
      <c r="J410" s="4" t="str">
        <f t="shared" si="7"/>
        <v/>
      </c>
      <c r="K410" s="11"/>
      <c r="L410" s="9"/>
      <c r="M410" s="12"/>
      <c r="N410" s="6"/>
      <c r="O410" s="6"/>
      <c r="P410" s="6"/>
      <c r="Q410" s="4" t="s">
        <v>4000</v>
      </c>
    </row>
    <row r="411" spans="4:17">
      <c r="D411" s="6" t="s">
        <v>7309</v>
      </c>
      <c r="E411" s="4" t="s">
        <v>3415</v>
      </c>
      <c r="F411" s="6"/>
      <c r="G411" s="4"/>
      <c r="H411" s="6"/>
      <c r="I411" s="6"/>
      <c r="J411" s="4" t="str">
        <f t="shared" si="7"/>
        <v/>
      </c>
      <c r="K411" s="11"/>
      <c r="L411" s="9"/>
      <c r="M411" s="12"/>
      <c r="N411" s="6"/>
      <c r="O411" s="6"/>
      <c r="P411" s="6"/>
      <c r="Q411" s="4" t="s">
        <v>4001</v>
      </c>
    </row>
    <row r="412" spans="4:17">
      <c r="D412" s="6" t="s">
        <v>7310</v>
      </c>
      <c r="E412" s="4" t="s">
        <v>3415</v>
      </c>
      <c r="F412" s="6"/>
      <c r="G412" s="4"/>
      <c r="H412" s="6"/>
      <c r="I412" s="6"/>
      <c r="J412" s="4" t="str">
        <f t="shared" si="7"/>
        <v/>
      </c>
      <c r="K412" s="11"/>
      <c r="L412" s="9"/>
      <c r="M412" s="12"/>
      <c r="N412" s="6"/>
      <c r="O412" s="6"/>
      <c r="P412" s="6"/>
      <c r="Q412" s="4" t="s">
        <v>4002</v>
      </c>
    </row>
    <row r="413" spans="4:17">
      <c r="D413" s="6" t="s">
        <v>7311</v>
      </c>
      <c r="E413" s="4" t="s">
        <v>3415</v>
      </c>
      <c r="F413" s="6"/>
      <c r="G413" s="4"/>
      <c r="H413" s="6"/>
      <c r="I413" s="6"/>
      <c r="J413" s="4" t="str">
        <f t="shared" si="7"/>
        <v/>
      </c>
      <c r="K413" s="11"/>
      <c r="L413" s="9"/>
      <c r="M413" s="12"/>
      <c r="N413" s="6"/>
      <c r="O413" s="6"/>
      <c r="P413" s="6"/>
      <c r="Q413" s="4" t="s">
        <v>4003</v>
      </c>
    </row>
    <row r="414" spans="4:17">
      <c r="D414" s="6" t="s">
        <v>7312</v>
      </c>
      <c r="E414" s="4" t="s">
        <v>3415</v>
      </c>
      <c r="F414" s="6"/>
      <c r="G414" s="4"/>
      <c r="H414" s="6"/>
      <c r="I414" s="6"/>
      <c r="J414" s="4" t="str">
        <f t="shared" si="7"/>
        <v/>
      </c>
      <c r="K414" s="11"/>
      <c r="L414" s="9"/>
      <c r="M414" s="12"/>
      <c r="N414" s="6"/>
      <c r="O414" s="6"/>
      <c r="P414" s="6"/>
      <c r="Q414" s="4" t="s">
        <v>4004</v>
      </c>
    </row>
    <row r="415" spans="4:17">
      <c r="D415" s="6" t="s">
        <v>7313</v>
      </c>
      <c r="E415" s="4" t="s">
        <v>3415</v>
      </c>
      <c r="F415" s="6"/>
      <c r="G415" s="4"/>
      <c r="H415" s="6"/>
      <c r="I415" s="6"/>
      <c r="J415" s="4" t="str">
        <f t="shared" si="7"/>
        <v/>
      </c>
      <c r="K415" s="11"/>
      <c r="L415" s="9"/>
      <c r="M415" s="12"/>
      <c r="N415" s="6"/>
      <c r="O415" s="6"/>
      <c r="P415" s="6"/>
      <c r="Q415" s="4" t="s">
        <v>4005</v>
      </c>
    </row>
    <row r="416" spans="4:17">
      <c r="D416" s="6" t="s">
        <v>7314</v>
      </c>
      <c r="E416" s="4" t="s">
        <v>3422</v>
      </c>
      <c r="F416" s="6"/>
      <c r="G416" s="4"/>
      <c r="H416" s="6"/>
      <c r="I416" s="6"/>
      <c r="J416" s="4" t="str">
        <f t="shared" si="7"/>
        <v/>
      </c>
      <c r="K416" s="11"/>
      <c r="L416" s="9"/>
      <c r="M416" s="12"/>
      <c r="N416" s="6"/>
      <c r="O416" s="6"/>
      <c r="P416" s="6"/>
      <c r="Q416" s="4" t="s">
        <v>4006</v>
      </c>
    </row>
    <row r="417" spans="4:17">
      <c r="D417" s="6" t="s">
        <v>7315</v>
      </c>
      <c r="E417" s="4" t="s">
        <v>3422</v>
      </c>
      <c r="F417" s="6"/>
      <c r="G417" s="4"/>
      <c r="H417" s="6"/>
      <c r="I417" s="6"/>
      <c r="J417" s="4" t="str">
        <f t="shared" si="7"/>
        <v/>
      </c>
      <c r="K417" s="11"/>
      <c r="L417" s="9"/>
      <c r="M417" s="12"/>
      <c r="N417" s="6"/>
      <c r="O417" s="6"/>
      <c r="P417" s="6"/>
      <c r="Q417" s="4" t="s">
        <v>4007</v>
      </c>
    </row>
    <row r="418" spans="4:17">
      <c r="D418" s="6" t="s">
        <v>7316</v>
      </c>
      <c r="E418" s="4" t="s">
        <v>3422</v>
      </c>
      <c r="F418" s="6"/>
      <c r="G418" s="4"/>
      <c r="H418" s="6"/>
      <c r="I418" s="6"/>
      <c r="J418" s="4" t="str">
        <f t="shared" si="7"/>
        <v/>
      </c>
      <c r="K418" s="11"/>
      <c r="L418" s="9"/>
      <c r="M418" s="12"/>
      <c r="N418" s="6"/>
      <c r="O418" s="6"/>
      <c r="P418" s="6"/>
      <c r="Q418" s="4" t="s">
        <v>4008</v>
      </c>
    </row>
    <row r="419" spans="4:17">
      <c r="D419" s="6" t="s">
        <v>7317</v>
      </c>
      <c r="E419" s="4" t="s">
        <v>3422</v>
      </c>
      <c r="F419" s="6"/>
      <c r="G419" s="4"/>
      <c r="H419" s="6"/>
      <c r="I419" s="6"/>
      <c r="J419" s="4" t="str">
        <f t="shared" si="7"/>
        <v/>
      </c>
      <c r="K419" s="11"/>
      <c r="L419" s="9"/>
      <c r="M419" s="12"/>
      <c r="N419" s="6"/>
      <c r="O419" s="6"/>
      <c r="P419" s="6"/>
      <c r="Q419" s="4" t="s">
        <v>4009</v>
      </c>
    </row>
    <row r="420" spans="4:17">
      <c r="D420" s="6" t="s">
        <v>7318</v>
      </c>
      <c r="E420" s="4" t="s">
        <v>3422</v>
      </c>
      <c r="F420" s="6"/>
      <c r="G420" s="4"/>
      <c r="H420" s="6"/>
      <c r="I420" s="6"/>
      <c r="J420" s="4" t="str">
        <f t="shared" si="7"/>
        <v/>
      </c>
      <c r="K420" s="11"/>
      <c r="L420" s="9"/>
      <c r="M420" s="12"/>
      <c r="N420" s="6"/>
      <c r="O420" s="6"/>
      <c r="P420" s="6"/>
      <c r="Q420" s="4" t="s">
        <v>4010</v>
      </c>
    </row>
    <row r="421" spans="4:17">
      <c r="D421" s="6" t="s">
        <v>7319</v>
      </c>
      <c r="E421" s="4" t="s">
        <v>3422</v>
      </c>
      <c r="F421" s="6"/>
      <c r="G421" s="4"/>
      <c r="H421" s="6"/>
      <c r="I421" s="6"/>
      <c r="J421" s="4" t="str">
        <f t="shared" si="7"/>
        <v/>
      </c>
      <c r="K421" s="11"/>
      <c r="L421" s="9"/>
      <c r="M421" s="12"/>
      <c r="N421" s="6"/>
      <c r="O421" s="6"/>
      <c r="P421" s="6"/>
      <c r="Q421" s="4" t="s">
        <v>4011</v>
      </c>
    </row>
    <row r="422" spans="4:17">
      <c r="D422" s="6" t="s">
        <v>7320</v>
      </c>
      <c r="E422" s="4" t="s">
        <v>3422</v>
      </c>
      <c r="F422" s="6"/>
      <c r="G422" s="4"/>
      <c r="H422" s="6"/>
      <c r="I422" s="6"/>
      <c r="J422" s="4" t="str">
        <f t="shared" si="7"/>
        <v/>
      </c>
      <c r="K422" s="11"/>
      <c r="L422" s="9"/>
      <c r="M422" s="12"/>
      <c r="N422" s="6"/>
      <c r="O422" s="6"/>
      <c r="P422" s="6"/>
      <c r="Q422" s="4" t="s">
        <v>4012</v>
      </c>
    </row>
    <row r="423" spans="4:17">
      <c r="D423" s="6" t="s">
        <v>7321</v>
      </c>
      <c r="E423" s="4" t="s">
        <v>3422</v>
      </c>
      <c r="F423" s="6"/>
      <c r="G423" s="4"/>
      <c r="H423" s="6"/>
      <c r="I423" s="6"/>
      <c r="J423" s="4" t="str">
        <f t="shared" si="7"/>
        <v/>
      </c>
      <c r="K423" s="11"/>
      <c r="L423" s="9"/>
      <c r="M423" s="12"/>
      <c r="N423" s="6"/>
      <c r="O423" s="6"/>
      <c r="P423" s="6"/>
      <c r="Q423" s="4" t="s">
        <v>4013</v>
      </c>
    </row>
    <row r="424" spans="4:17">
      <c r="D424" s="6" t="s">
        <v>7322</v>
      </c>
      <c r="E424" s="4" t="s">
        <v>3422</v>
      </c>
      <c r="F424" s="6"/>
      <c r="G424" s="4"/>
      <c r="H424" s="6"/>
      <c r="I424" s="6"/>
      <c r="J424" s="4" t="str">
        <f t="shared" si="7"/>
        <v/>
      </c>
      <c r="K424" s="11"/>
      <c r="L424" s="9"/>
      <c r="M424" s="12"/>
      <c r="N424" s="6"/>
      <c r="O424" s="6"/>
      <c r="P424" s="6"/>
      <c r="Q424" s="4" t="s">
        <v>4014</v>
      </c>
    </row>
    <row r="425" spans="4:17">
      <c r="D425" s="6" t="s">
        <v>7323</v>
      </c>
      <c r="E425" s="4" t="s">
        <v>3422</v>
      </c>
      <c r="F425" s="6"/>
      <c r="G425" s="4"/>
      <c r="H425" s="6"/>
      <c r="I425" s="6"/>
      <c r="J425" s="4" t="str">
        <f t="shared" si="7"/>
        <v/>
      </c>
      <c r="K425" s="11"/>
      <c r="L425" s="9"/>
      <c r="M425" s="12"/>
      <c r="N425" s="6"/>
      <c r="O425" s="6"/>
      <c r="P425" s="6"/>
      <c r="Q425" s="4" t="s">
        <v>4015</v>
      </c>
    </row>
    <row r="426" spans="4:17">
      <c r="D426" s="6" t="s">
        <v>7324</v>
      </c>
      <c r="E426" s="4" t="s">
        <v>3422</v>
      </c>
      <c r="F426" s="6"/>
      <c r="G426" s="4"/>
      <c r="H426" s="6"/>
      <c r="I426" s="6"/>
      <c r="J426" s="4" t="str">
        <f t="shared" si="7"/>
        <v/>
      </c>
      <c r="K426" s="11"/>
      <c r="L426" s="9"/>
      <c r="M426" s="12"/>
      <c r="N426" s="6"/>
      <c r="O426" s="6"/>
      <c r="P426" s="6"/>
      <c r="Q426" s="4" t="s">
        <v>4016</v>
      </c>
    </row>
    <row r="427" spans="4:17">
      <c r="D427" s="6" t="s">
        <v>7325</v>
      </c>
      <c r="E427" s="4" t="s">
        <v>3422</v>
      </c>
      <c r="F427" s="6"/>
      <c r="G427" s="4"/>
      <c r="H427" s="6"/>
      <c r="I427" s="6"/>
      <c r="J427" s="4" t="str">
        <f t="shared" si="7"/>
        <v/>
      </c>
      <c r="K427" s="11"/>
      <c r="L427" s="9"/>
      <c r="M427" s="12"/>
      <c r="N427" s="6"/>
      <c r="O427" s="6"/>
      <c r="P427" s="6"/>
      <c r="Q427" s="4" t="s">
        <v>4017</v>
      </c>
    </row>
    <row r="428" spans="4:17">
      <c r="D428" s="6" t="s">
        <v>7326</v>
      </c>
      <c r="E428" s="4" t="s">
        <v>3422</v>
      </c>
      <c r="F428" s="6"/>
      <c r="G428" s="4"/>
      <c r="H428" s="6"/>
      <c r="I428" s="6"/>
      <c r="J428" s="4" t="str">
        <f t="shared" si="7"/>
        <v/>
      </c>
      <c r="K428" s="11"/>
      <c r="L428" s="9"/>
      <c r="M428" s="12"/>
      <c r="N428" s="6"/>
      <c r="O428" s="6"/>
      <c r="P428" s="6"/>
      <c r="Q428" s="4" t="s">
        <v>4018</v>
      </c>
    </row>
    <row r="429" spans="4:17">
      <c r="D429" s="6" t="s">
        <v>7327</v>
      </c>
      <c r="E429" s="4" t="s">
        <v>3422</v>
      </c>
      <c r="F429" s="6"/>
      <c r="G429" s="4"/>
      <c r="H429" s="6"/>
      <c r="I429" s="6"/>
      <c r="J429" s="4" t="str">
        <f t="shared" si="7"/>
        <v/>
      </c>
      <c r="K429" s="11"/>
      <c r="L429" s="9"/>
      <c r="M429" s="12"/>
      <c r="N429" s="6"/>
      <c r="O429" s="6"/>
      <c r="P429" s="6"/>
      <c r="Q429" s="4" t="s">
        <v>4019</v>
      </c>
    </row>
    <row r="430" spans="4:17">
      <c r="D430" s="6" t="s">
        <v>7328</v>
      </c>
      <c r="E430" s="4" t="s">
        <v>3422</v>
      </c>
      <c r="F430" s="6"/>
      <c r="G430" s="4"/>
      <c r="H430" s="6"/>
      <c r="I430" s="6"/>
      <c r="J430" s="4" t="str">
        <f t="shared" si="7"/>
        <v/>
      </c>
      <c r="K430" s="11"/>
      <c r="L430" s="9"/>
      <c r="M430" s="12"/>
      <c r="N430" s="6"/>
      <c r="O430" s="6"/>
      <c r="P430" s="6"/>
      <c r="Q430" s="4" t="s">
        <v>4020</v>
      </c>
    </row>
    <row r="431" spans="4:17">
      <c r="D431" s="6" t="s">
        <v>7329</v>
      </c>
      <c r="E431" s="4" t="s">
        <v>3422</v>
      </c>
      <c r="F431" s="6"/>
      <c r="G431" s="4"/>
      <c r="H431" s="6"/>
      <c r="I431" s="6"/>
      <c r="J431" s="4" t="str">
        <f t="shared" si="7"/>
        <v/>
      </c>
      <c r="K431" s="11"/>
      <c r="L431" s="9"/>
      <c r="M431" s="12"/>
      <c r="N431" s="6"/>
      <c r="O431" s="6"/>
      <c r="P431" s="6"/>
      <c r="Q431" s="4" t="s">
        <v>4021</v>
      </c>
    </row>
    <row r="432" spans="4:17">
      <c r="D432" s="6" t="s">
        <v>7330</v>
      </c>
      <c r="E432" s="4" t="s">
        <v>3422</v>
      </c>
      <c r="F432" s="6"/>
      <c r="G432" s="4"/>
      <c r="H432" s="6"/>
      <c r="I432" s="6"/>
      <c r="J432" s="4" t="str">
        <f t="shared" si="7"/>
        <v/>
      </c>
      <c r="K432" s="11"/>
      <c r="L432" s="9"/>
      <c r="M432" s="12"/>
      <c r="N432" s="6"/>
      <c r="O432" s="6"/>
      <c r="P432" s="6"/>
      <c r="Q432" s="4" t="s">
        <v>4022</v>
      </c>
    </row>
    <row r="433" spans="4:17">
      <c r="D433" s="6" t="s">
        <v>7331</v>
      </c>
      <c r="E433" s="4" t="s">
        <v>3422</v>
      </c>
      <c r="F433" s="6"/>
      <c r="G433" s="4"/>
      <c r="H433" s="6"/>
      <c r="I433" s="6"/>
      <c r="J433" s="4" t="str">
        <f t="shared" si="7"/>
        <v/>
      </c>
      <c r="K433" s="11"/>
      <c r="L433" s="9"/>
      <c r="M433" s="12"/>
      <c r="N433" s="6"/>
      <c r="O433" s="6"/>
      <c r="P433" s="6"/>
      <c r="Q433" s="4" t="s">
        <v>4023</v>
      </c>
    </row>
    <row r="434" spans="4:17">
      <c r="D434" s="6" t="s">
        <v>7332</v>
      </c>
      <c r="E434" s="4" t="s">
        <v>3422</v>
      </c>
      <c r="F434" s="6"/>
      <c r="G434" s="4"/>
      <c r="H434" s="6"/>
      <c r="I434" s="6"/>
      <c r="J434" s="4" t="str">
        <f t="shared" si="7"/>
        <v/>
      </c>
      <c r="K434" s="11"/>
      <c r="L434" s="9"/>
      <c r="M434" s="12"/>
      <c r="N434" s="6"/>
      <c r="O434" s="6"/>
      <c r="P434" s="6"/>
      <c r="Q434" s="4" t="s">
        <v>4024</v>
      </c>
    </row>
    <row r="435" spans="4:17">
      <c r="D435" s="6" t="s">
        <v>7333</v>
      </c>
      <c r="E435" s="4" t="s">
        <v>3422</v>
      </c>
      <c r="F435" s="6"/>
      <c r="G435" s="4"/>
      <c r="H435" s="6"/>
      <c r="I435" s="6"/>
      <c r="J435" s="4" t="str">
        <f t="shared" si="7"/>
        <v/>
      </c>
      <c r="K435" s="11"/>
      <c r="L435" s="9"/>
      <c r="M435" s="12"/>
      <c r="N435" s="6"/>
      <c r="O435" s="6"/>
      <c r="P435" s="6"/>
      <c r="Q435" s="4" t="s">
        <v>4025</v>
      </c>
    </row>
    <row r="436" spans="4:17">
      <c r="D436" s="6" t="s">
        <v>7334</v>
      </c>
      <c r="E436" s="4" t="s">
        <v>3429</v>
      </c>
      <c r="F436" s="6"/>
      <c r="G436" s="4"/>
      <c r="H436" s="6"/>
      <c r="I436" s="6"/>
      <c r="J436" s="4" t="str">
        <f t="shared" si="7"/>
        <v/>
      </c>
      <c r="K436" s="11"/>
      <c r="L436" s="9"/>
      <c r="M436" s="12"/>
      <c r="N436" s="6"/>
      <c r="O436" s="6"/>
      <c r="P436" s="6"/>
      <c r="Q436" s="4" t="s">
        <v>4026</v>
      </c>
    </row>
    <row r="437" spans="4:17">
      <c r="D437" s="6" t="s">
        <v>7335</v>
      </c>
      <c r="E437" s="4" t="s">
        <v>3429</v>
      </c>
      <c r="F437" s="6"/>
      <c r="G437" s="4"/>
      <c r="H437" s="6"/>
      <c r="I437" s="6"/>
      <c r="J437" s="4" t="str">
        <f t="shared" si="7"/>
        <v/>
      </c>
      <c r="K437" s="11"/>
      <c r="L437" s="9"/>
      <c r="M437" s="12"/>
      <c r="N437" s="6"/>
      <c r="O437" s="6"/>
      <c r="P437" s="6"/>
      <c r="Q437" s="4" t="s">
        <v>4027</v>
      </c>
    </row>
    <row r="438" spans="4:17">
      <c r="D438" s="6" t="s">
        <v>7336</v>
      </c>
      <c r="E438" s="4" t="s">
        <v>3429</v>
      </c>
      <c r="F438" s="6"/>
      <c r="G438" s="4"/>
      <c r="H438" s="6"/>
      <c r="I438" s="6"/>
      <c r="J438" s="4" t="str">
        <f t="shared" si="7"/>
        <v/>
      </c>
      <c r="K438" s="11"/>
      <c r="L438" s="9"/>
      <c r="M438" s="12"/>
      <c r="N438" s="6"/>
      <c r="O438" s="6"/>
      <c r="P438" s="6"/>
      <c r="Q438" s="4" t="s">
        <v>4028</v>
      </c>
    </row>
    <row r="439" spans="4:17">
      <c r="D439" s="6" t="s">
        <v>7337</v>
      </c>
      <c r="E439" s="4" t="s">
        <v>3429</v>
      </c>
      <c r="F439" s="6"/>
      <c r="G439" s="4"/>
      <c r="H439" s="6"/>
      <c r="I439" s="6"/>
      <c r="J439" s="4" t="str">
        <f t="shared" si="7"/>
        <v/>
      </c>
      <c r="K439" s="11"/>
      <c r="L439" s="9"/>
      <c r="M439" s="12"/>
      <c r="N439" s="6"/>
      <c r="O439" s="6"/>
      <c r="P439" s="6"/>
      <c r="Q439" s="4" t="s">
        <v>4029</v>
      </c>
    </row>
    <row r="440" spans="4:17">
      <c r="D440" s="6" t="s">
        <v>7338</v>
      </c>
      <c r="E440" s="4" t="s">
        <v>3429</v>
      </c>
      <c r="F440" s="6"/>
      <c r="G440" s="4"/>
      <c r="H440" s="6"/>
      <c r="I440" s="6"/>
      <c r="J440" s="4" t="str">
        <f t="shared" si="7"/>
        <v/>
      </c>
      <c r="K440" s="11"/>
      <c r="L440" s="9"/>
      <c r="M440" s="12"/>
      <c r="N440" s="6"/>
      <c r="O440" s="6"/>
      <c r="P440" s="6"/>
      <c r="Q440" s="4" t="s">
        <v>4030</v>
      </c>
    </row>
    <row r="441" spans="4:17">
      <c r="D441" s="6" t="s">
        <v>7339</v>
      </c>
      <c r="E441" s="4" t="s">
        <v>3429</v>
      </c>
      <c r="F441" s="6"/>
      <c r="G441" s="4"/>
      <c r="H441" s="6"/>
      <c r="I441" s="6"/>
      <c r="J441" s="4" t="str">
        <f t="shared" si="7"/>
        <v/>
      </c>
      <c r="K441" s="11"/>
      <c r="L441" s="9"/>
      <c r="M441" s="12"/>
      <c r="N441" s="6"/>
      <c r="O441" s="6"/>
      <c r="P441" s="6"/>
      <c r="Q441" s="4" t="s">
        <v>4031</v>
      </c>
    </row>
    <row r="442" spans="4:17">
      <c r="D442" s="6" t="s">
        <v>7340</v>
      </c>
      <c r="E442" s="4" t="s">
        <v>3429</v>
      </c>
      <c r="F442" s="6"/>
      <c r="G442" s="4"/>
      <c r="H442" s="6"/>
      <c r="I442" s="6"/>
      <c r="J442" s="4" t="str">
        <f t="shared" si="7"/>
        <v/>
      </c>
      <c r="K442" s="11"/>
      <c r="L442" s="9"/>
      <c r="M442" s="12"/>
      <c r="N442" s="6"/>
      <c r="O442" s="6"/>
      <c r="P442" s="6"/>
      <c r="Q442" s="4" t="s">
        <v>4032</v>
      </c>
    </row>
    <row r="443" spans="4:17">
      <c r="D443" s="6" t="s">
        <v>7341</v>
      </c>
      <c r="E443" s="4" t="s">
        <v>3429</v>
      </c>
      <c r="F443" s="6"/>
      <c r="G443" s="4"/>
      <c r="H443" s="6"/>
      <c r="I443" s="6"/>
      <c r="J443" s="4" t="str">
        <f t="shared" si="7"/>
        <v/>
      </c>
      <c r="K443" s="11"/>
      <c r="L443" s="9"/>
      <c r="M443" s="12"/>
      <c r="N443" s="6"/>
      <c r="O443" s="6"/>
      <c r="P443" s="6"/>
      <c r="Q443" s="4" t="s">
        <v>4033</v>
      </c>
    </row>
    <row r="444" spans="4:17">
      <c r="D444" s="6" t="s">
        <v>7342</v>
      </c>
      <c r="E444" s="4" t="s">
        <v>3429</v>
      </c>
      <c r="F444" s="6"/>
      <c r="G444" s="4"/>
      <c r="H444" s="6"/>
      <c r="I444" s="6"/>
      <c r="J444" s="4" t="str">
        <f t="shared" ref="J444:J507" si="8">F444&amp;H444&amp;I444</f>
        <v/>
      </c>
      <c r="K444" s="11"/>
      <c r="L444" s="9"/>
      <c r="M444" s="12"/>
      <c r="N444" s="6"/>
      <c r="O444" s="6"/>
      <c r="P444" s="6"/>
      <c r="Q444" s="4" t="s">
        <v>4034</v>
      </c>
    </row>
    <row r="445" spans="4:17">
      <c r="D445" s="6" t="s">
        <v>7343</v>
      </c>
      <c r="E445" s="4" t="s">
        <v>3429</v>
      </c>
      <c r="F445" s="6"/>
      <c r="G445" s="4"/>
      <c r="H445" s="6"/>
      <c r="I445" s="6"/>
      <c r="J445" s="4" t="str">
        <f t="shared" si="8"/>
        <v/>
      </c>
      <c r="K445" s="11"/>
      <c r="L445" s="9"/>
      <c r="M445" s="12"/>
      <c r="N445" s="6"/>
      <c r="O445" s="6"/>
      <c r="P445" s="6"/>
      <c r="Q445" s="4" t="s">
        <v>4035</v>
      </c>
    </row>
    <row r="446" spans="4:17">
      <c r="D446" s="6" t="s">
        <v>7344</v>
      </c>
      <c r="E446" s="4" t="s">
        <v>3429</v>
      </c>
      <c r="F446" s="6"/>
      <c r="G446" s="4"/>
      <c r="H446" s="6"/>
      <c r="I446" s="6"/>
      <c r="J446" s="4" t="str">
        <f t="shared" si="8"/>
        <v/>
      </c>
      <c r="K446" s="11"/>
      <c r="L446" s="9"/>
      <c r="M446" s="12"/>
      <c r="N446" s="6"/>
      <c r="O446" s="6"/>
      <c r="P446" s="6"/>
      <c r="Q446" s="4" t="s">
        <v>4036</v>
      </c>
    </row>
    <row r="447" spans="4:17">
      <c r="D447" s="6" t="s">
        <v>7345</v>
      </c>
      <c r="E447" s="4" t="s">
        <v>3429</v>
      </c>
      <c r="F447" s="6"/>
      <c r="G447" s="4"/>
      <c r="H447" s="6"/>
      <c r="I447" s="6"/>
      <c r="J447" s="4" t="str">
        <f t="shared" si="8"/>
        <v/>
      </c>
      <c r="K447" s="11"/>
      <c r="L447" s="9"/>
      <c r="M447" s="12"/>
      <c r="N447" s="6"/>
      <c r="O447" s="6"/>
      <c r="P447" s="6"/>
      <c r="Q447" s="4" t="s">
        <v>4037</v>
      </c>
    </row>
    <row r="448" spans="4:17">
      <c r="D448" s="6" t="s">
        <v>7346</v>
      </c>
      <c r="E448" s="4" t="s">
        <v>3429</v>
      </c>
      <c r="F448" s="6"/>
      <c r="G448" s="4"/>
      <c r="H448" s="6"/>
      <c r="I448" s="6"/>
      <c r="J448" s="4" t="str">
        <f t="shared" si="8"/>
        <v/>
      </c>
      <c r="K448" s="11"/>
      <c r="L448" s="9"/>
      <c r="M448" s="12"/>
      <c r="N448" s="6"/>
      <c r="O448" s="6"/>
      <c r="P448" s="6"/>
      <c r="Q448" s="4" t="s">
        <v>4038</v>
      </c>
    </row>
    <row r="449" spans="4:17">
      <c r="D449" s="6" t="s">
        <v>7347</v>
      </c>
      <c r="E449" s="4" t="s">
        <v>3429</v>
      </c>
      <c r="F449" s="6"/>
      <c r="G449" s="4"/>
      <c r="H449" s="6"/>
      <c r="I449" s="6"/>
      <c r="J449" s="4" t="str">
        <f t="shared" si="8"/>
        <v/>
      </c>
      <c r="K449" s="11"/>
      <c r="L449" s="9"/>
      <c r="M449" s="12"/>
      <c r="N449" s="6"/>
      <c r="O449" s="6"/>
      <c r="P449" s="6"/>
      <c r="Q449" s="4" t="s">
        <v>4039</v>
      </c>
    </row>
    <row r="450" spans="4:17">
      <c r="D450" s="6" t="s">
        <v>7348</v>
      </c>
      <c r="E450" s="4" t="s">
        <v>3429</v>
      </c>
      <c r="F450" s="6"/>
      <c r="G450" s="4"/>
      <c r="H450" s="6"/>
      <c r="I450" s="6"/>
      <c r="J450" s="4" t="str">
        <f t="shared" si="8"/>
        <v/>
      </c>
      <c r="K450" s="11"/>
      <c r="L450" s="9"/>
      <c r="M450" s="12"/>
      <c r="N450" s="6"/>
      <c r="O450" s="6"/>
      <c r="P450" s="6"/>
      <c r="Q450" s="4" t="s">
        <v>4040</v>
      </c>
    </row>
    <row r="451" spans="4:17">
      <c r="D451" s="6" t="s">
        <v>7349</v>
      </c>
      <c r="E451" s="4" t="s">
        <v>3429</v>
      </c>
      <c r="F451" s="6"/>
      <c r="G451" s="4"/>
      <c r="H451" s="6"/>
      <c r="I451" s="6"/>
      <c r="J451" s="4" t="str">
        <f t="shared" si="8"/>
        <v/>
      </c>
      <c r="K451" s="11"/>
      <c r="L451" s="9"/>
      <c r="M451" s="12"/>
      <c r="N451" s="6"/>
      <c r="O451" s="6"/>
      <c r="P451" s="6"/>
      <c r="Q451" s="4" t="s">
        <v>4041</v>
      </c>
    </row>
    <row r="452" spans="4:17">
      <c r="D452" s="6" t="s">
        <v>7350</v>
      </c>
      <c r="E452" s="4" t="s">
        <v>3429</v>
      </c>
      <c r="F452" s="6"/>
      <c r="G452" s="4"/>
      <c r="H452" s="6"/>
      <c r="I452" s="6"/>
      <c r="J452" s="4" t="str">
        <f t="shared" si="8"/>
        <v/>
      </c>
      <c r="K452" s="11"/>
      <c r="L452" s="9"/>
      <c r="M452" s="12"/>
      <c r="N452" s="6"/>
      <c r="O452" s="6"/>
      <c r="P452" s="6"/>
      <c r="Q452" s="4" t="s">
        <v>4042</v>
      </c>
    </row>
    <row r="453" spans="4:17">
      <c r="D453" s="6" t="s">
        <v>7351</v>
      </c>
      <c r="E453" s="4" t="s">
        <v>3429</v>
      </c>
      <c r="F453" s="6"/>
      <c r="G453" s="4"/>
      <c r="H453" s="6"/>
      <c r="I453" s="6"/>
      <c r="J453" s="4" t="str">
        <f t="shared" si="8"/>
        <v/>
      </c>
      <c r="K453" s="11"/>
      <c r="L453" s="9"/>
      <c r="M453" s="12"/>
      <c r="N453" s="6"/>
      <c r="O453" s="6"/>
      <c r="P453" s="6"/>
      <c r="Q453" s="4" t="s">
        <v>4043</v>
      </c>
    </row>
    <row r="454" spans="4:17">
      <c r="D454" s="6" t="s">
        <v>7352</v>
      </c>
      <c r="E454" s="4" t="s">
        <v>3429</v>
      </c>
      <c r="F454" s="6"/>
      <c r="G454" s="4"/>
      <c r="H454" s="6"/>
      <c r="I454" s="6"/>
      <c r="J454" s="4" t="str">
        <f t="shared" si="8"/>
        <v/>
      </c>
      <c r="K454" s="11"/>
      <c r="L454" s="9"/>
      <c r="M454" s="12"/>
      <c r="N454" s="6"/>
      <c r="O454" s="6"/>
      <c r="P454" s="6"/>
      <c r="Q454" s="4" t="s">
        <v>4044</v>
      </c>
    </row>
    <row r="455" spans="4:17">
      <c r="D455" s="6" t="s">
        <v>7353</v>
      </c>
      <c r="E455" s="4" t="s">
        <v>3429</v>
      </c>
      <c r="F455" s="6"/>
      <c r="G455" s="4"/>
      <c r="H455" s="6"/>
      <c r="I455" s="6"/>
      <c r="J455" s="4" t="str">
        <f t="shared" si="8"/>
        <v/>
      </c>
      <c r="K455" s="11"/>
      <c r="L455" s="9"/>
      <c r="M455" s="12"/>
      <c r="N455" s="6"/>
      <c r="O455" s="6"/>
      <c r="P455" s="6"/>
      <c r="Q455" s="4" t="s">
        <v>4045</v>
      </c>
    </row>
    <row r="456" spans="4:17">
      <c r="D456" s="6" t="s">
        <v>7354</v>
      </c>
      <c r="E456" s="4" t="s">
        <v>3436</v>
      </c>
      <c r="F456" s="6"/>
      <c r="G456" s="4"/>
      <c r="H456" s="6"/>
      <c r="I456" s="6"/>
      <c r="J456" s="4" t="str">
        <f t="shared" si="8"/>
        <v/>
      </c>
      <c r="K456" s="11"/>
      <c r="L456" s="9"/>
      <c r="M456" s="12"/>
      <c r="N456" s="6"/>
      <c r="O456" s="6"/>
      <c r="P456" s="6"/>
      <c r="Q456" s="4" t="s">
        <v>4046</v>
      </c>
    </row>
    <row r="457" spans="4:17">
      <c r="D457" s="6" t="s">
        <v>7355</v>
      </c>
      <c r="E457" s="4" t="s">
        <v>3436</v>
      </c>
      <c r="F457" s="6"/>
      <c r="G457" s="4"/>
      <c r="H457" s="6"/>
      <c r="I457" s="6"/>
      <c r="J457" s="4" t="str">
        <f t="shared" si="8"/>
        <v/>
      </c>
      <c r="K457" s="11"/>
      <c r="L457" s="9"/>
      <c r="M457" s="12"/>
      <c r="N457" s="6"/>
      <c r="O457" s="6"/>
      <c r="P457" s="6"/>
      <c r="Q457" s="4" t="s">
        <v>4047</v>
      </c>
    </row>
    <row r="458" spans="4:17">
      <c r="D458" s="6" t="s">
        <v>7356</v>
      </c>
      <c r="E458" s="4" t="s">
        <v>3436</v>
      </c>
      <c r="F458" s="6"/>
      <c r="G458" s="4"/>
      <c r="H458" s="6"/>
      <c r="I458" s="6"/>
      <c r="J458" s="4" t="str">
        <f t="shared" si="8"/>
        <v/>
      </c>
      <c r="K458" s="11"/>
      <c r="L458" s="9"/>
      <c r="M458" s="12"/>
      <c r="N458" s="6"/>
      <c r="O458" s="6"/>
      <c r="P458" s="6"/>
      <c r="Q458" s="4" t="s">
        <v>4048</v>
      </c>
    </row>
    <row r="459" spans="4:17">
      <c r="D459" s="6" t="s">
        <v>7357</v>
      </c>
      <c r="E459" s="4" t="s">
        <v>3436</v>
      </c>
      <c r="F459" s="6"/>
      <c r="G459" s="4"/>
      <c r="H459" s="6"/>
      <c r="I459" s="6"/>
      <c r="J459" s="4" t="str">
        <f t="shared" si="8"/>
        <v/>
      </c>
      <c r="K459" s="11"/>
      <c r="L459" s="9"/>
      <c r="M459" s="12"/>
      <c r="N459" s="6"/>
      <c r="O459" s="6"/>
      <c r="P459" s="6"/>
      <c r="Q459" s="4" t="s">
        <v>4049</v>
      </c>
    </row>
    <row r="460" spans="4:17">
      <c r="D460" s="6" t="s">
        <v>7358</v>
      </c>
      <c r="E460" s="4" t="s">
        <v>3436</v>
      </c>
      <c r="F460" s="6"/>
      <c r="G460" s="4"/>
      <c r="H460" s="6"/>
      <c r="I460" s="6"/>
      <c r="J460" s="4" t="str">
        <f t="shared" si="8"/>
        <v/>
      </c>
      <c r="K460" s="11"/>
      <c r="L460" s="9"/>
      <c r="M460" s="12"/>
      <c r="N460" s="6"/>
      <c r="O460" s="6"/>
      <c r="P460" s="6"/>
      <c r="Q460" s="4" t="s">
        <v>4050</v>
      </c>
    </row>
    <row r="461" spans="4:17">
      <c r="D461" s="6" t="s">
        <v>7359</v>
      </c>
      <c r="E461" s="4" t="s">
        <v>3436</v>
      </c>
      <c r="F461" s="6"/>
      <c r="G461" s="4"/>
      <c r="H461" s="6"/>
      <c r="I461" s="6"/>
      <c r="J461" s="4" t="str">
        <f t="shared" si="8"/>
        <v/>
      </c>
      <c r="K461" s="11"/>
      <c r="L461" s="9"/>
      <c r="M461" s="12"/>
      <c r="N461" s="6"/>
      <c r="O461" s="6"/>
      <c r="P461" s="6"/>
      <c r="Q461" s="4" t="s">
        <v>4051</v>
      </c>
    </row>
    <row r="462" spans="4:17">
      <c r="D462" s="6" t="s">
        <v>7360</v>
      </c>
      <c r="E462" s="4" t="s">
        <v>3436</v>
      </c>
      <c r="F462" s="6"/>
      <c r="G462" s="4"/>
      <c r="H462" s="6"/>
      <c r="I462" s="6"/>
      <c r="J462" s="4" t="str">
        <f t="shared" si="8"/>
        <v/>
      </c>
      <c r="K462" s="11"/>
      <c r="L462" s="9"/>
      <c r="M462" s="12"/>
      <c r="N462" s="6"/>
      <c r="O462" s="6"/>
      <c r="P462" s="6"/>
      <c r="Q462" s="4" t="s">
        <v>4052</v>
      </c>
    </row>
    <row r="463" spans="4:17">
      <c r="D463" s="6" t="s">
        <v>7361</v>
      </c>
      <c r="E463" s="4" t="s">
        <v>3436</v>
      </c>
      <c r="F463" s="6"/>
      <c r="G463" s="4"/>
      <c r="H463" s="6"/>
      <c r="I463" s="6"/>
      <c r="J463" s="4" t="str">
        <f t="shared" si="8"/>
        <v/>
      </c>
      <c r="K463" s="11"/>
      <c r="L463" s="9"/>
      <c r="M463" s="12"/>
      <c r="N463" s="6"/>
      <c r="O463" s="6"/>
      <c r="P463" s="6"/>
      <c r="Q463" s="4" t="s">
        <v>4053</v>
      </c>
    </row>
    <row r="464" spans="4:17">
      <c r="D464" s="6" t="s">
        <v>7362</v>
      </c>
      <c r="E464" s="4" t="s">
        <v>3436</v>
      </c>
      <c r="F464" s="6"/>
      <c r="G464" s="4"/>
      <c r="H464" s="6"/>
      <c r="I464" s="6"/>
      <c r="J464" s="4" t="str">
        <f t="shared" si="8"/>
        <v/>
      </c>
      <c r="K464" s="11"/>
      <c r="L464" s="9"/>
      <c r="M464" s="12"/>
      <c r="N464" s="6"/>
      <c r="O464" s="6"/>
      <c r="P464" s="6"/>
      <c r="Q464" s="4" t="s">
        <v>4054</v>
      </c>
    </row>
    <row r="465" spans="4:17">
      <c r="D465" s="6" t="s">
        <v>7363</v>
      </c>
      <c r="E465" s="4" t="s">
        <v>3436</v>
      </c>
      <c r="F465" s="6"/>
      <c r="G465" s="4"/>
      <c r="H465" s="6"/>
      <c r="I465" s="6"/>
      <c r="J465" s="4" t="str">
        <f t="shared" si="8"/>
        <v/>
      </c>
      <c r="K465" s="11"/>
      <c r="L465" s="9"/>
      <c r="M465" s="12"/>
      <c r="N465" s="6"/>
      <c r="O465" s="6"/>
      <c r="P465" s="6"/>
      <c r="Q465" s="4" t="s">
        <v>4055</v>
      </c>
    </row>
    <row r="466" spans="4:17">
      <c r="D466" s="6" t="s">
        <v>7364</v>
      </c>
      <c r="E466" s="4" t="s">
        <v>3436</v>
      </c>
      <c r="F466" s="6"/>
      <c r="G466" s="4"/>
      <c r="H466" s="6"/>
      <c r="I466" s="6"/>
      <c r="J466" s="4" t="str">
        <f t="shared" si="8"/>
        <v/>
      </c>
      <c r="K466" s="11"/>
      <c r="L466" s="9"/>
      <c r="M466" s="12"/>
      <c r="N466" s="6"/>
      <c r="O466" s="6"/>
      <c r="P466" s="6"/>
      <c r="Q466" s="4" t="s">
        <v>4056</v>
      </c>
    </row>
    <row r="467" spans="4:17">
      <c r="D467" s="6" t="s">
        <v>7365</v>
      </c>
      <c r="E467" s="4" t="s">
        <v>3436</v>
      </c>
      <c r="F467" s="6"/>
      <c r="G467" s="4"/>
      <c r="H467" s="6"/>
      <c r="I467" s="6"/>
      <c r="J467" s="4" t="str">
        <f t="shared" si="8"/>
        <v/>
      </c>
      <c r="K467" s="11"/>
      <c r="L467" s="9"/>
      <c r="M467" s="12"/>
      <c r="N467" s="6"/>
      <c r="O467" s="6"/>
      <c r="P467" s="6"/>
      <c r="Q467" s="4" t="s">
        <v>4057</v>
      </c>
    </row>
    <row r="468" spans="4:17">
      <c r="D468" s="6" t="s">
        <v>7366</v>
      </c>
      <c r="E468" s="4" t="s">
        <v>3436</v>
      </c>
      <c r="F468" s="6"/>
      <c r="G468" s="4"/>
      <c r="H468" s="6"/>
      <c r="I468" s="6"/>
      <c r="J468" s="4" t="str">
        <f t="shared" si="8"/>
        <v/>
      </c>
      <c r="K468" s="11"/>
      <c r="L468" s="9"/>
      <c r="M468" s="12"/>
      <c r="N468" s="6"/>
      <c r="O468" s="6"/>
      <c r="P468" s="6"/>
      <c r="Q468" s="4" t="s">
        <v>4058</v>
      </c>
    </row>
    <row r="469" spans="4:17">
      <c r="D469" s="6" t="s">
        <v>7367</v>
      </c>
      <c r="E469" s="4" t="s">
        <v>3436</v>
      </c>
      <c r="F469" s="6"/>
      <c r="G469" s="4"/>
      <c r="H469" s="6"/>
      <c r="I469" s="6"/>
      <c r="J469" s="4" t="str">
        <f t="shared" si="8"/>
        <v/>
      </c>
      <c r="K469" s="11"/>
      <c r="L469" s="9"/>
      <c r="M469" s="12"/>
      <c r="N469" s="6"/>
      <c r="O469" s="6"/>
      <c r="P469" s="6"/>
      <c r="Q469" s="4" t="s">
        <v>4059</v>
      </c>
    </row>
    <row r="470" spans="4:17">
      <c r="D470" s="6" t="s">
        <v>7368</v>
      </c>
      <c r="E470" s="4" t="s">
        <v>3436</v>
      </c>
      <c r="F470" s="6"/>
      <c r="G470" s="4"/>
      <c r="H470" s="6"/>
      <c r="I470" s="6"/>
      <c r="J470" s="4" t="str">
        <f t="shared" si="8"/>
        <v/>
      </c>
      <c r="K470" s="11"/>
      <c r="L470" s="9"/>
      <c r="M470" s="12"/>
      <c r="N470" s="6"/>
      <c r="O470" s="6"/>
      <c r="P470" s="6"/>
      <c r="Q470" s="4" t="s">
        <v>4060</v>
      </c>
    </row>
    <row r="471" spans="4:17">
      <c r="D471" s="6" t="s">
        <v>7369</v>
      </c>
      <c r="E471" s="4" t="s">
        <v>3436</v>
      </c>
      <c r="F471" s="6"/>
      <c r="G471" s="4"/>
      <c r="H471" s="6"/>
      <c r="I471" s="6"/>
      <c r="J471" s="4" t="str">
        <f t="shared" si="8"/>
        <v/>
      </c>
      <c r="K471" s="11"/>
      <c r="L471" s="9"/>
      <c r="M471" s="12"/>
      <c r="N471" s="6"/>
      <c r="O471" s="6"/>
      <c r="P471" s="6"/>
      <c r="Q471" s="4" t="s">
        <v>4061</v>
      </c>
    </row>
    <row r="472" spans="4:17">
      <c r="D472" s="6" t="s">
        <v>7370</v>
      </c>
      <c r="E472" s="4" t="s">
        <v>3436</v>
      </c>
      <c r="F472" s="6"/>
      <c r="G472" s="4"/>
      <c r="H472" s="6"/>
      <c r="I472" s="6"/>
      <c r="J472" s="4" t="str">
        <f t="shared" si="8"/>
        <v/>
      </c>
      <c r="K472" s="11"/>
      <c r="L472" s="9"/>
      <c r="M472" s="12"/>
      <c r="N472" s="6"/>
      <c r="O472" s="6"/>
      <c r="P472" s="6"/>
      <c r="Q472" s="4" t="s">
        <v>4062</v>
      </c>
    </row>
    <row r="473" spans="4:17">
      <c r="D473" s="6" t="s">
        <v>7371</v>
      </c>
      <c r="E473" s="4" t="s">
        <v>3436</v>
      </c>
      <c r="F473" s="6"/>
      <c r="G473" s="4"/>
      <c r="H473" s="6"/>
      <c r="I473" s="6"/>
      <c r="J473" s="4" t="str">
        <f t="shared" si="8"/>
        <v/>
      </c>
      <c r="K473" s="11"/>
      <c r="L473" s="9"/>
      <c r="M473" s="12"/>
      <c r="N473" s="6"/>
      <c r="O473" s="6"/>
      <c r="P473" s="6"/>
      <c r="Q473" s="4" t="s">
        <v>4063</v>
      </c>
    </row>
    <row r="474" spans="4:17">
      <c r="D474" s="6" t="s">
        <v>7372</v>
      </c>
      <c r="E474" s="4" t="s">
        <v>3436</v>
      </c>
      <c r="F474" s="6"/>
      <c r="G474" s="4"/>
      <c r="H474" s="6"/>
      <c r="I474" s="6"/>
      <c r="J474" s="4" t="str">
        <f t="shared" si="8"/>
        <v/>
      </c>
      <c r="K474" s="11"/>
      <c r="L474" s="9"/>
      <c r="M474" s="12"/>
      <c r="N474" s="6"/>
      <c r="O474" s="6"/>
      <c r="P474" s="6"/>
      <c r="Q474" s="4" t="s">
        <v>4064</v>
      </c>
    </row>
    <row r="475" spans="4:17">
      <c r="D475" s="6" t="s">
        <v>7373</v>
      </c>
      <c r="E475" s="4" t="s">
        <v>3436</v>
      </c>
      <c r="F475" s="6"/>
      <c r="G475" s="4"/>
      <c r="H475" s="6"/>
      <c r="I475" s="6"/>
      <c r="J475" s="4" t="str">
        <f t="shared" si="8"/>
        <v/>
      </c>
      <c r="K475" s="11"/>
      <c r="L475" s="9"/>
      <c r="M475" s="12"/>
      <c r="N475" s="6"/>
      <c r="O475" s="6"/>
      <c r="P475" s="6"/>
      <c r="Q475" s="4" t="s">
        <v>4065</v>
      </c>
    </row>
    <row r="476" spans="4:17">
      <c r="D476" s="6" t="s">
        <v>7374</v>
      </c>
      <c r="E476" s="4" t="s">
        <v>3443</v>
      </c>
      <c r="F476" s="6"/>
      <c r="G476" s="4"/>
      <c r="H476" s="6"/>
      <c r="I476" s="6"/>
      <c r="J476" s="4" t="str">
        <f t="shared" si="8"/>
        <v/>
      </c>
      <c r="K476" s="11"/>
      <c r="L476" s="9"/>
      <c r="M476" s="12"/>
      <c r="N476" s="6"/>
      <c r="O476" s="6"/>
      <c r="P476" s="6"/>
      <c r="Q476" s="4" t="s">
        <v>4066</v>
      </c>
    </row>
    <row r="477" spans="4:17">
      <c r="D477" s="6" t="s">
        <v>7375</v>
      </c>
      <c r="E477" s="4" t="s">
        <v>3443</v>
      </c>
      <c r="F477" s="6"/>
      <c r="G477" s="4"/>
      <c r="H477" s="6"/>
      <c r="I477" s="6"/>
      <c r="J477" s="4" t="str">
        <f t="shared" si="8"/>
        <v/>
      </c>
      <c r="K477" s="11"/>
      <c r="L477" s="9"/>
      <c r="M477" s="12"/>
      <c r="N477" s="6"/>
      <c r="O477" s="6"/>
      <c r="P477" s="6"/>
      <c r="Q477" s="4" t="s">
        <v>4067</v>
      </c>
    </row>
    <row r="478" spans="4:17">
      <c r="D478" s="6" t="s">
        <v>7376</v>
      </c>
      <c r="E478" s="4" t="s">
        <v>3443</v>
      </c>
      <c r="F478" s="6"/>
      <c r="G478" s="4"/>
      <c r="H478" s="6"/>
      <c r="I478" s="6"/>
      <c r="J478" s="4" t="str">
        <f t="shared" si="8"/>
        <v/>
      </c>
      <c r="K478" s="11"/>
      <c r="L478" s="9"/>
      <c r="M478" s="12"/>
      <c r="N478" s="6"/>
      <c r="O478" s="6"/>
      <c r="P478" s="6"/>
      <c r="Q478" s="4" t="s">
        <v>4068</v>
      </c>
    </row>
    <row r="479" spans="4:17">
      <c r="D479" s="6" t="s">
        <v>7377</v>
      </c>
      <c r="E479" s="4" t="s">
        <v>3443</v>
      </c>
      <c r="F479" s="6"/>
      <c r="G479" s="4"/>
      <c r="H479" s="6"/>
      <c r="I479" s="6"/>
      <c r="J479" s="4" t="str">
        <f t="shared" si="8"/>
        <v/>
      </c>
      <c r="K479" s="11"/>
      <c r="L479" s="9"/>
      <c r="M479" s="12"/>
      <c r="N479" s="6"/>
      <c r="O479" s="6"/>
      <c r="P479" s="6"/>
      <c r="Q479" s="4" t="s">
        <v>4069</v>
      </c>
    </row>
    <row r="480" spans="4:17">
      <c r="D480" s="6" t="s">
        <v>7378</v>
      </c>
      <c r="E480" s="4" t="s">
        <v>3443</v>
      </c>
      <c r="F480" s="6"/>
      <c r="G480" s="4"/>
      <c r="H480" s="6"/>
      <c r="I480" s="6"/>
      <c r="J480" s="4" t="str">
        <f t="shared" si="8"/>
        <v/>
      </c>
      <c r="K480" s="11"/>
      <c r="L480" s="9"/>
      <c r="M480" s="12"/>
      <c r="N480" s="6"/>
      <c r="O480" s="6"/>
      <c r="P480" s="6"/>
      <c r="Q480" s="4" t="s">
        <v>4070</v>
      </c>
    </row>
    <row r="481" spans="4:17">
      <c r="D481" s="6" t="s">
        <v>7379</v>
      </c>
      <c r="E481" s="4" t="s">
        <v>3443</v>
      </c>
      <c r="F481" s="6"/>
      <c r="G481" s="4"/>
      <c r="H481" s="6"/>
      <c r="I481" s="6"/>
      <c r="J481" s="4" t="str">
        <f t="shared" si="8"/>
        <v/>
      </c>
      <c r="K481" s="11"/>
      <c r="L481" s="9"/>
      <c r="M481" s="12"/>
      <c r="N481" s="6"/>
      <c r="O481" s="6"/>
      <c r="P481" s="6"/>
      <c r="Q481" s="4" t="s">
        <v>4071</v>
      </c>
    </row>
    <row r="482" spans="4:17">
      <c r="D482" s="6" t="s">
        <v>7380</v>
      </c>
      <c r="E482" s="4" t="s">
        <v>3443</v>
      </c>
      <c r="F482" s="6"/>
      <c r="G482" s="4"/>
      <c r="H482" s="6"/>
      <c r="I482" s="6"/>
      <c r="J482" s="4" t="str">
        <f t="shared" si="8"/>
        <v/>
      </c>
      <c r="K482" s="11"/>
      <c r="L482" s="9"/>
      <c r="M482" s="12"/>
      <c r="N482" s="6"/>
      <c r="O482" s="6"/>
      <c r="P482" s="6"/>
      <c r="Q482" s="4" t="s">
        <v>4072</v>
      </c>
    </row>
    <row r="483" spans="4:17">
      <c r="D483" s="6" t="s">
        <v>7381</v>
      </c>
      <c r="E483" s="4" t="s">
        <v>3443</v>
      </c>
      <c r="F483" s="6"/>
      <c r="G483" s="4"/>
      <c r="H483" s="6"/>
      <c r="I483" s="6"/>
      <c r="J483" s="4" t="str">
        <f t="shared" si="8"/>
        <v/>
      </c>
      <c r="K483" s="11"/>
      <c r="L483" s="9"/>
      <c r="M483" s="12"/>
      <c r="N483" s="6"/>
      <c r="O483" s="6"/>
      <c r="P483" s="6"/>
      <c r="Q483" s="4" t="s">
        <v>4073</v>
      </c>
    </row>
    <row r="484" spans="4:17">
      <c r="D484" s="6" t="s">
        <v>7382</v>
      </c>
      <c r="E484" s="4" t="s">
        <v>3443</v>
      </c>
      <c r="F484" s="6"/>
      <c r="G484" s="4"/>
      <c r="H484" s="6"/>
      <c r="I484" s="6"/>
      <c r="J484" s="4" t="str">
        <f t="shared" si="8"/>
        <v/>
      </c>
      <c r="K484" s="11"/>
      <c r="L484" s="9"/>
      <c r="M484" s="12"/>
      <c r="N484" s="6"/>
      <c r="O484" s="6"/>
      <c r="P484" s="6"/>
      <c r="Q484" s="4" t="s">
        <v>4074</v>
      </c>
    </row>
    <row r="485" spans="4:17">
      <c r="D485" s="6" t="s">
        <v>7383</v>
      </c>
      <c r="E485" s="4" t="s">
        <v>3443</v>
      </c>
      <c r="F485" s="6"/>
      <c r="G485" s="4"/>
      <c r="H485" s="6"/>
      <c r="I485" s="6"/>
      <c r="J485" s="4" t="str">
        <f t="shared" si="8"/>
        <v/>
      </c>
      <c r="K485" s="11"/>
      <c r="L485" s="9"/>
      <c r="M485" s="12"/>
      <c r="N485" s="6"/>
      <c r="O485" s="6"/>
      <c r="P485" s="6"/>
      <c r="Q485" s="4" t="s">
        <v>4075</v>
      </c>
    </row>
    <row r="486" spans="4:17">
      <c r="D486" s="6" t="s">
        <v>7384</v>
      </c>
      <c r="E486" s="4" t="s">
        <v>3443</v>
      </c>
      <c r="F486" s="6"/>
      <c r="G486" s="4"/>
      <c r="H486" s="6"/>
      <c r="I486" s="6"/>
      <c r="J486" s="4" t="str">
        <f t="shared" si="8"/>
        <v/>
      </c>
      <c r="K486" s="11"/>
      <c r="L486" s="9"/>
      <c r="M486" s="12"/>
      <c r="N486" s="6"/>
      <c r="O486" s="6"/>
      <c r="P486" s="6"/>
      <c r="Q486" s="4" t="s">
        <v>4076</v>
      </c>
    </row>
    <row r="487" spans="4:17">
      <c r="D487" s="6" t="s">
        <v>7385</v>
      </c>
      <c r="E487" s="4" t="s">
        <v>3443</v>
      </c>
      <c r="F487" s="6"/>
      <c r="G487" s="4"/>
      <c r="H487" s="6"/>
      <c r="I487" s="6"/>
      <c r="J487" s="4" t="str">
        <f t="shared" si="8"/>
        <v/>
      </c>
      <c r="K487" s="11"/>
      <c r="L487" s="9"/>
      <c r="M487" s="12"/>
      <c r="N487" s="6"/>
      <c r="O487" s="6"/>
      <c r="P487" s="6"/>
      <c r="Q487" s="4" t="s">
        <v>4077</v>
      </c>
    </row>
    <row r="488" spans="4:17">
      <c r="D488" s="6" t="s">
        <v>7386</v>
      </c>
      <c r="E488" s="4" t="s">
        <v>3443</v>
      </c>
      <c r="F488" s="6"/>
      <c r="G488" s="4"/>
      <c r="H488" s="6"/>
      <c r="I488" s="6"/>
      <c r="J488" s="4" t="str">
        <f t="shared" si="8"/>
        <v/>
      </c>
      <c r="K488" s="11"/>
      <c r="L488" s="9"/>
      <c r="M488" s="12"/>
      <c r="N488" s="6"/>
      <c r="O488" s="6"/>
      <c r="P488" s="6"/>
      <c r="Q488" s="4" t="s">
        <v>4078</v>
      </c>
    </row>
    <row r="489" spans="4:17">
      <c r="D489" s="6" t="s">
        <v>7387</v>
      </c>
      <c r="E489" s="4" t="s">
        <v>3443</v>
      </c>
      <c r="F489" s="6"/>
      <c r="G489" s="4"/>
      <c r="H489" s="6"/>
      <c r="I489" s="6"/>
      <c r="J489" s="4" t="str">
        <f t="shared" si="8"/>
        <v/>
      </c>
      <c r="K489" s="11"/>
      <c r="L489" s="9"/>
      <c r="M489" s="12"/>
      <c r="N489" s="6"/>
      <c r="O489" s="6"/>
      <c r="P489" s="6"/>
      <c r="Q489" s="4" t="s">
        <v>4079</v>
      </c>
    </row>
    <row r="490" spans="4:17">
      <c r="D490" s="6" t="s">
        <v>7388</v>
      </c>
      <c r="E490" s="4" t="s">
        <v>3443</v>
      </c>
      <c r="F490" s="6"/>
      <c r="G490" s="4"/>
      <c r="H490" s="6"/>
      <c r="I490" s="6"/>
      <c r="J490" s="4" t="str">
        <f t="shared" si="8"/>
        <v/>
      </c>
      <c r="K490" s="11"/>
      <c r="L490" s="9"/>
      <c r="M490" s="12"/>
      <c r="N490" s="6"/>
      <c r="O490" s="6"/>
      <c r="P490" s="6"/>
      <c r="Q490" s="4" t="s">
        <v>4080</v>
      </c>
    </row>
    <row r="491" spans="4:17">
      <c r="D491" s="6" t="s">
        <v>7389</v>
      </c>
      <c r="E491" s="4" t="s">
        <v>3443</v>
      </c>
      <c r="F491" s="6"/>
      <c r="G491" s="4"/>
      <c r="H491" s="6"/>
      <c r="I491" s="6"/>
      <c r="J491" s="4" t="str">
        <f t="shared" si="8"/>
        <v/>
      </c>
      <c r="K491" s="11"/>
      <c r="L491" s="9"/>
      <c r="M491" s="12"/>
      <c r="N491" s="6"/>
      <c r="O491" s="6"/>
      <c r="P491" s="6"/>
      <c r="Q491" s="4" t="s">
        <v>4081</v>
      </c>
    </row>
    <row r="492" spans="4:17">
      <c r="D492" s="6" t="s">
        <v>7390</v>
      </c>
      <c r="E492" s="4" t="s">
        <v>3443</v>
      </c>
      <c r="F492" s="6"/>
      <c r="G492" s="4"/>
      <c r="H492" s="6"/>
      <c r="I492" s="6"/>
      <c r="J492" s="4" t="str">
        <f t="shared" si="8"/>
        <v/>
      </c>
      <c r="K492" s="11"/>
      <c r="L492" s="9"/>
      <c r="M492" s="12"/>
      <c r="N492" s="6"/>
      <c r="O492" s="6"/>
      <c r="P492" s="6"/>
      <c r="Q492" s="4" t="s">
        <v>4082</v>
      </c>
    </row>
    <row r="493" spans="4:17">
      <c r="D493" s="6" t="s">
        <v>7391</v>
      </c>
      <c r="E493" s="4" t="s">
        <v>3443</v>
      </c>
      <c r="F493" s="6"/>
      <c r="G493" s="4"/>
      <c r="H493" s="6"/>
      <c r="I493" s="6"/>
      <c r="J493" s="4" t="str">
        <f t="shared" si="8"/>
        <v/>
      </c>
      <c r="K493" s="11"/>
      <c r="L493" s="9"/>
      <c r="M493" s="12"/>
      <c r="N493" s="6"/>
      <c r="O493" s="6"/>
      <c r="P493" s="6"/>
      <c r="Q493" s="4" t="s">
        <v>4083</v>
      </c>
    </row>
    <row r="494" spans="4:17">
      <c r="D494" s="6" t="s">
        <v>7392</v>
      </c>
      <c r="E494" s="4" t="s">
        <v>3443</v>
      </c>
      <c r="F494" s="6"/>
      <c r="G494" s="4"/>
      <c r="H494" s="6"/>
      <c r="I494" s="6"/>
      <c r="J494" s="4" t="str">
        <f t="shared" si="8"/>
        <v/>
      </c>
      <c r="K494" s="11"/>
      <c r="L494" s="9"/>
      <c r="M494" s="12"/>
      <c r="N494" s="6"/>
      <c r="O494" s="6"/>
      <c r="P494" s="6"/>
      <c r="Q494" s="4" t="s">
        <v>4084</v>
      </c>
    </row>
    <row r="495" spans="4:17">
      <c r="D495" s="6" t="s">
        <v>7393</v>
      </c>
      <c r="E495" s="4" t="s">
        <v>3443</v>
      </c>
      <c r="F495" s="6"/>
      <c r="G495" s="4"/>
      <c r="H495" s="6"/>
      <c r="I495" s="6"/>
      <c r="J495" s="4" t="str">
        <f t="shared" si="8"/>
        <v/>
      </c>
      <c r="K495" s="11"/>
      <c r="L495" s="9"/>
      <c r="M495" s="12"/>
      <c r="N495" s="6"/>
      <c r="O495" s="6"/>
      <c r="P495" s="6"/>
      <c r="Q495" s="4" t="s">
        <v>4085</v>
      </c>
    </row>
    <row r="496" spans="4:17">
      <c r="D496" s="6" t="s">
        <v>7394</v>
      </c>
      <c r="E496" s="4" t="s">
        <v>3450</v>
      </c>
      <c r="F496" s="6"/>
      <c r="G496" s="4"/>
      <c r="H496" s="6"/>
      <c r="I496" s="6"/>
      <c r="J496" s="4" t="str">
        <f t="shared" si="8"/>
        <v/>
      </c>
      <c r="K496" s="11"/>
      <c r="L496" s="9"/>
      <c r="M496" s="12"/>
      <c r="N496" s="6"/>
      <c r="O496" s="6"/>
      <c r="P496" s="6"/>
      <c r="Q496" s="4" t="s">
        <v>4086</v>
      </c>
    </row>
    <row r="497" spans="4:17">
      <c r="D497" s="6" t="s">
        <v>7395</v>
      </c>
      <c r="E497" s="4" t="s">
        <v>3450</v>
      </c>
      <c r="F497" s="6"/>
      <c r="G497" s="4"/>
      <c r="H497" s="6"/>
      <c r="I497" s="6"/>
      <c r="J497" s="4" t="str">
        <f t="shared" si="8"/>
        <v/>
      </c>
      <c r="K497" s="11"/>
      <c r="L497" s="9"/>
      <c r="M497" s="12"/>
      <c r="N497" s="6"/>
      <c r="O497" s="6"/>
      <c r="P497" s="6"/>
      <c r="Q497" s="4" t="s">
        <v>4087</v>
      </c>
    </row>
    <row r="498" spans="4:17">
      <c r="D498" s="6" t="s">
        <v>7396</v>
      </c>
      <c r="E498" s="4" t="s">
        <v>3450</v>
      </c>
      <c r="F498" s="6"/>
      <c r="G498" s="4"/>
      <c r="H498" s="6"/>
      <c r="I498" s="6"/>
      <c r="J498" s="4" t="str">
        <f t="shared" si="8"/>
        <v/>
      </c>
      <c r="K498" s="11"/>
      <c r="L498" s="9"/>
      <c r="M498" s="12"/>
      <c r="N498" s="6"/>
      <c r="O498" s="6"/>
      <c r="P498" s="6"/>
      <c r="Q498" s="4" t="s">
        <v>4088</v>
      </c>
    </row>
    <row r="499" spans="4:17">
      <c r="D499" s="6" t="s">
        <v>7397</v>
      </c>
      <c r="E499" s="4" t="s">
        <v>3450</v>
      </c>
      <c r="F499" s="6"/>
      <c r="G499" s="4"/>
      <c r="H499" s="6"/>
      <c r="I499" s="6"/>
      <c r="J499" s="4" t="str">
        <f t="shared" si="8"/>
        <v/>
      </c>
      <c r="K499" s="11"/>
      <c r="L499" s="9"/>
      <c r="M499" s="12"/>
      <c r="N499" s="6"/>
      <c r="O499" s="6"/>
      <c r="P499" s="6"/>
      <c r="Q499" s="4" t="s">
        <v>4089</v>
      </c>
    </row>
    <row r="500" spans="4:17">
      <c r="D500" s="6" t="s">
        <v>7398</v>
      </c>
      <c r="E500" s="4" t="s">
        <v>3450</v>
      </c>
      <c r="F500" s="6"/>
      <c r="G500" s="4"/>
      <c r="H500" s="6"/>
      <c r="I500" s="6"/>
      <c r="J500" s="4" t="str">
        <f t="shared" si="8"/>
        <v/>
      </c>
      <c r="K500" s="11"/>
      <c r="L500" s="9"/>
      <c r="M500" s="12"/>
      <c r="N500" s="6"/>
      <c r="O500" s="6"/>
      <c r="P500" s="6"/>
      <c r="Q500" s="4" t="s">
        <v>4090</v>
      </c>
    </row>
    <row r="501" spans="4:17">
      <c r="D501" s="6" t="s">
        <v>7399</v>
      </c>
      <c r="E501" s="4" t="s">
        <v>3450</v>
      </c>
      <c r="F501" s="6"/>
      <c r="G501" s="4"/>
      <c r="H501" s="6"/>
      <c r="I501" s="6"/>
      <c r="J501" s="4" t="str">
        <f t="shared" si="8"/>
        <v/>
      </c>
      <c r="K501" s="11"/>
      <c r="L501" s="9"/>
      <c r="M501" s="12"/>
      <c r="N501" s="6"/>
      <c r="O501" s="6"/>
      <c r="P501" s="6"/>
      <c r="Q501" s="4" t="s">
        <v>4091</v>
      </c>
    </row>
    <row r="502" spans="4:17">
      <c r="D502" s="6" t="s">
        <v>7400</v>
      </c>
      <c r="E502" s="4" t="s">
        <v>3450</v>
      </c>
      <c r="F502" s="6"/>
      <c r="G502" s="4"/>
      <c r="H502" s="6"/>
      <c r="I502" s="6"/>
      <c r="J502" s="4" t="str">
        <f t="shared" si="8"/>
        <v/>
      </c>
      <c r="K502" s="11"/>
      <c r="L502" s="9"/>
      <c r="M502" s="12"/>
      <c r="N502" s="6"/>
      <c r="O502" s="6"/>
      <c r="P502" s="6"/>
      <c r="Q502" s="4" t="s">
        <v>4092</v>
      </c>
    </row>
    <row r="503" spans="4:17">
      <c r="D503" s="6" t="s">
        <v>7401</v>
      </c>
      <c r="E503" s="4" t="s">
        <v>3450</v>
      </c>
      <c r="F503" s="6"/>
      <c r="G503" s="4"/>
      <c r="H503" s="6"/>
      <c r="I503" s="6"/>
      <c r="J503" s="4" t="str">
        <f t="shared" si="8"/>
        <v/>
      </c>
      <c r="K503" s="11"/>
      <c r="L503" s="9"/>
      <c r="M503" s="12"/>
      <c r="N503" s="6"/>
      <c r="O503" s="6"/>
      <c r="P503" s="6"/>
      <c r="Q503" s="4" t="s">
        <v>4093</v>
      </c>
    </row>
    <row r="504" spans="4:17">
      <c r="D504" s="6" t="s">
        <v>7402</v>
      </c>
      <c r="E504" s="4" t="s">
        <v>3450</v>
      </c>
      <c r="F504" s="6"/>
      <c r="G504" s="4"/>
      <c r="H504" s="6"/>
      <c r="I504" s="6"/>
      <c r="J504" s="4" t="str">
        <f t="shared" si="8"/>
        <v/>
      </c>
      <c r="K504" s="11"/>
      <c r="L504" s="9"/>
      <c r="M504" s="12"/>
      <c r="N504" s="6"/>
      <c r="O504" s="6"/>
      <c r="P504" s="6"/>
      <c r="Q504" s="4" t="s">
        <v>4094</v>
      </c>
    </row>
    <row r="505" spans="4:17">
      <c r="D505" s="6" t="s">
        <v>7403</v>
      </c>
      <c r="E505" s="4" t="s">
        <v>3450</v>
      </c>
      <c r="F505" s="6"/>
      <c r="G505" s="4"/>
      <c r="H505" s="6"/>
      <c r="I505" s="6"/>
      <c r="J505" s="4" t="str">
        <f t="shared" si="8"/>
        <v/>
      </c>
      <c r="K505" s="11"/>
      <c r="L505" s="9"/>
      <c r="M505" s="12"/>
      <c r="N505" s="6"/>
      <c r="O505" s="6"/>
      <c r="P505" s="6"/>
      <c r="Q505" s="4" t="s">
        <v>4095</v>
      </c>
    </row>
    <row r="506" spans="4:17">
      <c r="D506" s="6" t="s">
        <v>7404</v>
      </c>
      <c r="E506" s="4" t="s">
        <v>3450</v>
      </c>
      <c r="F506" s="6"/>
      <c r="G506" s="4"/>
      <c r="H506" s="6"/>
      <c r="I506" s="6"/>
      <c r="J506" s="4" t="str">
        <f t="shared" si="8"/>
        <v/>
      </c>
      <c r="K506" s="11"/>
      <c r="L506" s="9"/>
      <c r="M506" s="12"/>
      <c r="N506" s="6"/>
      <c r="O506" s="6"/>
      <c r="P506" s="6"/>
      <c r="Q506" s="4" t="s">
        <v>4096</v>
      </c>
    </row>
    <row r="507" spans="4:17">
      <c r="D507" s="6" t="s">
        <v>7405</v>
      </c>
      <c r="E507" s="4" t="s">
        <v>3450</v>
      </c>
      <c r="F507" s="6"/>
      <c r="G507" s="4"/>
      <c r="H507" s="6"/>
      <c r="I507" s="6"/>
      <c r="J507" s="4" t="str">
        <f t="shared" si="8"/>
        <v/>
      </c>
      <c r="K507" s="11"/>
      <c r="L507" s="9"/>
      <c r="M507" s="12"/>
      <c r="N507" s="6"/>
      <c r="O507" s="6"/>
      <c r="P507" s="6"/>
      <c r="Q507" s="4" t="s">
        <v>4097</v>
      </c>
    </row>
    <row r="508" spans="4:17">
      <c r="D508" s="6" t="s">
        <v>7406</v>
      </c>
      <c r="E508" s="4" t="s">
        <v>3450</v>
      </c>
      <c r="F508" s="6"/>
      <c r="G508" s="4"/>
      <c r="H508" s="6"/>
      <c r="I508" s="6"/>
      <c r="J508" s="4" t="str">
        <f t="shared" ref="J508:J571" si="9">F508&amp;H508&amp;I508</f>
        <v/>
      </c>
      <c r="K508" s="11"/>
      <c r="L508" s="9"/>
      <c r="M508" s="12"/>
      <c r="N508" s="6"/>
      <c r="O508" s="6"/>
      <c r="P508" s="6"/>
      <c r="Q508" s="4" t="s">
        <v>4098</v>
      </c>
    </row>
    <row r="509" spans="4:17">
      <c r="D509" s="6" t="s">
        <v>7407</v>
      </c>
      <c r="E509" s="4" t="s">
        <v>3450</v>
      </c>
      <c r="F509" s="6"/>
      <c r="G509" s="4"/>
      <c r="H509" s="6"/>
      <c r="I509" s="6"/>
      <c r="J509" s="4" t="str">
        <f t="shared" si="9"/>
        <v/>
      </c>
      <c r="K509" s="11"/>
      <c r="L509" s="9"/>
      <c r="M509" s="12"/>
      <c r="N509" s="6"/>
      <c r="O509" s="6"/>
      <c r="P509" s="6"/>
      <c r="Q509" s="4" t="s">
        <v>4099</v>
      </c>
    </row>
    <row r="510" spans="4:17">
      <c r="D510" s="6" t="s">
        <v>7408</v>
      </c>
      <c r="E510" s="4" t="s">
        <v>3450</v>
      </c>
      <c r="F510" s="6"/>
      <c r="G510" s="4"/>
      <c r="H510" s="6"/>
      <c r="I510" s="6"/>
      <c r="J510" s="4" t="str">
        <f t="shared" si="9"/>
        <v/>
      </c>
      <c r="K510" s="11"/>
      <c r="L510" s="9"/>
      <c r="M510" s="12"/>
      <c r="N510" s="6"/>
      <c r="O510" s="6"/>
      <c r="P510" s="6"/>
      <c r="Q510" s="4" t="s">
        <v>4100</v>
      </c>
    </row>
    <row r="511" spans="4:17">
      <c r="D511" s="6" t="s">
        <v>7409</v>
      </c>
      <c r="E511" s="4" t="s">
        <v>3450</v>
      </c>
      <c r="F511" s="6"/>
      <c r="G511" s="4"/>
      <c r="H511" s="6"/>
      <c r="I511" s="6"/>
      <c r="J511" s="4" t="str">
        <f t="shared" si="9"/>
        <v/>
      </c>
      <c r="K511" s="11"/>
      <c r="L511" s="9"/>
      <c r="M511" s="12"/>
      <c r="N511" s="6"/>
      <c r="O511" s="6"/>
      <c r="P511" s="6"/>
      <c r="Q511" s="4" t="s">
        <v>4101</v>
      </c>
    </row>
    <row r="512" spans="4:17">
      <c r="D512" s="6" t="s">
        <v>7410</v>
      </c>
      <c r="E512" s="4" t="s">
        <v>3450</v>
      </c>
      <c r="F512" s="6"/>
      <c r="G512" s="4"/>
      <c r="H512" s="6"/>
      <c r="I512" s="6"/>
      <c r="J512" s="4" t="str">
        <f t="shared" si="9"/>
        <v/>
      </c>
      <c r="K512" s="11"/>
      <c r="L512" s="9"/>
      <c r="M512" s="12"/>
      <c r="N512" s="6"/>
      <c r="O512" s="6"/>
      <c r="P512" s="6"/>
      <c r="Q512" s="4" t="s">
        <v>4102</v>
      </c>
    </row>
    <row r="513" spans="4:17">
      <c r="D513" s="6" t="s">
        <v>7411</v>
      </c>
      <c r="E513" s="4" t="s">
        <v>3450</v>
      </c>
      <c r="F513" s="6"/>
      <c r="G513" s="4"/>
      <c r="H513" s="6"/>
      <c r="I513" s="6"/>
      <c r="J513" s="4" t="str">
        <f t="shared" si="9"/>
        <v/>
      </c>
      <c r="K513" s="11"/>
      <c r="L513" s="9"/>
      <c r="M513" s="12"/>
      <c r="N513" s="6"/>
      <c r="O513" s="6"/>
      <c r="P513" s="6"/>
      <c r="Q513" s="4" t="s">
        <v>4103</v>
      </c>
    </row>
    <row r="514" spans="4:17">
      <c r="D514" s="6" t="s">
        <v>7412</v>
      </c>
      <c r="E514" s="4" t="s">
        <v>3450</v>
      </c>
      <c r="F514" s="6"/>
      <c r="G514" s="4"/>
      <c r="H514" s="6"/>
      <c r="I514" s="6"/>
      <c r="J514" s="4" t="str">
        <f t="shared" si="9"/>
        <v/>
      </c>
      <c r="K514" s="11"/>
      <c r="L514" s="9"/>
      <c r="M514" s="12"/>
      <c r="N514" s="6"/>
      <c r="O514" s="6"/>
      <c r="P514" s="6"/>
      <c r="Q514" s="4" t="s">
        <v>4104</v>
      </c>
    </row>
    <row r="515" spans="4:17">
      <c r="D515" s="6" t="s">
        <v>7413</v>
      </c>
      <c r="E515" s="4" t="s">
        <v>3450</v>
      </c>
      <c r="F515" s="6"/>
      <c r="G515" s="4"/>
      <c r="H515" s="6"/>
      <c r="I515" s="6"/>
      <c r="J515" s="4" t="str">
        <f t="shared" si="9"/>
        <v/>
      </c>
      <c r="K515" s="11"/>
      <c r="L515" s="9"/>
      <c r="M515" s="12"/>
      <c r="N515" s="6"/>
      <c r="O515" s="6"/>
      <c r="P515" s="6"/>
      <c r="Q515" s="4" t="s">
        <v>4105</v>
      </c>
    </row>
    <row r="516" spans="4:17">
      <c r="D516" s="6" t="s">
        <v>7414</v>
      </c>
      <c r="E516" s="4" t="s">
        <v>3457</v>
      </c>
      <c r="F516" s="6"/>
      <c r="G516" s="4"/>
      <c r="H516" s="6"/>
      <c r="I516" s="6"/>
      <c r="J516" s="4" t="str">
        <f t="shared" si="9"/>
        <v/>
      </c>
      <c r="K516" s="11"/>
      <c r="L516" s="9"/>
      <c r="M516" s="12"/>
      <c r="N516" s="6"/>
      <c r="O516" s="6"/>
      <c r="P516" s="6"/>
      <c r="Q516" s="4" t="s">
        <v>4106</v>
      </c>
    </row>
    <row r="517" spans="4:17">
      <c r="D517" s="6" t="s">
        <v>7415</v>
      </c>
      <c r="E517" s="4" t="s">
        <v>3457</v>
      </c>
      <c r="F517" s="6"/>
      <c r="G517" s="4"/>
      <c r="H517" s="6"/>
      <c r="I517" s="6"/>
      <c r="J517" s="4" t="str">
        <f t="shared" si="9"/>
        <v/>
      </c>
      <c r="K517" s="11"/>
      <c r="L517" s="9"/>
      <c r="M517" s="12"/>
      <c r="N517" s="6"/>
      <c r="O517" s="6"/>
      <c r="P517" s="6"/>
      <c r="Q517" s="4" t="s">
        <v>4107</v>
      </c>
    </row>
    <row r="518" spans="4:17">
      <c r="D518" s="6" t="s">
        <v>7416</v>
      </c>
      <c r="E518" s="4" t="s">
        <v>3457</v>
      </c>
      <c r="F518" s="6"/>
      <c r="G518" s="4"/>
      <c r="H518" s="6"/>
      <c r="I518" s="6"/>
      <c r="J518" s="4" t="str">
        <f t="shared" si="9"/>
        <v/>
      </c>
      <c r="K518" s="11"/>
      <c r="L518" s="9"/>
      <c r="M518" s="12"/>
      <c r="N518" s="6"/>
      <c r="O518" s="6"/>
      <c r="P518" s="6"/>
      <c r="Q518" s="4" t="s">
        <v>4108</v>
      </c>
    </row>
    <row r="519" spans="4:17">
      <c r="D519" s="6" t="s">
        <v>7417</v>
      </c>
      <c r="E519" s="4" t="s">
        <v>3457</v>
      </c>
      <c r="F519" s="6"/>
      <c r="G519" s="4"/>
      <c r="H519" s="6"/>
      <c r="I519" s="6"/>
      <c r="J519" s="4" t="str">
        <f t="shared" si="9"/>
        <v/>
      </c>
      <c r="K519" s="11"/>
      <c r="L519" s="9"/>
      <c r="M519" s="12"/>
      <c r="N519" s="6"/>
      <c r="O519" s="6"/>
      <c r="P519" s="6"/>
      <c r="Q519" s="4" t="s">
        <v>4109</v>
      </c>
    </row>
    <row r="520" spans="4:17">
      <c r="D520" s="6" t="s">
        <v>7418</v>
      </c>
      <c r="E520" s="4" t="s">
        <v>3457</v>
      </c>
      <c r="F520" s="6"/>
      <c r="G520" s="4"/>
      <c r="H520" s="6"/>
      <c r="I520" s="6"/>
      <c r="J520" s="4" t="str">
        <f t="shared" si="9"/>
        <v/>
      </c>
      <c r="K520" s="11"/>
      <c r="L520" s="9"/>
      <c r="M520" s="12"/>
      <c r="N520" s="6"/>
      <c r="O520" s="6"/>
      <c r="P520" s="6"/>
      <c r="Q520" s="4" t="s">
        <v>4110</v>
      </c>
    </row>
    <row r="521" spans="4:17">
      <c r="D521" s="6" t="s">
        <v>7419</v>
      </c>
      <c r="E521" s="4" t="s">
        <v>3457</v>
      </c>
      <c r="F521" s="6"/>
      <c r="G521" s="4"/>
      <c r="H521" s="6"/>
      <c r="I521" s="6"/>
      <c r="J521" s="4" t="str">
        <f t="shared" si="9"/>
        <v/>
      </c>
      <c r="K521" s="11"/>
      <c r="L521" s="9"/>
      <c r="M521" s="12"/>
      <c r="N521" s="6"/>
      <c r="O521" s="6"/>
      <c r="P521" s="6"/>
      <c r="Q521" s="4" t="s">
        <v>4111</v>
      </c>
    </row>
    <row r="522" spans="4:17">
      <c r="D522" s="6" t="s">
        <v>7420</v>
      </c>
      <c r="E522" s="4" t="s">
        <v>3457</v>
      </c>
      <c r="F522" s="6"/>
      <c r="G522" s="4"/>
      <c r="H522" s="6"/>
      <c r="I522" s="6"/>
      <c r="J522" s="4" t="str">
        <f t="shared" si="9"/>
        <v/>
      </c>
      <c r="K522" s="11"/>
      <c r="L522" s="9"/>
      <c r="M522" s="12"/>
      <c r="N522" s="6"/>
      <c r="O522" s="6"/>
      <c r="P522" s="6"/>
      <c r="Q522" s="4" t="s">
        <v>4112</v>
      </c>
    </row>
    <row r="523" spans="4:17">
      <c r="D523" s="6" t="s">
        <v>7421</v>
      </c>
      <c r="E523" s="4" t="s">
        <v>3457</v>
      </c>
      <c r="F523" s="6"/>
      <c r="G523" s="4"/>
      <c r="H523" s="6"/>
      <c r="I523" s="6"/>
      <c r="J523" s="4" t="str">
        <f t="shared" si="9"/>
        <v/>
      </c>
      <c r="K523" s="11"/>
      <c r="L523" s="9"/>
      <c r="M523" s="12"/>
      <c r="N523" s="6"/>
      <c r="O523" s="6"/>
      <c r="P523" s="6"/>
      <c r="Q523" s="4" t="s">
        <v>4113</v>
      </c>
    </row>
    <row r="524" spans="4:17">
      <c r="D524" s="6" t="s">
        <v>7422</v>
      </c>
      <c r="E524" s="4" t="s">
        <v>3457</v>
      </c>
      <c r="F524" s="6"/>
      <c r="G524" s="4"/>
      <c r="H524" s="6"/>
      <c r="I524" s="6"/>
      <c r="J524" s="4" t="str">
        <f t="shared" si="9"/>
        <v/>
      </c>
      <c r="K524" s="11"/>
      <c r="L524" s="9"/>
      <c r="M524" s="12"/>
      <c r="N524" s="6"/>
      <c r="O524" s="6"/>
      <c r="P524" s="6"/>
      <c r="Q524" s="4" t="s">
        <v>4114</v>
      </c>
    </row>
    <row r="525" spans="4:17">
      <c r="D525" s="6" t="s">
        <v>7423</v>
      </c>
      <c r="E525" s="4" t="s">
        <v>3457</v>
      </c>
      <c r="F525" s="6"/>
      <c r="G525" s="4"/>
      <c r="H525" s="6"/>
      <c r="I525" s="6"/>
      <c r="J525" s="4" t="str">
        <f t="shared" si="9"/>
        <v/>
      </c>
      <c r="K525" s="11"/>
      <c r="L525" s="9"/>
      <c r="M525" s="12"/>
      <c r="N525" s="6"/>
      <c r="O525" s="6"/>
      <c r="P525" s="6"/>
      <c r="Q525" s="4" t="s">
        <v>4115</v>
      </c>
    </row>
    <row r="526" spans="4:17">
      <c r="D526" s="6" t="s">
        <v>7424</v>
      </c>
      <c r="E526" s="4" t="s">
        <v>3457</v>
      </c>
      <c r="F526" s="6"/>
      <c r="G526" s="4"/>
      <c r="H526" s="6"/>
      <c r="I526" s="6"/>
      <c r="J526" s="4" t="str">
        <f t="shared" si="9"/>
        <v/>
      </c>
      <c r="K526" s="11"/>
      <c r="L526" s="9"/>
      <c r="M526" s="12"/>
      <c r="N526" s="6"/>
      <c r="O526" s="6"/>
      <c r="P526" s="6"/>
      <c r="Q526" s="4" t="s">
        <v>4116</v>
      </c>
    </row>
    <row r="527" spans="4:17">
      <c r="D527" s="6" t="s">
        <v>7425</v>
      </c>
      <c r="E527" s="4" t="s">
        <v>3457</v>
      </c>
      <c r="F527" s="6"/>
      <c r="G527" s="4"/>
      <c r="H527" s="6"/>
      <c r="I527" s="6"/>
      <c r="J527" s="4" t="str">
        <f t="shared" si="9"/>
        <v/>
      </c>
      <c r="K527" s="11"/>
      <c r="L527" s="9"/>
      <c r="M527" s="12"/>
      <c r="N527" s="6"/>
      <c r="O527" s="6"/>
      <c r="P527" s="6"/>
      <c r="Q527" s="4" t="s">
        <v>4117</v>
      </c>
    </row>
    <row r="528" spans="4:17">
      <c r="D528" s="6" t="s">
        <v>7426</v>
      </c>
      <c r="E528" s="4" t="s">
        <v>3457</v>
      </c>
      <c r="F528" s="6"/>
      <c r="G528" s="4"/>
      <c r="H528" s="6"/>
      <c r="I528" s="6"/>
      <c r="J528" s="4" t="str">
        <f t="shared" si="9"/>
        <v/>
      </c>
      <c r="K528" s="11"/>
      <c r="L528" s="9"/>
      <c r="M528" s="12"/>
      <c r="N528" s="6"/>
      <c r="O528" s="6"/>
      <c r="P528" s="6"/>
      <c r="Q528" s="4" t="s">
        <v>4118</v>
      </c>
    </row>
    <row r="529" spans="4:17">
      <c r="D529" s="6" t="s">
        <v>7427</v>
      </c>
      <c r="E529" s="4" t="s">
        <v>3457</v>
      </c>
      <c r="F529" s="6"/>
      <c r="G529" s="4"/>
      <c r="H529" s="6"/>
      <c r="I529" s="6"/>
      <c r="J529" s="4" t="str">
        <f t="shared" si="9"/>
        <v/>
      </c>
      <c r="K529" s="11"/>
      <c r="L529" s="9"/>
      <c r="M529" s="12"/>
      <c r="N529" s="6"/>
      <c r="O529" s="6"/>
      <c r="P529" s="6"/>
      <c r="Q529" s="4" t="s">
        <v>4119</v>
      </c>
    </row>
    <row r="530" spans="4:17">
      <c r="D530" s="6" t="s">
        <v>7428</v>
      </c>
      <c r="E530" s="4" t="s">
        <v>3457</v>
      </c>
      <c r="F530" s="6"/>
      <c r="G530" s="4"/>
      <c r="H530" s="6"/>
      <c r="I530" s="6"/>
      <c r="J530" s="4" t="str">
        <f t="shared" si="9"/>
        <v/>
      </c>
      <c r="K530" s="11"/>
      <c r="L530" s="9"/>
      <c r="M530" s="12"/>
      <c r="N530" s="6"/>
      <c r="O530" s="6"/>
      <c r="P530" s="6"/>
      <c r="Q530" s="4" t="s">
        <v>4120</v>
      </c>
    </row>
    <row r="531" spans="4:17">
      <c r="D531" s="6" t="s">
        <v>7429</v>
      </c>
      <c r="E531" s="4" t="s">
        <v>3457</v>
      </c>
      <c r="F531" s="6"/>
      <c r="G531" s="4"/>
      <c r="H531" s="6"/>
      <c r="I531" s="6"/>
      <c r="J531" s="4" t="str">
        <f t="shared" si="9"/>
        <v/>
      </c>
      <c r="K531" s="11"/>
      <c r="L531" s="9"/>
      <c r="M531" s="12"/>
      <c r="N531" s="6"/>
      <c r="O531" s="6"/>
      <c r="P531" s="6"/>
      <c r="Q531" s="4" t="s">
        <v>4121</v>
      </c>
    </row>
    <row r="532" spans="4:17">
      <c r="D532" s="6" t="s">
        <v>7430</v>
      </c>
      <c r="E532" s="4" t="s">
        <v>3457</v>
      </c>
      <c r="F532" s="6"/>
      <c r="G532" s="4"/>
      <c r="H532" s="6"/>
      <c r="I532" s="6"/>
      <c r="J532" s="4" t="str">
        <f t="shared" si="9"/>
        <v/>
      </c>
      <c r="K532" s="11"/>
      <c r="L532" s="9"/>
      <c r="M532" s="12"/>
      <c r="N532" s="6"/>
      <c r="O532" s="6"/>
      <c r="P532" s="6"/>
      <c r="Q532" s="4" t="s">
        <v>4122</v>
      </c>
    </row>
    <row r="533" spans="4:17">
      <c r="D533" s="6" t="s">
        <v>7431</v>
      </c>
      <c r="E533" s="4" t="s">
        <v>3457</v>
      </c>
      <c r="F533" s="6"/>
      <c r="G533" s="4"/>
      <c r="H533" s="6"/>
      <c r="I533" s="6"/>
      <c r="J533" s="4" t="str">
        <f t="shared" si="9"/>
        <v/>
      </c>
      <c r="K533" s="11"/>
      <c r="L533" s="9"/>
      <c r="M533" s="12"/>
      <c r="N533" s="6"/>
      <c r="O533" s="6"/>
      <c r="P533" s="6"/>
      <c r="Q533" s="4" t="s">
        <v>4123</v>
      </c>
    </row>
    <row r="534" spans="4:17">
      <c r="D534" s="6" t="s">
        <v>7432</v>
      </c>
      <c r="E534" s="4" t="s">
        <v>3457</v>
      </c>
      <c r="F534" s="6"/>
      <c r="G534" s="4"/>
      <c r="H534" s="6"/>
      <c r="I534" s="6"/>
      <c r="J534" s="4" t="str">
        <f t="shared" si="9"/>
        <v/>
      </c>
      <c r="K534" s="11"/>
      <c r="L534" s="9"/>
      <c r="M534" s="12"/>
      <c r="N534" s="6"/>
      <c r="O534" s="6"/>
      <c r="P534" s="6"/>
      <c r="Q534" s="4" t="s">
        <v>4124</v>
      </c>
    </row>
    <row r="535" spans="4:17">
      <c r="D535" s="6" t="s">
        <v>7433</v>
      </c>
      <c r="E535" s="4" t="s">
        <v>3457</v>
      </c>
      <c r="F535" s="6"/>
      <c r="G535" s="4"/>
      <c r="H535" s="6"/>
      <c r="I535" s="6"/>
      <c r="J535" s="4" t="str">
        <f t="shared" si="9"/>
        <v/>
      </c>
      <c r="K535" s="11"/>
      <c r="L535" s="9"/>
      <c r="M535" s="12"/>
      <c r="N535" s="6"/>
      <c r="O535" s="6"/>
      <c r="P535" s="6"/>
      <c r="Q535" s="4" t="s">
        <v>4125</v>
      </c>
    </row>
    <row r="536" spans="4:17">
      <c r="D536" s="6" t="s">
        <v>7434</v>
      </c>
      <c r="E536" s="4" t="s">
        <v>3464</v>
      </c>
      <c r="F536" s="6"/>
      <c r="G536" s="4"/>
      <c r="H536" s="6"/>
      <c r="I536" s="6"/>
      <c r="J536" s="4" t="str">
        <f t="shared" si="9"/>
        <v/>
      </c>
      <c r="K536" s="11"/>
      <c r="L536" s="9"/>
      <c r="M536" s="12"/>
      <c r="N536" s="6"/>
      <c r="O536" s="6"/>
      <c r="P536" s="6"/>
      <c r="Q536" s="4" t="s">
        <v>4126</v>
      </c>
    </row>
    <row r="537" spans="4:17">
      <c r="D537" s="6" t="s">
        <v>7435</v>
      </c>
      <c r="E537" s="4" t="s">
        <v>3464</v>
      </c>
      <c r="F537" s="6"/>
      <c r="G537" s="4"/>
      <c r="H537" s="6"/>
      <c r="I537" s="6"/>
      <c r="J537" s="4" t="str">
        <f t="shared" si="9"/>
        <v/>
      </c>
      <c r="K537" s="11"/>
      <c r="L537" s="9"/>
      <c r="M537" s="12"/>
      <c r="N537" s="6"/>
      <c r="O537" s="6"/>
      <c r="P537" s="6"/>
      <c r="Q537" s="4" t="s">
        <v>4127</v>
      </c>
    </row>
    <row r="538" spans="4:17">
      <c r="D538" s="6" t="s">
        <v>7436</v>
      </c>
      <c r="E538" s="4" t="s">
        <v>3464</v>
      </c>
      <c r="F538" s="6"/>
      <c r="G538" s="4"/>
      <c r="H538" s="6"/>
      <c r="I538" s="6"/>
      <c r="J538" s="4" t="str">
        <f t="shared" si="9"/>
        <v/>
      </c>
      <c r="K538" s="11"/>
      <c r="L538" s="9"/>
      <c r="M538" s="12"/>
      <c r="N538" s="6"/>
      <c r="O538" s="6"/>
      <c r="P538" s="6"/>
      <c r="Q538" s="4" t="s">
        <v>4128</v>
      </c>
    </row>
    <row r="539" spans="4:17">
      <c r="D539" s="6" t="s">
        <v>7437</v>
      </c>
      <c r="E539" s="4" t="s">
        <v>3464</v>
      </c>
      <c r="F539" s="6"/>
      <c r="G539" s="4"/>
      <c r="H539" s="6"/>
      <c r="I539" s="6"/>
      <c r="J539" s="4" t="str">
        <f t="shared" si="9"/>
        <v/>
      </c>
      <c r="K539" s="11"/>
      <c r="L539" s="9"/>
      <c r="M539" s="12"/>
      <c r="N539" s="6"/>
      <c r="O539" s="6"/>
      <c r="P539" s="6"/>
      <c r="Q539" s="4" t="s">
        <v>4129</v>
      </c>
    </row>
    <row r="540" spans="4:17">
      <c r="D540" s="6" t="s">
        <v>7438</v>
      </c>
      <c r="E540" s="4" t="s">
        <v>3464</v>
      </c>
      <c r="F540" s="6"/>
      <c r="G540" s="4"/>
      <c r="H540" s="6"/>
      <c r="I540" s="6"/>
      <c r="J540" s="4" t="str">
        <f t="shared" si="9"/>
        <v/>
      </c>
      <c r="K540" s="11"/>
      <c r="L540" s="9"/>
      <c r="M540" s="12"/>
      <c r="N540" s="6"/>
      <c r="O540" s="6"/>
      <c r="P540" s="6"/>
      <c r="Q540" s="4" t="s">
        <v>4130</v>
      </c>
    </row>
    <row r="541" spans="4:17">
      <c r="D541" s="6" t="s">
        <v>7439</v>
      </c>
      <c r="E541" s="4" t="s">
        <v>3464</v>
      </c>
      <c r="F541" s="6"/>
      <c r="G541" s="4"/>
      <c r="H541" s="6"/>
      <c r="I541" s="6"/>
      <c r="J541" s="4" t="str">
        <f t="shared" si="9"/>
        <v/>
      </c>
      <c r="K541" s="11"/>
      <c r="L541" s="9"/>
      <c r="M541" s="12"/>
      <c r="N541" s="6"/>
      <c r="O541" s="6"/>
      <c r="P541" s="6"/>
      <c r="Q541" s="4" t="s">
        <v>4131</v>
      </c>
    </row>
    <row r="542" spans="4:17">
      <c r="D542" s="6" t="s">
        <v>7440</v>
      </c>
      <c r="E542" s="4" t="s">
        <v>3464</v>
      </c>
      <c r="F542" s="6"/>
      <c r="G542" s="4"/>
      <c r="H542" s="6"/>
      <c r="I542" s="6"/>
      <c r="J542" s="4" t="str">
        <f t="shared" si="9"/>
        <v/>
      </c>
      <c r="K542" s="11"/>
      <c r="L542" s="9"/>
      <c r="M542" s="12"/>
      <c r="N542" s="6"/>
      <c r="O542" s="6"/>
      <c r="P542" s="6"/>
      <c r="Q542" s="4" t="s">
        <v>4132</v>
      </c>
    </row>
    <row r="543" spans="4:17">
      <c r="D543" s="6" t="s">
        <v>7441</v>
      </c>
      <c r="E543" s="4" t="s">
        <v>3464</v>
      </c>
      <c r="F543" s="6"/>
      <c r="G543" s="4"/>
      <c r="H543" s="6"/>
      <c r="I543" s="6"/>
      <c r="J543" s="4" t="str">
        <f t="shared" si="9"/>
        <v/>
      </c>
      <c r="K543" s="11"/>
      <c r="L543" s="9"/>
      <c r="M543" s="12"/>
      <c r="N543" s="6"/>
      <c r="O543" s="6"/>
      <c r="P543" s="6"/>
      <c r="Q543" s="4" t="s">
        <v>4133</v>
      </c>
    </row>
    <row r="544" spans="4:17">
      <c r="D544" s="6" t="s">
        <v>7442</v>
      </c>
      <c r="E544" s="4" t="s">
        <v>3464</v>
      </c>
      <c r="F544" s="6"/>
      <c r="G544" s="4"/>
      <c r="H544" s="6"/>
      <c r="I544" s="6"/>
      <c r="J544" s="4" t="str">
        <f t="shared" si="9"/>
        <v/>
      </c>
      <c r="K544" s="11"/>
      <c r="L544" s="9"/>
      <c r="M544" s="12"/>
      <c r="N544" s="6"/>
      <c r="O544" s="6"/>
      <c r="P544" s="6"/>
      <c r="Q544" s="4" t="s">
        <v>4134</v>
      </c>
    </row>
    <row r="545" spans="4:17">
      <c r="D545" s="6" t="s">
        <v>7443</v>
      </c>
      <c r="E545" s="4" t="s">
        <v>3464</v>
      </c>
      <c r="F545" s="6"/>
      <c r="G545" s="4"/>
      <c r="H545" s="6"/>
      <c r="I545" s="6"/>
      <c r="J545" s="4" t="str">
        <f t="shared" si="9"/>
        <v/>
      </c>
      <c r="K545" s="11"/>
      <c r="L545" s="9"/>
      <c r="M545" s="12"/>
      <c r="N545" s="6"/>
      <c r="O545" s="6"/>
      <c r="P545" s="6"/>
      <c r="Q545" s="4" t="s">
        <v>4135</v>
      </c>
    </row>
    <row r="546" spans="4:17">
      <c r="D546" s="6" t="s">
        <v>7444</v>
      </c>
      <c r="E546" s="4" t="s">
        <v>3464</v>
      </c>
      <c r="F546" s="6"/>
      <c r="G546" s="4"/>
      <c r="H546" s="6"/>
      <c r="I546" s="6"/>
      <c r="J546" s="4" t="str">
        <f t="shared" si="9"/>
        <v/>
      </c>
      <c r="K546" s="11"/>
      <c r="L546" s="9"/>
      <c r="M546" s="12"/>
      <c r="N546" s="6"/>
      <c r="O546" s="6"/>
      <c r="P546" s="6"/>
      <c r="Q546" s="4" t="s">
        <v>4136</v>
      </c>
    </row>
    <row r="547" spans="4:17">
      <c r="D547" s="6" t="s">
        <v>7445</v>
      </c>
      <c r="E547" s="4" t="s">
        <v>3464</v>
      </c>
      <c r="F547" s="6"/>
      <c r="G547" s="4"/>
      <c r="H547" s="6"/>
      <c r="I547" s="6"/>
      <c r="J547" s="4" t="str">
        <f t="shared" si="9"/>
        <v/>
      </c>
      <c r="K547" s="11"/>
      <c r="L547" s="9"/>
      <c r="M547" s="12"/>
      <c r="N547" s="6"/>
      <c r="O547" s="6"/>
      <c r="P547" s="6"/>
      <c r="Q547" s="4" t="s">
        <v>4137</v>
      </c>
    </row>
    <row r="548" spans="4:17">
      <c r="D548" s="6" t="s">
        <v>7446</v>
      </c>
      <c r="E548" s="4" t="s">
        <v>3464</v>
      </c>
      <c r="F548" s="6"/>
      <c r="G548" s="4"/>
      <c r="H548" s="6"/>
      <c r="I548" s="6"/>
      <c r="J548" s="4" t="str">
        <f t="shared" si="9"/>
        <v/>
      </c>
      <c r="K548" s="11"/>
      <c r="L548" s="9"/>
      <c r="M548" s="12"/>
      <c r="N548" s="6"/>
      <c r="O548" s="6"/>
      <c r="P548" s="6"/>
      <c r="Q548" s="4" t="s">
        <v>4138</v>
      </c>
    </row>
    <row r="549" spans="4:17">
      <c r="D549" s="6" t="s">
        <v>7447</v>
      </c>
      <c r="E549" s="4" t="s">
        <v>3464</v>
      </c>
      <c r="F549" s="6"/>
      <c r="G549" s="4"/>
      <c r="H549" s="6"/>
      <c r="I549" s="6"/>
      <c r="J549" s="4" t="str">
        <f t="shared" si="9"/>
        <v/>
      </c>
      <c r="K549" s="11"/>
      <c r="L549" s="9"/>
      <c r="M549" s="12"/>
      <c r="N549" s="6"/>
      <c r="O549" s="6"/>
      <c r="P549" s="6"/>
      <c r="Q549" s="4" t="s">
        <v>4139</v>
      </c>
    </row>
    <row r="550" spans="4:17">
      <c r="D550" s="6" t="s">
        <v>7448</v>
      </c>
      <c r="E550" s="4" t="s">
        <v>3464</v>
      </c>
      <c r="F550" s="6"/>
      <c r="G550" s="4"/>
      <c r="H550" s="6"/>
      <c r="I550" s="6"/>
      <c r="J550" s="4" t="str">
        <f t="shared" si="9"/>
        <v/>
      </c>
      <c r="K550" s="11"/>
      <c r="L550" s="9"/>
      <c r="M550" s="12"/>
      <c r="N550" s="6"/>
      <c r="O550" s="6"/>
      <c r="P550" s="6"/>
      <c r="Q550" s="4" t="s">
        <v>4140</v>
      </c>
    </row>
    <row r="551" spans="4:17">
      <c r="D551" s="6" t="s">
        <v>7449</v>
      </c>
      <c r="E551" s="4" t="s">
        <v>3464</v>
      </c>
      <c r="F551" s="6"/>
      <c r="G551" s="4"/>
      <c r="H551" s="6"/>
      <c r="I551" s="6"/>
      <c r="J551" s="4" t="str">
        <f t="shared" si="9"/>
        <v/>
      </c>
      <c r="K551" s="11"/>
      <c r="L551" s="9"/>
      <c r="M551" s="12"/>
      <c r="N551" s="6"/>
      <c r="O551" s="6"/>
      <c r="P551" s="6"/>
      <c r="Q551" s="4" t="s">
        <v>4141</v>
      </c>
    </row>
    <row r="552" spans="4:17">
      <c r="D552" s="6" t="s">
        <v>7450</v>
      </c>
      <c r="E552" s="4" t="s">
        <v>3464</v>
      </c>
      <c r="F552" s="6"/>
      <c r="G552" s="4"/>
      <c r="H552" s="6"/>
      <c r="I552" s="6"/>
      <c r="J552" s="4" t="str">
        <f t="shared" si="9"/>
        <v/>
      </c>
      <c r="K552" s="11"/>
      <c r="L552" s="9"/>
      <c r="M552" s="12"/>
      <c r="N552" s="6"/>
      <c r="O552" s="6"/>
      <c r="P552" s="6"/>
      <c r="Q552" s="4" t="s">
        <v>4142</v>
      </c>
    </row>
    <row r="553" spans="4:17">
      <c r="D553" s="6" t="s">
        <v>7451</v>
      </c>
      <c r="E553" s="4" t="s">
        <v>3464</v>
      </c>
      <c r="F553" s="6"/>
      <c r="G553" s="4"/>
      <c r="H553" s="6"/>
      <c r="I553" s="6"/>
      <c r="J553" s="4" t="str">
        <f t="shared" si="9"/>
        <v/>
      </c>
      <c r="K553" s="11"/>
      <c r="L553" s="9"/>
      <c r="M553" s="12"/>
      <c r="N553" s="6"/>
      <c r="O553" s="6"/>
      <c r="P553" s="6"/>
      <c r="Q553" s="4" t="s">
        <v>4143</v>
      </c>
    </row>
    <row r="554" spans="4:17">
      <c r="D554" s="6" t="s">
        <v>7452</v>
      </c>
      <c r="E554" s="4" t="s">
        <v>3464</v>
      </c>
      <c r="F554" s="6"/>
      <c r="G554" s="4"/>
      <c r="H554" s="6"/>
      <c r="I554" s="6"/>
      <c r="J554" s="4" t="str">
        <f t="shared" si="9"/>
        <v/>
      </c>
      <c r="K554" s="11"/>
      <c r="L554" s="9"/>
      <c r="M554" s="12"/>
      <c r="N554" s="6"/>
      <c r="O554" s="6"/>
      <c r="P554" s="6"/>
      <c r="Q554" s="4" t="s">
        <v>4144</v>
      </c>
    </row>
    <row r="555" spans="4:17">
      <c r="D555" s="6" t="s">
        <v>7453</v>
      </c>
      <c r="E555" s="4" t="s">
        <v>3464</v>
      </c>
      <c r="F555" s="6"/>
      <c r="G555" s="4"/>
      <c r="H555" s="6"/>
      <c r="I555" s="6"/>
      <c r="J555" s="4" t="str">
        <f t="shared" si="9"/>
        <v/>
      </c>
      <c r="K555" s="11"/>
      <c r="L555" s="9"/>
      <c r="M555" s="12"/>
      <c r="N555" s="6"/>
      <c r="O555" s="6"/>
      <c r="P555" s="6"/>
      <c r="Q555" s="4" t="s">
        <v>4145</v>
      </c>
    </row>
    <row r="556" spans="4:17">
      <c r="D556" s="6" t="s">
        <v>7454</v>
      </c>
      <c r="E556" s="4" t="s">
        <v>3471</v>
      </c>
      <c r="F556" s="6"/>
      <c r="G556" s="4"/>
      <c r="H556" s="6"/>
      <c r="I556" s="6"/>
      <c r="J556" s="4" t="str">
        <f t="shared" si="9"/>
        <v/>
      </c>
      <c r="K556" s="11"/>
      <c r="L556" s="9"/>
      <c r="M556" s="12"/>
      <c r="N556" s="6"/>
      <c r="O556" s="6"/>
      <c r="P556" s="6"/>
      <c r="Q556" s="4" t="s">
        <v>4146</v>
      </c>
    </row>
    <row r="557" spans="4:17">
      <c r="D557" s="6" t="s">
        <v>7455</v>
      </c>
      <c r="E557" s="4" t="s">
        <v>3471</v>
      </c>
      <c r="F557" s="6"/>
      <c r="G557" s="4"/>
      <c r="H557" s="6"/>
      <c r="I557" s="6"/>
      <c r="J557" s="4" t="str">
        <f t="shared" si="9"/>
        <v/>
      </c>
      <c r="K557" s="11"/>
      <c r="L557" s="9"/>
      <c r="M557" s="12"/>
      <c r="N557" s="6"/>
      <c r="O557" s="6"/>
      <c r="P557" s="6"/>
      <c r="Q557" s="4" t="s">
        <v>4147</v>
      </c>
    </row>
    <row r="558" spans="4:17">
      <c r="D558" s="6" t="s">
        <v>7456</v>
      </c>
      <c r="E558" s="4" t="s">
        <v>3471</v>
      </c>
      <c r="F558" s="6"/>
      <c r="G558" s="4"/>
      <c r="H558" s="6"/>
      <c r="I558" s="6"/>
      <c r="J558" s="4" t="str">
        <f t="shared" si="9"/>
        <v/>
      </c>
      <c r="K558" s="11"/>
      <c r="L558" s="9"/>
      <c r="M558" s="12"/>
      <c r="N558" s="6"/>
      <c r="O558" s="6"/>
      <c r="P558" s="6"/>
      <c r="Q558" s="4" t="s">
        <v>4148</v>
      </c>
    </row>
    <row r="559" spans="4:17">
      <c r="D559" s="6" t="s">
        <v>7457</v>
      </c>
      <c r="E559" s="4" t="s">
        <v>3471</v>
      </c>
      <c r="F559" s="6"/>
      <c r="G559" s="4"/>
      <c r="H559" s="6"/>
      <c r="I559" s="6"/>
      <c r="J559" s="4" t="str">
        <f t="shared" si="9"/>
        <v/>
      </c>
      <c r="K559" s="11"/>
      <c r="L559" s="9"/>
      <c r="M559" s="12"/>
      <c r="N559" s="6"/>
      <c r="O559" s="6"/>
      <c r="P559" s="6"/>
      <c r="Q559" s="4" t="s">
        <v>4149</v>
      </c>
    </row>
    <row r="560" spans="4:17">
      <c r="D560" s="6" t="s">
        <v>7458</v>
      </c>
      <c r="E560" s="4" t="s">
        <v>3471</v>
      </c>
      <c r="F560" s="6"/>
      <c r="G560" s="4"/>
      <c r="H560" s="6"/>
      <c r="I560" s="6"/>
      <c r="J560" s="4" t="str">
        <f t="shared" si="9"/>
        <v/>
      </c>
      <c r="K560" s="11"/>
      <c r="L560" s="9"/>
      <c r="M560" s="12"/>
      <c r="N560" s="6"/>
      <c r="O560" s="6"/>
      <c r="P560" s="6"/>
      <c r="Q560" s="4" t="s">
        <v>4150</v>
      </c>
    </row>
    <row r="561" spans="4:17">
      <c r="D561" s="6" t="s">
        <v>7459</v>
      </c>
      <c r="E561" s="4" t="s">
        <v>3471</v>
      </c>
      <c r="F561" s="6"/>
      <c r="G561" s="4"/>
      <c r="H561" s="6"/>
      <c r="I561" s="6"/>
      <c r="J561" s="4" t="str">
        <f t="shared" si="9"/>
        <v/>
      </c>
      <c r="K561" s="11"/>
      <c r="L561" s="9"/>
      <c r="M561" s="12"/>
      <c r="N561" s="6"/>
      <c r="O561" s="6"/>
      <c r="P561" s="6"/>
      <c r="Q561" s="4" t="s">
        <v>4151</v>
      </c>
    </row>
    <row r="562" spans="4:17">
      <c r="D562" s="6" t="s">
        <v>7460</v>
      </c>
      <c r="E562" s="4" t="s">
        <v>3471</v>
      </c>
      <c r="F562" s="6"/>
      <c r="G562" s="4"/>
      <c r="H562" s="6"/>
      <c r="I562" s="6"/>
      <c r="J562" s="4" t="str">
        <f t="shared" si="9"/>
        <v/>
      </c>
      <c r="K562" s="11"/>
      <c r="L562" s="9"/>
      <c r="M562" s="12"/>
      <c r="N562" s="6"/>
      <c r="O562" s="6"/>
      <c r="P562" s="6"/>
      <c r="Q562" s="4" t="s">
        <v>4152</v>
      </c>
    </row>
    <row r="563" spans="4:17">
      <c r="D563" s="6" t="s">
        <v>7461</v>
      </c>
      <c r="E563" s="4" t="s">
        <v>3471</v>
      </c>
      <c r="F563" s="6"/>
      <c r="G563" s="4"/>
      <c r="H563" s="6"/>
      <c r="I563" s="6"/>
      <c r="J563" s="4" t="str">
        <f t="shared" si="9"/>
        <v/>
      </c>
      <c r="K563" s="11"/>
      <c r="L563" s="9"/>
      <c r="M563" s="12"/>
      <c r="N563" s="6"/>
      <c r="O563" s="6"/>
      <c r="P563" s="6"/>
      <c r="Q563" s="4" t="s">
        <v>4153</v>
      </c>
    </row>
    <row r="564" spans="4:17">
      <c r="D564" s="6" t="s">
        <v>7462</v>
      </c>
      <c r="E564" s="4" t="s">
        <v>3471</v>
      </c>
      <c r="F564" s="6"/>
      <c r="G564" s="4"/>
      <c r="H564" s="6"/>
      <c r="I564" s="6"/>
      <c r="J564" s="4" t="str">
        <f t="shared" si="9"/>
        <v/>
      </c>
      <c r="K564" s="11"/>
      <c r="L564" s="9"/>
      <c r="M564" s="12"/>
      <c r="N564" s="6"/>
      <c r="O564" s="6"/>
      <c r="P564" s="6"/>
      <c r="Q564" s="4" t="s">
        <v>4154</v>
      </c>
    </row>
    <row r="565" spans="4:17">
      <c r="D565" s="6" t="s">
        <v>7463</v>
      </c>
      <c r="E565" s="4" t="s">
        <v>3471</v>
      </c>
      <c r="F565" s="6"/>
      <c r="G565" s="4"/>
      <c r="H565" s="6"/>
      <c r="I565" s="6"/>
      <c r="J565" s="4" t="str">
        <f t="shared" si="9"/>
        <v/>
      </c>
      <c r="K565" s="11"/>
      <c r="L565" s="9"/>
      <c r="M565" s="12"/>
      <c r="N565" s="6"/>
      <c r="O565" s="6"/>
      <c r="P565" s="6"/>
      <c r="Q565" s="4" t="s">
        <v>4155</v>
      </c>
    </row>
    <row r="566" spans="4:17">
      <c r="D566" s="6" t="s">
        <v>7464</v>
      </c>
      <c r="E566" s="4" t="s">
        <v>3471</v>
      </c>
      <c r="F566" s="6"/>
      <c r="G566" s="4"/>
      <c r="H566" s="6"/>
      <c r="I566" s="6"/>
      <c r="J566" s="4" t="str">
        <f t="shared" si="9"/>
        <v/>
      </c>
      <c r="K566" s="11"/>
      <c r="L566" s="9"/>
      <c r="M566" s="12"/>
      <c r="N566" s="6"/>
      <c r="O566" s="6"/>
      <c r="P566" s="6"/>
      <c r="Q566" s="4" t="s">
        <v>4156</v>
      </c>
    </row>
    <row r="567" spans="4:17">
      <c r="D567" s="6" t="s">
        <v>7465</v>
      </c>
      <c r="E567" s="4" t="s">
        <v>3471</v>
      </c>
      <c r="F567" s="6"/>
      <c r="G567" s="4"/>
      <c r="H567" s="6"/>
      <c r="I567" s="6"/>
      <c r="J567" s="4" t="str">
        <f t="shared" si="9"/>
        <v/>
      </c>
      <c r="K567" s="11"/>
      <c r="L567" s="9"/>
      <c r="M567" s="12"/>
      <c r="N567" s="6"/>
      <c r="O567" s="6"/>
      <c r="P567" s="6"/>
      <c r="Q567" s="4" t="s">
        <v>4157</v>
      </c>
    </row>
    <row r="568" spans="4:17">
      <c r="D568" s="6" t="s">
        <v>7466</v>
      </c>
      <c r="E568" s="4" t="s">
        <v>3471</v>
      </c>
      <c r="F568" s="6"/>
      <c r="G568" s="4"/>
      <c r="H568" s="6"/>
      <c r="I568" s="6"/>
      <c r="J568" s="4" t="str">
        <f t="shared" si="9"/>
        <v/>
      </c>
      <c r="K568" s="11"/>
      <c r="L568" s="9"/>
      <c r="M568" s="12"/>
      <c r="N568" s="6"/>
      <c r="O568" s="6"/>
      <c r="P568" s="6"/>
      <c r="Q568" s="4" t="s">
        <v>4158</v>
      </c>
    </row>
    <row r="569" spans="4:17">
      <c r="D569" s="6" t="s">
        <v>7467</v>
      </c>
      <c r="E569" s="4" t="s">
        <v>3471</v>
      </c>
      <c r="F569" s="6"/>
      <c r="G569" s="4"/>
      <c r="H569" s="6"/>
      <c r="I569" s="6"/>
      <c r="J569" s="4" t="str">
        <f t="shared" si="9"/>
        <v/>
      </c>
      <c r="K569" s="11"/>
      <c r="L569" s="9"/>
      <c r="M569" s="12"/>
      <c r="N569" s="6"/>
      <c r="O569" s="6"/>
      <c r="P569" s="6"/>
      <c r="Q569" s="4" t="s">
        <v>4159</v>
      </c>
    </row>
    <row r="570" spans="4:17">
      <c r="D570" s="6" t="s">
        <v>7468</v>
      </c>
      <c r="E570" s="4" t="s">
        <v>3471</v>
      </c>
      <c r="F570" s="6"/>
      <c r="G570" s="4"/>
      <c r="H570" s="6"/>
      <c r="I570" s="6"/>
      <c r="J570" s="4" t="str">
        <f t="shared" si="9"/>
        <v/>
      </c>
      <c r="K570" s="11"/>
      <c r="L570" s="9"/>
      <c r="M570" s="12"/>
      <c r="N570" s="6"/>
      <c r="O570" s="6"/>
      <c r="P570" s="6"/>
      <c r="Q570" s="4" t="s">
        <v>4160</v>
      </c>
    </row>
    <row r="571" spans="4:17">
      <c r="D571" s="6" t="s">
        <v>7469</v>
      </c>
      <c r="E571" s="4" t="s">
        <v>3471</v>
      </c>
      <c r="F571" s="6"/>
      <c r="G571" s="4"/>
      <c r="H571" s="6"/>
      <c r="I571" s="6"/>
      <c r="J571" s="4" t="str">
        <f t="shared" si="9"/>
        <v/>
      </c>
      <c r="K571" s="11"/>
      <c r="L571" s="9"/>
      <c r="M571" s="12"/>
      <c r="N571" s="6"/>
      <c r="O571" s="6"/>
      <c r="P571" s="6"/>
      <c r="Q571" s="4" t="s">
        <v>4161</v>
      </c>
    </row>
    <row r="572" spans="4:17">
      <c r="D572" s="6" t="s">
        <v>7470</v>
      </c>
      <c r="E572" s="4" t="s">
        <v>3471</v>
      </c>
      <c r="F572" s="6"/>
      <c r="G572" s="4"/>
      <c r="H572" s="6"/>
      <c r="I572" s="6"/>
      <c r="J572" s="4" t="str">
        <f t="shared" ref="J572:J635" si="10">F572&amp;H572&amp;I572</f>
        <v/>
      </c>
      <c r="K572" s="11"/>
      <c r="L572" s="9"/>
      <c r="M572" s="12"/>
      <c r="N572" s="6"/>
      <c r="O572" s="6"/>
      <c r="P572" s="6"/>
      <c r="Q572" s="4" t="s">
        <v>4162</v>
      </c>
    </row>
    <row r="573" spans="4:17">
      <c r="D573" s="6" t="s">
        <v>7471</v>
      </c>
      <c r="E573" s="4" t="s">
        <v>3471</v>
      </c>
      <c r="F573" s="6"/>
      <c r="G573" s="4"/>
      <c r="H573" s="6"/>
      <c r="I573" s="6"/>
      <c r="J573" s="4" t="str">
        <f t="shared" si="10"/>
        <v/>
      </c>
      <c r="K573" s="11"/>
      <c r="L573" s="9"/>
      <c r="M573" s="12"/>
      <c r="N573" s="6"/>
      <c r="O573" s="6"/>
      <c r="P573" s="6"/>
      <c r="Q573" s="4" t="s">
        <v>4163</v>
      </c>
    </row>
    <row r="574" spans="4:17">
      <c r="D574" s="6" t="s">
        <v>7472</v>
      </c>
      <c r="E574" s="4" t="s">
        <v>3471</v>
      </c>
      <c r="F574" s="6"/>
      <c r="G574" s="4"/>
      <c r="H574" s="6"/>
      <c r="I574" s="6"/>
      <c r="J574" s="4" t="str">
        <f t="shared" si="10"/>
        <v/>
      </c>
      <c r="K574" s="11"/>
      <c r="L574" s="9"/>
      <c r="M574" s="12"/>
      <c r="N574" s="6"/>
      <c r="O574" s="6"/>
      <c r="P574" s="6"/>
      <c r="Q574" s="4" t="s">
        <v>4164</v>
      </c>
    </row>
    <row r="575" spans="4:17">
      <c r="D575" s="6" t="s">
        <v>7473</v>
      </c>
      <c r="E575" s="4" t="s">
        <v>3471</v>
      </c>
      <c r="F575" s="6"/>
      <c r="G575" s="4"/>
      <c r="H575" s="6"/>
      <c r="I575" s="6"/>
      <c r="J575" s="4" t="str">
        <f t="shared" si="10"/>
        <v/>
      </c>
      <c r="K575" s="11"/>
      <c r="L575" s="9"/>
      <c r="M575" s="12"/>
      <c r="N575" s="6"/>
      <c r="O575" s="6"/>
      <c r="P575" s="6"/>
      <c r="Q575" s="4" t="s">
        <v>4165</v>
      </c>
    </row>
    <row r="576" spans="4:17">
      <c r="D576" s="6" t="s">
        <v>7474</v>
      </c>
      <c r="E576" s="4" t="s">
        <v>3478</v>
      </c>
      <c r="F576" s="6"/>
      <c r="G576" s="4"/>
      <c r="H576" s="6"/>
      <c r="I576" s="6"/>
      <c r="J576" s="4" t="str">
        <f t="shared" si="10"/>
        <v/>
      </c>
      <c r="K576" s="11"/>
      <c r="L576" s="9"/>
      <c r="M576" s="12"/>
      <c r="N576" s="6"/>
      <c r="O576" s="6"/>
      <c r="P576" s="6"/>
      <c r="Q576" s="4" t="s">
        <v>4166</v>
      </c>
    </row>
    <row r="577" spans="4:17">
      <c r="D577" s="6" t="s">
        <v>7475</v>
      </c>
      <c r="E577" s="4" t="s">
        <v>3478</v>
      </c>
      <c r="F577" s="6"/>
      <c r="G577" s="4"/>
      <c r="H577" s="6"/>
      <c r="I577" s="6"/>
      <c r="J577" s="4" t="str">
        <f t="shared" si="10"/>
        <v/>
      </c>
      <c r="K577" s="11"/>
      <c r="L577" s="9"/>
      <c r="M577" s="12"/>
      <c r="N577" s="6"/>
      <c r="O577" s="6"/>
      <c r="P577" s="6"/>
      <c r="Q577" s="4" t="s">
        <v>4167</v>
      </c>
    </row>
    <row r="578" spans="4:17">
      <c r="D578" s="6" t="s">
        <v>7476</v>
      </c>
      <c r="E578" s="4" t="s">
        <v>3478</v>
      </c>
      <c r="F578" s="6"/>
      <c r="G578" s="4"/>
      <c r="H578" s="6"/>
      <c r="I578" s="6"/>
      <c r="J578" s="4" t="str">
        <f t="shared" si="10"/>
        <v/>
      </c>
      <c r="K578" s="11"/>
      <c r="L578" s="9"/>
      <c r="M578" s="12"/>
      <c r="N578" s="6"/>
      <c r="O578" s="6"/>
      <c r="P578" s="6"/>
      <c r="Q578" s="4" t="s">
        <v>4168</v>
      </c>
    </row>
    <row r="579" spans="4:17">
      <c r="D579" s="6" t="s">
        <v>7477</v>
      </c>
      <c r="E579" s="4" t="s">
        <v>3478</v>
      </c>
      <c r="F579" s="6"/>
      <c r="G579" s="4"/>
      <c r="H579" s="6"/>
      <c r="I579" s="6"/>
      <c r="J579" s="4" t="str">
        <f t="shared" si="10"/>
        <v/>
      </c>
      <c r="K579" s="11"/>
      <c r="L579" s="9"/>
      <c r="M579" s="12"/>
      <c r="N579" s="6"/>
      <c r="O579" s="6"/>
      <c r="P579" s="6"/>
      <c r="Q579" s="4" t="s">
        <v>4169</v>
      </c>
    </row>
    <row r="580" spans="4:17">
      <c r="D580" s="6" t="s">
        <v>7478</v>
      </c>
      <c r="E580" s="4" t="s">
        <v>3478</v>
      </c>
      <c r="F580" s="6"/>
      <c r="G580" s="4"/>
      <c r="H580" s="6"/>
      <c r="I580" s="6"/>
      <c r="J580" s="4" t="str">
        <f t="shared" si="10"/>
        <v/>
      </c>
      <c r="K580" s="11"/>
      <c r="L580" s="9"/>
      <c r="M580" s="12"/>
      <c r="N580" s="6"/>
      <c r="O580" s="6"/>
      <c r="P580" s="6"/>
      <c r="Q580" s="4" t="s">
        <v>4170</v>
      </c>
    </row>
    <row r="581" spans="4:17">
      <c r="D581" s="6" t="s">
        <v>7479</v>
      </c>
      <c r="E581" s="4" t="s">
        <v>3478</v>
      </c>
      <c r="F581" s="6"/>
      <c r="G581" s="4"/>
      <c r="H581" s="6"/>
      <c r="I581" s="6"/>
      <c r="J581" s="4" t="str">
        <f t="shared" si="10"/>
        <v/>
      </c>
      <c r="K581" s="11"/>
      <c r="L581" s="9"/>
      <c r="M581" s="12"/>
      <c r="N581" s="6"/>
      <c r="O581" s="6"/>
      <c r="P581" s="6"/>
      <c r="Q581" s="4" t="s">
        <v>4171</v>
      </c>
    </row>
    <row r="582" spans="4:17">
      <c r="D582" s="6" t="s">
        <v>7480</v>
      </c>
      <c r="E582" s="4" t="s">
        <v>3478</v>
      </c>
      <c r="F582" s="6"/>
      <c r="G582" s="4"/>
      <c r="H582" s="6"/>
      <c r="I582" s="6"/>
      <c r="J582" s="4" t="str">
        <f t="shared" si="10"/>
        <v/>
      </c>
      <c r="K582" s="11"/>
      <c r="L582" s="9"/>
      <c r="M582" s="12"/>
      <c r="N582" s="6"/>
      <c r="O582" s="6"/>
      <c r="P582" s="6"/>
      <c r="Q582" s="4" t="s">
        <v>4172</v>
      </c>
    </row>
    <row r="583" spans="4:17">
      <c r="D583" s="6" t="s">
        <v>7481</v>
      </c>
      <c r="E583" s="4" t="s">
        <v>3478</v>
      </c>
      <c r="F583" s="6"/>
      <c r="G583" s="4"/>
      <c r="H583" s="6"/>
      <c r="I583" s="6"/>
      <c r="J583" s="4" t="str">
        <f t="shared" si="10"/>
        <v/>
      </c>
      <c r="K583" s="11"/>
      <c r="L583" s="9"/>
      <c r="M583" s="12"/>
      <c r="N583" s="6"/>
      <c r="O583" s="6"/>
      <c r="P583" s="6"/>
      <c r="Q583" s="4" t="s">
        <v>4173</v>
      </c>
    </row>
    <row r="584" spans="4:17">
      <c r="D584" s="6" t="s">
        <v>7482</v>
      </c>
      <c r="E584" s="4" t="s">
        <v>3478</v>
      </c>
      <c r="F584" s="6"/>
      <c r="G584" s="4"/>
      <c r="H584" s="6"/>
      <c r="I584" s="6"/>
      <c r="J584" s="4" t="str">
        <f t="shared" si="10"/>
        <v/>
      </c>
      <c r="K584" s="11"/>
      <c r="L584" s="9"/>
      <c r="M584" s="12"/>
      <c r="N584" s="6"/>
      <c r="O584" s="6"/>
      <c r="P584" s="6"/>
      <c r="Q584" s="4" t="s">
        <v>4174</v>
      </c>
    </row>
    <row r="585" spans="4:17">
      <c r="D585" s="6" t="s">
        <v>7483</v>
      </c>
      <c r="E585" s="4" t="s">
        <v>3478</v>
      </c>
      <c r="F585" s="6"/>
      <c r="G585" s="4"/>
      <c r="H585" s="6"/>
      <c r="I585" s="6"/>
      <c r="J585" s="4" t="str">
        <f t="shared" si="10"/>
        <v/>
      </c>
      <c r="K585" s="11"/>
      <c r="L585" s="9"/>
      <c r="M585" s="12"/>
      <c r="N585" s="6"/>
      <c r="O585" s="6"/>
      <c r="P585" s="6"/>
      <c r="Q585" s="4" t="s">
        <v>4175</v>
      </c>
    </row>
    <row r="586" spans="4:17">
      <c r="D586" s="6" t="s">
        <v>7484</v>
      </c>
      <c r="E586" s="4" t="s">
        <v>3478</v>
      </c>
      <c r="F586" s="6"/>
      <c r="G586" s="4"/>
      <c r="H586" s="6"/>
      <c r="I586" s="6"/>
      <c r="J586" s="4" t="str">
        <f t="shared" si="10"/>
        <v/>
      </c>
      <c r="K586" s="11"/>
      <c r="L586" s="9"/>
      <c r="M586" s="12"/>
      <c r="N586" s="6"/>
      <c r="O586" s="6"/>
      <c r="P586" s="6"/>
      <c r="Q586" s="4" t="s">
        <v>4176</v>
      </c>
    </row>
    <row r="587" spans="4:17">
      <c r="D587" s="6" t="s">
        <v>7485</v>
      </c>
      <c r="E587" s="4" t="s">
        <v>3478</v>
      </c>
      <c r="F587" s="6"/>
      <c r="G587" s="4"/>
      <c r="H587" s="6"/>
      <c r="I587" s="6"/>
      <c r="J587" s="4" t="str">
        <f t="shared" si="10"/>
        <v/>
      </c>
      <c r="K587" s="11"/>
      <c r="L587" s="9"/>
      <c r="M587" s="12"/>
      <c r="N587" s="6"/>
      <c r="O587" s="6"/>
      <c r="P587" s="6"/>
      <c r="Q587" s="4" t="s">
        <v>4177</v>
      </c>
    </row>
    <row r="588" spans="4:17">
      <c r="D588" s="6" t="s">
        <v>7486</v>
      </c>
      <c r="E588" s="4" t="s">
        <v>3478</v>
      </c>
      <c r="F588" s="6"/>
      <c r="G588" s="4"/>
      <c r="H588" s="6"/>
      <c r="I588" s="6"/>
      <c r="J588" s="4" t="str">
        <f t="shared" si="10"/>
        <v/>
      </c>
      <c r="K588" s="11"/>
      <c r="L588" s="9"/>
      <c r="M588" s="12"/>
      <c r="N588" s="6"/>
      <c r="O588" s="6"/>
      <c r="P588" s="6"/>
      <c r="Q588" s="4" t="s">
        <v>4178</v>
      </c>
    </row>
    <row r="589" spans="4:17">
      <c r="D589" s="6" t="s">
        <v>7487</v>
      </c>
      <c r="E589" s="4" t="s">
        <v>3478</v>
      </c>
      <c r="F589" s="6"/>
      <c r="G589" s="4"/>
      <c r="H589" s="6"/>
      <c r="I589" s="6"/>
      <c r="J589" s="4" t="str">
        <f t="shared" si="10"/>
        <v/>
      </c>
      <c r="K589" s="11"/>
      <c r="L589" s="9"/>
      <c r="M589" s="12"/>
      <c r="N589" s="6"/>
      <c r="O589" s="6"/>
      <c r="P589" s="6"/>
      <c r="Q589" s="4" t="s">
        <v>4179</v>
      </c>
    </row>
    <row r="590" spans="4:17">
      <c r="D590" s="6" t="s">
        <v>7488</v>
      </c>
      <c r="E590" s="4" t="s">
        <v>3478</v>
      </c>
      <c r="F590" s="6"/>
      <c r="G590" s="4"/>
      <c r="H590" s="6"/>
      <c r="I590" s="6"/>
      <c r="J590" s="4" t="str">
        <f t="shared" si="10"/>
        <v/>
      </c>
      <c r="K590" s="11"/>
      <c r="L590" s="9"/>
      <c r="M590" s="12"/>
      <c r="N590" s="6"/>
      <c r="O590" s="6"/>
      <c r="P590" s="6"/>
      <c r="Q590" s="4" t="s">
        <v>4180</v>
      </c>
    </row>
    <row r="591" spans="4:17">
      <c r="D591" s="6" t="s">
        <v>7489</v>
      </c>
      <c r="E591" s="4" t="s">
        <v>3478</v>
      </c>
      <c r="F591" s="6"/>
      <c r="G591" s="4"/>
      <c r="H591" s="6"/>
      <c r="I591" s="6"/>
      <c r="J591" s="4" t="str">
        <f t="shared" si="10"/>
        <v/>
      </c>
      <c r="K591" s="11"/>
      <c r="L591" s="9"/>
      <c r="M591" s="12"/>
      <c r="N591" s="6"/>
      <c r="O591" s="6"/>
      <c r="P591" s="6"/>
      <c r="Q591" s="4" t="s">
        <v>4181</v>
      </c>
    </row>
    <row r="592" spans="4:17">
      <c r="D592" s="6" t="s">
        <v>7490</v>
      </c>
      <c r="E592" s="4" t="s">
        <v>3478</v>
      </c>
      <c r="F592" s="6"/>
      <c r="G592" s="4"/>
      <c r="H592" s="6"/>
      <c r="I592" s="6"/>
      <c r="J592" s="4" t="str">
        <f t="shared" si="10"/>
        <v/>
      </c>
      <c r="K592" s="11"/>
      <c r="L592" s="9"/>
      <c r="M592" s="12"/>
      <c r="N592" s="6"/>
      <c r="O592" s="6"/>
      <c r="P592" s="6"/>
      <c r="Q592" s="4" t="s">
        <v>4182</v>
      </c>
    </row>
    <row r="593" spans="4:17">
      <c r="D593" s="6" t="s">
        <v>7491</v>
      </c>
      <c r="E593" s="4" t="s">
        <v>3478</v>
      </c>
      <c r="F593" s="6"/>
      <c r="G593" s="4"/>
      <c r="H593" s="6"/>
      <c r="I593" s="6"/>
      <c r="J593" s="4" t="str">
        <f t="shared" si="10"/>
        <v/>
      </c>
      <c r="K593" s="11"/>
      <c r="L593" s="9"/>
      <c r="M593" s="12"/>
      <c r="N593" s="6"/>
      <c r="O593" s="6"/>
      <c r="P593" s="6"/>
      <c r="Q593" s="4" t="s">
        <v>4183</v>
      </c>
    </row>
    <row r="594" spans="4:17">
      <c r="D594" s="6" t="s">
        <v>7492</v>
      </c>
      <c r="E594" s="4" t="s">
        <v>3478</v>
      </c>
      <c r="F594" s="6"/>
      <c r="G594" s="4"/>
      <c r="H594" s="6"/>
      <c r="I594" s="6"/>
      <c r="J594" s="4" t="str">
        <f t="shared" si="10"/>
        <v/>
      </c>
      <c r="K594" s="11"/>
      <c r="L594" s="9"/>
      <c r="M594" s="12"/>
      <c r="N594" s="6"/>
      <c r="O594" s="6"/>
      <c r="P594" s="6"/>
      <c r="Q594" s="4" t="s">
        <v>4184</v>
      </c>
    </row>
    <row r="595" spans="4:17">
      <c r="D595" s="6" t="s">
        <v>7493</v>
      </c>
      <c r="E595" s="4" t="s">
        <v>3478</v>
      </c>
      <c r="F595" s="6"/>
      <c r="G595" s="4"/>
      <c r="H595" s="6"/>
      <c r="I595" s="6"/>
      <c r="J595" s="4" t="str">
        <f t="shared" si="10"/>
        <v/>
      </c>
      <c r="K595" s="11"/>
      <c r="L595" s="9"/>
      <c r="M595" s="12"/>
      <c r="N595" s="6"/>
      <c r="O595" s="6"/>
      <c r="P595" s="6"/>
      <c r="Q595" s="4" t="s">
        <v>4185</v>
      </c>
    </row>
    <row r="596" spans="4:17">
      <c r="D596" s="6" t="s">
        <v>7494</v>
      </c>
      <c r="E596" s="4" t="s">
        <v>3485</v>
      </c>
      <c r="F596" s="6"/>
      <c r="G596" s="4"/>
      <c r="H596" s="6"/>
      <c r="I596" s="6"/>
      <c r="J596" s="4" t="str">
        <f t="shared" si="10"/>
        <v/>
      </c>
      <c r="K596" s="11"/>
      <c r="L596" s="9"/>
      <c r="M596" s="12"/>
      <c r="N596" s="6"/>
      <c r="O596" s="6"/>
      <c r="P596" s="6"/>
      <c r="Q596" s="4" t="s">
        <v>4186</v>
      </c>
    </row>
    <row r="597" spans="4:17">
      <c r="D597" s="6" t="s">
        <v>7495</v>
      </c>
      <c r="E597" s="4" t="s">
        <v>3485</v>
      </c>
      <c r="F597" s="6"/>
      <c r="G597" s="4"/>
      <c r="H597" s="6"/>
      <c r="I597" s="6"/>
      <c r="J597" s="4" t="str">
        <f t="shared" si="10"/>
        <v/>
      </c>
      <c r="K597" s="11"/>
      <c r="L597" s="9"/>
      <c r="M597" s="12"/>
      <c r="N597" s="6"/>
      <c r="O597" s="6"/>
      <c r="P597" s="6"/>
      <c r="Q597" s="4" t="s">
        <v>4187</v>
      </c>
    </row>
    <row r="598" spans="4:17">
      <c r="D598" s="6" t="s">
        <v>7496</v>
      </c>
      <c r="E598" s="4" t="s">
        <v>3485</v>
      </c>
      <c r="F598" s="6"/>
      <c r="G598" s="4"/>
      <c r="H598" s="6"/>
      <c r="I598" s="6"/>
      <c r="J598" s="4" t="str">
        <f t="shared" si="10"/>
        <v/>
      </c>
      <c r="K598" s="11"/>
      <c r="L598" s="9"/>
      <c r="M598" s="12"/>
      <c r="N598" s="6"/>
      <c r="O598" s="6"/>
      <c r="P598" s="6"/>
      <c r="Q598" s="4" t="s">
        <v>4188</v>
      </c>
    </row>
    <row r="599" spans="4:17">
      <c r="D599" s="6" t="s">
        <v>7497</v>
      </c>
      <c r="E599" s="4" t="s">
        <v>3485</v>
      </c>
      <c r="F599" s="6"/>
      <c r="G599" s="4"/>
      <c r="H599" s="6"/>
      <c r="I599" s="6"/>
      <c r="J599" s="4" t="str">
        <f t="shared" si="10"/>
        <v/>
      </c>
      <c r="K599" s="11"/>
      <c r="L599" s="9"/>
      <c r="M599" s="12"/>
      <c r="N599" s="6"/>
      <c r="O599" s="6"/>
      <c r="P599" s="6"/>
      <c r="Q599" s="4" t="s">
        <v>4189</v>
      </c>
    </row>
    <row r="600" spans="4:17">
      <c r="D600" s="6" t="s">
        <v>7498</v>
      </c>
      <c r="E600" s="4" t="s">
        <v>3485</v>
      </c>
      <c r="F600" s="6"/>
      <c r="G600" s="4"/>
      <c r="H600" s="6"/>
      <c r="I600" s="6"/>
      <c r="J600" s="4" t="str">
        <f t="shared" si="10"/>
        <v/>
      </c>
      <c r="K600" s="11"/>
      <c r="L600" s="9"/>
      <c r="M600" s="12"/>
      <c r="N600" s="6"/>
      <c r="O600" s="6"/>
      <c r="P600" s="6"/>
      <c r="Q600" s="4" t="s">
        <v>4190</v>
      </c>
    </row>
    <row r="601" spans="4:17">
      <c r="D601" s="6" t="s">
        <v>7499</v>
      </c>
      <c r="E601" s="4" t="s">
        <v>3485</v>
      </c>
      <c r="F601" s="6"/>
      <c r="G601" s="4"/>
      <c r="H601" s="6"/>
      <c r="I601" s="6"/>
      <c r="J601" s="4" t="str">
        <f t="shared" si="10"/>
        <v/>
      </c>
      <c r="K601" s="11"/>
      <c r="L601" s="9"/>
      <c r="M601" s="12"/>
      <c r="N601" s="6"/>
      <c r="O601" s="6"/>
      <c r="P601" s="6"/>
      <c r="Q601" s="4" t="s">
        <v>4191</v>
      </c>
    </row>
    <row r="602" spans="4:17">
      <c r="D602" s="6" t="s">
        <v>7500</v>
      </c>
      <c r="E602" s="4" t="s">
        <v>3485</v>
      </c>
      <c r="F602" s="6"/>
      <c r="G602" s="4"/>
      <c r="H602" s="6"/>
      <c r="I602" s="6"/>
      <c r="J602" s="4" t="str">
        <f t="shared" si="10"/>
        <v/>
      </c>
      <c r="K602" s="11"/>
      <c r="L602" s="9"/>
      <c r="M602" s="12"/>
      <c r="N602" s="6"/>
      <c r="O602" s="6"/>
      <c r="P602" s="6"/>
      <c r="Q602" s="4" t="s">
        <v>4192</v>
      </c>
    </row>
    <row r="603" spans="4:17">
      <c r="D603" s="6" t="s">
        <v>7501</v>
      </c>
      <c r="E603" s="4" t="s">
        <v>3485</v>
      </c>
      <c r="F603" s="6"/>
      <c r="G603" s="4"/>
      <c r="H603" s="6"/>
      <c r="I603" s="6"/>
      <c r="J603" s="4" t="str">
        <f t="shared" si="10"/>
        <v/>
      </c>
      <c r="K603" s="11"/>
      <c r="L603" s="9"/>
      <c r="M603" s="12"/>
      <c r="N603" s="6"/>
      <c r="O603" s="6"/>
      <c r="P603" s="6"/>
      <c r="Q603" s="4" t="s">
        <v>4193</v>
      </c>
    </row>
    <row r="604" spans="4:17">
      <c r="D604" s="6" t="s">
        <v>7502</v>
      </c>
      <c r="E604" s="4" t="s">
        <v>3485</v>
      </c>
      <c r="F604" s="6"/>
      <c r="G604" s="4"/>
      <c r="H604" s="6"/>
      <c r="I604" s="6"/>
      <c r="J604" s="4" t="str">
        <f t="shared" si="10"/>
        <v/>
      </c>
      <c r="K604" s="11"/>
      <c r="L604" s="9"/>
      <c r="M604" s="12"/>
      <c r="N604" s="6"/>
      <c r="O604" s="6"/>
      <c r="P604" s="6"/>
      <c r="Q604" s="4" t="s">
        <v>4194</v>
      </c>
    </row>
    <row r="605" spans="4:17">
      <c r="D605" s="6" t="s">
        <v>7503</v>
      </c>
      <c r="E605" s="4" t="s">
        <v>3485</v>
      </c>
      <c r="F605" s="6"/>
      <c r="G605" s="4"/>
      <c r="H605" s="6"/>
      <c r="I605" s="6"/>
      <c r="J605" s="4" t="str">
        <f t="shared" si="10"/>
        <v/>
      </c>
      <c r="K605" s="11"/>
      <c r="L605" s="9"/>
      <c r="M605" s="12"/>
      <c r="N605" s="6"/>
      <c r="O605" s="6"/>
      <c r="P605" s="6"/>
      <c r="Q605" s="4" t="s">
        <v>4195</v>
      </c>
    </row>
    <row r="606" spans="4:17">
      <c r="D606" s="6" t="s">
        <v>7504</v>
      </c>
      <c r="E606" s="4" t="s">
        <v>3485</v>
      </c>
      <c r="F606" s="6"/>
      <c r="G606" s="4"/>
      <c r="H606" s="6"/>
      <c r="I606" s="6"/>
      <c r="J606" s="4" t="str">
        <f t="shared" si="10"/>
        <v/>
      </c>
      <c r="K606" s="11"/>
      <c r="L606" s="9"/>
      <c r="M606" s="12"/>
      <c r="N606" s="6"/>
      <c r="O606" s="6"/>
      <c r="P606" s="6"/>
      <c r="Q606" s="4" t="s">
        <v>4196</v>
      </c>
    </row>
    <row r="607" spans="4:17">
      <c r="D607" s="6" t="s">
        <v>7505</v>
      </c>
      <c r="E607" s="4" t="s">
        <v>3485</v>
      </c>
      <c r="F607" s="6"/>
      <c r="G607" s="4"/>
      <c r="H607" s="6"/>
      <c r="I607" s="6"/>
      <c r="J607" s="4" t="str">
        <f t="shared" si="10"/>
        <v/>
      </c>
      <c r="K607" s="11"/>
      <c r="L607" s="9"/>
      <c r="M607" s="12"/>
      <c r="N607" s="6"/>
      <c r="O607" s="6"/>
      <c r="P607" s="6"/>
      <c r="Q607" s="4" t="s">
        <v>4197</v>
      </c>
    </row>
    <row r="608" spans="4:17">
      <c r="D608" s="6" t="s">
        <v>7506</v>
      </c>
      <c r="E608" s="4" t="s">
        <v>3485</v>
      </c>
      <c r="F608" s="6"/>
      <c r="G608" s="4"/>
      <c r="H608" s="6"/>
      <c r="I608" s="6"/>
      <c r="J608" s="4" t="str">
        <f t="shared" si="10"/>
        <v/>
      </c>
      <c r="K608" s="11"/>
      <c r="L608" s="9"/>
      <c r="M608" s="12"/>
      <c r="N608" s="6"/>
      <c r="O608" s="6"/>
      <c r="P608" s="6"/>
      <c r="Q608" s="4" t="s">
        <v>4198</v>
      </c>
    </row>
    <row r="609" spans="4:17">
      <c r="D609" s="6" t="s">
        <v>7507</v>
      </c>
      <c r="E609" s="4" t="s">
        <v>3485</v>
      </c>
      <c r="F609" s="6"/>
      <c r="G609" s="4"/>
      <c r="H609" s="6"/>
      <c r="I609" s="6"/>
      <c r="J609" s="4" t="str">
        <f t="shared" si="10"/>
        <v/>
      </c>
      <c r="K609" s="11"/>
      <c r="L609" s="9"/>
      <c r="M609" s="12"/>
      <c r="N609" s="6"/>
      <c r="O609" s="6"/>
      <c r="P609" s="6"/>
      <c r="Q609" s="4" t="s">
        <v>4199</v>
      </c>
    </row>
    <row r="610" spans="4:17">
      <c r="D610" s="6" t="s">
        <v>7508</v>
      </c>
      <c r="E610" s="4" t="s">
        <v>3485</v>
      </c>
      <c r="F610" s="6"/>
      <c r="G610" s="4"/>
      <c r="H610" s="6"/>
      <c r="I610" s="6"/>
      <c r="J610" s="4" t="str">
        <f t="shared" si="10"/>
        <v/>
      </c>
      <c r="K610" s="11"/>
      <c r="L610" s="9"/>
      <c r="M610" s="12"/>
      <c r="N610" s="6"/>
      <c r="O610" s="6"/>
      <c r="P610" s="6"/>
      <c r="Q610" s="4" t="s">
        <v>4200</v>
      </c>
    </row>
    <row r="611" spans="4:17">
      <c r="D611" s="6" t="s">
        <v>7509</v>
      </c>
      <c r="E611" s="4" t="s">
        <v>3485</v>
      </c>
      <c r="F611" s="6"/>
      <c r="G611" s="4"/>
      <c r="H611" s="6"/>
      <c r="I611" s="6"/>
      <c r="J611" s="4" t="str">
        <f t="shared" si="10"/>
        <v/>
      </c>
      <c r="K611" s="11"/>
      <c r="L611" s="9"/>
      <c r="M611" s="12"/>
      <c r="N611" s="6"/>
      <c r="O611" s="6"/>
      <c r="P611" s="6"/>
      <c r="Q611" s="4" t="s">
        <v>4201</v>
      </c>
    </row>
    <row r="612" spans="4:17">
      <c r="D612" s="6" t="s">
        <v>7510</v>
      </c>
      <c r="E612" s="4" t="s">
        <v>3485</v>
      </c>
      <c r="F612" s="6"/>
      <c r="G612" s="4"/>
      <c r="H612" s="6"/>
      <c r="I612" s="6"/>
      <c r="J612" s="4" t="str">
        <f t="shared" si="10"/>
        <v/>
      </c>
      <c r="K612" s="11"/>
      <c r="L612" s="9"/>
      <c r="M612" s="12"/>
      <c r="N612" s="6"/>
      <c r="O612" s="6"/>
      <c r="P612" s="6"/>
      <c r="Q612" s="4" t="s">
        <v>4202</v>
      </c>
    </row>
    <row r="613" spans="4:17">
      <c r="D613" s="6" t="s">
        <v>7511</v>
      </c>
      <c r="E613" s="4" t="s">
        <v>3485</v>
      </c>
      <c r="F613" s="6"/>
      <c r="G613" s="4"/>
      <c r="H613" s="6"/>
      <c r="I613" s="6"/>
      <c r="J613" s="4" t="str">
        <f t="shared" si="10"/>
        <v/>
      </c>
      <c r="K613" s="11"/>
      <c r="L613" s="9"/>
      <c r="M613" s="12"/>
      <c r="N613" s="6"/>
      <c r="O613" s="6"/>
      <c r="P613" s="6"/>
      <c r="Q613" s="4" t="s">
        <v>4203</v>
      </c>
    </row>
    <row r="614" spans="4:17">
      <c r="D614" s="6" t="s">
        <v>7512</v>
      </c>
      <c r="E614" s="4" t="s">
        <v>3485</v>
      </c>
      <c r="F614" s="6"/>
      <c r="G614" s="4"/>
      <c r="H614" s="6"/>
      <c r="I614" s="6"/>
      <c r="J614" s="4" t="str">
        <f t="shared" si="10"/>
        <v/>
      </c>
      <c r="K614" s="11"/>
      <c r="L614" s="9"/>
      <c r="M614" s="12"/>
      <c r="N614" s="6"/>
      <c r="O614" s="6"/>
      <c r="P614" s="6"/>
      <c r="Q614" s="4" t="s">
        <v>4204</v>
      </c>
    </row>
    <row r="615" spans="4:17">
      <c r="D615" s="6" t="s">
        <v>7513</v>
      </c>
      <c r="E615" s="4" t="s">
        <v>3485</v>
      </c>
      <c r="F615" s="6"/>
      <c r="G615" s="4"/>
      <c r="H615" s="6"/>
      <c r="I615" s="6"/>
      <c r="J615" s="4" t="str">
        <f t="shared" si="10"/>
        <v/>
      </c>
      <c r="K615" s="11"/>
      <c r="L615" s="9"/>
      <c r="M615" s="12"/>
      <c r="N615" s="6"/>
      <c r="O615" s="6"/>
      <c r="P615" s="6"/>
      <c r="Q615" s="4" t="s">
        <v>4205</v>
      </c>
    </row>
    <row r="616" spans="4:17">
      <c r="D616" s="6" t="s">
        <v>7514</v>
      </c>
      <c r="E616" s="4" t="s">
        <v>3492</v>
      </c>
      <c r="F616" s="6"/>
      <c r="G616" s="4"/>
      <c r="H616" s="6"/>
      <c r="I616" s="6"/>
      <c r="J616" s="4" t="str">
        <f t="shared" si="10"/>
        <v/>
      </c>
      <c r="K616" s="11"/>
      <c r="L616" s="9"/>
      <c r="M616" s="12"/>
      <c r="N616" s="6"/>
      <c r="O616" s="6"/>
      <c r="P616" s="6"/>
      <c r="Q616" s="4" t="s">
        <v>4206</v>
      </c>
    </row>
    <row r="617" spans="4:17">
      <c r="D617" s="6" t="s">
        <v>7515</v>
      </c>
      <c r="E617" s="4" t="s">
        <v>3492</v>
      </c>
      <c r="F617" s="6"/>
      <c r="G617" s="4"/>
      <c r="H617" s="6"/>
      <c r="I617" s="6"/>
      <c r="J617" s="4" t="str">
        <f t="shared" si="10"/>
        <v/>
      </c>
      <c r="K617" s="11"/>
      <c r="L617" s="9"/>
      <c r="M617" s="12"/>
      <c r="N617" s="6"/>
      <c r="O617" s="6"/>
      <c r="P617" s="6"/>
      <c r="Q617" s="4" t="s">
        <v>4207</v>
      </c>
    </row>
    <row r="618" spans="4:17">
      <c r="D618" s="6" t="s">
        <v>7516</v>
      </c>
      <c r="E618" s="4" t="s">
        <v>3492</v>
      </c>
      <c r="F618" s="6"/>
      <c r="G618" s="4"/>
      <c r="H618" s="6"/>
      <c r="I618" s="6"/>
      <c r="J618" s="4" t="str">
        <f t="shared" si="10"/>
        <v/>
      </c>
      <c r="K618" s="11"/>
      <c r="L618" s="9"/>
      <c r="M618" s="12"/>
      <c r="N618" s="6"/>
      <c r="O618" s="6"/>
      <c r="P618" s="6"/>
      <c r="Q618" s="4" t="s">
        <v>4208</v>
      </c>
    </row>
    <row r="619" spans="4:17">
      <c r="D619" s="6" t="s">
        <v>7517</v>
      </c>
      <c r="E619" s="4" t="s">
        <v>3492</v>
      </c>
      <c r="F619" s="6"/>
      <c r="G619" s="4"/>
      <c r="H619" s="6"/>
      <c r="I619" s="6"/>
      <c r="J619" s="4" t="str">
        <f t="shared" si="10"/>
        <v/>
      </c>
      <c r="K619" s="11"/>
      <c r="L619" s="9"/>
      <c r="M619" s="12"/>
      <c r="N619" s="6"/>
      <c r="O619" s="6"/>
      <c r="P619" s="6"/>
      <c r="Q619" s="4" t="s">
        <v>4209</v>
      </c>
    </row>
    <row r="620" spans="4:17">
      <c r="D620" s="6" t="s">
        <v>7518</v>
      </c>
      <c r="E620" s="4" t="s">
        <v>3492</v>
      </c>
      <c r="F620" s="6"/>
      <c r="G620" s="4"/>
      <c r="H620" s="6"/>
      <c r="I620" s="6"/>
      <c r="J620" s="4" t="str">
        <f t="shared" si="10"/>
        <v/>
      </c>
      <c r="K620" s="11"/>
      <c r="L620" s="9"/>
      <c r="M620" s="12"/>
      <c r="N620" s="6"/>
      <c r="O620" s="6"/>
      <c r="P620" s="6"/>
      <c r="Q620" s="4" t="s">
        <v>4210</v>
      </c>
    </row>
    <row r="621" spans="4:17">
      <c r="D621" s="6" t="s">
        <v>7519</v>
      </c>
      <c r="E621" s="4" t="s">
        <v>3492</v>
      </c>
      <c r="F621" s="6"/>
      <c r="G621" s="4"/>
      <c r="H621" s="6"/>
      <c r="I621" s="6"/>
      <c r="J621" s="4" t="str">
        <f t="shared" si="10"/>
        <v/>
      </c>
      <c r="K621" s="11"/>
      <c r="L621" s="9"/>
      <c r="M621" s="12"/>
      <c r="N621" s="6"/>
      <c r="O621" s="6"/>
      <c r="P621" s="6"/>
      <c r="Q621" s="4" t="s">
        <v>4211</v>
      </c>
    </row>
    <row r="622" spans="4:17">
      <c r="D622" s="6" t="s">
        <v>7520</v>
      </c>
      <c r="E622" s="4" t="s">
        <v>3492</v>
      </c>
      <c r="F622" s="6"/>
      <c r="G622" s="4"/>
      <c r="H622" s="6"/>
      <c r="I622" s="6"/>
      <c r="J622" s="4" t="str">
        <f t="shared" si="10"/>
        <v/>
      </c>
      <c r="K622" s="11"/>
      <c r="L622" s="9"/>
      <c r="M622" s="12"/>
      <c r="N622" s="6"/>
      <c r="O622" s="6"/>
      <c r="P622" s="6"/>
      <c r="Q622" s="4" t="s">
        <v>4212</v>
      </c>
    </row>
    <row r="623" spans="4:17">
      <c r="D623" s="6" t="s">
        <v>7521</v>
      </c>
      <c r="E623" s="4" t="s">
        <v>3492</v>
      </c>
      <c r="F623" s="6"/>
      <c r="G623" s="4"/>
      <c r="H623" s="6"/>
      <c r="I623" s="6"/>
      <c r="J623" s="4" t="str">
        <f t="shared" si="10"/>
        <v/>
      </c>
      <c r="K623" s="11"/>
      <c r="L623" s="9"/>
      <c r="M623" s="12"/>
      <c r="N623" s="6"/>
      <c r="O623" s="6"/>
      <c r="P623" s="6"/>
      <c r="Q623" s="4" t="s">
        <v>4213</v>
      </c>
    </row>
    <row r="624" spans="4:17">
      <c r="D624" s="6" t="s">
        <v>7522</v>
      </c>
      <c r="E624" s="4" t="s">
        <v>3492</v>
      </c>
      <c r="F624" s="6"/>
      <c r="G624" s="4"/>
      <c r="H624" s="6"/>
      <c r="I624" s="6"/>
      <c r="J624" s="4" t="str">
        <f t="shared" si="10"/>
        <v/>
      </c>
      <c r="K624" s="11"/>
      <c r="L624" s="9"/>
      <c r="M624" s="12"/>
      <c r="N624" s="6"/>
      <c r="O624" s="6"/>
      <c r="P624" s="6"/>
      <c r="Q624" s="4" t="s">
        <v>4214</v>
      </c>
    </row>
    <row r="625" spans="4:17">
      <c r="D625" s="6" t="s">
        <v>7523</v>
      </c>
      <c r="E625" s="4" t="s">
        <v>3492</v>
      </c>
      <c r="F625" s="6"/>
      <c r="G625" s="4"/>
      <c r="H625" s="6"/>
      <c r="I625" s="6"/>
      <c r="J625" s="4" t="str">
        <f t="shared" si="10"/>
        <v/>
      </c>
      <c r="K625" s="11"/>
      <c r="L625" s="9"/>
      <c r="M625" s="12"/>
      <c r="N625" s="6"/>
      <c r="O625" s="6"/>
      <c r="P625" s="6"/>
      <c r="Q625" s="4" t="s">
        <v>4215</v>
      </c>
    </row>
    <row r="626" spans="4:17">
      <c r="D626" s="6" t="s">
        <v>7524</v>
      </c>
      <c r="E626" s="4" t="s">
        <v>3492</v>
      </c>
      <c r="F626" s="6"/>
      <c r="G626" s="4"/>
      <c r="H626" s="6"/>
      <c r="I626" s="6"/>
      <c r="J626" s="4" t="str">
        <f t="shared" si="10"/>
        <v/>
      </c>
      <c r="K626" s="11"/>
      <c r="L626" s="9"/>
      <c r="M626" s="12"/>
      <c r="N626" s="6"/>
      <c r="O626" s="6"/>
      <c r="P626" s="6"/>
      <c r="Q626" s="4" t="s">
        <v>4216</v>
      </c>
    </row>
    <row r="627" spans="4:17">
      <c r="D627" s="6" t="s">
        <v>7525</v>
      </c>
      <c r="E627" s="4" t="s">
        <v>3492</v>
      </c>
      <c r="F627" s="6"/>
      <c r="G627" s="4"/>
      <c r="H627" s="6"/>
      <c r="I627" s="6"/>
      <c r="J627" s="4" t="str">
        <f t="shared" si="10"/>
        <v/>
      </c>
      <c r="K627" s="11"/>
      <c r="L627" s="9"/>
      <c r="M627" s="12"/>
      <c r="N627" s="6"/>
      <c r="O627" s="6"/>
      <c r="P627" s="6"/>
      <c r="Q627" s="4" t="s">
        <v>4217</v>
      </c>
    </row>
    <row r="628" spans="4:17">
      <c r="D628" s="6" t="s">
        <v>7526</v>
      </c>
      <c r="E628" s="4" t="s">
        <v>3492</v>
      </c>
      <c r="F628" s="6"/>
      <c r="G628" s="4"/>
      <c r="H628" s="6"/>
      <c r="I628" s="6"/>
      <c r="J628" s="4" t="str">
        <f t="shared" si="10"/>
        <v/>
      </c>
      <c r="K628" s="11"/>
      <c r="L628" s="9"/>
      <c r="M628" s="12"/>
      <c r="N628" s="6"/>
      <c r="O628" s="6"/>
      <c r="P628" s="6"/>
      <c r="Q628" s="4" t="s">
        <v>4218</v>
      </c>
    </row>
    <row r="629" spans="4:17">
      <c r="D629" s="6" t="s">
        <v>7527</v>
      </c>
      <c r="E629" s="4" t="s">
        <v>3492</v>
      </c>
      <c r="F629" s="6"/>
      <c r="G629" s="4"/>
      <c r="H629" s="6"/>
      <c r="I629" s="6"/>
      <c r="J629" s="4" t="str">
        <f t="shared" si="10"/>
        <v/>
      </c>
      <c r="K629" s="11"/>
      <c r="L629" s="9"/>
      <c r="M629" s="12"/>
      <c r="N629" s="6"/>
      <c r="O629" s="6"/>
      <c r="P629" s="6"/>
      <c r="Q629" s="4" t="s">
        <v>4219</v>
      </c>
    </row>
    <row r="630" spans="4:17">
      <c r="D630" s="6" t="s">
        <v>7528</v>
      </c>
      <c r="E630" s="4" t="s">
        <v>3492</v>
      </c>
      <c r="F630" s="6"/>
      <c r="G630" s="4"/>
      <c r="H630" s="6"/>
      <c r="I630" s="6"/>
      <c r="J630" s="4" t="str">
        <f t="shared" si="10"/>
        <v/>
      </c>
      <c r="K630" s="11"/>
      <c r="L630" s="9"/>
      <c r="M630" s="12"/>
      <c r="N630" s="6"/>
      <c r="O630" s="6"/>
      <c r="P630" s="6"/>
      <c r="Q630" s="4" t="s">
        <v>4220</v>
      </c>
    </row>
    <row r="631" spans="4:17">
      <c r="D631" s="6" t="s">
        <v>7529</v>
      </c>
      <c r="E631" s="4" t="s">
        <v>3492</v>
      </c>
      <c r="F631" s="6"/>
      <c r="G631" s="4"/>
      <c r="H631" s="6"/>
      <c r="I631" s="6"/>
      <c r="J631" s="4" t="str">
        <f t="shared" si="10"/>
        <v/>
      </c>
      <c r="K631" s="11"/>
      <c r="L631" s="9"/>
      <c r="M631" s="12"/>
      <c r="N631" s="6"/>
      <c r="O631" s="6"/>
      <c r="P631" s="6"/>
      <c r="Q631" s="4" t="s">
        <v>4221</v>
      </c>
    </row>
    <row r="632" spans="4:17">
      <c r="D632" s="6" t="s">
        <v>7530</v>
      </c>
      <c r="E632" s="4" t="s">
        <v>3492</v>
      </c>
      <c r="F632" s="6"/>
      <c r="G632" s="4"/>
      <c r="H632" s="6"/>
      <c r="I632" s="6"/>
      <c r="J632" s="4" t="str">
        <f t="shared" si="10"/>
        <v/>
      </c>
      <c r="K632" s="11"/>
      <c r="L632" s="9"/>
      <c r="M632" s="12"/>
      <c r="N632" s="6"/>
      <c r="O632" s="6"/>
      <c r="P632" s="6"/>
      <c r="Q632" s="4" t="s">
        <v>4222</v>
      </c>
    </row>
    <row r="633" spans="4:17">
      <c r="D633" s="6" t="s">
        <v>7531</v>
      </c>
      <c r="E633" s="4" t="s">
        <v>3492</v>
      </c>
      <c r="F633" s="6"/>
      <c r="G633" s="4"/>
      <c r="H633" s="6"/>
      <c r="I633" s="6"/>
      <c r="J633" s="4" t="str">
        <f t="shared" si="10"/>
        <v/>
      </c>
      <c r="K633" s="11"/>
      <c r="L633" s="9"/>
      <c r="M633" s="12"/>
      <c r="N633" s="6"/>
      <c r="O633" s="6"/>
      <c r="P633" s="6"/>
      <c r="Q633" s="4" t="s">
        <v>4223</v>
      </c>
    </row>
    <row r="634" spans="4:17">
      <c r="D634" s="6" t="s">
        <v>7532</v>
      </c>
      <c r="E634" s="4" t="s">
        <v>3492</v>
      </c>
      <c r="F634" s="6"/>
      <c r="G634" s="4"/>
      <c r="H634" s="6"/>
      <c r="I634" s="6"/>
      <c r="J634" s="4" t="str">
        <f t="shared" si="10"/>
        <v/>
      </c>
      <c r="K634" s="11"/>
      <c r="L634" s="9"/>
      <c r="M634" s="12"/>
      <c r="N634" s="6"/>
      <c r="O634" s="6"/>
      <c r="P634" s="6"/>
      <c r="Q634" s="4" t="s">
        <v>4224</v>
      </c>
    </row>
    <row r="635" spans="4:17">
      <c r="D635" s="6" t="s">
        <v>7533</v>
      </c>
      <c r="E635" s="4" t="s">
        <v>3492</v>
      </c>
      <c r="F635" s="6"/>
      <c r="G635" s="4"/>
      <c r="H635" s="6"/>
      <c r="I635" s="6"/>
      <c r="J635" s="4" t="str">
        <f t="shared" si="10"/>
        <v/>
      </c>
      <c r="K635" s="11"/>
      <c r="L635" s="9"/>
      <c r="M635" s="12"/>
      <c r="N635" s="6"/>
      <c r="O635" s="6"/>
      <c r="P635" s="6"/>
      <c r="Q635" s="4" t="s">
        <v>4225</v>
      </c>
    </row>
    <row r="636" spans="4:17">
      <c r="D636" s="6" t="s">
        <v>7534</v>
      </c>
      <c r="E636" s="4" t="s">
        <v>3499</v>
      </c>
      <c r="F636" s="6"/>
      <c r="G636" s="4"/>
      <c r="H636" s="6"/>
      <c r="I636" s="6"/>
      <c r="J636" s="4" t="str">
        <f t="shared" ref="J636:J699" si="11">F636&amp;H636&amp;I636</f>
        <v/>
      </c>
      <c r="K636" s="11"/>
      <c r="L636" s="9"/>
      <c r="M636" s="12"/>
      <c r="N636" s="6"/>
      <c r="O636" s="6"/>
      <c r="P636" s="6"/>
      <c r="Q636" s="4" t="s">
        <v>4226</v>
      </c>
    </row>
    <row r="637" spans="4:17">
      <c r="D637" s="6" t="s">
        <v>7535</v>
      </c>
      <c r="E637" s="4" t="s">
        <v>3499</v>
      </c>
      <c r="F637" s="6"/>
      <c r="G637" s="4"/>
      <c r="H637" s="6"/>
      <c r="I637" s="6"/>
      <c r="J637" s="4" t="str">
        <f t="shared" si="11"/>
        <v/>
      </c>
      <c r="K637" s="11"/>
      <c r="L637" s="9"/>
      <c r="M637" s="12"/>
      <c r="N637" s="6"/>
      <c r="O637" s="6"/>
      <c r="P637" s="6"/>
      <c r="Q637" s="4" t="s">
        <v>4227</v>
      </c>
    </row>
    <row r="638" spans="4:17">
      <c r="D638" s="6" t="s">
        <v>7536</v>
      </c>
      <c r="E638" s="4" t="s">
        <v>3499</v>
      </c>
      <c r="F638" s="6"/>
      <c r="G638" s="4"/>
      <c r="H638" s="6"/>
      <c r="I638" s="6"/>
      <c r="J638" s="4" t="str">
        <f t="shared" si="11"/>
        <v/>
      </c>
      <c r="K638" s="11"/>
      <c r="L638" s="9"/>
      <c r="M638" s="12"/>
      <c r="N638" s="6"/>
      <c r="O638" s="6"/>
      <c r="P638" s="6"/>
      <c r="Q638" s="4" t="s">
        <v>4228</v>
      </c>
    </row>
    <row r="639" spans="4:17">
      <c r="D639" s="6" t="s">
        <v>7537</v>
      </c>
      <c r="E639" s="4" t="s">
        <v>3499</v>
      </c>
      <c r="F639" s="6"/>
      <c r="G639" s="4"/>
      <c r="H639" s="6"/>
      <c r="I639" s="6"/>
      <c r="J639" s="4" t="str">
        <f t="shared" si="11"/>
        <v/>
      </c>
      <c r="K639" s="11"/>
      <c r="L639" s="9"/>
      <c r="M639" s="12"/>
      <c r="N639" s="6"/>
      <c r="O639" s="6"/>
      <c r="P639" s="6"/>
      <c r="Q639" s="4" t="s">
        <v>4229</v>
      </c>
    </row>
    <row r="640" spans="4:17">
      <c r="D640" s="6" t="s">
        <v>7538</v>
      </c>
      <c r="E640" s="4" t="s">
        <v>3499</v>
      </c>
      <c r="F640" s="6"/>
      <c r="G640" s="4"/>
      <c r="H640" s="6"/>
      <c r="I640" s="6"/>
      <c r="J640" s="4" t="str">
        <f t="shared" si="11"/>
        <v/>
      </c>
      <c r="K640" s="11"/>
      <c r="L640" s="9"/>
      <c r="M640" s="12"/>
      <c r="N640" s="6"/>
      <c r="O640" s="6"/>
      <c r="P640" s="6"/>
      <c r="Q640" s="4" t="s">
        <v>4230</v>
      </c>
    </row>
    <row r="641" spans="4:17">
      <c r="D641" s="6" t="s">
        <v>7539</v>
      </c>
      <c r="E641" s="4" t="s">
        <v>3499</v>
      </c>
      <c r="F641" s="6"/>
      <c r="G641" s="4"/>
      <c r="H641" s="6"/>
      <c r="I641" s="6"/>
      <c r="J641" s="4" t="str">
        <f t="shared" si="11"/>
        <v/>
      </c>
      <c r="K641" s="11"/>
      <c r="L641" s="9"/>
      <c r="M641" s="12"/>
      <c r="N641" s="6"/>
      <c r="O641" s="6"/>
      <c r="P641" s="6"/>
      <c r="Q641" s="4" t="s">
        <v>4231</v>
      </c>
    </row>
    <row r="642" spans="4:17">
      <c r="D642" s="6" t="s">
        <v>7540</v>
      </c>
      <c r="E642" s="4" t="s">
        <v>3499</v>
      </c>
      <c r="F642" s="6"/>
      <c r="G642" s="4"/>
      <c r="H642" s="6"/>
      <c r="I642" s="6"/>
      <c r="J642" s="4" t="str">
        <f t="shared" si="11"/>
        <v/>
      </c>
      <c r="K642" s="11"/>
      <c r="L642" s="9"/>
      <c r="M642" s="12"/>
      <c r="N642" s="6"/>
      <c r="O642" s="6"/>
      <c r="P642" s="6"/>
      <c r="Q642" s="4" t="s">
        <v>4232</v>
      </c>
    </row>
    <row r="643" spans="4:17">
      <c r="D643" s="6" t="s">
        <v>7541</v>
      </c>
      <c r="E643" s="4" t="s">
        <v>3499</v>
      </c>
      <c r="F643" s="6"/>
      <c r="G643" s="4"/>
      <c r="H643" s="6"/>
      <c r="I643" s="6"/>
      <c r="J643" s="4" t="str">
        <f t="shared" si="11"/>
        <v/>
      </c>
      <c r="K643" s="11"/>
      <c r="L643" s="9"/>
      <c r="M643" s="12"/>
      <c r="N643" s="6"/>
      <c r="O643" s="6"/>
      <c r="P643" s="6"/>
      <c r="Q643" s="4" t="s">
        <v>4233</v>
      </c>
    </row>
    <row r="644" spans="4:17">
      <c r="D644" s="6" t="s">
        <v>7542</v>
      </c>
      <c r="E644" s="4" t="s">
        <v>3499</v>
      </c>
      <c r="F644" s="6"/>
      <c r="G644" s="4"/>
      <c r="H644" s="6"/>
      <c r="I644" s="6"/>
      <c r="J644" s="4" t="str">
        <f t="shared" si="11"/>
        <v/>
      </c>
      <c r="K644" s="11"/>
      <c r="L644" s="9"/>
      <c r="M644" s="12"/>
      <c r="N644" s="6"/>
      <c r="O644" s="6"/>
      <c r="P644" s="6"/>
      <c r="Q644" s="4" t="s">
        <v>4234</v>
      </c>
    </row>
    <row r="645" spans="4:17">
      <c r="D645" s="6" t="s">
        <v>7543</v>
      </c>
      <c r="E645" s="4" t="s">
        <v>3499</v>
      </c>
      <c r="F645" s="6"/>
      <c r="G645" s="4"/>
      <c r="H645" s="6"/>
      <c r="I645" s="6"/>
      <c r="J645" s="4" t="str">
        <f t="shared" si="11"/>
        <v/>
      </c>
      <c r="K645" s="11"/>
      <c r="L645" s="9"/>
      <c r="M645" s="12"/>
      <c r="N645" s="6"/>
      <c r="O645" s="6"/>
      <c r="P645" s="6"/>
      <c r="Q645" s="4" t="s">
        <v>4235</v>
      </c>
    </row>
    <row r="646" spans="4:17">
      <c r="D646" s="6" t="s">
        <v>7544</v>
      </c>
      <c r="E646" s="4" t="s">
        <v>3499</v>
      </c>
      <c r="F646" s="6"/>
      <c r="G646" s="4"/>
      <c r="H646" s="6"/>
      <c r="I646" s="6"/>
      <c r="J646" s="4" t="str">
        <f t="shared" si="11"/>
        <v/>
      </c>
      <c r="K646" s="11"/>
      <c r="L646" s="9"/>
      <c r="M646" s="12"/>
      <c r="N646" s="6"/>
      <c r="O646" s="6"/>
      <c r="P646" s="6"/>
      <c r="Q646" s="4" t="s">
        <v>4236</v>
      </c>
    </row>
    <row r="647" spans="4:17">
      <c r="D647" s="6" t="s">
        <v>7545</v>
      </c>
      <c r="E647" s="4" t="s">
        <v>3499</v>
      </c>
      <c r="F647" s="6"/>
      <c r="G647" s="4"/>
      <c r="H647" s="6"/>
      <c r="I647" s="6"/>
      <c r="J647" s="4" t="str">
        <f t="shared" si="11"/>
        <v/>
      </c>
      <c r="K647" s="11"/>
      <c r="L647" s="9"/>
      <c r="M647" s="12"/>
      <c r="N647" s="6"/>
      <c r="O647" s="6"/>
      <c r="P647" s="6"/>
      <c r="Q647" s="4" t="s">
        <v>4237</v>
      </c>
    </row>
    <row r="648" spans="4:17">
      <c r="D648" s="6" t="s">
        <v>7546</v>
      </c>
      <c r="E648" s="4" t="s">
        <v>3499</v>
      </c>
      <c r="F648" s="6"/>
      <c r="G648" s="4"/>
      <c r="H648" s="6"/>
      <c r="I648" s="6"/>
      <c r="J648" s="4" t="str">
        <f t="shared" si="11"/>
        <v/>
      </c>
      <c r="K648" s="11"/>
      <c r="L648" s="9"/>
      <c r="M648" s="12"/>
      <c r="N648" s="6"/>
      <c r="O648" s="6"/>
      <c r="P648" s="6"/>
      <c r="Q648" s="4" t="s">
        <v>4238</v>
      </c>
    </row>
    <row r="649" spans="4:17">
      <c r="D649" s="6" t="s">
        <v>7547</v>
      </c>
      <c r="E649" s="4" t="s">
        <v>3499</v>
      </c>
      <c r="F649" s="6"/>
      <c r="G649" s="4"/>
      <c r="H649" s="6"/>
      <c r="I649" s="6"/>
      <c r="J649" s="4" t="str">
        <f t="shared" si="11"/>
        <v/>
      </c>
      <c r="K649" s="11"/>
      <c r="L649" s="9"/>
      <c r="M649" s="12"/>
      <c r="N649" s="6"/>
      <c r="O649" s="6"/>
      <c r="P649" s="6"/>
      <c r="Q649" s="4" t="s">
        <v>4239</v>
      </c>
    </row>
    <row r="650" spans="4:17">
      <c r="D650" s="6" t="s">
        <v>7548</v>
      </c>
      <c r="E650" s="4" t="s">
        <v>3499</v>
      </c>
      <c r="F650" s="6"/>
      <c r="G650" s="4"/>
      <c r="H650" s="6"/>
      <c r="I650" s="6"/>
      <c r="J650" s="4" t="str">
        <f t="shared" si="11"/>
        <v/>
      </c>
      <c r="K650" s="11"/>
      <c r="L650" s="9"/>
      <c r="M650" s="12"/>
      <c r="N650" s="6"/>
      <c r="O650" s="6"/>
      <c r="P650" s="6"/>
      <c r="Q650" s="4" t="s">
        <v>4240</v>
      </c>
    </row>
    <row r="651" spans="4:17">
      <c r="D651" s="6" t="s">
        <v>7549</v>
      </c>
      <c r="E651" s="4" t="s">
        <v>3499</v>
      </c>
      <c r="F651" s="6"/>
      <c r="G651" s="4"/>
      <c r="H651" s="6"/>
      <c r="I651" s="6"/>
      <c r="J651" s="4" t="str">
        <f t="shared" si="11"/>
        <v/>
      </c>
      <c r="K651" s="11"/>
      <c r="L651" s="9"/>
      <c r="M651" s="12"/>
      <c r="N651" s="6"/>
      <c r="O651" s="6"/>
      <c r="P651" s="6"/>
      <c r="Q651" s="4" t="s">
        <v>4241</v>
      </c>
    </row>
    <row r="652" spans="4:17">
      <c r="D652" s="6" t="s">
        <v>7550</v>
      </c>
      <c r="E652" s="4" t="s">
        <v>3499</v>
      </c>
      <c r="F652" s="6"/>
      <c r="G652" s="4"/>
      <c r="H652" s="6"/>
      <c r="I652" s="6"/>
      <c r="J652" s="4" t="str">
        <f t="shared" si="11"/>
        <v/>
      </c>
      <c r="K652" s="11"/>
      <c r="L652" s="9"/>
      <c r="M652" s="12"/>
      <c r="N652" s="6"/>
      <c r="O652" s="6"/>
      <c r="P652" s="6"/>
      <c r="Q652" s="4" t="s">
        <v>4242</v>
      </c>
    </row>
    <row r="653" spans="4:17">
      <c r="D653" s="6" t="s">
        <v>7551</v>
      </c>
      <c r="E653" s="4" t="s">
        <v>3499</v>
      </c>
      <c r="F653" s="6"/>
      <c r="G653" s="4"/>
      <c r="H653" s="6"/>
      <c r="I653" s="6"/>
      <c r="J653" s="4" t="str">
        <f t="shared" si="11"/>
        <v/>
      </c>
      <c r="K653" s="11"/>
      <c r="L653" s="9"/>
      <c r="M653" s="12"/>
      <c r="N653" s="6"/>
      <c r="O653" s="6"/>
      <c r="P653" s="6"/>
      <c r="Q653" s="4" t="s">
        <v>4243</v>
      </c>
    </row>
    <row r="654" spans="4:17">
      <c r="D654" s="6" t="s">
        <v>7552</v>
      </c>
      <c r="E654" s="4" t="s">
        <v>3499</v>
      </c>
      <c r="F654" s="6"/>
      <c r="G654" s="4"/>
      <c r="H654" s="6"/>
      <c r="I654" s="6"/>
      <c r="J654" s="4" t="str">
        <f t="shared" si="11"/>
        <v/>
      </c>
      <c r="K654" s="11"/>
      <c r="L654" s="9"/>
      <c r="M654" s="12"/>
      <c r="N654" s="6"/>
      <c r="O654" s="6"/>
      <c r="P654" s="6"/>
      <c r="Q654" s="4" t="s">
        <v>4244</v>
      </c>
    </row>
    <row r="655" spans="4:17">
      <c r="D655" s="6" t="s">
        <v>7553</v>
      </c>
      <c r="E655" s="4" t="s">
        <v>3499</v>
      </c>
      <c r="F655" s="6"/>
      <c r="G655" s="4"/>
      <c r="H655" s="6"/>
      <c r="I655" s="6"/>
      <c r="J655" s="4" t="str">
        <f t="shared" si="11"/>
        <v/>
      </c>
      <c r="K655" s="11"/>
      <c r="L655" s="9"/>
      <c r="M655" s="12"/>
      <c r="N655" s="6"/>
      <c r="O655" s="6"/>
      <c r="P655" s="6"/>
      <c r="Q655" s="4" t="s">
        <v>4245</v>
      </c>
    </row>
    <row r="656" spans="4:17">
      <c r="D656" s="6" t="s">
        <v>7554</v>
      </c>
      <c r="E656" s="4" t="s">
        <v>3506</v>
      </c>
      <c r="F656" s="6"/>
      <c r="G656" s="4"/>
      <c r="H656" s="6"/>
      <c r="I656" s="6"/>
      <c r="J656" s="4" t="str">
        <f t="shared" si="11"/>
        <v/>
      </c>
      <c r="K656" s="11"/>
      <c r="L656" s="9"/>
      <c r="M656" s="12"/>
      <c r="N656" s="6"/>
      <c r="O656" s="6"/>
      <c r="P656" s="6"/>
      <c r="Q656" s="4" t="s">
        <v>4246</v>
      </c>
    </row>
    <row r="657" spans="4:17">
      <c r="D657" s="6" t="s">
        <v>7555</v>
      </c>
      <c r="E657" s="4" t="s">
        <v>3506</v>
      </c>
      <c r="F657" s="6"/>
      <c r="G657" s="4"/>
      <c r="H657" s="6"/>
      <c r="I657" s="6"/>
      <c r="J657" s="4" t="str">
        <f t="shared" si="11"/>
        <v/>
      </c>
      <c r="K657" s="11"/>
      <c r="L657" s="9"/>
      <c r="M657" s="12"/>
      <c r="N657" s="6"/>
      <c r="O657" s="6"/>
      <c r="P657" s="6"/>
      <c r="Q657" s="4" t="s">
        <v>4247</v>
      </c>
    </row>
    <row r="658" spans="4:17">
      <c r="D658" s="6" t="s">
        <v>7556</v>
      </c>
      <c r="E658" s="4" t="s">
        <v>3506</v>
      </c>
      <c r="F658" s="6"/>
      <c r="G658" s="4"/>
      <c r="H658" s="6"/>
      <c r="I658" s="6"/>
      <c r="J658" s="4" t="str">
        <f t="shared" si="11"/>
        <v/>
      </c>
      <c r="K658" s="11"/>
      <c r="L658" s="9"/>
      <c r="M658" s="12"/>
      <c r="N658" s="6"/>
      <c r="O658" s="6"/>
      <c r="P658" s="6"/>
      <c r="Q658" s="4" t="s">
        <v>4248</v>
      </c>
    </row>
    <row r="659" spans="4:17">
      <c r="D659" s="6" t="s">
        <v>7557</v>
      </c>
      <c r="E659" s="4" t="s">
        <v>3506</v>
      </c>
      <c r="F659" s="6"/>
      <c r="G659" s="4"/>
      <c r="H659" s="6"/>
      <c r="I659" s="6"/>
      <c r="J659" s="4" t="str">
        <f t="shared" si="11"/>
        <v/>
      </c>
      <c r="K659" s="11"/>
      <c r="L659" s="9"/>
      <c r="M659" s="12"/>
      <c r="N659" s="6"/>
      <c r="O659" s="6"/>
      <c r="P659" s="6"/>
      <c r="Q659" s="4" t="s">
        <v>4249</v>
      </c>
    </row>
    <row r="660" spans="4:17">
      <c r="D660" s="6" t="s">
        <v>7558</v>
      </c>
      <c r="E660" s="4" t="s">
        <v>3506</v>
      </c>
      <c r="F660" s="6"/>
      <c r="G660" s="4"/>
      <c r="H660" s="6"/>
      <c r="I660" s="6"/>
      <c r="J660" s="4" t="str">
        <f t="shared" si="11"/>
        <v/>
      </c>
      <c r="K660" s="11"/>
      <c r="L660" s="9"/>
      <c r="M660" s="12"/>
      <c r="N660" s="6"/>
      <c r="O660" s="6"/>
      <c r="P660" s="6"/>
      <c r="Q660" s="4" t="s">
        <v>4250</v>
      </c>
    </row>
    <row r="661" spans="4:17">
      <c r="D661" s="6" t="s">
        <v>7559</v>
      </c>
      <c r="E661" s="4" t="s">
        <v>3506</v>
      </c>
      <c r="F661" s="6"/>
      <c r="G661" s="4"/>
      <c r="H661" s="6"/>
      <c r="I661" s="6"/>
      <c r="J661" s="4" t="str">
        <f t="shared" si="11"/>
        <v/>
      </c>
      <c r="K661" s="11"/>
      <c r="L661" s="9"/>
      <c r="M661" s="12"/>
      <c r="N661" s="6"/>
      <c r="O661" s="6"/>
      <c r="P661" s="6"/>
      <c r="Q661" s="4" t="s">
        <v>4251</v>
      </c>
    </row>
    <row r="662" spans="4:17">
      <c r="D662" s="6" t="s">
        <v>7560</v>
      </c>
      <c r="E662" s="4" t="s">
        <v>3506</v>
      </c>
      <c r="F662" s="6"/>
      <c r="G662" s="4"/>
      <c r="H662" s="6"/>
      <c r="I662" s="6"/>
      <c r="J662" s="4" t="str">
        <f t="shared" si="11"/>
        <v/>
      </c>
      <c r="K662" s="11"/>
      <c r="L662" s="9"/>
      <c r="M662" s="12"/>
      <c r="N662" s="6"/>
      <c r="O662" s="6"/>
      <c r="P662" s="6"/>
      <c r="Q662" s="4" t="s">
        <v>4252</v>
      </c>
    </row>
    <row r="663" spans="4:17">
      <c r="D663" s="6" t="s">
        <v>7561</v>
      </c>
      <c r="E663" s="4" t="s">
        <v>3506</v>
      </c>
      <c r="F663" s="6"/>
      <c r="G663" s="4"/>
      <c r="H663" s="6"/>
      <c r="I663" s="6"/>
      <c r="J663" s="4" t="str">
        <f t="shared" si="11"/>
        <v/>
      </c>
      <c r="K663" s="11"/>
      <c r="L663" s="9"/>
      <c r="M663" s="12"/>
      <c r="N663" s="6"/>
      <c r="O663" s="6"/>
      <c r="P663" s="6"/>
      <c r="Q663" s="4" t="s">
        <v>4253</v>
      </c>
    </row>
    <row r="664" spans="4:17">
      <c r="D664" s="6" t="s">
        <v>7562</v>
      </c>
      <c r="E664" s="4" t="s">
        <v>3506</v>
      </c>
      <c r="F664" s="6"/>
      <c r="G664" s="4"/>
      <c r="H664" s="6"/>
      <c r="I664" s="6"/>
      <c r="J664" s="4" t="str">
        <f t="shared" si="11"/>
        <v/>
      </c>
      <c r="K664" s="11"/>
      <c r="L664" s="9"/>
      <c r="M664" s="12"/>
      <c r="N664" s="6"/>
      <c r="O664" s="6"/>
      <c r="P664" s="6"/>
      <c r="Q664" s="4" t="s">
        <v>4254</v>
      </c>
    </row>
    <row r="665" spans="4:17">
      <c r="D665" s="6" t="s">
        <v>7563</v>
      </c>
      <c r="E665" s="4" t="s">
        <v>3506</v>
      </c>
      <c r="F665" s="6"/>
      <c r="G665" s="4"/>
      <c r="H665" s="6"/>
      <c r="I665" s="6"/>
      <c r="J665" s="4" t="str">
        <f t="shared" si="11"/>
        <v/>
      </c>
      <c r="K665" s="11"/>
      <c r="L665" s="9"/>
      <c r="M665" s="12"/>
      <c r="N665" s="6"/>
      <c r="O665" s="6"/>
      <c r="P665" s="6"/>
      <c r="Q665" s="4" t="s">
        <v>4255</v>
      </c>
    </row>
    <row r="666" spans="4:17">
      <c r="D666" s="6" t="s">
        <v>7564</v>
      </c>
      <c r="E666" s="4" t="s">
        <v>3506</v>
      </c>
      <c r="F666" s="6"/>
      <c r="G666" s="4"/>
      <c r="H666" s="6"/>
      <c r="I666" s="6"/>
      <c r="J666" s="4" t="str">
        <f t="shared" si="11"/>
        <v/>
      </c>
      <c r="K666" s="11"/>
      <c r="L666" s="9"/>
      <c r="M666" s="12"/>
      <c r="N666" s="6"/>
      <c r="O666" s="6"/>
      <c r="P666" s="6"/>
      <c r="Q666" s="4" t="s">
        <v>4256</v>
      </c>
    </row>
    <row r="667" spans="4:17">
      <c r="D667" s="6" t="s">
        <v>7565</v>
      </c>
      <c r="E667" s="4" t="s">
        <v>3506</v>
      </c>
      <c r="F667" s="6"/>
      <c r="G667" s="4"/>
      <c r="H667" s="6"/>
      <c r="I667" s="6"/>
      <c r="J667" s="4" t="str">
        <f t="shared" si="11"/>
        <v/>
      </c>
      <c r="K667" s="11"/>
      <c r="L667" s="9"/>
      <c r="M667" s="12"/>
      <c r="N667" s="6"/>
      <c r="O667" s="6"/>
      <c r="P667" s="6"/>
      <c r="Q667" s="4" t="s">
        <v>4257</v>
      </c>
    </row>
    <row r="668" spans="4:17">
      <c r="D668" s="6" t="s">
        <v>7566</v>
      </c>
      <c r="E668" s="4" t="s">
        <v>3506</v>
      </c>
      <c r="F668" s="6"/>
      <c r="G668" s="4"/>
      <c r="H668" s="6"/>
      <c r="I668" s="6"/>
      <c r="J668" s="4" t="str">
        <f t="shared" si="11"/>
        <v/>
      </c>
      <c r="K668" s="11"/>
      <c r="L668" s="9"/>
      <c r="M668" s="12"/>
      <c r="N668" s="6"/>
      <c r="O668" s="6"/>
      <c r="P668" s="6"/>
      <c r="Q668" s="4" t="s">
        <v>4258</v>
      </c>
    </row>
    <row r="669" spans="4:17">
      <c r="D669" s="6" t="s">
        <v>7567</v>
      </c>
      <c r="E669" s="4" t="s">
        <v>3506</v>
      </c>
      <c r="F669" s="6"/>
      <c r="G669" s="4"/>
      <c r="H669" s="6"/>
      <c r="I669" s="6"/>
      <c r="J669" s="4" t="str">
        <f t="shared" si="11"/>
        <v/>
      </c>
      <c r="K669" s="11"/>
      <c r="L669" s="9"/>
      <c r="M669" s="12"/>
      <c r="N669" s="6"/>
      <c r="O669" s="6"/>
      <c r="P669" s="6"/>
      <c r="Q669" s="4" t="s">
        <v>4259</v>
      </c>
    </row>
    <row r="670" spans="4:17">
      <c r="D670" s="6" t="s">
        <v>7568</v>
      </c>
      <c r="E670" s="4" t="s">
        <v>3506</v>
      </c>
      <c r="F670" s="6"/>
      <c r="G670" s="4"/>
      <c r="H670" s="6"/>
      <c r="I670" s="6"/>
      <c r="J670" s="4" t="str">
        <f t="shared" si="11"/>
        <v/>
      </c>
      <c r="K670" s="11"/>
      <c r="L670" s="9"/>
      <c r="M670" s="12"/>
      <c r="N670" s="6"/>
      <c r="O670" s="6"/>
      <c r="P670" s="6"/>
      <c r="Q670" s="4" t="s">
        <v>4260</v>
      </c>
    </row>
    <row r="671" spans="4:17">
      <c r="D671" s="6" t="s">
        <v>7569</v>
      </c>
      <c r="E671" s="4" t="s">
        <v>3506</v>
      </c>
      <c r="F671" s="6"/>
      <c r="G671" s="4"/>
      <c r="H671" s="6"/>
      <c r="I671" s="6"/>
      <c r="J671" s="4" t="str">
        <f t="shared" si="11"/>
        <v/>
      </c>
      <c r="K671" s="11"/>
      <c r="L671" s="9"/>
      <c r="M671" s="12"/>
      <c r="N671" s="6"/>
      <c r="O671" s="6"/>
      <c r="P671" s="6"/>
      <c r="Q671" s="4" t="s">
        <v>4261</v>
      </c>
    </row>
    <row r="672" spans="4:17">
      <c r="D672" s="6" t="s">
        <v>7570</v>
      </c>
      <c r="E672" s="4" t="s">
        <v>3506</v>
      </c>
      <c r="F672" s="6"/>
      <c r="G672" s="4"/>
      <c r="H672" s="6"/>
      <c r="I672" s="6"/>
      <c r="J672" s="4" t="str">
        <f t="shared" si="11"/>
        <v/>
      </c>
      <c r="K672" s="11"/>
      <c r="L672" s="9"/>
      <c r="M672" s="12"/>
      <c r="N672" s="6"/>
      <c r="O672" s="6"/>
      <c r="P672" s="6"/>
      <c r="Q672" s="4" t="s">
        <v>4262</v>
      </c>
    </row>
    <row r="673" spans="4:17">
      <c r="D673" s="6" t="s">
        <v>7571</v>
      </c>
      <c r="E673" s="4" t="s">
        <v>3506</v>
      </c>
      <c r="F673" s="6"/>
      <c r="G673" s="4"/>
      <c r="H673" s="6"/>
      <c r="I673" s="6"/>
      <c r="J673" s="4" t="str">
        <f t="shared" si="11"/>
        <v/>
      </c>
      <c r="K673" s="11"/>
      <c r="L673" s="9"/>
      <c r="M673" s="12"/>
      <c r="N673" s="6"/>
      <c r="O673" s="6"/>
      <c r="P673" s="6"/>
      <c r="Q673" s="4" t="s">
        <v>4263</v>
      </c>
    </row>
    <row r="674" spans="4:17">
      <c r="D674" s="6" t="s">
        <v>7572</v>
      </c>
      <c r="E674" s="4" t="s">
        <v>3506</v>
      </c>
      <c r="F674" s="6"/>
      <c r="G674" s="4"/>
      <c r="H674" s="6"/>
      <c r="I674" s="6"/>
      <c r="J674" s="4" t="str">
        <f t="shared" si="11"/>
        <v/>
      </c>
      <c r="K674" s="11"/>
      <c r="L674" s="9"/>
      <c r="M674" s="12"/>
      <c r="N674" s="6"/>
      <c r="O674" s="6"/>
      <c r="P674" s="6"/>
      <c r="Q674" s="4" t="s">
        <v>4264</v>
      </c>
    </row>
    <row r="675" spans="4:17">
      <c r="D675" s="6" t="s">
        <v>7573</v>
      </c>
      <c r="E675" s="4" t="s">
        <v>3506</v>
      </c>
      <c r="F675" s="6"/>
      <c r="G675" s="4"/>
      <c r="H675" s="6"/>
      <c r="I675" s="6"/>
      <c r="J675" s="4" t="str">
        <f t="shared" si="11"/>
        <v/>
      </c>
      <c r="K675" s="11"/>
      <c r="L675" s="9"/>
      <c r="M675" s="12"/>
      <c r="N675" s="6"/>
      <c r="O675" s="6"/>
      <c r="P675" s="6"/>
      <c r="Q675" s="4" t="s">
        <v>4265</v>
      </c>
    </row>
    <row r="676" spans="4:17">
      <c r="D676" s="6" t="s">
        <v>7574</v>
      </c>
      <c r="E676" s="4" t="s">
        <v>3513</v>
      </c>
      <c r="F676" s="6"/>
      <c r="G676" s="4"/>
      <c r="H676" s="6"/>
      <c r="I676" s="6"/>
      <c r="J676" s="4" t="str">
        <f t="shared" si="11"/>
        <v/>
      </c>
      <c r="K676" s="11"/>
      <c r="L676" s="9"/>
      <c r="M676" s="12"/>
      <c r="N676" s="6"/>
      <c r="O676" s="6"/>
      <c r="P676" s="6"/>
      <c r="Q676" s="4" t="s">
        <v>4266</v>
      </c>
    </row>
    <row r="677" spans="4:17">
      <c r="D677" s="6" t="s">
        <v>7575</v>
      </c>
      <c r="E677" s="4" t="s">
        <v>3513</v>
      </c>
      <c r="F677" s="6"/>
      <c r="G677" s="4"/>
      <c r="H677" s="6"/>
      <c r="I677" s="6"/>
      <c r="J677" s="4" t="str">
        <f t="shared" si="11"/>
        <v/>
      </c>
      <c r="K677" s="11"/>
      <c r="L677" s="9"/>
      <c r="M677" s="12"/>
      <c r="N677" s="6"/>
      <c r="O677" s="6"/>
      <c r="P677" s="6"/>
      <c r="Q677" s="4" t="s">
        <v>4267</v>
      </c>
    </row>
    <row r="678" spans="4:17">
      <c r="D678" s="6" t="s">
        <v>7576</v>
      </c>
      <c r="E678" s="4" t="s">
        <v>3513</v>
      </c>
      <c r="F678" s="6"/>
      <c r="G678" s="4"/>
      <c r="H678" s="6"/>
      <c r="I678" s="6"/>
      <c r="J678" s="4" t="str">
        <f t="shared" si="11"/>
        <v/>
      </c>
      <c r="K678" s="11"/>
      <c r="L678" s="9"/>
      <c r="M678" s="12"/>
      <c r="N678" s="6"/>
      <c r="O678" s="6"/>
      <c r="P678" s="6"/>
      <c r="Q678" s="4" t="s">
        <v>4268</v>
      </c>
    </row>
    <row r="679" spans="4:17">
      <c r="D679" s="6" t="s">
        <v>7577</v>
      </c>
      <c r="E679" s="4" t="s">
        <v>3513</v>
      </c>
      <c r="F679" s="6"/>
      <c r="G679" s="4"/>
      <c r="H679" s="6"/>
      <c r="I679" s="6"/>
      <c r="J679" s="4" t="str">
        <f t="shared" si="11"/>
        <v/>
      </c>
      <c r="K679" s="11"/>
      <c r="L679" s="9"/>
      <c r="M679" s="12"/>
      <c r="N679" s="6"/>
      <c r="O679" s="6"/>
      <c r="P679" s="6"/>
      <c r="Q679" s="4" t="s">
        <v>4269</v>
      </c>
    </row>
    <row r="680" spans="4:17">
      <c r="D680" s="6" t="s">
        <v>7578</v>
      </c>
      <c r="E680" s="4" t="s">
        <v>3513</v>
      </c>
      <c r="F680" s="6"/>
      <c r="G680" s="4"/>
      <c r="H680" s="6"/>
      <c r="I680" s="6"/>
      <c r="J680" s="4" t="str">
        <f t="shared" si="11"/>
        <v/>
      </c>
      <c r="K680" s="11"/>
      <c r="L680" s="9"/>
      <c r="M680" s="12"/>
      <c r="N680" s="6"/>
      <c r="O680" s="6"/>
      <c r="P680" s="6"/>
      <c r="Q680" s="4" t="s">
        <v>4270</v>
      </c>
    </row>
    <row r="681" spans="4:17">
      <c r="D681" s="6" t="s">
        <v>7579</v>
      </c>
      <c r="E681" s="4" t="s">
        <v>3513</v>
      </c>
      <c r="F681" s="6"/>
      <c r="G681" s="4"/>
      <c r="H681" s="6"/>
      <c r="I681" s="6"/>
      <c r="J681" s="4" t="str">
        <f t="shared" si="11"/>
        <v/>
      </c>
      <c r="K681" s="11"/>
      <c r="L681" s="9"/>
      <c r="M681" s="12"/>
      <c r="N681" s="6"/>
      <c r="O681" s="6"/>
      <c r="P681" s="6"/>
      <c r="Q681" s="4" t="s">
        <v>4271</v>
      </c>
    </row>
    <row r="682" spans="4:17">
      <c r="D682" s="6" t="s">
        <v>7580</v>
      </c>
      <c r="E682" s="4" t="s">
        <v>3513</v>
      </c>
      <c r="F682" s="6"/>
      <c r="G682" s="4"/>
      <c r="H682" s="6"/>
      <c r="I682" s="6"/>
      <c r="J682" s="4" t="str">
        <f t="shared" si="11"/>
        <v/>
      </c>
      <c r="K682" s="11"/>
      <c r="L682" s="9"/>
      <c r="M682" s="12"/>
      <c r="N682" s="6"/>
      <c r="O682" s="6"/>
      <c r="P682" s="6"/>
      <c r="Q682" s="4" t="s">
        <v>4272</v>
      </c>
    </row>
    <row r="683" spans="4:17">
      <c r="D683" s="6" t="s">
        <v>7581</v>
      </c>
      <c r="E683" s="4" t="s">
        <v>3513</v>
      </c>
      <c r="F683" s="6"/>
      <c r="G683" s="4"/>
      <c r="H683" s="6"/>
      <c r="I683" s="6"/>
      <c r="J683" s="4" t="str">
        <f t="shared" si="11"/>
        <v/>
      </c>
      <c r="K683" s="11"/>
      <c r="L683" s="9"/>
      <c r="M683" s="12"/>
      <c r="N683" s="6"/>
      <c r="O683" s="6"/>
      <c r="P683" s="6"/>
      <c r="Q683" s="4" t="s">
        <v>4273</v>
      </c>
    </row>
    <row r="684" spans="4:17">
      <c r="D684" s="6" t="s">
        <v>7582</v>
      </c>
      <c r="E684" s="4" t="s">
        <v>3513</v>
      </c>
      <c r="F684" s="6"/>
      <c r="G684" s="4"/>
      <c r="H684" s="6"/>
      <c r="I684" s="6"/>
      <c r="J684" s="4" t="str">
        <f t="shared" si="11"/>
        <v/>
      </c>
      <c r="K684" s="11"/>
      <c r="L684" s="9"/>
      <c r="M684" s="12"/>
      <c r="N684" s="6"/>
      <c r="O684" s="6"/>
      <c r="P684" s="6"/>
      <c r="Q684" s="4" t="s">
        <v>4274</v>
      </c>
    </row>
    <row r="685" spans="4:17">
      <c r="D685" s="6" t="s">
        <v>7583</v>
      </c>
      <c r="E685" s="4" t="s">
        <v>3513</v>
      </c>
      <c r="F685" s="6"/>
      <c r="G685" s="4"/>
      <c r="H685" s="6"/>
      <c r="I685" s="6"/>
      <c r="J685" s="4" t="str">
        <f t="shared" si="11"/>
        <v/>
      </c>
      <c r="K685" s="11"/>
      <c r="L685" s="9"/>
      <c r="M685" s="12"/>
      <c r="N685" s="6"/>
      <c r="O685" s="6"/>
      <c r="P685" s="6"/>
      <c r="Q685" s="4" t="s">
        <v>4275</v>
      </c>
    </row>
    <row r="686" spans="4:17">
      <c r="D686" s="6" t="s">
        <v>7584</v>
      </c>
      <c r="E686" s="4" t="s">
        <v>3513</v>
      </c>
      <c r="F686" s="6"/>
      <c r="G686" s="4"/>
      <c r="H686" s="6"/>
      <c r="I686" s="6"/>
      <c r="J686" s="4" t="str">
        <f t="shared" si="11"/>
        <v/>
      </c>
      <c r="K686" s="11"/>
      <c r="L686" s="9"/>
      <c r="M686" s="12"/>
      <c r="N686" s="6"/>
      <c r="O686" s="6"/>
      <c r="P686" s="6"/>
      <c r="Q686" s="4" t="s">
        <v>4276</v>
      </c>
    </row>
    <row r="687" spans="4:17">
      <c r="D687" s="6" t="s">
        <v>7585</v>
      </c>
      <c r="E687" s="4" t="s">
        <v>3513</v>
      </c>
      <c r="F687" s="6"/>
      <c r="G687" s="4"/>
      <c r="H687" s="6"/>
      <c r="I687" s="6"/>
      <c r="J687" s="4" t="str">
        <f t="shared" si="11"/>
        <v/>
      </c>
      <c r="K687" s="11"/>
      <c r="L687" s="9"/>
      <c r="M687" s="12"/>
      <c r="N687" s="6"/>
      <c r="O687" s="6"/>
      <c r="P687" s="6"/>
      <c r="Q687" s="4" t="s">
        <v>4277</v>
      </c>
    </row>
    <row r="688" spans="4:17">
      <c r="D688" s="6" t="s">
        <v>7586</v>
      </c>
      <c r="E688" s="4" t="s">
        <v>3513</v>
      </c>
      <c r="F688" s="6"/>
      <c r="G688" s="4"/>
      <c r="H688" s="6"/>
      <c r="I688" s="6"/>
      <c r="J688" s="4" t="str">
        <f t="shared" si="11"/>
        <v/>
      </c>
      <c r="K688" s="11"/>
      <c r="L688" s="9"/>
      <c r="M688" s="12"/>
      <c r="N688" s="6"/>
      <c r="O688" s="6"/>
      <c r="P688" s="6"/>
      <c r="Q688" s="4" t="s">
        <v>4278</v>
      </c>
    </row>
    <row r="689" spans="4:17">
      <c r="D689" s="6" t="s">
        <v>7587</v>
      </c>
      <c r="E689" s="4" t="s">
        <v>3513</v>
      </c>
      <c r="F689" s="6"/>
      <c r="G689" s="4"/>
      <c r="H689" s="6"/>
      <c r="I689" s="6"/>
      <c r="J689" s="4" t="str">
        <f t="shared" si="11"/>
        <v/>
      </c>
      <c r="K689" s="11"/>
      <c r="L689" s="9"/>
      <c r="M689" s="12"/>
      <c r="N689" s="6"/>
      <c r="O689" s="6"/>
      <c r="P689" s="6"/>
      <c r="Q689" s="4" t="s">
        <v>4279</v>
      </c>
    </row>
    <row r="690" spans="4:17">
      <c r="D690" s="6" t="s">
        <v>7588</v>
      </c>
      <c r="E690" s="4" t="s">
        <v>3513</v>
      </c>
      <c r="F690" s="6"/>
      <c r="G690" s="4"/>
      <c r="H690" s="6"/>
      <c r="I690" s="6"/>
      <c r="J690" s="4" t="str">
        <f t="shared" si="11"/>
        <v/>
      </c>
      <c r="K690" s="11"/>
      <c r="L690" s="9"/>
      <c r="M690" s="12"/>
      <c r="N690" s="6"/>
      <c r="O690" s="6"/>
      <c r="P690" s="6"/>
      <c r="Q690" s="4" t="s">
        <v>4280</v>
      </c>
    </row>
    <row r="691" spans="4:17">
      <c r="D691" s="6" t="s">
        <v>7589</v>
      </c>
      <c r="E691" s="4" t="s">
        <v>3513</v>
      </c>
      <c r="F691" s="6"/>
      <c r="G691" s="4"/>
      <c r="H691" s="6"/>
      <c r="I691" s="6"/>
      <c r="J691" s="4" t="str">
        <f t="shared" si="11"/>
        <v/>
      </c>
      <c r="K691" s="11"/>
      <c r="L691" s="9"/>
      <c r="M691" s="12"/>
      <c r="N691" s="6"/>
      <c r="O691" s="6"/>
      <c r="P691" s="6"/>
      <c r="Q691" s="4" t="s">
        <v>4281</v>
      </c>
    </row>
    <row r="692" spans="4:17">
      <c r="D692" s="6" t="s">
        <v>7590</v>
      </c>
      <c r="E692" s="4" t="s">
        <v>3513</v>
      </c>
      <c r="F692" s="6"/>
      <c r="G692" s="4"/>
      <c r="H692" s="6"/>
      <c r="I692" s="6"/>
      <c r="J692" s="4" t="str">
        <f t="shared" si="11"/>
        <v/>
      </c>
      <c r="K692" s="11"/>
      <c r="L692" s="9"/>
      <c r="M692" s="12"/>
      <c r="N692" s="6"/>
      <c r="O692" s="6"/>
      <c r="P692" s="6"/>
      <c r="Q692" s="4" t="s">
        <v>4282</v>
      </c>
    </row>
    <row r="693" spans="4:17">
      <c r="D693" s="6" t="s">
        <v>7591</v>
      </c>
      <c r="E693" s="4" t="s">
        <v>3513</v>
      </c>
      <c r="F693" s="6"/>
      <c r="G693" s="4"/>
      <c r="H693" s="6"/>
      <c r="I693" s="6"/>
      <c r="J693" s="4" t="str">
        <f t="shared" si="11"/>
        <v/>
      </c>
      <c r="K693" s="11"/>
      <c r="L693" s="9"/>
      <c r="M693" s="12"/>
      <c r="N693" s="6"/>
      <c r="O693" s="6"/>
      <c r="P693" s="6"/>
      <c r="Q693" s="4" t="s">
        <v>4283</v>
      </c>
    </row>
    <row r="694" spans="4:17">
      <c r="D694" s="6" t="s">
        <v>7592</v>
      </c>
      <c r="E694" s="4" t="s">
        <v>3513</v>
      </c>
      <c r="F694" s="6"/>
      <c r="G694" s="4"/>
      <c r="H694" s="6"/>
      <c r="I694" s="6"/>
      <c r="J694" s="4" t="str">
        <f t="shared" si="11"/>
        <v/>
      </c>
      <c r="K694" s="11"/>
      <c r="L694" s="9"/>
      <c r="M694" s="12"/>
      <c r="N694" s="6"/>
      <c r="O694" s="6"/>
      <c r="P694" s="6"/>
      <c r="Q694" s="4" t="s">
        <v>4284</v>
      </c>
    </row>
    <row r="695" spans="4:17">
      <c r="D695" s="6" t="s">
        <v>7593</v>
      </c>
      <c r="E695" s="4" t="s">
        <v>3513</v>
      </c>
      <c r="F695" s="6"/>
      <c r="G695" s="4"/>
      <c r="H695" s="6"/>
      <c r="I695" s="6"/>
      <c r="J695" s="4" t="str">
        <f t="shared" si="11"/>
        <v/>
      </c>
      <c r="K695" s="11"/>
      <c r="L695" s="9"/>
      <c r="M695" s="12"/>
      <c r="N695" s="6"/>
      <c r="O695" s="6"/>
      <c r="P695" s="6"/>
      <c r="Q695" s="4" t="s">
        <v>4285</v>
      </c>
    </row>
    <row r="696" spans="4:17">
      <c r="D696" s="6" t="s">
        <v>7594</v>
      </c>
      <c r="E696" s="4" t="s">
        <v>3520</v>
      </c>
      <c r="F696" s="6"/>
      <c r="G696" s="4"/>
      <c r="H696" s="6"/>
      <c r="I696" s="6"/>
      <c r="J696" s="4" t="str">
        <f t="shared" si="11"/>
        <v/>
      </c>
      <c r="K696" s="11"/>
      <c r="L696" s="9"/>
      <c r="M696" s="12"/>
      <c r="N696" s="6"/>
      <c r="O696" s="6"/>
      <c r="P696" s="6"/>
      <c r="Q696" s="4" t="s">
        <v>4286</v>
      </c>
    </row>
    <row r="697" spans="4:17">
      <c r="D697" s="6" t="s">
        <v>7595</v>
      </c>
      <c r="E697" s="4" t="s">
        <v>3520</v>
      </c>
      <c r="F697" s="6"/>
      <c r="G697" s="4"/>
      <c r="H697" s="6"/>
      <c r="I697" s="6"/>
      <c r="J697" s="4" t="str">
        <f t="shared" si="11"/>
        <v/>
      </c>
      <c r="K697" s="11"/>
      <c r="L697" s="9"/>
      <c r="M697" s="12"/>
      <c r="N697" s="6"/>
      <c r="O697" s="6"/>
      <c r="P697" s="6"/>
      <c r="Q697" s="4" t="s">
        <v>4287</v>
      </c>
    </row>
    <row r="698" spans="4:17">
      <c r="D698" s="6" t="s">
        <v>7596</v>
      </c>
      <c r="E698" s="4" t="s">
        <v>3520</v>
      </c>
      <c r="F698" s="6"/>
      <c r="G698" s="4"/>
      <c r="H698" s="6"/>
      <c r="I698" s="6"/>
      <c r="J698" s="4" t="str">
        <f t="shared" si="11"/>
        <v/>
      </c>
      <c r="K698" s="11"/>
      <c r="L698" s="9"/>
      <c r="M698" s="12"/>
      <c r="N698" s="6"/>
      <c r="O698" s="6"/>
      <c r="P698" s="6"/>
      <c r="Q698" s="4" t="s">
        <v>4288</v>
      </c>
    </row>
    <row r="699" spans="4:17">
      <c r="D699" s="6" t="s">
        <v>7597</v>
      </c>
      <c r="E699" s="4" t="s">
        <v>3520</v>
      </c>
      <c r="F699" s="6"/>
      <c r="G699" s="4"/>
      <c r="H699" s="6"/>
      <c r="I699" s="6"/>
      <c r="J699" s="4" t="str">
        <f t="shared" si="11"/>
        <v/>
      </c>
      <c r="K699" s="11"/>
      <c r="L699" s="9"/>
      <c r="M699" s="12"/>
      <c r="N699" s="6"/>
      <c r="O699" s="6"/>
      <c r="P699" s="6"/>
      <c r="Q699" s="4" t="s">
        <v>4289</v>
      </c>
    </row>
    <row r="700" spans="4:17">
      <c r="D700" s="6" t="s">
        <v>7598</v>
      </c>
      <c r="E700" s="4" t="s">
        <v>3520</v>
      </c>
      <c r="F700" s="6"/>
      <c r="G700" s="4"/>
      <c r="H700" s="6"/>
      <c r="I700" s="6"/>
      <c r="J700" s="4" t="str">
        <f t="shared" ref="J700:J763" si="12">F700&amp;H700&amp;I700</f>
        <v/>
      </c>
      <c r="K700" s="11"/>
      <c r="L700" s="9"/>
      <c r="M700" s="12"/>
      <c r="N700" s="6"/>
      <c r="O700" s="6"/>
      <c r="P700" s="6"/>
      <c r="Q700" s="4" t="s">
        <v>4290</v>
      </c>
    </row>
    <row r="701" spans="4:17">
      <c r="D701" s="6" t="s">
        <v>7599</v>
      </c>
      <c r="E701" s="4" t="s">
        <v>3520</v>
      </c>
      <c r="F701" s="6"/>
      <c r="G701" s="4"/>
      <c r="H701" s="6"/>
      <c r="I701" s="6"/>
      <c r="J701" s="4" t="str">
        <f t="shared" si="12"/>
        <v/>
      </c>
      <c r="K701" s="11"/>
      <c r="L701" s="9"/>
      <c r="M701" s="12"/>
      <c r="N701" s="6"/>
      <c r="O701" s="6"/>
      <c r="P701" s="6"/>
      <c r="Q701" s="4" t="s">
        <v>4291</v>
      </c>
    </row>
    <row r="702" spans="4:17">
      <c r="D702" s="6" t="s">
        <v>7600</v>
      </c>
      <c r="E702" s="4" t="s">
        <v>3520</v>
      </c>
      <c r="F702" s="6"/>
      <c r="G702" s="4"/>
      <c r="H702" s="6"/>
      <c r="I702" s="6"/>
      <c r="J702" s="4" t="str">
        <f t="shared" si="12"/>
        <v/>
      </c>
      <c r="K702" s="11"/>
      <c r="L702" s="9"/>
      <c r="M702" s="12"/>
      <c r="N702" s="6"/>
      <c r="O702" s="6"/>
      <c r="P702" s="6"/>
      <c r="Q702" s="4" t="s">
        <v>4292</v>
      </c>
    </row>
    <row r="703" spans="4:17">
      <c r="D703" s="6" t="s">
        <v>7601</v>
      </c>
      <c r="E703" s="4" t="s">
        <v>3520</v>
      </c>
      <c r="F703" s="6"/>
      <c r="G703" s="4"/>
      <c r="H703" s="6"/>
      <c r="I703" s="6"/>
      <c r="J703" s="4" t="str">
        <f t="shared" si="12"/>
        <v/>
      </c>
      <c r="K703" s="11"/>
      <c r="L703" s="9"/>
      <c r="M703" s="12"/>
      <c r="N703" s="6"/>
      <c r="O703" s="6"/>
      <c r="P703" s="6"/>
      <c r="Q703" s="4" t="s">
        <v>4293</v>
      </c>
    </row>
    <row r="704" spans="4:17">
      <c r="D704" s="6" t="s">
        <v>7602</v>
      </c>
      <c r="E704" s="4" t="s">
        <v>3520</v>
      </c>
      <c r="F704" s="6"/>
      <c r="G704" s="4"/>
      <c r="H704" s="6"/>
      <c r="I704" s="6"/>
      <c r="J704" s="4" t="str">
        <f t="shared" si="12"/>
        <v/>
      </c>
      <c r="K704" s="11"/>
      <c r="L704" s="9"/>
      <c r="M704" s="12"/>
      <c r="N704" s="6"/>
      <c r="O704" s="6"/>
      <c r="P704" s="6"/>
      <c r="Q704" s="4" t="s">
        <v>4294</v>
      </c>
    </row>
    <row r="705" spans="4:17">
      <c r="D705" s="6" t="s">
        <v>7603</v>
      </c>
      <c r="E705" s="4" t="s">
        <v>3520</v>
      </c>
      <c r="F705" s="6"/>
      <c r="G705" s="4"/>
      <c r="H705" s="6"/>
      <c r="I705" s="6"/>
      <c r="J705" s="4" t="str">
        <f t="shared" si="12"/>
        <v/>
      </c>
      <c r="K705" s="11"/>
      <c r="L705" s="9"/>
      <c r="M705" s="12"/>
      <c r="N705" s="6"/>
      <c r="O705" s="6"/>
      <c r="P705" s="6"/>
      <c r="Q705" s="4" t="s">
        <v>4295</v>
      </c>
    </row>
    <row r="706" spans="4:17">
      <c r="D706" s="6" t="s">
        <v>7604</v>
      </c>
      <c r="E706" s="4" t="s">
        <v>3520</v>
      </c>
      <c r="F706" s="6"/>
      <c r="G706" s="4"/>
      <c r="H706" s="6"/>
      <c r="I706" s="6"/>
      <c r="J706" s="4" t="str">
        <f t="shared" si="12"/>
        <v/>
      </c>
      <c r="K706" s="11"/>
      <c r="L706" s="9"/>
      <c r="M706" s="12"/>
      <c r="N706" s="6"/>
      <c r="O706" s="6"/>
      <c r="P706" s="6"/>
      <c r="Q706" s="4" t="s">
        <v>4296</v>
      </c>
    </row>
    <row r="707" spans="4:17">
      <c r="D707" s="6" t="s">
        <v>7605</v>
      </c>
      <c r="E707" s="4" t="s">
        <v>3520</v>
      </c>
      <c r="F707" s="6"/>
      <c r="G707" s="4"/>
      <c r="H707" s="6"/>
      <c r="I707" s="6"/>
      <c r="J707" s="4" t="str">
        <f t="shared" si="12"/>
        <v/>
      </c>
      <c r="K707" s="11"/>
      <c r="L707" s="9"/>
      <c r="M707" s="12"/>
      <c r="N707" s="6"/>
      <c r="O707" s="6"/>
      <c r="P707" s="6"/>
      <c r="Q707" s="4" t="s">
        <v>4297</v>
      </c>
    </row>
    <row r="708" spans="4:17">
      <c r="D708" s="6" t="s">
        <v>7606</v>
      </c>
      <c r="E708" s="4" t="s">
        <v>3520</v>
      </c>
      <c r="F708" s="6"/>
      <c r="G708" s="4"/>
      <c r="H708" s="6"/>
      <c r="I708" s="6"/>
      <c r="J708" s="4" t="str">
        <f t="shared" si="12"/>
        <v/>
      </c>
      <c r="K708" s="11"/>
      <c r="L708" s="9"/>
      <c r="M708" s="12"/>
      <c r="N708" s="6"/>
      <c r="O708" s="6"/>
      <c r="P708" s="6"/>
      <c r="Q708" s="4" t="s">
        <v>4298</v>
      </c>
    </row>
    <row r="709" spans="4:17">
      <c r="D709" s="6" t="s">
        <v>7607</v>
      </c>
      <c r="E709" s="4" t="s">
        <v>3520</v>
      </c>
      <c r="F709" s="6"/>
      <c r="G709" s="4"/>
      <c r="H709" s="6"/>
      <c r="I709" s="6"/>
      <c r="J709" s="4" t="str">
        <f t="shared" si="12"/>
        <v/>
      </c>
      <c r="K709" s="11"/>
      <c r="L709" s="9"/>
      <c r="M709" s="12"/>
      <c r="N709" s="6"/>
      <c r="O709" s="6"/>
      <c r="P709" s="6"/>
      <c r="Q709" s="4" t="s">
        <v>4299</v>
      </c>
    </row>
    <row r="710" spans="4:17">
      <c r="D710" s="6" t="s">
        <v>7608</v>
      </c>
      <c r="E710" s="4" t="s">
        <v>3520</v>
      </c>
      <c r="F710" s="6"/>
      <c r="G710" s="4"/>
      <c r="H710" s="6"/>
      <c r="I710" s="6"/>
      <c r="J710" s="4" t="str">
        <f t="shared" si="12"/>
        <v/>
      </c>
      <c r="K710" s="11"/>
      <c r="L710" s="9"/>
      <c r="M710" s="12"/>
      <c r="N710" s="6"/>
      <c r="O710" s="6"/>
      <c r="P710" s="6"/>
      <c r="Q710" s="4" t="s">
        <v>4300</v>
      </c>
    </row>
    <row r="711" spans="4:17">
      <c r="D711" s="6" t="s">
        <v>7609</v>
      </c>
      <c r="E711" s="4" t="s">
        <v>3520</v>
      </c>
      <c r="F711" s="6"/>
      <c r="G711" s="4"/>
      <c r="H711" s="6"/>
      <c r="I711" s="6"/>
      <c r="J711" s="4" t="str">
        <f t="shared" si="12"/>
        <v/>
      </c>
      <c r="K711" s="11"/>
      <c r="L711" s="9"/>
      <c r="M711" s="12"/>
      <c r="N711" s="6"/>
      <c r="O711" s="6"/>
      <c r="P711" s="6"/>
      <c r="Q711" s="4" t="s">
        <v>4301</v>
      </c>
    </row>
    <row r="712" spans="4:17">
      <c r="D712" s="6" t="s">
        <v>7610</v>
      </c>
      <c r="E712" s="4" t="s">
        <v>3520</v>
      </c>
      <c r="F712" s="6"/>
      <c r="G712" s="4"/>
      <c r="H712" s="6"/>
      <c r="I712" s="6"/>
      <c r="J712" s="4" t="str">
        <f t="shared" si="12"/>
        <v/>
      </c>
      <c r="K712" s="11"/>
      <c r="L712" s="9"/>
      <c r="M712" s="12"/>
      <c r="N712" s="6"/>
      <c r="O712" s="6"/>
      <c r="P712" s="6"/>
      <c r="Q712" s="4" t="s">
        <v>4302</v>
      </c>
    </row>
    <row r="713" spans="4:17">
      <c r="D713" s="6" t="s">
        <v>7611</v>
      </c>
      <c r="E713" s="4" t="s">
        <v>3520</v>
      </c>
      <c r="F713" s="6"/>
      <c r="G713" s="4"/>
      <c r="H713" s="6"/>
      <c r="I713" s="6"/>
      <c r="J713" s="4" t="str">
        <f t="shared" si="12"/>
        <v/>
      </c>
      <c r="K713" s="11"/>
      <c r="L713" s="9"/>
      <c r="M713" s="12"/>
      <c r="N713" s="6"/>
      <c r="O713" s="6"/>
      <c r="P713" s="6"/>
      <c r="Q713" s="4" t="s">
        <v>4303</v>
      </c>
    </row>
    <row r="714" spans="4:17">
      <c r="D714" s="6" t="s">
        <v>7612</v>
      </c>
      <c r="E714" s="4" t="s">
        <v>3520</v>
      </c>
      <c r="F714" s="6"/>
      <c r="G714" s="4"/>
      <c r="H714" s="6"/>
      <c r="I714" s="6"/>
      <c r="J714" s="4" t="str">
        <f t="shared" si="12"/>
        <v/>
      </c>
      <c r="K714" s="11"/>
      <c r="L714" s="9"/>
      <c r="M714" s="12"/>
      <c r="N714" s="6"/>
      <c r="O714" s="6"/>
      <c r="P714" s="6"/>
      <c r="Q714" s="4" t="s">
        <v>4304</v>
      </c>
    </row>
    <row r="715" spans="4:17">
      <c r="D715" s="6" t="s">
        <v>7613</v>
      </c>
      <c r="E715" s="4" t="s">
        <v>3520</v>
      </c>
      <c r="F715" s="6"/>
      <c r="G715" s="4"/>
      <c r="H715" s="6"/>
      <c r="I715" s="6"/>
      <c r="J715" s="4" t="str">
        <f t="shared" si="12"/>
        <v/>
      </c>
      <c r="K715" s="11"/>
      <c r="L715" s="9"/>
      <c r="M715" s="12"/>
      <c r="N715" s="6"/>
      <c r="O715" s="6"/>
      <c r="P715" s="6"/>
      <c r="Q715" s="4" t="s">
        <v>4305</v>
      </c>
    </row>
    <row r="716" spans="4:17">
      <c r="D716" s="6" t="s">
        <v>7614</v>
      </c>
      <c r="E716" s="4" t="s">
        <v>3527</v>
      </c>
      <c r="F716" s="6"/>
      <c r="G716" s="4"/>
      <c r="H716" s="6"/>
      <c r="I716" s="6"/>
      <c r="J716" s="4" t="str">
        <f t="shared" si="12"/>
        <v/>
      </c>
      <c r="K716" s="11"/>
      <c r="L716" s="9"/>
      <c r="M716" s="12"/>
      <c r="N716" s="6"/>
      <c r="O716" s="6"/>
      <c r="P716" s="6"/>
      <c r="Q716" s="4" t="s">
        <v>4306</v>
      </c>
    </row>
    <row r="717" spans="4:17">
      <c r="D717" s="6" t="s">
        <v>7615</v>
      </c>
      <c r="E717" s="4" t="s">
        <v>3527</v>
      </c>
      <c r="F717" s="6"/>
      <c r="G717" s="4"/>
      <c r="H717" s="6"/>
      <c r="I717" s="6"/>
      <c r="J717" s="4" t="str">
        <f t="shared" si="12"/>
        <v/>
      </c>
      <c r="K717" s="11"/>
      <c r="L717" s="9"/>
      <c r="M717" s="12"/>
      <c r="N717" s="6"/>
      <c r="O717" s="6"/>
      <c r="P717" s="6"/>
      <c r="Q717" s="4" t="s">
        <v>4307</v>
      </c>
    </row>
    <row r="718" spans="4:17">
      <c r="D718" s="6" t="s">
        <v>7616</v>
      </c>
      <c r="E718" s="4" t="s">
        <v>3527</v>
      </c>
      <c r="F718" s="6"/>
      <c r="G718" s="4"/>
      <c r="H718" s="6"/>
      <c r="I718" s="6"/>
      <c r="J718" s="4" t="str">
        <f t="shared" si="12"/>
        <v/>
      </c>
      <c r="K718" s="11"/>
      <c r="L718" s="9"/>
      <c r="M718" s="12"/>
      <c r="N718" s="6"/>
      <c r="O718" s="6"/>
      <c r="P718" s="6"/>
      <c r="Q718" s="4" t="s">
        <v>4308</v>
      </c>
    </row>
    <row r="719" spans="4:17">
      <c r="D719" s="6" t="s">
        <v>7617</v>
      </c>
      <c r="E719" s="4" t="s">
        <v>3527</v>
      </c>
      <c r="F719" s="6"/>
      <c r="G719" s="4"/>
      <c r="H719" s="6"/>
      <c r="I719" s="6"/>
      <c r="J719" s="4" t="str">
        <f t="shared" si="12"/>
        <v/>
      </c>
      <c r="K719" s="11"/>
      <c r="L719" s="9"/>
      <c r="M719" s="12"/>
      <c r="N719" s="6"/>
      <c r="O719" s="6"/>
      <c r="P719" s="6"/>
      <c r="Q719" s="4" t="s">
        <v>4309</v>
      </c>
    </row>
    <row r="720" spans="4:17">
      <c r="D720" s="6" t="s">
        <v>7618</v>
      </c>
      <c r="E720" s="4" t="s">
        <v>3527</v>
      </c>
      <c r="F720" s="6"/>
      <c r="G720" s="4"/>
      <c r="H720" s="6"/>
      <c r="I720" s="6"/>
      <c r="J720" s="4" t="str">
        <f t="shared" si="12"/>
        <v/>
      </c>
      <c r="K720" s="11"/>
      <c r="L720" s="9"/>
      <c r="M720" s="12"/>
      <c r="N720" s="6"/>
      <c r="O720" s="6"/>
      <c r="P720" s="6"/>
      <c r="Q720" s="4" t="s">
        <v>4310</v>
      </c>
    </row>
    <row r="721" spans="4:17">
      <c r="D721" s="6" t="s">
        <v>7619</v>
      </c>
      <c r="E721" s="4" t="s">
        <v>3527</v>
      </c>
      <c r="F721" s="6"/>
      <c r="G721" s="4"/>
      <c r="H721" s="6"/>
      <c r="I721" s="6"/>
      <c r="J721" s="4" t="str">
        <f t="shared" si="12"/>
        <v/>
      </c>
      <c r="K721" s="11"/>
      <c r="L721" s="9"/>
      <c r="M721" s="12"/>
      <c r="N721" s="6"/>
      <c r="O721" s="6"/>
      <c r="P721" s="6"/>
      <c r="Q721" s="4" t="s">
        <v>4311</v>
      </c>
    </row>
    <row r="722" spans="4:17">
      <c r="D722" s="6" t="s">
        <v>7620</v>
      </c>
      <c r="E722" s="4" t="s">
        <v>3527</v>
      </c>
      <c r="F722" s="6"/>
      <c r="G722" s="4"/>
      <c r="H722" s="6"/>
      <c r="I722" s="6"/>
      <c r="J722" s="4" t="str">
        <f t="shared" si="12"/>
        <v/>
      </c>
      <c r="K722" s="11"/>
      <c r="L722" s="9"/>
      <c r="M722" s="12"/>
      <c r="N722" s="6"/>
      <c r="O722" s="6"/>
      <c r="P722" s="6"/>
      <c r="Q722" s="4" t="s">
        <v>4312</v>
      </c>
    </row>
    <row r="723" spans="4:17">
      <c r="D723" s="6" t="s">
        <v>7621</v>
      </c>
      <c r="E723" s="4" t="s">
        <v>3527</v>
      </c>
      <c r="F723" s="6"/>
      <c r="G723" s="4"/>
      <c r="H723" s="6"/>
      <c r="I723" s="6"/>
      <c r="J723" s="4" t="str">
        <f t="shared" si="12"/>
        <v/>
      </c>
      <c r="K723" s="11"/>
      <c r="L723" s="9"/>
      <c r="M723" s="12"/>
      <c r="N723" s="6"/>
      <c r="O723" s="6"/>
      <c r="P723" s="6"/>
      <c r="Q723" s="4" t="s">
        <v>4313</v>
      </c>
    </row>
    <row r="724" spans="4:17">
      <c r="D724" s="6" t="s">
        <v>7622</v>
      </c>
      <c r="E724" s="4" t="s">
        <v>3527</v>
      </c>
      <c r="F724" s="6"/>
      <c r="G724" s="4"/>
      <c r="H724" s="6"/>
      <c r="I724" s="6"/>
      <c r="J724" s="4" t="str">
        <f t="shared" si="12"/>
        <v/>
      </c>
      <c r="K724" s="11"/>
      <c r="L724" s="9"/>
      <c r="M724" s="12"/>
      <c r="N724" s="6"/>
      <c r="O724" s="6"/>
      <c r="P724" s="6"/>
      <c r="Q724" s="4" t="s">
        <v>4314</v>
      </c>
    </row>
    <row r="725" spans="4:17">
      <c r="D725" s="6" t="s">
        <v>7623</v>
      </c>
      <c r="E725" s="4" t="s">
        <v>3527</v>
      </c>
      <c r="F725" s="6"/>
      <c r="G725" s="4"/>
      <c r="H725" s="6"/>
      <c r="I725" s="6"/>
      <c r="J725" s="4" t="str">
        <f t="shared" si="12"/>
        <v/>
      </c>
      <c r="K725" s="11"/>
      <c r="L725" s="9"/>
      <c r="M725" s="12"/>
      <c r="N725" s="6"/>
      <c r="O725" s="6"/>
      <c r="P725" s="6"/>
      <c r="Q725" s="4" t="s">
        <v>4315</v>
      </c>
    </row>
    <row r="726" spans="4:17">
      <c r="D726" s="6" t="s">
        <v>7624</v>
      </c>
      <c r="E726" s="4" t="s">
        <v>3527</v>
      </c>
      <c r="F726" s="6"/>
      <c r="G726" s="4"/>
      <c r="H726" s="6"/>
      <c r="I726" s="6"/>
      <c r="J726" s="4" t="str">
        <f t="shared" si="12"/>
        <v/>
      </c>
      <c r="K726" s="11"/>
      <c r="L726" s="9"/>
      <c r="M726" s="12"/>
      <c r="N726" s="6"/>
      <c r="O726" s="6"/>
      <c r="P726" s="6"/>
      <c r="Q726" s="4" t="s">
        <v>4316</v>
      </c>
    </row>
    <row r="727" spans="4:17">
      <c r="D727" s="6" t="s">
        <v>7625</v>
      </c>
      <c r="E727" s="4" t="s">
        <v>3527</v>
      </c>
      <c r="F727" s="6"/>
      <c r="G727" s="4"/>
      <c r="H727" s="6"/>
      <c r="I727" s="6"/>
      <c r="J727" s="4" t="str">
        <f t="shared" si="12"/>
        <v/>
      </c>
      <c r="K727" s="11"/>
      <c r="L727" s="9"/>
      <c r="M727" s="12"/>
      <c r="N727" s="6"/>
      <c r="O727" s="6"/>
      <c r="P727" s="6"/>
      <c r="Q727" s="4" t="s">
        <v>4317</v>
      </c>
    </row>
    <row r="728" spans="4:17">
      <c r="D728" s="6" t="s">
        <v>7626</v>
      </c>
      <c r="E728" s="4" t="s">
        <v>3527</v>
      </c>
      <c r="F728" s="6"/>
      <c r="G728" s="4"/>
      <c r="H728" s="6"/>
      <c r="I728" s="6"/>
      <c r="J728" s="4" t="str">
        <f t="shared" si="12"/>
        <v/>
      </c>
      <c r="K728" s="11"/>
      <c r="L728" s="9"/>
      <c r="M728" s="12"/>
      <c r="N728" s="6"/>
      <c r="O728" s="6"/>
      <c r="P728" s="6"/>
      <c r="Q728" s="4" t="s">
        <v>4318</v>
      </c>
    </row>
    <row r="729" spans="4:17">
      <c r="D729" s="6" t="s">
        <v>7627</v>
      </c>
      <c r="E729" s="4" t="s">
        <v>3527</v>
      </c>
      <c r="F729" s="6"/>
      <c r="G729" s="4"/>
      <c r="H729" s="6"/>
      <c r="I729" s="6"/>
      <c r="J729" s="4" t="str">
        <f t="shared" si="12"/>
        <v/>
      </c>
      <c r="K729" s="11"/>
      <c r="L729" s="9"/>
      <c r="M729" s="12"/>
      <c r="N729" s="6"/>
      <c r="O729" s="6"/>
      <c r="P729" s="6"/>
      <c r="Q729" s="4" t="s">
        <v>4319</v>
      </c>
    </row>
    <row r="730" spans="4:17">
      <c r="D730" s="6" t="s">
        <v>7628</v>
      </c>
      <c r="E730" s="4" t="s">
        <v>3527</v>
      </c>
      <c r="F730" s="6"/>
      <c r="G730" s="4"/>
      <c r="H730" s="6"/>
      <c r="I730" s="6"/>
      <c r="J730" s="4" t="str">
        <f t="shared" si="12"/>
        <v/>
      </c>
      <c r="K730" s="11"/>
      <c r="L730" s="9"/>
      <c r="M730" s="12"/>
      <c r="N730" s="6"/>
      <c r="O730" s="6"/>
      <c r="P730" s="6"/>
      <c r="Q730" s="4" t="s">
        <v>4320</v>
      </c>
    </row>
    <row r="731" spans="4:17">
      <c r="D731" s="6" t="s">
        <v>7629</v>
      </c>
      <c r="E731" s="4" t="s">
        <v>3527</v>
      </c>
      <c r="F731" s="6"/>
      <c r="G731" s="4"/>
      <c r="H731" s="6"/>
      <c r="I731" s="6"/>
      <c r="J731" s="4" t="str">
        <f t="shared" si="12"/>
        <v/>
      </c>
      <c r="K731" s="11"/>
      <c r="L731" s="9"/>
      <c r="M731" s="12"/>
      <c r="N731" s="6"/>
      <c r="O731" s="6"/>
      <c r="P731" s="6"/>
      <c r="Q731" s="4" t="s">
        <v>4321</v>
      </c>
    </row>
    <row r="732" spans="4:17">
      <c r="D732" s="6" t="s">
        <v>7630</v>
      </c>
      <c r="E732" s="4" t="s">
        <v>3527</v>
      </c>
      <c r="F732" s="6"/>
      <c r="G732" s="4"/>
      <c r="H732" s="6"/>
      <c r="I732" s="6"/>
      <c r="J732" s="4" t="str">
        <f t="shared" si="12"/>
        <v/>
      </c>
      <c r="K732" s="11"/>
      <c r="L732" s="9"/>
      <c r="M732" s="12"/>
      <c r="N732" s="6"/>
      <c r="O732" s="6"/>
      <c r="P732" s="6"/>
      <c r="Q732" s="4" t="s">
        <v>4322</v>
      </c>
    </row>
    <row r="733" spans="4:17">
      <c r="D733" s="6" t="s">
        <v>7631</v>
      </c>
      <c r="E733" s="4" t="s">
        <v>3527</v>
      </c>
      <c r="F733" s="6"/>
      <c r="G733" s="4"/>
      <c r="H733" s="6"/>
      <c r="I733" s="6"/>
      <c r="J733" s="4" t="str">
        <f t="shared" si="12"/>
        <v/>
      </c>
      <c r="K733" s="11"/>
      <c r="L733" s="9"/>
      <c r="M733" s="12"/>
      <c r="N733" s="6"/>
      <c r="O733" s="6"/>
      <c r="P733" s="6"/>
      <c r="Q733" s="4" t="s">
        <v>4323</v>
      </c>
    </row>
    <row r="734" spans="4:17">
      <c r="D734" s="6" t="s">
        <v>7632</v>
      </c>
      <c r="E734" s="4" t="s">
        <v>3527</v>
      </c>
      <c r="F734" s="6"/>
      <c r="G734" s="4"/>
      <c r="H734" s="6"/>
      <c r="I734" s="6"/>
      <c r="J734" s="4" t="str">
        <f t="shared" si="12"/>
        <v/>
      </c>
      <c r="K734" s="11"/>
      <c r="L734" s="9"/>
      <c r="M734" s="12"/>
      <c r="N734" s="6"/>
      <c r="O734" s="6"/>
      <c r="P734" s="6"/>
      <c r="Q734" s="4" t="s">
        <v>4324</v>
      </c>
    </row>
    <row r="735" spans="4:17">
      <c r="D735" s="6" t="s">
        <v>7633</v>
      </c>
      <c r="E735" s="4" t="s">
        <v>3527</v>
      </c>
      <c r="F735" s="6"/>
      <c r="G735" s="4"/>
      <c r="H735" s="6"/>
      <c r="I735" s="6"/>
      <c r="J735" s="4" t="str">
        <f t="shared" si="12"/>
        <v/>
      </c>
      <c r="K735" s="11"/>
      <c r="L735" s="9"/>
      <c r="M735" s="12"/>
      <c r="N735" s="6"/>
      <c r="O735" s="6"/>
      <c r="P735" s="6"/>
      <c r="Q735" s="4" t="s">
        <v>4325</v>
      </c>
    </row>
    <row r="736" spans="4:17">
      <c r="D736" s="6" t="s">
        <v>7634</v>
      </c>
      <c r="E736" s="4" t="s">
        <v>3534</v>
      </c>
      <c r="F736" s="6"/>
      <c r="G736" s="4"/>
      <c r="H736" s="6"/>
      <c r="I736" s="6"/>
      <c r="J736" s="4" t="str">
        <f t="shared" si="12"/>
        <v/>
      </c>
      <c r="K736" s="11"/>
      <c r="L736" s="9"/>
      <c r="M736" s="12"/>
      <c r="N736" s="6"/>
      <c r="O736" s="6"/>
      <c r="P736" s="6"/>
      <c r="Q736" s="4" t="s">
        <v>4326</v>
      </c>
    </row>
    <row r="737" spans="4:17">
      <c r="D737" s="6" t="s">
        <v>7635</v>
      </c>
      <c r="E737" s="4" t="s">
        <v>3534</v>
      </c>
      <c r="F737" s="6"/>
      <c r="G737" s="4"/>
      <c r="H737" s="6"/>
      <c r="I737" s="6"/>
      <c r="J737" s="4" t="str">
        <f t="shared" si="12"/>
        <v/>
      </c>
      <c r="K737" s="11"/>
      <c r="L737" s="9"/>
      <c r="M737" s="12"/>
      <c r="N737" s="6"/>
      <c r="O737" s="6"/>
      <c r="P737" s="6"/>
      <c r="Q737" s="4" t="s">
        <v>4327</v>
      </c>
    </row>
    <row r="738" spans="4:17">
      <c r="D738" s="6" t="s">
        <v>7636</v>
      </c>
      <c r="E738" s="4" t="s">
        <v>3534</v>
      </c>
      <c r="F738" s="6"/>
      <c r="G738" s="4"/>
      <c r="H738" s="6"/>
      <c r="I738" s="6"/>
      <c r="J738" s="4" t="str">
        <f t="shared" si="12"/>
        <v/>
      </c>
      <c r="K738" s="11"/>
      <c r="L738" s="9"/>
      <c r="M738" s="12"/>
      <c r="N738" s="6"/>
      <c r="O738" s="6"/>
      <c r="P738" s="6"/>
      <c r="Q738" s="4" t="s">
        <v>4328</v>
      </c>
    </row>
    <row r="739" spans="4:17">
      <c r="D739" s="6" t="s">
        <v>7637</v>
      </c>
      <c r="E739" s="4" t="s">
        <v>3534</v>
      </c>
      <c r="F739" s="6"/>
      <c r="G739" s="4"/>
      <c r="H739" s="6"/>
      <c r="I739" s="6"/>
      <c r="J739" s="4" t="str">
        <f t="shared" si="12"/>
        <v/>
      </c>
      <c r="K739" s="11"/>
      <c r="L739" s="9"/>
      <c r="M739" s="12"/>
      <c r="N739" s="6"/>
      <c r="O739" s="6"/>
      <c r="P739" s="6"/>
      <c r="Q739" s="4" t="s">
        <v>4329</v>
      </c>
    </row>
    <row r="740" spans="4:17">
      <c r="D740" s="6" t="s">
        <v>7638</v>
      </c>
      <c r="E740" s="4" t="s">
        <v>3534</v>
      </c>
      <c r="F740" s="6"/>
      <c r="G740" s="4"/>
      <c r="H740" s="6"/>
      <c r="I740" s="6"/>
      <c r="J740" s="4" t="str">
        <f t="shared" si="12"/>
        <v/>
      </c>
      <c r="K740" s="11"/>
      <c r="L740" s="9"/>
      <c r="M740" s="12"/>
      <c r="N740" s="6"/>
      <c r="O740" s="6"/>
      <c r="P740" s="6"/>
      <c r="Q740" s="4" t="s">
        <v>4330</v>
      </c>
    </row>
    <row r="741" spans="4:17">
      <c r="D741" s="6" t="s">
        <v>7639</v>
      </c>
      <c r="E741" s="4" t="s">
        <v>3534</v>
      </c>
      <c r="F741" s="6"/>
      <c r="G741" s="4"/>
      <c r="H741" s="6"/>
      <c r="I741" s="6"/>
      <c r="J741" s="4" t="str">
        <f t="shared" si="12"/>
        <v/>
      </c>
      <c r="K741" s="11"/>
      <c r="L741" s="9"/>
      <c r="M741" s="12"/>
      <c r="N741" s="6"/>
      <c r="O741" s="6"/>
      <c r="P741" s="6"/>
      <c r="Q741" s="4" t="s">
        <v>4331</v>
      </c>
    </row>
    <row r="742" spans="4:17">
      <c r="D742" s="6" t="s">
        <v>7640</v>
      </c>
      <c r="E742" s="4" t="s">
        <v>3534</v>
      </c>
      <c r="F742" s="6"/>
      <c r="G742" s="4"/>
      <c r="H742" s="6"/>
      <c r="I742" s="6"/>
      <c r="J742" s="4" t="str">
        <f t="shared" si="12"/>
        <v/>
      </c>
      <c r="K742" s="11"/>
      <c r="L742" s="9"/>
      <c r="M742" s="12"/>
      <c r="N742" s="6"/>
      <c r="O742" s="6"/>
      <c r="P742" s="6"/>
      <c r="Q742" s="4" t="s">
        <v>4332</v>
      </c>
    </row>
    <row r="743" spans="4:17">
      <c r="D743" s="6" t="s">
        <v>7641</v>
      </c>
      <c r="E743" s="4" t="s">
        <v>3534</v>
      </c>
      <c r="F743" s="6"/>
      <c r="G743" s="4"/>
      <c r="H743" s="6"/>
      <c r="I743" s="6"/>
      <c r="J743" s="4" t="str">
        <f t="shared" si="12"/>
        <v/>
      </c>
      <c r="K743" s="11"/>
      <c r="L743" s="9"/>
      <c r="M743" s="12"/>
      <c r="N743" s="6"/>
      <c r="O743" s="6"/>
      <c r="P743" s="6"/>
      <c r="Q743" s="4" t="s">
        <v>4333</v>
      </c>
    </row>
    <row r="744" spans="4:17">
      <c r="D744" s="6" t="s">
        <v>7642</v>
      </c>
      <c r="E744" s="4" t="s">
        <v>3534</v>
      </c>
      <c r="F744" s="6"/>
      <c r="G744" s="4"/>
      <c r="H744" s="6"/>
      <c r="I744" s="6"/>
      <c r="J744" s="4" t="str">
        <f t="shared" si="12"/>
        <v/>
      </c>
      <c r="K744" s="11"/>
      <c r="L744" s="9"/>
      <c r="M744" s="12"/>
      <c r="N744" s="6"/>
      <c r="O744" s="6"/>
      <c r="P744" s="6"/>
      <c r="Q744" s="4" t="s">
        <v>4334</v>
      </c>
    </row>
    <row r="745" spans="4:17">
      <c r="D745" s="6" t="s">
        <v>7643</v>
      </c>
      <c r="E745" s="4" t="s">
        <v>3534</v>
      </c>
      <c r="F745" s="6"/>
      <c r="G745" s="4"/>
      <c r="H745" s="6"/>
      <c r="I745" s="6"/>
      <c r="J745" s="4" t="str">
        <f t="shared" si="12"/>
        <v/>
      </c>
      <c r="K745" s="11"/>
      <c r="L745" s="9"/>
      <c r="M745" s="12"/>
      <c r="N745" s="6"/>
      <c r="O745" s="6"/>
      <c r="P745" s="6"/>
      <c r="Q745" s="4" t="s">
        <v>4335</v>
      </c>
    </row>
    <row r="746" spans="4:17">
      <c r="D746" s="6" t="s">
        <v>7644</v>
      </c>
      <c r="E746" s="4" t="s">
        <v>3534</v>
      </c>
      <c r="F746" s="6"/>
      <c r="G746" s="4"/>
      <c r="H746" s="6"/>
      <c r="I746" s="6"/>
      <c r="J746" s="4" t="str">
        <f t="shared" si="12"/>
        <v/>
      </c>
      <c r="K746" s="11"/>
      <c r="L746" s="9"/>
      <c r="M746" s="12"/>
      <c r="N746" s="6"/>
      <c r="O746" s="6"/>
      <c r="P746" s="6"/>
      <c r="Q746" s="4" t="s">
        <v>4336</v>
      </c>
    </row>
    <row r="747" spans="4:17">
      <c r="D747" s="6" t="s">
        <v>7645</v>
      </c>
      <c r="E747" s="4" t="s">
        <v>3534</v>
      </c>
      <c r="F747" s="6"/>
      <c r="G747" s="4"/>
      <c r="H747" s="6"/>
      <c r="I747" s="6"/>
      <c r="J747" s="4" t="str">
        <f t="shared" si="12"/>
        <v/>
      </c>
      <c r="K747" s="11"/>
      <c r="L747" s="9"/>
      <c r="M747" s="12"/>
      <c r="N747" s="6"/>
      <c r="O747" s="6"/>
      <c r="P747" s="6"/>
      <c r="Q747" s="4" t="s">
        <v>4337</v>
      </c>
    </row>
    <row r="748" spans="4:17">
      <c r="D748" s="6" t="s">
        <v>7646</v>
      </c>
      <c r="E748" s="4" t="s">
        <v>3534</v>
      </c>
      <c r="F748" s="6"/>
      <c r="G748" s="4"/>
      <c r="H748" s="6"/>
      <c r="I748" s="6"/>
      <c r="J748" s="4" t="str">
        <f t="shared" si="12"/>
        <v/>
      </c>
      <c r="K748" s="11"/>
      <c r="L748" s="9"/>
      <c r="M748" s="12"/>
      <c r="N748" s="6"/>
      <c r="O748" s="6"/>
      <c r="P748" s="6"/>
      <c r="Q748" s="4" t="s">
        <v>4338</v>
      </c>
    </row>
    <row r="749" spans="4:17">
      <c r="D749" s="6" t="s">
        <v>7647</v>
      </c>
      <c r="E749" s="4" t="s">
        <v>3534</v>
      </c>
      <c r="F749" s="6"/>
      <c r="G749" s="4"/>
      <c r="H749" s="6"/>
      <c r="I749" s="6"/>
      <c r="J749" s="4" t="str">
        <f t="shared" si="12"/>
        <v/>
      </c>
      <c r="K749" s="11"/>
      <c r="L749" s="9"/>
      <c r="M749" s="12"/>
      <c r="N749" s="6"/>
      <c r="O749" s="6"/>
      <c r="P749" s="6"/>
      <c r="Q749" s="4" t="s">
        <v>4339</v>
      </c>
    </row>
    <row r="750" spans="4:17">
      <c r="D750" s="6" t="s">
        <v>7648</v>
      </c>
      <c r="E750" s="4" t="s">
        <v>3534</v>
      </c>
      <c r="F750" s="6"/>
      <c r="G750" s="4"/>
      <c r="H750" s="6"/>
      <c r="I750" s="6"/>
      <c r="J750" s="4" t="str">
        <f t="shared" si="12"/>
        <v/>
      </c>
      <c r="K750" s="11"/>
      <c r="L750" s="9"/>
      <c r="M750" s="12"/>
      <c r="N750" s="6"/>
      <c r="O750" s="6"/>
      <c r="P750" s="6"/>
      <c r="Q750" s="4" t="s">
        <v>4340</v>
      </c>
    </row>
    <row r="751" spans="4:17">
      <c r="D751" s="6" t="s">
        <v>7649</v>
      </c>
      <c r="E751" s="4" t="s">
        <v>3534</v>
      </c>
      <c r="F751" s="6"/>
      <c r="G751" s="4"/>
      <c r="H751" s="6"/>
      <c r="I751" s="6"/>
      <c r="J751" s="4" t="str">
        <f t="shared" si="12"/>
        <v/>
      </c>
      <c r="K751" s="11"/>
      <c r="L751" s="9"/>
      <c r="M751" s="12"/>
      <c r="N751" s="6"/>
      <c r="O751" s="6"/>
      <c r="P751" s="6"/>
      <c r="Q751" s="4" t="s">
        <v>4341</v>
      </c>
    </row>
    <row r="752" spans="4:17">
      <c r="D752" s="6" t="s">
        <v>7650</v>
      </c>
      <c r="E752" s="4" t="s">
        <v>3534</v>
      </c>
      <c r="F752" s="6"/>
      <c r="G752" s="4"/>
      <c r="H752" s="6"/>
      <c r="I752" s="6"/>
      <c r="J752" s="4" t="str">
        <f t="shared" si="12"/>
        <v/>
      </c>
      <c r="K752" s="11"/>
      <c r="L752" s="9"/>
      <c r="M752" s="12"/>
      <c r="N752" s="6"/>
      <c r="O752" s="6"/>
      <c r="P752" s="6"/>
      <c r="Q752" s="4" t="s">
        <v>4342</v>
      </c>
    </row>
    <row r="753" spans="4:17">
      <c r="D753" s="6" t="s">
        <v>7651</v>
      </c>
      <c r="E753" s="4" t="s">
        <v>3534</v>
      </c>
      <c r="F753" s="6"/>
      <c r="G753" s="4"/>
      <c r="H753" s="6"/>
      <c r="I753" s="6"/>
      <c r="J753" s="4" t="str">
        <f t="shared" si="12"/>
        <v/>
      </c>
      <c r="K753" s="11"/>
      <c r="L753" s="9"/>
      <c r="M753" s="12"/>
      <c r="N753" s="6"/>
      <c r="O753" s="6"/>
      <c r="P753" s="6"/>
      <c r="Q753" s="4" t="s">
        <v>4343</v>
      </c>
    </row>
    <row r="754" spans="4:17">
      <c r="D754" s="6" t="s">
        <v>7652</v>
      </c>
      <c r="E754" s="4" t="s">
        <v>3534</v>
      </c>
      <c r="F754" s="6"/>
      <c r="G754" s="4"/>
      <c r="H754" s="6"/>
      <c r="I754" s="6"/>
      <c r="J754" s="4" t="str">
        <f t="shared" si="12"/>
        <v/>
      </c>
      <c r="K754" s="11"/>
      <c r="L754" s="9"/>
      <c r="M754" s="12"/>
      <c r="N754" s="6"/>
      <c r="O754" s="6"/>
      <c r="P754" s="6"/>
      <c r="Q754" s="4" t="s">
        <v>4344</v>
      </c>
    </row>
    <row r="755" spans="4:17">
      <c r="D755" s="6" t="s">
        <v>7653</v>
      </c>
      <c r="E755" s="4" t="s">
        <v>3534</v>
      </c>
      <c r="F755" s="6"/>
      <c r="G755" s="4"/>
      <c r="H755" s="6"/>
      <c r="I755" s="6"/>
      <c r="J755" s="4" t="str">
        <f t="shared" si="12"/>
        <v/>
      </c>
      <c r="K755" s="11"/>
      <c r="L755" s="9"/>
      <c r="M755" s="12"/>
      <c r="N755" s="6"/>
      <c r="O755" s="6"/>
      <c r="P755" s="6"/>
      <c r="Q755" s="4" t="s">
        <v>4345</v>
      </c>
    </row>
    <row r="756" spans="4:17">
      <c r="D756" s="6" t="s">
        <v>7654</v>
      </c>
      <c r="E756" s="4" t="s">
        <v>3541</v>
      </c>
      <c r="F756" s="6"/>
      <c r="G756" s="4"/>
      <c r="H756" s="6"/>
      <c r="I756" s="6"/>
      <c r="J756" s="4" t="str">
        <f t="shared" si="12"/>
        <v/>
      </c>
      <c r="K756" s="11"/>
      <c r="L756" s="9"/>
      <c r="M756" s="12"/>
      <c r="N756" s="6"/>
      <c r="O756" s="6"/>
      <c r="P756" s="6"/>
      <c r="Q756" s="4" t="s">
        <v>4346</v>
      </c>
    </row>
    <row r="757" spans="4:17">
      <c r="D757" s="6" t="s">
        <v>7655</v>
      </c>
      <c r="E757" s="4" t="s">
        <v>3541</v>
      </c>
      <c r="F757" s="6"/>
      <c r="G757" s="4"/>
      <c r="H757" s="6"/>
      <c r="I757" s="6"/>
      <c r="J757" s="4" t="str">
        <f t="shared" si="12"/>
        <v/>
      </c>
      <c r="K757" s="11"/>
      <c r="L757" s="9"/>
      <c r="M757" s="12"/>
      <c r="N757" s="6"/>
      <c r="O757" s="6"/>
      <c r="P757" s="6"/>
      <c r="Q757" s="4" t="s">
        <v>4347</v>
      </c>
    </row>
    <row r="758" spans="4:17">
      <c r="D758" s="6" t="s">
        <v>7656</v>
      </c>
      <c r="E758" s="4" t="s">
        <v>3541</v>
      </c>
      <c r="F758" s="6"/>
      <c r="G758" s="4"/>
      <c r="H758" s="6"/>
      <c r="I758" s="6"/>
      <c r="J758" s="4" t="str">
        <f t="shared" si="12"/>
        <v/>
      </c>
      <c r="K758" s="11"/>
      <c r="L758" s="9"/>
      <c r="M758" s="12"/>
      <c r="N758" s="6"/>
      <c r="O758" s="6"/>
      <c r="P758" s="6"/>
      <c r="Q758" s="4" t="s">
        <v>4348</v>
      </c>
    </row>
    <row r="759" spans="4:17">
      <c r="D759" s="6" t="s">
        <v>7657</v>
      </c>
      <c r="E759" s="4" t="s">
        <v>3541</v>
      </c>
      <c r="F759" s="6"/>
      <c r="G759" s="4"/>
      <c r="H759" s="6"/>
      <c r="I759" s="6"/>
      <c r="J759" s="4" t="str">
        <f t="shared" si="12"/>
        <v/>
      </c>
      <c r="K759" s="11"/>
      <c r="L759" s="9"/>
      <c r="M759" s="12"/>
      <c r="N759" s="6"/>
      <c r="O759" s="6"/>
      <c r="P759" s="6"/>
      <c r="Q759" s="4" t="s">
        <v>4349</v>
      </c>
    </row>
    <row r="760" spans="4:17">
      <c r="D760" s="6" t="s">
        <v>7658</v>
      </c>
      <c r="E760" s="4" t="s">
        <v>3541</v>
      </c>
      <c r="F760" s="6"/>
      <c r="G760" s="4"/>
      <c r="H760" s="6"/>
      <c r="I760" s="6"/>
      <c r="J760" s="4" t="str">
        <f t="shared" si="12"/>
        <v/>
      </c>
      <c r="K760" s="11"/>
      <c r="L760" s="9"/>
      <c r="M760" s="12"/>
      <c r="N760" s="6"/>
      <c r="O760" s="6"/>
      <c r="P760" s="6"/>
      <c r="Q760" s="4" t="s">
        <v>4350</v>
      </c>
    </row>
    <row r="761" spans="4:17">
      <c r="D761" s="6" t="s">
        <v>7659</v>
      </c>
      <c r="E761" s="4" t="s">
        <v>3541</v>
      </c>
      <c r="F761" s="6"/>
      <c r="G761" s="4"/>
      <c r="H761" s="6"/>
      <c r="I761" s="6"/>
      <c r="J761" s="4" t="str">
        <f t="shared" si="12"/>
        <v/>
      </c>
      <c r="K761" s="11"/>
      <c r="L761" s="9"/>
      <c r="M761" s="12"/>
      <c r="N761" s="6"/>
      <c r="O761" s="6"/>
      <c r="P761" s="6"/>
      <c r="Q761" s="4" t="s">
        <v>4351</v>
      </c>
    </row>
    <row r="762" spans="4:17">
      <c r="D762" s="6" t="s">
        <v>7660</v>
      </c>
      <c r="E762" s="4" t="s">
        <v>3541</v>
      </c>
      <c r="F762" s="6"/>
      <c r="G762" s="4"/>
      <c r="H762" s="6"/>
      <c r="I762" s="6"/>
      <c r="J762" s="4" t="str">
        <f t="shared" si="12"/>
        <v/>
      </c>
      <c r="K762" s="11"/>
      <c r="L762" s="9"/>
      <c r="M762" s="12"/>
      <c r="N762" s="6"/>
      <c r="O762" s="6"/>
      <c r="P762" s="6"/>
      <c r="Q762" s="4" t="s">
        <v>4352</v>
      </c>
    </row>
    <row r="763" spans="4:17">
      <c r="D763" s="6" t="s">
        <v>7661</v>
      </c>
      <c r="E763" s="4" t="s">
        <v>3541</v>
      </c>
      <c r="F763" s="6"/>
      <c r="G763" s="4"/>
      <c r="H763" s="6"/>
      <c r="I763" s="6"/>
      <c r="J763" s="4" t="str">
        <f t="shared" si="12"/>
        <v/>
      </c>
      <c r="K763" s="11"/>
      <c r="L763" s="9"/>
      <c r="M763" s="12"/>
      <c r="N763" s="6"/>
      <c r="O763" s="6"/>
      <c r="P763" s="6"/>
      <c r="Q763" s="4" t="s">
        <v>4353</v>
      </c>
    </row>
    <row r="764" spans="4:17">
      <c r="D764" s="6" t="s">
        <v>7662</v>
      </c>
      <c r="E764" s="4" t="s">
        <v>3541</v>
      </c>
      <c r="F764" s="6"/>
      <c r="G764" s="4"/>
      <c r="H764" s="6"/>
      <c r="I764" s="6"/>
      <c r="J764" s="4" t="str">
        <f t="shared" ref="J764:J827" si="13">F764&amp;H764&amp;I764</f>
        <v/>
      </c>
      <c r="K764" s="11"/>
      <c r="L764" s="9"/>
      <c r="M764" s="12"/>
      <c r="N764" s="6"/>
      <c r="O764" s="6"/>
      <c r="P764" s="6"/>
      <c r="Q764" s="4" t="s">
        <v>4354</v>
      </c>
    </row>
    <row r="765" spans="4:17">
      <c r="D765" s="6" t="s">
        <v>7663</v>
      </c>
      <c r="E765" s="4" t="s">
        <v>3541</v>
      </c>
      <c r="F765" s="6"/>
      <c r="G765" s="4"/>
      <c r="H765" s="6"/>
      <c r="I765" s="6"/>
      <c r="J765" s="4" t="str">
        <f t="shared" si="13"/>
        <v/>
      </c>
      <c r="K765" s="11"/>
      <c r="L765" s="9"/>
      <c r="M765" s="12"/>
      <c r="N765" s="6"/>
      <c r="O765" s="6"/>
      <c r="P765" s="6"/>
      <c r="Q765" s="4" t="s">
        <v>4355</v>
      </c>
    </row>
    <row r="766" spans="4:17">
      <c r="D766" s="6" t="s">
        <v>7664</v>
      </c>
      <c r="E766" s="4" t="s">
        <v>3541</v>
      </c>
      <c r="F766" s="6"/>
      <c r="G766" s="4"/>
      <c r="H766" s="6"/>
      <c r="I766" s="6"/>
      <c r="J766" s="4" t="str">
        <f t="shared" si="13"/>
        <v/>
      </c>
      <c r="K766" s="11"/>
      <c r="L766" s="9"/>
      <c r="M766" s="12"/>
      <c r="N766" s="6"/>
      <c r="O766" s="6"/>
      <c r="P766" s="6"/>
      <c r="Q766" s="4" t="s">
        <v>4356</v>
      </c>
    </row>
    <row r="767" spans="4:17">
      <c r="D767" s="6" t="s">
        <v>7665</v>
      </c>
      <c r="E767" s="4" t="s">
        <v>3541</v>
      </c>
      <c r="F767" s="6"/>
      <c r="G767" s="4"/>
      <c r="H767" s="6"/>
      <c r="I767" s="6"/>
      <c r="J767" s="4" t="str">
        <f t="shared" si="13"/>
        <v/>
      </c>
      <c r="K767" s="11"/>
      <c r="L767" s="9"/>
      <c r="M767" s="12"/>
      <c r="N767" s="6"/>
      <c r="O767" s="6"/>
      <c r="P767" s="6"/>
      <c r="Q767" s="4" t="s">
        <v>4357</v>
      </c>
    </row>
    <row r="768" spans="4:17">
      <c r="D768" s="6" t="s">
        <v>7666</v>
      </c>
      <c r="E768" s="4" t="s">
        <v>3541</v>
      </c>
      <c r="F768" s="6"/>
      <c r="G768" s="4"/>
      <c r="H768" s="6"/>
      <c r="I768" s="6"/>
      <c r="J768" s="4" t="str">
        <f t="shared" si="13"/>
        <v/>
      </c>
      <c r="K768" s="11"/>
      <c r="L768" s="9"/>
      <c r="M768" s="12"/>
      <c r="N768" s="6"/>
      <c r="O768" s="6"/>
      <c r="P768" s="6"/>
      <c r="Q768" s="4" t="s">
        <v>4358</v>
      </c>
    </row>
    <row r="769" spans="4:17">
      <c r="D769" s="6" t="s">
        <v>7667</v>
      </c>
      <c r="E769" s="4" t="s">
        <v>3541</v>
      </c>
      <c r="F769" s="6"/>
      <c r="G769" s="4"/>
      <c r="H769" s="6"/>
      <c r="I769" s="6"/>
      <c r="J769" s="4" t="str">
        <f t="shared" si="13"/>
        <v/>
      </c>
      <c r="K769" s="11"/>
      <c r="L769" s="9"/>
      <c r="M769" s="12"/>
      <c r="N769" s="6"/>
      <c r="O769" s="6"/>
      <c r="P769" s="6"/>
      <c r="Q769" s="4" t="s">
        <v>4359</v>
      </c>
    </row>
    <row r="770" spans="4:17">
      <c r="D770" s="6" t="s">
        <v>7668</v>
      </c>
      <c r="E770" s="4" t="s">
        <v>3541</v>
      </c>
      <c r="F770" s="6"/>
      <c r="G770" s="4"/>
      <c r="H770" s="6"/>
      <c r="I770" s="6"/>
      <c r="J770" s="4" t="str">
        <f t="shared" si="13"/>
        <v/>
      </c>
      <c r="K770" s="11"/>
      <c r="L770" s="9"/>
      <c r="M770" s="12"/>
      <c r="N770" s="6"/>
      <c r="O770" s="6"/>
      <c r="P770" s="6"/>
      <c r="Q770" s="4" t="s">
        <v>4360</v>
      </c>
    </row>
    <row r="771" spans="4:17">
      <c r="D771" s="6" t="s">
        <v>7669</v>
      </c>
      <c r="E771" s="4" t="s">
        <v>3541</v>
      </c>
      <c r="F771" s="6"/>
      <c r="G771" s="4"/>
      <c r="H771" s="6"/>
      <c r="I771" s="6"/>
      <c r="J771" s="4" t="str">
        <f t="shared" si="13"/>
        <v/>
      </c>
      <c r="K771" s="11"/>
      <c r="L771" s="9"/>
      <c r="M771" s="12"/>
      <c r="N771" s="6"/>
      <c r="O771" s="6"/>
      <c r="P771" s="6"/>
      <c r="Q771" s="4" t="s">
        <v>4361</v>
      </c>
    </row>
    <row r="772" spans="4:17">
      <c r="D772" s="6" t="s">
        <v>7670</v>
      </c>
      <c r="E772" s="4" t="s">
        <v>3541</v>
      </c>
      <c r="F772" s="6"/>
      <c r="G772" s="4"/>
      <c r="H772" s="6"/>
      <c r="I772" s="6"/>
      <c r="J772" s="4" t="str">
        <f t="shared" si="13"/>
        <v/>
      </c>
      <c r="K772" s="11"/>
      <c r="L772" s="9"/>
      <c r="M772" s="12"/>
      <c r="N772" s="6"/>
      <c r="O772" s="6"/>
      <c r="P772" s="6"/>
      <c r="Q772" s="4" t="s">
        <v>4362</v>
      </c>
    </row>
    <row r="773" spans="4:17">
      <c r="D773" s="6" t="s">
        <v>7671</v>
      </c>
      <c r="E773" s="4" t="s">
        <v>3541</v>
      </c>
      <c r="F773" s="6"/>
      <c r="G773" s="4"/>
      <c r="H773" s="6"/>
      <c r="I773" s="6"/>
      <c r="J773" s="4" t="str">
        <f t="shared" si="13"/>
        <v/>
      </c>
      <c r="K773" s="11"/>
      <c r="L773" s="9"/>
      <c r="M773" s="12"/>
      <c r="N773" s="6"/>
      <c r="O773" s="6"/>
      <c r="P773" s="6"/>
      <c r="Q773" s="4" t="s">
        <v>4363</v>
      </c>
    </row>
    <row r="774" spans="4:17">
      <c r="D774" s="6" t="s">
        <v>7672</v>
      </c>
      <c r="E774" s="4" t="s">
        <v>3541</v>
      </c>
      <c r="F774" s="6"/>
      <c r="G774" s="4"/>
      <c r="H774" s="6"/>
      <c r="I774" s="6"/>
      <c r="J774" s="4" t="str">
        <f t="shared" si="13"/>
        <v/>
      </c>
      <c r="K774" s="11"/>
      <c r="L774" s="9"/>
      <c r="M774" s="12"/>
      <c r="N774" s="6"/>
      <c r="O774" s="6"/>
      <c r="P774" s="6"/>
      <c r="Q774" s="4" t="s">
        <v>4364</v>
      </c>
    </row>
    <row r="775" spans="4:17">
      <c r="D775" s="6" t="s">
        <v>7673</v>
      </c>
      <c r="E775" s="4" t="s">
        <v>3541</v>
      </c>
      <c r="F775" s="6"/>
      <c r="G775" s="4"/>
      <c r="H775" s="6"/>
      <c r="I775" s="6"/>
      <c r="J775" s="4" t="str">
        <f t="shared" si="13"/>
        <v/>
      </c>
      <c r="K775" s="11"/>
      <c r="L775" s="9"/>
      <c r="M775" s="12"/>
      <c r="N775" s="6"/>
      <c r="O775" s="6"/>
      <c r="P775" s="6"/>
      <c r="Q775" s="4" t="s">
        <v>4365</v>
      </c>
    </row>
    <row r="776" spans="4:17">
      <c r="D776" s="6" t="s">
        <v>7674</v>
      </c>
      <c r="E776" s="4" t="s">
        <v>3548</v>
      </c>
      <c r="F776" s="6"/>
      <c r="G776" s="4"/>
      <c r="H776" s="6"/>
      <c r="I776" s="6"/>
      <c r="J776" s="4" t="str">
        <f t="shared" si="13"/>
        <v/>
      </c>
      <c r="K776" s="11"/>
      <c r="L776" s="9"/>
      <c r="M776" s="12"/>
      <c r="N776" s="6"/>
      <c r="O776" s="6"/>
      <c r="P776" s="6"/>
      <c r="Q776" s="4" t="s">
        <v>4366</v>
      </c>
    </row>
    <row r="777" spans="4:17">
      <c r="D777" s="6" t="s">
        <v>7675</v>
      </c>
      <c r="E777" s="4" t="s">
        <v>3548</v>
      </c>
      <c r="F777" s="6"/>
      <c r="G777" s="4"/>
      <c r="H777" s="6"/>
      <c r="I777" s="6"/>
      <c r="J777" s="4" t="str">
        <f t="shared" si="13"/>
        <v/>
      </c>
      <c r="K777" s="11"/>
      <c r="L777" s="9"/>
      <c r="M777" s="12"/>
      <c r="N777" s="6"/>
      <c r="O777" s="6"/>
      <c r="P777" s="6"/>
      <c r="Q777" s="4" t="s">
        <v>4367</v>
      </c>
    </row>
    <row r="778" spans="4:17">
      <c r="D778" s="6" t="s">
        <v>7676</v>
      </c>
      <c r="E778" s="4" t="s">
        <v>3548</v>
      </c>
      <c r="F778" s="6"/>
      <c r="G778" s="4"/>
      <c r="H778" s="6"/>
      <c r="I778" s="6"/>
      <c r="J778" s="4" t="str">
        <f t="shared" si="13"/>
        <v/>
      </c>
      <c r="K778" s="11"/>
      <c r="L778" s="9"/>
      <c r="M778" s="12"/>
      <c r="N778" s="6"/>
      <c r="O778" s="6"/>
      <c r="P778" s="6"/>
      <c r="Q778" s="4" t="s">
        <v>4368</v>
      </c>
    </row>
    <row r="779" spans="4:17">
      <c r="D779" s="6" t="s">
        <v>7677</v>
      </c>
      <c r="E779" s="4" t="s">
        <v>3548</v>
      </c>
      <c r="F779" s="6"/>
      <c r="G779" s="4"/>
      <c r="H779" s="6"/>
      <c r="I779" s="6"/>
      <c r="J779" s="4" t="str">
        <f t="shared" si="13"/>
        <v/>
      </c>
      <c r="K779" s="11"/>
      <c r="L779" s="9"/>
      <c r="M779" s="12"/>
      <c r="N779" s="6"/>
      <c r="O779" s="6"/>
      <c r="P779" s="6"/>
      <c r="Q779" s="4" t="s">
        <v>4369</v>
      </c>
    </row>
    <row r="780" spans="4:17">
      <c r="D780" s="6" t="s">
        <v>7678</v>
      </c>
      <c r="E780" s="4" t="s">
        <v>3548</v>
      </c>
      <c r="F780" s="6"/>
      <c r="G780" s="4"/>
      <c r="H780" s="6"/>
      <c r="I780" s="6"/>
      <c r="J780" s="4" t="str">
        <f t="shared" si="13"/>
        <v/>
      </c>
      <c r="K780" s="11"/>
      <c r="L780" s="9"/>
      <c r="M780" s="12"/>
      <c r="N780" s="6"/>
      <c r="O780" s="6"/>
      <c r="P780" s="6"/>
      <c r="Q780" s="4" t="s">
        <v>4370</v>
      </c>
    </row>
    <row r="781" spans="4:17">
      <c r="D781" s="6" t="s">
        <v>7679</v>
      </c>
      <c r="E781" s="4" t="s">
        <v>3548</v>
      </c>
      <c r="F781" s="6"/>
      <c r="G781" s="4"/>
      <c r="H781" s="6"/>
      <c r="I781" s="6"/>
      <c r="J781" s="4" t="str">
        <f t="shared" si="13"/>
        <v/>
      </c>
      <c r="K781" s="11"/>
      <c r="L781" s="9"/>
      <c r="M781" s="12"/>
      <c r="N781" s="6"/>
      <c r="O781" s="6"/>
      <c r="P781" s="6"/>
      <c r="Q781" s="4" t="s">
        <v>4371</v>
      </c>
    </row>
    <row r="782" spans="4:17">
      <c r="D782" s="6" t="s">
        <v>7680</v>
      </c>
      <c r="E782" s="4" t="s">
        <v>3548</v>
      </c>
      <c r="F782" s="6"/>
      <c r="G782" s="4"/>
      <c r="H782" s="6"/>
      <c r="I782" s="6"/>
      <c r="J782" s="4" t="str">
        <f t="shared" si="13"/>
        <v/>
      </c>
      <c r="K782" s="11"/>
      <c r="L782" s="9"/>
      <c r="M782" s="12"/>
      <c r="N782" s="6"/>
      <c r="O782" s="6"/>
      <c r="P782" s="6"/>
      <c r="Q782" s="4" t="s">
        <v>4372</v>
      </c>
    </row>
    <row r="783" spans="4:17">
      <c r="D783" s="6" t="s">
        <v>7681</v>
      </c>
      <c r="E783" s="4" t="s">
        <v>3548</v>
      </c>
      <c r="F783" s="6"/>
      <c r="G783" s="4"/>
      <c r="H783" s="6"/>
      <c r="I783" s="6"/>
      <c r="J783" s="4" t="str">
        <f t="shared" si="13"/>
        <v/>
      </c>
      <c r="K783" s="11"/>
      <c r="L783" s="9"/>
      <c r="M783" s="12"/>
      <c r="N783" s="6"/>
      <c r="O783" s="6"/>
      <c r="P783" s="6"/>
      <c r="Q783" s="4" t="s">
        <v>4373</v>
      </c>
    </row>
    <row r="784" spans="4:17">
      <c r="D784" s="6" t="s">
        <v>7682</v>
      </c>
      <c r="E784" s="4" t="s">
        <v>3548</v>
      </c>
      <c r="F784" s="6"/>
      <c r="G784" s="4"/>
      <c r="H784" s="6"/>
      <c r="I784" s="6"/>
      <c r="J784" s="4" t="str">
        <f t="shared" si="13"/>
        <v/>
      </c>
      <c r="K784" s="11"/>
      <c r="L784" s="9"/>
      <c r="M784" s="12"/>
      <c r="N784" s="6"/>
      <c r="O784" s="6"/>
      <c r="P784" s="6"/>
      <c r="Q784" s="4" t="s">
        <v>4374</v>
      </c>
    </row>
    <row r="785" spans="4:17">
      <c r="D785" s="6" t="s">
        <v>7683</v>
      </c>
      <c r="E785" s="4" t="s">
        <v>3548</v>
      </c>
      <c r="F785" s="6"/>
      <c r="G785" s="4"/>
      <c r="H785" s="6"/>
      <c r="I785" s="6"/>
      <c r="J785" s="4" t="str">
        <f t="shared" si="13"/>
        <v/>
      </c>
      <c r="K785" s="11"/>
      <c r="L785" s="9"/>
      <c r="M785" s="12"/>
      <c r="N785" s="6"/>
      <c r="O785" s="6"/>
      <c r="P785" s="6"/>
      <c r="Q785" s="4" t="s">
        <v>4375</v>
      </c>
    </row>
    <row r="786" spans="4:17">
      <c r="D786" s="6" t="s">
        <v>7684</v>
      </c>
      <c r="E786" s="4" t="s">
        <v>3548</v>
      </c>
      <c r="F786" s="6"/>
      <c r="G786" s="4"/>
      <c r="H786" s="6"/>
      <c r="I786" s="6"/>
      <c r="J786" s="4" t="str">
        <f t="shared" si="13"/>
        <v/>
      </c>
      <c r="K786" s="11"/>
      <c r="L786" s="9"/>
      <c r="M786" s="12"/>
      <c r="N786" s="6"/>
      <c r="O786" s="6"/>
      <c r="P786" s="6"/>
      <c r="Q786" s="4" t="s">
        <v>4376</v>
      </c>
    </row>
    <row r="787" spans="4:17">
      <c r="D787" s="6" t="s">
        <v>7685</v>
      </c>
      <c r="E787" s="4" t="s">
        <v>3548</v>
      </c>
      <c r="F787" s="6"/>
      <c r="G787" s="4"/>
      <c r="H787" s="6"/>
      <c r="I787" s="6"/>
      <c r="J787" s="4" t="str">
        <f t="shared" si="13"/>
        <v/>
      </c>
      <c r="K787" s="11"/>
      <c r="L787" s="9"/>
      <c r="M787" s="12"/>
      <c r="N787" s="6"/>
      <c r="O787" s="6"/>
      <c r="P787" s="6"/>
      <c r="Q787" s="4" t="s">
        <v>4377</v>
      </c>
    </row>
    <row r="788" spans="4:17">
      <c r="D788" s="6" t="s">
        <v>7686</v>
      </c>
      <c r="E788" s="4" t="s">
        <v>3548</v>
      </c>
      <c r="F788" s="6"/>
      <c r="G788" s="4"/>
      <c r="H788" s="6"/>
      <c r="I788" s="6"/>
      <c r="J788" s="4" t="str">
        <f t="shared" si="13"/>
        <v/>
      </c>
      <c r="K788" s="11"/>
      <c r="L788" s="9"/>
      <c r="M788" s="12"/>
      <c r="N788" s="6"/>
      <c r="O788" s="6"/>
      <c r="P788" s="6"/>
      <c r="Q788" s="4" t="s">
        <v>4378</v>
      </c>
    </row>
    <row r="789" spans="4:17">
      <c r="D789" s="6" t="s">
        <v>7687</v>
      </c>
      <c r="E789" s="4" t="s">
        <v>3548</v>
      </c>
      <c r="F789" s="6"/>
      <c r="G789" s="4"/>
      <c r="H789" s="6"/>
      <c r="I789" s="6"/>
      <c r="J789" s="4" t="str">
        <f t="shared" si="13"/>
        <v/>
      </c>
      <c r="K789" s="11"/>
      <c r="L789" s="9"/>
      <c r="M789" s="12"/>
      <c r="N789" s="6"/>
      <c r="O789" s="6"/>
      <c r="P789" s="6"/>
      <c r="Q789" s="4" t="s">
        <v>4379</v>
      </c>
    </row>
    <row r="790" spans="4:17">
      <c r="D790" s="6" t="s">
        <v>7688</v>
      </c>
      <c r="E790" s="4" t="s">
        <v>3548</v>
      </c>
      <c r="F790" s="6"/>
      <c r="G790" s="4"/>
      <c r="H790" s="6"/>
      <c r="I790" s="6"/>
      <c r="J790" s="4" t="str">
        <f t="shared" si="13"/>
        <v/>
      </c>
      <c r="K790" s="11"/>
      <c r="L790" s="9"/>
      <c r="M790" s="12"/>
      <c r="N790" s="6"/>
      <c r="O790" s="6"/>
      <c r="P790" s="6"/>
      <c r="Q790" s="4" t="s">
        <v>4380</v>
      </c>
    </row>
    <row r="791" spans="4:17">
      <c r="D791" s="6" t="s">
        <v>7689</v>
      </c>
      <c r="E791" s="4" t="s">
        <v>3548</v>
      </c>
      <c r="F791" s="6"/>
      <c r="G791" s="4"/>
      <c r="H791" s="6"/>
      <c r="I791" s="6"/>
      <c r="J791" s="4" t="str">
        <f t="shared" si="13"/>
        <v/>
      </c>
      <c r="K791" s="11"/>
      <c r="L791" s="9"/>
      <c r="M791" s="12"/>
      <c r="N791" s="6"/>
      <c r="O791" s="6"/>
      <c r="P791" s="6"/>
      <c r="Q791" s="4" t="s">
        <v>4381</v>
      </c>
    </row>
    <row r="792" spans="4:17">
      <c r="D792" s="6" t="s">
        <v>7690</v>
      </c>
      <c r="E792" s="4" t="s">
        <v>3548</v>
      </c>
      <c r="F792" s="6"/>
      <c r="G792" s="4"/>
      <c r="H792" s="6"/>
      <c r="I792" s="6"/>
      <c r="J792" s="4" t="str">
        <f t="shared" si="13"/>
        <v/>
      </c>
      <c r="K792" s="11"/>
      <c r="L792" s="9"/>
      <c r="M792" s="12"/>
      <c r="N792" s="6"/>
      <c r="O792" s="6"/>
      <c r="P792" s="6"/>
      <c r="Q792" s="4" t="s">
        <v>4382</v>
      </c>
    </row>
    <row r="793" spans="4:17">
      <c r="D793" s="6" t="s">
        <v>7691</v>
      </c>
      <c r="E793" s="4" t="s">
        <v>3548</v>
      </c>
      <c r="F793" s="6"/>
      <c r="G793" s="4"/>
      <c r="H793" s="6"/>
      <c r="I793" s="6"/>
      <c r="J793" s="4" t="str">
        <f t="shared" si="13"/>
        <v/>
      </c>
      <c r="K793" s="11"/>
      <c r="L793" s="9"/>
      <c r="M793" s="12"/>
      <c r="N793" s="6"/>
      <c r="O793" s="6"/>
      <c r="P793" s="6"/>
      <c r="Q793" s="4" t="s">
        <v>4383</v>
      </c>
    </row>
    <row r="794" spans="4:17">
      <c r="D794" s="6" t="s">
        <v>7692</v>
      </c>
      <c r="E794" s="4" t="s">
        <v>3548</v>
      </c>
      <c r="F794" s="6"/>
      <c r="G794" s="4"/>
      <c r="H794" s="6"/>
      <c r="I794" s="6"/>
      <c r="J794" s="4" t="str">
        <f t="shared" si="13"/>
        <v/>
      </c>
      <c r="K794" s="11"/>
      <c r="L794" s="9"/>
      <c r="M794" s="12"/>
      <c r="N794" s="6"/>
      <c r="O794" s="6"/>
      <c r="P794" s="6"/>
      <c r="Q794" s="4" t="s">
        <v>4384</v>
      </c>
    </row>
    <row r="795" spans="4:17">
      <c r="D795" s="6" t="s">
        <v>7693</v>
      </c>
      <c r="E795" s="4" t="s">
        <v>3548</v>
      </c>
      <c r="F795" s="6"/>
      <c r="G795" s="4"/>
      <c r="H795" s="6"/>
      <c r="I795" s="6"/>
      <c r="J795" s="4" t="str">
        <f t="shared" si="13"/>
        <v/>
      </c>
      <c r="K795" s="11"/>
      <c r="L795" s="9"/>
      <c r="M795" s="12"/>
      <c r="N795" s="6"/>
      <c r="O795" s="6"/>
      <c r="P795" s="6"/>
      <c r="Q795" s="4" t="s">
        <v>4385</v>
      </c>
    </row>
    <row r="796" spans="4:17">
      <c r="D796" s="6" t="s">
        <v>7694</v>
      </c>
      <c r="E796" s="4" t="s">
        <v>3555</v>
      </c>
      <c r="F796" s="6"/>
      <c r="G796" s="4"/>
      <c r="H796" s="6"/>
      <c r="I796" s="6"/>
      <c r="J796" s="4" t="str">
        <f t="shared" si="13"/>
        <v/>
      </c>
      <c r="K796" s="11"/>
      <c r="L796" s="9"/>
      <c r="M796" s="12"/>
      <c r="N796" s="6"/>
      <c r="O796" s="6"/>
      <c r="P796" s="6"/>
      <c r="Q796" s="4" t="s">
        <v>4386</v>
      </c>
    </row>
    <row r="797" spans="4:17">
      <c r="D797" s="6" t="s">
        <v>7695</v>
      </c>
      <c r="E797" s="4" t="s">
        <v>3555</v>
      </c>
      <c r="F797" s="6"/>
      <c r="G797" s="4"/>
      <c r="H797" s="6"/>
      <c r="I797" s="6"/>
      <c r="J797" s="4" t="str">
        <f t="shared" si="13"/>
        <v/>
      </c>
      <c r="K797" s="11"/>
      <c r="L797" s="9"/>
      <c r="M797" s="12"/>
      <c r="N797" s="6"/>
      <c r="O797" s="6"/>
      <c r="P797" s="6"/>
      <c r="Q797" s="4" t="s">
        <v>4387</v>
      </c>
    </row>
    <row r="798" spans="4:17">
      <c r="D798" s="6" t="s">
        <v>7696</v>
      </c>
      <c r="E798" s="4" t="s">
        <v>3555</v>
      </c>
      <c r="F798" s="6"/>
      <c r="G798" s="4"/>
      <c r="H798" s="6"/>
      <c r="I798" s="6"/>
      <c r="J798" s="4" t="str">
        <f t="shared" si="13"/>
        <v/>
      </c>
      <c r="K798" s="11"/>
      <c r="L798" s="9"/>
      <c r="M798" s="12"/>
      <c r="N798" s="6"/>
      <c r="O798" s="6"/>
      <c r="P798" s="6"/>
      <c r="Q798" s="4" t="s">
        <v>4388</v>
      </c>
    </row>
    <row r="799" spans="4:17">
      <c r="D799" s="6" t="s">
        <v>7697</v>
      </c>
      <c r="E799" s="4" t="s">
        <v>3555</v>
      </c>
      <c r="F799" s="6"/>
      <c r="G799" s="4"/>
      <c r="H799" s="6"/>
      <c r="I799" s="6"/>
      <c r="J799" s="4" t="str">
        <f t="shared" si="13"/>
        <v/>
      </c>
      <c r="K799" s="11"/>
      <c r="L799" s="9"/>
      <c r="M799" s="12"/>
      <c r="N799" s="6"/>
      <c r="O799" s="6"/>
      <c r="P799" s="6"/>
      <c r="Q799" s="4" t="s">
        <v>4389</v>
      </c>
    </row>
    <row r="800" spans="4:17">
      <c r="D800" s="6" t="s">
        <v>7698</v>
      </c>
      <c r="E800" s="4" t="s">
        <v>3555</v>
      </c>
      <c r="F800" s="6"/>
      <c r="G800" s="4"/>
      <c r="H800" s="6"/>
      <c r="I800" s="6"/>
      <c r="J800" s="4" t="str">
        <f t="shared" si="13"/>
        <v/>
      </c>
      <c r="K800" s="11"/>
      <c r="L800" s="9"/>
      <c r="M800" s="12"/>
      <c r="N800" s="6"/>
      <c r="O800" s="6"/>
      <c r="P800" s="6"/>
      <c r="Q800" s="4" t="s">
        <v>4390</v>
      </c>
    </row>
    <row r="801" spans="4:17">
      <c r="D801" s="6" t="s">
        <v>7699</v>
      </c>
      <c r="E801" s="4" t="s">
        <v>3555</v>
      </c>
      <c r="F801" s="6"/>
      <c r="G801" s="4"/>
      <c r="H801" s="6"/>
      <c r="I801" s="6"/>
      <c r="J801" s="4" t="str">
        <f t="shared" si="13"/>
        <v/>
      </c>
      <c r="K801" s="11"/>
      <c r="L801" s="9"/>
      <c r="M801" s="12"/>
      <c r="N801" s="6"/>
      <c r="O801" s="6"/>
      <c r="P801" s="6"/>
      <c r="Q801" s="4" t="s">
        <v>4391</v>
      </c>
    </row>
    <row r="802" spans="4:17">
      <c r="D802" s="6" t="s">
        <v>7700</v>
      </c>
      <c r="E802" s="4" t="s">
        <v>3555</v>
      </c>
      <c r="F802" s="6"/>
      <c r="G802" s="4"/>
      <c r="H802" s="6"/>
      <c r="I802" s="6"/>
      <c r="J802" s="4" t="str">
        <f t="shared" si="13"/>
        <v/>
      </c>
      <c r="K802" s="11"/>
      <c r="L802" s="9"/>
      <c r="M802" s="12"/>
      <c r="N802" s="6"/>
      <c r="O802" s="6"/>
      <c r="P802" s="6"/>
      <c r="Q802" s="4" t="s">
        <v>4392</v>
      </c>
    </row>
    <row r="803" spans="4:17">
      <c r="D803" s="6" t="s">
        <v>7701</v>
      </c>
      <c r="E803" s="4" t="s">
        <v>3555</v>
      </c>
      <c r="F803" s="6"/>
      <c r="G803" s="4"/>
      <c r="H803" s="6"/>
      <c r="I803" s="6"/>
      <c r="J803" s="4" t="str">
        <f t="shared" si="13"/>
        <v/>
      </c>
      <c r="K803" s="11"/>
      <c r="L803" s="9"/>
      <c r="M803" s="12"/>
      <c r="N803" s="6"/>
      <c r="O803" s="6"/>
      <c r="P803" s="6"/>
      <c r="Q803" s="4" t="s">
        <v>4393</v>
      </c>
    </row>
    <row r="804" spans="4:17">
      <c r="D804" s="6" t="s">
        <v>7702</v>
      </c>
      <c r="E804" s="4" t="s">
        <v>3555</v>
      </c>
      <c r="F804" s="6"/>
      <c r="G804" s="4"/>
      <c r="H804" s="6"/>
      <c r="I804" s="6"/>
      <c r="J804" s="4" t="str">
        <f t="shared" si="13"/>
        <v/>
      </c>
      <c r="K804" s="11"/>
      <c r="L804" s="9"/>
      <c r="M804" s="12"/>
      <c r="N804" s="6"/>
      <c r="O804" s="6"/>
      <c r="P804" s="6"/>
      <c r="Q804" s="4" t="s">
        <v>4394</v>
      </c>
    </row>
    <row r="805" spans="4:17">
      <c r="D805" s="6" t="s">
        <v>7703</v>
      </c>
      <c r="E805" s="4" t="s">
        <v>3555</v>
      </c>
      <c r="F805" s="6"/>
      <c r="G805" s="4"/>
      <c r="H805" s="6"/>
      <c r="I805" s="6"/>
      <c r="J805" s="4" t="str">
        <f t="shared" si="13"/>
        <v/>
      </c>
      <c r="K805" s="11"/>
      <c r="L805" s="9"/>
      <c r="M805" s="12"/>
      <c r="N805" s="6"/>
      <c r="O805" s="6"/>
      <c r="P805" s="6"/>
      <c r="Q805" s="4" t="s">
        <v>4395</v>
      </c>
    </row>
    <row r="806" spans="4:17">
      <c r="D806" s="6" t="s">
        <v>7704</v>
      </c>
      <c r="E806" s="4" t="s">
        <v>3555</v>
      </c>
      <c r="F806" s="6"/>
      <c r="G806" s="4"/>
      <c r="H806" s="6"/>
      <c r="I806" s="6"/>
      <c r="J806" s="4" t="str">
        <f t="shared" si="13"/>
        <v/>
      </c>
      <c r="K806" s="11"/>
      <c r="L806" s="9"/>
      <c r="M806" s="12"/>
      <c r="N806" s="6"/>
      <c r="O806" s="6"/>
      <c r="P806" s="6"/>
      <c r="Q806" s="4" t="s">
        <v>4396</v>
      </c>
    </row>
    <row r="807" spans="4:17">
      <c r="D807" s="6" t="s">
        <v>7705</v>
      </c>
      <c r="E807" s="4" t="s">
        <v>3555</v>
      </c>
      <c r="F807" s="6"/>
      <c r="G807" s="4"/>
      <c r="H807" s="6"/>
      <c r="I807" s="6"/>
      <c r="J807" s="4" t="str">
        <f t="shared" si="13"/>
        <v/>
      </c>
      <c r="K807" s="11"/>
      <c r="L807" s="9"/>
      <c r="M807" s="12"/>
      <c r="N807" s="6"/>
      <c r="O807" s="6"/>
      <c r="P807" s="6"/>
      <c r="Q807" s="4" t="s">
        <v>4397</v>
      </c>
    </row>
    <row r="808" spans="4:17">
      <c r="D808" s="6" t="s">
        <v>7706</v>
      </c>
      <c r="E808" s="4" t="s">
        <v>3555</v>
      </c>
      <c r="F808" s="6"/>
      <c r="G808" s="4"/>
      <c r="H808" s="6"/>
      <c r="I808" s="6"/>
      <c r="J808" s="4" t="str">
        <f t="shared" si="13"/>
        <v/>
      </c>
      <c r="K808" s="11"/>
      <c r="L808" s="9"/>
      <c r="M808" s="12"/>
      <c r="N808" s="6"/>
      <c r="O808" s="6"/>
      <c r="P808" s="6"/>
      <c r="Q808" s="4" t="s">
        <v>4398</v>
      </c>
    </row>
    <row r="809" spans="4:17">
      <c r="D809" s="6" t="s">
        <v>7707</v>
      </c>
      <c r="E809" s="4" t="s">
        <v>3555</v>
      </c>
      <c r="F809" s="6"/>
      <c r="G809" s="4"/>
      <c r="H809" s="6"/>
      <c r="I809" s="6"/>
      <c r="J809" s="4" t="str">
        <f t="shared" si="13"/>
        <v/>
      </c>
      <c r="K809" s="11"/>
      <c r="L809" s="9"/>
      <c r="M809" s="12"/>
      <c r="N809" s="6"/>
      <c r="O809" s="6"/>
      <c r="P809" s="6"/>
      <c r="Q809" s="4" t="s">
        <v>4399</v>
      </c>
    </row>
    <row r="810" spans="4:17">
      <c r="D810" s="6" t="s">
        <v>7708</v>
      </c>
      <c r="E810" s="4" t="s">
        <v>3555</v>
      </c>
      <c r="F810" s="6"/>
      <c r="G810" s="4"/>
      <c r="H810" s="6"/>
      <c r="I810" s="6"/>
      <c r="J810" s="4" t="str">
        <f t="shared" si="13"/>
        <v/>
      </c>
      <c r="K810" s="11"/>
      <c r="L810" s="9"/>
      <c r="M810" s="12"/>
      <c r="N810" s="6"/>
      <c r="O810" s="6"/>
      <c r="P810" s="6"/>
      <c r="Q810" s="4" t="s">
        <v>4400</v>
      </c>
    </row>
    <row r="811" spans="4:17">
      <c r="D811" s="6" t="s">
        <v>7709</v>
      </c>
      <c r="E811" s="4" t="s">
        <v>3555</v>
      </c>
      <c r="F811" s="6"/>
      <c r="G811" s="4"/>
      <c r="H811" s="6"/>
      <c r="I811" s="6"/>
      <c r="J811" s="4" t="str">
        <f t="shared" si="13"/>
        <v/>
      </c>
      <c r="K811" s="11"/>
      <c r="L811" s="9"/>
      <c r="M811" s="12"/>
      <c r="N811" s="6"/>
      <c r="O811" s="6"/>
      <c r="P811" s="6"/>
      <c r="Q811" s="4" t="s">
        <v>4401</v>
      </c>
    </row>
    <row r="812" spans="4:17">
      <c r="D812" s="6" t="s">
        <v>7710</v>
      </c>
      <c r="E812" s="4" t="s">
        <v>3555</v>
      </c>
      <c r="F812" s="6"/>
      <c r="G812" s="4"/>
      <c r="H812" s="6"/>
      <c r="I812" s="6"/>
      <c r="J812" s="4" t="str">
        <f t="shared" si="13"/>
        <v/>
      </c>
      <c r="K812" s="11"/>
      <c r="L812" s="9"/>
      <c r="M812" s="12"/>
      <c r="N812" s="6"/>
      <c r="O812" s="6"/>
      <c r="P812" s="6"/>
      <c r="Q812" s="4" t="s">
        <v>4402</v>
      </c>
    </row>
    <row r="813" spans="4:17">
      <c r="D813" s="6" t="s">
        <v>7711</v>
      </c>
      <c r="E813" s="4" t="s">
        <v>3555</v>
      </c>
      <c r="F813" s="6"/>
      <c r="G813" s="4"/>
      <c r="H813" s="6"/>
      <c r="I813" s="6"/>
      <c r="J813" s="4" t="str">
        <f t="shared" si="13"/>
        <v/>
      </c>
      <c r="K813" s="11"/>
      <c r="L813" s="9"/>
      <c r="M813" s="12"/>
      <c r="N813" s="6"/>
      <c r="O813" s="6"/>
      <c r="P813" s="6"/>
      <c r="Q813" s="4" t="s">
        <v>4403</v>
      </c>
    </row>
    <row r="814" spans="4:17">
      <c r="D814" s="6" t="s">
        <v>7712</v>
      </c>
      <c r="E814" s="4" t="s">
        <v>3555</v>
      </c>
      <c r="F814" s="6"/>
      <c r="G814" s="4"/>
      <c r="H814" s="6"/>
      <c r="I814" s="6"/>
      <c r="J814" s="4" t="str">
        <f t="shared" si="13"/>
        <v/>
      </c>
      <c r="K814" s="11"/>
      <c r="L814" s="9"/>
      <c r="M814" s="12"/>
      <c r="N814" s="6"/>
      <c r="O814" s="6"/>
      <c r="P814" s="6"/>
      <c r="Q814" s="4" t="s">
        <v>4404</v>
      </c>
    </row>
    <row r="815" spans="4:17">
      <c r="D815" s="6" t="s">
        <v>7713</v>
      </c>
      <c r="E815" s="4" t="s">
        <v>3555</v>
      </c>
      <c r="F815" s="6"/>
      <c r="G815" s="4"/>
      <c r="H815" s="6"/>
      <c r="I815" s="6"/>
      <c r="J815" s="4" t="str">
        <f t="shared" si="13"/>
        <v/>
      </c>
      <c r="K815" s="11"/>
      <c r="L815" s="9"/>
      <c r="M815" s="12"/>
      <c r="N815" s="6"/>
      <c r="O815" s="6"/>
      <c r="P815" s="6"/>
      <c r="Q815" s="4" t="s">
        <v>4405</v>
      </c>
    </row>
    <row r="816" spans="4:17">
      <c r="D816" s="6" t="s">
        <v>7714</v>
      </c>
      <c r="E816" s="4" t="s">
        <v>3562</v>
      </c>
      <c r="F816" s="6"/>
      <c r="G816" s="4"/>
      <c r="H816" s="6"/>
      <c r="I816" s="6"/>
      <c r="J816" s="4" t="str">
        <f t="shared" si="13"/>
        <v/>
      </c>
      <c r="K816" s="11"/>
      <c r="L816" s="9"/>
      <c r="M816" s="12"/>
      <c r="N816" s="6"/>
      <c r="O816" s="6"/>
      <c r="P816" s="6"/>
      <c r="Q816" s="4" t="s">
        <v>4406</v>
      </c>
    </row>
    <row r="817" spans="4:17">
      <c r="D817" s="6" t="s">
        <v>7715</v>
      </c>
      <c r="E817" s="4" t="s">
        <v>3562</v>
      </c>
      <c r="F817" s="6"/>
      <c r="G817" s="4"/>
      <c r="H817" s="6"/>
      <c r="I817" s="6"/>
      <c r="J817" s="4" t="str">
        <f t="shared" si="13"/>
        <v/>
      </c>
      <c r="K817" s="11"/>
      <c r="L817" s="9"/>
      <c r="M817" s="12"/>
      <c r="N817" s="6"/>
      <c r="O817" s="6"/>
      <c r="P817" s="6"/>
      <c r="Q817" s="4" t="s">
        <v>4407</v>
      </c>
    </row>
    <row r="818" spans="4:17">
      <c r="D818" s="6" t="s">
        <v>7716</v>
      </c>
      <c r="E818" s="4" t="s">
        <v>3562</v>
      </c>
      <c r="F818" s="6"/>
      <c r="G818" s="4"/>
      <c r="H818" s="6"/>
      <c r="I818" s="6"/>
      <c r="J818" s="4" t="str">
        <f t="shared" si="13"/>
        <v/>
      </c>
      <c r="K818" s="11"/>
      <c r="L818" s="9"/>
      <c r="M818" s="12"/>
      <c r="N818" s="6"/>
      <c r="O818" s="6"/>
      <c r="P818" s="6"/>
      <c r="Q818" s="4" t="s">
        <v>4408</v>
      </c>
    </row>
    <row r="819" spans="4:17">
      <c r="D819" s="6" t="s">
        <v>7717</v>
      </c>
      <c r="E819" s="4" t="s">
        <v>3562</v>
      </c>
      <c r="F819" s="6"/>
      <c r="G819" s="4"/>
      <c r="H819" s="6"/>
      <c r="I819" s="6"/>
      <c r="J819" s="4" t="str">
        <f t="shared" si="13"/>
        <v/>
      </c>
      <c r="K819" s="11"/>
      <c r="L819" s="9"/>
      <c r="M819" s="12"/>
      <c r="N819" s="6"/>
      <c r="O819" s="6"/>
      <c r="P819" s="6"/>
      <c r="Q819" s="4" t="s">
        <v>4409</v>
      </c>
    </row>
    <row r="820" spans="4:17">
      <c r="D820" s="6" t="s">
        <v>7718</v>
      </c>
      <c r="E820" s="4" t="s">
        <v>3562</v>
      </c>
      <c r="F820" s="6"/>
      <c r="G820" s="4"/>
      <c r="H820" s="6"/>
      <c r="I820" s="6"/>
      <c r="J820" s="4" t="str">
        <f t="shared" si="13"/>
        <v/>
      </c>
      <c r="K820" s="11"/>
      <c r="L820" s="9"/>
      <c r="M820" s="12"/>
      <c r="N820" s="6"/>
      <c r="O820" s="6"/>
      <c r="P820" s="6"/>
      <c r="Q820" s="4" t="s">
        <v>4410</v>
      </c>
    </row>
    <row r="821" spans="4:17">
      <c r="D821" s="6" t="s">
        <v>7719</v>
      </c>
      <c r="E821" s="4" t="s">
        <v>3562</v>
      </c>
      <c r="F821" s="6"/>
      <c r="G821" s="4"/>
      <c r="H821" s="6"/>
      <c r="I821" s="6"/>
      <c r="J821" s="4" t="str">
        <f t="shared" si="13"/>
        <v/>
      </c>
      <c r="K821" s="11"/>
      <c r="L821" s="9"/>
      <c r="M821" s="12"/>
      <c r="N821" s="6"/>
      <c r="O821" s="6"/>
      <c r="P821" s="6"/>
      <c r="Q821" s="4" t="s">
        <v>4411</v>
      </c>
    </row>
    <row r="822" spans="4:17">
      <c r="D822" s="6" t="s">
        <v>7720</v>
      </c>
      <c r="E822" s="4" t="s">
        <v>3562</v>
      </c>
      <c r="F822" s="6"/>
      <c r="G822" s="4"/>
      <c r="H822" s="6"/>
      <c r="I822" s="6"/>
      <c r="J822" s="4" t="str">
        <f t="shared" si="13"/>
        <v/>
      </c>
      <c r="K822" s="11"/>
      <c r="L822" s="9"/>
      <c r="M822" s="12"/>
      <c r="N822" s="6"/>
      <c r="O822" s="6"/>
      <c r="P822" s="6"/>
      <c r="Q822" s="4" t="s">
        <v>4412</v>
      </c>
    </row>
    <row r="823" spans="4:17">
      <c r="D823" s="6" t="s">
        <v>7721</v>
      </c>
      <c r="E823" s="4" t="s">
        <v>3562</v>
      </c>
      <c r="F823" s="6"/>
      <c r="G823" s="4"/>
      <c r="H823" s="6"/>
      <c r="I823" s="6"/>
      <c r="J823" s="4" t="str">
        <f t="shared" si="13"/>
        <v/>
      </c>
      <c r="K823" s="11"/>
      <c r="L823" s="9"/>
      <c r="M823" s="12"/>
      <c r="N823" s="6"/>
      <c r="O823" s="6"/>
      <c r="P823" s="6"/>
      <c r="Q823" s="4" t="s">
        <v>4413</v>
      </c>
    </row>
    <row r="824" spans="4:17">
      <c r="D824" s="6" t="s">
        <v>7722</v>
      </c>
      <c r="E824" s="4" t="s">
        <v>3562</v>
      </c>
      <c r="F824" s="6"/>
      <c r="G824" s="4"/>
      <c r="H824" s="6"/>
      <c r="I824" s="6"/>
      <c r="J824" s="4" t="str">
        <f t="shared" si="13"/>
        <v/>
      </c>
      <c r="K824" s="11"/>
      <c r="L824" s="9"/>
      <c r="M824" s="12"/>
      <c r="N824" s="6"/>
      <c r="O824" s="6"/>
      <c r="P824" s="6"/>
      <c r="Q824" s="4" t="s">
        <v>4414</v>
      </c>
    </row>
    <row r="825" spans="4:17">
      <c r="D825" s="6" t="s">
        <v>7723</v>
      </c>
      <c r="E825" s="4" t="s">
        <v>3562</v>
      </c>
      <c r="F825" s="6"/>
      <c r="G825" s="4"/>
      <c r="H825" s="6"/>
      <c r="I825" s="6"/>
      <c r="J825" s="4" t="str">
        <f t="shared" si="13"/>
        <v/>
      </c>
      <c r="K825" s="11"/>
      <c r="L825" s="9"/>
      <c r="M825" s="12"/>
      <c r="N825" s="6"/>
      <c r="O825" s="6"/>
      <c r="P825" s="6"/>
      <c r="Q825" s="4" t="s">
        <v>4415</v>
      </c>
    </row>
    <row r="826" spans="4:17">
      <c r="D826" s="6" t="s">
        <v>7724</v>
      </c>
      <c r="E826" s="4" t="s">
        <v>3562</v>
      </c>
      <c r="F826" s="6"/>
      <c r="G826" s="4"/>
      <c r="H826" s="6"/>
      <c r="I826" s="6"/>
      <c r="J826" s="4" t="str">
        <f t="shared" si="13"/>
        <v/>
      </c>
      <c r="K826" s="11"/>
      <c r="L826" s="9"/>
      <c r="M826" s="12"/>
      <c r="N826" s="6"/>
      <c r="O826" s="6"/>
      <c r="P826" s="6"/>
      <c r="Q826" s="4" t="s">
        <v>4416</v>
      </c>
    </row>
    <row r="827" spans="4:17">
      <c r="D827" s="6" t="s">
        <v>7725</v>
      </c>
      <c r="E827" s="4" t="s">
        <v>3562</v>
      </c>
      <c r="F827" s="6"/>
      <c r="G827" s="4"/>
      <c r="H827" s="6"/>
      <c r="I827" s="6"/>
      <c r="J827" s="4" t="str">
        <f t="shared" si="13"/>
        <v/>
      </c>
      <c r="K827" s="11"/>
      <c r="L827" s="9"/>
      <c r="M827" s="12"/>
      <c r="N827" s="6"/>
      <c r="O827" s="6"/>
      <c r="P827" s="6"/>
      <c r="Q827" s="4" t="s">
        <v>4417</v>
      </c>
    </row>
    <row r="828" spans="4:17">
      <c r="D828" s="6" t="s">
        <v>7726</v>
      </c>
      <c r="E828" s="4" t="s">
        <v>3562</v>
      </c>
      <c r="F828" s="6"/>
      <c r="G828" s="4"/>
      <c r="H828" s="6"/>
      <c r="I828" s="6"/>
      <c r="J828" s="4" t="str">
        <f t="shared" ref="J828:J891" si="14">F828&amp;H828&amp;I828</f>
        <v/>
      </c>
      <c r="K828" s="11"/>
      <c r="L828" s="9"/>
      <c r="M828" s="12"/>
      <c r="N828" s="6"/>
      <c r="O828" s="6"/>
      <c r="P828" s="6"/>
      <c r="Q828" s="4" t="s">
        <v>4418</v>
      </c>
    </row>
    <row r="829" spans="4:17">
      <c r="D829" s="6" t="s">
        <v>7727</v>
      </c>
      <c r="E829" s="4" t="s">
        <v>3562</v>
      </c>
      <c r="F829" s="6"/>
      <c r="G829" s="4"/>
      <c r="H829" s="6"/>
      <c r="I829" s="6"/>
      <c r="J829" s="4" t="str">
        <f t="shared" si="14"/>
        <v/>
      </c>
      <c r="K829" s="11"/>
      <c r="L829" s="9"/>
      <c r="M829" s="12"/>
      <c r="N829" s="6"/>
      <c r="O829" s="6"/>
      <c r="P829" s="6"/>
      <c r="Q829" s="4" t="s">
        <v>4419</v>
      </c>
    </row>
    <row r="830" spans="4:17">
      <c r="D830" s="6" t="s">
        <v>7728</v>
      </c>
      <c r="E830" s="4" t="s">
        <v>3562</v>
      </c>
      <c r="F830" s="6"/>
      <c r="G830" s="4"/>
      <c r="H830" s="6"/>
      <c r="I830" s="6"/>
      <c r="J830" s="4" t="str">
        <f t="shared" si="14"/>
        <v/>
      </c>
      <c r="K830" s="11"/>
      <c r="L830" s="9"/>
      <c r="M830" s="12"/>
      <c r="N830" s="6"/>
      <c r="O830" s="6"/>
      <c r="P830" s="6"/>
      <c r="Q830" s="4" t="s">
        <v>4420</v>
      </c>
    </row>
    <row r="831" spans="4:17">
      <c r="D831" s="6" t="s">
        <v>7729</v>
      </c>
      <c r="E831" s="4" t="s">
        <v>3562</v>
      </c>
      <c r="F831" s="6"/>
      <c r="G831" s="4"/>
      <c r="H831" s="6"/>
      <c r="I831" s="6"/>
      <c r="J831" s="4" t="str">
        <f t="shared" si="14"/>
        <v/>
      </c>
      <c r="K831" s="11"/>
      <c r="L831" s="9"/>
      <c r="M831" s="12"/>
      <c r="N831" s="6"/>
      <c r="O831" s="6"/>
      <c r="P831" s="6"/>
      <c r="Q831" s="4" t="s">
        <v>4421</v>
      </c>
    </row>
    <row r="832" spans="4:17">
      <c r="D832" s="6" t="s">
        <v>7730</v>
      </c>
      <c r="E832" s="4" t="s">
        <v>3562</v>
      </c>
      <c r="F832" s="6"/>
      <c r="G832" s="4"/>
      <c r="H832" s="6"/>
      <c r="I832" s="6"/>
      <c r="J832" s="4" t="str">
        <f t="shared" si="14"/>
        <v/>
      </c>
      <c r="K832" s="11"/>
      <c r="L832" s="9"/>
      <c r="M832" s="12"/>
      <c r="N832" s="6"/>
      <c r="O832" s="6"/>
      <c r="P832" s="6"/>
      <c r="Q832" s="4" t="s">
        <v>4422</v>
      </c>
    </row>
    <row r="833" spans="4:17">
      <c r="D833" s="6" t="s">
        <v>7731</v>
      </c>
      <c r="E833" s="4" t="s">
        <v>3562</v>
      </c>
      <c r="F833" s="6"/>
      <c r="G833" s="4"/>
      <c r="H833" s="6"/>
      <c r="I833" s="6"/>
      <c r="J833" s="4" t="str">
        <f t="shared" si="14"/>
        <v/>
      </c>
      <c r="K833" s="11"/>
      <c r="L833" s="9"/>
      <c r="M833" s="12"/>
      <c r="N833" s="6"/>
      <c r="O833" s="6"/>
      <c r="P833" s="6"/>
      <c r="Q833" s="4" t="s">
        <v>4423</v>
      </c>
    </row>
    <row r="834" spans="4:17">
      <c r="D834" s="6" t="s">
        <v>7732</v>
      </c>
      <c r="E834" s="4" t="s">
        <v>3562</v>
      </c>
      <c r="F834" s="6"/>
      <c r="G834" s="4"/>
      <c r="H834" s="6"/>
      <c r="I834" s="6"/>
      <c r="J834" s="4" t="str">
        <f t="shared" si="14"/>
        <v/>
      </c>
      <c r="K834" s="11"/>
      <c r="L834" s="9"/>
      <c r="M834" s="12"/>
      <c r="N834" s="6"/>
      <c r="O834" s="6"/>
      <c r="P834" s="6"/>
      <c r="Q834" s="4" t="s">
        <v>4424</v>
      </c>
    </row>
    <row r="835" spans="4:17">
      <c r="D835" s="6" t="s">
        <v>7733</v>
      </c>
      <c r="E835" s="4" t="s">
        <v>3562</v>
      </c>
      <c r="F835" s="6"/>
      <c r="G835" s="4"/>
      <c r="H835" s="6"/>
      <c r="I835" s="6"/>
      <c r="J835" s="4" t="str">
        <f t="shared" si="14"/>
        <v/>
      </c>
      <c r="K835" s="11"/>
      <c r="L835" s="9"/>
      <c r="M835" s="12"/>
      <c r="N835" s="6"/>
      <c r="O835" s="6"/>
      <c r="P835" s="6"/>
      <c r="Q835" s="4" t="s">
        <v>4425</v>
      </c>
    </row>
    <row r="836" spans="4:17">
      <c r="D836" s="6" t="s">
        <v>7734</v>
      </c>
      <c r="E836" s="4" t="s">
        <v>3569</v>
      </c>
      <c r="F836" s="6"/>
      <c r="G836" s="4"/>
      <c r="H836" s="6"/>
      <c r="I836" s="6"/>
      <c r="J836" s="4" t="str">
        <f t="shared" si="14"/>
        <v/>
      </c>
      <c r="K836" s="11"/>
      <c r="L836" s="9"/>
      <c r="M836" s="12"/>
      <c r="N836" s="6"/>
      <c r="O836" s="6"/>
      <c r="P836" s="6"/>
      <c r="Q836" s="4" t="s">
        <v>4426</v>
      </c>
    </row>
    <row r="837" spans="4:17">
      <c r="D837" s="6" t="s">
        <v>7735</v>
      </c>
      <c r="E837" s="4" t="s">
        <v>3569</v>
      </c>
      <c r="F837" s="6"/>
      <c r="G837" s="4"/>
      <c r="H837" s="6"/>
      <c r="I837" s="6"/>
      <c r="J837" s="4" t="str">
        <f t="shared" si="14"/>
        <v/>
      </c>
      <c r="K837" s="11"/>
      <c r="L837" s="9"/>
      <c r="M837" s="12"/>
      <c r="N837" s="6"/>
      <c r="O837" s="6"/>
      <c r="P837" s="6"/>
      <c r="Q837" s="4" t="s">
        <v>4427</v>
      </c>
    </row>
    <row r="838" spans="4:17">
      <c r="D838" s="6" t="s">
        <v>7736</v>
      </c>
      <c r="E838" s="4" t="s">
        <v>3569</v>
      </c>
      <c r="F838" s="6"/>
      <c r="G838" s="4"/>
      <c r="H838" s="6"/>
      <c r="I838" s="6"/>
      <c r="J838" s="4" t="str">
        <f t="shared" si="14"/>
        <v/>
      </c>
      <c r="K838" s="11"/>
      <c r="L838" s="9"/>
      <c r="M838" s="12"/>
      <c r="N838" s="6"/>
      <c r="O838" s="6"/>
      <c r="P838" s="6"/>
      <c r="Q838" s="4" t="s">
        <v>4428</v>
      </c>
    </row>
    <row r="839" spans="4:17">
      <c r="D839" s="6" t="s">
        <v>7737</v>
      </c>
      <c r="E839" s="4" t="s">
        <v>3569</v>
      </c>
      <c r="F839" s="6"/>
      <c r="G839" s="4"/>
      <c r="H839" s="6"/>
      <c r="I839" s="6"/>
      <c r="J839" s="4" t="str">
        <f t="shared" si="14"/>
        <v/>
      </c>
      <c r="K839" s="11"/>
      <c r="L839" s="9"/>
      <c r="M839" s="12"/>
      <c r="N839" s="6"/>
      <c r="O839" s="6"/>
      <c r="P839" s="6"/>
      <c r="Q839" s="4" t="s">
        <v>4429</v>
      </c>
    </row>
    <row r="840" spans="4:17">
      <c r="D840" s="6" t="s">
        <v>7738</v>
      </c>
      <c r="E840" s="4" t="s">
        <v>3569</v>
      </c>
      <c r="F840" s="6"/>
      <c r="G840" s="4"/>
      <c r="H840" s="6"/>
      <c r="I840" s="6"/>
      <c r="J840" s="4" t="str">
        <f t="shared" si="14"/>
        <v/>
      </c>
      <c r="K840" s="11"/>
      <c r="L840" s="9"/>
      <c r="M840" s="12"/>
      <c r="N840" s="6"/>
      <c r="O840" s="6"/>
      <c r="P840" s="6"/>
      <c r="Q840" s="4" t="s">
        <v>4430</v>
      </c>
    </row>
    <row r="841" spans="4:17">
      <c r="D841" s="6" t="s">
        <v>7739</v>
      </c>
      <c r="E841" s="4" t="s">
        <v>3569</v>
      </c>
      <c r="F841" s="6"/>
      <c r="G841" s="4"/>
      <c r="H841" s="6"/>
      <c r="I841" s="6"/>
      <c r="J841" s="4" t="str">
        <f t="shared" si="14"/>
        <v/>
      </c>
      <c r="K841" s="11"/>
      <c r="L841" s="9"/>
      <c r="M841" s="12"/>
      <c r="N841" s="6"/>
      <c r="O841" s="6"/>
      <c r="P841" s="6"/>
      <c r="Q841" s="4" t="s">
        <v>4431</v>
      </c>
    </row>
    <row r="842" spans="4:17">
      <c r="D842" s="6" t="s">
        <v>7740</v>
      </c>
      <c r="E842" s="4" t="s">
        <v>3569</v>
      </c>
      <c r="F842" s="6"/>
      <c r="G842" s="4"/>
      <c r="H842" s="6"/>
      <c r="I842" s="6"/>
      <c r="J842" s="4" t="str">
        <f t="shared" si="14"/>
        <v/>
      </c>
      <c r="K842" s="11"/>
      <c r="L842" s="9"/>
      <c r="M842" s="12"/>
      <c r="N842" s="6"/>
      <c r="O842" s="6"/>
      <c r="P842" s="6"/>
      <c r="Q842" s="4" t="s">
        <v>4432</v>
      </c>
    </row>
    <row r="843" spans="4:17">
      <c r="D843" s="6" t="s">
        <v>7741</v>
      </c>
      <c r="E843" s="4" t="s">
        <v>3569</v>
      </c>
      <c r="F843" s="6"/>
      <c r="G843" s="4"/>
      <c r="H843" s="6"/>
      <c r="I843" s="6"/>
      <c r="J843" s="4" t="str">
        <f t="shared" si="14"/>
        <v/>
      </c>
      <c r="K843" s="11"/>
      <c r="L843" s="9"/>
      <c r="M843" s="12"/>
      <c r="N843" s="6"/>
      <c r="O843" s="6"/>
      <c r="P843" s="6"/>
      <c r="Q843" s="4" t="s">
        <v>4433</v>
      </c>
    </row>
    <row r="844" spans="4:17">
      <c r="D844" s="6" t="s">
        <v>7742</v>
      </c>
      <c r="E844" s="4" t="s">
        <v>3569</v>
      </c>
      <c r="F844" s="6"/>
      <c r="G844" s="4"/>
      <c r="H844" s="6"/>
      <c r="I844" s="6"/>
      <c r="J844" s="4" t="str">
        <f t="shared" si="14"/>
        <v/>
      </c>
      <c r="K844" s="11"/>
      <c r="L844" s="9"/>
      <c r="M844" s="12"/>
      <c r="N844" s="6"/>
      <c r="O844" s="6"/>
      <c r="P844" s="6"/>
      <c r="Q844" s="4" t="s">
        <v>4434</v>
      </c>
    </row>
    <row r="845" spans="4:17">
      <c r="D845" s="6" t="s">
        <v>7743</v>
      </c>
      <c r="E845" s="4" t="s">
        <v>3569</v>
      </c>
      <c r="F845" s="6"/>
      <c r="G845" s="4"/>
      <c r="H845" s="6"/>
      <c r="I845" s="6"/>
      <c r="J845" s="4" t="str">
        <f t="shared" si="14"/>
        <v/>
      </c>
      <c r="K845" s="11"/>
      <c r="L845" s="9"/>
      <c r="M845" s="12"/>
      <c r="N845" s="6"/>
      <c r="O845" s="6"/>
      <c r="P845" s="6"/>
      <c r="Q845" s="4" t="s">
        <v>4435</v>
      </c>
    </row>
    <row r="846" spans="4:17">
      <c r="D846" s="6" t="s">
        <v>7744</v>
      </c>
      <c r="E846" s="4" t="s">
        <v>3569</v>
      </c>
      <c r="F846" s="6"/>
      <c r="G846" s="4"/>
      <c r="H846" s="6"/>
      <c r="I846" s="6"/>
      <c r="J846" s="4" t="str">
        <f t="shared" si="14"/>
        <v/>
      </c>
      <c r="K846" s="11"/>
      <c r="L846" s="9"/>
      <c r="M846" s="12"/>
      <c r="N846" s="6"/>
      <c r="O846" s="6"/>
      <c r="P846" s="6"/>
      <c r="Q846" s="4" t="s">
        <v>4436</v>
      </c>
    </row>
    <row r="847" spans="4:17">
      <c r="D847" s="6" t="s">
        <v>7745</v>
      </c>
      <c r="E847" s="4" t="s">
        <v>3569</v>
      </c>
      <c r="F847" s="6"/>
      <c r="G847" s="4"/>
      <c r="H847" s="6"/>
      <c r="I847" s="6"/>
      <c r="J847" s="4" t="str">
        <f t="shared" si="14"/>
        <v/>
      </c>
      <c r="K847" s="11"/>
      <c r="L847" s="9"/>
      <c r="M847" s="12"/>
      <c r="N847" s="6"/>
      <c r="O847" s="6"/>
      <c r="P847" s="6"/>
      <c r="Q847" s="4" t="s">
        <v>4437</v>
      </c>
    </row>
    <row r="848" spans="4:17">
      <c r="D848" s="6" t="s">
        <v>7746</v>
      </c>
      <c r="E848" s="4" t="s">
        <v>3569</v>
      </c>
      <c r="F848" s="6"/>
      <c r="G848" s="4"/>
      <c r="H848" s="6"/>
      <c r="I848" s="6"/>
      <c r="J848" s="4" t="str">
        <f t="shared" si="14"/>
        <v/>
      </c>
      <c r="K848" s="11"/>
      <c r="L848" s="9"/>
      <c r="M848" s="12"/>
      <c r="N848" s="6"/>
      <c r="O848" s="6"/>
      <c r="P848" s="6"/>
      <c r="Q848" s="4" t="s">
        <v>4438</v>
      </c>
    </row>
    <row r="849" spans="4:17">
      <c r="D849" s="6" t="s">
        <v>7747</v>
      </c>
      <c r="E849" s="4" t="s">
        <v>3569</v>
      </c>
      <c r="F849" s="6"/>
      <c r="G849" s="4"/>
      <c r="H849" s="6"/>
      <c r="I849" s="6"/>
      <c r="J849" s="4" t="str">
        <f t="shared" si="14"/>
        <v/>
      </c>
      <c r="K849" s="11"/>
      <c r="L849" s="9"/>
      <c r="M849" s="12"/>
      <c r="N849" s="6"/>
      <c r="O849" s="6"/>
      <c r="P849" s="6"/>
      <c r="Q849" s="4" t="s">
        <v>4439</v>
      </c>
    </row>
    <row r="850" spans="4:17">
      <c r="D850" s="6" t="s">
        <v>7748</v>
      </c>
      <c r="E850" s="4" t="s">
        <v>3569</v>
      </c>
      <c r="F850" s="6"/>
      <c r="G850" s="4"/>
      <c r="H850" s="6"/>
      <c r="I850" s="6"/>
      <c r="J850" s="4" t="str">
        <f t="shared" si="14"/>
        <v/>
      </c>
      <c r="K850" s="11"/>
      <c r="L850" s="9"/>
      <c r="M850" s="12"/>
      <c r="N850" s="6"/>
      <c r="O850" s="6"/>
      <c r="P850" s="6"/>
      <c r="Q850" s="4" t="s">
        <v>4440</v>
      </c>
    </row>
    <row r="851" spans="4:17">
      <c r="D851" s="6" t="s">
        <v>7749</v>
      </c>
      <c r="E851" s="4" t="s">
        <v>3569</v>
      </c>
      <c r="F851" s="6"/>
      <c r="G851" s="4"/>
      <c r="H851" s="6"/>
      <c r="I851" s="6"/>
      <c r="J851" s="4" t="str">
        <f t="shared" si="14"/>
        <v/>
      </c>
      <c r="K851" s="11"/>
      <c r="L851" s="9"/>
      <c r="M851" s="12"/>
      <c r="N851" s="6"/>
      <c r="O851" s="6"/>
      <c r="P851" s="6"/>
      <c r="Q851" s="4" t="s">
        <v>4441</v>
      </c>
    </row>
    <row r="852" spans="4:17">
      <c r="D852" s="6" t="s">
        <v>7750</v>
      </c>
      <c r="E852" s="4" t="s">
        <v>3569</v>
      </c>
      <c r="F852" s="6"/>
      <c r="G852" s="4"/>
      <c r="H852" s="6"/>
      <c r="I852" s="6"/>
      <c r="J852" s="4" t="str">
        <f t="shared" si="14"/>
        <v/>
      </c>
      <c r="K852" s="11"/>
      <c r="L852" s="9"/>
      <c r="M852" s="12"/>
      <c r="N852" s="6"/>
      <c r="O852" s="6"/>
      <c r="P852" s="6"/>
      <c r="Q852" s="4" t="s">
        <v>4442</v>
      </c>
    </row>
    <row r="853" spans="4:17">
      <c r="D853" s="6" t="s">
        <v>7751</v>
      </c>
      <c r="E853" s="4" t="s">
        <v>3569</v>
      </c>
      <c r="F853" s="6"/>
      <c r="G853" s="4"/>
      <c r="H853" s="6"/>
      <c r="I853" s="6"/>
      <c r="J853" s="4" t="str">
        <f t="shared" si="14"/>
        <v/>
      </c>
      <c r="K853" s="11"/>
      <c r="L853" s="9"/>
      <c r="M853" s="12"/>
      <c r="N853" s="6"/>
      <c r="O853" s="6"/>
      <c r="P853" s="6"/>
      <c r="Q853" s="4" t="s">
        <v>4443</v>
      </c>
    </row>
    <row r="854" spans="4:17">
      <c r="D854" s="6" t="s">
        <v>7752</v>
      </c>
      <c r="E854" s="4" t="s">
        <v>3569</v>
      </c>
      <c r="F854" s="6"/>
      <c r="G854" s="4"/>
      <c r="H854" s="6"/>
      <c r="I854" s="6"/>
      <c r="J854" s="4" t="str">
        <f t="shared" si="14"/>
        <v/>
      </c>
      <c r="K854" s="11"/>
      <c r="L854" s="9"/>
      <c r="M854" s="12"/>
      <c r="N854" s="6"/>
      <c r="O854" s="6"/>
      <c r="P854" s="6"/>
      <c r="Q854" s="4" t="s">
        <v>4444</v>
      </c>
    </row>
    <row r="855" spans="4:17">
      <c r="D855" s="6" t="s">
        <v>7753</v>
      </c>
      <c r="E855" s="4" t="s">
        <v>3569</v>
      </c>
      <c r="F855" s="6"/>
      <c r="G855" s="4"/>
      <c r="H855" s="6"/>
      <c r="I855" s="6"/>
      <c r="J855" s="4" t="str">
        <f t="shared" si="14"/>
        <v/>
      </c>
      <c r="K855" s="11"/>
      <c r="L855" s="9"/>
      <c r="M855" s="12"/>
      <c r="N855" s="6"/>
      <c r="O855" s="6"/>
      <c r="P855" s="6"/>
      <c r="Q855" s="4" t="s">
        <v>4445</v>
      </c>
    </row>
    <row r="856" spans="4:17">
      <c r="D856" s="6" t="s">
        <v>7754</v>
      </c>
      <c r="E856" s="4" t="s">
        <v>3576</v>
      </c>
      <c r="F856" s="6"/>
      <c r="G856" s="4"/>
      <c r="H856" s="6"/>
      <c r="I856" s="6"/>
      <c r="J856" s="4" t="str">
        <f t="shared" si="14"/>
        <v/>
      </c>
      <c r="K856" s="11"/>
      <c r="L856" s="9"/>
      <c r="M856" s="12"/>
      <c r="N856" s="6"/>
      <c r="O856" s="6"/>
      <c r="P856" s="6"/>
      <c r="Q856" s="4" t="s">
        <v>4446</v>
      </c>
    </row>
    <row r="857" spans="4:17">
      <c r="D857" s="6" t="s">
        <v>7755</v>
      </c>
      <c r="E857" s="4" t="s">
        <v>3576</v>
      </c>
      <c r="F857" s="6"/>
      <c r="G857" s="4"/>
      <c r="H857" s="6"/>
      <c r="I857" s="6"/>
      <c r="J857" s="4" t="str">
        <f t="shared" si="14"/>
        <v/>
      </c>
      <c r="K857" s="11"/>
      <c r="L857" s="9"/>
      <c r="M857" s="12"/>
      <c r="N857" s="6"/>
      <c r="O857" s="6"/>
      <c r="P857" s="6"/>
      <c r="Q857" s="4" t="s">
        <v>4447</v>
      </c>
    </row>
    <row r="858" spans="4:17">
      <c r="D858" s="6" t="s">
        <v>7756</v>
      </c>
      <c r="E858" s="4" t="s">
        <v>3576</v>
      </c>
      <c r="F858" s="6"/>
      <c r="G858" s="4"/>
      <c r="H858" s="6"/>
      <c r="I858" s="6"/>
      <c r="J858" s="4" t="str">
        <f t="shared" si="14"/>
        <v/>
      </c>
      <c r="K858" s="11"/>
      <c r="L858" s="9"/>
      <c r="M858" s="12"/>
      <c r="N858" s="6"/>
      <c r="O858" s="6"/>
      <c r="P858" s="6"/>
      <c r="Q858" s="4" t="s">
        <v>4448</v>
      </c>
    </row>
    <row r="859" spans="4:17">
      <c r="D859" s="6" t="s">
        <v>7757</v>
      </c>
      <c r="E859" s="4" t="s">
        <v>3576</v>
      </c>
      <c r="F859" s="6"/>
      <c r="G859" s="4"/>
      <c r="H859" s="6"/>
      <c r="I859" s="6"/>
      <c r="J859" s="4" t="str">
        <f t="shared" si="14"/>
        <v/>
      </c>
      <c r="K859" s="11"/>
      <c r="L859" s="9"/>
      <c r="M859" s="12"/>
      <c r="N859" s="6"/>
      <c r="O859" s="6"/>
      <c r="P859" s="6"/>
      <c r="Q859" s="4" t="s">
        <v>4449</v>
      </c>
    </row>
    <row r="860" spans="4:17">
      <c r="D860" s="6" t="s">
        <v>7758</v>
      </c>
      <c r="E860" s="4" t="s">
        <v>3576</v>
      </c>
      <c r="F860" s="6"/>
      <c r="G860" s="4"/>
      <c r="H860" s="6"/>
      <c r="I860" s="6"/>
      <c r="J860" s="4" t="str">
        <f t="shared" si="14"/>
        <v/>
      </c>
      <c r="K860" s="11"/>
      <c r="L860" s="9"/>
      <c r="M860" s="12"/>
      <c r="N860" s="6"/>
      <c r="O860" s="6"/>
      <c r="P860" s="6"/>
      <c r="Q860" s="4" t="s">
        <v>4450</v>
      </c>
    </row>
    <row r="861" spans="4:17">
      <c r="D861" s="6" t="s">
        <v>7759</v>
      </c>
      <c r="E861" s="4" t="s">
        <v>3576</v>
      </c>
      <c r="F861" s="6"/>
      <c r="G861" s="4"/>
      <c r="H861" s="6"/>
      <c r="I861" s="6"/>
      <c r="J861" s="4" t="str">
        <f t="shared" si="14"/>
        <v/>
      </c>
      <c r="K861" s="11"/>
      <c r="L861" s="9"/>
      <c r="M861" s="12"/>
      <c r="N861" s="6"/>
      <c r="O861" s="6"/>
      <c r="P861" s="6"/>
      <c r="Q861" s="4" t="s">
        <v>4451</v>
      </c>
    </row>
    <row r="862" spans="4:17">
      <c r="D862" s="6" t="s">
        <v>7760</v>
      </c>
      <c r="E862" s="4" t="s">
        <v>3576</v>
      </c>
      <c r="F862" s="6"/>
      <c r="G862" s="4"/>
      <c r="H862" s="6"/>
      <c r="I862" s="6"/>
      <c r="J862" s="4" t="str">
        <f t="shared" si="14"/>
        <v/>
      </c>
      <c r="K862" s="11"/>
      <c r="L862" s="9"/>
      <c r="M862" s="12"/>
      <c r="N862" s="6"/>
      <c r="O862" s="6"/>
      <c r="P862" s="6"/>
      <c r="Q862" s="4" t="s">
        <v>4452</v>
      </c>
    </row>
    <row r="863" spans="4:17">
      <c r="D863" s="6" t="s">
        <v>7761</v>
      </c>
      <c r="E863" s="4" t="s">
        <v>3576</v>
      </c>
      <c r="F863" s="6"/>
      <c r="G863" s="4"/>
      <c r="H863" s="6"/>
      <c r="I863" s="6"/>
      <c r="J863" s="4" t="str">
        <f t="shared" si="14"/>
        <v/>
      </c>
      <c r="K863" s="11"/>
      <c r="L863" s="9"/>
      <c r="M863" s="12"/>
      <c r="N863" s="6"/>
      <c r="O863" s="6"/>
      <c r="P863" s="6"/>
      <c r="Q863" s="4" t="s">
        <v>4453</v>
      </c>
    </row>
    <row r="864" spans="4:17">
      <c r="D864" s="6" t="s">
        <v>7762</v>
      </c>
      <c r="E864" s="4" t="s">
        <v>3576</v>
      </c>
      <c r="F864" s="6"/>
      <c r="G864" s="4"/>
      <c r="H864" s="6"/>
      <c r="I864" s="6"/>
      <c r="J864" s="4" t="str">
        <f t="shared" si="14"/>
        <v/>
      </c>
      <c r="K864" s="11"/>
      <c r="L864" s="9"/>
      <c r="M864" s="12"/>
      <c r="N864" s="6"/>
      <c r="O864" s="6"/>
      <c r="P864" s="6"/>
      <c r="Q864" s="4" t="s">
        <v>4454</v>
      </c>
    </row>
    <row r="865" spans="4:17">
      <c r="D865" s="6" t="s">
        <v>7763</v>
      </c>
      <c r="E865" s="4" t="s">
        <v>3576</v>
      </c>
      <c r="F865" s="6"/>
      <c r="G865" s="4"/>
      <c r="H865" s="6"/>
      <c r="I865" s="6"/>
      <c r="J865" s="4" t="str">
        <f t="shared" si="14"/>
        <v/>
      </c>
      <c r="K865" s="11"/>
      <c r="L865" s="9"/>
      <c r="M865" s="12"/>
      <c r="N865" s="6"/>
      <c r="O865" s="6"/>
      <c r="P865" s="6"/>
      <c r="Q865" s="4" t="s">
        <v>4455</v>
      </c>
    </row>
    <row r="866" spans="4:17">
      <c r="D866" s="6" t="s">
        <v>7764</v>
      </c>
      <c r="E866" s="4" t="s">
        <v>3576</v>
      </c>
      <c r="F866" s="6"/>
      <c r="G866" s="4"/>
      <c r="H866" s="6"/>
      <c r="I866" s="6"/>
      <c r="J866" s="4" t="str">
        <f t="shared" si="14"/>
        <v/>
      </c>
      <c r="K866" s="11"/>
      <c r="L866" s="9"/>
      <c r="M866" s="12"/>
      <c r="N866" s="6"/>
      <c r="O866" s="6"/>
      <c r="P866" s="6"/>
      <c r="Q866" s="4" t="s">
        <v>4456</v>
      </c>
    </row>
    <row r="867" spans="4:17">
      <c r="D867" s="6" t="s">
        <v>7765</v>
      </c>
      <c r="E867" s="4" t="s">
        <v>3576</v>
      </c>
      <c r="F867" s="6"/>
      <c r="G867" s="4"/>
      <c r="H867" s="6"/>
      <c r="I867" s="6"/>
      <c r="J867" s="4" t="str">
        <f t="shared" si="14"/>
        <v/>
      </c>
      <c r="K867" s="11"/>
      <c r="L867" s="9"/>
      <c r="M867" s="12"/>
      <c r="N867" s="6"/>
      <c r="O867" s="6"/>
      <c r="P867" s="6"/>
      <c r="Q867" s="4" t="s">
        <v>4457</v>
      </c>
    </row>
    <row r="868" spans="4:17">
      <c r="D868" s="6" t="s">
        <v>7766</v>
      </c>
      <c r="E868" s="4" t="s">
        <v>3576</v>
      </c>
      <c r="F868" s="6"/>
      <c r="G868" s="4"/>
      <c r="H868" s="6"/>
      <c r="I868" s="6"/>
      <c r="J868" s="4" t="str">
        <f t="shared" si="14"/>
        <v/>
      </c>
      <c r="K868" s="11"/>
      <c r="L868" s="9"/>
      <c r="M868" s="12"/>
      <c r="N868" s="6"/>
      <c r="O868" s="6"/>
      <c r="P868" s="6"/>
      <c r="Q868" s="4" t="s">
        <v>4458</v>
      </c>
    </row>
    <row r="869" spans="4:17">
      <c r="D869" s="6" t="s">
        <v>7767</v>
      </c>
      <c r="E869" s="4" t="s">
        <v>3576</v>
      </c>
      <c r="F869" s="6"/>
      <c r="G869" s="4"/>
      <c r="H869" s="6"/>
      <c r="I869" s="6"/>
      <c r="J869" s="4" t="str">
        <f t="shared" si="14"/>
        <v/>
      </c>
      <c r="K869" s="11"/>
      <c r="L869" s="9"/>
      <c r="M869" s="12"/>
      <c r="N869" s="6"/>
      <c r="O869" s="6"/>
      <c r="P869" s="6"/>
      <c r="Q869" s="4" t="s">
        <v>4459</v>
      </c>
    </row>
    <row r="870" spans="4:17">
      <c r="D870" s="6" t="s">
        <v>7768</v>
      </c>
      <c r="E870" s="4" t="s">
        <v>3576</v>
      </c>
      <c r="F870" s="6"/>
      <c r="G870" s="4"/>
      <c r="H870" s="6"/>
      <c r="I870" s="6"/>
      <c r="J870" s="4" t="str">
        <f t="shared" si="14"/>
        <v/>
      </c>
      <c r="K870" s="11"/>
      <c r="L870" s="9"/>
      <c r="M870" s="12"/>
      <c r="N870" s="6"/>
      <c r="O870" s="6"/>
      <c r="P870" s="6"/>
      <c r="Q870" s="4" t="s">
        <v>4460</v>
      </c>
    </row>
    <row r="871" spans="4:17">
      <c r="D871" s="6" t="s">
        <v>7769</v>
      </c>
      <c r="E871" s="4" t="s">
        <v>3576</v>
      </c>
      <c r="F871" s="6"/>
      <c r="G871" s="4"/>
      <c r="H871" s="6"/>
      <c r="I871" s="6"/>
      <c r="J871" s="4" t="str">
        <f t="shared" si="14"/>
        <v/>
      </c>
      <c r="K871" s="11"/>
      <c r="L871" s="9"/>
      <c r="M871" s="12"/>
      <c r="N871" s="6"/>
      <c r="O871" s="6"/>
      <c r="P871" s="6"/>
      <c r="Q871" s="4" t="s">
        <v>4461</v>
      </c>
    </row>
    <row r="872" spans="4:17">
      <c r="D872" s="6" t="s">
        <v>7770</v>
      </c>
      <c r="E872" s="4" t="s">
        <v>3576</v>
      </c>
      <c r="F872" s="6"/>
      <c r="G872" s="4"/>
      <c r="H872" s="6"/>
      <c r="I872" s="6"/>
      <c r="J872" s="4" t="str">
        <f t="shared" si="14"/>
        <v/>
      </c>
      <c r="K872" s="11"/>
      <c r="L872" s="9"/>
      <c r="M872" s="12"/>
      <c r="N872" s="6"/>
      <c r="O872" s="6"/>
      <c r="P872" s="6"/>
      <c r="Q872" s="4" t="s">
        <v>4462</v>
      </c>
    </row>
    <row r="873" spans="4:17">
      <c r="D873" s="6" t="s">
        <v>7771</v>
      </c>
      <c r="E873" s="4" t="s">
        <v>3576</v>
      </c>
      <c r="F873" s="6"/>
      <c r="G873" s="4"/>
      <c r="H873" s="6"/>
      <c r="I873" s="6"/>
      <c r="J873" s="4" t="str">
        <f t="shared" si="14"/>
        <v/>
      </c>
      <c r="K873" s="11"/>
      <c r="L873" s="9"/>
      <c r="M873" s="12"/>
      <c r="N873" s="6"/>
      <c r="O873" s="6"/>
      <c r="P873" s="6"/>
      <c r="Q873" s="4" t="s">
        <v>4463</v>
      </c>
    </row>
    <row r="874" spans="4:17">
      <c r="D874" s="6" t="s">
        <v>7772</v>
      </c>
      <c r="E874" s="4" t="s">
        <v>3576</v>
      </c>
      <c r="F874" s="6"/>
      <c r="G874" s="4"/>
      <c r="H874" s="6"/>
      <c r="I874" s="6"/>
      <c r="J874" s="4" t="str">
        <f t="shared" si="14"/>
        <v/>
      </c>
      <c r="K874" s="11"/>
      <c r="L874" s="9"/>
      <c r="M874" s="12"/>
      <c r="N874" s="6"/>
      <c r="O874" s="6"/>
      <c r="P874" s="6"/>
      <c r="Q874" s="4" t="s">
        <v>4464</v>
      </c>
    </row>
    <row r="875" spans="4:17">
      <c r="D875" s="6" t="s">
        <v>7773</v>
      </c>
      <c r="E875" s="4" t="s">
        <v>3576</v>
      </c>
      <c r="F875" s="6"/>
      <c r="G875" s="4"/>
      <c r="H875" s="6"/>
      <c r="I875" s="6"/>
      <c r="J875" s="4" t="str">
        <f t="shared" si="14"/>
        <v/>
      </c>
      <c r="K875" s="11"/>
      <c r="L875" s="9"/>
      <c r="M875" s="12"/>
      <c r="N875" s="6"/>
      <c r="O875" s="6"/>
      <c r="P875" s="6"/>
      <c r="Q875" s="4" t="s">
        <v>4465</v>
      </c>
    </row>
    <row r="876" spans="4:17">
      <c r="D876" s="6" t="s">
        <v>7774</v>
      </c>
      <c r="E876" s="4" t="s">
        <v>3583</v>
      </c>
      <c r="F876" s="6"/>
      <c r="G876" s="4"/>
      <c r="H876" s="6"/>
      <c r="I876" s="6"/>
      <c r="J876" s="4" t="str">
        <f t="shared" si="14"/>
        <v/>
      </c>
      <c r="K876" s="11"/>
      <c r="L876" s="9"/>
      <c r="M876" s="12"/>
      <c r="N876" s="6"/>
      <c r="O876" s="6"/>
      <c r="P876" s="6"/>
      <c r="Q876" s="4" t="s">
        <v>4466</v>
      </c>
    </row>
    <row r="877" spans="4:17">
      <c r="D877" s="6" t="s">
        <v>7775</v>
      </c>
      <c r="E877" s="4" t="s">
        <v>3583</v>
      </c>
      <c r="F877" s="6"/>
      <c r="G877" s="4"/>
      <c r="H877" s="6"/>
      <c r="I877" s="6"/>
      <c r="J877" s="4" t="str">
        <f t="shared" si="14"/>
        <v/>
      </c>
      <c r="K877" s="11"/>
      <c r="L877" s="9"/>
      <c r="M877" s="12"/>
      <c r="N877" s="6"/>
      <c r="O877" s="6"/>
      <c r="P877" s="6"/>
      <c r="Q877" s="4" t="s">
        <v>4467</v>
      </c>
    </row>
    <row r="878" spans="4:17">
      <c r="D878" s="6" t="s">
        <v>7776</v>
      </c>
      <c r="E878" s="4" t="s">
        <v>3583</v>
      </c>
      <c r="F878" s="6"/>
      <c r="G878" s="4"/>
      <c r="H878" s="6"/>
      <c r="I878" s="6"/>
      <c r="J878" s="4" t="str">
        <f t="shared" si="14"/>
        <v/>
      </c>
      <c r="K878" s="11"/>
      <c r="L878" s="9"/>
      <c r="M878" s="12"/>
      <c r="N878" s="6"/>
      <c r="O878" s="6"/>
      <c r="P878" s="6"/>
      <c r="Q878" s="4" t="s">
        <v>4468</v>
      </c>
    </row>
    <row r="879" spans="4:17">
      <c r="D879" s="6" t="s">
        <v>7777</v>
      </c>
      <c r="E879" s="4" t="s">
        <v>3583</v>
      </c>
      <c r="F879" s="6"/>
      <c r="G879" s="4"/>
      <c r="H879" s="6"/>
      <c r="I879" s="6"/>
      <c r="J879" s="4" t="str">
        <f t="shared" si="14"/>
        <v/>
      </c>
      <c r="K879" s="11"/>
      <c r="L879" s="9"/>
      <c r="M879" s="12"/>
      <c r="N879" s="6"/>
      <c r="O879" s="6"/>
      <c r="P879" s="6"/>
      <c r="Q879" s="4" t="s">
        <v>4469</v>
      </c>
    </row>
    <row r="880" spans="4:17">
      <c r="D880" s="6" t="s">
        <v>7778</v>
      </c>
      <c r="E880" s="4" t="s">
        <v>3583</v>
      </c>
      <c r="F880" s="6"/>
      <c r="G880" s="4"/>
      <c r="H880" s="6"/>
      <c r="I880" s="6"/>
      <c r="J880" s="4" t="str">
        <f t="shared" si="14"/>
        <v/>
      </c>
      <c r="K880" s="11"/>
      <c r="L880" s="9"/>
      <c r="M880" s="12"/>
      <c r="N880" s="6"/>
      <c r="O880" s="6"/>
      <c r="P880" s="6"/>
      <c r="Q880" s="4" t="s">
        <v>4470</v>
      </c>
    </row>
    <row r="881" spans="4:17">
      <c r="D881" s="6" t="s">
        <v>7779</v>
      </c>
      <c r="E881" s="4" t="s">
        <v>3583</v>
      </c>
      <c r="F881" s="6"/>
      <c r="G881" s="4"/>
      <c r="H881" s="6"/>
      <c r="I881" s="6"/>
      <c r="J881" s="4" t="str">
        <f t="shared" si="14"/>
        <v/>
      </c>
      <c r="K881" s="11"/>
      <c r="L881" s="9"/>
      <c r="M881" s="12"/>
      <c r="N881" s="6"/>
      <c r="O881" s="6"/>
      <c r="P881" s="6"/>
      <c r="Q881" s="4" t="s">
        <v>4471</v>
      </c>
    </row>
    <row r="882" spans="4:17">
      <c r="D882" s="6" t="s">
        <v>7780</v>
      </c>
      <c r="E882" s="4" t="s">
        <v>3583</v>
      </c>
      <c r="F882" s="6"/>
      <c r="G882" s="4"/>
      <c r="H882" s="6"/>
      <c r="I882" s="6"/>
      <c r="J882" s="4" t="str">
        <f t="shared" si="14"/>
        <v/>
      </c>
      <c r="K882" s="11"/>
      <c r="L882" s="9"/>
      <c r="M882" s="12"/>
      <c r="N882" s="6"/>
      <c r="O882" s="6"/>
      <c r="P882" s="6"/>
      <c r="Q882" s="4" t="s">
        <v>4472</v>
      </c>
    </row>
    <row r="883" spans="4:17">
      <c r="D883" s="6" t="s">
        <v>7781</v>
      </c>
      <c r="E883" s="4" t="s">
        <v>3583</v>
      </c>
      <c r="F883" s="6"/>
      <c r="G883" s="4"/>
      <c r="H883" s="6"/>
      <c r="I883" s="6"/>
      <c r="J883" s="4" t="str">
        <f t="shared" si="14"/>
        <v/>
      </c>
      <c r="K883" s="11"/>
      <c r="L883" s="9"/>
      <c r="M883" s="12"/>
      <c r="N883" s="6"/>
      <c r="O883" s="6"/>
      <c r="P883" s="6"/>
      <c r="Q883" s="4" t="s">
        <v>4473</v>
      </c>
    </row>
    <row r="884" spans="4:17">
      <c r="D884" s="6" t="s">
        <v>7782</v>
      </c>
      <c r="E884" s="4" t="s">
        <v>3583</v>
      </c>
      <c r="F884" s="6"/>
      <c r="G884" s="4"/>
      <c r="H884" s="6"/>
      <c r="I884" s="6"/>
      <c r="J884" s="4" t="str">
        <f t="shared" si="14"/>
        <v/>
      </c>
      <c r="K884" s="11"/>
      <c r="L884" s="9"/>
      <c r="M884" s="12"/>
      <c r="N884" s="6"/>
      <c r="O884" s="6"/>
      <c r="P884" s="6"/>
      <c r="Q884" s="4" t="s">
        <v>4474</v>
      </c>
    </row>
    <row r="885" spans="4:17">
      <c r="D885" s="6" t="s">
        <v>7783</v>
      </c>
      <c r="E885" s="4" t="s">
        <v>3583</v>
      </c>
      <c r="F885" s="6"/>
      <c r="G885" s="4"/>
      <c r="H885" s="6"/>
      <c r="I885" s="6"/>
      <c r="J885" s="4" t="str">
        <f t="shared" si="14"/>
        <v/>
      </c>
      <c r="K885" s="11"/>
      <c r="L885" s="9"/>
      <c r="M885" s="12"/>
      <c r="N885" s="6"/>
      <c r="O885" s="6"/>
      <c r="P885" s="6"/>
      <c r="Q885" s="4" t="s">
        <v>4475</v>
      </c>
    </row>
    <row r="886" spans="4:17">
      <c r="D886" s="6" t="s">
        <v>7784</v>
      </c>
      <c r="E886" s="4" t="s">
        <v>3583</v>
      </c>
      <c r="F886" s="6"/>
      <c r="G886" s="4"/>
      <c r="H886" s="6"/>
      <c r="I886" s="6"/>
      <c r="J886" s="4" t="str">
        <f t="shared" si="14"/>
        <v/>
      </c>
      <c r="K886" s="11"/>
      <c r="L886" s="9"/>
      <c r="M886" s="12"/>
      <c r="N886" s="6"/>
      <c r="O886" s="6"/>
      <c r="P886" s="6"/>
      <c r="Q886" s="4" t="s">
        <v>4476</v>
      </c>
    </row>
    <row r="887" spans="4:17">
      <c r="D887" s="6" t="s">
        <v>7785</v>
      </c>
      <c r="E887" s="4" t="s">
        <v>3583</v>
      </c>
      <c r="F887" s="6"/>
      <c r="G887" s="4"/>
      <c r="H887" s="6"/>
      <c r="I887" s="6"/>
      <c r="J887" s="4" t="str">
        <f t="shared" si="14"/>
        <v/>
      </c>
      <c r="K887" s="11"/>
      <c r="L887" s="9"/>
      <c r="M887" s="12"/>
      <c r="N887" s="6"/>
      <c r="O887" s="6"/>
      <c r="P887" s="6"/>
      <c r="Q887" s="4" t="s">
        <v>4477</v>
      </c>
    </row>
    <row r="888" spans="4:17">
      <c r="D888" s="6" t="s">
        <v>7786</v>
      </c>
      <c r="E888" s="4" t="s">
        <v>3583</v>
      </c>
      <c r="F888" s="6"/>
      <c r="G888" s="4"/>
      <c r="H888" s="6"/>
      <c r="I888" s="6"/>
      <c r="J888" s="4" t="str">
        <f t="shared" si="14"/>
        <v/>
      </c>
      <c r="K888" s="11"/>
      <c r="L888" s="9"/>
      <c r="M888" s="12"/>
      <c r="N888" s="6"/>
      <c r="O888" s="6"/>
      <c r="P888" s="6"/>
      <c r="Q888" s="4" t="s">
        <v>4478</v>
      </c>
    </row>
    <row r="889" spans="4:17">
      <c r="D889" s="6" t="s">
        <v>7787</v>
      </c>
      <c r="E889" s="4" t="s">
        <v>3583</v>
      </c>
      <c r="F889" s="6"/>
      <c r="G889" s="4"/>
      <c r="H889" s="6"/>
      <c r="I889" s="6"/>
      <c r="J889" s="4" t="str">
        <f t="shared" si="14"/>
        <v/>
      </c>
      <c r="K889" s="11"/>
      <c r="L889" s="9"/>
      <c r="M889" s="12"/>
      <c r="N889" s="6"/>
      <c r="O889" s="6"/>
      <c r="P889" s="6"/>
      <c r="Q889" s="4" t="s">
        <v>4479</v>
      </c>
    </row>
    <row r="890" spans="4:17">
      <c r="D890" s="6" t="s">
        <v>7788</v>
      </c>
      <c r="E890" s="4" t="s">
        <v>3583</v>
      </c>
      <c r="F890" s="6"/>
      <c r="G890" s="4"/>
      <c r="H890" s="6"/>
      <c r="I890" s="6"/>
      <c r="J890" s="4" t="str">
        <f t="shared" si="14"/>
        <v/>
      </c>
      <c r="K890" s="11"/>
      <c r="L890" s="9"/>
      <c r="M890" s="12"/>
      <c r="N890" s="6"/>
      <c r="O890" s="6"/>
      <c r="P890" s="6"/>
      <c r="Q890" s="4" t="s">
        <v>4480</v>
      </c>
    </row>
    <row r="891" spans="4:17">
      <c r="D891" s="6" t="s">
        <v>7789</v>
      </c>
      <c r="E891" s="4" t="s">
        <v>3583</v>
      </c>
      <c r="F891" s="6"/>
      <c r="G891" s="4"/>
      <c r="H891" s="6"/>
      <c r="I891" s="6"/>
      <c r="J891" s="4" t="str">
        <f t="shared" si="14"/>
        <v/>
      </c>
      <c r="K891" s="11"/>
      <c r="L891" s="9"/>
      <c r="M891" s="12"/>
      <c r="N891" s="6"/>
      <c r="O891" s="6"/>
      <c r="P891" s="6"/>
      <c r="Q891" s="4" t="s">
        <v>4481</v>
      </c>
    </row>
    <row r="892" spans="4:17">
      <c r="D892" s="6" t="s">
        <v>7790</v>
      </c>
      <c r="E892" s="4" t="s">
        <v>3583</v>
      </c>
      <c r="F892" s="6"/>
      <c r="G892" s="4"/>
      <c r="H892" s="6"/>
      <c r="I892" s="6"/>
      <c r="J892" s="4" t="str">
        <f t="shared" ref="J892:J915" si="15">F892&amp;H892&amp;I892</f>
        <v/>
      </c>
      <c r="K892" s="11"/>
      <c r="L892" s="9"/>
      <c r="M892" s="12"/>
      <c r="N892" s="6"/>
      <c r="O892" s="6"/>
      <c r="P892" s="6"/>
      <c r="Q892" s="4" t="s">
        <v>4482</v>
      </c>
    </row>
    <row r="893" spans="4:17">
      <c r="D893" s="6" t="s">
        <v>7791</v>
      </c>
      <c r="E893" s="4" t="s">
        <v>3583</v>
      </c>
      <c r="F893" s="6"/>
      <c r="G893" s="4"/>
      <c r="H893" s="6"/>
      <c r="I893" s="6"/>
      <c r="J893" s="4" t="str">
        <f t="shared" si="15"/>
        <v/>
      </c>
      <c r="K893" s="11"/>
      <c r="L893" s="9"/>
      <c r="M893" s="12"/>
      <c r="N893" s="6"/>
      <c r="O893" s="6"/>
      <c r="P893" s="6"/>
      <c r="Q893" s="4" t="s">
        <v>4483</v>
      </c>
    </row>
    <row r="894" spans="4:17">
      <c r="D894" s="6" t="s">
        <v>7792</v>
      </c>
      <c r="E894" s="4" t="s">
        <v>3583</v>
      </c>
      <c r="F894" s="6"/>
      <c r="G894" s="4"/>
      <c r="H894" s="6"/>
      <c r="I894" s="6"/>
      <c r="J894" s="4" t="str">
        <f t="shared" si="15"/>
        <v/>
      </c>
      <c r="K894" s="11"/>
      <c r="L894" s="9"/>
      <c r="M894" s="12"/>
      <c r="N894" s="6"/>
      <c r="O894" s="6"/>
      <c r="P894" s="6"/>
      <c r="Q894" s="4" t="s">
        <v>4484</v>
      </c>
    </row>
    <row r="895" spans="4:17">
      <c r="D895" s="6" t="s">
        <v>7793</v>
      </c>
      <c r="E895" s="4" t="s">
        <v>3583</v>
      </c>
      <c r="F895" s="6"/>
      <c r="G895" s="4"/>
      <c r="H895" s="6"/>
      <c r="I895" s="6"/>
      <c r="J895" s="4" t="str">
        <f t="shared" si="15"/>
        <v/>
      </c>
      <c r="K895" s="11"/>
      <c r="L895" s="9"/>
      <c r="M895" s="12"/>
      <c r="N895" s="6"/>
      <c r="O895" s="6"/>
      <c r="P895" s="6"/>
      <c r="Q895" s="4" t="s">
        <v>4485</v>
      </c>
    </row>
    <row r="896" spans="4:17">
      <c r="D896" s="6" t="s">
        <v>7794</v>
      </c>
      <c r="E896" s="4" t="s">
        <v>3590</v>
      </c>
      <c r="F896" s="6"/>
      <c r="G896" s="4"/>
      <c r="H896" s="6"/>
      <c r="I896" s="6"/>
      <c r="J896" s="4" t="str">
        <f t="shared" si="15"/>
        <v/>
      </c>
      <c r="K896" s="11"/>
      <c r="L896" s="9"/>
      <c r="M896" s="12"/>
      <c r="N896" s="6"/>
      <c r="O896" s="6"/>
      <c r="P896" s="6"/>
      <c r="Q896" s="4" t="s">
        <v>4486</v>
      </c>
    </row>
    <row r="897" spans="4:17">
      <c r="D897" s="6" t="s">
        <v>7795</v>
      </c>
      <c r="E897" s="4" t="s">
        <v>3590</v>
      </c>
      <c r="F897" s="6"/>
      <c r="G897" s="4"/>
      <c r="H897" s="6"/>
      <c r="I897" s="6"/>
      <c r="J897" s="4" t="str">
        <f t="shared" si="15"/>
        <v/>
      </c>
      <c r="K897" s="11"/>
      <c r="L897" s="9"/>
      <c r="M897" s="12"/>
      <c r="N897" s="6"/>
      <c r="O897" s="6"/>
      <c r="P897" s="6"/>
      <c r="Q897" s="4" t="s">
        <v>4487</v>
      </c>
    </row>
    <row r="898" spans="4:17">
      <c r="D898" s="6" t="s">
        <v>7796</v>
      </c>
      <c r="E898" s="4" t="s">
        <v>3590</v>
      </c>
      <c r="F898" s="6"/>
      <c r="G898" s="4"/>
      <c r="H898" s="6"/>
      <c r="I898" s="6"/>
      <c r="J898" s="4" t="str">
        <f t="shared" si="15"/>
        <v/>
      </c>
      <c r="K898" s="11"/>
      <c r="L898" s="9"/>
      <c r="M898" s="12"/>
      <c r="N898" s="6"/>
      <c r="O898" s="6"/>
      <c r="P898" s="6"/>
      <c r="Q898" s="4" t="s">
        <v>4488</v>
      </c>
    </row>
    <row r="899" spans="4:17">
      <c r="D899" s="6" t="s">
        <v>7797</v>
      </c>
      <c r="E899" s="4" t="s">
        <v>3590</v>
      </c>
      <c r="F899" s="6"/>
      <c r="G899" s="4"/>
      <c r="H899" s="6"/>
      <c r="I899" s="6"/>
      <c r="J899" s="4" t="str">
        <f t="shared" si="15"/>
        <v/>
      </c>
      <c r="K899" s="11"/>
      <c r="L899" s="9"/>
      <c r="M899" s="12"/>
      <c r="N899" s="6"/>
      <c r="O899" s="6"/>
      <c r="P899" s="6"/>
      <c r="Q899" s="4" t="s">
        <v>4489</v>
      </c>
    </row>
    <row r="900" spans="4:17">
      <c r="D900" s="6" t="s">
        <v>7798</v>
      </c>
      <c r="E900" s="4" t="s">
        <v>3590</v>
      </c>
      <c r="F900" s="6"/>
      <c r="G900" s="4"/>
      <c r="H900" s="6"/>
      <c r="I900" s="6"/>
      <c r="J900" s="4" t="str">
        <f t="shared" si="15"/>
        <v/>
      </c>
      <c r="K900" s="11"/>
      <c r="L900" s="9"/>
      <c r="M900" s="12"/>
      <c r="N900" s="6"/>
      <c r="O900" s="6"/>
      <c r="P900" s="6"/>
      <c r="Q900" s="4" t="s">
        <v>4490</v>
      </c>
    </row>
    <row r="901" spans="4:17">
      <c r="D901" s="6" t="s">
        <v>7799</v>
      </c>
      <c r="E901" s="4" t="s">
        <v>3590</v>
      </c>
      <c r="F901" s="6"/>
      <c r="G901" s="4"/>
      <c r="H901" s="6"/>
      <c r="I901" s="6"/>
      <c r="J901" s="4" t="str">
        <f t="shared" si="15"/>
        <v/>
      </c>
      <c r="K901" s="11"/>
      <c r="L901" s="9"/>
      <c r="M901" s="12"/>
      <c r="N901" s="6"/>
      <c r="O901" s="6"/>
      <c r="P901" s="6"/>
      <c r="Q901" s="4" t="s">
        <v>4491</v>
      </c>
    </row>
    <row r="902" spans="4:17">
      <c r="D902" s="6" t="s">
        <v>7800</v>
      </c>
      <c r="E902" s="4" t="s">
        <v>3590</v>
      </c>
      <c r="F902" s="6"/>
      <c r="G902" s="4"/>
      <c r="H902" s="6"/>
      <c r="I902" s="6"/>
      <c r="J902" s="4" t="str">
        <f t="shared" si="15"/>
        <v/>
      </c>
      <c r="K902" s="11"/>
      <c r="L902" s="9"/>
      <c r="M902" s="12"/>
      <c r="N902" s="6"/>
      <c r="O902" s="6"/>
      <c r="P902" s="6"/>
      <c r="Q902" s="4" t="s">
        <v>4492</v>
      </c>
    </row>
    <row r="903" spans="4:17">
      <c r="D903" s="6" t="s">
        <v>7801</v>
      </c>
      <c r="E903" s="4" t="s">
        <v>3590</v>
      </c>
      <c r="F903" s="6"/>
      <c r="G903" s="4"/>
      <c r="H903" s="6"/>
      <c r="I903" s="6"/>
      <c r="J903" s="4" t="str">
        <f t="shared" si="15"/>
        <v/>
      </c>
      <c r="K903" s="11"/>
      <c r="L903" s="9"/>
      <c r="M903" s="12"/>
      <c r="N903" s="6"/>
      <c r="O903" s="6"/>
      <c r="P903" s="6"/>
      <c r="Q903" s="4" t="s">
        <v>4493</v>
      </c>
    </row>
    <row r="904" spans="4:17">
      <c r="D904" s="6" t="s">
        <v>7802</v>
      </c>
      <c r="E904" s="4" t="s">
        <v>3590</v>
      </c>
      <c r="F904" s="6"/>
      <c r="G904" s="4"/>
      <c r="H904" s="6"/>
      <c r="I904" s="6"/>
      <c r="J904" s="4" t="str">
        <f t="shared" si="15"/>
        <v/>
      </c>
      <c r="K904" s="11"/>
      <c r="L904" s="9"/>
      <c r="M904" s="12"/>
      <c r="N904" s="6"/>
      <c r="O904" s="6"/>
      <c r="P904" s="6"/>
      <c r="Q904" s="4" t="s">
        <v>4494</v>
      </c>
    </row>
    <row r="905" spans="4:17">
      <c r="D905" s="6" t="s">
        <v>7803</v>
      </c>
      <c r="E905" s="4" t="s">
        <v>3590</v>
      </c>
      <c r="F905" s="6"/>
      <c r="G905" s="4"/>
      <c r="H905" s="6"/>
      <c r="I905" s="6"/>
      <c r="J905" s="4" t="str">
        <f t="shared" si="15"/>
        <v/>
      </c>
      <c r="K905" s="11"/>
      <c r="L905" s="9"/>
      <c r="M905" s="12"/>
      <c r="N905" s="6"/>
      <c r="O905" s="6"/>
      <c r="P905" s="6"/>
      <c r="Q905" s="4" t="s">
        <v>4495</v>
      </c>
    </row>
    <row r="906" spans="4:17">
      <c r="D906" s="6" t="s">
        <v>7804</v>
      </c>
      <c r="E906" s="4" t="s">
        <v>3590</v>
      </c>
      <c r="F906" s="6"/>
      <c r="G906" s="4"/>
      <c r="H906" s="6"/>
      <c r="I906" s="6"/>
      <c r="J906" s="4" t="str">
        <f t="shared" si="15"/>
        <v/>
      </c>
      <c r="K906" s="11"/>
      <c r="L906" s="9"/>
      <c r="M906" s="12"/>
      <c r="N906" s="6"/>
      <c r="O906" s="6"/>
      <c r="P906" s="6"/>
      <c r="Q906" s="4" t="s">
        <v>4496</v>
      </c>
    </row>
    <row r="907" spans="4:17">
      <c r="D907" s="6" t="s">
        <v>7805</v>
      </c>
      <c r="E907" s="4" t="s">
        <v>3590</v>
      </c>
      <c r="F907" s="6"/>
      <c r="G907" s="4"/>
      <c r="H907" s="6"/>
      <c r="I907" s="6"/>
      <c r="J907" s="4" t="str">
        <f t="shared" si="15"/>
        <v/>
      </c>
      <c r="K907" s="11"/>
      <c r="L907" s="9"/>
      <c r="M907" s="12"/>
      <c r="N907" s="6"/>
      <c r="O907" s="6"/>
      <c r="P907" s="6"/>
      <c r="Q907" s="4" t="s">
        <v>4497</v>
      </c>
    </row>
    <row r="908" spans="4:17">
      <c r="D908" s="6" t="s">
        <v>7806</v>
      </c>
      <c r="E908" s="4" t="s">
        <v>3590</v>
      </c>
      <c r="F908" s="6"/>
      <c r="G908" s="4"/>
      <c r="H908" s="6"/>
      <c r="I908" s="6"/>
      <c r="J908" s="4" t="str">
        <f t="shared" si="15"/>
        <v/>
      </c>
      <c r="K908" s="11"/>
      <c r="L908" s="9"/>
      <c r="M908" s="12"/>
      <c r="N908" s="6"/>
      <c r="O908" s="6"/>
      <c r="P908" s="6"/>
      <c r="Q908" s="4" t="s">
        <v>4498</v>
      </c>
    </row>
    <row r="909" spans="4:17">
      <c r="D909" s="6" t="s">
        <v>7807</v>
      </c>
      <c r="E909" s="4" t="s">
        <v>3590</v>
      </c>
      <c r="F909" s="6"/>
      <c r="G909" s="4"/>
      <c r="H909" s="6"/>
      <c r="I909" s="6"/>
      <c r="J909" s="4" t="str">
        <f t="shared" si="15"/>
        <v/>
      </c>
      <c r="K909" s="11"/>
      <c r="L909" s="9"/>
      <c r="M909" s="12"/>
      <c r="N909" s="6"/>
      <c r="O909" s="6"/>
      <c r="P909" s="6"/>
      <c r="Q909" s="4" t="s">
        <v>4499</v>
      </c>
    </row>
    <row r="910" spans="4:17">
      <c r="D910" s="6" t="s">
        <v>7808</v>
      </c>
      <c r="E910" s="4" t="s">
        <v>3590</v>
      </c>
      <c r="F910" s="6"/>
      <c r="G910" s="4"/>
      <c r="H910" s="6"/>
      <c r="I910" s="6"/>
      <c r="J910" s="4" t="str">
        <f t="shared" si="15"/>
        <v/>
      </c>
      <c r="K910" s="11"/>
      <c r="L910" s="9"/>
      <c r="M910" s="12"/>
      <c r="N910" s="6"/>
      <c r="O910" s="6"/>
      <c r="P910" s="6"/>
      <c r="Q910" s="4" t="s">
        <v>4500</v>
      </c>
    </row>
    <row r="911" spans="4:17">
      <c r="D911" s="6" t="s">
        <v>7809</v>
      </c>
      <c r="E911" s="4" t="s">
        <v>3590</v>
      </c>
      <c r="F911" s="6"/>
      <c r="G911" s="4"/>
      <c r="H911" s="6"/>
      <c r="I911" s="6"/>
      <c r="J911" s="4" t="str">
        <f t="shared" si="15"/>
        <v/>
      </c>
      <c r="K911" s="11"/>
      <c r="L911" s="9"/>
      <c r="M911" s="12"/>
      <c r="N911" s="6"/>
      <c r="O911" s="6"/>
      <c r="P911" s="6"/>
      <c r="Q911" s="4" t="s">
        <v>4501</v>
      </c>
    </row>
    <row r="912" spans="4:17">
      <c r="D912" s="6" t="s">
        <v>7810</v>
      </c>
      <c r="E912" s="4" t="s">
        <v>3590</v>
      </c>
      <c r="F912" s="6"/>
      <c r="G912" s="4"/>
      <c r="H912" s="6"/>
      <c r="I912" s="6"/>
      <c r="J912" s="4" t="str">
        <f t="shared" si="15"/>
        <v/>
      </c>
      <c r="K912" s="11"/>
      <c r="L912" s="9"/>
      <c r="M912" s="12"/>
      <c r="N912" s="6"/>
      <c r="O912" s="6"/>
      <c r="P912" s="6"/>
      <c r="Q912" s="4" t="s">
        <v>4502</v>
      </c>
    </row>
    <row r="913" spans="4:17">
      <c r="D913" s="6" t="s">
        <v>7811</v>
      </c>
      <c r="E913" s="4" t="s">
        <v>3590</v>
      </c>
      <c r="F913" s="6"/>
      <c r="G913" s="4"/>
      <c r="H913" s="6"/>
      <c r="I913" s="6"/>
      <c r="J913" s="4" t="str">
        <f t="shared" si="15"/>
        <v/>
      </c>
      <c r="K913" s="11"/>
      <c r="L913" s="9"/>
      <c r="M913" s="12"/>
      <c r="N913" s="6"/>
      <c r="O913" s="6"/>
      <c r="P913" s="6"/>
      <c r="Q913" s="4" t="s">
        <v>4503</v>
      </c>
    </row>
    <row r="914" spans="4:17">
      <c r="D914" s="6" t="s">
        <v>7812</v>
      </c>
      <c r="E914" s="4" t="s">
        <v>3590</v>
      </c>
      <c r="F914" s="6"/>
      <c r="G914" s="4"/>
      <c r="H914" s="6"/>
      <c r="I914" s="6"/>
      <c r="J914" s="4" t="str">
        <f t="shared" si="15"/>
        <v/>
      </c>
      <c r="K914" s="11"/>
      <c r="L914" s="9"/>
      <c r="M914" s="12"/>
      <c r="N914" s="6"/>
      <c r="O914" s="6"/>
      <c r="P914" s="6"/>
      <c r="Q914" s="4" t="s">
        <v>4504</v>
      </c>
    </row>
    <row r="915" spans="4:17">
      <c r="D915" s="6" t="s">
        <v>7813</v>
      </c>
      <c r="E915" s="4" t="s">
        <v>3590</v>
      </c>
      <c r="F915" s="6"/>
      <c r="G915" s="4"/>
      <c r="H915" s="6"/>
      <c r="I915" s="6"/>
      <c r="J915" s="4" t="str">
        <f t="shared" si="15"/>
        <v/>
      </c>
      <c r="K915" s="11"/>
      <c r="L915" s="9"/>
      <c r="M915" s="12"/>
      <c r="N915" s="6"/>
      <c r="O915" s="6"/>
      <c r="P915" s="6"/>
      <c r="Q915" s="4" t="s">
        <v>4505</v>
      </c>
    </row>
  </sheetData>
  <dataValidations count="9">
    <dataValidation type="list" allowBlank="1" showInputMessage="1" showErrorMessage="1" errorTitle="X-Author for Excel" error="Please select a value from the drop-down." promptTitle="X-Author for Excel" sqref="N315:N915" xr:uid="{00000000-0002-0000-1000-000000000000}">
      <formula1>IF(IFERROR(ROWS(INDIRECT(SUBSTITUTE("AIM_Coverage_Disaggregation__c.AIM_Year__c"," ","_"))),-1)&lt;0,XAuthorInvalidPicklistData,INDIRECT(SUBSTITUTE("AIM_Coverage_Disaggregation__c.AIM_Year__c"," ","_")))</formula1>
    </dataValidation>
    <dataValidation type="list" allowBlank="1" showInputMessage="1" showErrorMessage="1" errorTitle="X-Author for Excel" error="Please select a value from the drop-down." promptTitle="X-Author for Excel" sqref="L3:L153" xr:uid="{00000000-0002-0000-1000-000001000000}">
      <formula1>IF(IFERROR(ROWS(INDIRECT(SUBSTITUTE("AIM_Impact_Disaggregation__c.AIM_Baseline_Year__c"," ","_"))),-1)&lt;0,XAuthorInvalidPicklistData,INDIRECT(SUBSTITUTE("AIM_Impact_Disaggregation__c.AIM_Baseline_Year__c"," ","_")))</formula1>
    </dataValidation>
    <dataValidation type="decimal" allowBlank="1" showInputMessage="1" showErrorMessage="1" errorTitle="X-Author for Excel" error="Please enter a valid numeric value. Valid range for Baseline N# is -1E+16 to 1E+16." promptTitle="X-Author for Excel" sqref="K315:K915" xr:uid="{00000000-0002-0000-1000-000002000000}">
      <formula1>-10000000000000000</formula1>
      <formula2>10000000000000000</formula2>
    </dataValidation>
    <dataValidation type="list" allowBlank="1" showInputMessage="1" showErrorMessage="1" errorTitle="X-Author for Excel" error="Please select a value from the drop-down." promptTitle="X-Author for Excel" sqref="L159:L309" xr:uid="{00000000-0002-0000-1000-000003000000}">
      <formula1>IF(IFERROR(ROWS(INDIRECT(SUBSTITUTE("AIM_Outcome_Disaggregation__c.AIM_Baseline_Year__c"," ","_"))),-1)&lt;0,XAuthorInvalidPicklistData,INDIRECT(SUBSTITUTE("AIM_Outcome_Disaggregation__c.AIM_Baseline_Year__c"," ","_")))</formula1>
    </dataValidation>
    <dataValidation type="custom" allowBlank="1" showInputMessage="1" showErrorMessage="1" errorTitle="X-Author for Excel" error="Id and Lookup fields are not editable." promptTitle="X-Author for Excel" sqref="O3:O153 O159:O309 Q315:Q915" xr:uid="{00000000-0002-0000-1000-000004000000}">
      <formula1>""</formula1>
    </dataValidation>
    <dataValidation type="decimal" allowBlank="1" showInputMessage="1" showErrorMessage="1" errorTitle="X-Author for Excel" error="Please enter a valid numeric value. Valid range for Baseline D# is -1E+16 to 1E+16." promptTitle="X-Author for Excel" sqref="L315:L915 P3:P153" xr:uid="{00000000-0002-0000-1000-000005000000}">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M315:M915" xr:uid="{00000000-0002-0000-1000-000006000000}">
      <formula1>-999.9</formula1>
      <formula2>999.9</formula2>
    </dataValidation>
    <dataValidation type="decimal" allowBlank="1" showInputMessage="1" showErrorMessage="1" errorTitle="X-Author for Excel" error="Please enter a valid numeric value. Valid range for Baseline N# is -100000000000000 to 100000000000000." promptTitle="X-Author for Excel" sqref="Q3:Q153" xr:uid="{00000000-0002-0000-1000-000007000000}">
      <formula1>-100000000000000</formula1>
      <formula2>100000000000000</formula2>
    </dataValidation>
    <dataValidation type="decimal" allowBlank="1" showInputMessage="1" showErrorMessage="1" errorTitle="X-Author for Excel" error="Please enter a valid numeric value. Valid range for Baseline % is -999.99 to 999.99." promptTitle="X-Author for Excel" sqref="R3:R153" xr:uid="{00000000-0002-0000-1000-000008000000}">
      <formula1>-999.99</formula1>
      <formula2>999.99</formula2>
    </dataValidation>
  </dataValidation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1110"/>
  <sheetViews>
    <sheetView zoomScaleSheetLayoutView="100" workbookViewId="0">
      <selection activeCell="F2" sqref="F2"/>
    </sheetView>
  </sheetViews>
  <sheetFormatPr defaultColWidth="8.625" defaultRowHeight="12.75"/>
  <cols>
    <col min="1" max="1" width="13.625" style="3" customWidth="1"/>
    <col min="2" max="2" width="24.125" style="3" customWidth="1"/>
    <col min="3" max="3" width="12.625" style="3" customWidth="1"/>
    <col min="4" max="4" width="13.625" style="3" customWidth="1"/>
    <col min="5" max="5" width="26.75" style="3" customWidth="1"/>
    <col min="6" max="6" width="18.75" style="3" customWidth="1"/>
    <col min="7" max="16384" width="8.625" style="3"/>
  </cols>
  <sheetData>
    <row r="1" spans="1:7">
      <c r="A1" s="732" t="s">
        <v>7814</v>
      </c>
      <c r="B1" s="732"/>
      <c r="C1" s="732"/>
      <c r="D1" s="732"/>
    </row>
    <row r="2" spans="1:7">
      <c r="A2" s="4" t="s">
        <v>342</v>
      </c>
      <c r="B2" s="411" t="s">
        <v>352</v>
      </c>
      <c r="C2" s="5"/>
      <c r="D2" s="4" t="s">
        <v>7815</v>
      </c>
      <c r="E2" s="4" t="s">
        <v>341</v>
      </c>
      <c r="F2" s="4" t="str">
        <f>A2</f>
        <v>Account Role ID</v>
      </c>
      <c r="G2" s="4" t="s">
        <v>2302</v>
      </c>
    </row>
    <row r="3" spans="1:7" hidden="1">
      <c r="A3" s="6" t="s">
        <v>346</v>
      </c>
      <c r="B3" s="4" t="s">
        <v>344</v>
      </c>
      <c r="C3" s="4" t="str">
        <f t="array" ref="C3">IFERROR(INDEX($B$3:$B$14,MATCH(0,COUNTIF($C$2:C2,$B$3:$B$14&amp;"")+IF($B$3:$B$14="",1,0),0)),"")</f>
        <v>[Account (Name)]</v>
      </c>
      <c r="D3" s="4" t="s">
        <v>355</v>
      </c>
      <c r="E3" s="6" t="s">
        <v>345</v>
      </c>
      <c r="F3" s="6" t="str">
        <f>A3</f>
        <v>[Account Role ID]</v>
      </c>
      <c r="G3" s="4" t="s">
        <v>2367</v>
      </c>
    </row>
    <row r="4" spans="1:7">
      <c r="A4" s="6" t="s">
        <v>7816</v>
      </c>
      <c r="B4" s="4" t="s">
        <v>356</v>
      </c>
      <c r="C4" s="4" t="str">
        <f t="array" ref="C4">IFERROR(INDEX($B$3:$B$14,MATCH(0,COUNTIF($C$2:C3,$B$3:$B$14&amp;"")+IF($B$3:$B$14="",1,0),0)),"")</f>
        <v>United Nations Development Programme</v>
      </c>
      <c r="D4" s="4" t="s">
        <v>7817</v>
      </c>
      <c r="E4" s="6" t="s">
        <v>7818</v>
      </c>
      <c r="F4" s="6" t="str">
        <f t="shared" ref="F4:F13" si="0">A4</f>
        <v>AR-06744</v>
      </c>
      <c r="G4" s="4"/>
    </row>
    <row r="5" spans="1:7">
      <c r="A5" s="6" t="s">
        <v>7819</v>
      </c>
      <c r="B5" s="4" t="s">
        <v>356</v>
      </c>
      <c r="C5" s="4" t="str">
        <f t="array" ref="C5">IFERROR(INDEX($B$3:$B$14,MATCH(0,COUNTIF($C$2:C4,$B$3:$B$14&amp;"")+IF($B$3:$B$14="",1,0),0)),"")</f>
        <v>Humanist Institute for Co-operation with Developing Countries</v>
      </c>
      <c r="D5" s="4" t="s">
        <v>7817</v>
      </c>
      <c r="E5" s="6" t="s">
        <v>7820</v>
      </c>
      <c r="F5" s="6" t="str">
        <f t="shared" si="0"/>
        <v>AR-00963</v>
      </c>
      <c r="G5" s="4"/>
    </row>
    <row r="6" spans="1:7">
      <c r="A6" s="6" t="s">
        <v>7821</v>
      </c>
      <c r="B6" s="4" t="s">
        <v>356</v>
      </c>
      <c r="C6" s="4" t="str">
        <f t="array" ref="C6">IFERROR(INDEX($B$3:$B$14,MATCH(0,COUNTIF($C$2:C5,$B$3:$B$14&amp;"")+IF($B$3:$B$14="",1,0),0)),"")</f>
        <v>Asociación Protección a la Salud</v>
      </c>
      <c r="D6" s="4" t="s">
        <v>7817</v>
      </c>
      <c r="E6" s="6" t="s">
        <v>7822</v>
      </c>
      <c r="F6" s="6" t="str">
        <f t="shared" si="0"/>
        <v>AR-00962</v>
      </c>
      <c r="G6" s="4"/>
    </row>
    <row r="7" spans="1:7">
      <c r="A7" s="6" t="s">
        <v>7823</v>
      </c>
      <c r="B7" s="4" t="s">
        <v>7824</v>
      </c>
      <c r="C7" s="4" t="str">
        <f t="array" ref="C7">IFERROR(INDEX($B$3:$B$14,MATCH(0,COUNTIF($C$2:C6,$B$3:$B$14&amp;"")+IF($B$3:$B$14="",1,0),0)),"")</f>
        <v/>
      </c>
      <c r="D7" s="4" t="s">
        <v>7825</v>
      </c>
      <c r="E7" s="6" t="s">
        <v>7826</v>
      </c>
      <c r="F7" s="6" t="str">
        <f t="shared" si="0"/>
        <v>AR-00964</v>
      </c>
      <c r="G7" s="4"/>
    </row>
    <row r="8" spans="1:7">
      <c r="A8" s="6" t="s">
        <v>7827</v>
      </c>
      <c r="B8" s="4" t="s">
        <v>7828</v>
      </c>
      <c r="C8" s="4" t="str">
        <f t="array" ref="C8">IFERROR(INDEX($B$3:$B$14,MATCH(0,COUNTIF($C$2:C7,$B$3:$B$14&amp;"")+IF($B$3:$B$14="",1,0),0)),"")</f>
        <v/>
      </c>
      <c r="D8" s="4" t="s">
        <v>7829</v>
      </c>
      <c r="E8" s="6" t="s">
        <v>7830</v>
      </c>
      <c r="F8" s="6" t="str">
        <f t="shared" si="0"/>
        <v>AR-01311</v>
      </c>
      <c r="G8" s="4"/>
    </row>
    <row r="9" spans="1:7">
      <c r="A9" s="6" t="s">
        <v>7831</v>
      </c>
      <c r="B9" s="4" t="s">
        <v>7824</v>
      </c>
      <c r="C9" s="4" t="str">
        <f t="array" ref="C9">IFERROR(INDEX($B$3:$B$14,MATCH(0,COUNTIF($C$2:C8,$B$3:$B$14&amp;"")+IF($B$3:$B$14="",1,0),0)),"")</f>
        <v/>
      </c>
      <c r="D9" s="4" t="s">
        <v>7825</v>
      </c>
      <c r="E9" s="6" t="s">
        <v>7832</v>
      </c>
      <c r="F9" s="6" t="str">
        <f t="shared" si="0"/>
        <v>AR-01207</v>
      </c>
      <c r="G9" s="4"/>
    </row>
    <row r="10" spans="1:7">
      <c r="A10" s="6" t="s">
        <v>7833</v>
      </c>
      <c r="B10" s="4" t="s">
        <v>356</v>
      </c>
      <c r="C10" s="4" t="str">
        <f t="array" ref="C10">IFERROR(INDEX($B$3:$B$14,MATCH(0,COUNTIF($C$2:C9,$B$3:$B$14&amp;"")+IF($B$3:$B$14="",1,0),0)),"")</f>
        <v/>
      </c>
      <c r="D10" s="4" t="s">
        <v>7817</v>
      </c>
      <c r="E10" s="6" t="s">
        <v>7834</v>
      </c>
      <c r="F10" s="6" t="str">
        <f t="shared" si="0"/>
        <v>AR-02558</v>
      </c>
      <c r="G10" s="4"/>
    </row>
    <row r="11" spans="1:7">
      <c r="A11" s="6" t="s">
        <v>7835</v>
      </c>
      <c r="B11" s="4" t="s">
        <v>356</v>
      </c>
      <c r="C11" s="4" t="str">
        <f t="array" ref="C11">IFERROR(INDEX($B$3:$B$14,MATCH(0,COUNTIF($C$2:C10,$B$3:$B$14&amp;"")+IF($B$3:$B$14="",1,0),0)),"")</f>
        <v/>
      </c>
      <c r="D11" s="4" t="s">
        <v>7817</v>
      </c>
      <c r="E11" s="6" t="s">
        <v>7836</v>
      </c>
      <c r="F11" s="6" t="str">
        <f t="shared" si="0"/>
        <v>AR-06084</v>
      </c>
      <c r="G11" s="4"/>
    </row>
    <row r="12" spans="1:7">
      <c r="A12" s="6" t="s">
        <v>7837</v>
      </c>
      <c r="B12" s="4" t="s">
        <v>7824</v>
      </c>
      <c r="C12" s="4" t="str">
        <f t="array" ref="C12">IFERROR(INDEX($B$3:$B$14,MATCH(0,COUNTIF($C$2:C11,$B$3:$B$14&amp;"")+IF($B$3:$B$14="",1,0),0)),"")</f>
        <v/>
      </c>
      <c r="D12" s="4" t="s">
        <v>7825</v>
      </c>
      <c r="E12" s="6" t="s">
        <v>7838</v>
      </c>
      <c r="F12" s="6" t="str">
        <f t="shared" si="0"/>
        <v>AR-06085</v>
      </c>
      <c r="G12" s="4"/>
    </row>
    <row r="13" spans="1:7">
      <c r="A13" s="6" t="s">
        <v>7839</v>
      </c>
      <c r="B13" s="4" t="s">
        <v>356</v>
      </c>
      <c r="C13" s="4" t="str">
        <f t="array" ref="C13">IFERROR(INDEX($B$3:$B$14,MATCH(0,COUNTIF($C$2:C12,$B$3:$B$14&amp;"")+IF($B$3:$B$14="",1,0),0)),"")</f>
        <v/>
      </c>
      <c r="D13" s="4" t="s">
        <v>7817</v>
      </c>
      <c r="E13" s="6" t="s">
        <v>7840</v>
      </c>
      <c r="F13" s="6" t="str">
        <f t="shared" si="0"/>
        <v>AR-10689</v>
      </c>
      <c r="G13" s="4"/>
    </row>
    <row r="15" spans="1:7" hidden="1"/>
    <row r="16" spans="1:7" hidden="1"/>
    <row r="17" spans="1:4" hidden="1"/>
    <row r="18" spans="1:4" hidden="1"/>
    <row r="20" spans="1:4">
      <c r="A20" s="732" t="s">
        <v>7841</v>
      </c>
      <c r="B20" s="732"/>
      <c r="C20" s="732"/>
      <c r="D20" s="732"/>
    </row>
    <row r="21" spans="1:4">
      <c r="A21" s="4" t="s">
        <v>342</v>
      </c>
      <c r="B21" s="4" t="s">
        <v>352</v>
      </c>
      <c r="C21" s="4"/>
      <c r="D21" s="4" t="s">
        <v>7815</v>
      </c>
    </row>
    <row r="22" spans="1:4" hidden="1">
      <c r="A22" s="6" t="s">
        <v>346</v>
      </c>
      <c r="B22" s="4" t="s">
        <v>344</v>
      </c>
      <c r="C22" s="4" t="str">
        <f t="array" ref="C22">IFERROR(INDEX($B$22:$B$294,MATCH(0,COUNTIF($C$21:C21,$B$22:$B$294&amp;"")+IF($B$22:$B$294="",1,0),0)),"")</f>
        <v>[Account (Name)]</v>
      </c>
      <c r="D22" s="4" t="s">
        <v>355</v>
      </c>
    </row>
    <row r="23" spans="1:4">
      <c r="A23" s="6" t="s">
        <v>7842</v>
      </c>
      <c r="B23" s="4" t="s">
        <v>7843</v>
      </c>
      <c r="C23" s="4" t="str">
        <f t="array" ref="C23">IFERROR(INDEX($B$22:$B$294,MATCH(0,COUNTIF($C$21:C22,$B$22:$B$294&amp;"")+IF($B$22:$B$294="",1,0),0)),"")</f>
        <v>Kazakh scientific center of dermatology and infectious diseases of the Ministry of Health of the Republic of Kazakhstan</v>
      </c>
      <c r="D23" s="4" t="s">
        <v>7844</v>
      </c>
    </row>
    <row r="24" spans="1:4">
      <c r="A24" s="6" t="s">
        <v>7845</v>
      </c>
      <c r="B24" s="4" t="s">
        <v>7846</v>
      </c>
      <c r="C24" s="4" t="str">
        <f t="array" ref="C24">IFERROR(INDEX($B$22:$B$294,MATCH(0,COUNTIF($C$21:C23,$B$22:$B$294&amp;"")+IF($B$22:$B$294="",1,0),0)),"")</f>
        <v>Project HOPE  - the People to People Health Foundation</v>
      </c>
      <c r="D24" s="4" t="s">
        <v>7847</v>
      </c>
    </row>
    <row r="25" spans="1:4">
      <c r="A25" s="6" t="s">
        <v>7848</v>
      </c>
      <c r="B25" s="4" t="s">
        <v>7849</v>
      </c>
      <c r="C25" s="4" t="str">
        <f t="array" ref="C25">IFERROR(INDEX($B$22:$B$294,MATCH(0,COUNTIF($C$21:C24,$B$22:$B$294&amp;"")+IF($B$22:$B$294="",1,0),0)),"")</f>
        <v>RSE on REU “National Scientific Center of Phthisiopulmonology of the Republic of  Kazakhstan” of the Ministry of Health of the Republic of  Kazakhstan</v>
      </c>
      <c r="D25" s="4" t="s">
        <v>7850</v>
      </c>
    </row>
    <row r="26" spans="1:4">
      <c r="A26" s="6" t="s">
        <v>7851</v>
      </c>
      <c r="B26" s="4" t="s">
        <v>7843</v>
      </c>
      <c r="C26" s="4" t="str">
        <f t="array" ref="C26">IFERROR(INDEX($B$22:$B$294,MATCH(0,COUNTIF($C$21:C25,$B$22:$B$294&amp;"")+IF($B$22:$B$294="",1,0),0)),"")</f>
        <v>United Nations Development Programme</v>
      </c>
      <c r="D26" s="4" t="s">
        <v>7844</v>
      </c>
    </row>
    <row r="27" spans="1:4">
      <c r="A27" s="6" t="s">
        <v>7852</v>
      </c>
      <c r="B27" s="4" t="s">
        <v>7849</v>
      </c>
      <c r="C27" s="4" t="str">
        <f t="array" ref="C27">IFERROR(INDEX($B$22:$B$294,MATCH(0,COUNTIF($C$21:C26,$B$22:$B$294&amp;"")+IF($B$22:$B$294="",1,0),0)),"")</f>
        <v>Republican Center of Tuberculosis Control - Tajikistan</v>
      </c>
      <c r="D27" s="4" t="s">
        <v>7850</v>
      </c>
    </row>
    <row r="28" spans="1:4">
      <c r="A28" s="6" t="s">
        <v>7853</v>
      </c>
      <c r="B28" s="4" t="s">
        <v>7849</v>
      </c>
      <c r="C28" s="4" t="str">
        <f t="array" ref="C28">IFERROR(INDEX($B$22:$B$294,MATCH(0,COUNTIF($C$21:C27,$B$22:$B$294&amp;"")+IF($B$22:$B$294="",1,0),0)),"")</f>
        <v>Republican Specialized Scientific-Practical Medical Center of Phthisiology and Pulmonology</v>
      </c>
      <c r="D28" s="4" t="s">
        <v>7850</v>
      </c>
    </row>
    <row r="29" spans="1:4">
      <c r="A29" s="6" t="s">
        <v>7854</v>
      </c>
      <c r="B29" s="4" t="s">
        <v>356</v>
      </c>
      <c r="C29" s="4" t="str">
        <f t="array" ref="C29">IFERROR(INDEX($B$22:$B$294,MATCH(0,COUNTIF($C$21:C28,$B$22:$B$294&amp;"")+IF($B$22:$B$294="",1,0),0)),"")</f>
        <v>Republican Center to Fight AIDS</v>
      </c>
      <c r="D29" s="4" t="s">
        <v>7855</v>
      </c>
    </row>
    <row r="30" spans="1:4">
      <c r="A30" s="6" t="s">
        <v>7856</v>
      </c>
      <c r="B30" s="4" t="s">
        <v>356</v>
      </c>
      <c r="C30" s="4" t="str">
        <f t="array" ref="C30">IFERROR(INDEX($B$22:$B$294,MATCH(0,COUNTIF($C$21:C29,$B$22:$B$294&amp;"")+IF($B$22:$B$294="",1,0),0)),"")</f>
        <v>Republican Center of State Sanitary-Epidemiological Surveillance of the Republic of Uzbekistan</v>
      </c>
      <c r="D30" s="4" t="s">
        <v>7855</v>
      </c>
    </row>
    <row r="31" spans="1:4">
      <c r="A31" s="6" t="s">
        <v>7857</v>
      </c>
      <c r="B31" s="4" t="s">
        <v>356</v>
      </c>
      <c r="C31" s="4" t="str">
        <f t="array" ref="C31">IFERROR(INDEX($B$22:$B$294,MATCH(0,COUNTIF($C$21:C30,$B$22:$B$294&amp;"")+IF($B$22:$B$294="",1,0),0)),"")</f>
        <v>Republican DOTS Centre  Ministry of Health of the Republic of Uzbekistan</v>
      </c>
      <c r="D31" s="4" t="s">
        <v>7855</v>
      </c>
    </row>
    <row r="32" spans="1:4">
      <c r="A32" s="6" t="s">
        <v>7858</v>
      </c>
      <c r="B32" s="4" t="s">
        <v>7846</v>
      </c>
      <c r="C32" s="4" t="str">
        <f t="array" ref="C32">IFERROR(INDEX($B$22:$B$294,MATCH(0,COUNTIF($C$21:C31,$B$22:$B$294&amp;"")+IF($B$22:$B$294="",1,0),0)),"")</f>
        <v>Ministry of Health of Mongolia</v>
      </c>
      <c r="D32" s="4" t="s">
        <v>7859</v>
      </c>
    </row>
    <row r="33" spans="1:4">
      <c r="A33" s="6" t="s">
        <v>7860</v>
      </c>
      <c r="B33" s="4" t="s">
        <v>356</v>
      </c>
      <c r="C33" s="4" t="str">
        <f t="array" ref="C33">IFERROR(INDEX($B$22:$B$294,MATCH(0,COUNTIF($C$21:C32,$B$22:$B$294&amp;"")+IF($B$22:$B$294="",1,0),0)),"")</f>
        <v>Ministry of Health of the Democratic Republic of Timor-Leste</v>
      </c>
      <c r="D33" s="4" t="s">
        <v>7855</v>
      </c>
    </row>
    <row r="34" spans="1:4">
      <c r="A34" s="6" t="s">
        <v>7861</v>
      </c>
      <c r="B34" s="4" t="s">
        <v>356</v>
      </c>
      <c r="C34" s="4" t="str">
        <f t="array" ref="C34">IFERROR(INDEX($B$22:$B$294,MATCH(0,COUNTIF($C$21:C33,$B$22:$B$294&amp;"")+IF($B$22:$B$294="",1,0),0)),"")</f>
        <v>Ministry of Health of the Royal Government of Bhutan</v>
      </c>
      <c r="D34" s="4" t="s">
        <v>7855</v>
      </c>
    </row>
    <row r="35" spans="1:4">
      <c r="A35" s="6" t="s">
        <v>7862</v>
      </c>
      <c r="B35" s="4" t="s">
        <v>7846</v>
      </c>
      <c r="C35" s="4" t="str">
        <f t="array" ref="C35">IFERROR(INDEX($B$22:$B$294,MATCH(0,COUNTIF($C$21:C34,$B$22:$B$294&amp;"")+IF($B$22:$B$294="",1,0),0)),"")</f>
        <v>Ministry of Health of the Republic of Armenia</v>
      </c>
      <c r="D35" s="4" t="s">
        <v>7859</v>
      </c>
    </row>
    <row r="36" spans="1:4">
      <c r="A36" s="6" t="s">
        <v>7863</v>
      </c>
      <c r="B36" s="4" t="s">
        <v>7864</v>
      </c>
      <c r="C36" s="4" t="str">
        <f t="array" ref="C36">IFERROR(INDEX($B$22:$B$294,MATCH(0,COUNTIF($C$21:C35,$B$22:$B$294&amp;"")+IF($B$22:$B$294="",1,0),0)),"")</f>
        <v>Mission East</v>
      </c>
      <c r="D36" s="4" t="s">
        <v>7865</v>
      </c>
    </row>
    <row r="37" spans="1:4">
      <c r="A37" s="6" t="s">
        <v>7866</v>
      </c>
      <c r="B37" s="4" t="s">
        <v>356</v>
      </c>
      <c r="C37" s="4" t="str">
        <f t="array" ref="C37">IFERROR(INDEX($B$22:$B$294,MATCH(0,COUNTIF($C$21:C36,$B$22:$B$294&amp;"")+IF($B$22:$B$294="",1,0),0)),"")</f>
        <v>Ministry of Health of the Republic of Azerbaijan</v>
      </c>
      <c r="D37" s="4" t="s">
        <v>7867</v>
      </c>
    </row>
    <row r="38" spans="1:4">
      <c r="A38" s="6" t="s">
        <v>7868</v>
      </c>
      <c r="B38" s="4" t="s">
        <v>356</v>
      </c>
      <c r="C38" s="4" t="str">
        <f t="array" ref="C38">IFERROR(INDEX($B$22:$B$294,MATCH(0,COUNTIF($C$21:C37,$B$22:$B$294&amp;"")+IF($B$22:$B$294="",1,0),0)),"")</f>
        <v>Main Medical Department of the Ministry of Justice of the Republic of Azerbaijan</v>
      </c>
      <c r="D38" s="4" t="s">
        <v>7867</v>
      </c>
    </row>
    <row r="39" spans="1:4">
      <c r="A39" s="6" t="s">
        <v>7869</v>
      </c>
      <c r="B39" s="4" t="s">
        <v>7846</v>
      </c>
      <c r="C39" s="4" t="str">
        <f t="array" ref="C39">IFERROR(INDEX($B$22:$B$294,MATCH(0,COUNTIF($C$21:C38,$B$22:$B$294&amp;"")+IF($B$22:$B$294="",1,0),0)),"")</f>
        <v>National Center For Disease Control and Public Health</v>
      </c>
      <c r="D39" s="4" t="s">
        <v>7859</v>
      </c>
    </row>
    <row r="40" spans="1:4">
      <c r="A40" s="6" t="s">
        <v>7870</v>
      </c>
      <c r="B40" s="4" t="s">
        <v>356</v>
      </c>
      <c r="C40" s="4" t="str">
        <f t="array" ref="C40">IFERROR(INDEX($B$22:$B$294,MATCH(0,COUNTIF($C$21:C39,$B$22:$B$294&amp;"")+IF($B$22:$B$294="",1,0),0)),"")</f>
        <v>Republican Scientific and Practical Center for Medical Technologies, Informatization, Administration and Management of Health</v>
      </c>
      <c r="D40" s="4" t="s">
        <v>7867</v>
      </c>
    </row>
    <row r="41" spans="1:4">
      <c r="A41" s="6" t="s">
        <v>7871</v>
      </c>
      <c r="B41" s="4" t="s">
        <v>356</v>
      </c>
      <c r="C41" s="4" t="str">
        <f t="array" ref="C41">IFERROR(INDEX($B$22:$B$294,MATCH(0,COUNTIF($C$21:C40,$B$22:$B$294&amp;"")+IF($B$22:$B$294="",1,0),0)),"")</f>
        <v>Public Institution - Coordination, Implementation and Monitoring Unit of the Health  System Projects</v>
      </c>
      <c r="D41" s="4" t="s">
        <v>7867</v>
      </c>
    </row>
    <row r="42" spans="1:4">
      <c r="A42" s="6" t="s">
        <v>7872</v>
      </c>
      <c r="B42" s="4" t="s">
        <v>356</v>
      </c>
      <c r="C42" s="4" t="str">
        <f t="array" ref="C42">IFERROR(INDEX($B$22:$B$294,MATCH(0,COUNTIF($C$21:C41,$B$22:$B$294&amp;"")+IF($B$22:$B$294="",1,0),0)),"")</f>
        <v>Center for Health Policies and Studies</v>
      </c>
      <c r="D42" s="4" t="s">
        <v>7867</v>
      </c>
    </row>
    <row r="43" spans="1:4">
      <c r="A43" s="6" t="s">
        <v>7873</v>
      </c>
      <c r="B43" s="4" t="s">
        <v>356</v>
      </c>
      <c r="C43" s="4" t="str">
        <f t="array" ref="C43">IFERROR(INDEX($B$22:$B$294,MATCH(0,COUNTIF($C$21:C42,$B$22:$B$294&amp;"")+IF($B$22:$B$294="",1,0),0)),"")</f>
        <v>Ministry of Health of the Lao People's Democratic Republic</v>
      </c>
      <c r="D43" s="4" t="s">
        <v>7874</v>
      </c>
    </row>
    <row r="44" spans="1:4">
      <c r="A44" s="6" t="s">
        <v>7875</v>
      </c>
      <c r="B44" s="4" t="s">
        <v>356</v>
      </c>
      <c r="C44" s="4" t="str">
        <f t="array" ref="C44">IFERROR(INDEX($B$22:$B$294,MATCH(0,COUNTIF($C$21:C43,$B$22:$B$294&amp;"")+IF($B$22:$B$294="",1,0),0)),"")</f>
        <v>Malaysian AIDS Council</v>
      </c>
      <c r="D44" s="4" t="s">
        <v>7874</v>
      </c>
    </row>
    <row r="45" spans="1:4">
      <c r="A45" s="6" t="s">
        <v>7876</v>
      </c>
      <c r="B45" s="4" t="s">
        <v>7877</v>
      </c>
      <c r="C45" s="4" t="str">
        <f t="array" ref="C45">IFERROR(INDEX($B$22:$B$294,MATCH(0,COUNTIF($C$21:C44,$B$22:$B$294&amp;"")+IF($B$22:$B$294="",1,0),0)),"")</f>
        <v>State Institution "Public Health Center of the Ministry of Health of Ukraine"</v>
      </c>
      <c r="D45" s="4" t="s">
        <v>7878</v>
      </c>
    </row>
    <row r="46" spans="1:4">
      <c r="A46" s="6" t="s">
        <v>7879</v>
      </c>
      <c r="B46" s="4" t="s">
        <v>7843</v>
      </c>
      <c r="C46" s="4" t="str">
        <f t="array" ref="C46">IFERROR(INDEX($B$22:$B$294,MATCH(0,COUNTIF($C$21:C45,$B$22:$B$294&amp;"")+IF($B$22:$B$294="",1,0),0)),"")</f>
        <v>Charitable Organization "All-Ukrainian Network of People Living with HIV/AIDS"</v>
      </c>
      <c r="D46" s="4" t="s">
        <v>7844</v>
      </c>
    </row>
    <row r="47" spans="1:4">
      <c r="A47" s="6" t="s">
        <v>7880</v>
      </c>
      <c r="B47" s="4" t="s">
        <v>7864</v>
      </c>
      <c r="C47" s="4" t="str">
        <f t="array" ref="C47">IFERROR(INDEX($B$22:$B$294,MATCH(0,COUNTIF($C$21:C46,$B$22:$B$294&amp;"")+IF($B$22:$B$294="",1,0),0)),"")</f>
        <v>International Charitable Foundation “Alliance for Public Health”</v>
      </c>
      <c r="D47" s="4" t="s">
        <v>7865</v>
      </c>
    </row>
    <row r="48" spans="1:4">
      <c r="A48" s="6" t="s">
        <v>7881</v>
      </c>
      <c r="B48" s="4" t="s">
        <v>7846</v>
      </c>
      <c r="C48" s="4" t="str">
        <f t="array" ref="C48">IFERROR(INDEX($B$22:$B$294,MATCH(0,COUNTIF($C$21:C47,$B$22:$B$294&amp;"")+IF($B$22:$B$294="",1,0),0)),"")</f>
        <v>United Nations Children's Fund</v>
      </c>
      <c r="D48" s="4" t="s">
        <v>7859</v>
      </c>
    </row>
    <row r="49" spans="1:4">
      <c r="A49" s="6" t="s">
        <v>7882</v>
      </c>
      <c r="B49" s="4" t="s">
        <v>356</v>
      </c>
      <c r="C49" s="4" t="str">
        <f t="array" ref="C49">IFERROR(INDEX($B$22:$B$294,MATCH(0,COUNTIF($C$21:C48,$B$22:$B$294&amp;"")+IF($B$22:$B$294="",1,0),0)),"")</f>
        <v>UNICEF South Sudan</v>
      </c>
      <c r="D49" s="4" t="s">
        <v>7874</v>
      </c>
    </row>
    <row r="50" spans="1:4">
      <c r="A50" s="6" t="s">
        <v>7883</v>
      </c>
      <c r="B50" s="4" t="s">
        <v>356</v>
      </c>
      <c r="C50" s="4" t="str">
        <f t="array" ref="C50">IFERROR(INDEX($B$22:$B$294,MATCH(0,COUNTIF($C$21:C49,$B$22:$B$294&amp;"")+IF($B$22:$B$294="",1,0),0)),"")</f>
        <v>Population Services International</v>
      </c>
      <c r="D50" s="4" t="s">
        <v>7855</v>
      </c>
    </row>
    <row r="51" spans="1:4">
      <c r="A51" s="6" t="s">
        <v>7884</v>
      </c>
      <c r="B51" s="4" t="s">
        <v>356</v>
      </c>
      <c r="C51" s="4" t="str">
        <f t="array" ref="C51">IFERROR(INDEX($B$22:$B$294,MATCH(0,COUNTIF($C$21:C50,$B$22:$B$294&amp;"")+IF($B$22:$B$294="",1,0),0)),"")</f>
        <v>UNICEF Ethiopia</v>
      </c>
      <c r="D51" s="4" t="s">
        <v>7855</v>
      </c>
    </row>
    <row r="52" spans="1:4">
      <c r="A52" s="6" t="s">
        <v>7885</v>
      </c>
      <c r="B52" s="4" t="s">
        <v>356</v>
      </c>
      <c r="C52" s="4" t="str">
        <f t="array" ref="C52">IFERROR(INDEX($B$22:$B$294,MATCH(0,COUNTIF($C$21:C51,$B$22:$B$294&amp;"")+IF($B$22:$B$294="",1,0),0)),"")</f>
        <v>Federal Ministry of Health of the Federal Democratic Republic of Ethiopia</v>
      </c>
      <c r="D52" s="4" t="s">
        <v>7867</v>
      </c>
    </row>
    <row r="53" spans="1:4">
      <c r="A53" s="6" t="s">
        <v>7886</v>
      </c>
      <c r="B53" s="4" t="s">
        <v>356</v>
      </c>
      <c r="C53" s="4" t="str">
        <f t="array" ref="C53">IFERROR(INDEX($B$22:$B$294,MATCH(0,COUNTIF($C$21:C52,$B$22:$B$294&amp;"")+IF($B$22:$B$294="",1,0),0)),"")</f>
        <v>HIV/AIDS Prevention and Control Office</v>
      </c>
      <c r="D53" s="4" t="s">
        <v>7874</v>
      </c>
    </row>
    <row r="54" spans="1:4">
      <c r="A54" s="6" t="s">
        <v>7887</v>
      </c>
      <c r="B54" s="4" t="s">
        <v>356</v>
      </c>
      <c r="C54" s="4" t="str">
        <f t="array" ref="C54">IFERROR(INDEX($B$22:$B$294,MATCH(0,COUNTIF($C$21:C53,$B$22:$B$294&amp;"")+IF($B$22:$B$294="",1,0),0)),"")</f>
        <v>Amref Health Africa in Kenya</v>
      </c>
      <c r="D54" s="4" t="s">
        <v>7867</v>
      </c>
    </row>
    <row r="55" spans="1:4">
      <c r="A55" s="6" t="s">
        <v>7888</v>
      </c>
      <c r="B55" s="4" t="s">
        <v>7889</v>
      </c>
      <c r="C55" s="4" t="str">
        <f t="array" ref="C55">IFERROR(INDEX($B$22:$B$294,MATCH(0,COUNTIF($C$21:C54,$B$22:$B$294&amp;"")+IF($B$22:$B$294="",1,0),0)),"")</f>
        <v>National Treasury of the Republic of Kenya</v>
      </c>
      <c r="D55" s="4" t="s">
        <v>7890</v>
      </c>
    </row>
    <row r="56" spans="1:4">
      <c r="A56" s="6" t="s">
        <v>7891</v>
      </c>
      <c r="B56" s="4" t="s">
        <v>7892</v>
      </c>
      <c r="C56" s="4" t="str">
        <f t="array" ref="C56">IFERROR(INDEX($B$22:$B$294,MATCH(0,COUNTIF($C$21:C55,$B$22:$B$294&amp;"")+IF($B$22:$B$294="",1,0),0)),"")</f>
        <v>Kenya Red Cross Society</v>
      </c>
      <c r="D56" s="4" t="s">
        <v>7893</v>
      </c>
    </row>
    <row r="57" spans="1:4">
      <c r="A57" s="6" t="s">
        <v>7894</v>
      </c>
      <c r="B57" s="4" t="s">
        <v>7895</v>
      </c>
      <c r="C57" s="4" t="str">
        <f t="array" ref="C57">IFERROR(INDEX($B$22:$B$294,MATCH(0,COUNTIF($C$21:C56,$B$22:$B$294&amp;"")+IF($B$22:$B$294="",1,0),0)),"")</f>
        <v>World Vision International</v>
      </c>
      <c r="D57" s="4" t="s">
        <v>7896</v>
      </c>
    </row>
    <row r="58" spans="1:4">
      <c r="A58" s="6" t="s">
        <v>7897</v>
      </c>
      <c r="B58" s="4" t="s">
        <v>7892</v>
      </c>
      <c r="C58" s="4" t="str">
        <f t="array" ref="C58">IFERROR(INDEX($B$22:$B$294,MATCH(0,COUNTIF($C$21:C57,$B$22:$B$294&amp;"")+IF($B$22:$B$294="",1,0),0)),"")</f>
        <v>Ministry of Finance, Planning and Economic Development of the Republic of Uganda</v>
      </c>
      <c r="D58" s="4" t="s">
        <v>7893</v>
      </c>
    </row>
    <row r="59" spans="1:4">
      <c r="A59" s="6" t="s">
        <v>7898</v>
      </c>
      <c r="B59" s="4" t="s">
        <v>356</v>
      </c>
      <c r="C59" s="4" t="str">
        <f t="array" ref="C59">IFERROR(INDEX($B$22:$B$294,MATCH(0,COUNTIF($C$21:C58,$B$22:$B$294&amp;"")+IF($B$22:$B$294="",1,0),0)),"")</f>
        <v>The AIDS Support Organisation (Uganda) Limited</v>
      </c>
      <c r="D59" s="4" t="s">
        <v>7899</v>
      </c>
    </row>
    <row r="60" spans="1:4">
      <c r="A60" s="6" t="s">
        <v>7900</v>
      </c>
      <c r="B60" s="4" t="s">
        <v>7889</v>
      </c>
      <c r="C60" s="4" t="str">
        <f t="array" ref="C60">IFERROR(INDEX($B$22:$B$294,MATCH(0,COUNTIF($C$21:C59,$B$22:$B$294&amp;"")+IF($B$22:$B$294="",1,0),0)),"")</f>
        <v>Federal Ministry of Health of the Republic of Sudan</v>
      </c>
      <c r="D60" s="4" t="s">
        <v>7890</v>
      </c>
    </row>
    <row r="61" spans="1:4">
      <c r="A61" s="6" t="s">
        <v>7901</v>
      </c>
      <c r="B61" s="4" t="s">
        <v>7895</v>
      </c>
      <c r="C61" s="4" t="str">
        <f t="array" ref="C61">IFERROR(INDEX($B$22:$B$294,MATCH(0,COUNTIF($C$21:C60,$B$22:$B$294&amp;"")+IF($B$22:$B$294="",1,0),0)),"")</f>
        <v>Conseil National de Lutte contre le VIH/SIDA, la Tuberculose, le Paludisme, les Hépatites, les Infections sexuellement transmissibles et les Epidémies</v>
      </c>
      <c r="D61" s="4" t="s">
        <v>7896</v>
      </c>
    </row>
    <row r="62" spans="1:4">
      <c r="A62" s="6" t="s">
        <v>7902</v>
      </c>
      <c r="B62" s="4" t="s">
        <v>7889</v>
      </c>
      <c r="C62" s="4" t="str">
        <f t="array" ref="C62">IFERROR(INDEX($B$22:$B$294,MATCH(0,COUNTIF($C$21:C61,$B$22:$B$294&amp;"")+IF($B$22:$B$294="",1,0),0)),"")</f>
        <v>Programme santé de lutte contre le Sida</v>
      </c>
      <c r="D62" s="4" t="s">
        <v>7890</v>
      </c>
    </row>
    <row r="63" spans="1:4">
      <c r="A63" s="6" t="s">
        <v>7903</v>
      </c>
      <c r="B63" s="4" t="s">
        <v>7904</v>
      </c>
      <c r="C63" s="4" t="str">
        <f t="array" ref="C63">IFERROR(INDEX($B$22:$B$294,MATCH(0,COUNTIF($C$21:C62,$B$22:$B$294&amp;"")+IF($B$22:$B$294="",1,0),0)),"")</f>
        <v>Plan International, Inc.</v>
      </c>
      <c r="D63" s="4" t="s">
        <v>7905</v>
      </c>
    </row>
    <row r="64" spans="1:4">
      <c r="A64" s="6" t="s">
        <v>7906</v>
      </c>
      <c r="B64" s="4" t="s">
        <v>7904</v>
      </c>
      <c r="C64" s="4" t="str">
        <f t="array" ref="C64">IFERROR(INDEX($B$22:$B$294,MATCH(0,COUNTIF($C$21:C63,$B$22:$B$294&amp;"")+IF($B$22:$B$294="",1,0),0)),"")</f>
        <v>Programme National de Lutte contre le Paludisme de la République du Bénin</v>
      </c>
      <c r="D64" s="4" t="s">
        <v>7905</v>
      </c>
    </row>
    <row r="65" spans="1:4">
      <c r="A65" s="6" t="s">
        <v>7907</v>
      </c>
      <c r="B65" s="4" t="s">
        <v>7904</v>
      </c>
      <c r="C65" s="4" t="str">
        <f t="array" ref="C65">IFERROR(INDEX($B$22:$B$294,MATCH(0,COUNTIF($C$21:C64,$B$22:$B$294&amp;"")+IF($B$22:$B$294="",1,0),0)),"")</f>
        <v>Programme National contre la Tuberculose de la République du Bénin</v>
      </c>
      <c r="D65" s="4" t="s">
        <v>7905</v>
      </c>
    </row>
    <row r="66" spans="1:4">
      <c r="A66" s="6" t="s">
        <v>7908</v>
      </c>
      <c r="B66" s="4" t="s">
        <v>7904</v>
      </c>
      <c r="C66" s="4" t="str">
        <f t="array" ref="C66">IFERROR(INDEX($B$22:$B$294,MATCH(0,COUNTIF($C$21:C65,$B$22:$B$294&amp;"")+IF($B$22:$B$294="",1,0),0)),"")</f>
        <v>Africare</v>
      </c>
      <c r="D66" s="4" t="s">
        <v>7905</v>
      </c>
    </row>
    <row r="67" spans="1:4">
      <c r="A67" s="6" t="s">
        <v>7909</v>
      </c>
      <c r="B67" s="4" t="s">
        <v>7910</v>
      </c>
      <c r="C67" s="4" t="str">
        <f t="array" ref="C67">IFERROR(INDEX($B$22:$B$294,MATCH(0,COUNTIF($C$21:C66,$B$22:$B$294&amp;"")+IF($B$22:$B$294="",1,0),0)),"")</f>
        <v>Catholic Relief Services - United States Conference of Catholic Bishops</v>
      </c>
      <c r="D67" s="4" t="s">
        <v>7911</v>
      </c>
    </row>
    <row r="68" spans="1:4">
      <c r="A68" s="6" t="s">
        <v>7912</v>
      </c>
      <c r="B68" s="4" t="s">
        <v>7910</v>
      </c>
      <c r="C68" s="4" t="str">
        <f t="array" ref="C68">IFERROR(INDEX($B$22:$B$294,MATCH(0,COUNTIF($C$21:C67,$B$22:$B$294&amp;"")+IF($B$22:$B$294="",1,0),0)),"")</f>
        <v>Health System Performance Program</v>
      </c>
      <c r="D68" s="4" t="s">
        <v>7911</v>
      </c>
    </row>
    <row r="69" spans="1:4">
      <c r="A69" s="6" t="s">
        <v>7913</v>
      </c>
      <c r="B69" s="4" t="s">
        <v>7910</v>
      </c>
      <c r="C69" s="4" t="str">
        <f t="array" ref="C69">IFERROR(INDEX($B$22:$B$294,MATCH(0,COUNTIF($C$21:C68,$B$22:$B$294&amp;"")+IF($B$22:$B$294="",1,0),0)),"")</f>
        <v>World Vision (PNG) Trust</v>
      </c>
      <c r="D69" s="4" t="s">
        <v>7911</v>
      </c>
    </row>
    <row r="70" spans="1:4">
      <c r="A70" s="6" t="s">
        <v>7914</v>
      </c>
      <c r="B70" s="4" t="s">
        <v>7910</v>
      </c>
      <c r="C70" s="4" t="str">
        <f t="array" ref="C70">IFERROR(INDEX($B$22:$B$294,MATCH(0,COUNTIF($C$21:C69,$B$22:$B$294&amp;"")+IF($B$22:$B$294="",1,0),0)),"")</f>
        <v>The Rotary Club of Port Moresby Inc.</v>
      </c>
      <c r="D70" s="4" t="s">
        <v>7911</v>
      </c>
    </row>
    <row r="71" spans="1:4">
      <c r="A71" s="6" t="s">
        <v>7915</v>
      </c>
      <c r="B71" s="4" t="s">
        <v>7910</v>
      </c>
      <c r="C71" s="4" t="str">
        <f t="array" ref="C71">IFERROR(INDEX($B$22:$B$294,MATCH(0,COUNTIF($C$21:C70,$B$22:$B$294&amp;"")+IF($B$22:$B$294="",1,0),0)),"")</f>
        <v>Oil Search Foundation</v>
      </c>
      <c r="D71" s="4" t="s">
        <v>7911</v>
      </c>
    </row>
    <row r="72" spans="1:4">
      <c r="A72" s="6" t="s">
        <v>7916</v>
      </c>
      <c r="B72" s="4" t="s">
        <v>7917</v>
      </c>
      <c r="C72" s="4" t="str">
        <f t="array" ref="C72">IFERROR(INDEX($B$22:$B$294,MATCH(0,COUNTIF($C$21:C71,$B$22:$B$294&amp;"")+IF($B$22:$B$294="",1,0),0)),"")</f>
        <v/>
      </c>
      <c r="D72" s="4" t="s">
        <v>7918</v>
      </c>
    </row>
    <row r="73" spans="1:4">
      <c r="A73" s="6" t="s">
        <v>7919</v>
      </c>
      <c r="B73" s="4" t="s">
        <v>7917</v>
      </c>
      <c r="C73" s="4" t="str">
        <f t="array" ref="C73">IFERROR(INDEX($B$22:$B$294,MATCH(0,COUNTIF($C$21:C72,$B$22:$B$294&amp;"")+IF($B$22:$B$294="",1,0),0)),"")</f>
        <v/>
      </c>
      <c r="D73" s="4" t="s">
        <v>7918</v>
      </c>
    </row>
    <row r="74" spans="1:4">
      <c r="A74" s="6" t="s">
        <v>7920</v>
      </c>
      <c r="B74" s="4" t="s">
        <v>7917</v>
      </c>
      <c r="C74" s="4" t="str">
        <f t="array" ref="C74">IFERROR(INDEX($B$22:$B$294,MATCH(0,COUNTIF($C$21:C73,$B$22:$B$294&amp;"")+IF($B$22:$B$294="",1,0),0)),"")</f>
        <v/>
      </c>
      <c r="D74" s="4" t="s">
        <v>7918</v>
      </c>
    </row>
    <row r="75" spans="1:4">
      <c r="A75" s="6" t="s">
        <v>7921</v>
      </c>
      <c r="B75" s="4" t="s">
        <v>7917</v>
      </c>
      <c r="C75" s="4" t="str">
        <f t="array" ref="C75">IFERROR(INDEX($B$22:$B$294,MATCH(0,COUNTIF($C$21:C74,$B$22:$B$294&amp;"")+IF($B$22:$B$294="",1,0),0)),"")</f>
        <v/>
      </c>
      <c r="D75" s="4" t="s">
        <v>7918</v>
      </c>
    </row>
    <row r="76" spans="1:4">
      <c r="A76" s="6" t="s">
        <v>7922</v>
      </c>
      <c r="B76" s="4" t="s">
        <v>7917</v>
      </c>
      <c r="C76" s="4" t="str">
        <f t="array" ref="C76">IFERROR(INDEX($B$22:$B$294,MATCH(0,COUNTIF($C$21:C75,$B$22:$B$294&amp;"")+IF($B$22:$B$294="",1,0),0)),"")</f>
        <v/>
      </c>
      <c r="D76" s="4" t="s">
        <v>7918</v>
      </c>
    </row>
    <row r="77" spans="1:4">
      <c r="A77" s="6" t="s">
        <v>7923</v>
      </c>
      <c r="B77" s="4" t="s">
        <v>7917</v>
      </c>
      <c r="C77" s="4" t="str">
        <f t="array" ref="C77">IFERROR(INDEX($B$22:$B$294,MATCH(0,COUNTIF($C$21:C76,$B$22:$B$294&amp;"")+IF($B$22:$B$294="",1,0),0)),"")</f>
        <v/>
      </c>
      <c r="D77" s="4" t="s">
        <v>7918</v>
      </c>
    </row>
    <row r="78" spans="1:4">
      <c r="A78" s="6" t="s">
        <v>7924</v>
      </c>
      <c r="B78" s="4" t="s">
        <v>7917</v>
      </c>
      <c r="C78" s="4" t="str">
        <f t="array" ref="C78">IFERROR(INDEX($B$22:$B$294,MATCH(0,COUNTIF($C$21:C77,$B$22:$B$294&amp;"")+IF($B$22:$B$294="",1,0),0)),"")</f>
        <v/>
      </c>
      <c r="D78" s="4" t="s">
        <v>7918</v>
      </c>
    </row>
    <row r="79" spans="1:4">
      <c r="A79" s="6" t="s">
        <v>7925</v>
      </c>
      <c r="B79" s="4" t="s">
        <v>7917</v>
      </c>
      <c r="C79" s="4" t="str">
        <f t="array" ref="C79">IFERROR(INDEX($B$22:$B$294,MATCH(0,COUNTIF($C$21:C78,$B$22:$B$294&amp;"")+IF($B$22:$B$294="",1,0),0)),"")</f>
        <v/>
      </c>
      <c r="D79" s="4" t="s">
        <v>7918</v>
      </c>
    </row>
    <row r="80" spans="1:4">
      <c r="A80" s="6" t="s">
        <v>7926</v>
      </c>
      <c r="B80" s="4" t="s">
        <v>7927</v>
      </c>
      <c r="C80" s="4" t="str">
        <f t="array" ref="C80">IFERROR(INDEX($B$22:$B$294,MATCH(0,COUNTIF($C$21:C79,$B$22:$B$294&amp;"")+IF($B$22:$B$294="",1,0),0)),"")</f>
        <v/>
      </c>
      <c r="D80" s="4" t="s">
        <v>7928</v>
      </c>
    </row>
    <row r="81" spans="1:4">
      <c r="A81" s="6" t="s">
        <v>7929</v>
      </c>
      <c r="B81" s="4" t="s">
        <v>7930</v>
      </c>
      <c r="C81" s="4" t="str">
        <f t="array" ref="C81">IFERROR(INDEX($B$22:$B$294,MATCH(0,COUNTIF($C$21:C80,$B$22:$B$294&amp;"")+IF($B$22:$B$294="",1,0),0)),"")</f>
        <v/>
      </c>
      <c r="D81" s="4" t="s">
        <v>7931</v>
      </c>
    </row>
    <row r="82" spans="1:4">
      <c r="A82" s="6" t="s">
        <v>7932</v>
      </c>
      <c r="B82" s="4" t="s">
        <v>7927</v>
      </c>
      <c r="C82" s="4" t="str">
        <f t="array" ref="C82">IFERROR(INDEX($B$22:$B$294,MATCH(0,COUNTIF($C$21:C81,$B$22:$B$294&amp;"")+IF($B$22:$B$294="",1,0),0)),"")</f>
        <v/>
      </c>
      <c r="D82" s="4" t="s">
        <v>7928</v>
      </c>
    </row>
    <row r="83" spans="1:4">
      <c r="A83" s="6" t="s">
        <v>7933</v>
      </c>
      <c r="B83" s="4" t="s">
        <v>7927</v>
      </c>
      <c r="C83" s="4" t="str">
        <f t="array" ref="C83">IFERROR(INDEX($B$22:$B$294,MATCH(0,COUNTIF($C$21:C82,$B$22:$B$294&amp;"")+IF($B$22:$B$294="",1,0),0)),"")</f>
        <v/>
      </c>
      <c r="D83" s="4" t="s">
        <v>7928</v>
      </c>
    </row>
    <row r="84" spans="1:4">
      <c r="A84" s="6" t="s">
        <v>7934</v>
      </c>
      <c r="B84" s="4" t="s">
        <v>7927</v>
      </c>
      <c r="C84" s="4" t="str">
        <f t="array" ref="C84">IFERROR(INDEX($B$22:$B$294,MATCH(0,COUNTIF($C$21:C83,$B$22:$B$294&amp;"")+IF($B$22:$B$294="",1,0),0)),"")</f>
        <v/>
      </c>
      <c r="D84" s="4" t="s">
        <v>7928</v>
      </c>
    </row>
    <row r="85" spans="1:4">
      <c r="A85" s="6" t="s">
        <v>7935</v>
      </c>
      <c r="B85" s="4" t="s">
        <v>7927</v>
      </c>
      <c r="C85" s="4" t="str">
        <f t="array" ref="C85">IFERROR(INDEX($B$22:$B$294,MATCH(0,COUNTIF($C$21:C84,$B$22:$B$294&amp;"")+IF($B$22:$B$294="",1,0),0)),"")</f>
        <v/>
      </c>
      <c r="D85" s="4" t="s">
        <v>7928</v>
      </c>
    </row>
    <row r="86" spans="1:4">
      <c r="A86" s="6" t="s">
        <v>7936</v>
      </c>
      <c r="B86" s="4" t="s">
        <v>7927</v>
      </c>
      <c r="C86" s="4" t="str">
        <f t="array" ref="C86">IFERROR(INDEX($B$22:$B$294,MATCH(0,COUNTIF($C$21:C85,$B$22:$B$294&amp;"")+IF($B$22:$B$294="",1,0),0)),"")</f>
        <v/>
      </c>
      <c r="D86" s="4" t="s">
        <v>7928</v>
      </c>
    </row>
    <row r="87" spans="1:4">
      <c r="A87" s="6" t="s">
        <v>7937</v>
      </c>
      <c r="B87" s="4" t="s">
        <v>7927</v>
      </c>
      <c r="C87" s="4" t="str">
        <f t="array" ref="C87">IFERROR(INDEX($B$22:$B$294,MATCH(0,COUNTIF($C$21:C86,$B$22:$B$294&amp;"")+IF($B$22:$B$294="",1,0),0)),"")</f>
        <v/>
      </c>
      <c r="D87" s="4" t="s">
        <v>7928</v>
      </c>
    </row>
    <row r="88" spans="1:4">
      <c r="A88" s="6" t="s">
        <v>7938</v>
      </c>
      <c r="B88" s="4" t="s">
        <v>7939</v>
      </c>
      <c r="C88" s="4" t="str">
        <f t="array" ref="C88">IFERROR(INDEX($B$22:$B$294,MATCH(0,COUNTIF($C$21:C87,$B$22:$B$294&amp;"")+IF($B$22:$B$294="",1,0),0)),"")</f>
        <v/>
      </c>
      <c r="D88" s="4" t="s">
        <v>7940</v>
      </c>
    </row>
    <row r="89" spans="1:4">
      <c r="A89" s="6" t="s">
        <v>7941</v>
      </c>
      <c r="B89" s="4" t="s">
        <v>7939</v>
      </c>
      <c r="C89" s="4" t="str">
        <f t="array" ref="C89">IFERROR(INDEX($B$22:$B$294,MATCH(0,COUNTIF($C$21:C88,$B$22:$B$294&amp;"")+IF($B$22:$B$294="",1,0),0)),"")</f>
        <v/>
      </c>
      <c r="D89" s="4" t="s">
        <v>7940</v>
      </c>
    </row>
    <row r="90" spans="1:4">
      <c r="A90" s="6" t="s">
        <v>7942</v>
      </c>
      <c r="B90" s="4" t="s">
        <v>7939</v>
      </c>
      <c r="C90" s="4" t="str">
        <f t="array" ref="C90">IFERROR(INDEX($B$22:$B$294,MATCH(0,COUNTIF($C$21:C89,$B$22:$B$294&amp;"")+IF($B$22:$B$294="",1,0),0)),"")</f>
        <v/>
      </c>
      <c r="D90" s="4" t="s">
        <v>7940</v>
      </c>
    </row>
    <row r="91" spans="1:4">
      <c r="A91" s="6" t="s">
        <v>7943</v>
      </c>
      <c r="B91" s="4" t="s">
        <v>7939</v>
      </c>
      <c r="C91" s="4" t="str">
        <f t="array" ref="C91">IFERROR(INDEX($B$22:$B$294,MATCH(0,COUNTIF($C$21:C90,$B$22:$B$294&amp;"")+IF($B$22:$B$294="",1,0),0)),"")</f>
        <v/>
      </c>
      <c r="D91" s="4" t="s">
        <v>7940</v>
      </c>
    </row>
    <row r="92" spans="1:4">
      <c r="A92" s="6" t="s">
        <v>7944</v>
      </c>
      <c r="B92" s="4" t="s">
        <v>7945</v>
      </c>
      <c r="C92" s="4" t="str">
        <f t="array" ref="C92">IFERROR(INDEX($B$22:$B$294,MATCH(0,COUNTIF($C$21:C91,$B$22:$B$294&amp;"")+IF($B$22:$B$294="",1,0),0)),"")</f>
        <v/>
      </c>
      <c r="D92" s="4" t="s">
        <v>7946</v>
      </c>
    </row>
    <row r="93" spans="1:4">
      <c r="A93" s="6" t="s">
        <v>7947</v>
      </c>
      <c r="B93" s="4" t="s">
        <v>7939</v>
      </c>
      <c r="C93" s="4" t="str">
        <f t="array" ref="C93">IFERROR(INDEX($B$22:$B$294,MATCH(0,COUNTIF($C$21:C92,$B$22:$B$294&amp;"")+IF($B$22:$B$294="",1,0),0)),"")</f>
        <v/>
      </c>
      <c r="D93" s="4" t="s">
        <v>7940</v>
      </c>
    </row>
    <row r="94" spans="1:4">
      <c r="A94" s="6" t="s">
        <v>7948</v>
      </c>
      <c r="B94" s="4" t="s">
        <v>7939</v>
      </c>
      <c r="C94" s="4" t="str">
        <f t="array" ref="C94">IFERROR(INDEX($B$22:$B$294,MATCH(0,COUNTIF($C$21:C93,$B$22:$B$294&amp;"")+IF($B$22:$B$294="",1,0),0)),"")</f>
        <v/>
      </c>
      <c r="D94" s="4" t="s">
        <v>7940</v>
      </c>
    </row>
    <row r="95" spans="1:4">
      <c r="A95" s="6" t="s">
        <v>7949</v>
      </c>
      <c r="B95" s="4" t="s">
        <v>7939</v>
      </c>
      <c r="C95" s="4" t="str">
        <f t="array" ref="C95">IFERROR(INDEX($B$22:$B$294,MATCH(0,COUNTIF($C$21:C94,$B$22:$B$294&amp;"")+IF($B$22:$B$294="",1,0),0)),"")</f>
        <v/>
      </c>
      <c r="D95" s="4" t="s">
        <v>7940</v>
      </c>
    </row>
    <row r="96" spans="1:4">
      <c r="A96" s="6" t="s">
        <v>7950</v>
      </c>
      <c r="B96" s="4" t="s">
        <v>7939</v>
      </c>
      <c r="C96" s="4" t="str">
        <f t="array" ref="C96">IFERROR(INDEX($B$22:$B$294,MATCH(0,COUNTIF($C$21:C95,$B$22:$B$294&amp;"")+IF($B$22:$B$294="",1,0),0)),"")</f>
        <v/>
      </c>
      <c r="D96" s="4" t="s">
        <v>7940</v>
      </c>
    </row>
    <row r="97" spans="1:4">
      <c r="A97" s="6" t="s">
        <v>7951</v>
      </c>
      <c r="B97" s="4" t="s">
        <v>7952</v>
      </c>
      <c r="C97" s="4" t="str">
        <f t="array" ref="C97">IFERROR(INDEX($B$22:$B$294,MATCH(0,COUNTIF($C$21:C96,$B$22:$B$294&amp;"")+IF($B$22:$B$294="",1,0),0)),"")</f>
        <v/>
      </c>
      <c r="D97" s="4" t="s">
        <v>7953</v>
      </c>
    </row>
    <row r="98" spans="1:4">
      <c r="A98" s="6" t="s">
        <v>7954</v>
      </c>
      <c r="B98" s="4" t="s">
        <v>7952</v>
      </c>
      <c r="C98" s="4" t="str">
        <f t="array" ref="C98">IFERROR(INDEX($B$22:$B$294,MATCH(0,COUNTIF($C$21:C97,$B$22:$B$294&amp;"")+IF($B$22:$B$294="",1,0),0)),"")</f>
        <v/>
      </c>
      <c r="D98" s="4" t="s">
        <v>7953</v>
      </c>
    </row>
    <row r="99" spans="1:4">
      <c r="A99" s="6" t="s">
        <v>7955</v>
      </c>
      <c r="B99" s="4" t="s">
        <v>7952</v>
      </c>
      <c r="C99" s="4" t="str">
        <f t="array" ref="C99">IFERROR(INDEX($B$22:$B$294,MATCH(0,COUNTIF($C$21:C98,$B$22:$B$294&amp;"")+IF($B$22:$B$294="",1,0),0)),"")</f>
        <v/>
      </c>
      <c r="D99" s="4" t="s">
        <v>7953</v>
      </c>
    </row>
    <row r="100" spans="1:4">
      <c r="A100" s="6" t="s">
        <v>7956</v>
      </c>
      <c r="B100" s="4" t="s">
        <v>7952</v>
      </c>
      <c r="C100" s="4" t="str">
        <f t="array" ref="C100">IFERROR(INDEX($B$22:$B$294,MATCH(0,COUNTIF($C$21:C99,$B$22:$B$294&amp;"")+IF($B$22:$B$294="",1,0),0)),"")</f>
        <v/>
      </c>
      <c r="D100" s="4" t="s">
        <v>7953</v>
      </c>
    </row>
    <row r="101" spans="1:4">
      <c r="A101" s="6" t="s">
        <v>7957</v>
      </c>
      <c r="B101" s="4" t="s">
        <v>7958</v>
      </c>
      <c r="C101" s="4" t="str">
        <f t="array" ref="C101">IFERROR(INDEX($B$22:$B$294,MATCH(0,COUNTIF($C$21:C100,$B$22:$B$294&amp;"")+IF($B$22:$B$294="",1,0),0)),"")</f>
        <v/>
      </c>
      <c r="D101" s="4" t="s">
        <v>7959</v>
      </c>
    </row>
    <row r="102" spans="1:4">
      <c r="A102" s="6" t="s">
        <v>7960</v>
      </c>
      <c r="B102" s="4" t="s">
        <v>7958</v>
      </c>
      <c r="C102" s="4" t="str">
        <f t="array" ref="C102">IFERROR(INDEX($B$22:$B$294,MATCH(0,COUNTIF($C$21:C101,$B$22:$B$294&amp;"")+IF($B$22:$B$294="",1,0),0)),"")</f>
        <v/>
      </c>
      <c r="D102" s="4" t="s">
        <v>7959</v>
      </c>
    </row>
    <row r="103" spans="1:4">
      <c r="A103" s="6" t="s">
        <v>7961</v>
      </c>
      <c r="B103" s="4" t="s">
        <v>356</v>
      </c>
      <c r="C103" s="4" t="str">
        <f t="array" ref="C103">IFERROR(INDEX($B$22:$B$294,MATCH(0,COUNTIF($C$21:C102,$B$22:$B$294&amp;"")+IF($B$22:$B$294="",1,0),0)),"")</f>
        <v/>
      </c>
      <c r="D103" s="4" t="s">
        <v>7962</v>
      </c>
    </row>
    <row r="104" spans="1:4">
      <c r="A104" s="6" t="s">
        <v>7963</v>
      </c>
      <c r="B104" s="4" t="s">
        <v>356</v>
      </c>
      <c r="C104" s="4" t="str">
        <f t="array" ref="C104">IFERROR(INDEX($B$22:$B$294,MATCH(0,COUNTIF($C$21:C103,$B$22:$B$294&amp;"")+IF($B$22:$B$294="",1,0),0)),"")</f>
        <v/>
      </c>
      <c r="D104" s="4" t="s">
        <v>7962</v>
      </c>
    </row>
    <row r="105" spans="1:4">
      <c r="A105" s="6" t="s">
        <v>7964</v>
      </c>
      <c r="B105" s="4" t="s">
        <v>7958</v>
      </c>
      <c r="C105" s="4" t="str">
        <f t="array" ref="C105">IFERROR(INDEX($B$22:$B$294,MATCH(0,COUNTIF($C$21:C104,$B$22:$B$294&amp;"")+IF($B$22:$B$294="",1,0),0)),"")</f>
        <v/>
      </c>
      <c r="D105" s="4" t="s">
        <v>7959</v>
      </c>
    </row>
    <row r="106" spans="1:4">
      <c r="A106" s="6" t="s">
        <v>7965</v>
      </c>
      <c r="B106" s="4" t="s">
        <v>7958</v>
      </c>
      <c r="C106" s="4" t="str">
        <f t="array" ref="C106">IFERROR(INDEX($B$22:$B$294,MATCH(0,COUNTIF($C$21:C105,$B$22:$B$294&amp;"")+IF($B$22:$B$294="",1,0),0)),"")</f>
        <v/>
      </c>
      <c r="D106" s="4" t="s">
        <v>7959</v>
      </c>
    </row>
    <row r="107" spans="1:4">
      <c r="A107" s="6" t="s">
        <v>7966</v>
      </c>
      <c r="B107" s="4" t="s">
        <v>7958</v>
      </c>
      <c r="C107" s="4" t="str">
        <f t="array" ref="C107">IFERROR(INDEX($B$22:$B$294,MATCH(0,COUNTIF($C$21:C106,$B$22:$B$294&amp;"")+IF($B$22:$B$294="",1,0),0)),"")</f>
        <v/>
      </c>
      <c r="D107" s="4" t="s">
        <v>7959</v>
      </c>
    </row>
    <row r="108" spans="1:4">
      <c r="A108" s="6" t="s">
        <v>7967</v>
      </c>
      <c r="B108" s="4" t="s">
        <v>7958</v>
      </c>
      <c r="C108" s="4" t="str">
        <f t="array" ref="C108">IFERROR(INDEX($B$22:$B$294,MATCH(0,COUNTIF($C$21:C107,$B$22:$B$294&amp;"")+IF($B$22:$B$294="",1,0),0)),"")</f>
        <v/>
      </c>
      <c r="D108" s="4" t="s">
        <v>7959</v>
      </c>
    </row>
    <row r="109" spans="1:4">
      <c r="A109" s="6" t="s">
        <v>7968</v>
      </c>
      <c r="B109" s="4" t="s">
        <v>7958</v>
      </c>
      <c r="C109" s="4" t="str">
        <f t="array" ref="C109">IFERROR(INDEX($B$22:$B$294,MATCH(0,COUNTIF($C$21:C108,$B$22:$B$294&amp;"")+IF($B$22:$B$294="",1,0),0)),"")</f>
        <v/>
      </c>
      <c r="D109" s="4" t="s">
        <v>7959</v>
      </c>
    </row>
    <row r="110" spans="1:4">
      <c r="A110" s="6" t="s">
        <v>7969</v>
      </c>
      <c r="B110" s="4" t="s">
        <v>7970</v>
      </c>
      <c r="C110" s="4" t="str">
        <f t="array" ref="C110">IFERROR(INDEX($B$22:$B$294,MATCH(0,COUNTIF($C$21:C109,$B$22:$B$294&amp;"")+IF($B$22:$B$294="",1,0),0)),"")</f>
        <v/>
      </c>
      <c r="D110" s="4" t="s">
        <v>7971</v>
      </c>
    </row>
    <row r="111" spans="1:4">
      <c r="A111" s="6" t="s">
        <v>7972</v>
      </c>
      <c r="B111" s="4" t="s">
        <v>7970</v>
      </c>
      <c r="C111" s="4" t="str">
        <f t="array" ref="C111">IFERROR(INDEX($B$22:$B$294,MATCH(0,COUNTIF($C$21:C110,$B$22:$B$294&amp;"")+IF($B$22:$B$294="",1,0),0)),"")</f>
        <v/>
      </c>
      <c r="D111" s="4" t="s">
        <v>7971</v>
      </c>
    </row>
    <row r="112" spans="1:4">
      <c r="A112" s="6" t="s">
        <v>7973</v>
      </c>
      <c r="B112" s="4" t="s">
        <v>7970</v>
      </c>
      <c r="C112" s="4" t="str">
        <f t="array" ref="C112">IFERROR(INDEX($B$22:$B$294,MATCH(0,COUNTIF($C$21:C111,$B$22:$B$294&amp;"")+IF($B$22:$B$294="",1,0),0)),"")</f>
        <v/>
      </c>
      <c r="D112" s="4" t="s">
        <v>7971</v>
      </c>
    </row>
    <row r="113" spans="1:4">
      <c r="A113" s="6" t="s">
        <v>7974</v>
      </c>
      <c r="B113" s="4" t="s">
        <v>7975</v>
      </c>
      <c r="C113" s="4" t="str">
        <f t="array" ref="C113">IFERROR(INDEX($B$22:$B$294,MATCH(0,COUNTIF($C$21:C112,$B$22:$B$294&amp;"")+IF($B$22:$B$294="",1,0),0)),"")</f>
        <v/>
      </c>
      <c r="D113" s="4" t="s">
        <v>7976</v>
      </c>
    </row>
    <row r="114" spans="1:4">
      <c r="A114" s="6" t="s">
        <v>7977</v>
      </c>
      <c r="B114" s="4" t="s">
        <v>7975</v>
      </c>
      <c r="C114" s="4" t="str">
        <f t="array" ref="C114">IFERROR(INDEX($B$22:$B$294,MATCH(0,COUNTIF($C$21:C113,$B$22:$B$294&amp;"")+IF($B$22:$B$294="",1,0),0)),"")</f>
        <v/>
      </c>
      <c r="D114" s="4" t="s">
        <v>7976</v>
      </c>
    </row>
    <row r="115" spans="1:4">
      <c r="A115" s="6" t="s">
        <v>7978</v>
      </c>
      <c r="B115" s="4" t="s">
        <v>7975</v>
      </c>
      <c r="C115" s="4" t="str">
        <f t="array" ref="C115">IFERROR(INDEX($B$22:$B$294,MATCH(0,COUNTIF($C$21:C114,$B$22:$B$294&amp;"")+IF($B$22:$B$294="",1,0),0)),"")</f>
        <v/>
      </c>
      <c r="D115" s="4" t="s">
        <v>7976</v>
      </c>
    </row>
    <row r="116" spans="1:4">
      <c r="A116" s="6" t="s">
        <v>7979</v>
      </c>
      <c r="B116" s="4" t="s">
        <v>7975</v>
      </c>
      <c r="C116" s="4" t="str">
        <f t="array" ref="C116">IFERROR(INDEX($B$22:$B$294,MATCH(0,COUNTIF($C$21:C115,$B$22:$B$294&amp;"")+IF($B$22:$B$294="",1,0),0)),"")</f>
        <v/>
      </c>
      <c r="D116" s="4" t="s">
        <v>7976</v>
      </c>
    </row>
    <row r="117" spans="1:4">
      <c r="A117" s="6" t="s">
        <v>7980</v>
      </c>
      <c r="B117" s="4" t="s">
        <v>7970</v>
      </c>
      <c r="C117" s="4" t="str">
        <f t="array" ref="C117">IFERROR(INDEX($B$22:$B$294,MATCH(0,COUNTIF($C$21:C116,$B$22:$B$294&amp;"")+IF($B$22:$B$294="",1,0),0)),"")</f>
        <v/>
      </c>
      <c r="D117" s="4" t="s">
        <v>7971</v>
      </c>
    </row>
    <row r="118" spans="1:4">
      <c r="A118" s="6" t="s">
        <v>7981</v>
      </c>
      <c r="B118" s="4" t="s">
        <v>7895</v>
      </c>
      <c r="C118" s="4" t="str">
        <f t="array" ref="C118">IFERROR(INDEX($B$22:$B$294,MATCH(0,COUNTIF($C$21:C117,$B$22:$B$294&amp;"")+IF($B$22:$B$294="",1,0),0)),"")</f>
        <v/>
      </c>
      <c r="D118" s="4" t="s">
        <v>7896</v>
      </c>
    </row>
    <row r="119" spans="1:4">
      <c r="A119" s="6" t="s">
        <v>7982</v>
      </c>
      <c r="B119" s="4" t="s">
        <v>7889</v>
      </c>
      <c r="C119" s="4" t="str">
        <f t="array" ref="C119">IFERROR(INDEX($B$22:$B$294,MATCH(0,COUNTIF($C$21:C118,$B$22:$B$294&amp;"")+IF($B$22:$B$294="",1,0),0)),"")</f>
        <v/>
      </c>
      <c r="D119" s="4" t="s">
        <v>7890</v>
      </c>
    </row>
    <row r="120" spans="1:4">
      <c r="A120" s="6" t="s">
        <v>7983</v>
      </c>
      <c r="B120" s="4" t="s">
        <v>7877</v>
      </c>
      <c r="C120" s="4" t="str">
        <f t="array" ref="C120">IFERROR(INDEX($B$22:$B$294,MATCH(0,COUNTIF($C$21:C119,$B$22:$B$294&amp;"")+IF($B$22:$B$294="",1,0),0)),"")</f>
        <v/>
      </c>
      <c r="D120" s="4" t="s">
        <v>7878</v>
      </c>
    </row>
    <row r="121" spans="1:4">
      <c r="A121" s="6" t="s">
        <v>7984</v>
      </c>
      <c r="B121" s="4" t="s">
        <v>7895</v>
      </c>
      <c r="C121" s="4" t="str">
        <f t="array" ref="C121">IFERROR(INDEX($B$22:$B$294,MATCH(0,COUNTIF($C$21:C120,$B$22:$B$294&amp;"")+IF($B$22:$B$294="",1,0),0)),"")</f>
        <v/>
      </c>
      <c r="D121" s="4" t="s">
        <v>7896</v>
      </c>
    </row>
    <row r="122" spans="1:4">
      <c r="A122" s="6" t="s">
        <v>7985</v>
      </c>
      <c r="B122" s="4" t="s">
        <v>7904</v>
      </c>
      <c r="C122" s="4" t="str">
        <f t="array" ref="C122">IFERROR(INDEX($B$22:$B$294,MATCH(0,COUNTIF($C$21:C121,$B$22:$B$294&amp;"")+IF($B$22:$B$294="",1,0),0)),"")</f>
        <v/>
      </c>
      <c r="D122" s="4" t="s">
        <v>7905</v>
      </c>
    </row>
    <row r="123" spans="1:4">
      <c r="A123" s="6" t="s">
        <v>7986</v>
      </c>
      <c r="B123" s="4" t="s">
        <v>7975</v>
      </c>
      <c r="C123" s="4" t="str">
        <f t="array" ref="C123">IFERROR(INDEX($B$22:$B$294,MATCH(0,COUNTIF($C$21:C122,$B$22:$B$294&amp;"")+IF($B$22:$B$294="",1,0),0)),"")</f>
        <v/>
      </c>
      <c r="D123" s="4" t="s">
        <v>7976</v>
      </c>
    </row>
    <row r="124" spans="1:4">
      <c r="A124" s="6" t="s">
        <v>7987</v>
      </c>
      <c r="B124" s="4" t="s">
        <v>7970</v>
      </c>
      <c r="C124" s="4" t="str">
        <f t="array" ref="C124">IFERROR(INDEX($B$22:$B$294,MATCH(0,COUNTIF($C$21:C123,$B$22:$B$294&amp;"")+IF($B$22:$B$294="",1,0),0)),"")</f>
        <v/>
      </c>
      <c r="D124" s="4" t="s">
        <v>7971</v>
      </c>
    </row>
    <row r="125" spans="1:4">
      <c r="A125" s="6" t="s">
        <v>7988</v>
      </c>
      <c r="B125" s="4" t="s">
        <v>7877</v>
      </c>
      <c r="C125" s="4" t="str">
        <f t="array" ref="C125">IFERROR(INDEX($B$22:$B$294,MATCH(0,COUNTIF($C$21:C124,$B$22:$B$294&amp;"")+IF($B$22:$B$294="",1,0),0)),"")</f>
        <v/>
      </c>
      <c r="D125" s="4" t="s">
        <v>7878</v>
      </c>
    </row>
    <row r="126" spans="1:4">
      <c r="A126" s="6" t="s">
        <v>7989</v>
      </c>
      <c r="B126" s="4" t="s">
        <v>7917</v>
      </c>
      <c r="C126" s="4" t="str">
        <f t="array" ref="C126">IFERROR(INDEX($B$22:$B$294,MATCH(0,COUNTIF($C$21:C125,$B$22:$B$294&amp;"")+IF($B$22:$B$294="",1,0),0)),"")</f>
        <v/>
      </c>
      <c r="D126" s="4" t="s">
        <v>7918</v>
      </c>
    </row>
    <row r="127" spans="1:4">
      <c r="A127" s="6" t="s">
        <v>7990</v>
      </c>
      <c r="B127" s="4" t="s">
        <v>7904</v>
      </c>
      <c r="C127" s="4" t="str">
        <f t="array" ref="C127">IFERROR(INDEX($B$22:$B$294,MATCH(0,COUNTIF($C$21:C126,$B$22:$B$294&amp;"")+IF($B$22:$B$294="",1,0),0)),"")</f>
        <v/>
      </c>
      <c r="D127" s="4" t="s">
        <v>7905</v>
      </c>
    </row>
    <row r="128" spans="1:4">
      <c r="A128" s="6" t="s">
        <v>7991</v>
      </c>
      <c r="B128" s="4" t="s">
        <v>7904</v>
      </c>
      <c r="C128" s="4" t="str">
        <f t="array" ref="C128">IFERROR(INDEX($B$22:$B$294,MATCH(0,COUNTIF($C$21:C127,$B$22:$B$294&amp;"")+IF($B$22:$B$294="",1,0),0)),"")</f>
        <v/>
      </c>
      <c r="D128" s="4" t="s">
        <v>7905</v>
      </c>
    </row>
    <row r="129" spans="1:4">
      <c r="A129" s="6" t="s">
        <v>7992</v>
      </c>
      <c r="B129" s="4" t="s">
        <v>7910</v>
      </c>
      <c r="C129" s="4" t="str">
        <f t="array" ref="C129">IFERROR(INDEX($B$22:$B$294,MATCH(0,COUNTIF($C$21:C128,$B$22:$B$294&amp;"")+IF($B$22:$B$294="",1,0),0)),"")</f>
        <v/>
      </c>
      <c r="D129" s="4" t="s">
        <v>7911</v>
      </c>
    </row>
    <row r="130" spans="1:4">
      <c r="A130" s="6" t="s">
        <v>7993</v>
      </c>
      <c r="B130" s="4" t="s">
        <v>7910</v>
      </c>
      <c r="C130" s="4" t="str">
        <f t="array" ref="C130">IFERROR(INDEX($B$22:$B$294,MATCH(0,COUNTIF($C$21:C129,$B$22:$B$294&amp;"")+IF($B$22:$B$294="",1,0),0)),"")</f>
        <v/>
      </c>
      <c r="D130" s="4" t="s">
        <v>7911</v>
      </c>
    </row>
    <row r="131" spans="1:4">
      <c r="A131" s="6" t="s">
        <v>7994</v>
      </c>
      <c r="B131" s="4" t="s">
        <v>7910</v>
      </c>
      <c r="C131" s="4" t="str">
        <f t="array" ref="C131">IFERROR(INDEX($B$22:$B$294,MATCH(0,COUNTIF($C$21:C130,$B$22:$B$294&amp;"")+IF($B$22:$B$294="",1,0),0)),"")</f>
        <v/>
      </c>
      <c r="D131" s="4" t="s">
        <v>7911</v>
      </c>
    </row>
    <row r="132" spans="1:4">
      <c r="A132" s="6" t="s">
        <v>7995</v>
      </c>
      <c r="B132" s="4" t="s">
        <v>7927</v>
      </c>
      <c r="C132" s="4" t="str">
        <f t="array" ref="C132">IFERROR(INDEX($B$22:$B$294,MATCH(0,COUNTIF($C$21:C131,$B$22:$B$294&amp;"")+IF($B$22:$B$294="",1,0),0)),"")</f>
        <v/>
      </c>
      <c r="D132" s="4" t="s">
        <v>7928</v>
      </c>
    </row>
    <row r="133" spans="1:4">
      <c r="A133" s="6" t="s">
        <v>7996</v>
      </c>
      <c r="B133" s="4" t="s">
        <v>7970</v>
      </c>
      <c r="C133" s="4" t="str">
        <f t="array" ref="C133">IFERROR(INDEX($B$22:$B$294,MATCH(0,COUNTIF($C$21:C132,$B$22:$B$294&amp;"")+IF($B$22:$B$294="",1,0),0)),"")</f>
        <v/>
      </c>
      <c r="D133" s="4" t="s">
        <v>7971</v>
      </c>
    </row>
    <row r="134" spans="1:4">
      <c r="A134" s="6" t="s">
        <v>7997</v>
      </c>
      <c r="B134" s="4" t="s">
        <v>7998</v>
      </c>
      <c r="C134" s="4" t="str">
        <f t="array" ref="C134">IFERROR(INDEX($B$22:$B$294,MATCH(0,COUNTIF($C$21:C133,$B$22:$B$294&amp;"")+IF($B$22:$B$294="",1,0),0)),"")</f>
        <v/>
      </c>
      <c r="D134" s="4" t="s">
        <v>7999</v>
      </c>
    </row>
    <row r="135" spans="1:4">
      <c r="A135" s="6" t="s">
        <v>8000</v>
      </c>
      <c r="B135" s="4" t="s">
        <v>7998</v>
      </c>
      <c r="C135" s="4" t="str">
        <f t="array" ref="C135">IFERROR(INDEX($B$22:$B$294,MATCH(0,COUNTIF($C$21:C134,$B$22:$B$294&amp;"")+IF($B$22:$B$294="",1,0),0)),"")</f>
        <v/>
      </c>
      <c r="D135" s="4" t="s">
        <v>7999</v>
      </c>
    </row>
    <row r="136" spans="1:4">
      <c r="A136" s="6" t="s">
        <v>8001</v>
      </c>
      <c r="B136" s="4" t="s">
        <v>7998</v>
      </c>
      <c r="C136" s="4" t="str">
        <f t="array" ref="C136">IFERROR(INDEX($B$22:$B$294,MATCH(0,COUNTIF($C$21:C135,$B$22:$B$294&amp;"")+IF($B$22:$B$294="",1,0),0)),"")</f>
        <v/>
      </c>
      <c r="D136" s="4" t="s">
        <v>7999</v>
      </c>
    </row>
    <row r="137" spans="1:4">
      <c r="A137" s="6" t="s">
        <v>8002</v>
      </c>
      <c r="B137" s="4" t="s">
        <v>7998</v>
      </c>
      <c r="C137" s="4" t="str">
        <f t="array" ref="C137">IFERROR(INDEX($B$22:$B$294,MATCH(0,COUNTIF($C$21:C136,$B$22:$B$294&amp;"")+IF($B$22:$B$294="",1,0),0)),"")</f>
        <v/>
      </c>
      <c r="D137" s="4" t="s">
        <v>7999</v>
      </c>
    </row>
    <row r="138" spans="1:4">
      <c r="A138" s="6" t="s">
        <v>8003</v>
      </c>
      <c r="B138" s="4" t="s">
        <v>7998</v>
      </c>
      <c r="C138" s="4" t="str">
        <f t="array" ref="C138">IFERROR(INDEX($B$22:$B$294,MATCH(0,COUNTIF($C$21:C137,$B$22:$B$294&amp;"")+IF($B$22:$B$294="",1,0),0)),"")</f>
        <v/>
      </c>
      <c r="D138" s="4" t="s">
        <v>7999</v>
      </c>
    </row>
    <row r="139" spans="1:4">
      <c r="A139" s="6" t="s">
        <v>8004</v>
      </c>
      <c r="B139" s="4" t="s">
        <v>7998</v>
      </c>
      <c r="C139" s="4" t="str">
        <f t="array" ref="C139">IFERROR(INDEX($B$22:$B$294,MATCH(0,COUNTIF($C$21:C138,$B$22:$B$294&amp;"")+IF($B$22:$B$294="",1,0),0)),"")</f>
        <v/>
      </c>
      <c r="D139" s="4" t="s">
        <v>7999</v>
      </c>
    </row>
    <row r="140" spans="1:4">
      <c r="A140" s="6" t="s">
        <v>8005</v>
      </c>
      <c r="B140" s="4" t="s">
        <v>7998</v>
      </c>
      <c r="C140" s="4" t="str">
        <f t="array" ref="C140">IFERROR(INDEX($B$22:$B$294,MATCH(0,COUNTIF($C$21:C139,$B$22:$B$294&amp;"")+IF($B$22:$B$294="",1,0),0)),"")</f>
        <v/>
      </c>
      <c r="D140" s="4" t="s">
        <v>7999</v>
      </c>
    </row>
    <row r="141" spans="1:4">
      <c r="A141" s="6" t="s">
        <v>8006</v>
      </c>
      <c r="B141" s="4" t="s">
        <v>7998</v>
      </c>
      <c r="C141" s="4" t="str">
        <f t="array" ref="C141">IFERROR(INDEX($B$22:$B$294,MATCH(0,COUNTIF($C$21:C140,$B$22:$B$294&amp;"")+IF($B$22:$B$294="",1,0),0)),"")</f>
        <v/>
      </c>
      <c r="D141" s="4" t="s">
        <v>7999</v>
      </c>
    </row>
    <row r="142" spans="1:4">
      <c r="A142" s="6" t="s">
        <v>8007</v>
      </c>
      <c r="B142" s="4" t="s">
        <v>7998</v>
      </c>
      <c r="C142" s="4" t="str">
        <f t="array" ref="C142">IFERROR(INDEX($B$22:$B$294,MATCH(0,COUNTIF($C$21:C141,$B$22:$B$294&amp;"")+IF($B$22:$B$294="",1,0),0)),"")</f>
        <v/>
      </c>
      <c r="D142" s="4" t="s">
        <v>7999</v>
      </c>
    </row>
    <row r="143" spans="1:4">
      <c r="A143" s="6" t="s">
        <v>8008</v>
      </c>
      <c r="B143" s="4" t="s">
        <v>8009</v>
      </c>
      <c r="C143" s="4" t="str">
        <f t="array" ref="C143">IFERROR(INDEX($B$22:$B$294,MATCH(0,COUNTIF($C$21:C142,$B$22:$B$294&amp;"")+IF($B$22:$B$294="",1,0),0)),"")</f>
        <v/>
      </c>
      <c r="D143" s="4" t="s">
        <v>8010</v>
      </c>
    </row>
    <row r="144" spans="1:4">
      <c r="A144" s="6" t="s">
        <v>8011</v>
      </c>
      <c r="B144" s="4" t="s">
        <v>8009</v>
      </c>
      <c r="C144" s="4" t="str">
        <f t="array" ref="C144">IFERROR(INDEX($B$22:$B$294,MATCH(0,COUNTIF($C$21:C143,$B$22:$B$294&amp;"")+IF($B$22:$B$294="",1,0),0)),"")</f>
        <v/>
      </c>
      <c r="D144" s="4" t="s">
        <v>8010</v>
      </c>
    </row>
    <row r="145" spans="1:4">
      <c r="A145" s="6" t="s">
        <v>8012</v>
      </c>
      <c r="B145" s="4" t="s">
        <v>8009</v>
      </c>
      <c r="C145" s="4" t="str">
        <f t="array" ref="C145">IFERROR(INDEX($B$22:$B$294,MATCH(0,COUNTIF($C$21:C144,$B$22:$B$294&amp;"")+IF($B$22:$B$294="",1,0),0)),"")</f>
        <v/>
      </c>
      <c r="D145" s="4" t="s">
        <v>8010</v>
      </c>
    </row>
    <row r="146" spans="1:4">
      <c r="A146" s="6" t="s">
        <v>8013</v>
      </c>
      <c r="B146" s="4" t="s">
        <v>8014</v>
      </c>
      <c r="C146" s="4" t="str">
        <f t="array" ref="C146">IFERROR(INDEX($B$22:$B$294,MATCH(0,COUNTIF($C$21:C145,$B$22:$B$294&amp;"")+IF($B$22:$B$294="",1,0),0)),"")</f>
        <v/>
      </c>
      <c r="D146" s="4" t="s">
        <v>8015</v>
      </c>
    </row>
    <row r="147" spans="1:4">
      <c r="A147" s="6" t="s">
        <v>8016</v>
      </c>
      <c r="B147" s="4" t="s">
        <v>8017</v>
      </c>
      <c r="C147" s="4" t="str">
        <f t="array" ref="C147">IFERROR(INDEX($B$22:$B$294,MATCH(0,COUNTIF($C$21:C146,$B$22:$B$294&amp;"")+IF($B$22:$B$294="",1,0),0)),"")</f>
        <v/>
      </c>
      <c r="D147" s="4" t="s">
        <v>8018</v>
      </c>
    </row>
    <row r="148" spans="1:4">
      <c r="A148" s="6" t="s">
        <v>8019</v>
      </c>
      <c r="B148" s="4" t="s">
        <v>8020</v>
      </c>
      <c r="C148" s="4" t="str">
        <f t="array" ref="C148">IFERROR(INDEX($B$22:$B$294,MATCH(0,COUNTIF($C$21:C147,$B$22:$B$294&amp;"")+IF($B$22:$B$294="",1,0),0)),"")</f>
        <v/>
      </c>
      <c r="D148" s="4" t="s">
        <v>8021</v>
      </c>
    </row>
    <row r="149" spans="1:4">
      <c r="A149" s="6" t="s">
        <v>8022</v>
      </c>
      <c r="B149" s="4" t="s">
        <v>8023</v>
      </c>
      <c r="C149" s="4" t="str">
        <f t="array" ref="C149">IFERROR(INDEX($B$22:$B$294,MATCH(0,COUNTIF($C$21:C148,$B$22:$B$294&amp;"")+IF($B$22:$B$294="",1,0),0)),"")</f>
        <v/>
      </c>
      <c r="D149" s="4" t="s">
        <v>8024</v>
      </c>
    </row>
    <row r="150" spans="1:4">
      <c r="A150" s="6" t="s">
        <v>8025</v>
      </c>
      <c r="B150" s="4" t="s">
        <v>8020</v>
      </c>
      <c r="C150" s="4" t="str">
        <f t="array" ref="C150">IFERROR(INDEX($B$22:$B$294,MATCH(0,COUNTIF($C$21:C149,$B$22:$B$294&amp;"")+IF($B$22:$B$294="",1,0),0)),"")</f>
        <v/>
      </c>
      <c r="D150" s="4" t="s">
        <v>8021</v>
      </c>
    </row>
    <row r="151" spans="1:4">
      <c r="A151" s="6" t="s">
        <v>8026</v>
      </c>
      <c r="B151" s="4" t="s">
        <v>8017</v>
      </c>
      <c r="C151" s="4" t="str">
        <f t="array" ref="C151">IFERROR(INDEX($B$22:$B$294,MATCH(0,COUNTIF($C$21:C150,$B$22:$B$294&amp;"")+IF($B$22:$B$294="",1,0),0)),"")</f>
        <v/>
      </c>
      <c r="D151" s="4" t="s">
        <v>8018</v>
      </c>
    </row>
    <row r="152" spans="1:4">
      <c r="A152" s="6" t="s">
        <v>8027</v>
      </c>
      <c r="B152" s="4" t="s">
        <v>8014</v>
      </c>
      <c r="C152" s="4" t="str">
        <f t="array" ref="C152">IFERROR(INDEX($B$22:$B$294,MATCH(0,COUNTIF($C$21:C151,$B$22:$B$294&amp;"")+IF($B$22:$B$294="",1,0),0)),"")</f>
        <v/>
      </c>
      <c r="D152" s="4" t="s">
        <v>8015</v>
      </c>
    </row>
    <row r="153" spans="1:4">
      <c r="A153" s="6" t="s">
        <v>8028</v>
      </c>
      <c r="B153" s="4" t="s">
        <v>8014</v>
      </c>
      <c r="C153" s="4" t="str">
        <f t="array" ref="C153">IFERROR(INDEX($B$22:$B$294,MATCH(0,COUNTIF($C$21:C152,$B$22:$B$294&amp;"")+IF($B$22:$B$294="",1,0),0)),"")</f>
        <v/>
      </c>
      <c r="D153" s="4" t="s">
        <v>8015</v>
      </c>
    </row>
    <row r="154" spans="1:4">
      <c r="A154" s="6" t="s">
        <v>8029</v>
      </c>
      <c r="B154" s="4" t="s">
        <v>8020</v>
      </c>
      <c r="C154" s="4" t="str">
        <f t="array" ref="C154">IFERROR(INDEX($B$22:$B$294,MATCH(0,COUNTIF($C$21:C153,$B$22:$B$294&amp;"")+IF($B$22:$B$294="",1,0),0)),"")</f>
        <v/>
      </c>
      <c r="D154" s="4" t="s">
        <v>8021</v>
      </c>
    </row>
    <row r="155" spans="1:4">
      <c r="A155" s="6" t="s">
        <v>8030</v>
      </c>
      <c r="B155" s="4" t="s">
        <v>8017</v>
      </c>
      <c r="C155" s="4" t="str">
        <f t="array" ref="C155">IFERROR(INDEX($B$22:$B$294,MATCH(0,COUNTIF($C$21:C154,$B$22:$B$294&amp;"")+IF($B$22:$B$294="",1,0),0)),"")</f>
        <v/>
      </c>
      <c r="D155" s="4" t="s">
        <v>8018</v>
      </c>
    </row>
    <row r="156" spans="1:4">
      <c r="A156" s="6" t="s">
        <v>8031</v>
      </c>
      <c r="B156" s="4" t="s">
        <v>8014</v>
      </c>
      <c r="C156" s="4" t="str">
        <f t="array" ref="C156">IFERROR(INDEX($B$22:$B$294,MATCH(0,COUNTIF($C$21:C155,$B$22:$B$294&amp;"")+IF($B$22:$B$294="",1,0),0)),"")</f>
        <v/>
      </c>
      <c r="D156" s="4" t="s">
        <v>8015</v>
      </c>
    </row>
    <row r="157" spans="1:4">
      <c r="A157" s="6" t="s">
        <v>8032</v>
      </c>
      <c r="B157" s="4" t="s">
        <v>8014</v>
      </c>
      <c r="C157" s="4" t="str">
        <f t="array" ref="C157">IFERROR(INDEX($B$22:$B$294,MATCH(0,COUNTIF($C$21:C156,$B$22:$B$294&amp;"")+IF($B$22:$B$294="",1,0),0)),"")</f>
        <v/>
      </c>
      <c r="D157" s="4" t="s">
        <v>8015</v>
      </c>
    </row>
    <row r="158" spans="1:4">
      <c r="A158" s="6" t="s">
        <v>8033</v>
      </c>
      <c r="B158" s="4" t="s">
        <v>8020</v>
      </c>
      <c r="C158" s="4" t="str">
        <f t="array" ref="C158">IFERROR(INDEX($B$22:$B$294,MATCH(0,COUNTIF($C$21:C157,$B$22:$B$294&amp;"")+IF($B$22:$B$294="",1,0),0)),"")</f>
        <v/>
      </c>
      <c r="D158" s="4" t="s">
        <v>8021</v>
      </c>
    </row>
    <row r="159" spans="1:4">
      <c r="A159" s="6" t="s">
        <v>8034</v>
      </c>
      <c r="B159" s="4" t="s">
        <v>8017</v>
      </c>
      <c r="C159" s="4" t="str">
        <f t="array" ref="C159">IFERROR(INDEX($B$22:$B$294,MATCH(0,COUNTIF($C$21:C158,$B$22:$B$294&amp;"")+IF($B$22:$B$294="",1,0),0)),"")</f>
        <v/>
      </c>
      <c r="D159" s="4" t="s">
        <v>8018</v>
      </c>
    </row>
    <row r="160" spans="1:4">
      <c r="A160" s="6" t="s">
        <v>8035</v>
      </c>
      <c r="B160" s="4" t="s">
        <v>356</v>
      </c>
      <c r="C160" s="4" t="str">
        <f t="array" ref="C160">IFERROR(INDEX($B$22:$B$294,MATCH(0,COUNTIF($C$21:C159,$B$22:$B$294&amp;"")+IF($B$22:$B$294="",1,0),0)),"")</f>
        <v/>
      </c>
      <c r="D160" s="4" t="s">
        <v>8036</v>
      </c>
    </row>
    <row r="161" spans="1:4">
      <c r="A161" s="6" t="s">
        <v>8037</v>
      </c>
      <c r="B161" s="4" t="s">
        <v>8023</v>
      </c>
      <c r="C161" s="4" t="str">
        <f t="array" ref="C161">IFERROR(INDEX($B$22:$B$294,MATCH(0,COUNTIF($C$21:C160,$B$22:$B$294&amp;"")+IF($B$22:$B$294="",1,0),0)),"")</f>
        <v/>
      </c>
      <c r="D161" s="4" t="s">
        <v>8024</v>
      </c>
    </row>
    <row r="162" spans="1:4">
      <c r="A162" s="6" t="s">
        <v>8038</v>
      </c>
      <c r="B162" s="4" t="s">
        <v>8039</v>
      </c>
      <c r="C162" s="4" t="str">
        <f t="array" ref="C162">IFERROR(INDEX($B$22:$B$294,MATCH(0,COUNTIF($C$21:C161,$B$22:$B$294&amp;"")+IF($B$22:$B$294="",1,0),0)),"")</f>
        <v/>
      </c>
      <c r="D162" s="4" t="s">
        <v>8040</v>
      </c>
    </row>
    <row r="163" spans="1:4">
      <c r="A163" s="6" t="s">
        <v>8041</v>
      </c>
      <c r="B163" s="4" t="s">
        <v>356</v>
      </c>
      <c r="C163" s="4" t="str">
        <f t="array" ref="C163">IFERROR(INDEX($B$22:$B$294,MATCH(0,COUNTIF($C$21:C162,$B$22:$B$294&amp;"")+IF($B$22:$B$294="",1,0),0)),"")</f>
        <v/>
      </c>
      <c r="D163" s="4" t="s">
        <v>8036</v>
      </c>
    </row>
    <row r="164" spans="1:4">
      <c r="A164" s="6" t="s">
        <v>8042</v>
      </c>
      <c r="B164" s="4" t="s">
        <v>356</v>
      </c>
      <c r="C164" s="4" t="str">
        <f t="array" ref="C164">IFERROR(INDEX($B$22:$B$294,MATCH(0,COUNTIF($C$21:C163,$B$22:$B$294&amp;"")+IF($B$22:$B$294="",1,0),0)),"")</f>
        <v/>
      </c>
      <c r="D164" s="4" t="s">
        <v>8036</v>
      </c>
    </row>
    <row r="165" spans="1:4">
      <c r="A165" s="6" t="s">
        <v>8043</v>
      </c>
      <c r="B165" s="4" t="s">
        <v>8044</v>
      </c>
      <c r="C165" s="4" t="str">
        <f t="array" ref="C165">IFERROR(INDEX($B$22:$B$294,MATCH(0,COUNTIF($C$21:C164,$B$22:$B$294&amp;"")+IF($B$22:$B$294="",1,0),0)),"")</f>
        <v/>
      </c>
      <c r="D165" s="4" t="s">
        <v>8045</v>
      </c>
    </row>
    <row r="166" spans="1:4">
      <c r="A166" s="6" t="s">
        <v>8046</v>
      </c>
      <c r="B166" s="4" t="s">
        <v>356</v>
      </c>
      <c r="C166" s="4" t="str">
        <f t="array" ref="C166">IFERROR(INDEX($B$22:$B$294,MATCH(0,COUNTIF($C$21:C165,$B$22:$B$294&amp;"")+IF($B$22:$B$294="",1,0),0)),"")</f>
        <v/>
      </c>
      <c r="D166" s="4" t="s">
        <v>8036</v>
      </c>
    </row>
    <row r="167" spans="1:4">
      <c r="A167" s="6" t="s">
        <v>8047</v>
      </c>
      <c r="B167" s="4" t="s">
        <v>356</v>
      </c>
      <c r="C167" s="4" t="str">
        <f t="array" ref="C167">IFERROR(INDEX($B$22:$B$294,MATCH(0,COUNTIF($C$21:C166,$B$22:$B$294&amp;"")+IF($B$22:$B$294="",1,0),0)),"")</f>
        <v/>
      </c>
      <c r="D167" s="4" t="s">
        <v>8036</v>
      </c>
    </row>
    <row r="168" spans="1:4">
      <c r="A168" s="6" t="s">
        <v>8048</v>
      </c>
      <c r="B168" s="4" t="s">
        <v>356</v>
      </c>
      <c r="C168" s="4" t="str">
        <f t="array" ref="C168">IFERROR(INDEX($B$22:$B$294,MATCH(0,COUNTIF($C$21:C167,$B$22:$B$294&amp;"")+IF($B$22:$B$294="",1,0),0)),"")</f>
        <v/>
      </c>
      <c r="D168" s="4" t="s">
        <v>8036</v>
      </c>
    </row>
    <row r="169" spans="1:4">
      <c r="A169" s="6" t="s">
        <v>8049</v>
      </c>
      <c r="B169" s="4" t="s">
        <v>356</v>
      </c>
      <c r="C169" s="4" t="str">
        <f t="array" ref="C169">IFERROR(INDEX($B$22:$B$294,MATCH(0,COUNTIF($C$21:C168,$B$22:$B$294&amp;"")+IF($B$22:$B$294="",1,0),0)),"")</f>
        <v/>
      </c>
      <c r="D169" s="4" t="s">
        <v>8036</v>
      </c>
    </row>
    <row r="170" spans="1:4">
      <c r="A170" s="6" t="s">
        <v>8050</v>
      </c>
      <c r="B170" s="4" t="s">
        <v>356</v>
      </c>
      <c r="C170" s="4" t="str">
        <f t="array" ref="C170">IFERROR(INDEX($B$22:$B$294,MATCH(0,COUNTIF($C$21:C169,$B$22:$B$294&amp;"")+IF($B$22:$B$294="",1,0),0)),"")</f>
        <v/>
      </c>
      <c r="D170" s="4" t="s">
        <v>8036</v>
      </c>
    </row>
    <row r="171" spans="1:4">
      <c r="A171" s="6" t="s">
        <v>8051</v>
      </c>
      <c r="B171" s="4" t="s">
        <v>8044</v>
      </c>
      <c r="C171" s="4" t="str">
        <f t="array" ref="C171">IFERROR(INDEX($B$22:$B$294,MATCH(0,COUNTIF($C$21:C170,$B$22:$B$294&amp;"")+IF($B$22:$B$294="",1,0),0)),"")</f>
        <v/>
      </c>
      <c r="D171" s="4" t="s">
        <v>8045</v>
      </c>
    </row>
    <row r="172" spans="1:4">
      <c r="A172" s="6" t="s">
        <v>8052</v>
      </c>
      <c r="B172" s="4" t="s">
        <v>8044</v>
      </c>
      <c r="C172" s="4" t="str">
        <f t="array" ref="C172">IFERROR(INDEX($B$22:$B$294,MATCH(0,COUNTIF($C$21:C171,$B$22:$B$294&amp;"")+IF($B$22:$B$294="",1,0),0)),"")</f>
        <v/>
      </c>
      <c r="D172" s="4" t="s">
        <v>8045</v>
      </c>
    </row>
    <row r="173" spans="1:4">
      <c r="A173" s="6" t="s">
        <v>8053</v>
      </c>
      <c r="B173" s="4" t="s">
        <v>356</v>
      </c>
      <c r="C173" s="4" t="str">
        <f t="array" ref="C173">IFERROR(INDEX($B$22:$B$294,MATCH(0,COUNTIF($C$21:C172,$B$22:$B$294&amp;"")+IF($B$22:$B$294="",1,0),0)),"")</f>
        <v/>
      </c>
      <c r="D173" s="4" t="s">
        <v>8036</v>
      </c>
    </row>
    <row r="174" spans="1:4">
      <c r="A174" s="6" t="s">
        <v>8054</v>
      </c>
      <c r="B174" s="4" t="s">
        <v>356</v>
      </c>
      <c r="C174" s="4" t="str">
        <f t="array" ref="C174">IFERROR(INDEX($B$22:$B$294,MATCH(0,COUNTIF($C$21:C173,$B$22:$B$294&amp;"")+IF($B$22:$B$294="",1,0),0)),"")</f>
        <v/>
      </c>
      <c r="D174" s="4" t="s">
        <v>8036</v>
      </c>
    </row>
    <row r="175" spans="1:4">
      <c r="A175" s="6" t="s">
        <v>8055</v>
      </c>
      <c r="B175" s="4" t="s">
        <v>356</v>
      </c>
      <c r="C175" s="4" t="str">
        <f t="array" ref="C175">IFERROR(INDEX($B$22:$B$294,MATCH(0,COUNTIF($C$21:C174,$B$22:$B$294&amp;"")+IF($B$22:$B$294="",1,0),0)),"")</f>
        <v/>
      </c>
      <c r="D175" s="4" t="s">
        <v>8036</v>
      </c>
    </row>
    <row r="176" spans="1:4">
      <c r="A176" s="6" t="s">
        <v>8056</v>
      </c>
      <c r="B176" s="4" t="s">
        <v>8039</v>
      </c>
      <c r="C176" s="4" t="str">
        <f t="array" ref="C176">IFERROR(INDEX($B$22:$B$294,MATCH(0,COUNTIF($C$21:C175,$B$22:$B$294&amp;"")+IF($B$22:$B$294="",1,0),0)),"")</f>
        <v/>
      </c>
      <c r="D176" s="4" t="s">
        <v>8040</v>
      </c>
    </row>
    <row r="177" spans="1:4">
      <c r="A177" s="6" t="s">
        <v>8057</v>
      </c>
      <c r="B177" s="4" t="s">
        <v>356</v>
      </c>
      <c r="C177" s="4" t="str">
        <f t="array" ref="C177">IFERROR(INDEX($B$22:$B$294,MATCH(0,COUNTIF($C$21:C176,$B$22:$B$294&amp;"")+IF($B$22:$B$294="",1,0),0)),"")</f>
        <v/>
      </c>
      <c r="D177" s="4" t="s">
        <v>8058</v>
      </c>
    </row>
    <row r="178" spans="1:4">
      <c r="A178" s="6" t="s">
        <v>8059</v>
      </c>
      <c r="B178" s="4" t="s">
        <v>356</v>
      </c>
      <c r="C178" s="4" t="str">
        <f t="array" ref="C178">IFERROR(INDEX($B$22:$B$294,MATCH(0,COUNTIF($C$21:C177,$B$22:$B$294&amp;"")+IF($B$22:$B$294="",1,0),0)),"")</f>
        <v/>
      </c>
      <c r="D178" s="4" t="s">
        <v>8058</v>
      </c>
    </row>
    <row r="179" spans="1:4">
      <c r="A179" s="6" t="s">
        <v>8060</v>
      </c>
      <c r="B179" s="4" t="s">
        <v>356</v>
      </c>
      <c r="C179" s="4" t="str">
        <f t="array" ref="C179">IFERROR(INDEX($B$22:$B$294,MATCH(0,COUNTIF($C$21:C178,$B$22:$B$294&amp;"")+IF($B$22:$B$294="",1,0),0)),"")</f>
        <v/>
      </c>
      <c r="D179" s="4" t="s">
        <v>8058</v>
      </c>
    </row>
    <row r="180" spans="1:4">
      <c r="A180" s="6" t="s">
        <v>8061</v>
      </c>
      <c r="B180" s="4" t="s">
        <v>356</v>
      </c>
      <c r="C180" s="4" t="str">
        <f t="array" ref="C180">IFERROR(INDEX($B$22:$B$294,MATCH(0,COUNTIF($C$21:C179,$B$22:$B$294&amp;"")+IF($B$22:$B$294="",1,0),0)),"")</f>
        <v/>
      </c>
      <c r="D180" s="4" t="s">
        <v>8058</v>
      </c>
    </row>
    <row r="181" spans="1:4">
      <c r="A181" s="6" t="s">
        <v>8062</v>
      </c>
      <c r="B181" s="4" t="s">
        <v>356</v>
      </c>
      <c r="C181" s="4" t="str">
        <f t="array" ref="C181">IFERROR(INDEX($B$22:$B$294,MATCH(0,COUNTIF($C$21:C180,$B$22:$B$294&amp;"")+IF($B$22:$B$294="",1,0),0)),"")</f>
        <v/>
      </c>
      <c r="D181" s="4" t="s">
        <v>8058</v>
      </c>
    </row>
    <row r="182" spans="1:4">
      <c r="A182" s="6" t="s">
        <v>8063</v>
      </c>
      <c r="B182" s="4" t="s">
        <v>356</v>
      </c>
      <c r="C182" s="4" t="str">
        <f t="array" ref="C182">IFERROR(INDEX($B$22:$B$294,MATCH(0,COUNTIF($C$21:C181,$B$22:$B$294&amp;"")+IF($B$22:$B$294="",1,0),0)),"")</f>
        <v/>
      </c>
      <c r="D182" s="4" t="s">
        <v>8058</v>
      </c>
    </row>
    <row r="183" spans="1:4">
      <c r="A183" s="6" t="s">
        <v>8064</v>
      </c>
      <c r="B183" s="4" t="s">
        <v>356</v>
      </c>
      <c r="C183" s="4" t="str">
        <f t="array" ref="C183">IFERROR(INDEX($B$22:$B$294,MATCH(0,COUNTIF($C$21:C182,$B$22:$B$294&amp;"")+IF($B$22:$B$294="",1,0),0)),"")</f>
        <v/>
      </c>
      <c r="D183" s="4" t="s">
        <v>8058</v>
      </c>
    </row>
    <row r="184" spans="1:4">
      <c r="A184" s="6" t="s">
        <v>8065</v>
      </c>
      <c r="B184" s="4" t="s">
        <v>356</v>
      </c>
      <c r="C184" s="4" t="str">
        <f t="array" ref="C184">IFERROR(INDEX($B$22:$B$294,MATCH(0,COUNTIF($C$21:C183,$B$22:$B$294&amp;"")+IF($B$22:$B$294="",1,0),0)),"")</f>
        <v/>
      </c>
      <c r="D184" s="4" t="s">
        <v>8058</v>
      </c>
    </row>
    <row r="185" spans="1:4">
      <c r="A185" s="6" t="s">
        <v>8066</v>
      </c>
      <c r="B185" s="4" t="s">
        <v>356</v>
      </c>
      <c r="C185" s="4" t="str">
        <f t="array" ref="C185">IFERROR(INDEX($B$22:$B$294,MATCH(0,COUNTIF($C$21:C184,$B$22:$B$294&amp;"")+IF($B$22:$B$294="",1,0),0)),"")</f>
        <v/>
      </c>
      <c r="D185" s="4" t="s">
        <v>8058</v>
      </c>
    </row>
    <row r="186" spans="1:4">
      <c r="A186" s="6" t="s">
        <v>8067</v>
      </c>
      <c r="B186" s="4" t="s">
        <v>356</v>
      </c>
      <c r="C186" s="4" t="str">
        <f t="array" ref="C186">IFERROR(INDEX($B$22:$B$294,MATCH(0,COUNTIF($C$21:C185,$B$22:$B$294&amp;"")+IF($B$22:$B$294="",1,0),0)),"")</f>
        <v/>
      </c>
      <c r="D186" s="4" t="s">
        <v>8058</v>
      </c>
    </row>
    <row r="187" spans="1:4">
      <c r="A187" s="6" t="s">
        <v>8068</v>
      </c>
      <c r="B187" s="4" t="s">
        <v>8069</v>
      </c>
      <c r="C187" s="4" t="str">
        <f t="array" ref="C187">IFERROR(INDEX($B$22:$B$294,MATCH(0,COUNTIF($C$21:C186,$B$22:$B$294&amp;"")+IF($B$22:$B$294="",1,0),0)),"")</f>
        <v/>
      </c>
      <c r="D187" s="4" t="s">
        <v>8070</v>
      </c>
    </row>
    <row r="188" spans="1:4">
      <c r="A188" s="6" t="s">
        <v>8071</v>
      </c>
      <c r="B188" s="4" t="s">
        <v>8069</v>
      </c>
      <c r="C188" s="4" t="str">
        <f t="array" ref="C188">IFERROR(INDEX($B$22:$B$294,MATCH(0,COUNTIF($C$21:C187,$B$22:$B$294&amp;"")+IF($B$22:$B$294="",1,0),0)),"")</f>
        <v/>
      </c>
      <c r="D188" s="4" t="s">
        <v>8070</v>
      </c>
    </row>
    <row r="189" spans="1:4">
      <c r="A189" s="6" t="s">
        <v>8072</v>
      </c>
      <c r="B189" s="4" t="s">
        <v>8073</v>
      </c>
      <c r="C189" s="4" t="str">
        <f t="array" ref="C189">IFERROR(INDEX($B$22:$B$294,MATCH(0,COUNTIF($C$21:C188,$B$22:$B$294&amp;"")+IF($B$22:$B$294="",1,0),0)),"")</f>
        <v/>
      </c>
      <c r="D189" s="4" t="s">
        <v>8074</v>
      </c>
    </row>
    <row r="190" spans="1:4">
      <c r="A190" s="6" t="s">
        <v>8075</v>
      </c>
      <c r="B190" s="4" t="s">
        <v>8076</v>
      </c>
      <c r="C190" s="4" t="str">
        <f t="array" ref="C190">IFERROR(INDEX($B$22:$B$294,MATCH(0,COUNTIF($C$21:C189,$B$22:$B$294&amp;"")+IF($B$22:$B$294="",1,0),0)),"")</f>
        <v/>
      </c>
      <c r="D190" s="4" t="s">
        <v>8077</v>
      </c>
    </row>
    <row r="191" spans="1:4">
      <c r="A191" s="6" t="s">
        <v>8078</v>
      </c>
      <c r="B191" s="4" t="s">
        <v>8073</v>
      </c>
      <c r="C191" s="4" t="str">
        <f t="array" ref="C191">IFERROR(INDEX($B$22:$B$294,MATCH(0,COUNTIF($C$21:C190,$B$22:$B$294&amp;"")+IF($B$22:$B$294="",1,0),0)),"")</f>
        <v/>
      </c>
      <c r="D191" s="4" t="s">
        <v>8074</v>
      </c>
    </row>
    <row r="192" spans="1:4">
      <c r="A192" s="6" t="s">
        <v>8079</v>
      </c>
      <c r="B192" s="4" t="s">
        <v>8073</v>
      </c>
      <c r="C192" s="4" t="str">
        <f t="array" ref="C192">IFERROR(INDEX($B$22:$B$294,MATCH(0,COUNTIF($C$21:C191,$B$22:$B$294&amp;"")+IF($B$22:$B$294="",1,0),0)),"")</f>
        <v/>
      </c>
      <c r="D192" s="4" t="s">
        <v>8074</v>
      </c>
    </row>
    <row r="193" spans="1:4">
      <c r="A193" s="6" t="s">
        <v>8080</v>
      </c>
      <c r="B193" s="4" t="s">
        <v>8073</v>
      </c>
      <c r="C193" s="4" t="str">
        <f t="array" ref="C193">IFERROR(INDEX($B$22:$B$294,MATCH(0,COUNTIF($C$21:C192,$B$22:$B$294&amp;"")+IF($B$22:$B$294="",1,0),0)),"")</f>
        <v/>
      </c>
      <c r="D193" s="4" t="s">
        <v>8074</v>
      </c>
    </row>
    <row r="194" spans="1:4">
      <c r="A194" s="6" t="s">
        <v>8081</v>
      </c>
      <c r="B194" s="4" t="s">
        <v>8076</v>
      </c>
      <c r="C194" s="4" t="str">
        <f t="array" ref="C194">IFERROR(INDEX($B$22:$B$294,MATCH(0,COUNTIF($C$21:C193,$B$22:$B$294&amp;"")+IF($B$22:$B$294="",1,0),0)),"")</f>
        <v/>
      </c>
      <c r="D194" s="4" t="s">
        <v>8077</v>
      </c>
    </row>
    <row r="195" spans="1:4">
      <c r="A195" s="6" t="s">
        <v>8082</v>
      </c>
      <c r="B195" s="4" t="s">
        <v>8076</v>
      </c>
      <c r="C195" s="4" t="str">
        <f t="array" ref="C195">IFERROR(INDEX($B$22:$B$294,MATCH(0,COUNTIF($C$21:C194,$B$22:$B$294&amp;"")+IF($B$22:$B$294="",1,0),0)),"")</f>
        <v/>
      </c>
      <c r="D195" s="4" t="s">
        <v>8077</v>
      </c>
    </row>
    <row r="196" spans="1:4">
      <c r="A196" s="6" t="s">
        <v>8083</v>
      </c>
      <c r="B196" s="4" t="s">
        <v>8073</v>
      </c>
      <c r="C196" s="4" t="str">
        <f t="array" ref="C196">IFERROR(INDEX($B$22:$B$294,MATCH(0,COUNTIF($C$21:C195,$B$22:$B$294&amp;"")+IF($B$22:$B$294="",1,0),0)),"")</f>
        <v/>
      </c>
      <c r="D196" s="4" t="s">
        <v>8074</v>
      </c>
    </row>
    <row r="197" spans="1:4">
      <c r="A197" s="6" t="s">
        <v>8084</v>
      </c>
      <c r="B197" s="4" t="s">
        <v>8073</v>
      </c>
      <c r="C197" s="4" t="str">
        <f t="array" ref="C197">IFERROR(INDEX($B$22:$B$294,MATCH(0,COUNTIF($C$21:C196,$B$22:$B$294&amp;"")+IF($B$22:$B$294="",1,0),0)),"")</f>
        <v/>
      </c>
      <c r="D197" s="4" t="s">
        <v>8074</v>
      </c>
    </row>
    <row r="198" spans="1:4">
      <c r="A198" s="6" t="s">
        <v>8085</v>
      </c>
      <c r="B198" s="4" t="s">
        <v>8073</v>
      </c>
      <c r="C198" s="4" t="str">
        <f t="array" ref="C198">IFERROR(INDEX($B$22:$B$294,MATCH(0,COUNTIF($C$21:C197,$B$22:$B$294&amp;"")+IF($B$22:$B$294="",1,0),0)),"")</f>
        <v/>
      </c>
      <c r="D198" s="4" t="s">
        <v>8074</v>
      </c>
    </row>
    <row r="199" spans="1:4">
      <c r="A199" s="6" t="s">
        <v>8086</v>
      </c>
      <c r="B199" s="4" t="s">
        <v>8073</v>
      </c>
      <c r="C199" s="4" t="str">
        <f t="array" ref="C199">IFERROR(INDEX($B$22:$B$294,MATCH(0,COUNTIF($C$21:C198,$B$22:$B$294&amp;"")+IF($B$22:$B$294="",1,0),0)),"")</f>
        <v/>
      </c>
      <c r="D199" s="4" t="s">
        <v>8074</v>
      </c>
    </row>
    <row r="200" spans="1:4">
      <c r="A200" s="6" t="s">
        <v>8087</v>
      </c>
      <c r="B200" s="4" t="s">
        <v>8076</v>
      </c>
      <c r="C200" s="4" t="str">
        <f t="array" ref="C200">IFERROR(INDEX($B$22:$B$294,MATCH(0,COUNTIF($C$21:C199,$B$22:$B$294&amp;"")+IF($B$22:$B$294="",1,0),0)),"")</f>
        <v/>
      </c>
      <c r="D200" s="4" t="s">
        <v>8077</v>
      </c>
    </row>
    <row r="201" spans="1:4">
      <c r="A201" s="6" t="s">
        <v>8088</v>
      </c>
      <c r="B201" s="4" t="s">
        <v>8073</v>
      </c>
      <c r="C201" s="4" t="str">
        <f t="array" ref="C201">IFERROR(INDEX($B$22:$B$294,MATCH(0,COUNTIF($C$21:C200,$B$22:$B$294&amp;"")+IF($B$22:$B$294="",1,0),0)),"")</f>
        <v/>
      </c>
      <c r="D201" s="4" t="s">
        <v>8074</v>
      </c>
    </row>
    <row r="202" spans="1:4">
      <c r="A202" s="6" t="s">
        <v>8089</v>
      </c>
      <c r="B202" s="4" t="s">
        <v>8073</v>
      </c>
      <c r="C202" s="4" t="str">
        <f t="array" ref="C202">IFERROR(INDEX($B$22:$B$294,MATCH(0,COUNTIF($C$21:C201,$B$22:$B$294&amp;"")+IF($B$22:$B$294="",1,0),0)),"")</f>
        <v/>
      </c>
      <c r="D202" s="4" t="s">
        <v>8074</v>
      </c>
    </row>
    <row r="203" spans="1:4">
      <c r="A203" s="6" t="s">
        <v>8090</v>
      </c>
      <c r="B203" s="4" t="s">
        <v>8073</v>
      </c>
      <c r="C203" s="4" t="str">
        <f t="array" ref="C203">IFERROR(INDEX($B$22:$B$294,MATCH(0,COUNTIF($C$21:C202,$B$22:$B$294&amp;"")+IF($B$22:$B$294="",1,0),0)),"")</f>
        <v/>
      </c>
      <c r="D203" s="4" t="s">
        <v>8074</v>
      </c>
    </row>
    <row r="204" spans="1:4">
      <c r="A204" s="6" t="s">
        <v>8091</v>
      </c>
      <c r="B204" s="4" t="s">
        <v>8092</v>
      </c>
      <c r="C204" s="4" t="str">
        <f t="array" ref="C204">IFERROR(INDEX($B$22:$B$294,MATCH(0,COUNTIF($C$21:C203,$B$22:$B$294&amp;"")+IF($B$22:$B$294="",1,0),0)),"")</f>
        <v/>
      </c>
      <c r="D204" s="4" t="s">
        <v>8093</v>
      </c>
    </row>
    <row r="205" spans="1:4">
      <c r="A205" s="6" t="s">
        <v>8094</v>
      </c>
      <c r="B205" s="4" t="s">
        <v>8095</v>
      </c>
      <c r="C205" s="4" t="str">
        <f t="array" ref="C205">IFERROR(INDEX($B$22:$B$294,MATCH(0,COUNTIF($C$21:C204,$B$22:$B$294&amp;"")+IF($B$22:$B$294="",1,0),0)),"")</f>
        <v/>
      </c>
      <c r="D205" s="4" t="s">
        <v>8096</v>
      </c>
    </row>
    <row r="206" spans="1:4">
      <c r="A206" s="6" t="s">
        <v>8097</v>
      </c>
      <c r="B206" s="4" t="s">
        <v>8098</v>
      </c>
      <c r="C206" s="4" t="str">
        <f t="array" ref="C206">IFERROR(INDEX($B$22:$B$294,MATCH(0,COUNTIF($C$21:C205,$B$22:$B$294&amp;"")+IF($B$22:$B$294="",1,0),0)),"")</f>
        <v/>
      </c>
      <c r="D206" s="4" t="s">
        <v>8099</v>
      </c>
    </row>
    <row r="207" spans="1:4">
      <c r="A207" s="6" t="s">
        <v>8100</v>
      </c>
      <c r="B207" s="4" t="s">
        <v>8095</v>
      </c>
      <c r="C207" s="4" t="str">
        <f t="array" ref="C207">IFERROR(INDEX($B$22:$B$294,MATCH(0,COUNTIF($C$21:C206,$B$22:$B$294&amp;"")+IF($B$22:$B$294="",1,0),0)),"")</f>
        <v/>
      </c>
      <c r="D207" s="4" t="s">
        <v>8096</v>
      </c>
    </row>
    <row r="208" spans="1:4">
      <c r="A208" s="6" t="s">
        <v>8101</v>
      </c>
      <c r="B208" s="4" t="s">
        <v>8092</v>
      </c>
      <c r="C208" s="4" t="str">
        <f t="array" ref="C208">IFERROR(INDEX($B$22:$B$294,MATCH(0,COUNTIF($C$21:C207,$B$22:$B$294&amp;"")+IF($B$22:$B$294="",1,0),0)),"")</f>
        <v/>
      </c>
      <c r="D208" s="4" t="s">
        <v>8093</v>
      </c>
    </row>
    <row r="209" spans="1:4">
      <c r="A209" s="6" t="s">
        <v>8102</v>
      </c>
      <c r="B209" s="4" t="s">
        <v>8095</v>
      </c>
      <c r="C209" s="4" t="str">
        <f t="array" ref="C209">IFERROR(INDEX($B$22:$B$294,MATCH(0,COUNTIF($C$21:C208,$B$22:$B$294&amp;"")+IF($B$22:$B$294="",1,0),0)),"")</f>
        <v/>
      </c>
      <c r="D209" s="4" t="s">
        <v>8096</v>
      </c>
    </row>
    <row r="210" spans="1:4">
      <c r="A210" s="6" t="s">
        <v>8103</v>
      </c>
      <c r="B210" s="4" t="s">
        <v>8095</v>
      </c>
      <c r="C210" s="4" t="str">
        <f t="array" ref="C210">IFERROR(INDEX($B$22:$B$294,MATCH(0,COUNTIF($C$21:C209,$B$22:$B$294&amp;"")+IF($B$22:$B$294="",1,0),0)),"")</f>
        <v/>
      </c>
      <c r="D210" s="4" t="s">
        <v>8096</v>
      </c>
    </row>
    <row r="211" spans="1:4">
      <c r="A211" s="6" t="s">
        <v>8104</v>
      </c>
      <c r="B211" s="4" t="s">
        <v>8098</v>
      </c>
      <c r="C211" s="4" t="str">
        <f t="array" ref="C211">IFERROR(INDEX($B$22:$B$294,MATCH(0,COUNTIF($C$21:C210,$B$22:$B$294&amp;"")+IF($B$22:$B$294="",1,0),0)),"")</f>
        <v/>
      </c>
      <c r="D211" s="4" t="s">
        <v>8099</v>
      </c>
    </row>
    <row r="212" spans="1:4">
      <c r="A212" s="6" t="s">
        <v>8105</v>
      </c>
      <c r="B212" s="4" t="s">
        <v>8092</v>
      </c>
      <c r="C212" s="4" t="str">
        <f t="array" ref="C212">IFERROR(INDEX($B$22:$B$294,MATCH(0,COUNTIF($C$21:C211,$B$22:$B$294&amp;"")+IF($B$22:$B$294="",1,0),0)),"")</f>
        <v/>
      </c>
      <c r="D212" s="4" t="s">
        <v>8093</v>
      </c>
    </row>
    <row r="213" spans="1:4">
      <c r="A213" s="6" t="s">
        <v>8106</v>
      </c>
      <c r="B213" s="4" t="s">
        <v>8095</v>
      </c>
      <c r="C213" s="4" t="str">
        <f t="array" ref="C213">IFERROR(INDEX($B$22:$B$294,MATCH(0,COUNTIF($C$21:C212,$B$22:$B$294&amp;"")+IF($B$22:$B$294="",1,0),0)),"")</f>
        <v/>
      </c>
      <c r="D213" s="4" t="s">
        <v>8096</v>
      </c>
    </row>
    <row r="214" spans="1:4">
      <c r="A214" s="6" t="s">
        <v>8107</v>
      </c>
      <c r="B214" s="4" t="s">
        <v>8092</v>
      </c>
      <c r="C214" s="4" t="str">
        <f t="array" ref="C214">IFERROR(INDEX($B$22:$B$294,MATCH(0,COUNTIF($C$21:C213,$B$22:$B$294&amp;"")+IF($B$22:$B$294="",1,0),0)),"")</f>
        <v/>
      </c>
      <c r="D214" s="4" t="s">
        <v>8093</v>
      </c>
    </row>
    <row r="215" spans="1:4">
      <c r="A215" s="6" t="s">
        <v>8108</v>
      </c>
      <c r="B215" s="4" t="s">
        <v>8098</v>
      </c>
      <c r="C215" s="4" t="str">
        <f t="array" ref="C215">IFERROR(INDEX($B$22:$B$294,MATCH(0,COUNTIF($C$21:C214,$B$22:$B$294&amp;"")+IF($B$22:$B$294="",1,0),0)),"")</f>
        <v/>
      </c>
      <c r="D215" s="4" t="s">
        <v>8099</v>
      </c>
    </row>
    <row r="216" spans="1:4">
      <c r="A216" s="6" t="s">
        <v>8109</v>
      </c>
      <c r="B216" s="4" t="s">
        <v>8095</v>
      </c>
      <c r="C216" s="4" t="str">
        <f t="array" ref="C216">IFERROR(INDEX($B$22:$B$294,MATCH(0,COUNTIF($C$21:C215,$B$22:$B$294&amp;"")+IF($B$22:$B$294="",1,0),0)),"")</f>
        <v/>
      </c>
      <c r="D216" s="4" t="s">
        <v>8096</v>
      </c>
    </row>
    <row r="217" spans="1:4">
      <c r="A217" s="6" t="s">
        <v>8110</v>
      </c>
      <c r="B217" s="4" t="s">
        <v>8092</v>
      </c>
      <c r="C217" s="4" t="str">
        <f t="array" ref="C217">IFERROR(INDEX($B$22:$B$294,MATCH(0,COUNTIF($C$21:C216,$B$22:$B$294&amp;"")+IF($B$22:$B$294="",1,0),0)),"")</f>
        <v/>
      </c>
      <c r="D217" s="4" t="s">
        <v>8093</v>
      </c>
    </row>
    <row r="218" spans="1:4">
      <c r="A218" s="6" t="s">
        <v>8111</v>
      </c>
      <c r="B218" s="4" t="s">
        <v>8023</v>
      </c>
      <c r="C218" s="4" t="str">
        <f t="array" ref="C218">IFERROR(INDEX($B$22:$B$294,MATCH(0,COUNTIF($C$21:C217,$B$22:$B$294&amp;"")+IF($B$22:$B$294="",1,0),0)),"")</f>
        <v/>
      </c>
      <c r="D218" s="4" t="s">
        <v>8024</v>
      </c>
    </row>
    <row r="219" spans="1:4">
      <c r="A219" s="6" t="s">
        <v>8112</v>
      </c>
      <c r="B219" s="4" t="s">
        <v>8023</v>
      </c>
      <c r="C219" s="4" t="str">
        <f t="array" ref="C219">IFERROR(INDEX($B$22:$B$294,MATCH(0,COUNTIF($C$21:C218,$B$22:$B$294&amp;"")+IF($B$22:$B$294="",1,0),0)),"")</f>
        <v/>
      </c>
      <c r="D219" s="4" t="s">
        <v>8024</v>
      </c>
    </row>
    <row r="220" spans="1:4">
      <c r="A220" s="6" t="s">
        <v>8113</v>
      </c>
      <c r="B220" s="4" t="s">
        <v>8023</v>
      </c>
      <c r="C220" s="4" t="str">
        <f t="array" ref="C220">IFERROR(INDEX($B$22:$B$294,MATCH(0,COUNTIF($C$21:C219,$B$22:$B$294&amp;"")+IF($B$22:$B$294="",1,0),0)),"")</f>
        <v/>
      </c>
      <c r="D220" s="4" t="s">
        <v>8024</v>
      </c>
    </row>
    <row r="221" spans="1:4">
      <c r="A221" s="6" t="s">
        <v>8114</v>
      </c>
      <c r="B221" s="4" t="s">
        <v>8023</v>
      </c>
      <c r="C221" s="4" t="str">
        <f t="array" ref="C221">IFERROR(INDEX($B$22:$B$294,MATCH(0,COUNTIF($C$21:C220,$B$22:$B$294&amp;"")+IF($B$22:$B$294="",1,0),0)),"")</f>
        <v/>
      </c>
      <c r="D221" s="4" t="s">
        <v>8024</v>
      </c>
    </row>
    <row r="222" spans="1:4">
      <c r="A222" s="6" t="s">
        <v>8115</v>
      </c>
      <c r="B222" s="4" t="s">
        <v>8116</v>
      </c>
      <c r="C222" s="4" t="str">
        <f t="array" ref="C222">IFERROR(INDEX($B$22:$B$294,MATCH(0,COUNTIF($C$21:C221,$B$22:$B$294&amp;"")+IF($B$22:$B$294="",1,0),0)),"")</f>
        <v/>
      </c>
      <c r="D222" s="4" t="s">
        <v>8117</v>
      </c>
    </row>
    <row r="223" spans="1:4">
      <c r="A223" s="6" t="s">
        <v>8118</v>
      </c>
      <c r="B223" s="4" t="s">
        <v>8023</v>
      </c>
      <c r="C223" s="4" t="str">
        <f t="array" ref="C223">IFERROR(INDEX($B$22:$B$294,MATCH(0,COUNTIF($C$21:C222,$B$22:$B$294&amp;"")+IF($B$22:$B$294="",1,0),0)),"")</f>
        <v/>
      </c>
      <c r="D223" s="4" t="s">
        <v>8024</v>
      </c>
    </row>
    <row r="224" spans="1:4">
      <c r="A224" s="6" t="s">
        <v>8119</v>
      </c>
      <c r="B224" s="4" t="s">
        <v>8023</v>
      </c>
      <c r="C224" s="4" t="str">
        <f t="array" ref="C224">IFERROR(INDEX($B$22:$B$294,MATCH(0,COUNTIF($C$21:C223,$B$22:$B$294&amp;"")+IF($B$22:$B$294="",1,0),0)),"")</f>
        <v/>
      </c>
      <c r="D224" s="4" t="s">
        <v>8024</v>
      </c>
    </row>
    <row r="225" spans="1:4">
      <c r="A225" s="6" t="s">
        <v>8120</v>
      </c>
      <c r="B225" s="4" t="s">
        <v>8116</v>
      </c>
      <c r="C225" s="4" t="str">
        <f t="array" ref="C225">IFERROR(INDEX($B$22:$B$294,MATCH(0,COUNTIF($C$21:C224,$B$22:$B$294&amp;"")+IF($B$22:$B$294="",1,0),0)),"")</f>
        <v/>
      </c>
      <c r="D225" s="4" t="s">
        <v>8117</v>
      </c>
    </row>
    <row r="226" spans="1:4">
      <c r="A226" s="6" t="s">
        <v>8121</v>
      </c>
      <c r="B226" s="4" t="s">
        <v>8023</v>
      </c>
      <c r="C226" s="4" t="str">
        <f t="array" ref="C226">IFERROR(INDEX($B$22:$B$294,MATCH(0,COUNTIF($C$21:C225,$B$22:$B$294&amp;"")+IF($B$22:$B$294="",1,0),0)),"")</f>
        <v/>
      </c>
      <c r="D226" s="4" t="s">
        <v>8024</v>
      </c>
    </row>
    <row r="227" spans="1:4">
      <c r="A227" s="6" t="s">
        <v>8122</v>
      </c>
      <c r="B227" s="4" t="s">
        <v>8023</v>
      </c>
      <c r="C227" s="4" t="str">
        <f t="array" ref="C227">IFERROR(INDEX($B$22:$B$294,MATCH(0,COUNTIF($C$21:C226,$B$22:$B$294&amp;"")+IF($B$22:$B$294="",1,0),0)),"")</f>
        <v/>
      </c>
      <c r="D227" s="4" t="s">
        <v>8024</v>
      </c>
    </row>
    <row r="228" spans="1:4">
      <c r="A228" s="6" t="s">
        <v>8123</v>
      </c>
      <c r="B228" s="4" t="s">
        <v>8124</v>
      </c>
      <c r="C228" s="4" t="str">
        <f t="array" ref="C228">IFERROR(INDEX($B$22:$B$294,MATCH(0,COUNTIF($C$21:C227,$B$22:$B$294&amp;"")+IF($B$22:$B$294="",1,0),0)),"")</f>
        <v/>
      </c>
      <c r="D228" s="4" t="s">
        <v>8125</v>
      </c>
    </row>
    <row r="229" spans="1:4">
      <c r="A229" s="6" t="s">
        <v>8126</v>
      </c>
      <c r="B229" s="4" t="s">
        <v>8127</v>
      </c>
      <c r="C229" s="4" t="str">
        <f t="array" ref="C229">IFERROR(INDEX($B$22:$B$294,MATCH(0,COUNTIF($C$21:C228,$B$22:$B$294&amp;"")+IF($B$22:$B$294="",1,0),0)),"")</f>
        <v/>
      </c>
      <c r="D229" s="4" t="s">
        <v>8128</v>
      </c>
    </row>
    <row r="230" spans="1:4">
      <c r="A230" s="6" t="s">
        <v>8129</v>
      </c>
      <c r="B230" s="4" t="s">
        <v>8124</v>
      </c>
      <c r="C230" s="4" t="str">
        <f t="array" ref="C230">IFERROR(INDEX($B$22:$B$294,MATCH(0,COUNTIF($C$21:C229,$B$22:$B$294&amp;"")+IF($B$22:$B$294="",1,0),0)),"")</f>
        <v/>
      </c>
      <c r="D230" s="4" t="s">
        <v>8125</v>
      </c>
    </row>
    <row r="231" spans="1:4">
      <c r="A231" s="6" t="s">
        <v>8130</v>
      </c>
      <c r="B231" s="4" t="s">
        <v>8127</v>
      </c>
      <c r="C231" s="4" t="str">
        <f t="array" ref="C231">IFERROR(INDEX($B$22:$B$294,MATCH(0,COUNTIF($C$21:C230,$B$22:$B$294&amp;"")+IF($B$22:$B$294="",1,0),0)),"")</f>
        <v/>
      </c>
      <c r="D231" s="4" t="s">
        <v>8128</v>
      </c>
    </row>
    <row r="232" spans="1:4">
      <c r="A232" s="6" t="s">
        <v>8131</v>
      </c>
      <c r="B232" s="4" t="s">
        <v>8124</v>
      </c>
      <c r="C232" s="4" t="str">
        <f t="array" ref="C232">IFERROR(INDEX($B$22:$B$294,MATCH(0,COUNTIF($C$21:C231,$B$22:$B$294&amp;"")+IF($B$22:$B$294="",1,0),0)),"")</f>
        <v/>
      </c>
      <c r="D232" s="4" t="s">
        <v>8125</v>
      </c>
    </row>
    <row r="233" spans="1:4">
      <c r="A233" s="6" t="s">
        <v>8132</v>
      </c>
      <c r="B233" s="4" t="s">
        <v>8127</v>
      </c>
      <c r="C233" s="4" t="str">
        <f t="array" ref="C233">IFERROR(INDEX($B$22:$B$294,MATCH(0,COUNTIF($C$21:C232,$B$22:$B$294&amp;"")+IF($B$22:$B$294="",1,0),0)),"")</f>
        <v/>
      </c>
      <c r="D233" s="4" t="s">
        <v>8128</v>
      </c>
    </row>
    <row r="234" spans="1:4">
      <c r="A234" s="6" t="s">
        <v>8133</v>
      </c>
      <c r="B234" s="4" t="s">
        <v>8124</v>
      </c>
      <c r="C234" s="4" t="str">
        <f t="array" ref="C234">IFERROR(INDEX($B$22:$B$294,MATCH(0,COUNTIF($C$21:C233,$B$22:$B$294&amp;"")+IF($B$22:$B$294="",1,0),0)),"")</f>
        <v/>
      </c>
      <c r="D234" s="4" t="s">
        <v>8125</v>
      </c>
    </row>
    <row r="235" spans="1:4">
      <c r="A235" s="6" t="s">
        <v>8134</v>
      </c>
      <c r="B235" s="4" t="s">
        <v>8124</v>
      </c>
      <c r="C235" s="4" t="str">
        <f t="array" ref="C235">IFERROR(INDEX($B$22:$B$294,MATCH(0,COUNTIF($C$21:C234,$B$22:$B$294&amp;"")+IF($B$22:$B$294="",1,0),0)),"")</f>
        <v/>
      </c>
      <c r="D235" s="4" t="s">
        <v>8125</v>
      </c>
    </row>
    <row r="236" spans="1:4">
      <c r="A236" s="6" t="s">
        <v>8135</v>
      </c>
      <c r="B236" s="4" t="s">
        <v>8124</v>
      </c>
      <c r="C236" s="4" t="str">
        <f t="array" ref="C236">IFERROR(INDEX($B$22:$B$294,MATCH(0,COUNTIF($C$21:C235,$B$22:$B$294&amp;"")+IF($B$22:$B$294="",1,0),0)),"")</f>
        <v/>
      </c>
      <c r="D236" s="4" t="s">
        <v>8125</v>
      </c>
    </row>
    <row r="237" spans="1:4">
      <c r="A237" s="6" t="s">
        <v>8136</v>
      </c>
      <c r="B237" s="4" t="s">
        <v>8127</v>
      </c>
      <c r="C237" s="4" t="str">
        <f t="array" ref="C237">IFERROR(INDEX($B$22:$B$294,MATCH(0,COUNTIF($C$21:C236,$B$22:$B$294&amp;"")+IF($B$22:$B$294="",1,0),0)),"")</f>
        <v/>
      </c>
      <c r="D237" s="4" t="s">
        <v>8128</v>
      </c>
    </row>
    <row r="238" spans="1:4">
      <c r="A238" s="6" t="s">
        <v>8137</v>
      </c>
      <c r="B238" s="4" t="s">
        <v>8124</v>
      </c>
      <c r="C238" s="4" t="str">
        <f t="array" ref="C238">IFERROR(INDEX($B$22:$B$294,MATCH(0,COUNTIF($C$21:C237,$B$22:$B$294&amp;"")+IF($B$22:$B$294="",1,0),0)),"")</f>
        <v/>
      </c>
      <c r="D238" s="4" t="s">
        <v>8125</v>
      </c>
    </row>
    <row r="239" spans="1:4">
      <c r="A239" s="6" t="s">
        <v>8138</v>
      </c>
      <c r="B239" s="4" t="s">
        <v>8127</v>
      </c>
      <c r="C239" s="4" t="str">
        <f t="array" ref="C239">IFERROR(INDEX($B$22:$B$294,MATCH(0,COUNTIF($C$21:C238,$B$22:$B$294&amp;"")+IF($B$22:$B$294="",1,0),0)),"")</f>
        <v/>
      </c>
      <c r="D239" s="4" t="s">
        <v>8128</v>
      </c>
    </row>
    <row r="240" spans="1:4">
      <c r="A240" s="6" t="s">
        <v>8139</v>
      </c>
      <c r="B240" s="4" t="s">
        <v>8124</v>
      </c>
      <c r="C240" s="4" t="str">
        <f t="array" ref="C240">IFERROR(INDEX($B$22:$B$294,MATCH(0,COUNTIF($C$21:C239,$B$22:$B$294&amp;"")+IF($B$22:$B$294="",1,0),0)),"")</f>
        <v/>
      </c>
      <c r="D240" s="4" t="s">
        <v>8125</v>
      </c>
    </row>
    <row r="241" spans="1:4">
      <c r="A241" s="6" t="s">
        <v>8140</v>
      </c>
      <c r="B241" s="4" t="s">
        <v>8127</v>
      </c>
      <c r="C241" s="4" t="str">
        <f t="array" ref="C241">IFERROR(INDEX($B$22:$B$294,MATCH(0,COUNTIF($C$21:C240,$B$22:$B$294&amp;"")+IF($B$22:$B$294="",1,0),0)),"")</f>
        <v/>
      </c>
      <c r="D241" s="4" t="s">
        <v>8128</v>
      </c>
    </row>
    <row r="242" spans="1:4">
      <c r="A242" s="6" t="s">
        <v>8141</v>
      </c>
      <c r="B242" s="4" t="s">
        <v>8124</v>
      </c>
      <c r="C242" s="4" t="str">
        <f t="array" ref="C242">IFERROR(INDEX($B$22:$B$294,MATCH(0,COUNTIF($C$21:C241,$B$22:$B$294&amp;"")+IF($B$22:$B$294="",1,0),0)),"")</f>
        <v/>
      </c>
      <c r="D242" s="4" t="s">
        <v>8125</v>
      </c>
    </row>
    <row r="243" spans="1:4">
      <c r="A243" s="6" t="s">
        <v>8142</v>
      </c>
      <c r="B243" s="4" t="s">
        <v>8124</v>
      </c>
      <c r="C243" s="4" t="str">
        <f t="array" ref="C243">IFERROR(INDEX($B$22:$B$294,MATCH(0,COUNTIF($C$21:C242,$B$22:$B$294&amp;"")+IF($B$22:$B$294="",1,0),0)),"")</f>
        <v/>
      </c>
      <c r="D243" s="4" t="s">
        <v>8125</v>
      </c>
    </row>
    <row r="244" spans="1:4">
      <c r="A244" s="6" t="s">
        <v>8143</v>
      </c>
      <c r="B244" s="4" t="s">
        <v>8124</v>
      </c>
      <c r="C244" s="4" t="str">
        <f t="array" ref="C244">IFERROR(INDEX($B$22:$B$294,MATCH(0,COUNTIF($C$21:C243,$B$22:$B$294&amp;"")+IF($B$22:$B$294="",1,0),0)),"")</f>
        <v/>
      </c>
      <c r="D244" s="4" t="s">
        <v>8125</v>
      </c>
    </row>
    <row r="245" spans="1:4">
      <c r="A245" s="6" t="s">
        <v>8144</v>
      </c>
      <c r="B245" s="4" t="s">
        <v>8127</v>
      </c>
      <c r="C245" s="4" t="str">
        <f t="array" ref="C245">IFERROR(INDEX($B$22:$B$294,MATCH(0,COUNTIF($C$21:C244,$B$22:$B$294&amp;"")+IF($B$22:$B$294="",1,0),0)),"")</f>
        <v/>
      </c>
      <c r="D245" s="4" t="s">
        <v>8128</v>
      </c>
    </row>
    <row r="246" spans="1:4">
      <c r="A246" s="6" t="s">
        <v>8145</v>
      </c>
      <c r="B246" s="4" t="s">
        <v>8124</v>
      </c>
      <c r="C246" s="4" t="str">
        <f t="array" ref="C246">IFERROR(INDEX($B$22:$B$294,MATCH(0,COUNTIF($C$21:C245,$B$22:$B$294&amp;"")+IF($B$22:$B$294="",1,0),0)),"")</f>
        <v/>
      </c>
      <c r="D246" s="4" t="s">
        <v>8125</v>
      </c>
    </row>
    <row r="247" spans="1:4">
      <c r="A247" s="6" t="s">
        <v>8146</v>
      </c>
      <c r="B247" s="4" t="s">
        <v>8127</v>
      </c>
      <c r="C247" s="4" t="str">
        <f t="array" ref="C247">IFERROR(INDEX($B$22:$B$294,MATCH(0,COUNTIF($C$21:C246,$B$22:$B$294&amp;"")+IF($B$22:$B$294="",1,0),0)),"")</f>
        <v/>
      </c>
      <c r="D247" s="4" t="s">
        <v>8128</v>
      </c>
    </row>
    <row r="248" spans="1:4">
      <c r="A248" s="6" t="s">
        <v>8147</v>
      </c>
      <c r="B248" s="4" t="s">
        <v>356</v>
      </c>
      <c r="C248" s="4" t="str">
        <f t="array" ref="C248">IFERROR(INDEX($B$22:$B$294,MATCH(0,COUNTIF($C$21:C247,$B$22:$B$294&amp;"")+IF($B$22:$B$294="",1,0),0)),"")</f>
        <v/>
      </c>
      <c r="D248" s="4" t="s">
        <v>8148</v>
      </c>
    </row>
    <row r="249" spans="1:4">
      <c r="A249" s="6" t="s">
        <v>8149</v>
      </c>
      <c r="B249" s="4" t="s">
        <v>356</v>
      </c>
      <c r="C249" s="4" t="str">
        <f t="array" ref="C249">IFERROR(INDEX($B$22:$B$294,MATCH(0,COUNTIF($C$21:C248,$B$22:$B$294&amp;"")+IF($B$22:$B$294="",1,0),0)),"")</f>
        <v/>
      </c>
      <c r="D249" s="4" t="s">
        <v>8148</v>
      </c>
    </row>
    <row r="250" spans="1:4">
      <c r="A250" s="6" t="s">
        <v>8150</v>
      </c>
      <c r="B250" s="4" t="s">
        <v>356</v>
      </c>
      <c r="C250" s="4" t="str">
        <f t="array" ref="C250">IFERROR(INDEX($B$22:$B$294,MATCH(0,COUNTIF($C$21:C249,$B$22:$B$294&amp;"")+IF($B$22:$B$294="",1,0),0)),"")</f>
        <v/>
      </c>
      <c r="D250" s="4" t="s">
        <v>8148</v>
      </c>
    </row>
    <row r="251" spans="1:4">
      <c r="A251" s="6" t="s">
        <v>8151</v>
      </c>
      <c r="B251" s="4" t="s">
        <v>356</v>
      </c>
      <c r="C251" s="4" t="str">
        <f t="array" ref="C251">IFERROR(INDEX($B$22:$B$294,MATCH(0,COUNTIF($C$21:C250,$B$22:$B$294&amp;"")+IF($B$22:$B$294="",1,0),0)),"")</f>
        <v/>
      </c>
      <c r="D251" s="4" t="s">
        <v>8148</v>
      </c>
    </row>
    <row r="252" spans="1:4">
      <c r="A252" s="6" t="s">
        <v>8152</v>
      </c>
      <c r="B252" s="4" t="s">
        <v>8153</v>
      </c>
      <c r="C252" s="4" t="str">
        <f t="array" ref="C252">IFERROR(INDEX($B$22:$B$294,MATCH(0,COUNTIF($C$21:C251,$B$22:$B$294&amp;"")+IF($B$22:$B$294="",1,0),0)),"")</f>
        <v/>
      </c>
      <c r="D252" s="4" t="s">
        <v>8154</v>
      </c>
    </row>
    <row r="253" spans="1:4">
      <c r="A253" s="6" t="s">
        <v>8155</v>
      </c>
      <c r="B253" s="4" t="s">
        <v>356</v>
      </c>
      <c r="C253" s="4" t="str">
        <f t="array" ref="C253">IFERROR(INDEX($B$22:$B$294,MATCH(0,COUNTIF($C$21:C252,$B$22:$B$294&amp;"")+IF($B$22:$B$294="",1,0),0)),"")</f>
        <v/>
      </c>
      <c r="D253" s="4" t="s">
        <v>8148</v>
      </c>
    </row>
    <row r="254" spans="1:4">
      <c r="A254" s="6" t="s">
        <v>8156</v>
      </c>
      <c r="B254" s="4" t="s">
        <v>356</v>
      </c>
      <c r="C254" s="4" t="str">
        <f t="array" ref="C254">IFERROR(INDEX($B$22:$B$294,MATCH(0,COUNTIF($C$21:C253,$B$22:$B$294&amp;"")+IF($B$22:$B$294="",1,0),0)),"")</f>
        <v/>
      </c>
      <c r="D254" s="4" t="s">
        <v>8148</v>
      </c>
    </row>
    <row r="255" spans="1:4">
      <c r="A255" s="6" t="s">
        <v>8157</v>
      </c>
      <c r="B255" s="4" t="s">
        <v>356</v>
      </c>
      <c r="C255" s="4" t="str">
        <f t="array" ref="C255">IFERROR(INDEX($B$22:$B$294,MATCH(0,COUNTIF($C$21:C254,$B$22:$B$294&amp;"")+IF($B$22:$B$294="",1,0),0)),"")</f>
        <v/>
      </c>
      <c r="D255" s="4" t="s">
        <v>8148</v>
      </c>
    </row>
    <row r="256" spans="1:4">
      <c r="A256" s="6" t="s">
        <v>8158</v>
      </c>
      <c r="B256" s="4" t="s">
        <v>356</v>
      </c>
      <c r="C256" s="4" t="str">
        <f t="array" ref="C256">IFERROR(INDEX($B$22:$B$294,MATCH(0,COUNTIF($C$21:C255,$B$22:$B$294&amp;"")+IF($B$22:$B$294="",1,0),0)),"")</f>
        <v/>
      </c>
      <c r="D256" s="4" t="s">
        <v>8148</v>
      </c>
    </row>
    <row r="257" spans="1:4">
      <c r="A257" s="6" t="s">
        <v>8159</v>
      </c>
      <c r="B257" s="4" t="s">
        <v>8153</v>
      </c>
      <c r="C257" s="4" t="str">
        <f t="array" ref="C257">IFERROR(INDEX($B$22:$B$294,MATCH(0,COUNTIF($C$21:C256,$B$22:$B$294&amp;"")+IF($B$22:$B$294="",1,0),0)),"")</f>
        <v/>
      </c>
      <c r="D257" s="4" t="s">
        <v>8154</v>
      </c>
    </row>
    <row r="258" spans="1:4">
      <c r="A258" s="6" t="s">
        <v>8160</v>
      </c>
      <c r="B258" s="4" t="s">
        <v>8153</v>
      </c>
      <c r="C258" s="4" t="str">
        <f t="array" ref="C258">IFERROR(INDEX($B$22:$B$294,MATCH(0,COUNTIF($C$21:C257,$B$22:$B$294&amp;"")+IF($B$22:$B$294="",1,0),0)),"")</f>
        <v/>
      </c>
      <c r="D258" s="4" t="s">
        <v>8154</v>
      </c>
    </row>
    <row r="259" spans="1:4">
      <c r="A259" s="6" t="s">
        <v>8161</v>
      </c>
      <c r="B259" s="4" t="s">
        <v>356</v>
      </c>
      <c r="C259" s="4" t="str">
        <f t="array" ref="C259">IFERROR(INDEX($B$22:$B$294,MATCH(0,COUNTIF($C$21:C258,$B$22:$B$294&amp;"")+IF($B$22:$B$294="",1,0),0)),"")</f>
        <v/>
      </c>
      <c r="D259" s="4" t="s">
        <v>8148</v>
      </c>
    </row>
    <row r="260" spans="1:4">
      <c r="A260" s="6" t="s">
        <v>8162</v>
      </c>
      <c r="B260" s="4" t="s">
        <v>8153</v>
      </c>
      <c r="C260" s="4" t="str">
        <f t="array" ref="C260">IFERROR(INDEX($B$22:$B$294,MATCH(0,COUNTIF($C$21:C259,$B$22:$B$294&amp;"")+IF($B$22:$B$294="",1,0),0)),"")</f>
        <v/>
      </c>
      <c r="D260" s="4" t="s">
        <v>8154</v>
      </c>
    </row>
    <row r="261" spans="1:4">
      <c r="A261" s="6" t="s">
        <v>8163</v>
      </c>
      <c r="B261" s="4" t="s">
        <v>8164</v>
      </c>
      <c r="C261" s="4" t="str">
        <f t="array" ref="C261">IFERROR(INDEX($B$22:$B$294,MATCH(0,COUNTIF($C$21:C260,$B$22:$B$294&amp;"")+IF($B$22:$B$294="",1,0),0)),"")</f>
        <v/>
      </c>
      <c r="D261" s="4" t="s">
        <v>8165</v>
      </c>
    </row>
    <row r="262" spans="1:4">
      <c r="A262" s="6" t="s">
        <v>8166</v>
      </c>
      <c r="B262" s="4" t="s">
        <v>8167</v>
      </c>
      <c r="C262" s="4" t="str">
        <f t="array" ref="C262">IFERROR(INDEX($B$22:$B$294,MATCH(0,COUNTIF($C$21:C261,$B$22:$B$294&amp;"")+IF($B$22:$B$294="",1,0),0)),"")</f>
        <v/>
      </c>
      <c r="D262" s="4" t="s">
        <v>8168</v>
      </c>
    </row>
    <row r="263" spans="1:4">
      <c r="A263" s="6" t="s">
        <v>8169</v>
      </c>
      <c r="B263" s="4" t="s">
        <v>8170</v>
      </c>
      <c r="C263" s="4" t="str">
        <f t="array" ref="C263">IFERROR(INDEX($B$22:$B$294,MATCH(0,COUNTIF($C$21:C262,$B$22:$B$294&amp;"")+IF($B$22:$B$294="",1,0),0)),"")</f>
        <v/>
      </c>
      <c r="D263" s="4" t="s">
        <v>8171</v>
      </c>
    </row>
    <row r="264" spans="1:4">
      <c r="A264" s="6" t="s">
        <v>8172</v>
      </c>
      <c r="B264" s="4" t="s">
        <v>8173</v>
      </c>
      <c r="C264" s="4" t="str">
        <f t="array" ref="C264">IFERROR(INDEX($B$22:$B$294,MATCH(0,COUNTIF($C$21:C263,$B$22:$B$294&amp;"")+IF($B$22:$B$294="",1,0),0)),"")</f>
        <v/>
      </c>
      <c r="D264" s="4" t="s">
        <v>8174</v>
      </c>
    </row>
    <row r="265" spans="1:4">
      <c r="A265" s="6" t="s">
        <v>8175</v>
      </c>
      <c r="B265" s="4" t="s">
        <v>8176</v>
      </c>
      <c r="C265" s="4" t="str">
        <f t="array" ref="C265">IFERROR(INDEX($B$22:$B$294,MATCH(0,COUNTIF($C$21:C264,$B$22:$B$294&amp;"")+IF($B$22:$B$294="",1,0),0)),"")</f>
        <v/>
      </c>
      <c r="D265" s="4" t="s">
        <v>8177</v>
      </c>
    </row>
    <row r="266" spans="1:4">
      <c r="A266" s="6" t="s">
        <v>8178</v>
      </c>
      <c r="B266" s="4" t="s">
        <v>8164</v>
      </c>
      <c r="C266" s="4" t="str">
        <f t="array" ref="C266">IFERROR(INDEX($B$22:$B$294,MATCH(0,COUNTIF($C$21:C265,$B$22:$B$294&amp;"")+IF($B$22:$B$294="",1,0),0)),"")</f>
        <v/>
      </c>
      <c r="D266" s="4" t="s">
        <v>8165</v>
      </c>
    </row>
    <row r="267" spans="1:4">
      <c r="A267" s="6" t="s">
        <v>8179</v>
      </c>
      <c r="B267" s="4" t="s">
        <v>8170</v>
      </c>
      <c r="C267" s="4" t="str">
        <f t="array" ref="C267">IFERROR(INDEX($B$22:$B$294,MATCH(0,COUNTIF($C$21:C266,$B$22:$B$294&amp;"")+IF($B$22:$B$294="",1,0),0)),"")</f>
        <v/>
      </c>
      <c r="D267" s="4" t="s">
        <v>8171</v>
      </c>
    </row>
    <row r="268" spans="1:4">
      <c r="A268" s="6" t="s">
        <v>8180</v>
      </c>
      <c r="B268" s="4" t="s">
        <v>8095</v>
      </c>
      <c r="C268" s="4" t="str">
        <f t="array" ref="C268">IFERROR(INDEX($B$22:$B$294,MATCH(0,COUNTIF($C$21:C267,$B$22:$B$294&amp;"")+IF($B$22:$B$294="",1,0),0)),"")</f>
        <v/>
      </c>
      <c r="D268" s="4" t="s">
        <v>8096</v>
      </c>
    </row>
    <row r="269" spans="1:4">
      <c r="A269" s="6" t="s">
        <v>8181</v>
      </c>
      <c r="B269" s="4" t="s">
        <v>8092</v>
      </c>
      <c r="C269" s="4" t="str">
        <f t="array" ref="C269">IFERROR(INDEX($B$22:$B$294,MATCH(0,COUNTIF($C$21:C268,$B$22:$B$294&amp;"")+IF($B$22:$B$294="",1,0),0)),"")</f>
        <v/>
      </c>
      <c r="D269" s="4" t="s">
        <v>8093</v>
      </c>
    </row>
    <row r="270" spans="1:4">
      <c r="A270" s="6" t="s">
        <v>8182</v>
      </c>
      <c r="B270" s="4" t="s">
        <v>8116</v>
      </c>
      <c r="C270" s="4" t="str">
        <f t="array" ref="C270">IFERROR(INDEX($B$22:$B$294,MATCH(0,COUNTIF($C$21:C269,$B$22:$B$294&amp;"")+IF($B$22:$B$294="",1,0),0)),"")</f>
        <v/>
      </c>
      <c r="D270" s="4" t="s">
        <v>8117</v>
      </c>
    </row>
    <row r="271" spans="1:4">
      <c r="A271" s="6" t="s">
        <v>8183</v>
      </c>
      <c r="B271" s="4" t="s">
        <v>8167</v>
      </c>
      <c r="C271" s="4" t="str">
        <f t="array" ref="C271">IFERROR(INDEX($B$22:$B$294,MATCH(0,COUNTIF($C$21:C270,$B$22:$B$294&amp;"")+IF($B$22:$B$294="",1,0),0)),"")</f>
        <v/>
      </c>
      <c r="D271" s="4" t="s">
        <v>8168</v>
      </c>
    </row>
    <row r="272" spans="1:4">
      <c r="A272" s="6" t="s">
        <v>8184</v>
      </c>
      <c r="B272" s="4" t="s">
        <v>8185</v>
      </c>
      <c r="C272" s="4" t="str">
        <f t="array" ref="C272">IFERROR(INDEX($B$22:$B$294,MATCH(0,COUNTIF($C$21:C271,$B$22:$B$294&amp;"")+IF($B$22:$B$294="",1,0),0)),"")</f>
        <v/>
      </c>
      <c r="D272" s="4" t="s">
        <v>8186</v>
      </c>
    </row>
    <row r="273" spans="1:4">
      <c r="A273" s="6" t="s">
        <v>8187</v>
      </c>
      <c r="B273" s="4" t="s">
        <v>8188</v>
      </c>
      <c r="C273" s="4" t="str">
        <f t="array" ref="C273">IFERROR(INDEX($B$22:$B$294,MATCH(0,COUNTIF($C$21:C272,$B$22:$B$294&amp;"")+IF($B$22:$B$294="",1,0),0)),"")</f>
        <v/>
      </c>
      <c r="D273" s="4" t="s">
        <v>8189</v>
      </c>
    </row>
    <row r="274" spans="1:4">
      <c r="A274" s="6" t="s">
        <v>8190</v>
      </c>
      <c r="B274" s="4" t="s">
        <v>8176</v>
      </c>
      <c r="C274" s="4" t="str">
        <f t="array" ref="C274">IFERROR(INDEX($B$22:$B$294,MATCH(0,COUNTIF($C$21:C273,$B$22:$B$294&amp;"")+IF($B$22:$B$294="",1,0),0)),"")</f>
        <v/>
      </c>
      <c r="D274" s="4" t="s">
        <v>8177</v>
      </c>
    </row>
    <row r="275" spans="1:4">
      <c r="A275" s="6" t="s">
        <v>8191</v>
      </c>
      <c r="B275" s="4" t="s">
        <v>8192</v>
      </c>
      <c r="C275" s="4" t="str">
        <f t="array" ref="C275">IFERROR(INDEX($B$22:$B$294,MATCH(0,COUNTIF($C$21:C274,$B$22:$B$294&amp;"")+IF($B$22:$B$294="",1,0),0)),"")</f>
        <v/>
      </c>
      <c r="D275" s="4" t="s">
        <v>8193</v>
      </c>
    </row>
    <row r="276" spans="1:4">
      <c r="A276" s="6" t="s">
        <v>8194</v>
      </c>
      <c r="B276" s="4" t="s">
        <v>8173</v>
      </c>
      <c r="C276" s="4" t="str">
        <f t="array" ref="C276">IFERROR(INDEX($B$22:$B$294,MATCH(0,COUNTIF($C$21:C275,$B$22:$B$294&amp;"")+IF($B$22:$B$294="",1,0),0)),"")</f>
        <v/>
      </c>
      <c r="D276" s="4" t="s">
        <v>8174</v>
      </c>
    </row>
    <row r="277" spans="1:4">
      <c r="A277" s="6" t="s">
        <v>8195</v>
      </c>
      <c r="B277" s="4" t="s">
        <v>8167</v>
      </c>
      <c r="C277" s="4" t="str">
        <f t="array" ref="C277">IFERROR(INDEX($B$22:$B$294,MATCH(0,COUNTIF($C$21:C276,$B$22:$B$294&amp;"")+IF($B$22:$B$294="",1,0),0)),"")</f>
        <v/>
      </c>
      <c r="D277" s="4" t="s">
        <v>8168</v>
      </c>
    </row>
    <row r="278" spans="1:4">
      <c r="A278" s="6" t="s">
        <v>8196</v>
      </c>
      <c r="B278" s="4" t="s">
        <v>8170</v>
      </c>
      <c r="C278" s="4" t="str">
        <f t="array" ref="C278">IFERROR(INDEX($B$22:$B$294,MATCH(0,COUNTIF($C$21:C277,$B$22:$B$294&amp;"")+IF($B$22:$B$294="",1,0),0)),"")</f>
        <v/>
      </c>
      <c r="D278" s="4" t="s">
        <v>8171</v>
      </c>
    </row>
    <row r="279" spans="1:4">
      <c r="A279" s="6" t="s">
        <v>8197</v>
      </c>
      <c r="B279" s="4" t="s">
        <v>8176</v>
      </c>
      <c r="C279" s="4" t="str">
        <f t="array" ref="C279">IFERROR(INDEX($B$22:$B$294,MATCH(0,COUNTIF($C$21:C278,$B$22:$B$294&amp;"")+IF($B$22:$B$294="",1,0),0)),"")</f>
        <v/>
      </c>
      <c r="D279" s="4" t="s">
        <v>8177</v>
      </c>
    </row>
    <row r="280" spans="1:4">
      <c r="A280" s="6" t="s">
        <v>8198</v>
      </c>
      <c r="B280" s="4" t="s">
        <v>8173</v>
      </c>
      <c r="C280" s="4" t="str">
        <f t="array" ref="C280">IFERROR(INDEX($B$22:$B$294,MATCH(0,COUNTIF($C$21:C279,$B$22:$B$294&amp;"")+IF($B$22:$B$294="",1,0),0)),"")</f>
        <v/>
      </c>
      <c r="D280" s="4" t="s">
        <v>8174</v>
      </c>
    </row>
    <row r="281" spans="1:4">
      <c r="A281" s="6" t="s">
        <v>8199</v>
      </c>
      <c r="B281" s="4" t="s">
        <v>8164</v>
      </c>
      <c r="C281" s="4" t="str">
        <f t="array" ref="C281">IFERROR(INDEX($B$22:$B$294,MATCH(0,COUNTIF($C$21:C280,$B$22:$B$294&amp;"")+IF($B$22:$B$294="",1,0),0)),"")</f>
        <v/>
      </c>
      <c r="D281" s="4" t="s">
        <v>8165</v>
      </c>
    </row>
    <row r="282" spans="1:4">
      <c r="A282" s="6" t="s">
        <v>8200</v>
      </c>
      <c r="B282" s="4" t="s">
        <v>8164</v>
      </c>
      <c r="C282" s="4" t="str">
        <f t="array" ref="C282">IFERROR(INDEX($B$22:$B$294,MATCH(0,COUNTIF($C$21:C281,$B$22:$B$294&amp;"")+IF($B$22:$B$294="",1,0),0)),"")</f>
        <v/>
      </c>
      <c r="D282" s="4" t="s">
        <v>8165</v>
      </c>
    </row>
    <row r="283" spans="1:4">
      <c r="A283" s="6" t="s">
        <v>8201</v>
      </c>
      <c r="B283" s="4" t="s">
        <v>8202</v>
      </c>
      <c r="C283" s="4" t="str">
        <f t="array" ref="C283">IFERROR(INDEX($B$22:$B$294,MATCH(0,COUNTIF($C$21:C282,$B$22:$B$294&amp;"")+IF($B$22:$B$294="",1,0),0)),"")</f>
        <v/>
      </c>
      <c r="D283" s="4" t="s">
        <v>8203</v>
      </c>
    </row>
    <row r="284" spans="1:4">
      <c r="A284" s="6" t="s">
        <v>8204</v>
      </c>
      <c r="B284" s="4" t="s">
        <v>8205</v>
      </c>
      <c r="C284" s="4" t="str">
        <f t="array" ref="C284">IFERROR(INDEX($B$22:$B$294,MATCH(0,COUNTIF($C$21:C283,$B$22:$B$294&amp;"")+IF($B$22:$B$294="",1,0),0)),"")</f>
        <v/>
      </c>
      <c r="D284" s="4" t="s">
        <v>8206</v>
      </c>
    </row>
    <row r="285" spans="1:4">
      <c r="A285" s="6" t="s">
        <v>8207</v>
      </c>
      <c r="B285" s="4" t="s">
        <v>8208</v>
      </c>
      <c r="C285" s="4" t="str">
        <f t="array" ref="C285">IFERROR(INDEX($B$22:$B$294,MATCH(0,COUNTIF($C$21:C284,$B$22:$B$294&amp;"")+IF($B$22:$B$294="",1,0),0)),"")</f>
        <v/>
      </c>
      <c r="D285" s="4" t="s">
        <v>8209</v>
      </c>
    </row>
    <row r="286" spans="1:4">
      <c r="A286" s="6" t="s">
        <v>8210</v>
      </c>
      <c r="B286" s="4" t="s">
        <v>8044</v>
      </c>
      <c r="C286" s="4" t="str">
        <f t="array" ref="C286">IFERROR(INDEX($B$22:$B$294,MATCH(0,COUNTIF($C$21:C285,$B$22:$B$294&amp;"")+IF($B$22:$B$294="",1,0),0)),"")</f>
        <v/>
      </c>
      <c r="D286" s="4" t="s">
        <v>8045</v>
      </c>
    </row>
    <row r="287" spans="1:4">
      <c r="A287" s="6" t="s">
        <v>8211</v>
      </c>
      <c r="B287" s="4" t="s">
        <v>8205</v>
      </c>
      <c r="C287" s="4" t="str">
        <f t="array" ref="C287">IFERROR(INDEX($B$22:$B$294,MATCH(0,COUNTIF($C$21:C286,$B$22:$B$294&amp;"")+IF($B$22:$B$294="",1,0),0)),"")</f>
        <v/>
      </c>
      <c r="D287" s="4" t="s">
        <v>8206</v>
      </c>
    </row>
    <row r="288" spans="1:4">
      <c r="A288" s="6" t="s">
        <v>8212</v>
      </c>
      <c r="B288" s="4" t="s">
        <v>8202</v>
      </c>
      <c r="C288" s="4" t="str">
        <f t="array" ref="C288">IFERROR(INDEX($B$22:$B$294,MATCH(0,COUNTIF($C$21:C287,$B$22:$B$294&amp;"")+IF($B$22:$B$294="",1,0),0)),"")</f>
        <v/>
      </c>
      <c r="D288" s="4" t="s">
        <v>8203</v>
      </c>
    </row>
    <row r="289" spans="1:4">
      <c r="A289" s="6" t="s">
        <v>8213</v>
      </c>
      <c r="B289" s="4" t="s">
        <v>8044</v>
      </c>
      <c r="C289" s="4" t="str">
        <f t="array" ref="C289">IFERROR(INDEX($B$22:$B$294,MATCH(0,COUNTIF($C$21:C288,$B$22:$B$294&amp;"")+IF($B$22:$B$294="",1,0),0)),"")</f>
        <v/>
      </c>
      <c r="D289" s="4" t="s">
        <v>8045</v>
      </c>
    </row>
    <row r="290" spans="1:4">
      <c r="A290" s="6" t="s">
        <v>8214</v>
      </c>
      <c r="B290" s="4" t="s">
        <v>8202</v>
      </c>
      <c r="C290" s="4" t="str">
        <f t="array" ref="C290">IFERROR(INDEX($B$22:$B$294,MATCH(0,COUNTIF($C$21:C289,$B$22:$B$294&amp;"")+IF($B$22:$B$294="",1,0),0)),"")</f>
        <v/>
      </c>
      <c r="D290" s="4" t="s">
        <v>8203</v>
      </c>
    </row>
    <row r="291" spans="1:4">
      <c r="A291" s="6" t="s">
        <v>8215</v>
      </c>
      <c r="B291" s="4" t="s">
        <v>8208</v>
      </c>
      <c r="C291" s="4" t="str">
        <f t="array" ref="C291">IFERROR(INDEX($B$22:$B$294,MATCH(0,COUNTIF($C$21:C290,$B$22:$B$294&amp;"")+IF($B$22:$B$294="",1,0),0)),"")</f>
        <v/>
      </c>
      <c r="D291" s="4" t="s">
        <v>8209</v>
      </c>
    </row>
    <row r="292" spans="1:4">
      <c r="A292" s="6" t="s">
        <v>8216</v>
      </c>
      <c r="B292" s="4" t="s">
        <v>8205</v>
      </c>
      <c r="C292" s="4" t="str">
        <f t="array" ref="C292">IFERROR(INDEX($B$22:$B$294,MATCH(0,COUNTIF($C$21:C291,$B$22:$B$294&amp;"")+IF($B$22:$B$294="",1,0),0)),"")</f>
        <v/>
      </c>
      <c r="D292" s="4" t="s">
        <v>8206</v>
      </c>
    </row>
    <row r="293" spans="1:4">
      <c r="A293" s="6" t="s">
        <v>8217</v>
      </c>
      <c r="B293" s="4" t="s">
        <v>8202</v>
      </c>
      <c r="C293" s="4" t="str">
        <f t="array" ref="C293">IFERROR(INDEX($B$22:$B$294,MATCH(0,COUNTIF($C$21:C292,$B$22:$B$294&amp;"")+IF($B$22:$B$294="",1,0),0)),"")</f>
        <v/>
      </c>
      <c r="D293" s="4" t="s">
        <v>8203</v>
      </c>
    </row>
    <row r="297" spans="1:4">
      <c r="B297" s="7"/>
    </row>
    <row r="298" spans="1:4">
      <c r="B298" s="7"/>
    </row>
    <row r="299" spans="1:4">
      <c r="B299" s="7"/>
    </row>
    <row r="300" spans="1:4">
      <c r="B300" s="7"/>
    </row>
    <row r="301" spans="1:4">
      <c r="B301" s="7"/>
    </row>
    <row r="302" spans="1:4">
      <c r="B302" s="7"/>
    </row>
    <row r="303" spans="1:4">
      <c r="B303" s="7"/>
    </row>
    <row r="304" spans="1:4">
      <c r="B304" s="7"/>
    </row>
    <row r="305" spans="2:2">
      <c r="B305" s="7"/>
    </row>
    <row r="306" spans="2:2">
      <c r="B306" s="7"/>
    </row>
    <row r="307" spans="2:2">
      <c r="B307" s="7"/>
    </row>
    <row r="308" spans="2:2">
      <c r="B308" s="7"/>
    </row>
    <row r="309" spans="2:2">
      <c r="B309" s="7"/>
    </row>
    <row r="310" spans="2:2">
      <c r="B310" s="7"/>
    </row>
    <row r="311" spans="2:2">
      <c r="B311" s="7"/>
    </row>
    <row r="312" spans="2:2">
      <c r="B312" s="7"/>
    </row>
    <row r="313" spans="2:2">
      <c r="B313" s="7"/>
    </row>
    <row r="314" spans="2:2">
      <c r="B314" s="7"/>
    </row>
    <row r="315" spans="2:2">
      <c r="B315" s="7"/>
    </row>
    <row r="316" spans="2:2">
      <c r="B316" s="7"/>
    </row>
    <row r="317" spans="2:2">
      <c r="B317" s="7"/>
    </row>
    <row r="318" spans="2:2">
      <c r="B318" s="7"/>
    </row>
    <row r="319" spans="2:2">
      <c r="B319" s="7"/>
    </row>
    <row r="320" spans="2:2">
      <c r="B320" s="7"/>
    </row>
    <row r="321" spans="2:2">
      <c r="B321" s="7"/>
    </row>
    <row r="322" spans="2:2">
      <c r="B322" s="7"/>
    </row>
    <row r="323" spans="2:2">
      <c r="B323" s="7"/>
    </row>
    <row r="324" spans="2:2">
      <c r="B324" s="7"/>
    </row>
    <row r="325" spans="2:2">
      <c r="B325" s="7"/>
    </row>
    <row r="326" spans="2:2">
      <c r="B326" s="7"/>
    </row>
    <row r="327" spans="2:2">
      <c r="B327" s="7"/>
    </row>
    <row r="328" spans="2:2">
      <c r="B328" s="7"/>
    </row>
    <row r="329" spans="2:2">
      <c r="B329" s="7"/>
    </row>
    <row r="330" spans="2:2">
      <c r="B330" s="7"/>
    </row>
    <row r="331" spans="2:2">
      <c r="B331" s="7"/>
    </row>
    <row r="332" spans="2:2">
      <c r="B332" s="7"/>
    </row>
    <row r="333" spans="2:2">
      <c r="B333" s="7"/>
    </row>
    <row r="334" spans="2:2">
      <c r="B334" s="7"/>
    </row>
    <row r="335" spans="2:2">
      <c r="B335" s="7"/>
    </row>
    <row r="336" spans="2:2">
      <c r="B336" s="7"/>
    </row>
    <row r="337" spans="2:2">
      <c r="B337" s="7"/>
    </row>
    <row r="338" spans="2:2">
      <c r="B338" s="7"/>
    </row>
    <row r="339" spans="2:2">
      <c r="B339" s="7"/>
    </row>
    <row r="340" spans="2:2">
      <c r="B340" s="7"/>
    </row>
    <row r="341" spans="2:2">
      <c r="B341" s="7"/>
    </row>
    <row r="342" spans="2:2">
      <c r="B342" s="7"/>
    </row>
    <row r="343" spans="2:2">
      <c r="B343" s="7"/>
    </row>
    <row r="344" spans="2:2">
      <c r="B344" s="7"/>
    </row>
    <row r="345" spans="2:2">
      <c r="B345" s="7"/>
    </row>
    <row r="346" spans="2:2">
      <c r="B346" s="7"/>
    </row>
    <row r="347" spans="2:2">
      <c r="B347" s="7"/>
    </row>
    <row r="348" spans="2:2">
      <c r="B348" s="7"/>
    </row>
    <row r="349" spans="2:2">
      <c r="B349" s="7"/>
    </row>
    <row r="350" spans="2:2">
      <c r="B350" s="7"/>
    </row>
    <row r="351" spans="2:2">
      <c r="B351" s="7"/>
    </row>
    <row r="352" spans="2:2">
      <c r="B352" s="7"/>
    </row>
    <row r="353" spans="2:2">
      <c r="B353" s="7"/>
    </row>
    <row r="354" spans="2:2">
      <c r="B354" s="7"/>
    </row>
    <row r="355" spans="2:2">
      <c r="B355" s="7"/>
    </row>
    <row r="356" spans="2:2">
      <c r="B356" s="7"/>
    </row>
    <row r="357" spans="2:2">
      <c r="B357" s="7"/>
    </row>
    <row r="358" spans="2:2">
      <c r="B358" s="7"/>
    </row>
    <row r="359" spans="2:2">
      <c r="B359" s="7"/>
    </row>
    <row r="360" spans="2:2">
      <c r="B360" s="7"/>
    </row>
    <row r="361" spans="2:2">
      <c r="B361" s="7"/>
    </row>
    <row r="362" spans="2:2">
      <c r="B362" s="7"/>
    </row>
    <row r="363" spans="2:2">
      <c r="B363" s="7"/>
    </row>
    <row r="364" spans="2:2">
      <c r="B364" s="7"/>
    </row>
    <row r="365" spans="2:2">
      <c r="B365" s="7"/>
    </row>
    <row r="366" spans="2:2">
      <c r="B366" s="7"/>
    </row>
    <row r="367" spans="2:2">
      <c r="B367" s="7"/>
    </row>
    <row r="368" spans="2:2">
      <c r="B368" s="7"/>
    </row>
    <row r="369" spans="2:2">
      <c r="B369" s="7"/>
    </row>
    <row r="370" spans="2:2">
      <c r="B370" s="7"/>
    </row>
    <row r="371" spans="2:2">
      <c r="B371" s="7"/>
    </row>
    <row r="372" spans="2:2">
      <c r="B372" s="7"/>
    </row>
    <row r="373" spans="2:2">
      <c r="B373" s="7"/>
    </row>
    <row r="374" spans="2:2">
      <c r="B374" s="7"/>
    </row>
    <row r="375" spans="2:2">
      <c r="B375" s="7"/>
    </row>
    <row r="376" spans="2:2">
      <c r="B376" s="7"/>
    </row>
    <row r="377" spans="2:2">
      <c r="B377" s="7"/>
    </row>
    <row r="378" spans="2:2">
      <c r="B378" s="7"/>
    </row>
    <row r="379" spans="2:2">
      <c r="B379" s="7"/>
    </row>
    <row r="380" spans="2:2">
      <c r="B380" s="7"/>
    </row>
    <row r="381" spans="2:2">
      <c r="B381" s="7"/>
    </row>
    <row r="382" spans="2:2">
      <c r="B382" s="7"/>
    </row>
    <row r="383" spans="2:2">
      <c r="B383" s="7"/>
    </row>
    <row r="384" spans="2:2">
      <c r="B384" s="7"/>
    </row>
    <row r="385" spans="2:2">
      <c r="B385" s="7"/>
    </row>
    <row r="386" spans="2:2">
      <c r="B386" s="7"/>
    </row>
    <row r="387" spans="2:2">
      <c r="B387" s="7"/>
    </row>
    <row r="388" spans="2:2">
      <c r="B388" s="7"/>
    </row>
    <row r="389" spans="2:2">
      <c r="B389" s="7"/>
    </row>
    <row r="390" spans="2:2">
      <c r="B390" s="7"/>
    </row>
    <row r="391" spans="2:2">
      <c r="B391" s="7"/>
    </row>
    <row r="392" spans="2:2">
      <c r="B392" s="7"/>
    </row>
    <row r="393" spans="2:2">
      <c r="B393" s="7"/>
    </row>
    <row r="394" spans="2:2">
      <c r="B394" s="7"/>
    </row>
    <row r="395" spans="2:2">
      <c r="B395" s="7"/>
    </row>
    <row r="396" spans="2:2">
      <c r="B396" s="7"/>
    </row>
    <row r="397" spans="2:2">
      <c r="B397" s="7"/>
    </row>
    <row r="398" spans="2:2">
      <c r="B398" s="7"/>
    </row>
    <row r="399" spans="2:2">
      <c r="B399" s="7"/>
    </row>
    <row r="400" spans="2:2">
      <c r="B400" s="7"/>
    </row>
    <row r="401" spans="2:2">
      <c r="B401" s="7"/>
    </row>
    <row r="402" spans="2:2">
      <c r="B402" s="7"/>
    </row>
    <row r="403" spans="2:2">
      <c r="B403" s="7"/>
    </row>
    <row r="404" spans="2:2">
      <c r="B404" s="7"/>
    </row>
    <row r="405" spans="2:2">
      <c r="B405" s="7"/>
    </row>
    <row r="406" spans="2:2">
      <c r="B406" s="7"/>
    </row>
    <row r="407" spans="2:2">
      <c r="B407" s="7"/>
    </row>
    <row r="408" spans="2:2">
      <c r="B408" s="7"/>
    </row>
    <row r="409" spans="2:2">
      <c r="B409" s="7"/>
    </row>
    <row r="410" spans="2:2">
      <c r="B410" s="7"/>
    </row>
    <row r="411" spans="2:2">
      <c r="B411" s="7"/>
    </row>
    <row r="412" spans="2:2">
      <c r="B412" s="7"/>
    </row>
    <row r="413" spans="2:2">
      <c r="B413" s="7"/>
    </row>
    <row r="414" spans="2:2">
      <c r="B414" s="7"/>
    </row>
    <row r="415" spans="2:2">
      <c r="B415" s="7"/>
    </row>
    <row r="416" spans="2:2">
      <c r="B416" s="7"/>
    </row>
    <row r="417" spans="2:2">
      <c r="B417" s="7"/>
    </row>
    <row r="418" spans="2:2">
      <c r="B418" s="7"/>
    </row>
    <row r="419" spans="2:2">
      <c r="B419" s="7"/>
    </row>
    <row r="420" spans="2:2">
      <c r="B420" s="7"/>
    </row>
    <row r="421" spans="2:2">
      <c r="B421" s="7"/>
    </row>
    <row r="422" spans="2:2">
      <c r="B422" s="7"/>
    </row>
    <row r="423" spans="2:2">
      <c r="B423" s="7"/>
    </row>
    <row r="424" spans="2:2">
      <c r="B424" s="7"/>
    </row>
    <row r="425" spans="2:2">
      <c r="B425" s="7"/>
    </row>
    <row r="426" spans="2:2">
      <c r="B426" s="7"/>
    </row>
    <row r="427" spans="2:2">
      <c r="B427" s="7"/>
    </row>
    <row r="428" spans="2:2">
      <c r="B428" s="7"/>
    </row>
    <row r="429" spans="2:2">
      <c r="B429" s="7"/>
    </row>
    <row r="430" spans="2:2">
      <c r="B430" s="7"/>
    </row>
    <row r="431" spans="2:2">
      <c r="B431" s="7"/>
    </row>
    <row r="432" spans="2:2">
      <c r="B432" s="7"/>
    </row>
    <row r="433" spans="2:2">
      <c r="B433" s="7"/>
    </row>
    <row r="434" spans="2:2">
      <c r="B434" s="7"/>
    </row>
    <row r="435" spans="2:2">
      <c r="B435" s="7"/>
    </row>
    <row r="436" spans="2:2">
      <c r="B436" s="7"/>
    </row>
    <row r="437" spans="2:2">
      <c r="B437" s="7"/>
    </row>
    <row r="438" spans="2:2">
      <c r="B438" s="7"/>
    </row>
    <row r="439" spans="2:2">
      <c r="B439" s="7"/>
    </row>
    <row r="440" spans="2:2">
      <c r="B440" s="7"/>
    </row>
    <row r="441" spans="2:2">
      <c r="B441" s="7"/>
    </row>
    <row r="442" spans="2:2">
      <c r="B442" s="7"/>
    </row>
    <row r="443" spans="2:2">
      <c r="B443" s="7"/>
    </row>
    <row r="444" spans="2:2">
      <c r="B444" s="7"/>
    </row>
    <row r="445" spans="2:2">
      <c r="B445" s="7"/>
    </row>
    <row r="446" spans="2:2">
      <c r="B446" s="7"/>
    </row>
    <row r="447" spans="2:2">
      <c r="B447" s="7"/>
    </row>
    <row r="448" spans="2:2">
      <c r="B448" s="7"/>
    </row>
    <row r="449" spans="2:2">
      <c r="B449" s="7"/>
    </row>
    <row r="450" spans="2:2">
      <c r="B450" s="7"/>
    </row>
    <row r="451" spans="2:2">
      <c r="B451" s="7"/>
    </row>
    <row r="452" spans="2:2">
      <c r="B452" s="7"/>
    </row>
    <row r="453" spans="2:2">
      <c r="B453" s="7"/>
    </row>
    <row r="454" spans="2:2">
      <c r="B454" s="7"/>
    </row>
    <row r="455" spans="2:2">
      <c r="B455" s="7"/>
    </row>
    <row r="456" spans="2:2">
      <c r="B456" s="7"/>
    </row>
    <row r="457" spans="2:2">
      <c r="B457" s="7"/>
    </row>
    <row r="458" spans="2:2">
      <c r="B458" s="7"/>
    </row>
    <row r="459" spans="2:2">
      <c r="B459" s="7"/>
    </row>
    <row r="460" spans="2:2">
      <c r="B460" s="7"/>
    </row>
    <row r="461" spans="2:2">
      <c r="B461" s="7"/>
    </row>
    <row r="462" spans="2:2">
      <c r="B462" s="7"/>
    </row>
    <row r="463" spans="2:2">
      <c r="B463" s="7"/>
    </row>
    <row r="464" spans="2:2">
      <c r="B464" s="7"/>
    </row>
    <row r="465" spans="2:2">
      <c r="B465" s="7"/>
    </row>
    <row r="466" spans="2:2">
      <c r="B466" s="7"/>
    </row>
    <row r="467" spans="2:2">
      <c r="B467" s="7"/>
    </row>
    <row r="468" spans="2:2">
      <c r="B468" s="7"/>
    </row>
    <row r="469" spans="2:2">
      <c r="B469" s="7"/>
    </row>
    <row r="470" spans="2:2">
      <c r="B470" s="7"/>
    </row>
    <row r="471" spans="2:2">
      <c r="B471" s="7"/>
    </row>
    <row r="472" spans="2:2">
      <c r="B472" s="7"/>
    </row>
    <row r="473" spans="2:2">
      <c r="B473" s="7"/>
    </row>
    <row r="474" spans="2:2">
      <c r="B474" s="7"/>
    </row>
    <row r="475" spans="2:2">
      <c r="B475" s="7"/>
    </row>
    <row r="476" spans="2:2">
      <c r="B476" s="7"/>
    </row>
    <row r="477" spans="2:2">
      <c r="B477" s="7"/>
    </row>
    <row r="478" spans="2:2">
      <c r="B478" s="7"/>
    </row>
    <row r="479" spans="2:2">
      <c r="B479" s="7"/>
    </row>
    <row r="480" spans="2:2">
      <c r="B480" s="7"/>
    </row>
    <row r="481" spans="2:2">
      <c r="B481" s="7"/>
    </row>
    <row r="482" spans="2:2">
      <c r="B482" s="7"/>
    </row>
    <row r="483" spans="2:2">
      <c r="B483" s="7"/>
    </row>
    <row r="484" spans="2:2">
      <c r="B484" s="7"/>
    </row>
    <row r="485" spans="2:2">
      <c r="B485" s="7"/>
    </row>
    <row r="486" spans="2:2">
      <c r="B486" s="7"/>
    </row>
    <row r="487" spans="2:2">
      <c r="B487" s="7"/>
    </row>
    <row r="488" spans="2:2">
      <c r="B488" s="7"/>
    </row>
    <row r="489" spans="2:2">
      <c r="B489" s="7"/>
    </row>
    <row r="490" spans="2:2">
      <c r="B490" s="7"/>
    </row>
    <row r="491" spans="2:2">
      <c r="B491" s="7"/>
    </row>
    <row r="492" spans="2:2">
      <c r="B492" s="7"/>
    </row>
    <row r="493" spans="2:2">
      <c r="B493" s="7"/>
    </row>
    <row r="494" spans="2:2">
      <c r="B494" s="7"/>
    </row>
    <row r="495" spans="2:2">
      <c r="B495" s="7"/>
    </row>
    <row r="496" spans="2:2">
      <c r="B496" s="7"/>
    </row>
    <row r="497" spans="2:2">
      <c r="B497" s="7"/>
    </row>
    <row r="498" spans="2:2">
      <c r="B498" s="7"/>
    </row>
    <row r="499" spans="2:2">
      <c r="B499" s="7"/>
    </row>
    <row r="500" spans="2:2">
      <c r="B500" s="7"/>
    </row>
    <row r="501" spans="2:2">
      <c r="B501" s="7"/>
    </row>
    <row r="502" spans="2:2">
      <c r="B502" s="7"/>
    </row>
    <row r="503" spans="2:2">
      <c r="B503" s="7"/>
    </row>
    <row r="504" spans="2:2">
      <c r="B504" s="7"/>
    </row>
    <row r="505" spans="2:2">
      <c r="B505" s="7"/>
    </row>
    <row r="506" spans="2:2">
      <c r="B506" s="7"/>
    </row>
    <row r="507" spans="2:2">
      <c r="B507" s="7"/>
    </row>
    <row r="508" spans="2:2">
      <c r="B508" s="7"/>
    </row>
    <row r="509" spans="2:2">
      <c r="B509" s="7"/>
    </row>
    <row r="510" spans="2:2">
      <c r="B510" s="7"/>
    </row>
    <row r="511" spans="2:2">
      <c r="B511" s="7"/>
    </row>
    <row r="512" spans="2:2">
      <c r="B512" s="7"/>
    </row>
    <row r="513" spans="2:2">
      <c r="B513" s="7"/>
    </row>
    <row r="514" spans="2:2">
      <c r="B514" s="7"/>
    </row>
    <row r="515" spans="2:2">
      <c r="B515" s="7"/>
    </row>
    <row r="516" spans="2:2">
      <c r="B516" s="7"/>
    </row>
    <row r="517" spans="2:2">
      <c r="B517" s="7"/>
    </row>
    <row r="518" spans="2:2">
      <c r="B518" s="7"/>
    </row>
    <row r="519" spans="2:2">
      <c r="B519" s="7"/>
    </row>
    <row r="520" spans="2:2">
      <c r="B520" s="7"/>
    </row>
    <row r="521" spans="2:2">
      <c r="B521" s="7"/>
    </row>
    <row r="522" spans="2:2">
      <c r="B522" s="7"/>
    </row>
    <row r="523" spans="2:2">
      <c r="B523" s="7"/>
    </row>
    <row r="524" spans="2:2">
      <c r="B524" s="7"/>
    </row>
    <row r="525" spans="2:2">
      <c r="B525" s="7"/>
    </row>
    <row r="526" spans="2:2">
      <c r="B526" s="7"/>
    </row>
    <row r="527" spans="2:2">
      <c r="B527" s="7"/>
    </row>
    <row r="528" spans="2:2">
      <c r="B528" s="7"/>
    </row>
    <row r="529" spans="2:2">
      <c r="B529" s="7"/>
    </row>
    <row r="530" spans="2:2">
      <c r="B530" s="7"/>
    </row>
    <row r="531" spans="2:2">
      <c r="B531" s="7"/>
    </row>
    <row r="532" spans="2:2">
      <c r="B532" s="7"/>
    </row>
    <row r="533" spans="2:2">
      <c r="B533" s="7"/>
    </row>
    <row r="534" spans="2:2">
      <c r="B534" s="7"/>
    </row>
    <row r="535" spans="2:2">
      <c r="B535" s="7"/>
    </row>
    <row r="536" spans="2:2">
      <c r="B536" s="7"/>
    </row>
    <row r="537" spans="2:2">
      <c r="B537" s="7"/>
    </row>
    <row r="538" spans="2:2">
      <c r="B538" s="7"/>
    </row>
    <row r="539" spans="2:2">
      <c r="B539" s="7"/>
    </row>
    <row r="540" spans="2:2">
      <c r="B540" s="7"/>
    </row>
    <row r="541" spans="2:2">
      <c r="B541" s="7"/>
    </row>
    <row r="542" spans="2:2">
      <c r="B542" s="7"/>
    </row>
    <row r="543" spans="2:2">
      <c r="B543" s="7"/>
    </row>
    <row r="544" spans="2:2">
      <c r="B544" s="7"/>
    </row>
    <row r="545" spans="2:2">
      <c r="B545" s="7"/>
    </row>
    <row r="546" spans="2:2">
      <c r="B546" s="7"/>
    </row>
    <row r="547" spans="2:2">
      <c r="B547" s="7"/>
    </row>
    <row r="548" spans="2:2">
      <c r="B548" s="7"/>
    </row>
    <row r="549" spans="2:2">
      <c r="B549" s="7"/>
    </row>
    <row r="550" spans="2:2">
      <c r="B550" s="7"/>
    </row>
    <row r="551" spans="2:2">
      <c r="B551" s="7"/>
    </row>
    <row r="552" spans="2:2">
      <c r="B552" s="7"/>
    </row>
    <row r="553" spans="2:2">
      <c r="B553" s="7"/>
    </row>
    <row r="554" spans="2:2">
      <c r="B554" s="7"/>
    </row>
    <row r="555" spans="2:2">
      <c r="B555" s="7"/>
    </row>
    <row r="556" spans="2:2">
      <c r="B556" s="7"/>
    </row>
    <row r="557" spans="2:2">
      <c r="B557" s="7"/>
    </row>
    <row r="558" spans="2:2">
      <c r="B558" s="7"/>
    </row>
    <row r="559" spans="2:2">
      <c r="B559" s="7"/>
    </row>
    <row r="560" spans="2:2">
      <c r="B560" s="7"/>
    </row>
    <row r="561" spans="2:2">
      <c r="B561" s="7"/>
    </row>
    <row r="562" spans="2:2">
      <c r="B562" s="7"/>
    </row>
    <row r="563" spans="2:2">
      <c r="B563" s="7"/>
    </row>
    <row r="564" spans="2:2">
      <c r="B564" s="7"/>
    </row>
    <row r="565" spans="2:2">
      <c r="B565" s="7"/>
    </row>
    <row r="566" spans="2:2">
      <c r="B566" s="7"/>
    </row>
    <row r="567" spans="2:2">
      <c r="B567" s="7"/>
    </row>
    <row r="568" spans="2:2">
      <c r="B568" s="7"/>
    </row>
    <row r="569" spans="2:2">
      <c r="B569" s="7"/>
    </row>
    <row r="570" spans="2:2">
      <c r="B570" s="7"/>
    </row>
    <row r="571" spans="2:2">
      <c r="B571" s="7"/>
    </row>
    <row r="572" spans="2:2">
      <c r="B572" s="7"/>
    </row>
    <row r="573" spans="2:2">
      <c r="B573" s="7"/>
    </row>
    <row r="574" spans="2:2">
      <c r="B574" s="7"/>
    </row>
    <row r="575" spans="2:2">
      <c r="B575" s="7"/>
    </row>
    <row r="576" spans="2:2">
      <c r="B576" s="7"/>
    </row>
    <row r="577" spans="2:2">
      <c r="B577" s="7"/>
    </row>
    <row r="578" spans="2:2">
      <c r="B578" s="7"/>
    </row>
    <row r="579" spans="2:2">
      <c r="B579" s="7"/>
    </row>
    <row r="580" spans="2:2">
      <c r="B580" s="7"/>
    </row>
    <row r="581" spans="2:2">
      <c r="B581" s="7"/>
    </row>
    <row r="582" spans="2:2">
      <c r="B582" s="7"/>
    </row>
    <row r="583" spans="2:2">
      <c r="B583" s="7"/>
    </row>
    <row r="584" spans="2:2">
      <c r="B584" s="7"/>
    </row>
    <row r="585" spans="2:2">
      <c r="B585" s="7"/>
    </row>
    <row r="586" spans="2:2">
      <c r="B586" s="7"/>
    </row>
    <row r="587" spans="2:2">
      <c r="B587" s="7"/>
    </row>
    <row r="588" spans="2:2">
      <c r="B588" s="7"/>
    </row>
    <row r="589" spans="2:2">
      <c r="B589" s="7"/>
    </row>
    <row r="590" spans="2:2">
      <c r="B590" s="7"/>
    </row>
    <row r="591" spans="2:2">
      <c r="B591" s="7"/>
    </row>
    <row r="592" spans="2:2">
      <c r="B592" s="7"/>
    </row>
    <row r="593" spans="2:2">
      <c r="B593" s="7"/>
    </row>
    <row r="594" spans="2:2">
      <c r="B594" s="7"/>
    </row>
    <row r="595" spans="2:2">
      <c r="B595" s="7"/>
    </row>
    <row r="596" spans="2:2">
      <c r="B596" s="7"/>
    </row>
    <row r="597" spans="2:2">
      <c r="B597" s="7"/>
    </row>
    <row r="598" spans="2:2">
      <c r="B598" s="7"/>
    </row>
    <row r="599" spans="2:2">
      <c r="B599" s="7"/>
    </row>
    <row r="600" spans="2:2">
      <c r="B600" s="7"/>
    </row>
    <row r="601" spans="2:2">
      <c r="B601" s="7"/>
    </row>
    <row r="602" spans="2:2">
      <c r="B602" s="7"/>
    </row>
    <row r="603" spans="2:2">
      <c r="B603" s="7"/>
    </row>
    <row r="604" spans="2:2">
      <c r="B604" s="7"/>
    </row>
    <row r="605" spans="2:2">
      <c r="B605" s="7"/>
    </row>
    <row r="606" spans="2:2">
      <c r="B606" s="7"/>
    </row>
    <row r="607" spans="2:2">
      <c r="B607" s="7"/>
    </row>
    <row r="608" spans="2:2">
      <c r="B608" s="7"/>
    </row>
    <row r="609" spans="2:2">
      <c r="B609" s="7"/>
    </row>
    <row r="610" spans="2:2">
      <c r="B610" s="7"/>
    </row>
    <row r="611" spans="2:2">
      <c r="B611" s="7"/>
    </row>
    <row r="612" spans="2:2">
      <c r="B612" s="7"/>
    </row>
    <row r="613" spans="2:2">
      <c r="B613" s="7"/>
    </row>
    <row r="614" spans="2:2">
      <c r="B614" s="7"/>
    </row>
    <row r="615" spans="2:2">
      <c r="B615" s="7"/>
    </row>
    <row r="616" spans="2:2">
      <c r="B616" s="7"/>
    </row>
    <row r="617" spans="2:2">
      <c r="B617" s="7"/>
    </row>
    <row r="618" spans="2:2">
      <c r="B618" s="7"/>
    </row>
    <row r="619" spans="2:2">
      <c r="B619" s="7"/>
    </row>
    <row r="620" spans="2:2">
      <c r="B620" s="7"/>
    </row>
    <row r="621" spans="2:2">
      <c r="B621" s="7"/>
    </row>
    <row r="622" spans="2:2">
      <c r="B622" s="7"/>
    </row>
    <row r="623" spans="2:2">
      <c r="B623" s="7"/>
    </row>
    <row r="624" spans="2:2">
      <c r="B624" s="7"/>
    </row>
    <row r="625" spans="2:2">
      <c r="B625" s="7"/>
    </row>
    <row r="626" spans="2:2">
      <c r="B626" s="7"/>
    </row>
    <row r="627" spans="2:2">
      <c r="B627" s="7"/>
    </row>
    <row r="628" spans="2:2">
      <c r="B628" s="7"/>
    </row>
    <row r="629" spans="2:2">
      <c r="B629" s="7"/>
    </row>
    <row r="630" spans="2:2">
      <c r="B630" s="7"/>
    </row>
    <row r="631" spans="2:2">
      <c r="B631" s="7"/>
    </row>
    <row r="632" spans="2:2">
      <c r="B632" s="7"/>
    </row>
    <row r="633" spans="2:2">
      <c r="B633" s="7"/>
    </row>
    <row r="634" spans="2:2">
      <c r="B634" s="7"/>
    </row>
    <row r="635" spans="2:2">
      <c r="B635" s="7"/>
    </row>
    <row r="636" spans="2:2">
      <c r="B636" s="7"/>
    </row>
    <row r="637" spans="2:2">
      <c r="B637" s="7"/>
    </row>
    <row r="638" spans="2:2">
      <c r="B638" s="7"/>
    </row>
    <row r="639" spans="2:2">
      <c r="B639" s="7"/>
    </row>
    <row r="640" spans="2:2">
      <c r="B640" s="7"/>
    </row>
    <row r="641" spans="2:2">
      <c r="B641" s="7"/>
    </row>
    <row r="642" spans="2:2">
      <c r="B642" s="7"/>
    </row>
    <row r="643" spans="2:2">
      <c r="B643" s="7"/>
    </row>
    <row r="644" spans="2:2">
      <c r="B644" s="7"/>
    </row>
    <row r="645" spans="2:2">
      <c r="B645" s="7"/>
    </row>
    <row r="646" spans="2:2">
      <c r="B646" s="7"/>
    </row>
    <row r="647" spans="2:2">
      <c r="B647" s="7"/>
    </row>
    <row r="648" spans="2:2">
      <c r="B648" s="7"/>
    </row>
    <row r="649" spans="2:2">
      <c r="B649" s="7"/>
    </row>
    <row r="650" spans="2:2">
      <c r="B650" s="7"/>
    </row>
    <row r="651" spans="2:2">
      <c r="B651" s="7"/>
    </row>
    <row r="652" spans="2:2">
      <c r="B652" s="7"/>
    </row>
    <row r="653" spans="2:2">
      <c r="B653" s="7"/>
    </row>
    <row r="654" spans="2:2">
      <c r="B654" s="7"/>
    </row>
    <row r="655" spans="2:2">
      <c r="B655" s="7"/>
    </row>
    <row r="656" spans="2:2">
      <c r="B656" s="7"/>
    </row>
    <row r="657" spans="2:2">
      <c r="B657" s="7"/>
    </row>
    <row r="658" spans="2:2">
      <c r="B658" s="7"/>
    </row>
    <row r="659" spans="2:2">
      <c r="B659" s="7"/>
    </row>
    <row r="660" spans="2:2">
      <c r="B660" s="7"/>
    </row>
    <row r="661" spans="2:2">
      <c r="B661" s="7"/>
    </row>
    <row r="662" spans="2:2">
      <c r="B662" s="7"/>
    </row>
    <row r="663" spans="2:2">
      <c r="B663" s="7"/>
    </row>
    <row r="664" spans="2:2">
      <c r="B664" s="7"/>
    </row>
    <row r="665" spans="2:2">
      <c r="B665" s="7"/>
    </row>
    <row r="666" spans="2:2">
      <c r="B666" s="7"/>
    </row>
    <row r="667" spans="2:2">
      <c r="B667" s="7"/>
    </row>
    <row r="668" spans="2:2">
      <c r="B668" s="7"/>
    </row>
    <row r="669" spans="2:2">
      <c r="B669" s="7"/>
    </row>
    <row r="670" spans="2:2">
      <c r="B670" s="7"/>
    </row>
    <row r="671" spans="2:2">
      <c r="B671" s="7"/>
    </row>
    <row r="672" spans="2:2">
      <c r="B672" s="7"/>
    </row>
    <row r="673" spans="2:2">
      <c r="B673" s="7"/>
    </row>
    <row r="674" spans="2:2">
      <c r="B674" s="7"/>
    </row>
    <row r="675" spans="2:2">
      <c r="B675" s="7"/>
    </row>
    <row r="676" spans="2:2">
      <c r="B676" s="7"/>
    </row>
    <row r="677" spans="2:2">
      <c r="B677" s="7"/>
    </row>
    <row r="678" spans="2:2">
      <c r="B678" s="7"/>
    </row>
    <row r="679" spans="2:2">
      <c r="B679" s="7"/>
    </row>
    <row r="680" spans="2:2">
      <c r="B680" s="7"/>
    </row>
    <row r="681" spans="2:2">
      <c r="B681" s="7"/>
    </row>
    <row r="682" spans="2:2">
      <c r="B682" s="7"/>
    </row>
    <row r="683" spans="2:2">
      <c r="B683" s="7"/>
    </row>
    <row r="684" spans="2:2">
      <c r="B684" s="7"/>
    </row>
    <row r="685" spans="2:2">
      <c r="B685" s="7"/>
    </row>
    <row r="686" spans="2:2">
      <c r="B686" s="7"/>
    </row>
    <row r="687" spans="2:2">
      <c r="B687" s="7"/>
    </row>
    <row r="688" spans="2:2">
      <c r="B688" s="7"/>
    </row>
    <row r="689" spans="2:2">
      <c r="B689" s="7"/>
    </row>
    <row r="690" spans="2:2">
      <c r="B690" s="7"/>
    </row>
    <row r="691" spans="2:2">
      <c r="B691" s="7"/>
    </row>
    <row r="692" spans="2:2">
      <c r="B692" s="7"/>
    </row>
    <row r="693" spans="2:2">
      <c r="B693" s="7"/>
    </row>
    <row r="694" spans="2:2">
      <c r="B694" s="7"/>
    </row>
    <row r="695" spans="2:2">
      <c r="B695" s="7"/>
    </row>
    <row r="696" spans="2:2">
      <c r="B696" s="7"/>
    </row>
    <row r="697" spans="2:2">
      <c r="B697" s="7"/>
    </row>
    <row r="698" spans="2:2">
      <c r="B698" s="7"/>
    </row>
    <row r="699" spans="2:2">
      <c r="B699" s="7"/>
    </row>
    <row r="700" spans="2:2">
      <c r="B700" s="7"/>
    </row>
    <row r="701" spans="2:2">
      <c r="B701" s="7"/>
    </row>
    <row r="702" spans="2:2">
      <c r="B702" s="7"/>
    </row>
    <row r="703" spans="2:2">
      <c r="B703" s="7"/>
    </row>
    <row r="704" spans="2:2">
      <c r="B704" s="7"/>
    </row>
    <row r="705" spans="2:2">
      <c r="B705" s="7"/>
    </row>
    <row r="706" spans="2:2">
      <c r="B706" s="7"/>
    </row>
    <row r="707" spans="2:2">
      <c r="B707" s="7"/>
    </row>
    <row r="708" spans="2:2">
      <c r="B708" s="7"/>
    </row>
    <row r="709" spans="2:2">
      <c r="B709" s="7"/>
    </row>
    <row r="710" spans="2:2">
      <c r="B710" s="7"/>
    </row>
    <row r="711" spans="2:2">
      <c r="B711" s="7"/>
    </row>
    <row r="712" spans="2:2">
      <c r="B712" s="7"/>
    </row>
    <row r="713" spans="2:2">
      <c r="B713" s="7"/>
    </row>
    <row r="714" spans="2:2">
      <c r="B714" s="7"/>
    </row>
    <row r="715" spans="2:2">
      <c r="B715" s="7"/>
    </row>
    <row r="716" spans="2:2">
      <c r="B716" s="7"/>
    </row>
    <row r="717" spans="2:2">
      <c r="B717" s="7"/>
    </row>
    <row r="718" spans="2:2">
      <c r="B718" s="7"/>
    </row>
    <row r="719" spans="2:2">
      <c r="B719" s="7"/>
    </row>
    <row r="720" spans="2:2">
      <c r="B720" s="7"/>
    </row>
    <row r="721" spans="2:2">
      <c r="B721" s="7"/>
    </row>
    <row r="722" spans="2:2">
      <c r="B722" s="7"/>
    </row>
    <row r="723" spans="2:2">
      <c r="B723" s="7"/>
    </row>
    <row r="724" spans="2:2">
      <c r="B724" s="7"/>
    </row>
    <row r="725" spans="2:2">
      <c r="B725" s="7"/>
    </row>
    <row r="726" spans="2:2">
      <c r="B726" s="7"/>
    </row>
    <row r="727" spans="2:2">
      <c r="B727" s="7"/>
    </row>
    <row r="728" spans="2:2">
      <c r="B728" s="7"/>
    </row>
    <row r="729" spans="2:2">
      <c r="B729" s="7"/>
    </row>
    <row r="730" spans="2:2">
      <c r="B730" s="7"/>
    </row>
    <row r="731" spans="2:2">
      <c r="B731" s="7"/>
    </row>
    <row r="732" spans="2:2">
      <c r="B732" s="7"/>
    </row>
    <row r="733" spans="2:2">
      <c r="B733" s="7"/>
    </row>
    <row r="734" spans="2:2">
      <c r="B734" s="7"/>
    </row>
    <row r="735" spans="2:2">
      <c r="B735" s="7"/>
    </row>
    <row r="736" spans="2:2">
      <c r="B736" s="7"/>
    </row>
    <row r="737" spans="2:2">
      <c r="B737" s="7"/>
    </row>
    <row r="738" spans="2:2">
      <c r="B738" s="7"/>
    </row>
    <row r="739" spans="2:2">
      <c r="B739" s="7"/>
    </row>
    <row r="740" spans="2:2">
      <c r="B740" s="7"/>
    </row>
    <row r="741" spans="2:2">
      <c r="B741" s="7"/>
    </row>
    <row r="742" spans="2:2">
      <c r="B742" s="7"/>
    </row>
    <row r="743" spans="2:2">
      <c r="B743" s="7"/>
    </row>
    <row r="744" spans="2:2">
      <c r="B744" s="7"/>
    </row>
    <row r="745" spans="2:2">
      <c r="B745" s="7"/>
    </row>
    <row r="746" spans="2:2">
      <c r="B746" s="7"/>
    </row>
    <row r="747" spans="2:2">
      <c r="B747" s="7"/>
    </row>
    <row r="748" spans="2:2">
      <c r="B748" s="7"/>
    </row>
    <row r="749" spans="2:2">
      <c r="B749" s="7"/>
    </row>
    <row r="750" spans="2:2">
      <c r="B750" s="7"/>
    </row>
    <row r="751" spans="2:2">
      <c r="B751" s="7"/>
    </row>
    <row r="752" spans="2:2">
      <c r="B752" s="7"/>
    </row>
    <row r="753" spans="2:2">
      <c r="B753" s="7"/>
    </row>
    <row r="754" spans="2:2">
      <c r="B754" s="7"/>
    </row>
    <row r="755" spans="2:2">
      <c r="B755" s="7"/>
    </row>
    <row r="756" spans="2:2">
      <c r="B756" s="7"/>
    </row>
    <row r="757" spans="2:2">
      <c r="B757" s="7"/>
    </row>
    <row r="758" spans="2:2">
      <c r="B758" s="7"/>
    </row>
    <row r="759" spans="2:2">
      <c r="B759" s="7"/>
    </row>
    <row r="760" spans="2:2">
      <c r="B760" s="7"/>
    </row>
    <row r="761" spans="2:2">
      <c r="B761" s="7"/>
    </row>
    <row r="762" spans="2:2">
      <c r="B762" s="7"/>
    </row>
    <row r="763" spans="2:2">
      <c r="B763" s="7"/>
    </row>
    <row r="764" spans="2:2">
      <c r="B764" s="7"/>
    </row>
    <row r="765" spans="2:2">
      <c r="B765" s="7"/>
    </row>
    <row r="766" spans="2:2">
      <c r="B766" s="7"/>
    </row>
    <row r="767" spans="2:2">
      <c r="B767" s="7"/>
    </row>
    <row r="768" spans="2:2">
      <c r="B768" s="7"/>
    </row>
    <row r="769" spans="2:2">
      <c r="B769" s="7"/>
    </row>
    <row r="770" spans="2:2">
      <c r="B770" s="7"/>
    </row>
    <row r="771" spans="2:2">
      <c r="B771" s="7"/>
    </row>
    <row r="772" spans="2:2">
      <c r="B772" s="7"/>
    </row>
    <row r="773" spans="2:2">
      <c r="B773" s="7"/>
    </row>
    <row r="774" spans="2:2">
      <c r="B774" s="7"/>
    </row>
    <row r="775" spans="2:2">
      <c r="B775" s="7"/>
    </row>
    <row r="776" spans="2:2">
      <c r="B776" s="7"/>
    </row>
    <row r="777" spans="2:2">
      <c r="B777" s="7"/>
    </row>
    <row r="778" spans="2:2">
      <c r="B778" s="7"/>
    </row>
    <row r="779" spans="2:2">
      <c r="B779" s="7"/>
    </row>
    <row r="780" spans="2:2">
      <c r="B780" s="7"/>
    </row>
    <row r="781" spans="2:2">
      <c r="B781" s="7"/>
    </row>
    <row r="782" spans="2:2">
      <c r="B782" s="7"/>
    </row>
    <row r="783" spans="2:2">
      <c r="B783" s="7"/>
    </row>
    <row r="784" spans="2:2">
      <c r="B784" s="7"/>
    </row>
    <row r="785" spans="2:2">
      <c r="B785" s="7"/>
    </row>
    <row r="786" spans="2:2">
      <c r="B786" s="7"/>
    </row>
    <row r="787" spans="2:2">
      <c r="B787" s="7"/>
    </row>
    <row r="788" spans="2:2">
      <c r="B788" s="7"/>
    </row>
    <row r="789" spans="2:2">
      <c r="B789" s="7"/>
    </row>
    <row r="790" spans="2:2">
      <c r="B790" s="7"/>
    </row>
    <row r="791" spans="2:2">
      <c r="B791" s="7"/>
    </row>
    <row r="792" spans="2:2">
      <c r="B792" s="7"/>
    </row>
    <row r="793" spans="2:2">
      <c r="B793" s="7"/>
    </row>
    <row r="794" spans="2:2">
      <c r="B794" s="7"/>
    </row>
    <row r="795" spans="2:2">
      <c r="B795" s="7"/>
    </row>
    <row r="796" spans="2:2">
      <c r="B796" s="7"/>
    </row>
    <row r="797" spans="2:2">
      <c r="B797" s="7"/>
    </row>
    <row r="798" spans="2:2">
      <c r="B798" s="7"/>
    </row>
    <row r="799" spans="2:2">
      <c r="B799" s="7"/>
    </row>
    <row r="800" spans="2:2">
      <c r="B800" s="7"/>
    </row>
    <row r="801" spans="2:2">
      <c r="B801" s="7"/>
    </row>
    <row r="802" spans="2:2">
      <c r="B802" s="7"/>
    </row>
    <row r="803" spans="2:2">
      <c r="B803" s="7"/>
    </row>
    <row r="804" spans="2:2">
      <c r="B804" s="7"/>
    </row>
    <row r="805" spans="2:2">
      <c r="B805" s="7"/>
    </row>
    <row r="806" spans="2:2">
      <c r="B806" s="7"/>
    </row>
    <row r="807" spans="2:2">
      <c r="B807" s="7"/>
    </row>
    <row r="808" spans="2:2">
      <c r="B808" s="7"/>
    </row>
    <row r="809" spans="2:2">
      <c r="B809" s="7"/>
    </row>
    <row r="810" spans="2:2">
      <c r="B810" s="7"/>
    </row>
    <row r="811" spans="2:2">
      <c r="B811" s="7"/>
    </row>
    <row r="812" spans="2:2">
      <c r="B812" s="7"/>
    </row>
    <row r="813" spans="2:2">
      <c r="B813" s="7"/>
    </row>
    <row r="814" spans="2:2">
      <c r="B814" s="7"/>
    </row>
    <row r="815" spans="2:2">
      <c r="B815" s="7"/>
    </row>
    <row r="816" spans="2:2">
      <c r="B816" s="7"/>
    </row>
    <row r="817" spans="2:2">
      <c r="B817" s="7"/>
    </row>
    <row r="818" spans="2:2">
      <c r="B818" s="7"/>
    </row>
    <row r="819" spans="2:2">
      <c r="B819" s="7"/>
    </row>
    <row r="820" spans="2:2">
      <c r="B820" s="7"/>
    </row>
    <row r="821" spans="2:2">
      <c r="B821" s="7"/>
    </row>
    <row r="822" spans="2:2">
      <c r="B822" s="7"/>
    </row>
    <row r="823" spans="2:2">
      <c r="B823" s="7"/>
    </row>
    <row r="824" spans="2:2">
      <c r="B824" s="7"/>
    </row>
    <row r="825" spans="2:2">
      <c r="B825" s="7"/>
    </row>
    <row r="826" spans="2:2">
      <c r="B826" s="7"/>
    </row>
    <row r="827" spans="2:2">
      <c r="B827" s="7"/>
    </row>
    <row r="828" spans="2:2">
      <c r="B828" s="7"/>
    </row>
    <row r="829" spans="2:2">
      <c r="B829" s="7"/>
    </row>
    <row r="830" spans="2:2">
      <c r="B830" s="7"/>
    </row>
    <row r="831" spans="2:2">
      <c r="B831" s="7"/>
    </row>
    <row r="832" spans="2:2">
      <c r="B832" s="7"/>
    </row>
    <row r="833" spans="2:2">
      <c r="B833" s="7"/>
    </row>
    <row r="834" spans="2:2">
      <c r="B834" s="7"/>
    </row>
    <row r="835" spans="2:2">
      <c r="B835" s="7"/>
    </row>
    <row r="836" spans="2:2">
      <c r="B836" s="7"/>
    </row>
    <row r="837" spans="2:2">
      <c r="B837" s="7"/>
    </row>
    <row r="838" spans="2:2">
      <c r="B838" s="7"/>
    </row>
    <row r="839" spans="2:2">
      <c r="B839" s="7"/>
    </row>
    <row r="840" spans="2:2">
      <c r="B840" s="7"/>
    </row>
    <row r="841" spans="2:2">
      <c r="B841" s="7"/>
    </row>
    <row r="842" spans="2:2">
      <c r="B842" s="7"/>
    </row>
    <row r="843" spans="2:2">
      <c r="B843" s="7"/>
    </row>
    <row r="844" spans="2:2">
      <c r="B844" s="7"/>
    </row>
    <row r="845" spans="2:2">
      <c r="B845" s="7"/>
    </row>
    <row r="846" spans="2:2">
      <c r="B846" s="7"/>
    </row>
    <row r="847" spans="2:2">
      <c r="B847" s="7"/>
    </row>
    <row r="848" spans="2:2">
      <c r="B848" s="7"/>
    </row>
    <row r="849" spans="2:2">
      <c r="B849" s="7"/>
    </row>
    <row r="850" spans="2:2">
      <c r="B850" s="7"/>
    </row>
    <row r="851" spans="2:2">
      <c r="B851" s="7"/>
    </row>
    <row r="852" spans="2:2">
      <c r="B852" s="7"/>
    </row>
    <row r="853" spans="2:2">
      <c r="B853" s="7"/>
    </row>
    <row r="854" spans="2:2">
      <c r="B854" s="7"/>
    </row>
    <row r="855" spans="2:2">
      <c r="B855" s="7"/>
    </row>
    <row r="856" spans="2:2">
      <c r="B856" s="7"/>
    </row>
    <row r="857" spans="2:2">
      <c r="B857" s="7"/>
    </row>
    <row r="858" spans="2:2">
      <c r="B858" s="7"/>
    </row>
    <row r="859" spans="2:2">
      <c r="B859" s="7"/>
    </row>
    <row r="860" spans="2:2">
      <c r="B860" s="7"/>
    </row>
    <row r="861" spans="2:2">
      <c r="B861" s="7"/>
    </row>
    <row r="862" spans="2:2">
      <c r="B862" s="7"/>
    </row>
    <row r="863" spans="2:2">
      <c r="B863" s="7"/>
    </row>
    <row r="864" spans="2:2">
      <c r="B864" s="7"/>
    </row>
    <row r="865" spans="2:2">
      <c r="B865" s="7"/>
    </row>
    <row r="866" spans="2:2">
      <c r="B866" s="7"/>
    </row>
    <row r="867" spans="2:2">
      <c r="B867" s="7"/>
    </row>
    <row r="868" spans="2:2">
      <c r="B868" s="7"/>
    </row>
    <row r="869" spans="2:2">
      <c r="B869" s="7"/>
    </row>
    <row r="870" spans="2:2">
      <c r="B870" s="7"/>
    </row>
    <row r="871" spans="2:2">
      <c r="B871" s="7"/>
    </row>
    <row r="872" spans="2:2">
      <c r="B872" s="7"/>
    </row>
    <row r="873" spans="2:2">
      <c r="B873" s="7"/>
    </row>
    <row r="874" spans="2:2">
      <c r="B874" s="7"/>
    </row>
    <row r="875" spans="2:2">
      <c r="B875" s="7"/>
    </row>
    <row r="876" spans="2:2">
      <c r="B876" s="7"/>
    </row>
    <row r="877" spans="2:2">
      <c r="B877" s="7"/>
    </row>
    <row r="878" spans="2:2">
      <c r="B878" s="7"/>
    </row>
    <row r="879" spans="2:2">
      <c r="B879" s="7"/>
    </row>
    <row r="880" spans="2:2">
      <c r="B880" s="7"/>
    </row>
    <row r="881" spans="2:2">
      <c r="B881" s="7"/>
    </row>
    <row r="882" spans="2:2">
      <c r="B882" s="7"/>
    </row>
    <row r="883" spans="2:2">
      <c r="B883" s="7"/>
    </row>
    <row r="884" spans="2:2">
      <c r="B884" s="7"/>
    </row>
    <row r="885" spans="2:2">
      <c r="B885" s="7"/>
    </row>
    <row r="886" spans="2:2">
      <c r="B886" s="7"/>
    </row>
    <row r="887" spans="2:2">
      <c r="B887" s="7"/>
    </row>
    <row r="888" spans="2:2">
      <c r="B888" s="7"/>
    </row>
    <row r="889" spans="2:2">
      <c r="B889" s="7"/>
    </row>
    <row r="890" spans="2:2">
      <c r="B890" s="7"/>
    </row>
    <row r="891" spans="2:2">
      <c r="B891" s="7"/>
    </row>
    <row r="892" spans="2:2">
      <c r="B892" s="7"/>
    </row>
    <row r="893" spans="2:2">
      <c r="B893" s="7"/>
    </row>
    <row r="894" spans="2:2">
      <c r="B894" s="7"/>
    </row>
    <row r="895" spans="2:2">
      <c r="B895" s="7"/>
    </row>
    <row r="896" spans="2:2">
      <c r="B896" s="7"/>
    </row>
    <row r="897" spans="2:2">
      <c r="B897" s="7"/>
    </row>
    <row r="898" spans="2:2">
      <c r="B898" s="7"/>
    </row>
    <row r="899" spans="2:2">
      <c r="B899" s="7"/>
    </row>
    <row r="900" spans="2:2">
      <c r="B900" s="7"/>
    </row>
    <row r="901" spans="2:2">
      <c r="B901" s="7"/>
    </row>
    <row r="902" spans="2:2">
      <c r="B902" s="7"/>
    </row>
    <row r="903" spans="2:2">
      <c r="B903" s="7"/>
    </row>
    <row r="904" spans="2:2">
      <c r="B904" s="7"/>
    </row>
    <row r="905" spans="2:2">
      <c r="B905" s="7"/>
    </row>
    <row r="906" spans="2:2">
      <c r="B906" s="7"/>
    </row>
    <row r="907" spans="2:2">
      <c r="B907" s="7"/>
    </row>
    <row r="908" spans="2:2">
      <c r="B908" s="7"/>
    </row>
    <row r="909" spans="2:2">
      <c r="B909" s="7"/>
    </row>
    <row r="910" spans="2:2">
      <c r="B910" s="7"/>
    </row>
    <row r="911" spans="2:2">
      <c r="B911" s="7"/>
    </row>
    <row r="912" spans="2:2">
      <c r="B912" s="7"/>
    </row>
    <row r="913" spans="2:2">
      <c r="B913" s="7"/>
    </row>
    <row r="914" spans="2:2">
      <c r="B914" s="7"/>
    </row>
    <row r="915" spans="2:2">
      <c r="B915" s="7"/>
    </row>
    <row r="916" spans="2:2">
      <c r="B916" s="7"/>
    </row>
    <row r="917" spans="2:2">
      <c r="B917" s="7"/>
    </row>
    <row r="918" spans="2:2">
      <c r="B918" s="7"/>
    </row>
    <row r="919" spans="2:2">
      <c r="B919" s="7"/>
    </row>
    <row r="920" spans="2:2">
      <c r="B920" s="7"/>
    </row>
    <row r="921" spans="2:2">
      <c r="B921" s="7"/>
    </row>
    <row r="922" spans="2:2">
      <c r="B922" s="7"/>
    </row>
    <row r="923" spans="2:2">
      <c r="B923" s="7"/>
    </row>
    <row r="924" spans="2:2">
      <c r="B924" s="7"/>
    </row>
    <row r="925" spans="2:2">
      <c r="B925" s="7"/>
    </row>
    <row r="926" spans="2:2">
      <c r="B926" s="7"/>
    </row>
    <row r="927" spans="2:2">
      <c r="B927" s="7"/>
    </row>
    <row r="928" spans="2:2">
      <c r="B928" s="7"/>
    </row>
    <row r="929" spans="2:2">
      <c r="B929" s="7"/>
    </row>
    <row r="930" spans="2:2">
      <c r="B930" s="7"/>
    </row>
    <row r="931" spans="2:2">
      <c r="B931" s="7"/>
    </row>
    <row r="932" spans="2:2">
      <c r="B932" s="7"/>
    </row>
    <row r="933" spans="2:2">
      <c r="B933" s="7"/>
    </row>
    <row r="934" spans="2:2">
      <c r="B934" s="7"/>
    </row>
    <row r="935" spans="2:2">
      <c r="B935" s="7"/>
    </row>
    <row r="936" spans="2:2">
      <c r="B936" s="7"/>
    </row>
    <row r="937" spans="2:2">
      <c r="B937" s="7"/>
    </row>
    <row r="938" spans="2:2">
      <c r="B938" s="7"/>
    </row>
    <row r="939" spans="2:2">
      <c r="B939" s="7"/>
    </row>
    <row r="940" spans="2:2">
      <c r="B940" s="7"/>
    </row>
    <row r="941" spans="2:2">
      <c r="B941" s="7"/>
    </row>
    <row r="942" spans="2:2">
      <c r="B942" s="7"/>
    </row>
    <row r="943" spans="2:2">
      <c r="B943" s="7"/>
    </row>
    <row r="944" spans="2:2">
      <c r="B944" s="7"/>
    </row>
    <row r="945" spans="2:2">
      <c r="B945" s="7"/>
    </row>
    <row r="946" spans="2:2">
      <c r="B946" s="7"/>
    </row>
    <row r="947" spans="2:2">
      <c r="B947" s="7"/>
    </row>
    <row r="948" spans="2:2">
      <c r="B948" s="7"/>
    </row>
    <row r="949" spans="2:2">
      <c r="B949" s="7"/>
    </row>
    <row r="950" spans="2:2">
      <c r="B950" s="7"/>
    </row>
    <row r="951" spans="2:2">
      <c r="B951" s="7"/>
    </row>
    <row r="952" spans="2:2">
      <c r="B952" s="7"/>
    </row>
    <row r="953" spans="2:2">
      <c r="B953" s="7"/>
    </row>
    <row r="954" spans="2:2">
      <c r="B954" s="7"/>
    </row>
    <row r="955" spans="2:2">
      <c r="B955" s="7"/>
    </row>
    <row r="956" spans="2:2">
      <c r="B956" s="7"/>
    </row>
    <row r="957" spans="2:2">
      <c r="B957" s="7"/>
    </row>
    <row r="958" spans="2:2">
      <c r="B958" s="7"/>
    </row>
    <row r="959" spans="2:2">
      <c r="B959" s="7"/>
    </row>
    <row r="960" spans="2:2">
      <c r="B960" s="7"/>
    </row>
    <row r="961" spans="2:2">
      <c r="B961" s="7"/>
    </row>
    <row r="962" spans="2:2">
      <c r="B962" s="7"/>
    </row>
    <row r="963" spans="2:2">
      <c r="B963" s="7"/>
    </row>
    <row r="964" spans="2:2">
      <c r="B964" s="7"/>
    </row>
    <row r="965" spans="2:2">
      <c r="B965" s="7"/>
    </row>
    <row r="966" spans="2:2">
      <c r="B966" s="7"/>
    </row>
    <row r="967" spans="2:2">
      <c r="B967" s="7"/>
    </row>
    <row r="968" spans="2:2">
      <c r="B968" s="7"/>
    </row>
    <row r="969" spans="2:2">
      <c r="B969" s="7"/>
    </row>
    <row r="970" spans="2:2">
      <c r="B970" s="7"/>
    </row>
    <row r="971" spans="2:2">
      <c r="B971" s="7"/>
    </row>
    <row r="972" spans="2:2">
      <c r="B972" s="7"/>
    </row>
    <row r="973" spans="2:2">
      <c r="B973" s="7"/>
    </row>
    <row r="974" spans="2:2">
      <c r="B974" s="7"/>
    </row>
    <row r="975" spans="2:2">
      <c r="B975" s="7"/>
    </row>
    <row r="976" spans="2:2">
      <c r="B976" s="7"/>
    </row>
    <row r="977" spans="2:2">
      <c r="B977" s="7"/>
    </row>
    <row r="978" spans="2:2">
      <c r="B978" s="7"/>
    </row>
    <row r="979" spans="2:2">
      <c r="B979" s="7"/>
    </row>
    <row r="980" spans="2:2">
      <c r="B980" s="7"/>
    </row>
    <row r="981" spans="2:2">
      <c r="B981" s="7"/>
    </row>
    <row r="982" spans="2:2">
      <c r="B982" s="7"/>
    </row>
    <row r="983" spans="2:2">
      <c r="B983" s="7"/>
    </row>
    <row r="984" spans="2:2">
      <c r="B984" s="7"/>
    </row>
    <row r="985" spans="2:2">
      <c r="B985" s="7"/>
    </row>
    <row r="986" spans="2:2">
      <c r="B986" s="7"/>
    </row>
    <row r="987" spans="2:2">
      <c r="B987" s="7"/>
    </row>
    <row r="988" spans="2:2">
      <c r="B988" s="7"/>
    </row>
    <row r="989" spans="2:2">
      <c r="B989" s="7"/>
    </row>
    <row r="990" spans="2:2">
      <c r="B990" s="7"/>
    </row>
    <row r="991" spans="2:2">
      <c r="B991" s="7"/>
    </row>
    <row r="992" spans="2:2">
      <c r="B992" s="7"/>
    </row>
    <row r="993" spans="2:2">
      <c r="B993" s="7"/>
    </row>
    <row r="994" spans="2:2">
      <c r="B994" s="7"/>
    </row>
    <row r="995" spans="2:2">
      <c r="B995" s="7"/>
    </row>
    <row r="996" spans="2:2">
      <c r="B996" s="7"/>
    </row>
    <row r="997" spans="2:2">
      <c r="B997" s="7"/>
    </row>
    <row r="998" spans="2:2">
      <c r="B998" s="7"/>
    </row>
    <row r="999" spans="2:2">
      <c r="B999" s="7"/>
    </row>
    <row r="1000" spans="2:2">
      <c r="B1000" s="7"/>
    </row>
    <row r="1001" spans="2:2">
      <c r="B1001" s="7"/>
    </row>
    <row r="1002" spans="2:2">
      <c r="B1002" s="7"/>
    </row>
    <row r="1003" spans="2:2">
      <c r="B1003" s="7"/>
    </row>
    <row r="1004" spans="2:2">
      <c r="B1004" s="7"/>
    </row>
    <row r="1005" spans="2:2">
      <c r="B1005" s="7"/>
    </row>
    <row r="1006" spans="2:2">
      <c r="B1006" s="7"/>
    </row>
    <row r="1007" spans="2:2">
      <c r="B1007" s="7"/>
    </row>
    <row r="1008" spans="2:2">
      <c r="B1008" s="7"/>
    </row>
    <row r="1009" spans="2:2">
      <c r="B1009" s="7"/>
    </row>
    <row r="1010" spans="2:2">
      <c r="B1010" s="7"/>
    </row>
    <row r="1011" spans="2:2">
      <c r="B1011" s="7"/>
    </row>
    <row r="1012" spans="2:2">
      <c r="B1012" s="7"/>
    </row>
    <row r="1013" spans="2:2">
      <c r="B1013" s="7"/>
    </row>
    <row r="1014" spans="2:2">
      <c r="B1014" s="7"/>
    </row>
    <row r="1015" spans="2:2">
      <c r="B1015" s="7"/>
    </row>
    <row r="1016" spans="2:2">
      <c r="B1016" s="7"/>
    </row>
    <row r="1017" spans="2:2">
      <c r="B1017" s="7"/>
    </row>
    <row r="1018" spans="2:2">
      <c r="B1018" s="7"/>
    </row>
    <row r="1019" spans="2:2">
      <c r="B1019" s="7"/>
    </row>
    <row r="1020" spans="2:2">
      <c r="B1020" s="7"/>
    </row>
    <row r="1021" spans="2:2">
      <c r="B1021" s="7"/>
    </row>
    <row r="1022" spans="2:2">
      <c r="B1022" s="7"/>
    </row>
    <row r="1023" spans="2:2">
      <c r="B1023" s="7"/>
    </row>
    <row r="1024" spans="2:2">
      <c r="B1024" s="7"/>
    </row>
    <row r="1025" spans="2:2">
      <c r="B1025" s="7"/>
    </row>
    <row r="1026" spans="2:2">
      <c r="B1026" s="7"/>
    </row>
    <row r="1027" spans="2:2">
      <c r="B1027" s="7"/>
    </row>
    <row r="1028" spans="2:2">
      <c r="B1028" s="7"/>
    </row>
    <row r="1029" spans="2:2">
      <c r="B1029" s="7"/>
    </row>
    <row r="1030" spans="2:2">
      <c r="B1030" s="7"/>
    </row>
    <row r="1031" spans="2:2">
      <c r="B1031" s="7"/>
    </row>
    <row r="1032" spans="2:2">
      <c r="B1032" s="7"/>
    </row>
    <row r="1033" spans="2:2">
      <c r="B1033" s="7"/>
    </row>
    <row r="1034" spans="2:2">
      <c r="B1034" s="7"/>
    </row>
    <row r="1035" spans="2:2">
      <c r="B1035" s="7"/>
    </row>
    <row r="1036" spans="2:2">
      <c r="B1036" s="7"/>
    </row>
    <row r="1037" spans="2:2">
      <c r="B1037" s="7"/>
    </row>
    <row r="1038" spans="2:2">
      <c r="B1038" s="7"/>
    </row>
    <row r="1039" spans="2:2">
      <c r="B1039" s="7"/>
    </row>
    <row r="1040" spans="2:2">
      <c r="B1040" s="7"/>
    </row>
    <row r="1041" spans="2:2">
      <c r="B1041" s="7"/>
    </row>
    <row r="1042" spans="2:2">
      <c r="B1042" s="7"/>
    </row>
    <row r="1043" spans="2:2">
      <c r="B1043" s="7"/>
    </row>
    <row r="1044" spans="2:2">
      <c r="B1044" s="7"/>
    </row>
    <row r="1045" spans="2:2">
      <c r="B1045" s="7"/>
    </row>
    <row r="1046" spans="2:2">
      <c r="B1046" s="7"/>
    </row>
    <row r="1047" spans="2:2">
      <c r="B1047" s="7"/>
    </row>
    <row r="1048" spans="2:2">
      <c r="B1048" s="7"/>
    </row>
    <row r="1049" spans="2:2">
      <c r="B1049" s="7"/>
    </row>
    <row r="1050" spans="2:2">
      <c r="B1050" s="7"/>
    </row>
    <row r="1051" spans="2:2">
      <c r="B1051" s="7"/>
    </row>
    <row r="1052" spans="2:2">
      <c r="B1052" s="7"/>
    </row>
    <row r="1053" spans="2:2">
      <c r="B1053" s="7"/>
    </row>
    <row r="1054" spans="2:2">
      <c r="B1054" s="7"/>
    </row>
    <row r="1055" spans="2:2">
      <c r="B1055" s="7"/>
    </row>
    <row r="1056" spans="2:2">
      <c r="B1056" s="7"/>
    </row>
    <row r="1057" spans="2:2">
      <c r="B1057" s="7"/>
    </row>
    <row r="1058" spans="2:2">
      <c r="B1058" s="7"/>
    </row>
    <row r="1059" spans="2:2">
      <c r="B1059" s="7"/>
    </row>
    <row r="1060" spans="2:2">
      <c r="B1060" s="7"/>
    </row>
    <row r="1061" spans="2:2">
      <c r="B1061" s="7"/>
    </row>
    <row r="1062" spans="2:2">
      <c r="B1062" s="7"/>
    </row>
    <row r="1063" spans="2:2">
      <c r="B1063" s="7"/>
    </row>
    <row r="1064" spans="2:2">
      <c r="B1064" s="7"/>
    </row>
    <row r="1065" spans="2:2">
      <c r="B1065" s="7"/>
    </row>
    <row r="1066" spans="2:2">
      <c r="B1066" s="7"/>
    </row>
    <row r="1067" spans="2:2">
      <c r="B1067" s="7"/>
    </row>
    <row r="1068" spans="2:2">
      <c r="B1068" s="7"/>
    </row>
    <row r="1069" spans="2:2">
      <c r="B1069" s="7"/>
    </row>
    <row r="1070" spans="2:2">
      <c r="B1070" s="7"/>
    </row>
    <row r="1071" spans="2:2">
      <c r="B1071" s="7"/>
    </row>
    <row r="1072" spans="2:2">
      <c r="B1072" s="7"/>
    </row>
    <row r="1073" spans="2:2">
      <c r="B1073" s="7"/>
    </row>
    <row r="1074" spans="2:2">
      <c r="B1074" s="7"/>
    </row>
    <row r="1075" spans="2:2">
      <c r="B1075" s="7"/>
    </row>
    <row r="1076" spans="2:2">
      <c r="B1076" s="7"/>
    </row>
    <row r="1077" spans="2:2">
      <c r="B1077" s="7"/>
    </row>
    <row r="1078" spans="2:2">
      <c r="B1078" s="7"/>
    </row>
    <row r="1079" spans="2:2">
      <c r="B1079" s="7"/>
    </row>
    <row r="1080" spans="2:2">
      <c r="B1080" s="7"/>
    </row>
    <row r="1081" spans="2:2">
      <c r="B1081" s="7"/>
    </row>
    <row r="1082" spans="2:2">
      <c r="B1082" s="7"/>
    </row>
    <row r="1083" spans="2:2">
      <c r="B1083" s="7"/>
    </row>
    <row r="1084" spans="2:2">
      <c r="B1084" s="7"/>
    </row>
    <row r="1085" spans="2:2">
      <c r="B1085" s="7"/>
    </row>
    <row r="1086" spans="2:2">
      <c r="B1086" s="7"/>
    </row>
    <row r="1087" spans="2:2">
      <c r="B1087" s="7"/>
    </row>
    <row r="1088" spans="2:2">
      <c r="B1088" s="7"/>
    </row>
    <row r="1089" spans="2:2">
      <c r="B1089" s="7"/>
    </row>
    <row r="1090" spans="2:2">
      <c r="B1090" s="7"/>
    </row>
    <row r="1091" spans="2:2">
      <c r="B1091" s="7"/>
    </row>
    <row r="1092" spans="2:2">
      <c r="B1092" s="7"/>
    </row>
    <row r="1093" spans="2:2">
      <c r="B1093" s="7"/>
    </row>
    <row r="1094" spans="2:2">
      <c r="B1094" s="7"/>
    </row>
    <row r="1095" spans="2:2">
      <c r="B1095" s="7"/>
    </row>
    <row r="1096" spans="2:2">
      <c r="B1096" s="7"/>
    </row>
    <row r="1097" spans="2:2">
      <c r="B1097" s="7"/>
    </row>
    <row r="1098" spans="2:2">
      <c r="B1098" s="7"/>
    </row>
    <row r="1099" spans="2:2">
      <c r="B1099" s="7"/>
    </row>
    <row r="1100" spans="2:2">
      <c r="B1100" s="7"/>
    </row>
    <row r="1101" spans="2:2">
      <c r="B1101" s="7"/>
    </row>
    <row r="1102" spans="2:2">
      <c r="B1102" s="7"/>
    </row>
    <row r="1103" spans="2:2">
      <c r="B1103" s="7"/>
    </row>
    <row r="1104" spans="2:2">
      <c r="B1104" s="7"/>
    </row>
    <row r="1105" spans="1:2">
      <c r="B1105" s="7"/>
    </row>
    <row r="1106" spans="1:2">
      <c r="B1106" s="7"/>
    </row>
    <row r="1107" spans="1:2">
      <c r="A1107" s="3" t="str">
        <f t="array" ref="A1107">IF(ISERROR(INDEX(List,MATCH(0,COUNTIF(List,"&lt;"&amp;List)-SUM(COUNTIF(List,$A$296:A1106)),0))),"",INDEX(List,MATCH(0,COUNTIF(List,"&lt;"&amp;List)-SUM(COUNTIF(List,$A$296:A1106),0))))</f>
        <v>[Account (Name)]</v>
      </c>
      <c r="B1107" s="7">
        <f>IF(A1107="","",MAX(B$296:B1106)+1)</f>
        <v>1</v>
      </c>
    </row>
    <row r="1108" spans="1:2">
      <c r="A1108" s="3" t="str">
        <f t="array" ref="A1108">IF(ISERROR(INDEX(List,MATCH(0,COUNTIF(List,"&lt;"&amp;List)-SUM(COUNTIF(List,$A$296:A1107)),0))),"",INDEX(List,MATCH(0,COUNTIF(List,"&lt;"&amp;List)-SUM(COUNTIF(List,$A$296:A1107),0))))</f>
        <v>[Account (Name)]</v>
      </c>
      <c r="B1108" s="7">
        <f>IF(A1108="","",MAX(B$296:B1107)+1)</f>
        <v>2</v>
      </c>
    </row>
    <row r="1109" spans="1:2">
      <c r="A1109" s="3" t="str">
        <f t="array" ref="A1109">IF(ISERROR(INDEX(List,MATCH(0,COUNTIF(List,"&lt;"&amp;List)-SUM(COUNTIF(List,$A$296:A1108)),0))),"",INDEX(List,MATCH(0,COUNTIF(List,"&lt;"&amp;List)-SUM(COUNTIF(List,$A$296:A1108),0))))</f>
        <v>[Account (Name)]</v>
      </c>
      <c r="B1109" s="7">
        <f>IF(A1109="","",MAX(B$296:B1108)+1)</f>
        <v>3</v>
      </c>
    </row>
    <row r="1110" spans="1:2">
      <c r="A1110" s="3" t="str">
        <f t="array" ref="A1110">IF(ISERROR(INDEX(List,MATCH(0,COUNTIF(List,"&lt;"&amp;List)-SUM(COUNTIF(List,$A$296:A1109)),0))),"",INDEX(List,MATCH(0,COUNTIF(List,"&lt;"&amp;List)-SUM(COUNTIF(List,$A$296:A1109),0))))</f>
        <v>[Account (Name)]</v>
      </c>
      <c r="B1110" s="7">
        <f>IF(A1110="","",MAX(B$296:B1109)+1)</f>
        <v>4</v>
      </c>
    </row>
  </sheetData>
  <sheetProtection selectLockedCells="1" selectUnlockedCells="1"/>
  <mergeCells count="2">
    <mergeCell ref="A1:D1"/>
    <mergeCell ref="A20:D20"/>
  </mergeCells>
  <dataValidations count="1">
    <dataValidation type="custom" allowBlank="1" showInputMessage="1" showErrorMessage="1" errorTitle="X-Author for Excel" error="Id and Lookup fields are not editable." promptTitle="X-Author for Excel" sqref="D22:D293 D3:E13" xr:uid="{00000000-0002-0000-1100-000000000000}">
      <formula1>""</formula1>
    </dataValidation>
  </dataValidation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30"/>
  <sheetViews>
    <sheetView zoomScaleSheetLayoutView="100" workbookViewId="0"/>
  </sheetViews>
  <sheetFormatPr defaultColWidth="8.75" defaultRowHeight="15.75"/>
  <sheetData>
    <row r="1" spans="1:58">
      <c r="A1" s="1" t="s">
        <v>8218</v>
      </c>
      <c r="B1" t="s">
        <v>8219</v>
      </c>
      <c r="Y1" t="s">
        <v>8220</v>
      </c>
      <c r="Z1" t="s">
        <v>8221</v>
      </c>
      <c r="AA1" t="s">
        <v>8222</v>
      </c>
      <c r="AB1" t="s">
        <v>8223</v>
      </c>
      <c r="AC1" t="s">
        <v>8224</v>
      </c>
      <c r="AD1" t="s">
        <v>8225</v>
      </c>
      <c r="AE1" t="s">
        <v>8226</v>
      </c>
      <c r="AF1" t="s">
        <v>8227</v>
      </c>
      <c r="AG1" t="s">
        <v>8228</v>
      </c>
      <c r="AH1" t="s">
        <v>8229</v>
      </c>
      <c r="AI1" t="s">
        <v>8230</v>
      </c>
      <c r="AJ1" t="s">
        <v>8231</v>
      </c>
      <c r="AK1" t="s">
        <v>8232</v>
      </c>
      <c r="AL1" t="s">
        <v>8233</v>
      </c>
      <c r="AM1" t="s">
        <v>8234</v>
      </c>
      <c r="AN1" t="s">
        <v>8235</v>
      </c>
      <c r="AO1" t="s">
        <v>8236</v>
      </c>
      <c r="AP1" t="s">
        <v>8237</v>
      </c>
      <c r="AQ1" t="s">
        <v>8238</v>
      </c>
      <c r="AR1" t="s">
        <v>8239</v>
      </c>
      <c r="AS1" t="s">
        <v>8240</v>
      </c>
      <c r="AT1" t="s">
        <v>8241</v>
      </c>
      <c r="AU1" t="s">
        <v>8242</v>
      </c>
      <c r="AV1" t="s">
        <v>8243</v>
      </c>
      <c r="AW1" t="s">
        <v>8244</v>
      </c>
      <c r="AX1" t="s">
        <v>8245</v>
      </c>
      <c r="AY1" t="s">
        <v>8246</v>
      </c>
      <c r="AZ1" t="s">
        <v>8247</v>
      </c>
      <c r="BA1" t="s">
        <v>8248</v>
      </c>
      <c r="BB1" t="s">
        <v>8249</v>
      </c>
      <c r="BC1" t="s">
        <v>8250</v>
      </c>
      <c r="BD1" t="s">
        <v>8251</v>
      </c>
      <c r="BE1" t="s">
        <v>8252</v>
      </c>
      <c r="BF1" t="s">
        <v>8253</v>
      </c>
    </row>
    <row r="2" spans="1:58">
      <c r="Y2" s="2" t="s">
        <v>8254</v>
      </c>
      <c r="Z2" s="2" t="s">
        <v>8255</v>
      </c>
      <c r="AA2" s="2" t="s">
        <v>8256</v>
      </c>
      <c r="AB2" s="2" t="s">
        <v>8257</v>
      </c>
      <c r="AC2" s="2" t="s">
        <v>8258</v>
      </c>
      <c r="AD2" s="2" t="s">
        <v>8259</v>
      </c>
      <c r="AE2" s="2" t="s">
        <v>5436</v>
      </c>
      <c r="AF2" s="2" t="s">
        <v>3013</v>
      </c>
      <c r="AG2" s="2" t="s">
        <v>8259</v>
      </c>
      <c r="AH2" s="2" t="s">
        <v>8259</v>
      </c>
      <c r="AI2" s="2" t="s">
        <v>8259</v>
      </c>
      <c r="AJ2" s="2" t="s">
        <v>3013</v>
      </c>
      <c r="AK2" s="2" t="s">
        <v>8259</v>
      </c>
      <c r="AL2" s="2" t="s">
        <v>8259</v>
      </c>
      <c r="AM2" s="2" t="s">
        <v>8259</v>
      </c>
      <c r="AN2" s="2" t="s">
        <v>5436</v>
      </c>
      <c r="AO2" s="2" t="s">
        <v>8259</v>
      </c>
      <c r="AP2" s="2" t="s">
        <v>3013</v>
      </c>
      <c r="AQ2" s="2" t="s">
        <v>8260</v>
      </c>
      <c r="AR2" s="2" t="s">
        <v>5342</v>
      </c>
      <c r="AS2" s="2" t="s">
        <v>5342</v>
      </c>
      <c r="AT2" s="2" t="s">
        <v>5342</v>
      </c>
      <c r="AU2" s="2" t="s">
        <v>5342</v>
      </c>
      <c r="AV2" s="2" t="s">
        <v>5342</v>
      </c>
      <c r="AW2" s="2" t="s">
        <v>5342</v>
      </c>
      <c r="AX2" s="2" t="s">
        <v>5342</v>
      </c>
      <c r="AY2" s="2" t="s">
        <v>5342</v>
      </c>
      <c r="AZ2" s="2" t="s">
        <v>1041</v>
      </c>
      <c r="BA2" s="2" t="s">
        <v>1041</v>
      </c>
      <c r="BB2" s="2" t="s">
        <v>1041</v>
      </c>
      <c r="BC2" s="2" t="s">
        <v>1041</v>
      </c>
      <c r="BD2" s="2" t="s">
        <v>1041</v>
      </c>
      <c r="BE2" s="2" t="s">
        <v>1041</v>
      </c>
      <c r="BF2" s="2" t="s">
        <v>1041</v>
      </c>
    </row>
    <row r="3" spans="1:58">
      <c r="Y3" s="2" t="s">
        <v>8261</v>
      </c>
      <c r="Z3" s="2" t="s">
        <v>8262</v>
      </c>
      <c r="AB3" s="2" t="s">
        <v>8263</v>
      </c>
      <c r="AC3" s="2" t="s">
        <v>8264</v>
      </c>
      <c r="AD3" s="2" t="s">
        <v>8265</v>
      </c>
      <c r="AE3" s="2" t="s">
        <v>387</v>
      </c>
      <c r="AG3" s="2" t="s">
        <v>8265</v>
      </c>
      <c r="AH3" s="2" t="s">
        <v>8265</v>
      </c>
      <c r="AI3" s="2" t="s">
        <v>8265</v>
      </c>
      <c r="AK3" s="2" t="s">
        <v>8265</v>
      </c>
      <c r="AL3" s="2" t="s">
        <v>8265</v>
      </c>
      <c r="AM3" s="2" t="s">
        <v>8265</v>
      </c>
      <c r="AN3" s="2" t="s">
        <v>387</v>
      </c>
      <c r="AO3" s="2" t="s">
        <v>8265</v>
      </c>
      <c r="AQ3" s="2" t="s">
        <v>8266</v>
      </c>
      <c r="AR3" s="2" t="s">
        <v>5618</v>
      </c>
      <c r="AS3" s="2" t="s">
        <v>5618</v>
      </c>
      <c r="AT3" s="2" t="s">
        <v>5618</v>
      </c>
      <c r="AU3" s="2" t="s">
        <v>5618</v>
      </c>
      <c r="AV3" s="2" t="s">
        <v>5618</v>
      </c>
      <c r="AW3" s="2" t="s">
        <v>5618</v>
      </c>
      <c r="AX3" s="2" t="s">
        <v>5618</v>
      </c>
      <c r="AY3" s="2" t="s">
        <v>5618</v>
      </c>
      <c r="AZ3" s="2" t="s">
        <v>1035</v>
      </c>
      <c r="BA3" s="2" t="s">
        <v>1035</v>
      </c>
      <c r="BB3" s="2" t="s">
        <v>1035</v>
      </c>
      <c r="BC3" s="2" t="s">
        <v>1035</v>
      </c>
      <c r="BD3" s="2" t="s">
        <v>1035</v>
      </c>
      <c r="BE3" s="2" t="s">
        <v>1035</v>
      </c>
      <c r="BF3" s="2" t="s">
        <v>1035</v>
      </c>
    </row>
    <row r="4" spans="1:58">
      <c r="Y4" s="2" t="s">
        <v>5364</v>
      </c>
      <c r="Z4" s="2" t="s">
        <v>5364</v>
      </c>
      <c r="AB4" s="2" t="s">
        <v>5182</v>
      </c>
      <c r="AC4" s="2" t="s">
        <v>8267</v>
      </c>
      <c r="AD4" s="2" t="s">
        <v>8268</v>
      </c>
      <c r="AE4" s="2" t="s">
        <v>3013</v>
      </c>
      <c r="AG4" s="2" t="s">
        <v>8268</v>
      </c>
      <c r="AH4" s="2" t="s">
        <v>8268</v>
      </c>
      <c r="AI4" s="2" t="s">
        <v>8268</v>
      </c>
      <c r="AK4" s="2" t="s">
        <v>8268</v>
      </c>
      <c r="AL4" s="2" t="s">
        <v>8268</v>
      </c>
      <c r="AM4" s="2" t="s">
        <v>8268</v>
      </c>
      <c r="AN4" s="2" t="s">
        <v>3013</v>
      </c>
      <c r="AO4" s="2" t="s">
        <v>8268</v>
      </c>
      <c r="AQ4" s="2" t="s">
        <v>8269</v>
      </c>
      <c r="AR4" s="2" t="s">
        <v>8270</v>
      </c>
      <c r="AS4" s="2" t="s">
        <v>8270</v>
      </c>
      <c r="AT4" s="2" t="s">
        <v>8270</v>
      </c>
      <c r="AU4" s="2" t="s">
        <v>8270</v>
      </c>
      <c r="AV4" s="2" t="s">
        <v>8270</v>
      </c>
      <c r="AW4" s="2" t="s">
        <v>8270</v>
      </c>
      <c r="AX4" s="2" t="s">
        <v>8270</v>
      </c>
      <c r="AY4" s="2" t="s">
        <v>8270</v>
      </c>
      <c r="AZ4" s="2" t="s">
        <v>1088</v>
      </c>
      <c r="BA4" s="2" t="s">
        <v>1088</v>
      </c>
      <c r="BB4" s="2" t="s">
        <v>1088</v>
      </c>
      <c r="BC4" s="2" t="s">
        <v>1088</v>
      </c>
      <c r="BD4" s="2" t="s">
        <v>1088</v>
      </c>
      <c r="BE4" s="2" t="s">
        <v>1088</v>
      </c>
      <c r="BF4" s="2" t="s">
        <v>1088</v>
      </c>
    </row>
    <row r="5" spans="1:58">
      <c r="Y5" s="2" t="s">
        <v>1621</v>
      </c>
      <c r="Z5" s="2" t="s">
        <v>1621</v>
      </c>
      <c r="AB5" s="2" t="s">
        <v>5184</v>
      </c>
      <c r="AC5" s="2" t="s">
        <v>1035</v>
      </c>
      <c r="AD5" s="2" t="s">
        <v>8271</v>
      </c>
      <c r="AG5" s="2" t="s">
        <v>8271</v>
      </c>
      <c r="AH5" s="2" t="s">
        <v>8271</v>
      </c>
      <c r="AI5" s="2" t="s">
        <v>8271</v>
      </c>
      <c r="AK5" s="2" t="s">
        <v>8271</v>
      </c>
      <c r="AL5" s="2" t="s">
        <v>8271</v>
      </c>
      <c r="AM5" s="2" t="s">
        <v>8271</v>
      </c>
      <c r="AO5" s="2" t="s">
        <v>8271</v>
      </c>
      <c r="AQ5" s="2" t="s">
        <v>8272</v>
      </c>
      <c r="AS5" s="2" t="s">
        <v>5664</v>
      </c>
      <c r="AT5" s="2" t="s">
        <v>5664</v>
      </c>
      <c r="AU5" s="2" t="s">
        <v>5664</v>
      </c>
      <c r="AV5" s="2" t="s">
        <v>5664</v>
      </c>
      <c r="AW5" s="2" t="s">
        <v>5664</v>
      </c>
      <c r="AX5" s="2" t="s">
        <v>5664</v>
      </c>
      <c r="AY5" s="2" t="s">
        <v>5664</v>
      </c>
      <c r="AZ5" s="2" t="s">
        <v>5664</v>
      </c>
      <c r="BA5" s="2" t="s">
        <v>5664</v>
      </c>
      <c r="BB5" s="2" t="s">
        <v>5664</v>
      </c>
    </row>
    <row r="6" spans="1:58">
      <c r="Y6" s="2" t="s">
        <v>987</v>
      </c>
      <c r="Z6" s="2" t="s">
        <v>987</v>
      </c>
      <c r="AB6" s="2" t="s">
        <v>5183</v>
      </c>
      <c r="AC6" s="2" t="s">
        <v>1088</v>
      </c>
      <c r="AD6" s="2" t="s">
        <v>8273</v>
      </c>
      <c r="AG6" s="2" t="s">
        <v>8273</v>
      </c>
      <c r="AH6" s="2" t="s">
        <v>8273</v>
      </c>
      <c r="AI6" s="2" t="s">
        <v>8273</v>
      </c>
      <c r="AK6" s="2" t="s">
        <v>8273</v>
      </c>
      <c r="AL6" s="2" t="s">
        <v>8273</v>
      </c>
      <c r="AM6" s="2" t="s">
        <v>8273</v>
      </c>
      <c r="AO6" s="2" t="s">
        <v>8273</v>
      </c>
    </row>
    <row r="7" spans="1:58">
      <c r="Y7" s="2" t="s">
        <v>8274</v>
      </c>
      <c r="Z7" s="2" t="s">
        <v>8274</v>
      </c>
      <c r="AC7" s="2" t="s">
        <v>1041</v>
      </c>
      <c r="AD7" s="2" t="s">
        <v>8275</v>
      </c>
      <c r="AG7" s="2" t="s">
        <v>8275</v>
      </c>
      <c r="AH7" s="2" t="s">
        <v>8275</v>
      </c>
      <c r="AI7" s="2" t="s">
        <v>8275</v>
      </c>
      <c r="AK7" s="2" t="s">
        <v>8275</v>
      </c>
      <c r="AL7" s="2" t="s">
        <v>8275</v>
      </c>
      <c r="AM7" s="2" t="s">
        <v>8275</v>
      </c>
      <c r="AO7" s="2" t="s">
        <v>8275</v>
      </c>
    </row>
    <row r="8" spans="1:58">
      <c r="Y8" s="2" t="s">
        <v>8254</v>
      </c>
      <c r="Z8" s="2" t="s">
        <v>8255</v>
      </c>
      <c r="AC8" s="2" t="s">
        <v>8276</v>
      </c>
      <c r="AD8" s="2" t="s">
        <v>8277</v>
      </c>
      <c r="AG8" s="2" t="s">
        <v>8277</v>
      </c>
      <c r="AH8" s="2" t="s">
        <v>8277</v>
      </c>
      <c r="AI8" s="2" t="s">
        <v>8277</v>
      </c>
      <c r="AK8" s="2" t="s">
        <v>8277</v>
      </c>
      <c r="AL8" s="2" t="s">
        <v>8277</v>
      </c>
      <c r="AM8" s="2" t="s">
        <v>8277</v>
      </c>
      <c r="AO8" s="2" t="s">
        <v>8277</v>
      </c>
    </row>
    <row r="9" spans="1:58">
      <c r="Y9" s="2" t="s">
        <v>8261</v>
      </c>
      <c r="Z9" s="2" t="s">
        <v>8262</v>
      </c>
      <c r="AC9" s="2" t="s">
        <v>1035</v>
      </c>
      <c r="AD9" s="2" t="s">
        <v>8278</v>
      </c>
      <c r="AG9" s="2" t="s">
        <v>8278</v>
      </c>
      <c r="AH9" s="2" t="s">
        <v>8278</v>
      </c>
      <c r="AI9" s="2" t="s">
        <v>8278</v>
      </c>
      <c r="AK9" s="2" t="s">
        <v>8278</v>
      </c>
      <c r="AL9" s="2" t="s">
        <v>8278</v>
      </c>
      <c r="AM9" s="2" t="s">
        <v>8278</v>
      </c>
      <c r="AO9" s="2" t="s">
        <v>8278</v>
      </c>
    </row>
    <row r="10" spans="1:58">
      <c r="Y10" s="2" t="s">
        <v>5364</v>
      </c>
      <c r="Z10" s="2" t="s">
        <v>5364</v>
      </c>
      <c r="AC10" s="2" t="s">
        <v>1088</v>
      </c>
      <c r="AD10" s="2" t="s">
        <v>8279</v>
      </c>
      <c r="AG10" s="2" t="s">
        <v>8279</v>
      </c>
      <c r="AH10" s="2" t="s">
        <v>8279</v>
      </c>
      <c r="AI10" s="2" t="s">
        <v>8279</v>
      </c>
      <c r="AK10" s="2" t="s">
        <v>8279</v>
      </c>
      <c r="AL10" s="2" t="s">
        <v>8279</v>
      </c>
      <c r="AM10" s="2" t="s">
        <v>8279</v>
      </c>
      <c r="AO10" s="2" t="s">
        <v>8279</v>
      </c>
    </row>
    <row r="11" spans="1:58">
      <c r="Y11" s="2" t="s">
        <v>1621</v>
      </c>
      <c r="Z11" s="2" t="s">
        <v>1621</v>
      </c>
      <c r="AC11" s="2" t="s">
        <v>1041</v>
      </c>
      <c r="AD11" s="2" t="s">
        <v>8280</v>
      </c>
      <c r="AG11" s="2" t="s">
        <v>8280</v>
      </c>
      <c r="AH11" s="2" t="s">
        <v>8280</v>
      </c>
      <c r="AI11" s="2" t="s">
        <v>8280</v>
      </c>
      <c r="AK11" s="2" t="s">
        <v>8280</v>
      </c>
      <c r="AL11" s="2" t="s">
        <v>8280</v>
      </c>
      <c r="AM11" s="2" t="s">
        <v>8280</v>
      </c>
      <c r="AO11" s="2" t="s">
        <v>8280</v>
      </c>
    </row>
    <row r="12" spans="1:58">
      <c r="Y12" s="2" t="s">
        <v>987</v>
      </c>
      <c r="Z12" s="2" t="s">
        <v>987</v>
      </c>
      <c r="AC12" s="2" t="s">
        <v>8281</v>
      </c>
      <c r="AD12" s="2" t="s">
        <v>8282</v>
      </c>
      <c r="AG12" s="2" t="s">
        <v>8282</v>
      </c>
      <c r="AH12" s="2" t="s">
        <v>8282</v>
      </c>
      <c r="AI12" s="2" t="s">
        <v>8282</v>
      </c>
      <c r="AK12" s="2" t="s">
        <v>8282</v>
      </c>
      <c r="AL12" s="2" t="s">
        <v>8282</v>
      </c>
      <c r="AM12" s="2" t="s">
        <v>8282</v>
      </c>
      <c r="AO12" s="2" t="s">
        <v>8282</v>
      </c>
    </row>
    <row r="13" spans="1:58">
      <c r="Y13" s="2" t="s">
        <v>8274</v>
      </c>
      <c r="Z13" s="2" t="s">
        <v>8274</v>
      </c>
      <c r="AD13" s="2" t="s">
        <v>8283</v>
      </c>
      <c r="AG13" s="2" t="s">
        <v>8283</v>
      </c>
      <c r="AH13" s="2" t="s">
        <v>8283</v>
      </c>
      <c r="AI13" s="2" t="s">
        <v>8283</v>
      </c>
      <c r="AK13" s="2" t="s">
        <v>8283</v>
      </c>
      <c r="AL13" s="2" t="s">
        <v>8283</v>
      </c>
      <c r="AM13" s="2" t="s">
        <v>8283</v>
      </c>
      <c r="AO13" s="2" t="s">
        <v>8283</v>
      </c>
    </row>
    <row r="14" spans="1:58">
      <c r="AD14" s="2" t="s">
        <v>8284</v>
      </c>
      <c r="AG14" s="2" t="s">
        <v>8284</v>
      </c>
      <c r="AH14" s="2" t="s">
        <v>8284</v>
      </c>
      <c r="AI14" s="2" t="s">
        <v>8284</v>
      </c>
      <c r="AK14" s="2" t="s">
        <v>8284</v>
      </c>
      <c r="AL14" s="2" t="s">
        <v>8284</v>
      </c>
      <c r="AM14" s="2" t="s">
        <v>8284</v>
      </c>
      <c r="AO14" s="2" t="s">
        <v>8284</v>
      </c>
    </row>
    <row r="15" spans="1:58">
      <c r="AD15" s="2" t="s">
        <v>8285</v>
      </c>
      <c r="AG15" s="2" t="s">
        <v>8285</v>
      </c>
      <c r="AH15" s="2" t="s">
        <v>8285</v>
      </c>
      <c r="AI15" s="2" t="s">
        <v>8285</v>
      </c>
      <c r="AK15" s="2" t="s">
        <v>8285</v>
      </c>
      <c r="AL15" s="2" t="s">
        <v>8285</v>
      </c>
      <c r="AM15" s="2" t="s">
        <v>8285</v>
      </c>
      <c r="AO15" s="2" t="s">
        <v>8285</v>
      </c>
    </row>
    <row r="16" spans="1:58">
      <c r="AD16" s="2" t="s">
        <v>8286</v>
      </c>
      <c r="AG16" s="2" t="s">
        <v>8286</v>
      </c>
      <c r="AH16" s="2" t="s">
        <v>8286</v>
      </c>
      <c r="AI16" s="2" t="s">
        <v>8286</v>
      </c>
      <c r="AK16" s="2" t="s">
        <v>8286</v>
      </c>
      <c r="AL16" s="2" t="s">
        <v>8286</v>
      </c>
      <c r="AM16" s="2" t="s">
        <v>8286</v>
      </c>
      <c r="AO16" s="2" t="s">
        <v>8286</v>
      </c>
    </row>
    <row r="17" spans="30:41">
      <c r="AD17" s="2" t="s">
        <v>8287</v>
      </c>
      <c r="AG17" s="2" t="s">
        <v>8287</v>
      </c>
      <c r="AH17" s="2" t="s">
        <v>8287</v>
      </c>
      <c r="AI17" s="2" t="s">
        <v>8287</v>
      </c>
      <c r="AK17" s="2" t="s">
        <v>8287</v>
      </c>
      <c r="AL17" s="2" t="s">
        <v>8287</v>
      </c>
      <c r="AM17" s="2" t="s">
        <v>8287</v>
      </c>
      <c r="AO17" s="2" t="s">
        <v>8287</v>
      </c>
    </row>
    <row r="18" spans="30:41">
      <c r="AD18" s="2" t="s">
        <v>8288</v>
      </c>
      <c r="AG18" s="2" t="s">
        <v>8288</v>
      </c>
      <c r="AH18" s="2" t="s">
        <v>8288</v>
      </c>
      <c r="AI18" s="2" t="s">
        <v>8288</v>
      </c>
      <c r="AK18" s="2" t="s">
        <v>8288</v>
      </c>
      <c r="AL18" s="2" t="s">
        <v>8288</v>
      </c>
      <c r="AM18" s="2" t="s">
        <v>8288</v>
      </c>
      <c r="AO18" s="2" t="s">
        <v>8288</v>
      </c>
    </row>
    <row r="19" spans="30:41">
      <c r="AD19" s="2" t="s">
        <v>8289</v>
      </c>
      <c r="AG19" s="2" t="s">
        <v>8289</v>
      </c>
      <c r="AH19" s="2" t="s">
        <v>8289</v>
      </c>
      <c r="AI19" s="2" t="s">
        <v>8289</v>
      </c>
      <c r="AK19" s="2" t="s">
        <v>8289</v>
      </c>
      <c r="AL19" s="2" t="s">
        <v>8289</v>
      </c>
      <c r="AM19" s="2" t="s">
        <v>8289</v>
      </c>
      <c r="AO19" s="2" t="s">
        <v>8289</v>
      </c>
    </row>
    <row r="20" spans="30:41">
      <c r="AD20" s="2" t="s">
        <v>8290</v>
      </c>
      <c r="AG20" s="2" t="s">
        <v>8290</v>
      </c>
      <c r="AH20" s="2" t="s">
        <v>8290</v>
      </c>
      <c r="AI20" s="2" t="s">
        <v>8290</v>
      </c>
      <c r="AK20" s="2" t="s">
        <v>8290</v>
      </c>
      <c r="AL20" s="2" t="s">
        <v>8290</v>
      </c>
      <c r="AM20" s="2" t="s">
        <v>8290</v>
      </c>
      <c r="AO20" s="2" t="s">
        <v>8290</v>
      </c>
    </row>
    <row r="21" spans="30:41">
      <c r="AD21" s="2" t="s">
        <v>8291</v>
      </c>
      <c r="AG21" s="2" t="s">
        <v>8291</v>
      </c>
      <c r="AH21" s="2" t="s">
        <v>8291</v>
      </c>
      <c r="AI21" s="2" t="s">
        <v>8291</v>
      </c>
      <c r="AK21" s="2" t="s">
        <v>8291</v>
      </c>
      <c r="AL21" s="2" t="s">
        <v>8291</v>
      </c>
      <c r="AM21" s="2" t="s">
        <v>8291</v>
      </c>
      <c r="AO21" s="2" t="s">
        <v>8291</v>
      </c>
    </row>
    <row r="22" spans="30:41">
      <c r="AD22" s="2" t="s">
        <v>8292</v>
      </c>
      <c r="AG22" s="2" t="s">
        <v>8292</v>
      </c>
      <c r="AH22" s="2" t="s">
        <v>8292</v>
      </c>
      <c r="AI22" s="2" t="s">
        <v>8292</v>
      </c>
      <c r="AK22" s="2" t="s">
        <v>8292</v>
      </c>
      <c r="AL22" s="2" t="s">
        <v>8292</v>
      </c>
      <c r="AM22" s="2" t="s">
        <v>8292</v>
      </c>
      <c r="AO22" s="2" t="s">
        <v>8292</v>
      </c>
    </row>
    <row r="23" spans="30:41">
      <c r="AD23" s="2" t="s">
        <v>8293</v>
      </c>
      <c r="AG23" s="2" t="s">
        <v>8293</v>
      </c>
      <c r="AH23" s="2" t="s">
        <v>8293</v>
      </c>
      <c r="AI23" s="2" t="s">
        <v>8293</v>
      </c>
      <c r="AK23" s="2" t="s">
        <v>8293</v>
      </c>
      <c r="AL23" s="2" t="s">
        <v>8293</v>
      </c>
      <c r="AM23" s="2" t="s">
        <v>8293</v>
      </c>
      <c r="AO23" s="2" t="s">
        <v>8293</v>
      </c>
    </row>
    <row r="24" spans="30:41">
      <c r="AD24" s="2" t="s">
        <v>8294</v>
      </c>
      <c r="AG24" s="2" t="s">
        <v>8294</v>
      </c>
      <c r="AH24" s="2" t="s">
        <v>8294</v>
      </c>
      <c r="AI24" s="2" t="s">
        <v>8294</v>
      </c>
      <c r="AK24" s="2" t="s">
        <v>8294</v>
      </c>
      <c r="AL24" s="2" t="s">
        <v>8294</v>
      </c>
      <c r="AM24" s="2" t="s">
        <v>8294</v>
      </c>
      <c r="AO24" s="2" t="s">
        <v>8294</v>
      </c>
    </row>
    <row r="25" spans="30:41">
      <c r="AD25" s="2" t="s">
        <v>8295</v>
      </c>
      <c r="AG25" s="2" t="s">
        <v>8295</v>
      </c>
      <c r="AH25" s="2" t="s">
        <v>8295</v>
      </c>
      <c r="AI25" s="2" t="s">
        <v>8295</v>
      </c>
      <c r="AK25" s="2" t="s">
        <v>8295</v>
      </c>
      <c r="AL25" s="2" t="s">
        <v>8295</v>
      </c>
      <c r="AM25" s="2" t="s">
        <v>8295</v>
      </c>
      <c r="AO25" s="2" t="s">
        <v>8295</v>
      </c>
    </row>
    <row r="26" spans="30:41">
      <c r="AD26" s="2" t="s">
        <v>8296</v>
      </c>
      <c r="AG26" s="2" t="s">
        <v>8296</v>
      </c>
      <c r="AH26" s="2" t="s">
        <v>8296</v>
      </c>
      <c r="AI26" s="2" t="s">
        <v>8296</v>
      </c>
      <c r="AK26" s="2" t="s">
        <v>8296</v>
      </c>
      <c r="AL26" s="2" t="s">
        <v>8296</v>
      </c>
      <c r="AM26" s="2" t="s">
        <v>8296</v>
      </c>
      <c r="AO26" s="2" t="s">
        <v>8296</v>
      </c>
    </row>
    <row r="27" spans="30:41">
      <c r="AD27" s="2" t="s">
        <v>8297</v>
      </c>
      <c r="AG27" s="2" t="s">
        <v>8297</v>
      </c>
      <c r="AH27" s="2" t="s">
        <v>8297</v>
      </c>
      <c r="AI27" s="2" t="s">
        <v>8297</v>
      </c>
      <c r="AK27" s="2" t="s">
        <v>8297</v>
      </c>
      <c r="AL27" s="2" t="s">
        <v>8297</v>
      </c>
      <c r="AM27" s="2" t="s">
        <v>8297</v>
      </c>
      <c r="AO27" s="2" t="s">
        <v>8297</v>
      </c>
    </row>
    <row r="28" spans="30:41">
      <c r="AD28" s="2" t="s">
        <v>8298</v>
      </c>
      <c r="AG28" s="2" t="s">
        <v>8298</v>
      </c>
      <c r="AH28" s="2" t="s">
        <v>8298</v>
      </c>
      <c r="AI28" s="2" t="s">
        <v>8298</v>
      </c>
      <c r="AK28" s="2" t="s">
        <v>8298</v>
      </c>
      <c r="AL28" s="2" t="s">
        <v>8298</v>
      </c>
      <c r="AM28" s="2" t="s">
        <v>8298</v>
      </c>
      <c r="AO28" s="2" t="s">
        <v>8298</v>
      </c>
    </row>
    <row r="29" spans="30:41">
      <c r="AD29" s="2" t="s">
        <v>8299</v>
      </c>
      <c r="AG29" s="2" t="s">
        <v>8299</v>
      </c>
      <c r="AH29" s="2" t="s">
        <v>8299</v>
      </c>
      <c r="AI29" s="2" t="s">
        <v>8299</v>
      </c>
      <c r="AK29" s="2" t="s">
        <v>8299</v>
      </c>
      <c r="AL29" s="2" t="s">
        <v>8299</v>
      </c>
      <c r="AM29" s="2" t="s">
        <v>8299</v>
      </c>
      <c r="AO29" s="2" t="s">
        <v>8299</v>
      </c>
    </row>
    <row r="30" spans="30:41">
      <c r="AD30" s="2" t="s">
        <v>8300</v>
      </c>
      <c r="AG30" s="2" t="s">
        <v>8300</v>
      </c>
      <c r="AH30" s="2" t="s">
        <v>8300</v>
      </c>
      <c r="AI30" s="2" t="s">
        <v>8300</v>
      </c>
      <c r="AK30" s="2" t="s">
        <v>8300</v>
      </c>
      <c r="AL30" s="2" t="s">
        <v>8300</v>
      </c>
      <c r="AM30" s="2" t="s">
        <v>8300</v>
      </c>
      <c r="AO30" s="2" t="s">
        <v>8300</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02"/>
  <sheetViews>
    <sheetView showGridLines="0" view="pageBreakPreview" topLeftCell="A53" zoomScale="81" zoomScaleNormal="80" workbookViewId="0">
      <selection activeCell="K61" sqref="K61"/>
    </sheetView>
  </sheetViews>
  <sheetFormatPr defaultColWidth="11" defaultRowHeight="15.75"/>
  <cols>
    <col min="1" max="1" width="35.125" customWidth="1"/>
    <col min="2" max="2" width="22.625" hidden="1" customWidth="1"/>
    <col min="3" max="3" width="15.625" hidden="1" customWidth="1"/>
    <col min="4" max="4" width="21.125" hidden="1" customWidth="1"/>
    <col min="5" max="5" width="55" customWidth="1"/>
    <col min="6" max="6" width="22.25" hidden="1" customWidth="1"/>
    <col min="7" max="7" width="24.625" hidden="1" customWidth="1"/>
    <col min="8" max="8" width="27" hidden="1" customWidth="1"/>
    <col min="9" max="9" width="1.125" hidden="1" customWidth="1"/>
    <col min="10" max="10" width="12.125" hidden="1" customWidth="1"/>
    <col min="11" max="11" width="29.5" customWidth="1"/>
    <col min="12" max="12" width="16.125" hidden="1" customWidth="1"/>
    <col min="13" max="13" width="19.625" hidden="1" customWidth="1"/>
    <col min="14" max="14" width="20.25" hidden="1" customWidth="1"/>
    <col min="15" max="15" width="23.75" hidden="1" customWidth="1"/>
    <col min="16" max="16" width="23.125" hidden="1" customWidth="1"/>
    <col min="17" max="18" width="25.125" hidden="1" customWidth="1"/>
    <col min="19" max="19" width="9.75" hidden="1" customWidth="1"/>
    <col min="20" max="20" width="35.125" customWidth="1"/>
    <col min="21" max="21" width="16.75" hidden="1" customWidth="1"/>
    <col min="22" max="22" width="30" customWidth="1"/>
    <col min="23" max="23" width="29.125" hidden="1" customWidth="1"/>
    <col min="24" max="24" width="39.625" hidden="1" customWidth="1"/>
    <col min="25" max="25" width="27.625" hidden="1" customWidth="1"/>
    <col min="26" max="26" width="20" hidden="1" customWidth="1"/>
    <col min="27" max="27" width="17.75" hidden="1" customWidth="1"/>
    <col min="28" max="28" width="23.75" hidden="1" customWidth="1"/>
    <col min="29" max="29" width="23" hidden="1" customWidth="1"/>
    <col min="30" max="30" width="27.25" hidden="1" customWidth="1"/>
    <col min="31" max="31" width="22.25" hidden="1" customWidth="1"/>
    <col min="32" max="32" width="22.625" hidden="1" customWidth="1"/>
    <col min="33" max="33" width="12.25" hidden="1" customWidth="1"/>
    <col min="34" max="34" width="20" hidden="1" customWidth="1"/>
    <col min="35" max="38" width="11" hidden="1" customWidth="1"/>
    <col min="39" max="39" width="16.625" hidden="1" customWidth="1"/>
    <col min="40" max="40" width="3.5" hidden="1" customWidth="1"/>
    <col min="41" max="41" width="3.5" style="20" hidden="1" customWidth="1"/>
    <col min="42" max="42" width="16.125" style="20" hidden="1" customWidth="1"/>
    <col min="43" max="45" width="11" style="20" hidden="1" customWidth="1"/>
    <col min="46" max="46" width="11" style="20" customWidth="1"/>
    <col min="47" max="50" width="11" style="20"/>
  </cols>
  <sheetData>
    <row r="1" spans="1:50">
      <c r="A1" s="489" t="str">
        <f ca="1">Translations!A4</f>
        <v>Marco de desempeño  - Descripción General - Sección A</v>
      </c>
      <c r="B1" s="490"/>
      <c r="C1" s="490"/>
      <c r="D1" s="490"/>
      <c r="E1" s="490"/>
      <c r="F1" s="490"/>
      <c r="G1" s="490"/>
      <c r="H1" s="490"/>
      <c r="I1" s="490"/>
      <c r="J1" s="490"/>
      <c r="K1" s="490"/>
      <c r="L1" s="490"/>
      <c r="M1" s="490"/>
      <c r="N1" s="490"/>
      <c r="O1" s="490"/>
      <c r="P1" s="490"/>
      <c r="Q1" s="490"/>
      <c r="R1" s="490"/>
      <c r="S1" s="490"/>
      <c r="T1" s="491"/>
    </row>
    <row r="2" spans="1:50" s="206" customFormat="1" ht="27" customHeight="1">
      <c r="A2" s="492"/>
      <c r="B2" s="493"/>
      <c r="C2" s="493"/>
      <c r="D2" s="493"/>
      <c r="E2" s="493"/>
      <c r="F2" s="493"/>
      <c r="G2" s="493"/>
      <c r="H2" s="493"/>
      <c r="I2" s="493"/>
      <c r="J2" s="493"/>
      <c r="K2" s="493"/>
      <c r="L2" s="493"/>
      <c r="M2" s="493"/>
      <c r="N2" s="493"/>
      <c r="O2" s="493"/>
      <c r="P2" s="493"/>
      <c r="Q2" s="493"/>
      <c r="R2" s="493"/>
      <c r="S2" s="493"/>
      <c r="T2" s="494"/>
      <c r="AO2" s="314"/>
      <c r="AP2" s="314"/>
      <c r="AQ2" s="314"/>
      <c r="AR2" s="314"/>
      <c r="AS2" s="314"/>
      <c r="AT2" s="314"/>
      <c r="AU2" s="314"/>
      <c r="AV2" s="314"/>
      <c r="AW2" s="314"/>
      <c r="AX2" s="314"/>
    </row>
    <row r="3" spans="1:50" ht="18">
      <c r="A3" s="737" t="s">
        <v>322</v>
      </c>
      <c r="B3" s="738"/>
      <c r="C3" s="738"/>
      <c r="D3" s="738"/>
      <c r="K3" s="268" t="str">
        <f ca="1">Translations!$A$3</f>
        <v>Langue :</v>
      </c>
      <c r="L3" s="22"/>
      <c r="M3" s="22"/>
      <c r="N3" s="22"/>
      <c r="O3" s="22"/>
      <c r="P3" s="22"/>
      <c r="Q3" s="22"/>
      <c r="R3" s="22"/>
      <c r="S3" s="22"/>
      <c r="T3" s="300" t="s">
        <v>323</v>
      </c>
    </row>
    <row r="4" spans="1:50" ht="19.5" customHeight="1">
      <c r="L4" s="207"/>
      <c r="M4" s="207"/>
      <c r="N4" s="207"/>
      <c r="O4" s="207"/>
      <c r="P4" s="207"/>
      <c r="Q4" s="207"/>
      <c r="R4" s="207"/>
      <c r="S4" s="207"/>
      <c r="T4" s="207"/>
      <c r="W4" s="301"/>
    </row>
    <row r="5" spans="1:50" ht="29.1" customHeight="1">
      <c r="A5" s="208" t="str">
        <f ca="1">Translations!A5</f>
        <v>País / Solicitante:</v>
      </c>
      <c r="B5" s="209"/>
      <c r="C5" s="209"/>
      <c r="D5" s="210"/>
      <c r="E5" s="211" t="str">
        <f>IFERROR(IF($AN$5="Funding Request",IF('Reference Records'!$B$359&lt;&gt;"",'Reference Records'!$B$359,'Reference Records'!$B$360),IF(OR($AN$5="Grant Making",$AN$5="Grant Revision"),'Reference Records'!B364,"")),"")</f>
        <v>Bolivia (Plurinational State)</v>
      </c>
      <c r="F5" s="115"/>
      <c r="G5" s="115"/>
      <c r="H5" s="115"/>
      <c r="I5" s="115"/>
      <c r="J5" s="115"/>
      <c r="K5" s="115"/>
      <c r="L5" s="207"/>
      <c r="M5" s="207"/>
      <c r="N5" s="207"/>
      <c r="O5" s="207"/>
      <c r="P5" s="207"/>
      <c r="Q5" s="207"/>
      <c r="R5" s="207"/>
      <c r="S5" s="207"/>
      <c r="T5" s="207"/>
      <c r="V5" s="301"/>
      <c r="W5" s="301"/>
      <c r="AL5" s="20"/>
      <c r="AM5" s="312" t="s">
        <v>324</v>
      </c>
      <c r="AN5" s="144" t="s">
        <v>325</v>
      </c>
      <c r="AO5" s="312"/>
      <c r="AP5" s="312"/>
    </row>
    <row r="6" spans="1:50" ht="28.35" customHeight="1">
      <c r="A6" s="208" t="str">
        <f ca="1">Translations!A6</f>
        <v>Nombre de la Subvención/Nombre de la solicitud de financiamiento</v>
      </c>
      <c r="B6" s="209"/>
      <c r="C6" s="209"/>
      <c r="D6" s="210"/>
      <c r="E6" s="212" t="str">
        <f>IF($AN$5="Funding Request",'Reference Records'!$B$358,IF(OR($AN$5="Grant Making",$AN$5="Grant Revision"),'Reference Records'!$B$363,""))</f>
        <v>FR1213-BOL-C</v>
      </c>
      <c r="F6" s="115"/>
      <c r="G6" s="115"/>
      <c r="H6" s="115"/>
      <c r="I6" s="115"/>
      <c r="J6" s="115"/>
      <c r="K6" s="115"/>
      <c r="L6" s="207"/>
      <c r="M6" s="207"/>
      <c r="N6" s="207"/>
      <c r="O6" s="207"/>
      <c r="P6" s="207"/>
      <c r="Q6" s="207"/>
      <c r="R6" s="207"/>
      <c r="S6" s="207"/>
      <c r="T6" s="207"/>
      <c r="V6" s="301"/>
      <c r="W6" s="301"/>
    </row>
    <row r="7" spans="1:50" ht="31.5" customHeight="1">
      <c r="A7" s="208" t="str">
        <f ca="1">Translations!A7</f>
        <v>Fecha de inicio del programa</v>
      </c>
      <c r="B7" s="209"/>
      <c r="C7" s="209"/>
      <c r="D7" s="210"/>
      <c r="E7" s="213">
        <v>44927</v>
      </c>
      <c r="F7" s="214"/>
      <c r="G7" s="214"/>
      <c r="H7" s="214"/>
      <c r="I7" s="214"/>
      <c r="J7" s="214"/>
      <c r="K7" s="214"/>
      <c r="L7" s="207"/>
      <c r="M7" s="207"/>
      <c r="N7" s="207"/>
      <c r="O7" s="207"/>
      <c r="P7" s="207"/>
      <c r="Q7" s="207"/>
      <c r="R7" s="207"/>
      <c r="S7" s="207"/>
      <c r="T7" s="207"/>
      <c r="V7" s="301" t="s">
        <v>326</v>
      </c>
      <c r="W7" s="301"/>
    </row>
    <row r="8" spans="1:50" ht="31.5" customHeight="1">
      <c r="A8" s="208" t="str">
        <f ca="1">Translations!A8</f>
        <v>Fecha final del programa</v>
      </c>
      <c r="B8" s="215"/>
      <c r="C8" s="215"/>
      <c r="D8" s="216" t="s">
        <v>327</v>
      </c>
      <c r="E8" s="213">
        <v>46022</v>
      </c>
      <c r="F8" s="214"/>
      <c r="G8" s="214"/>
      <c r="H8" s="214"/>
      <c r="I8" s="214"/>
      <c r="J8" s="214"/>
      <c r="K8" s="269"/>
      <c r="L8" s="207"/>
      <c r="M8" s="207"/>
      <c r="N8" s="207"/>
      <c r="O8" s="207"/>
      <c r="P8" s="207"/>
      <c r="Q8" s="207"/>
      <c r="R8" s="207"/>
      <c r="S8" s="207"/>
      <c r="T8" s="207"/>
      <c r="V8" s="301"/>
      <c r="W8" s="301"/>
      <c r="AL8" s="312"/>
      <c r="AM8" s="312"/>
      <c r="AN8" s="312"/>
      <c r="AO8" s="312"/>
    </row>
    <row r="9" spans="1:50" ht="32.25" customHeight="1">
      <c r="A9" s="208" t="str">
        <f ca="1">Translations!A9</f>
        <v>Frecuencia del período de reporte programático</v>
      </c>
      <c r="B9" s="19" t="s">
        <v>328</v>
      </c>
      <c r="C9" s="217">
        <v>12</v>
      </c>
      <c r="D9" s="218" t="s">
        <v>328</v>
      </c>
      <c r="E9" s="219">
        <f>IFERROR(IF(C9="","",C9),"")</f>
        <v>12</v>
      </c>
      <c r="F9" s="115"/>
      <c r="G9" s="115"/>
      <c r="H9" s="115"/>
      <c r="I9" s="115"/>
      <c r="J9" s="115"/>
      <c r="K9" s="115"/>
      <c r="L9" s="207"/>
      <c r="M9" s="207"/>
      <c r="N9" s="207"/>
      <c r="O9" s="207"/>
      <c r="P9" s="207"/>
      <c r="Q9" s="207"/>
      <c r="R9" s="207"/>
      <c r="S9" s="207"/>
      <c r="T9" s="207"/>
      <c r="W9" s="301"/>
      <c r="AL9" s="312"/>
      <c r="AM9" s="312" t="s">
        <v>329</v>
      </c>
      <c r="AN9" s="312">
        <f>'Reference Records'!$B$424</f>
        <v>0</v>
      </c>
      <c r="AO9" s="312"/>
    </row>
    <row r="10" spans="1:50" ht="32.25" customHeight="1">
      <c r="A10" s="220" t="str">
        <f ca="1">Translations!A10</f>
        <v>Fecha de inicio del período de uso de la asignación</v>
      </c>
      <c r="D10" s="218" t="s">
        <v>330</v>
      </c>
      <c r="E10" s="221">
        <v>44927</v>
      </c>
      <c r="F10" s="115"/>
      <c r="G10" s="115"/>
      <c r="H10" s="115"/>
      <c r="I10" s="115"/>
      <c r="J10" s="115"/>
      <c r="K10" s="503" t="str">
        <f>IF(E8&gt;E11,"Please note, the Implementation Period End Date is longer than the Allocation Utilisation Period End Date"," ")</f>
        <v xml:space="preserve"> </v>
      </c>
      <c r="L10" s="207"/>
      <c r="M10" s="207"/>
      <c r="N10" s="207"/>
      <c r="O10" s="207"/>
      <c r="P10" s="207"/>
      <c r="Q10" s="207"/>
      <c r="R10" s="207"/>
      <c r="S10" s="207"/>
      <c r="T10" s="207"/>
      <c r="AM10" s="312" t="s">
        <v>331</v>
      </c>
      <c r="AN10" s="312" t="s">
        <v>332</v>
      </c>
    </row>
    <row r="11" spans="1:50" ht="27" customHeight="1">
      <c r="A11" s="220" t="str">
        <f ca="1">Translations!A11</f>
        <v xml:space="preserve">Fecha de término del período de uso de la asignación </v>
      </c>
      <c r="B11" s="222"/>
      <c r="C11" s="222"/>
      <c r="D11" s="223" t="s">
        <v>333</v>
      </c>
      <c r="E11" s="224">
        <v>46022</v>
      </c>
      <c r="F11" s="225"/>
      <c r="G11" s="225"/>
      <c r="H11" s="225"/>
      <c r="I11" s="225"/>
      <c r="J11" s="225"/>
      <c r="K11" s="503"/>
      <c r="L11" s="207"/>
      <c r="M11" s="207"/>
      <c r="N11" s="207"/>
      <c r="O11" s="207"/>
      <c r="P11" s="207"/>
      <c r="Q11" s="207"/>
      <c r="R11" s="207"/>
      <c r="S11" s="207"/>
      <c r="T11" s="270"/>
      <c r="W11" s="301"/>
      <c r="AM11" s="312" t="s">
        <v>334</v>
      </c>
      <c r="AN11" s="312" t="str">
        <f ca="1">CONCATENATE(E6&amp;"_PF_"&amp;AN5&amp;"_Imported_",TEXT(TODAY(),"dd-mmm-yy"))</f>
        <v>FR1213-BOL-C_PF_Funding Request_Imported_19-Feb-24</v>
      </c>
    </row>
    <row r="12" spans="1:50" s="89" customFormat="1" ht="27.75" customHeight="1">
      <c r="A12" s="225"/>
      <c r="B12" s="225"/>
      <c r="C12" s="225"/>
      <c r="D12" s="225"/>
      <c r="E12" s="225"/>
      <c r="F12" s="225"/>
      <c r="G12" s="225"/>
      <c r="H12" s="225"/>
      <c r="I12" s="225"/>
      <c r="J12" s="225"/>
      <c r="K12" s="225"/>
      <c r="L12" s="270"/>
      <c r="M12" s="270"/>
      <c r="N12" s="270"/>
      <c r="O12" s="270"/>
      <c r="P12" s="270"/>
      <c r="Q12" s="270"/>
      <c r="R12" s="270"/>
      <c r="S12" s="270"/>
      <c r="T12" s="130"/>
      <c r="V12"/>
      <c r="W12" s="301"/>
      <c r="X12"/>
      <c r="Y12"/>
      <c r="Z12"/>
      <c r="AN12" s="313" t="str">
        <f ca="1">CONCATENATE(E6&amp;"_PF_"&amp;AN5&amp;"_Extracted_",TEXT(TODAY(),"dd-mmm-yy"))</f>
        <v>FR1213-BOL-C_PF_Funding Request_Extracted_19-Feb-24</v>
      </c>
      <c r="AO12" s="54"/>
      <c r="AP12" s="54"/>
      <c r="AQ12" s="54"/>
      <c r="AR12" s="54"/>
      <c r="AS12" s="54"/>
      <c r="AT12" s="54"/>
      <c r="AU12" s="54"/>
      <c r="AV12" s="54"/>
      <c r="AW12" s="54"/>
      <c r="AX12" s="54"/>
    </row>
    <row r="13" spans="1:50" s="89" customFormat="1" ht="35.25" customHeight="1">
      <c r="A13" s="502" t="str">
        <f ca="1">Translations!A12</f>
        <v>Navegación de la página</v>
      </c>
      <c r="B13" s="226"/>
      <c r="C13" s="227"/>
      <c r="D13" s="227"/>
      <c r="E13" s="117" t="str">
        <f ca="1">Translations!A45</f>
        <v>Receptores principales</v>
      </c>
      <c r="F13" s="228"/>
      <c r="G13" s="228"/>
      <c r="H13" s="228"/>
      <c r="I13" s="228"/>
      <c r="J13" s="228"/>
      <c r="K13" s="117" t="str">
        <f ca="1">Translations!A47</f>
        <v>Período de reporte</v>
      </c>
      <c r="L13" s="271"/>
      <c r="M13" s="228"/>
      <c r="N13" s="228"/>
      <c r="O13" s="228"/>
      <c r="P13" s="228"/>
      <c r="Q13" s="228"/>
      <c r="R13" s="228"/>
      <c r="S13" s="228"/>
      <c r="T13" s="117" t="str">
        <f ca="1">Translations!A22</f>
        <v xml:space="preserve">Metas </v>
      </c>
      <c r="V13" s="117" t="str">
        <f ca="1">Translations!A48</f>
        <v>Instrucciones</v>
      </c>
      <c r="W13" s="301"/>
      <c r="X13"/>
      <c r="Y13"/>
      <c r="Z13"/>
      <c r="AO13" s="54"/>
      <c r="AP13" s="54"/>
      <c r="AQ13" s="54"/>
      <c r="AR13" s="54"/>
      <c r="AS13" s="54"/>
      <c r="AT13" s="54"/>
      <c r="AU13" s="54"/>
      <c r="AV13" s="54"/>
      <c r="AW13" s="54"/>
      <c r="AX13" s="54"/>
    </row>
    <row r="14" spans="1:50" s="89" customFormat="1" ht="40.5" customHeight="1">
      <c r="A14" s="502"/>
      <c r="B14" s="229"/>
      <c r="C14" s="230"/>
      <c r="D14" s="230"/>
      <c r="E14" s="117" t="str">
        <f ca="1">Translations!A25</f>
        <v>Objetivos</v>
      </c>
      <c r="F14" s="228"/>
      <c r="G14" s="228"/>
      <c r="H14" s="228"/>
      <c r="I14" s="228"/>
      <c r="J14" s="228"/>
      <c r="K14" s="117" t="str">
        <f ca="1">Translations!A28</f>
        <v>Módulos</v>
      </c>
      <c r="L14" s="271"/>
      <c r="M14" s="228"/>
      <c r="N14" s="228"/>
      <c r="O14" s="228"/>
      <c r="P14" s="228"/>
      <c r="Q14" s="228"/>
      <c r="R14" s="228"/>
      <c r="S14" s="228"/>
      <c r="T14" s="117" t="str">
        <f ca="1">Translations!A46</f>
        <v>Intervención</v>
      </c>
      <c r="V14"/>
      <c r="W14" s="301"/>
      <c r="X14"/>
      <c r="Y14"/>
      <c r="Z14"/>
      <c r="AO14" s="54"/>
      <c r="AP14" s="54"/>
      <c r="AQ14" s="54"/>
      <c r="AR14" s="54"/>
      <c r="AS14" s="54"/>
      <c r="AT14" s="54"/>
      <c r="AU14" s="54"/>
      <c r="AV14" s="54"/>
      <c r="AW14" s="54"/>
      <c r="AX14" s="54"/>
    </row>
    <row r="15" spans="1:50" s="89" customFormat="1" ht="28.5" customHeight="1">
      <c r="A15" s="225"/>
      <c r="B15" s="225"/>
      <c r="C15" s="225"/>
      <c r="D15" s="225"/>
      <c r="E15" s="225"/>
      <c r="F15" s="225"/>
      <c r="G15" s="225"/>
      <c r="H15" s="225"/>
      <c r="I15" s="225"/>
      <c r="J15" s="225"/>
      <c r="K15" s="225"/>
      <c r="L15" s="270"/>
      <c r="M15" s="270"/>
      <c r="N15" s="270"/>
      <c r="O15" s="270"/>
      <c r="P15" s="270"/>
      <c r="Q15" s="270"/>
      <c r="R15" s="270"/>
      <c r="S15" s="270"/>
      <c r="T15" s="130"/>
      <c r="V15"/>
      <c r="W15" s="301"/>
      <c r="X15"/>
      <c r="Y15"/>
      <c r="Z15"/>
      <c r="AO15" s="54"/>
      <c r="AP15" s="54"/>
      <c r="AQ15" s="54"/>
      <c r="AR15" s="54"/>
      <c r="AS15" s="54"/>
      <c r="AT15" s="54"/>
      <c r="AU15" s="54"/>
      <c r="AV15" s="54"/>
      <c r="AW15" s="54"/>
      <c r="AX15" s="54"/>
    </row>
    <row r="16" spans="1:50" ht="37.5" customHeight="1">
      <c r="A16" s="207"/>
      <c r="B16" s="207"/>
      <c r="C16" s="207"/>
      <c r="D16" s="207"/>
      <c r="W16" s="301"/>
      <c r="X16" s="301"/>
    </row>
    <row r="17" spans="1:26" ht="0.75" customHeight="1">
      <c r="A17" s="231"/>
      <c r="B17" s="232"/>
      <c r="C17" s="232"/>
      <c r="D17" s="233"/>
      <c r="E17" s="207"/>
      <c r="F17" s="207"/>
      <c r="G17" s="207"/>
      <c r="H17" s="207"/>
      <c r="I17" s="207"/>
      <c r="J17" s="207"/>
      <c r="K17" s="207"/>
      <c r="L17" s="207"/>
      <c r="M17" s="207"/>
      <c r="N17" s="207"/>
      <c r="O17" s="207"/>
      <c r="P17" s="207"/>
      <c r="Q17" s="207"/>
      <c r="R17" s="207"/>
      <c r="S17" s="207"/>
      <c r="W17" s="301"/>
      <c r="X17" s="301"/>
    </row>
    <row r="18" spans="1:26" ht="36.75" customHeight="1">
      <c r="A18" s="234" t="str">
        <f ca="1">Translations!A13</f>
        <v>Componente</v>
      </c>
      <c r="B18" s="234"/>
      <c r="C18" s="234" t="s">
        <v>335</v>
      </c>
      <c r="D18" s="235"/>
      <c r="E18" s="207"/>
      <c r="F18" s="207"/>
      <c r="G18" s="207"/>
      <c r="H18" s="207"/>
      <c r="I18" s="207"/>
      <c r="J18" s="207"/>
      <c r="K18" s="207"/>
      <c r="L18" s="207"/>
      <c r="M18" s="207"/>
      <c r="N18" s="207"/>
      <c r="O18" s="207"/>
      <c r="P18" s="207"/>
      <c r="Q18" s="207"/>
      <c r="R18" s="207"/>
      <c r="S18" s="207"/>
      <c r="W18" s="301"/>
      <c r="X18" s="301"/>
    </row>
    <row r="19" spans="1:26" ht="47.1" hidden="1" customHeight="1">
      <c r="A19" s="236" t="s">
        <v>336</v>
      </c>
      <c r="B19" s="236"/>
      <c r="C19" s="236" t="s">
        <v>337</v>
      </c>
      <c r="D19" s="207"/>
      <c r="E19" s="207"/>
      <c r="F19" s="207"/>
      <c r="G19" s="207"/>
      <c r="H19" s="207"/>
      <c r="I19" s="207"/>
      <c r="J19" s="207"/>
      <c r="K19" s="207"/>
      <c r="L19" s="207"/>
      <c r="M19" s="207"/>
      <c r="N19" s="207"/>
      <c r="O19" s="207"/>
      <c r="P19" s="207"/>
      <c r="Q19" s="207"/>
      <c r="R19" s="207"/>
      <c r="S19" s="207"/>
      <c r="W19" s="301"/>
      <c r="X19" s="301"/>
    </row>
    <row r="20" spans="1:26" ht="47.1" customHeight="1">
      <c r="A20" s="236" t="s">
        <v>338</v>
      </c>
      <c r="B20" s="236"/>
      <c r="C20" s="236" t="s">
        <v>338</v>
      </c>
      <c r="D20" s="207"/>
      <c r="E20" s="207"/>
      <c r="F20" s="207"/>
      <c r="G20" s="207"/>
      <c r="H20" s="207"/>
      <c r="I20" s="207"/>
      <c r="J20" s="207"/>
      <c r="K20" s="207"/>
      <c r="L20" s="207"/>
      <c r="M20" s="207"/>
      <c r="N20" s="207"/>
      <c r="O20" s="207"/>
      <c r="P20" s="207"/>
      <c r="Q20" s="207"/>
      <c r="R20" s="207"/>
      <c r="S20" s="207"/>
      <c r="W20" s="301"/>
      <c r="X20" s="301"/>
    </row>
    <row r="21" spans="1:26" ht="47.1" customHeight="1">
      <c r="A21" s="236" t="s">
        <v>339</v>
      </c>
      <c r="B21" s="236"/>
      <c r="C21" s="236" t="s">
        <v>339</v>
      </c>
      <c r="D21" s="207"/>
      <c r="E21" s="207"/>
      <c r="F21" s="207"/>
      <c r="G21" s="207"/>
      <c r="H21" s="207"/>
      <c r="I21" s="207"/>
      <c r="J21" s="207"/>
      <c r="K21" s="207"/>
      <c r="L21" s="207"/>
      <c r="M21" s="207"/>
      <c r="N21" s="207"/>
      <c r="O21" s="207"/>
      <c r="P21" s="207"/>
      <c r="Q21" s="207"/>
      <c r="R21" s="207"/>
      <c r="S21" s="207"/>
      <c r="W21" s="301"/>
      <c r="X21" s="301"/>
    </row>
    <row r="22" spans="1:26" ht="47.1" customHeight="1">
      <c r="A22" s="237"/>
      <c r="B22" s="238"/>
      <c r="C22" s="236" t="s">
        <v>340</v>
      </c>
      <c r="D22" s="207"/>
      <c r="E22" s="207"/>
      <c r="F22" s="207"/>
      <c r="G22" s="207"/>
      <c r="H22" s="207"/>
      <c r="I22" s="207"/>
      <c r="J22" s="207"/>
      <c r="K22" s="207"/>
      <c r="L22" s="207"/>
      <c r="M22" s="207"/>
      <c r="N22" s="207"/>
      <c r="O22" s="207"/>
      <c r="P22" s="207"/>
      <c r="Q22" s="207"/>
      <c r="R22" s="207"/>
      <c r="S22" s="207"/>
      <c r="W22" s="301"/>
      <c r="X22" s="301"/>
    </row>
    <row r="23" spans="1:26" s="207" customFormat="1" ht="20.100000000000001" customHeight="1">
      <c r="A23" s="237"/>
      <c r="B23" s="238"/>
      <c r="C23" s="236"/>
      <c r="V23" s="302"/>
      <c r="W23" s="302"/>
      <c r="X23" s="302"/>
      <c r="Y23" s="302"/>
      <c r="Z23" s="302"/>
    </row>
    <row r="24" spans="1:26" ht="16.350000000000001" customHeight="1">
      <c r="W24" s="301"/>
      <c r="X24" s="301"/>
    </row>
    <row r="25" spans="1:26" ht="0.75" customHeight="1">
      <c r="B25" s="239"/>
      <c r="C25" s="239"/>
      <c r="D25" s="239"/>
      <c r="F25" s="239"/>
      <c r="G25" s="239"/>
      <c r="H25" s="239"/>
      <c r="I25" s="239"/>
      <c r="J25" s="272"/>
      <c r="W25" s="301"/>
      <c r="X25" s="301"/>
    </row>
    <row r="26" spans="1:26" ht="21" customHeight="1">
      <c r="A26" s="240" t="str">
        <f ca="1">Translations!A14</f>
        <v xml:space="preserve">Número del Receptor Principal </v>
      </c>
      <c r="B26" s="241"/>
      <c r="C26" s="241"/>
      <c r="D26" s="241"/>
      <c r="E26" s="242" t="str">
        <f ca="1">Translations!A15</f>
        <v>Nombre del Receptor Principal</v>
      </c>
      <c r="F26" s="243"/>
      <c r="G26" s="243"/>
      <c r="H26" s="243"/>
      <c r="I26" s="273" t="s">
        <v>341</v>
      </c>
      <c r="J26" s="274" t="s">
        <v>342</v>
      </c>
      <c r="K26" s="243"/>
      <c r="L26" s="275"/>
      <c r="M26" s="276"/>
      <c r="N26" s="276"/>
      <c r="O26" s="276"/>
      <c r="P26" s="276"/>
      <c r="Q26" s="276"/>
      <c r="R26" s="303"/>
      <c r="S26" t="s">
        <v>343</v>
      </c>
      <c r="W26" s="301"/>
      <c r="X26" s="301"/>
    </row>
    <row r="27" spans="1:26" ht="19.350000000000001" hidden="1" customHeight="1">
      <c r="A27" s="244" t="str">
        <f>IF(E27&lt;&gt;"[Account (Name)]",1,"")</f>
        <v/>
      </c>
      <c r="B27" s="245"/>
      <c r="C27" s="245"/>
      <c r="D27" s="245"/>
      <c r="E27" s="246" t="s">
        <v>344</v>
      </c>
      <c r="F27" s="247"/>
      <c r="G27" s="247"/>
      <c r="H27" s="247"/>
      <c r="I27" s="401" t="s">
        <v>345</v>
      </c>
      <c r="J27" s="402" t="s">
        <v>346</v>
      </c>
      <c r="L27" s="277" t="str">
        <f>E27</f>
        <v>[Account (Name)]</v>
      </c>
      <c r="M27" s="278" t="str">
        <f>E27</f>
        <v>[Account (Name)]</v>
      </c>
      <c r="N27" s="279"/>
      <c r="O27" s="96"/>
      <c r="P27" s="96" t="str">
        <f>I27</f>
        <v>[Record ID]</v>
      </c>
      <c r="Q27" s="96"/>
      <c r="R27" s="131"/>
      <c r="S27" t="s">
        <v>347</v>
      </c>
      <c r="W27" s="301"/>
      <c r="X27" s="301"/>
    </row>
    <row r="28" spans="1:26" ht="18.600000000000001" customHeight="1">
      <c r="A28" s="248"/>
      <c r="P28">
        <f>I28</f>
        <v>0</v>
      </c>
      <c r="W28" s="301"/>
      <c r="X28" s="301"/>
    </row>
    <row r="29" spans="1:26" ht="12.6" customHeight="1">
      <c r="A29" s="249"/>
      <c r="B29" s="239"/>
      <c r="C29" s="239"/>
      <c r="D29" s="239"/>
      <c r="E29" s="249"/>
      <c r="F29" s="239"/>
      <c r="G29" s="239"/>
      <c r="H29" s="239"/>
      <c r="I29" s="239"/>
      <c r="K29" s="249"/>
      <c r="L29" s="239"/>
      <c r="M29" s="239"/>
      <c r="N29" s="239"/>
      <c r="O29" s="239"/>
      <c r="P29" s="239"/>
      <c r="Q29" s="239"/>
      <c r="R29" s="304"/>
      <c r="S29" s="305"/>
      <c r="W29" s="301"/>
    </row>
    <row r="30" spans="1:26" ht="75" customHeight="1">
      <c r="A30" s="234" t="str">
        <f ca="1">Translations!A14</f>
        <v xml:space="preserve">Número del Receptor Principal </v>
      </c>
      <c r="B30" s="172"/>
      <c r="C30" s="172"/>
      <c r="D30" s="172"/>
      <c r="E30" s="250" t="str">
        <f ca="1">Translations!A16</f>
        <v>Nombre del Receptor Principal (Seleccione los RP que han tenido subvenciones con el Fondo Mundial previamente)</v>
      </c>
      <c r="F30" s="172"/>
      <c r="G30" s="172"/>
      <c r="H30" s="172"/>
      <c r="I30" s="172"/>
      <c r="J30" s="172"/>
      <c r="K30" s="280" t="str">
        <f ca="1">Translations!A49</f>
        <v xml:space="preserve">Nuevo Receptor principal (utilice si la entidad nunca ha sido RP del Fondo Mundial o no aparece en la lista desplegable de las columnas anteriores) </v>
      </c>
      <c r="L30" s="281" t="s">
        <v>348</v>
      </c>
      <c r="M30" s="282" t="s">
        <v>349</v>
      </c>
      <c r="N30" s="282" t="s">
        <v>350</v>
      </c>
      <c r="O30" s="282" t="s">
        <v>351</v>
      </c>
      <c r="P30" s="281" t="s">
        <v>341</v>
      </c>
      <c r="Q30" s="281" t="s">
        <v>352</v>
      </c>
      <c r="R30" s="172" t="s">
        <v>342</v>
      </c>
      <c r="S30" s="272"/>
      <c r="W30" s="301"/>
    </row>
    <row r="31" spans="1:26" ht="40.5" hidden="1" customHeight="1">
      <c r="A31" s="236" t="s">
        <v>353</v>
      </c>
      <c r="B31" s="251"/>
      <c r="C31" s="251"/>
      <c r="D31" s="251" t="str">
        <f>IF(E31&lt;&gt;"",E31,K31)</f>
        <v>[Account (Name)]</v>
      </c>
      <c r="E31" s="252" t="str">
        <f>IFERROR(IF(Q31="Funding Request Place Holder","",Q31),"")</f>
        <v>[Account (Name)]</v>
      </c>
      <c r="F31" s="253"/>
      <c r="G31" s="253"/>
      <c r="H31" s="253"/>
      <c r="I31" s="253"/>
      <c r="J31" s="283" t="str">
        <f>R31</f>
        <v>[Account Role ID]</v>
      </c>
      <c r="K31" s="252" t="s">
        <v>354</v>
      </c>
      <c r="L31" s="284" t="b">
        <f>IFERROR(IF(AND($AN$5="Funding Request",OR(E31&lt;&gt;"",K31&lt;&gt;"")),TRUE,FALSE),FALSE)</f>
        <v>1</v>
      </c>
      <c r="M31" s="284" t="str">
        <f>E31&amp;K31</f>
        <v>[Account (Name)][Alternative Account]</v>
      </c>
      <c r="N31" s="285" t="str">
        <f>IFERROR(IF(E31&lt;&gt;"",IF('Reference Records'!$C$359&lt;&gt;"",VLOOKUP(E31,'Account Role'!$B$3:$D$14,3,FALSE),VLOOKUP(E31,'Account Role'!$B$22:$D$294,3,FALSE)),O31),"")</f>
        <v>[Account]</v>
      </c>
      <c r="O31" s="284" t="s">
        <v>355</v>
      </c>
      <c r="P31" s="286" t="s">
        <v>345</v>
      </c>
      <c r="Q31" s="306" t="s">
        <v>344</v>
      </c>
      <c r="R31" s="253" t="s">
        <v>346</v>
      </c>
      <c r="S31" s="272"/>
      <c r="W31" s="301"/>
    </row>
    <row r="32" spans="1:26" ht="40.5" customHeight="1">
      <c r="A32" s="236">
        <v>1</v>
      </c>
      <c r="B32" s="251"/>
      <c r="C32" s="251"/>
      <c r="D32" s="251" t="str">
        <f t="shared" ref="D32:D40" si="0">IF(E32&lt;&gt;"",E32,K32)</f>
        <v>United Nations Development Programme</v>
      </c>
      <c r="E32" s="252" t="s">
        <v>356</v>
      </c>
      <c r="F32" s="253"/>
      <c r="G32" s="253"/>
      <c r="H32" s="253"/>
      <c r="I32" s="253"/>
      <c r="J32" s="283" t="str">
        <f t="shared" ref="J32:J40" si="1">R32</f>
        <v>AR-10752</v>
      </c>
      <c r="K32" s="252"/>
      <c r="L32" s="284" t="b">
        <f t="shared" ref="L32:L40" si="2">IFERROR(IF(AND($AN$5="Funding Request",OR(E32&lt;&gt;"",K32&lt;&gt;"")),TRUE,FALSE),FALSE)</f>
        <v>1</v>
      </c>
      <c r="M32" s="284" t="str">
        <f t="shared" ref="M32:M40" si="3">E32&amp;K32</f>
        <v>United Nations Development Programme</v>
      </c>
      <c r="N32" s="285" t="str">
        <f>IFERROR(IF(E32&lt;&gt;"",IF('Reference Records'!$C$359&lt;&gt;"",VLOOKUP(E32,'Account Role'!$B$3:$D$14,3,FALSE),VLOOKUP(E32,'Account Role'!$B$22:$D$294,3,FALSE)),O32),"")</f>
        <v>0013600000xoEImAAM</v>
      </c>
      <c r="O32" s="284" t="s">
        <v>357</v>
      </c>
      <c r="P32" s="286" t="s">
        <v>358</v>
      </c>
      <c r="Q32" s="306" t="s">
        <v>359</v>
      </c>
      <c r="R32" s="253" t="s">
        <v>360</v>
      </c>
      <c r="S32" s="272"/>
      <c r="W32" s="301"/>
    </row>
    <row r="33" spans="1:23" ht="40.5" customHeight="1">
      <c r="A33" s="236">
        <v>2</v>
      </c>
      <c r="B33" s="251"/>
      <c r="C33" s="251"/>
      <c r="D33" s="251">
        <f t="shared" si="0"/>
        <v>0</v>
      </c>
      <c r="E33" s="252" t="str">
        <f t="shared" ref="E33:E40" si="4">IFERROR(IF(Q33="Funding Request Place Holder","",Q33),"")</f>
        <v/>
      </c>
      <c r="F33" s="253"/>
      <c r="G33" s="253"/>
      <c r="H33" s="253"/>
      <c r="I33" s="253"/>
      <c r="J33" s="283" t="str">
        <f t="shared" si="1"/>
        <v>AR-10753</v>
      </c>
      <c r="K33" s="252"/>
      <c r="L33" s="284" t="b">
        <f t="shared" si="2"/>
        <v>0</v>
      </c>
      <c r="M33" s="284" t="str">
        <f t="shared" si="3"/>
        <v/>
      </c>
      <c r="N33" s="285" t="str">
        <f>IFERROR(IF(E33&lt;&gt;"",IF('Reference Records'!$C$359&lt;&gt;"",VLOOKUP(E33,'Account Role'!$B$3:$D$14,3,FALSE),VLOOKUP(E33,'Account Role'!$B$22:$D$294,3,FALSE)),O33),"")</f>
        <v>0013600000zN6z8AAC</v>
      </c>
      <c r="O33" s="284" t="s">
        <v>357</v>
      </c>
      <c r="P33" s="286" t="s">
        <v>361</v>
      </c>
      <c r="Q33" s="306" t="s">
        <v>359</v>
      </c>
      <c r="R33" s="253" t="s">
        <v>362</v>
      </c>
      <c r="S33" s="272"/>
      <c r="W33" s="301"/>
    </row>
    <row r="34" spans="1:23" ht="40.5" customHeight="1">
      <c r="A34" s="236">
        <v>3</v>
      </c>
      <c r="B34" s="251"/>
      <c r="C34" s="251"/>
      <c r="D34" s="251">
        <f t="shared" si="0"/>
        <v>0</v>
      </c>
      <c r="E34" s="252" t="str">
        <f t="shared" si="4"/>
        <v/>
      </c>
      <c r="F34" s="253"/>
      <c r="G34" s="253"/>
      <c r="H34" s="253"/>
      <c r="I34" s="253"/>
      <c r="J34" s="283" t="str">
        <f t="shared" si="1"/>
        <v>AR-10754</v>
      </c>
      <c r="K34" s="252"/>
      <c r="L34" s="284" t="b">
        <f t="shared" si="2"/>
        <v>0</v>
      </c>
      <c r="M34" s="284" t="str">
        <f t="shared" si="3"/>
        <v/>
      </c>
      <c r="N34" s="285" t="str">
        <f>IFERROR(IF(E34&lt;&gt;"",IF('Reference Records'!$C$359&lt;&gt;"",VLOOKUP(E34,'Account Role'!$B$3:$D$14,3,FALSE),VLOOKUP(E34,'Account Role'!$B$22:$D$294,3,FALSE)),O34),"")</f>
        <v>0013600000zN6z8AAC</v>
      </c>
      <c r="O34" s="284" t="s">
        <v>357</v>
      </c>
      <c r="P34" s="286" t="s">
        <v>363</v>
      </c>
      <c r="Q34" s="306" t="s">
        <v>359</v>
      </c>
      <c r="R34" s="253" t="s">
        <v>364</v>
      </c>
      <c r="S34" s="272"/>
      <c r="W34" s="301"/>
    </row>
    <row r="35" spans="1:23" ht="40.5" customHeight="1">
      <c r="A35" s="236">
        <v>4</v>
      </c>
      <c r="B35" s="251"/>
      <c r="C35" s="251"/>
      <c r="D35" s="251">
        <f t="shared" si="0"/>
        <v>0</v>
      </c>
      <c r="E35" s="252" t="str">
        <f t="shared" si="4"/>
        <v/>
      </c>
      <c r="F35" s="253"/>
      <c r="G35" s="253"/>
      <c r="H35" s="253"/>
      <c r="I35" s="253"/>
      <c r="J35" s="283" t="str">
        <f t="shared" si="1"/>
        <v>AR-10755</v>
      </c>
      <c r="K35" s="252"/>
      <c r="L35" s="284" t="b">
        <f t="shared" si="2"/>
        <v>0</v>
      </c>
      <c r="M35" s="284" t="str">
        <f t="shared" si="3"/>
        <v/>
      </c>
      <c r="N35" s="285" t="str">
        <f>IFERROR(IF(E35&lt;&gt;"",IF('Reference Records'!$C$359&lt;&gt;"",VLOOKUP(E35,'Account Role'!$B$3:$D$14,3,FALSE),VLOOKUP(E35,'Account Role'!$B$22:$D$294,3,FALSE)),O35),"")</f>
        <v>0013600000zN6z8AAC</v>
      </c>
      <c r="O35" s="284" t="s">
        <v>357</v>
      </c>
      <c r="P35" s="286" t="s">
        <v>365</v>
      </c>
      <c r="Q35" s="306" t="s">
        <v>359</v>
      </c>
      <c r="R35" s="253" t="s">
        <v>366</v>
      </c>
      <c r="S35" s="272"/>
      <c r="W35" s="301"/>
    </row>
    <row r="36" spans="1:23" ht="40.5" customHeight="1">
      <c r="A36" s="236">
        <v>5</v>
      </c>
      <c r="B36" s="251"/>
      <c r="C36" s="251"/>
      <c r="D36" s="251">
        <f t="shared" si="0"/>
        <v>0</v>
      </c>
      <c r="E36" s="252" t="str">
        <f t="shared" si="4"/>
        <v/>
      </c>
      <c r="F36" s="253"/>
      <c r="G36" s="253"/>
      <c r="H36" s="253"/>
      <c r="I36" s="253"/>
      <c r="J36" s="283" t="str">
        <f t="shared" si="1"/>
        <v>AR-10756</v>
      </c>
      <c r="K36" s="252"/>
      <c r="L36" s="284" t="b">
        <f t="shared" si="2"/>
        <v>0</v>
      </c>
      <c r="M36" s="284" t="str">
        <f t="shared" si="3"/>
        <v/>
      </c>
      <c r="N36" s="285" t="str">
        <f>IFERROR(IF(E36&lt;&gt;"",IF('Reference Records'!$C$359&lt;&gt;"",VLOOKUP(E36,'Account Role'!$B$3:$D$14,3,FALSE),VLOOKUP(E36,'Account Role'!$B$22:$D$294,3,FALSE)),O36),"")</f>
        <v>0013600000zN6z8AAC</v>
      </c>
      <c r="O36" s="284" t="s">
        <v>357</v>
      </c>
      <c r="P36" s="286" t="s">
        <v>367</v>
      </c>
      <c r="Q36" s="306" t="s">
        <v>359</v>
      </c>
      <c r="R36" s="253" t="s">
        <v>368</v>
      </c>
      <c r="S36" s="272"/>
      <c r="W36" s="301"/>
    </row>
    <row r="37" spans="1:23" ht="40.5" customHeight="1">
      <c r="A37" s="236">
        <v>6</v>
      </c>
      <c r="B37" s="251"/>
      <c r="C37" s="251"/>
      <c r="D37" s="251">
        <f t="shared" si="0"/>
        <v>0</v>
      </c>
      <c r="E37" s="252" t="str">
        <f t="shared" si="4"/>
        <v/>
      </c>
      <c r="F37" s="253"/>
      <c r="G37" s="253"/>
      <c r="H37" s="253"/>
      <c r="I37" s="253"/>
      <c r="J37" s="283" t="str">
        <f t="shared" si="1"/>
        <v>AR-10757</v>
      </c>
      <c r="K37" s="252"/>
      <c r="L37" s="284" t="b">
        <f t="shared" si="2"/>
        <v>0</v>
      </c>
      <c r="M37" s="284" t="str">
        <f t="shared" si="3"/>
        <v/>
      </c>
      <c r="N37" s="285" t="str">
        <f>IFERROR(IF(E37&lt;&gt;"",IF('Reference Records'!$C$359&lt;&gt;"",VLOOKUP(E37,'Account Role'!$B$3:$D$14,3,FALSE),VLOOKUP(E37,'Account Role'!$B$22:$D$294,3,FALSE)),O37),"")</f>
        <v>0013600000zN6z8AAC</v>
      </c>
      <c r="O37" s="284" t="s">
        <v>357</v>
      </c>
      <c r="P37" s="286" t="s">
        <v>369</v>
      </c>
      <c r="Q37" s="306" t="s">
        <v>359</v>
      </c>
      <c r="R37" s="253" t="s">
        <v>370</v>
      </c>
      <c r="S37" s="272"/>
      <c r="W37" s="301"/>
    </row>
    <row r="38" spans="1:23" ht="40.5" customHeight="1">
      <c r="A38" s="236">
        <v>7</v>
      </c>
      <c r="B38" s="251"/>
      <c r="C38" s="251"/>
      <c r="D38" s="251">
        <f t="shared" si="0"/>
        <v>0</v>
      </c>
      <c r="E38" s="252" t="str">
        <f t="shared" si="4"/>
        <v/>
      </c>
      <c r="F38" s="253"/>
      <c r="G38" s="253"/>
      <c r="H38" s="253"/>
      <c r="I38" s="253"/>
      <c r="J38" s="283" t="str">
        <f t="shared" si="1"/>
        <v>AR-10758</v>
      </c>
      <c r="K38" s="252"/>
      <c r="L38" s="284" t="b">
        <f t="shared" si="2"/>
        <v>0</v>
      </c>
      <c r="M38" s="284" t="str">
        <f t="shared" si="3"/>
        <v/>
      </c>
      <c r="N38" s="285" t="str">
        <f>IFERROR(IF(E38&lt;&gt;"",IF('Reference Records'!$C$359&lt;&gt;"",VLOOKUP(E38,'Account Role'!$B$3:$D$14,3,FALSE),VLOOKUP(E38,'Account Role'!$B$22:$D$294,3,FALSE)),O38),"")</f>
        <v>0013600000zN6z8AAC</v>
      </c>
      <c r="O38" s="284" t="s">
        <v>357</v>
      </c>
      <c r="P38" s="286" t="s">
        <v>371</v>
      </c>
      <c r="Q38" s="306" t="s">
        <v>359</v>
      </c>
      <c r="R38" s="253" t="s">
        <v>372</v>
      </c>
      <c r="S38" s="272"/>
      <c r="W38" s="301"/>
    </row>
    <row r="39" spans="1:23" ht="40.5" customHeight="1">
      <c r="A39" s="236">
        <v>8</v>
      </c>
      <c r="B39" s="251"/>
      <c r="C39" s="251"/>
      <c r="D39" s="251">
        <f t="shared" si="0"/>
        <v>0</v>
      </c>
      <c r="E39" s="252" t="str">
        <f t="shared" si="4"/>
        <v/>
      </c>
      <c r="F39" s="253"/>
      <c r="G39" s="253"/>
      <c r="H39" s="253"/>
      <c r="I39" s="253"/>
      <c r="J39" s="283" t="str">
        <f t="shared" si="1"/>
        <v>AR-10759</v>
      </c>
      <c r="K39" s="252"/>
      <c r="L39" s="284" t="b">
        <f t="shared" si="2"/>
        <v>0</v>
      </c>
      <c r="M39" s="284" t="str">
        <f t="shared" si="3"/>
        <v/>
      </c>
      <c r="N39" s="285" t="str">
        <f>IFERROR(IF(E39&lt;&gt;"",IF('Reference Records'!$C$359&lt;&gt;"",VLOOKUP(E39,'Account Role'!$B$3:$D$14,3,FALSE),VLOOKUP(E39,'Account Role'!$B$22:$D$294,3,FALSE)),O39),"")</f>
        <v>0013600000zN6z8AAC</v>
      </c>
      <c r="O39" s="284" t="s">
        <v>357</v>
      </c>
      <c r="P39" s="286" t="s">
        <v>373</v>
      </c>
      <c r="Q39" s="306" t="s">
        <v>359</v>
      </c>
      <c r="R39" s="253" t="s">
        <v>374</v>
      </c>
      <c r="S39" s="272"/>
      <c r="W39" s="301"/>
    </row>
    <row r="40" spans="1:23" ht="40.5" customHeight="1">
      <c r="A40" s="236">
        <v>9</v>
      </c>
      <c r="B40" s="251"/>
      <c r="C40" s="251"/>
      <c r="D40" s="251">
        <f t="shared" si="0"/>
        <v>0</v>
      </c>
      <c r="E40" s="252" t="str">
        <f t="shared" si="4"/>
        <v/>
      </c>
      <c r="F40" s="253"/>
      <c r="G40" s="253"/>
      <c r="H40" s="253"/>
      <c r="I40" s="253"/>
      <c r="J40" s="283" t="str">
        <f t="shared" si="1"/>
        <v>AR-10760</v>
      </c>
      <c r="K40" s="252"/>
      <c r="L40" s="284" t="b">
        <f t="shared" si="2"/>
        <v>0</v>
      </c>
      <c r="M40" s="284" t="str">
        <f t="shared" si="3"/>
        <v/>
      </c>
      <c r="N40" s="285" t="str">
        <f>IFERROR(IF(E40&lt;&gt;"",IF('Reference Records'!$C$359&lt;&gt;"",VLOOKUP(E40,'Account Role'!$B$3:$D$14,3,FALSE),VLOOKUP(E40,'Account Role'!$B$22:$D$294,3,FALSE)),O40),"")</f>
        <v>0013600000zN6z8AAC</v>
      </c>
      <c r="O40" s="284" t="s">
        <v>357</v>
      </c>
      <c r="P40" s="286" t="s">
        <v>375</v>
      </c>
      <c r="Q40" s="306" t="s">
        <v>359</v>
      </c>
      <c r="R40" s="253" t="s">
        <v>376</v>
      </c>
      <c r="S40" s="272"/>
      <c r="W40" s="301"/>
    </row>
    <row r="41" spans="1:23" ht="24" customHeight="1">
      <c r="A41" s="254"/>
      <c r="B41" s="254"/>
      <c r="C41" s="254"/>
      <c r="D41" s="254"/>
      <c r="E41" s="255"/>
      <c r="F41" s="255"/>
      <c r="G41" s="255"/>
      <c r="H41" s="255"/>
      <c r="I41" s="255"/>
      <c r="J41" s="255"/>
      <c r="K41" s="255"/>
      <c r="L41" s="255"/>
      <c r="M41" s="255"/>
      <c r="N41" s="255"/>
      <c r="O41" s="255"/>
      <c r="P41" s="255"/>
      <c r="Q41" s="255"/>
      <c r="R41" s="307"/>
      <c r="S41" s="308"/>
      <c r="W41" s="301"/>
    </row>
    <row r="42" spans="1:23" ht="30" customHeight="1">
      <c r="A42" s="248"/>
      <c r="E42" s="256"/>
      <c r="F42" s="256"/>
      <c r="G42" s="256"/>
      <c r="H42" s="256"/>
      <c r="I42" s="256"/>
      <c r="J42" s="256"/>
      <c r="K42" s="256"/>
      <c r="L42" s="256"/>
      <c r="M42" s="256"/>
      <c r="N42" s="256"/>
      <c r="O42" s="256"/>
      <c r="P42" s="287"/>
      <c r="Q42" s="256"/>
      <c r="R42" s="294"/>
      <c r="W42" s="301"/>
    </row>
    <row r="43" spans="1:23" ht="29.25" customHeight="1">
      <c r="A43" s="495"/>
      <c r="B43" s="495"/>
      <c r="C43" s="495"/>
      <c r="D43" s="495"/>
      <c r="E43" s="495"/>
      <c r="F43" s="495"/>
      <c r="G43" s="495"/>
      <c r="H43" s="495"/>
      <c r="I43" s="495"/>
      <c r="J43" s="495"/>
      <c r="K43" s="495"/>
      <c r="L43" s="495"/>
      <c r="M43" s="288"/>
      <c r="N43" s="288"/>
      <c r="O43" s="288"/>
      <c r="P43" s="288"/>
      <c r="Q43" s="288"/>
      <c r="R43" s="288"/>
      <c r="W43" s="301"/>
    </row>
    <row r="44" spans="1:23" ht="30.75" customHeight="1">
      <c r="R44" s="294"/>
      <c r="W44" s="301"/>
    </row>
    <row r="45" spans="1:23" ht="29.25" customHeight="1">
      <c r="A45" s="496" t="str">
        <f ca="1">Translations!A17</f>
        <v>Período de reporte</v>
      </c>
      <c r="B45" s="497"/>
      <c r="C45" s="497"/>
      <c r="D45" s="497"/>
      <c r="E45" s="497"/>
      <c r="F45" s="497"/>
      <c r="G45" s="497"/>
      <c r="H45" s="497"/>
      <c r="I45" s="497"/>
      <c r="J45" s="497"/>
      <c r="K45" s="497"/>
      <c r="L45" s="497"/>
      <c r="M45" s="497"/>
      <c r="N45" s="497"/>
      <c r="O45" s="497"/>
      <c r="P45" s="497"/>
      <c r="Q45" s="497"/>
      <c r="R45" s="497"/>
      <c r="S45" s="497"/>
      <c r="T45" s="497"/>
      <c r="U45" s="239"/>
      <c r="W45" s="301"/>
    </row>
    <row r="46" spans="1:23" ht="32.1" customHeight="1">
      <c r="A46" s="257" t="str">
        <f ca="1">Translations!A18</f>
        <v>Fecha de inicio del período</v>
      </c>
      <c r="B46" s="234">
        <v>0</v>
      </c>
      <c r="C46" s="257"/>
      <c r="D46" s="257"/>
      <c r="E46" s="257" t="str">
        <f ca="1">Translations!A19</f>
        <v>Fecha de término del período</v>
      </c>
      <c r="F46" s="257"/>
      <c r="G46" s="257"/>
      <c r="H46" s="257"/>
      <c r="I46" s="257"/>
      <c r="J46" s="257"/>
      <c r="K46" s="257" t="str">
        <f ca="1">Translations!A20</f>
        <v>Fecha de envío del PUDR</v>
      </c>
      <c r="L46" s="289" t="s">
        <v>377</v>
      </c>
      <c r="M46" s="289" t="s">
        <v>378</v>
      </c>
      <c r="N46" s="289" t="s">
        <v>348</v>
      </c>
      <c r="O46" s="289" t="s">
        <v>379</v>
      </c>
      <c r="P46" s="289" t="s">
        <v>380</v>
      </c>
      <c r="Q46" s="289" t="s">
        <v>331</v>
      </c>
      <c r="R46" s="289"/>
      <c r="S46" s="172"/>
      <c r="T46" s="257" t="str">
        <f ca="1">Translations!A21</f>
        <v>Fecha de envío</v>
      </c>
      <c r="U46" s="281" t="s">
        <v>341</v>
      </c>
      <c r="W46" s="301"/>
    </row>
    <row r="47" spans="1:23" ht="34.5" hidden="1" customHeight="1">
      <c r="A47" s="258" t="str">
        <f ca="1">IF(P47="",IF(B47=2,$E$7,IF(B47=1,"",E46+1)),IF(P47&lt;TODAY(),O47,IF(B47=2,$E$7,IF(B47=1,"",E46+1))))</f>
        <v/>
      </c>
      <c r="B47" s="251">
        <f>B46+1</f>
        <v>1</v>
      </c>
      <c r="C47" s="172"/>
      <c r="D47" s="172"/>
      <c r="E47" s="259" t="str">
        <f ca="1">IF(P47="",IFERROR(EOMONTH($A47,$E$9-1),""),IF(P47&lt;TODAY(),P47,IFERROR(EOMONTH($A47,$E$9-1),"")))</f>
        <v/>
      </c>
      <c r="F47" s="259"/>
      <c r="G47" s="259"/>
      <c r="H47" s="259"/>
      <c r="I47" s="259"/>
      <c r="J47" s="259"/>
      <c r="K47" s="290" t="str">
        <f ca="1">IF(M47=TRUE,Translations!$A$101,Translations!$A$102)</f>
        <v>No</v>
      </c>
      <c r="L47" s="281" t="b">
        <f ca="1">IF(K47=Translations!$A$101,TRUE,FALSE)</f>
        <v>0</v>
      </c>
      <c r="M47" s="281" t="s">
        <v>381</v>
      </c>
      <c r="N47" s="281" t="b">
        <f ca="1">IFERROR(IF(E47&lt;=$E$8,TRUE,FALSE),"")</f>
        <v>0</v>
      </c>
      <c r="O47" s="291" t="s">
        <v>382</v>
      </c>
      <c r="P47" s="291" t="s">
        <v>383</v>
      </c>
      <c r="Q47" s="309" t="s">
        <v>345</v>
      </c>
      <c r="R47" s="289"/>
      <c r="S47" s="281"/>
      <c r="T47" s="258" t="e">
        <f ca="1">TEXT(IF(K47="","",IF(K47=Translations!$A$102,E47+45,IF(K47=Translations!$A$101,E47+60,""))),Setup!$A$33)</f>
        <v>#VALUE!</v>
      </c>
      <c r="U47" s="281" t="s">
        <v>345</v>
      </c>
      <c r="W47" s="301"/>
    </row>
    <row r="48" spans="1:23" ht="34.5" customHeight="1">
      <c r="A48" s="258">
        <f t="shared" ref="A48:A53" ca="1" si="5">IF(P48="",IF(B48=2,$E$7,IF(B48=1,"",E47+1)),IF(P48&lt;TODAY(),O48,IF(B48=2,$E$7,IF(B48=1,"",E47+1))))</f>
        <v>44927</v>
      </c>
      <c r="B48" s="251">
        <f t="shared" ref="B48:B53" si="6">B47+1</f>
        <v>2</v>
      </c>
      <c r="C48" s="172"/>
      <c r="D48" s="172"/>
      <c r="E48" s="259">
        <f t="shared" ref="E48:E53" ca="1" si="7">IF(P48="",IFERROR(EOMONTH($A48,$E$9-1),""),IF(P48&lt;TODAY(),P48,IFERROR(EOMONTH($A48,$E$9-1),"")))</f>
        <v>45291</v>
      </c>
      <c r="F48" s="259"/>
      <c r="G48" s="259"/>
      <c r="H48" s="259"/>
      <c r="I48" s="259"/>
      <c r="J48" s="259"/>
      <c r="K48" s="290" t="s">
        <v>384</v>
      </c>
      <c r="L48" s="281" t="b">
        <f ca="1">IF(K48=Translations!$A$101,TRUE,FALSE)</f>
        <v>1</v>
      </c>
      <c r="M48" s="281" t="b">
        <v>0</v>
      </c>
      <c r="N48" s="281" t="b">
        <f t="shared" ref="N48:N53" ca="1" si="8">IFERROR(IF(E48&lt;=$E$8,TRUE,FALSE),"")</f>
        <v>1</v>
      </c>
      <c r="O48" s="291"/>
      <c r="P48" s="291"/>
      <c r="Q48" s="309" t="s">
        <v>332</v>
      </c>
      <c r="R48" s="289"/>
      <c r="S48" s="281"/>
      <c r="T48" s="258" t="str">
        <f ca="1">TEXT(IF(K48="","",IF(K48=Translations!$A$102,E48+45,IF(K48=Translations!$A$101,E48+60,""))),Setup!$A$33)</f>
        <v>29-Feb-24</v>
      </c>
      <c r="U48" s="281" t="s">
        <v>385</v>
      </c>
      <c r="W48" s="301"/>
    </row>
    <row r="49" spans="1:25" ht="34.5" customHeight="1">
      <c r="A49" s="258">
        <f t="shared" ca="1" si="5"/>
        <v>45292</v>
      </c>
      <c r="B49" s="251">
        <f t="shared" si="6"/>
        <v>3</v>
      </c>
      <c r="C49" s="172"/>
      <c r="D49" s="172"/>
      <c r="E49" s="259">
        <f t="shared" ca="1" si="7"/>
        <v>45657</v>
      </c>
      <c r="F49" s="259"/>
      <c r="G49" s="259"/>
      <c r="H49" s="259"/>
      <c r="I49" s="259"/>
      <c r="J49" s="259"/>
      <c r="K49" s="290" t="s">
        <v>384</v>
      </c>
      <c r="L49" s="281" t="b">
        <f ca="1">IF(K49=Translations!$A$101,TRUE,FALSE)</f>
        <v>1</v>
      </c>
      <c r="M49" s="281" t="b">
        <v>0</v>
      </c>
      <c r="N49" s="281" t="b">
        <f t="shared" ca="1" si="8"/>
        <v>1</v>
      </c>
      <c r="O49" s="291"/>
      <c r="P49" s="291"/>
      <c r="Q49" s="309" t="s">
        <v>332</v>
      </c>
      <c r="R49" s="289"/>
      <c r="S49" s="281"/>
      <c r="T49" s="258" t="str">
        <f ca="1">TEXT(IF(K49="","",IF(K49=Translations!$A$102,E49+45,IF(K49=Translations!$A$101,E49+60,""))),Setup!$A$33)</f>
        <v>1-Mar-25</v>
      </c>
      <c r="U49" s="281" t="s">
        <v>386</v>
      </c>
      <c r="W49" s="301"/>
    </row>
    <row r="50" spans="1:25" ht="34.5" customHeight="1">
      <c r="A50" s="258">
        <f t="shared" ca="1" si="5"/>
        <v>45658</v>
      </c>
      <c r="B50" s="251">
        <f t="shared" si="6"/>
        <v>4</v>
      </c>
      <c r="C50" s="172"/>
      <c r="D50" s="172"/>
      <c r="E50" s="259">
        <f t="shared" ca="1" si="7"/>
        <v>46022</v>
      </c>
      <c r="F50" s="259"/>
      <c r="G50" s="259"/>
      <c r="H50" s="259"/>
      <c r="I50" s="259"/>
      <c r="J50" s="259"/>
      <c r="K50" s="290" t="s">
        <v>387</v>
      </c>
      <c r="L50" s="281" t="b">
        <f ca="1">IF(K50=Translations!$A$101,TRUE,FALSE)</f>
        <v>0</v>
      </c>
      <c r="M50" s="281" t="b">
        <v>0</v>
      </c>
      <c r="N50" s="281" t="b">
        <f t="shared" ca="1" si="8"/>
        <v>1</v>
      </c>
      <c r="O50" s="291"/>
      <c r="P50" s="291"/>
      <c r="Q50" s="309" t="s">
        <v>332</v>
      </c>
      <c r="R50" s="289"/>
      <c r="S50" s="281"/>
      <c r="T50" s="258" t="str">
        <f ca="1">TEXT(IF(K50="","",IF(K50=Translations!$A$102,E50+45,IF(K50=Translations!$A$101,E50+60,""))),Setup!$A$33)</f>
        <v>14-Feb-26</v>
      </c>
      <c r="U50" s="281" t="s">
        <v>388</v>
      </c>
      <c r="W50" s="301"/>
    </row>
    <row r="51" spans="1:25" ht="34.5" customHeight="1">
      <c r="A51" s="258">
        <f t="shared" ca="1" si="5"/>
        <v>46023</v>
      </c>
      <c r="B51" s="251">
        <f t="shared" si="6"/>
        <v>5</v>
      </c>
      <c r="C51" s="172"/>
      <c r="D51" s="172"/>
      <c r="E51" s="259">
        <f t="shared" ca="1" si="7"/>
        <v>46387</v>
      </c>
      <c r="F51" s="259"/>
      <c r="G51" s="259"/>
      <c r="H51" s="259"/>
      <c r="I51" s="259"/>
      <c r="J51" s="259"/>
      <c r="K51" s="290" t="str">
        <f ca="1">IF(M51=TRUE,Translations!$A$101,Translations!$A$102)</f>
        <v>No</v>
      </c>
      <c r="L51" s="281" t="b">
        <f ca="1">IF(K51=Translations!$A$101,TRUE,FALSE)</f>
        <v>0</v>
      </c>
      <c r="M51" s="281" t="b">
        <v>0</v>
      </c>
      <c r="N51" s="281" t="b">
        <f t="shared" ca="1" si="8"/>
        <v>0</v>
      </c>
      <c r="O51" s="291"/>
      <c r="P51" s="291"/>
      <c r="Q51" s="309" t="s">
        <v>332</v>
      </c>
      <c r="R51" s="289"/>
      <c r="S51" s="281"/>
      <c r="T51" s="258" t="str">
        <f ca="1">TEXT(IF(K51="","",IF(K51=Translations!$A$102,E51+45,IF(K51=Translations!$A$101,E51+60,""))),Setup!$A$33)</f>
        <v>14-Feb-27</v>
      </c>
      <c r="U51" s="281" t="s">
        <v>389</v>
      </c>
      <c r="W51" s="301"/>
    </row>
    <row r="52" spans="1:25" ht="34.5" customHeight="1">
      <c r="A52" s="258">
        <f t="shared" ca="1" si="5"/>
        <v>46388</v>
      </c>
      <c r="B52" s="251">
        <f t="shared" si="6"/>
        <v>6</v>
      </c>
      <c r="C52" s="172"/>
      <c r="D52" s="172"/>
      <c r="E52" s="259">
        <f t="shared" ca="1" si="7"/>
        <v>46752</v>
      </c>
      <c r="F52" s="259"/>
      <c r="G52" s="259"/>
      <c r="H52" s="259"/>
      <c r="I52" s="259"/>
      <c r="J52" s="259"/>
      <c r="K52" s="290" t="str">
        <f ca="1">IF(M52=TRUE,Translations!$A$101,Translations!$A$102)</f>
        <v>No</v>
      </c>
      <c r="L52" s="281" t="b">
        <f ca="1">IF(K52=Translations!$A$101,TRUE,FALSE)</f>
        <v>0</v>
      </c>
      <c r="M52" s="281" t="b">
        <v>0</v>
      </c>
      <c r="N52" s="281" t="b">
        <f t="shared" ca="1" si="8"/>
        <v>0</v>
      </c>
      <c r="O52" s="291"/>
      <c r="P52" s="291"/>
      <c r="Q52" s="309" t="s">
        <v>332</v>
      </c>
      <c r="R52" s="289"/>
      <c r="S52" s="281"/>
      <c r="T52" s="258" t="str">
        <f ca="1">TEXT(IF(K52="","",IF(K52=Translations!$A$102,E52+45,IF(K52=Translations!$A$101,E52+60,""))),Setup!$A$33)</f>
        <v>14-Feb-28</v>
      </c>
      <c r="U52" s="281" t="s">
        <v>390</v>
      </c>
      <c r="W52" s="301"/>
    </row>
    <row r="53" spans="1:25" ht="34.5" customHeight="1">
      <c r="A53" s="258">
        <f t="shared" ca="1" si="5"/>
        <v>46753</v>
      </c>
      <c r="B53" s="251">
        <f t="shared" si="6"/>
        <v>7</v>
      </c>
      <c r="C53" s="172"/>
      <c r="D53" s="172"/>
      <c r="E53" s="259">
        <f t="shared" ca="1" si="7"/>
        <v>47118</v>
      </c>
      <c r="F53" s="259"/>
      <c r="G53" s="259"/>
      <c r="H53" s="259"/>
      <c r="I53" s="259"/>
      <c r="J53" s="259"/>
      <c r="K53" s="290" t="str">
        <f ca="1">IF(M53=TRUE,Translations!$A$101,Translations!$A$102)</f>
        <v>No</v>
      </c>
      <c r="L53" s="281" t="b">
        <f ca="1">IF(K53=Translations!$A$101,TRUE,FALSE)</f>
        <v>0</v>
      </c>
      <c r="M53" s="281" t="b">
        <v>0</v>
      </c>
      <c r="N53" s="281" t="b">
        <f t="shared" ca="1" si="8"/>
        <v>0</v>
      </c>
      <c r="O53" s="291"/>
      <c r="P53" s="291"/>
      <c r="Q53" s="309" t="s">
        <v>332</v>
      </c>
      <c r="R53" s="289"/>
      <c r="S53" s="281"/>
      <c r="T53" s="258" t="str">
        <f ca="1">TEXT(IF(K53="","",IF(K53=Translations!$A$102,E53+45,IF(K53=Translations!$A$101,E53+60,""))),Setup!$A$33)</f>
        <v>14-Feb-29</v>
      </c>
      <c r="U53" s="281" t="s">
        <v>391</v>
      </c>
      <c r="W53" s="301"/>
    </row>
    <row r="54" spans="1:25" ht="9.6" hidden="1" customHeight="1">
      <c r="A54" s="260"/>
      <c r="B54" s="254"/>
      <c r="C54" s="254"/>
      <c r="D54" s="254"/>
      <c r="E54" s="254"/>
      <c r="F54" s="254"/>
      <c r="G54" s="254"/>
      <c r="H54" s="254"/>
      <c r="I54" s="254"/>
      <c r="J54" s="254"/>
      <c r="K54" s="254"/>
      <c r="L54" s="254"/>
      <c r="M54" s="254"/>
      <c r="N54" s="254"/>
      <c r="O54" s="254"/>
      <c r="P54" s="254"/>
      <c r="Q54" s="254"/>
      <c r="R54" s="254"/>
      <c r="S54" s="254"/>
      <c r="T54" s="254"/>
      <c r="U54" s="254"/>
      <c r="V54" s="308"/>
      <c r="W54" s="301"/>
    </row>
    <row r="55" spans="1:25" ht="30" customHeight="1">
      <c r="W55" s="301"/>
    </row>
    <row r="56" spans="1:25" ht="30" customHeight="1">
      <c r="L56" s="162"/>
      <c r="W56" s="301"/>
    </row>
    <row r="57" spans="1:25" ht="25.5" customHeight="1">
      <c r="A57" s="261"/>
      <c r="B57" s="225"/>
      <c r="C57" s="225"/>
      <c r="D57" s="225"/>
      <c r="E57" s="225"/>
      <c r="F57" s="225"/>
      <c r="G57" s="225"/>
      <c r="H57" s="225"/>
      <c r="I57" s="225"/>
      <c r="J57" s="225"/>
      <c r="K57" s="225"/>
      <c r="L57" s="270"/>
      <c r="M57" s="270"/>
      <c r="N57" s="270"/>
      <c r="O57" s="270"/>
      <c r="P57" s="270"/>
      <c r="Q57" s="270"/>
      <c r="R57" s="270"/>
      <c r="S57" s="270"/>
      <c r="T57" s="130"/>
      <c r="U57" s="130"/>
      <c r="V57" s="115"/>
      <c r="W57" s="301"/>
    </row>
    <row r="58" spans="1:25" ht="25.5" customHeight="1">
      <c r="A58" s="496" t="str">
        <f ca="1">Translations!A22</f>
        <v xml:space="preserve">Metas </v>
      </c>
      <c r="B58" s="497"/>
      <c r="C58" s="497"/>
      <c r="D58" s="497"/>
      <c r="E58" s="497"/>
      <c r="F58" s="262"/>
      <c r="G58" s="262"/>
      <c r="H58" s="262"/>
      <c r="I58" s="262"/>
      <c r="J58" s="292"/>
      <c r="K58" s="293"/>
      <c r="L58" s="294"/>
      <c r="M58" s="294"/>
      <c r="N58" s="294"/>
      <c r="O58" s="294"/>
      <c r="P58" s="294"/>
      <c r="Q58" s="294"/>
      <c r="R58" s="294"/>
      <c r="S58" s="294"/>
      <c r="T58" s="294"/>
      <c r="U58" s="294"/>
      <c r="V58" s="288"/>
      <c r="W58" s="301"/>
    </row>
    <row r="59" spans="1:25" ht="32.25" customHeight="1">
      <c r="A59" s="263" t="str">
        <f ca="1">Translations!A23</f>
        <v>Número de meta</v>
      </c>
      <c r="B59" s="263"/>
      <c r="C59" s="263"/>
      <c r="D59" s="263"/>
      <c r="E59" s="264" t="str">
        <f ca="1">Translations!A24</f>
        <v>Descripción de meta</v>
      </c>
      <c r="F59" s="265" t="s">
        <v>331</v>
      </c>
      <c r="G59" s="265" t="s">
        <v>348</v>
      </c>
      <c r="H59" s="265" t="s">
        <v>341</v>
      </c>
      <c r="I59" s="295"/>
      <c r="J59" s="296"/>
      <c r="K59" s="295"/>
      <c r="L59" s="297"/>
      <c r="M59" s="297"/>
      <c r="N59" s="297"/>
      <c r="O59" s="297"/>
      <c r="P59" s="297"/>
      <c r="Q59" s="297"/>
      <c r="R59" s="297"/>
      <c r="S59" s="297"/>
      <c r="T59" s="297"/>
      <c r="U59" s="297"/>
      <c r="V59" s="310"/>
      <c r="W59" s="301"/>
      <c r="Y59" s="488"/>
    </row>
    <row r="60" spans="1:25" ht="47.1" hidden="1" customHeight="1">
      <c r="A60" s="236" t="s">
        <v>392</v>
      </c>
      <c r="B60" s="236"/>
      <c r="C60" s="236"/>
      <c r="D60" s="236"/>
      <c r="E60" s="266" t="s">
        <v>393</v>
      </c>
      <c r="F60" s="267" t="s">
        <v>345</v>
      </c>
      <c r="G60" s="267" t="b">
        <f>IFERROR(IF(E60&lt;&gt;"",TRUE,FALSE),FALSE)</f>
        <v>1</v>
      </c>
      <c r="H60" s="267" t="s">
        <v>345</v>
      </c>
      <c r="I60" s="298"/>
      <c r="J60" s="299"/>
      <c r="K60" s="298"/>
      <c r="L60" s="294"/>
      <c r="M60" s="294"/>
      <c r="N60" s="294"/>
      <c r="O60" s="294"/>
      <c r="P60" s="294"/>
      <c r="Q60" s="294"/>
      <c r="R60" s="294"/>
      <c r="S60" s="294"/>
      <c r="T60" s="294"/>
      <c r="U60" s="294"/>
      <c r="V60" s="288"/>
      <c r="Y60" s="488"/>
    </row>
    <row r="61" spans="1:25" ht="51.6" customHeight="1">
      <c r="A61" s="236">
        <v>1</v>
      </c>
      <c r="B61" s="236"/>
      <c r="C61" s="236"/>
      <c r="D61" s="236"/>
      <c r="E61" s="266" t="s">
        <v>394</v>
      </c>
      <c r="F61" s="267" t="s">
        <v>332</v>
      </c>
      <c r="G61" s="267" t="b">
        <f t="shared" ref="G61:G72" si="9">IFERROR(IF(E61&lt;&gt;"",TRUE,FALSE),FALSE)</f>
        <v>1</v>
      </c>
      <c r="H61" s="267" t="s">
        <v>395</v>
      </c>
      <c r="I61" s="298"/>
      <c r="J61" s="299"/>
      <c r="K61" s="298"/>
      <c r="L61" s="294"/>
      <c r="M61" s="294"/>
      <c r="N61" s="294"/>
      <c r="O61" s="294"/>
      <c r="P61" s="294"/>
      <c r="Q61" s="294"/>
      <c r="R61" s="294"/>
      <c r="S61" s="294"/>
      <c r="T61" s="294"/>
      <c r="U61" s="294"/>
      <c r="V61" s="288"/>
      <c r="Y61" s="311"/>
    </row>
    <row r="62" spans="1:25" ht="47.1" customHeight="1">
      <c r="A62" s="236">
        <v>2</v>
      </c>
      <c r="B62" s="236"/>
      <c r="C62" s="236"/>
      <c r="D62" s="236"/>
      <c r="E62" s="266" t="s">
        <v>396</v>
      </c>
      <c r="F62" s="267" t="s">
        <v>332</v>
      </c>
      <c r="G62" s="267" t="b">
        <f t="shared" si="9"/>
        <v>1</v>
      </c>
      <c r="H62" s="267" t="s">
        <v>397</v>
      </c>
      <c r="I62" s="298"/>
      <c r="J62" s="299"/>
      <c r="K62" s="298"/>
      <c r="L62" s="294"/>
      <c r="M62" s="294"/>
      <c r="N62" s="294"/>
      <c r="O62" s="294"/>
      <c r="P62" s="294"/>
      <c r="Q62" s="294"/>
      <c r="R62" s="294"/>
      <c r="S62" s="294"/>
      <c r="T62" s="294"/>
      <c r="U62" s="294"/>
      <c r="V62" s="288"/>
      <c r="Y62" s="311"/>
    </row>
    <row r="63" spans="1:25" ht="47.1" customHeight="1">
      <c r="A63" s="236">
        <v>3</v>
      </c>
      <c r="B63" s="236"/>
      <c r="C63" s="236"/>
      <c r="D63" s="236"/>
      <c r="E63" s="266"/>
      <c r="F63" s="267" t="s">
        <v>332</v>
      </c>
      <c r="G63" s="267" t="b">
        <f t="shared" si="9"/>
        <v>0</v>
      </c>
      <c r="H63" s="267" t="s">
        <v>398</v>
      </c>
      <c r="I63" s="298"/>
      <c r="J63" s="299"/>
      <c r="K63" s="298"/>
      <c r="L63" s="294"/>
      <c r="M63" s="294"/>
      <c r="N63" s="294"/>
      <c r="O63" s="294"/>
      <c r="P63" s="294"/>
      <c r="Q63" s="294"/>
      <c r="R63" s="294"/>
      <c r="S63" s="294"/>
      <c r="T63" s="294"/>
      <c r="U63" s="294"/>
      <c r="V63" s="288"/>
      <c r="Y63" s="311"/>
    </row>
    <row r="64" spans="1:25" ht="47.1" customHeight="1">
      <c r="A64" s="236">
        <v>4</v>
      </c>
      <c r="B64" s="236"/>
      <c r="C64" s="236"/>
      <c r="D64" s="236"/>
      <c r="E64" s="266"/>
      <c r="F64" s="267" t="s">
        <v>332</v>
      </c>
      <c r="G64" s="267" t="b">
        <f t="shared" si="9"/>
        <v>0</v>
      </c>
      <c r="H64" s="267" t="s">
        <v>399</v>
      </c>
      <c r="I64" s="298"/>
      <c r="J64" s="299"/>
      <c r="K64" s="298"/>
      <c r="L64" s="294"/>
      <c r="M64" s="294"/>
      <c r="N64" s="294"/>
      <c r="O64" s="294"/>
      <c r="P64" s="294"/>
      <c r="Q64" s="294"/>
      <c r="R64" s="294"/>
      <c r="S64" s="294"/>
      <c r="T64" s="294"/>
      <c r="U64" s="294"/>
      <c r="V64" s="288"/>
      <c r="Y64" s="311"/>
    </row>
    <row r="65" spans="1:50" ht="47.1" customHeight="1">
      <c r="A65" s="236">
        <v>5</v>
      </c>
      <c r="B65" s="236"/>
      <c r="C65" s="236"/>
      <c r="D65" s="236"/>
      <c r="E65" s="266"/>
      <c r="F65" s="267" t="s">
        <v>332</v>
      </c>
      <c r="G65" s="267" t="b">
        <f t="shared" si="9"/>
        <v>0</v>
      </c>
      <c r="H65" s="267" t="s">
        <v>400</v>
      </c>
      <c r="I65" s="298"/>
      <c r="J65" s="299"/>
      <c r="K65" s="298"/>
      <c r="L65" s="294"/>
      <c r="M65" s="294"/>
      <c r="N65" s="294"/>
      <c r="O65" s="294"/>
      <c r="P65" s="294"/>
      <c r="Q65" s="294"/>
      <c r="R65" s="294"/>
      <c r="S65" s="294"/>
      <c r="T65" s="294"/>
      <c r="U65" s="294"/>
      <c r="V65" s="288"/>
      <c r="Y65" s="311"/>
    </row>
    <row r="66" spans="1:50" ht="47.1" customHeight="1">
      <c r="A66" s="236">
        <v>6</v>
      </c>
      <c r="B66" s="236"/>
      <c r="C66" s="236"/>
      <c r="D66" s="236"/>
      <c r="E66" s="266"/>
      <c r="F66" s="267" t="s">
        <v>332</v>
      </c>
      <c r="G66" s="267" t="b">
        <f t="shared" si="9"/>
        <v>0</v>
      </c>
      <c r="H66" s="267" t="s">
        <v>401</v>
      </c>
      <c r="I66" s="298"/>
      <c r="J66" s="299"/>
      <c r="K66" s="298"/>
      <c r="L66" s="294"/>
      <c r="M66" s="294"/>
      <c r="N66" s="294"/>
      <c r="O66" s="294"/>
      <c r="P66" s="294"/>
      <c r="Q66" s="294"/>
      <c r="R66" s="294"/>
      <c r="S66" s="294"/>
      <c r="T66" s="294"/>
      <c r="U66" s="294"/>
      <c r="V66" s="288"/>
      <c r="Y66" s="311"/>
    </row>
    <row r="67" spans="1:50" ht="47.1" customHeight="1">
      <c r="A67" s="236">
        <v>7</v>
      </c>
      <c r="B67" s="236"/>
      <c r="C67" s="236"/>
      <c r="D67" s="236"/>
      <c r="E67" s="266"/>
      <c r="F67" s="267" t="s">
        <v>332</v>
      </c>
      <c r="G67" s="267" t="b">
        <f t="shared" si="9"/>
        <v>0</v>
      </c>
      <c r="H67" s="267" t="s">
        <v>402</v>
      </c>
      <c r="I67" s="298"/>
      <c r="J67" s="299"/>
      <c r="K67" s="298"/>
      <c r="L67" s="294"/>
      <c r="M67" s="294"/>
      <c r="N67" s="294"/>
      <c r="O67" s="294"/>
      <c r="P67" s="294"/>
      <c r="Q67" s="294"/>
      <c r="R67" s="294"/>
      <c r="S67" s="294"/>
      <c r="T67" s="294"/>
      <c r="U67" s="294"/>
      <c r="V67" s="288"/>
      <c r="Y67" s="311"/>
    </row>
    <row r="68" spans="1:50" ht="47.1" customHeight="1">
      <c r="A68" s="236">
        <v>8</v>
      </c>
      <c r="B68" s="236"/>
      <c r="C68" s="236"/>
      <c r="D68" s="236"/>
      <c r="E68" s="266"/>
      <c r="F68" s="267" t="s">
        <v>332</v>
      </c>
      <c r="G68" s="267" t="b">
        <f t="shared" si="9"/>
        <v>0</v>
      </c>
      <c r="H68" s="267" t="s">
        <v>403</v>
      </c>
      <c r="I68" s="298"/>
      <c r="J68" s="299"/>
      <c r="K68" s="298"/>
      <c r="L68" s="294"/>
      <c r="M68" s="294"/>
      <c r="N68" s="294"/>
      <c r="O68" s="294"/>
      <c r="P68" s="294"/>
      <c r="Q68" s="294"/>
      <c r="R68" s="294"/>
      <c r="S68" s="294"/>
      <c r="T68" s="294"/>
      <c r="U68" s="294"/>
      <c r="V68" s="288"/>
      <c r="Y68" s="311"/>
    </row>
    <row r="69" spans="1:50" ht="47.1" customHeight="1">
      <c r="A69" s="236">
        <v>9</v>
      </c>
      <c r="B69" s="236"/>
      <c r="C69" s="236"/>
      <c r="D69" s="236"/>
      <c r="E69" s="266"/>
      <c r="F69" s="267" t="s">
        <v>332</v>
      </c>
      <c r="G69" s="267" t="b">
        <f t="shared" si="9"/>
        <v>0</v>
      </c>
      <c r="H69" s="267" t="s">
        <v>404</v>
      </c>
      <c r="I69" s="298"/>
      <c r="J69" s="299"/>
      <c r="K69" s="298"/>
      <c r="L69" s="294"/>
      <c r="M69" s="294"/>
      <c r="N69" s="294"/>
      <c r="O69" s="294"/>
      <c r="P69" s="294"/>
      <c r="Q69" s="294"/>
      <c r="R69" s="294"/>
      <c r="S69" s="294"/>
      <c r="T69" s="294"/>
      <c r="U69" s="294"/>
      <c r="V69" s="288"/>
      <c r="Y69" s="311"/>
    </row>
    <row r="70" spans="1:50" ht="47.1" customHeight="1">
      <c r="A70" s="236">
        <v>10</v>
      </c>
      <c r="B70" s="236"/>
      <c r="C70" s="236"/>
      <c r="D70" s="236"/>
      <c r="E70" s="266"/>
      <c r="F70" s="267" t="s">
        <v>332</v>
      </c>
      <c r="G70" s="267" t="b">
        <f t="shared" si="9"/>
        <v>0</v>
      </c>
      <c r="H70" s="267" t="s">
        <v>405</v>
      </c>
      <c r="I70" s="298"/>
      <c r="J70" s="299"/>
      <c r="K70" s="298"/>
      <c r="L70" s="294"/>
      <c r="M70" s="294"/>
      <c r="N70" s="294"/>
      <c r="O70" s="294"/>
      <c r="P70" s="294"/>
      <c r="Q70" s="294"/>
      <c r="R70" s="294"/>
      <c r="S70" s="294"/>
      <c r="T70" s="294"/>
      <c r="U70" s="294"/>
      <c r="V70" s="288"/>
      <c r="Y70" s="311"/>
    </row>
    <row r="71" spans="1:50" ht="47.1" customHeight="1">
      <c r="A71" s="236">
        <v>11</v>
      </c>
      <c r="B71" s="236"/>
      <c r="C71" s="236"/>
      <c r="D71" s="236"/>
      <c r="E71" s="266"/>
      <c r="F71" s="267" t="s">
        <v>332</v>
      </c>
      <c r="G71" s="267" t="b">
        <f t="shared" si="9"/>
        <v>0</v>
      </c>
      <c r="H71" s="267" t="s">
        <v>406</v>
      </c>
      <c r="I71" s="298"/>
      <c r="J71" s="299"/>
      <c r="K71" s="298"/>
      <c r="L71" s="294"/>
      <c r="M71" s="294"/>
      <c r="N71" s="294"/>
      <c r="O71" s="294"/>
      <c r="P71" s="294"/>
      <c r="Q71" s="294"/>
      <c r="R71" s="294"/>
      <c r="S71" s="294"/>
      <c r="T71" s="294"/>
      <c r="U71" s="294"/>
      <c r="V71" s="288"/>
      <c r="Y71" s="311"/>
    </row>
    <row r="72" spans="1:50" ht="47.1" customHeight="1">
      <c r="A72" s="236">
        <v>12</v>
      </c>
      <c r="B72" s="236"/>
      <c r="C72" s="236"/>
      <c r="D72" s="236"/>
      <c r="E72" s="266"/>
      <c r="F72" s="267" t="s">
        <v>332</v>
      </c>
      <c r="G72" s="267" t="b">
        <f t="shared" si="9"/>
        <v>0</v>
      </c>
      <c r="H72" s="267" t="s">
        <v>407</v>
      </c>
      <c r="I72" s="298"/>
      <c r="J72" s="299"/>
      <c r="K72" s="298"/>
      <c r="L72" s="294"/>
      <c r="M72" s="294"/>
      <c r="N72" s="294"/>
      <c r="O72" s="294"/>
      <c r="P72" s="294"/>
      <c r="Q72" s="294"/>
      <c r="R72" s="294"/>
      <c r="S72" s="294"/>
      <c r="T72" s="294"/>
      <c r="U72" s="294"/>
      <c r="V72" s="288"/>
      <c r="Y72" s="311"/>
    </row>
    <row r="73" spans="1:50" ht="2.85" customHeight="1">
      <c r="A73" s="315"/>
      <c r="B73" s="316"/>
      <c r="C73" s="316"/>
      <c r="D73" s="316"/>
      <c r="E73" s="316"/>
      <c r="F73" s="316"/>
      <c r="G73" s="316"/>
      <c r="H73" s="316"/>
      <c r="I73" s="316"/>
      <c r="J73" s="329"/>
      <c r="K73" s="89"/>
      <c r="L73" s="294"/>
      <c r="M73" s="294"/>
      <c r="N73" s="294"/>
      <c r="O73" s="294"/>
      <c r="P73" s="294"/>
      <c r="Q73" s="294"/>
      <c r="R73" s="294"/>
      <c r="S73" s="294"/>
      <c r="T73" s="294"/>
      <c r="U73" s="294"/>
      <c r="V73" s="288"/>
      <c r="Y73" s="311"/>
    </row>
    <row r="74" spans="1:50" ht="29.25" customHeight="1">
      <c r="A74" s="89"/>
      <c r="B74" s="89"/>
      <c r="C74" s="89"/>
      <c r="D74" s="89"/>
      <c r="E74" s="89"/>
      <c r="F74" s="89"/>
      <c r="G74" s="89"/>
      <c r="H74" s="89"/>
      <c r="I74" s="89"/>
      <c r="J74" s="89"/>
      <c r="K74" s="89"/>
      <c r="L74" s="294"/>
      <c r="M74" s="294"/>
      <c r="N74" s="294"/>
      <c r="O74" s="294"/>
      <c r="P74" s="294"/>
      <c r="Q74" s="294"/>
      <c r="R74" s="294"/>
      <c r="S74" s="294"/>
      <c r="T74" s="294"/>
      <c r="U74" s="294"/>
      <c r="V74" s="288"/>
      <c r="Y74" s="311"/>
    </row>
    <row r="75" spans="1:50" s="89" customFormat="1" ht="30.75" customHeight="1">
      <c r="A75" s="317"/>
      <c r="B75" s="317"/>
      <c r="C75" s="317"/>
      <c r="D75" s="317"/>
      <c r="E75" s="317"/>
      <c r="F75" s="317"/>
      <c r="G75" s="317"/>
      <c r="H75" s="317"/>
      <c r="I75" s="317"/>
      <c r="J75" s="317"/>
      <c r="K75" s="317"/>
      <c r="L75" s="317"/>
      <c r="M75" s="317"/>
      <c r="N75" s="317"/>
      <c r="O75" s="317"/>
      <c r="P75" s="317"/>
      <c r="Q75" s="317"/>
      <c r="R75" s="317"/>
      <c r="S75" s="317"/>
      <c r="T75" s="317"/>
      <c r="U75" s="317"/>
      <c r="V75"/>
      <c r="W75"/>
      <c r="X75"/>
      <c r="Y75"/>
      <c r="Z75"/>
      <c r="AO75" s="54"/>
      <c r="AP75" s="54"/>
      <c r="AQ75" s="54"/>
      <c r="AR75" s="54"/>
      <c r="AS75" s="54"/>
      <c r="AT75" s="54"/>
      <c r="AU75" s="54"/>
      <c r="AV75" s="54"/>
      <c r="AW75" s="54"/>
      <c r="AX75" s="54"/>
    </row>
    <row r="76" spans="1:50" ht="30.75" customHeight="1">
      <c r="A76" s="498" t="str">
        <f ca="1">Translations!A25</f>
        <v>Objetivos</v>
      </c>
      <c r="B76" s="497"/>
      <c r="C76" s="497"/>
      <c r="D76" s="497"/>
      <c r="E76" s="499"/>
      <c r="F76" s="262"/>
      <c r="G76" s="262"/>
      <c r="H76" s="262"/>
      <c r="I76" s="262"/>
      <c r="J76" s="292"/>
      <c r="K76" s="293"/>
      <c r="L76" s="294"/>
      <c r="M76" s="294"/>
      <c r="N76" s="294"/>
      <c r="O76" s="294"/>
      <c r="P76" s="294"/>
      <c r="Q76" s="294"/>
      <c r="R76" s="294"/>
      <c r="S76" s="294"/>
      <c r="T76" s="294"/>
      <c r="U76" s="294"/>
      <c r="V76" s="288"/>
      <c r="W76" s="301"/>
    </row>
    <row r="77" spans="1:50" ht="30.75" customHeight="1">
      <c r="A77" s="263" t="str">
        <f ca="1">Translations!A26</f>
        <v>Número de objetivo</v>
      </c>
      <c r="B77" s="263"/>
      <c r="C77" s="263"/>
      <c r="D77" s="263"/>
      <c r="E77" s="264" t="str">
        <f ca="1">Translations!A27</f>
        <v>Descripción de objetivos</v>
      </c>
      <c r="F77" s="265" t="s">
        <v>331</v>
      </c>
      <c r="G77" s="265" t="s">
        <v>348</v>
      </c>
      <c r="H77" s="265" t="s">
        <v>341</v>
      </c>
      <c r="I77" s="295"/>
      <c r="J77" s="296"/>
      <c r="K77" s="295"/>
      <c r="L77" s="297"/>
      <c r="M77" s="297"/>
      <c r="N77" s="297"/>
      <c r="O77" s="297"/>
      <c r="P77" s="297"/>
      <c r="Q77" s="297"/>
      <c r="R77" s="297"/>
      <c r="S77" s="297"/>
      <c r="T77" s="297"/>
      <c r="U77" s="297"/>
      <c r="V77" s="310"/>
      <c r="W77" s="301"/>
      <c r="Y77" s="488"/>
    </row>
    <row r="78" spans="1:50" ht="47.1" hidden="1" customHeight="1">
      <c r="A78" s="236" t="s">
        <v>408</v>
      </c>
      <c r="B78" s="236"/>
      <c r="C78" s="236"/>
      <c r="D78" s="236"/>
      <c r="E78" s="266" t="s">
        <v>409</v>
      </c>
      <c r="F78" s="267" t="s">
        <v>345</v>
      </c>
      <c r="G78" s="267" t="b">
        <f>IFERROR(IF(E78&lt;&gt;"",TRUE,FALSE),FALSE)</f>
        <v>1</v>
      </c>
      <c r="H78" s="267" t="s">
        <v>345</v>
      </c>
      <c r="I78" s="298"/>
      <c r="J78" s="299"/>
      <c r="K78" s="298"/>
      <c r="L78" s="89"/>
      <c r="M78" s="89"/>
      <c r="N78" s="89"/>
      <c r="O78" s="89"/>
      <c r="P78" s="89"/>
      <c r="Q78" s="89"/>
      <c r="R78" s="89"/>
      <c r="S78" s="89"/>
      <c r="T78" s="89"/>
      <c r="U78" s="89"/>
      <c r="Y78" s="488"/>
    </row>
    <row r="79" spans="1:50" ht="47.1" customHeight="1">
      <c r="A79" s="236">
        <v>1</v>
      </c>
      <c r="B79" s="236"/>
      <c r="C79" s="236"/>
      <c r="D79" s="236"/>
      <c r="E79" s="266" t="s">
        <v>410</v>
      </c>
      <c r="F79" s="267" t="s">
        <v>332</v>
      </c>
      <c r="G79" s="267" t="b">
        <f t="shared" ref="G79:G90" si="10">IFERROR(IF(E79&lt;&gt;"",TRUE,FALSE),FALSE)</f>
        <v>1</v>
      </c>
      <c r="H79" s="267" t="s">
        <v>411</v>
      </c>
      <c r="I79" s="298"/>
      <c r="J79" s="299"/>
      <c r="K79" s="298"/>
      <c r="L79" s="89"/>
      <c r="M79" s="89"/>
      <c r="N79" s="89"/>
      <c r="O79" s="89"/>
      <c r="P79" s="89"/>
      <c r="Q79" s="89"/>
      <c r="R79" s="89"/>
      <c r="S79" s="89"/>
      <c r="T79" s="89"/>
      <c r="U79" s="89"/>
      <c r="Y79" s="488"/>
    </row>
    <row r="80" spans="1:50" ht="47.1" customHeight="1">
      <c r="A80" s="236">
        <v>2</v>
      </c>
      <c r="B80" s="236"/>
      <c r="C80" s="236"/>
      <c r="D80" s="236"/>
      <c r="E80" s="266" t="s">
        <v>412</v>
      </c>
      <c r="F80" s="267" t="s">
        <v>332</v>
      </c>
      <c r="G80" s="267" t="b">
        <f t="shared" si="10"/>
        <v>1</v>
      </c>
      <c r="H80" s="267" t="s">
        <v>413</v>
      </c>
      <c r="I80" s="298"/>
      <c r="J80" s="299"/>
      <c r="K80" s="298"/>
      <c r="L80" s="89"/>
      <c r="M80" s="89"/>
      <c r="N80" s="89"/>
      <c r="O80" s="89"/>
      <c r="P80" s="89"/>
      <c r="Q80" s="89"/>
      <c r="R80" s="89"/>
      <c r="S80" s="89"/>
      <c r="T80" s="89"/>
      <c r="U80" s="89"/>
      <c r="Y80" s="488"/>
    </row>
    <row r="81" spans="1:25" ht="47.1" customHeight="1">
      <c r="A81" s="236">
        <v>3</v>
      </c>
      <c r="B81" s="236"/>
      <c r="C81" s="236"/>
      <c r="D81" s="236"/>
      <c r="E81" s="266" t="s">
        <v>414</v>
      </c>
      <c r="F81" s="267" t="s">
        <v>332</v>
      </c>
      <c r="G81" s="267" t="b">
        <f t="shared" si="10"/>
        <v>1</v>
      </c>
      <c r="H81" s="267" t="s">
        <v>415</v>
      </c>
      <c r="I81" s="298"/>
      <c r="J81" s="299"/>
      <c r="K81" s="298"/>
      <c r="L81" s="89"/>
      <c r="M81" s="89"/>
      <c r="N81" s="89"/>
      <c r="O81" s="89"/>
      <c r="P81" s="89"/>
      <c r="Q81" s="89"/>
      <c r="R81" s="89"/>
      <c r="S81" s="89"/>
      <c r="T81" s="89"/>
      <c r="U81" s="89"/>
      <c r="Y81" s="488"/>
    </row>
    <row r="82" spans="1:25" ht="47.1" customHeight="1">
      <c r="A82" s="236">
        <v>4</v>
      </c>
      <c r="B82" s="236"/>
      <c r="C82" s="236"/>
      <c r="D82" s="236"/>
      <c r="E82" s="266" t="s">
        <v>416</v>
      </c>
      <c r="F82" s="267" t="s">
        <v>332</v>
      </c>
      <c r="G82" s="267" t="b">
        <f t="shared" si="10"/>
        <v>1</v>
      </c>
      <c r="H82" s="267" t="s">
        <v>417</v>
      </c>
      <c r="I82" s="298"/>
      <c r="J82" s="299"/>
      <c r="K82" s="298"/>
      <c r="L82" s="89"/>
      <c r="M82" s="89"/>
      <c r="N82" s="89"/>
      <c r="O82" s="89"/>
      <c r="P82" s="89"/>
      <c r="Q82" s="89"/>
      <c r="R82" s="89"/>
      <c r="S82" s="89"/>
      <c r="T82" s="89"/>
      <c r="U82" s="89"/>
      <c r="Y82" s="488"/>
    </row>
    <row r="83" spans="1:25" ht="47.1" customHeight="1">
      <c r="A83" s="236">
        <v>5</v>
      </c>
      <c r="B83" s="236"/>
      <c r="C83" s="236"/>
      <c r="D83" s="236"/>
      <c r="E83" s="266"/>
      <c r="F83" s="267" t="s">
        <v>332</v>
      </c>
      <c r="G83" s="267" t="b">
        <f t="shared" si="10"/>
        <v>0</v>
      </c>
      <c r="H83" s="267" t="s">
        <v>418</v>
      </c>
      <c r="I83" s="298"/>
      <c r="J83" s="299"/>
      <c r="K83" s="298"/>
      <c r="L83" s="89"/>
      <c r="M83" s="89"/>
      <c r="N83" s="89"/>
      <c r="O83" s="89"/>
      <c r="P83" s="89"/>
      <c r="Q83" s="89"/>
      <c r="R83" s="89"/>
      <c r="S83" s="89"/>
      <c r="T83" s="89"/>
      <c r="U83" s="89"/>
      <c r="Y83" s="488"/>
    </row>
    <row r="84" spans="1:25" ht="47.1" customHeight="1">
      <c r="A84" s="236">
        <v>6</v>
      </c>
      <c r="B84" s="236"/>
      <c r="C84" s="236"/>
      <c r="D84" s="236"/>
      <c r="E84" s="266"/>
      <c r="F84" s="267" t="s">
        <v>332</v>
      </c>
      <c r="G84" s="267" t="b">
        <f t="shared" si="10"/>
        <v>0</v>
      </c>
      <c r="H84" s="267" t="s">
        <v>419</v>
      </c>
      <c r="I84" s="298"/>
      <c r="J84" s="299"/>
      <c r="K84" s="298"/>
      <c r="L84" s="89"/>
      <c r="M84" s="89"/>
      <c r="N84" s="89"/>
      <c r="O84" s="89"/>
      <c r="P84" s="89"/>
      <c r="Q84" s="89"/>
      <c r="R84" s="89"/>
      <c r="S84" s="89"/>
      <c r="T84" s="89"/>
      <c r="U84" s="89"/>
      <c r="Y84" s="488"/>
    </row>
    <row r="85" spans="1:25" ht="47.1" customHeight="1">
      <c r="A85" s="236">
        <v>7</v>
      </c>
      <c r="B85" s="236"/>
      <c r="C85" s="236"/>
      <c r="D85" s="236"/>
      <c r="E85" s="266"/>
      <c r="F85" s="267" t="s">
        <v>332</v>
      </c>
      <c r="G85" s="267" t="b">
        <f t="shared" si="10"/>
        <v>0</v>
      </c>
      <c r="H85" s="267" t="s">
        <v>420</v>
      </c>
      <c r="I85" s="298"/>
      <c r="J85" s="299"/>
      <c r="K85" s="298"/>
      <c r="L85" s="89"/>
      <c r="M85" s="89"/>
      <c r="N85" s="89"/>
      <c r="O85" s="89"/>
      <c r="P85" s="89"/>
      <c r="Q85" s="89"/>
      <c r="R85" s="89"/>
      <c r="S85" s="89"/>
      <c r="T85" s="89"/>
      <c r="U85" s="89"/>
      <c r="Y85" s="488"/>
    </row>
    <row r="86" spans="1:25" ht="47.1" customHeight="1">
      <c r="A86" s="236">
        <v>8</v>
      </c>
      <c r="B86" s="236"/>
      <c r="C86" s="236"/>
      <c r="D86" s="236"/>
      <c r="E86" s="266"/>
      <c r="F86" s="267" t="s">
        <v>332</v>
      </c>
      <c r="G86" s="267" t="b">
        <f t="shared" si="10"/>
        <v>0</v>
      </c>
      <c r="H86" s="267" t="s">
        <v>421</v>
      </c>
      <c r="I86" s="298"/>
      <c r="J86" s="299"/>
      <c r="K86" s="298"/>
      <c r="L86" s="89"/>
      <c r="M86" s="89"/>
      <c r="N86" s="89"/>
      <c r="O86" s="89"/>
      <c r="P86" s="89"/>
      <c r="Q86" s="89"/>
      <c r="R86" s="89"/>
      <c r="S86" s="89"/>
      <c r="T86" s="89"/>
      <c r="U86" s="89"/>
      <c r="Y86" s="488"/>
    </row>
    <row r="87" spans="1:25" ht="47.1" customHeight="1">
      <c r="A87" s="236">
        <v>9</v>
      </c>
      <c r="B87" s="236"/>
      <c r="C87" s="236"/>
      <c r="D87" s="236"/>
      <c r="E87" s="266"/>
      <c r="F87" s="267" t="s">
        <v>332</v>
      </c>
      <c r="G87" s="267" t="b">
        <f t="shared" si="10"/>
        <v>0</v>
      </c>
      <c r="H87" s="267" t="s">
        <v>422</v>
      </c>
      <c r="I87" s="298"/>
      <c r="J87" s="299"/>
      <c r="K87" s="298"/>
      <c r="L87" s="89"/>
      <c r="M87" s="89"/>
      <c r="N87" s="89"/>
      <c r="O87" s="89"/>
      <c r="P87" s="89"/>
      <c r="Q87" s="89"/>
      <c r="R87" s="89"/>
      <c r="S87" s="89"/>
      <c r="T87" s="89"/>
      <c r="U87" s="89"/>
      <c r="Y87" s="488"/>
    </row>
    <row r="88" spans="1:25" ht="47.1" customHeight="1">
      <c r="A88" s="236">
        <v>10</v>
      </c>
      <c r="B88" s="236"/>
      <c r="C88" s="236"/>
      <c r="D88" s="236"/>
      <c r="E88" s="266"/>
      <c r="F88" s="267" t="s">
        <v>332</v>
      </c>
      <c r="G88" s="267" t="b">
        <f t="shared" si="10"/>
        <v>0</v>
      </c>
      <c r="H88" s="267" t="s">
        <v>423</v>
      </c>
      <c r="I88" s="298"/>
      <c r="J88" s="299"/>
      <c r="K88" s="298"/>
      <c r="L88" s="89"/>
      <c r="M88" s="89"/>
      <c r="N88" s="89"/>
      <c r="O88" s="89"/>
      <c r="P88" s="89"/>
      <c r="Q88" s="89"/>
      <c r="R88" s="89"/>
      <c r="S88" s="89"/>
      <c r="T88" s="89"/>
      <c r="U88" s="89"/>
      <c r="Y88" s="488"/>
    </row>
    <row r="89" spans="1:25" ht="47.1" customHeight="1">
      <c r="A89" s="236">
        <v>11</v>
      </c>
      <c r="B89" s="236"/>
      <c r="C89" s="236"/>
      <c r="D89" s="236"/>
      <c r="E89" s="266"/>
      <c r="F89" s="267" t="s">
        <v>332</v>
      </c>
      <c r="G89" s="267" t="b">
        <f t="shared" si="10"/>
        <v>0</v>
      </c>
      <c r="H89" s="267" t="s">
        <v>424</v>
      </c>
      <c r="I89" s="298"/>
      <c r="J89" s="299"/>
      <c r="K89" s="298"/>
      <c r="L89" s="89"/>
      <c r="M89" s="89"/>
      <c r="N89" s="89"/>
      <c r="O89" s="89"/>
      <c r="P89" s="89"/>
      <c r="Q89" s="89"/>
      <c r="R89" s="89"/>
      <c r="S89" s="89"/>
      <c r="T89" s="89"/>
      <c r="U89" s="89"/>
      <c r="Y89" s="488"/>
    </row>
    <row r="90" spans="1:25" ht="47.1" customHeight="1">
      <c r="A90" s="236">
        <v>12</v>
      </c>
      <c r="B90" s="236"/>
      <c r="C90" s="236"/>
      <c r="D90" s="236"/>
      <c r="E90" s="266"/>
      <c r="F90" s="267" t="s">
        <v>332</v>
      </c>
      <c r="G90" s="267" t="b">
        <f t="shared" si="10"/>
        <v>0</v>
      </c>
      <c r="H90" s="267" t="s">
        <v>425</v>
      </c>
      <c r="I90" s="298"/>
      <c r="J90" s="299"/>
      <c r="K90" s="298"/>
      <c r="L90" s="89"/>
      <c r="M90" s="89"/>
      <c r="N90" s="89"/>
      <c r="O90" s="89"/>
      <c r="P90" s="89"/>
      <c r="Q90" s="89"/>
      <c r="R90" s="89"/>
      <c r="S90" s="89"/>
      <c r="T90" s="89"/>
      <c r="U90" s="89"/>
      <c r="Y90" s="488"/>
    </row>
    <row r="91" spans="1:25" ht="2.85" customHeight="1">
      <c r="A91" s="260"/>
      <c r="B91" s="254"/>
      <c r="C91" s="254"/>
      <c r="D91" s="254"/>
      <c r="E91" s="254"/>
      <c r="F91" s="254"/>
      <c r="G91" s="254"/>
      <c r="H91" s="254"/>
      <c r="I91" s="254"/>
      <c r="J91" s="308"/>
      <c r="L91" s="89"/>
      <c r="M91" s="89"/>
      <c r="N91" s="89"/>
      <c r="O91" s="89"/>
      <c r="P91" s="89"/>
      <c r="Q91" s="89"/>
      <c r="R91" s="89"/>
      <c r="S91" s="89"/>
      <c r="T91" s="89"/>
      <c r="U91" s="89"/>
      <c r="Y91" s="488"/>
    </row>
    <row r="92" spans="1:25" ht="35.25" customHeight="1">
      <c r="L92" s="89"/>
      <c r="M92" s="89"/>
      <c r="N92" s="89"/>
      <c r="O92" s="89"/>
      <c r="P92" s="89"/>
      <c r="Q92" s="89"/>
      <c r="R92" s="89"/>
      <c r="S92" s="89"/>
      <c r="T92" s="89"/>
      <c r="U92" s="89"/>
      <c r="Y92" s="488"/>
    </row>
    <row r="93" spans="1:25" ht="35.25" hidden="1" customHeight="1">
      <c r="L93" s="89"/>
      <c r="M93" s="89"/>
      <c r="N93" s="89"/>
      <c r="O93" s="89"/>
      <c r="P93" s="89"/>
      <c r="Q93" s="89"/>
      <c r="R93" s="89"/>
      <c r="S93" s="89"/>
      <c r="T93" s="89"/>
      <c r="U93" s="89"/>
    </row>
    <row r="94" spans="1:25" ht="35.25" hidden="1" customHeight="1">
      <c r="L94" s="89"/>
      <c r="M94" s="89"/>
      <c r="N94" s="89"/>
      <c r="O94" s="89"/>
      <c r="P94" s="89"/>
      <c r="Q94" s="89"/>
      <c r="R94" s="89"/>
      <c r="S94" s="89"/>
      <c r="T94" s="89"/>
      <c r="U94" s="89"/>
    </row>
    <row r="95" spans="1:25" ht="35.25" hidden="1" customHeight="1">
      <c r="L95" s="89"/>
      <c r="M95" s="89"/>
      <c r="N95" s="89"/>
      <c r="O95" s="89"/>
      <c r="P95" s="89"/>
      <c r="Q95" s="89"/>
      <c r="R95" s="89"/>
      <c r="S95" s="89"/>
      <c r="T95" s="89"/>
      <c r="U95" s="89"/>
    </row>
    <row r="96" spans="1:25" ht="35.25" hidden="1" customHeight="1">
      <c r="L96" s="89"/>
      <c r="M96" s="89"/>
      <c r="N96" s="89"/>
      <c r="O96" s="89"/>
      <c r="P96" s="89"/>
      <c r="Q96" s="89"/>
      <c r="R96" s="89"/>
      <c r="S96" s="89"/>
      <c r="T96" s="89"/>
      <c r="U96" s="89"/>
    </row>
    <row r="97" spans="1:45" ht="17.25" hidden="1" customHeight="1">
      <c r="L97" s="89"/>
      <c r="M97" s="89"/>
      <c r="N97" s="89"/>
      <c r="O97" s="89"/>
      <c r="P97" s="89"/>
      <c r="Q97" s="89"/>
      <c r="R97" s="89"/>
      <c r="S97" s="89"/>
      <c r="T97" s="89"/>
      <c r="U97" s="89"/>
    </row>
    <row r="98" spans="1:45" ht="21.75" hidden="1" customHeight="1">
      <c r="L98" s="89"/>
      <c r="M98" s="89"/>
      <c r="N98" s="89"/>
      <c r="O98" s="89"/>
      <c r="P98" s="89"/>
      <c r="Q98" s="89"/>
      <c r="R98" s="89"/>
      <c r="S98" s="89"/>
      <c r="T98" s="89"/>
      <c r="U98" s="89"/>
    </row>
    <row r="99" spans="1:45" ht="29.25" customHeight="1">
      <c r="L99" s="89"/>
      <c r="M99" s="89"/>
      <c r="N99" s="89"/>
      <c r="O99" s="89"/>
      <c r="P99" s="89"/>
      <c r="Q99" s="89"/>
      <c r="R99" s="89"/>
      <c r="S99" s="89"/>
      <c r="T99" s="89"/>
      <c r="U99" s="89"/>
    </row>
    <row r="100" spans="1:45" ht="29.25" customHeight="1">
      <c r="A100" s="498" t="str">
        <f ca="1">Translations!A28</f>
        <v>Módulos</v>
      </c>
      <c r="B100" s="497"/>
      <c r="C100" s="497"/>
      <c r="D100" s="497"/>
      <c r="E100" s="499"/>
      <c r="F100" s="318"/>
      <c r="G100" s="318"/>
      <c r="H100" s="318"/>
      <c r="I100" s="318"/>
      <c r="J100" s="330"/>
      <c r="K100" s="293"/>
      <c r="L100" s="294"/>
      <c r="M100" s="294"/>
      <c r="N100" s="294"/>
      <c r="O100" s="294"/>
      <c r="P100" s="294"/>
      <c r="Q100" s="294"/>
      <c r="R100" s="294"/>
      <c r="S100" s="294"/>
      <c r="T100" s="294"/>
      <c r="U100" s="294"/>
      <c r="V100" s="288"/>
    </row>
    <row r="101" spans="1:45" ht="26.25" customHeight="1">
      <c r="A101" s="263" t="str">
        <f ca="1">Translations!A29</f>
        <v>Número de módulo</v>
      </c>
      <c r="B101" s="263"/>
      <c r="C101" s="319" t="s">
        <v>426</v>
      </c>
      <c r="D101" s="320" t="s">
        <v>427</v>
      </c>
      <c r="E101" s="263" t="str">
        <f ca="1">Translations!A30</f>
        <v>Nombre del módulo</v>
      </c>
      <c r="F101" s="321" t="s">
        <v>428</v>
      </c>
      <c r="G101" s="321" t="s">
        <v>348</v>
      </c>
      <c r="H101" s="321" t="s">
        <v>341</v>
      </c>
      <c r="I101" s="331" t="s">
        <v>429</v>
      </c>
      <c r="J101" s="331" t="s">
        <v>331</v>
      </c>
      <c r="L101" s="297"/>
      <c r="M101" s="297"/>
      <c r="N101" s="297"/>
      <c r="O101" s="297"/>
      <c r="P101" s="297"/>
      <c r="Q101" s="297"/>
      <c r="R101" s="297"/>
      <c r="S101" s="297"/>
      <c r="T101" s="297"/>
      <c r="U101" s="297"/>
      <c r="V101" s="310"/>
    </row>
    <row r="102" spans="1:45" ht="47.1" hidden="1" customHeight="1">
      <c r="A102" s="236" t="s">
        <v>430</v>
      </c>
      <c r="B102" s="236"/>
      <c r="C102" s="319" t="str">
        <f>IF(ISNUMBER(A102),IF(E102="","--select--",E102),"")</f>
        <v/>
      </c>
      <c r="D102" s="403" t="s">
        <v>431</v>
      </c>
      <c r="E102" s="322" t="str">
        <f>IFERROR(IF(F102="[Module Reference (Name)]","--Select--",VLOOKUP(F102,'Reference records(soft deleted)'!$B$118:$D$162,3,FALSE)),"")</f>
        <v>--Select--</v>
      </c>
      <c r="F102" s="404" t="s">
        <v>432</v>
      </c>
      <c r="G102" s="267" t="b">
        <f>IFERROR(IF(E102&lt;&gt;"",TRUE,FALSE),FALSE)</f>
        <v>1</v>
      </c>
      <c r="H102" s="405" t="s">
        <v>345</v>
      </c>
      <c r="I102" s="323" t="str">
        <f>IFERROR(VLOOKUP(E102,'Reference records(soft deleted)'!D$118:F$162,3,FALSE),"")</f>
        <v/>
      </c>
      <c r="J102" s="404" t="s">
        <v>345</v>
      </c>
      <c r="L102" s="89"/>
      <c r="M102" s="89"/>
      <c r="N102" s="89"/>
      <c r="O102" s="89"/>
      <c r="P102" s="89"/>
      <c r="Q102" s="89"/>
      <c r="R102" s="89"/>
      <c r="S102" s="89"/>
      <c r="T102" s="89"/>
      <c r="U102" s="89"/>
      <c r="Y102" s="311"/>
      <c r="AS102"/>
    </row>
    <row r="103" spans="1:45" ht="47.1" customHeight="1">
      <c r="A103" s="236">
        <v>1</v>
      </c>
      <c r="B103" s="236"/>
      <c r="C103" s="319" t="str">
        <f t="shared" ref="C103:C117" si="11">IF(ISNUMBER(A103),IF(E103="","--select--",E103),"")</f>
        <v>Prevención</v>
      </c>
      <c r="D103" s="403" t="s">
        <v>433</v>
      </c>
      <c r="E103" s="406" t="s">
        <v>434</v>
      </c>
      <c r="F103" s="267"/>
      <c r="G103" s="267" t="b">
        <f t="shared" ref="G103:G117" si="12">IFERROR(IF(E103&lt;&gt;"",TRUE,FALSE),FALSE)</f>
        <v>1</v>
      </c>
      <c r="H103" s="405" t="s">
        <v>435</v>
      </c>
      <c r="I103" s="323" t="str">
        <f>IFERROR(VLOOKUP(E103,'Reference records(soft deleted)'!D$118:F$162,3,FALSE),"")</f>
        <v>a1O1R000006c5MZUAY</v>
      </c>
      <c r="J103" s="404" t="s">
        <v>332</v>
      </c>
      <c r="L103" s="89"/>
      <c r="M103" s="89"/>
      <c r="N103" s="89"/>
      <c r="O103" s="89"/>
      <c r="P103" s="89"/>
      <c r="Q103" s="89"/>
      <c r="R103" s="89"/>
      <c r="S103" s="89"/>
      <c r="T103" s="89"/>
      <c r="U103" s="89"/>
      <c r="Y103" s="311"/>
      <c r="AS103"/>
    </row>
    <row r="104" spans="1:45" ht="47.1" customHeight="1">
      <c r="A104" s="236">
        <v>2</v>
      </c>
      <c r="B104" s="236"/>
      <c r="C104" s="319" t="str">
        <f t="shared" si="11"/>
        <v>Servicios diferenciados de diagnóstico del VIH</v>
      </c>
      <c r="D104" s="403" t="s">
        <v>436</v>
      </c>
      <c r="E104" s="406" t="s">
        <v>437</v>
      </c>
      <c r="F104" s="267"/>
      <c r="G104" s="267" t="b">
        <f t="shared" si="12"/>
        <v>1</v>
      </c>
      <c r="H104" s="405" t="s">
        <v>438</v>
      </c>
      <c r="I104" s="323" t="str">
        <f>IFERROR(VLOOKUP(E104,'Reference records(soft deleted)'!D$118:F$162,3,FALSE),"")</f>
        <v>a1O1R000006c5MbUAI</v>
      </c>
      <c r="J104" s="404" t="s">
        <v>332</v>
      </c>
      <c r="L104" s="89"/>
      <c r="M104" s="89"/>
      <c r="N104" s="89"/>
      <c r="O104" s="89"/>
      <c r="P104" s="89"/>
      <c r="Q104" s="89"/>
      <c r="R104" s="89"/>
      <c r="S104" s="89"/>
      <c r="T104" s="89"/>
      <c r="U104" s="89"/>
      <c r="Y104" s="311"/>
      <c r="AS104"/>
    </row>
    <row r="105" spans="1:45" ht="47.1" customHeight="1">
      <c r="A105" s="236">
        <v>3</v>
      </c>
      <c r="B105" s="236"/>
      <c r="C105" s="319" t="str">
        <f t="shared" si="11"/>
        <v>Tratamiento, atención y apoyo</v>
      </c>
      <c r="D105" s="403" t="s">
        <v>439</v>
      </c>
      <c r="E105" s="406" t="s">
        <v>440</v>
      </c>
      <c r="F105" s="267"/>
      <c r="G105" s="267" t="b">
        <f t="shared" si="12"/>
        <v>1</v>
      </c>
      <c r="H105" s="405" t="s">
        <v>441</v>
      </c>
      <c r="I105" s="323" t="str">
        <f>IFERROR(VLOOKUP(E105,'Reference records(soft deleted)'!D$118:F$162,3,FALSE),"")</f>
        <v>a1O1R000006c5McUAI</v>
      </c>
      <c r="J105" s="404" t="s">
        <v>332</v>
      </c>
      <c r="L105" s="89"/>
      <c r="M105" s="89"/>
      <c r="N105" s="89"/>
      <c r="O105" s="89"/>
      <c r="P105" s="89"/>
      <c r="Q105" s="89"/>
      <c r="R105" s="89"/>
      <c r="S105" s="89"/>
      <c r="T105" s="89"/>
      <c r="U105" s="89"/>
      <c r="Y105" s="311"/>
      <c r="AS105"/>
    </row>
    <row r="106" spans="1:45" ht="47.1" customHeight="1">
      <c r="A106" s="236">
        <v>4</v>
      </c>
      <c r="B106" s="236"/>
      <c r="C106" s="319" t="str">
        <f t="shared" si="11"/>
        <v>Atención y prevención de la tuberculosis</v>
      </c>
      <c r="D106" s="403" t="s">
        <v>442</v>
      </c>
      <c r="E106" s="406" t="s">
        <v>443</v>
      </c>
      <c r="F106" s="267"/>
      <c r="G106" s="267" t="b">
        <f t="shared" si="12"/>
        <v>1</v>
      </c>
      <c r="H106" s="405" t="s">
        <v>444</v>
      </c>
      <c r="I106" s="323" t="str">
        <f>IFERROR(VLOOKUP(E106,'Reference records(soft deleted)'!D$118:F$162,3,FALSE),"")</f>
        <v>a1O1R000006c5MeUAI</v>
      </c>
      <c r="J106" s="404" t="s">
        <v>332</v>
      </c>
      <c r="L106" s="89"/>
      <c r="M106" s="89"/>
      <c r="N106" s="89"/>
      <c r="O106" s="89"/>
      <c r="P106" s="89"/>
      <c r="Q106" s="89"/>
      <c r="R106" s="89"/>
      <c r="S106" s="89"/>
      <c r="T106" s="89"/>
      <c r="U106" s="89"/>
      <c r="Y106" s="311"/>
      <c r="AS106"/>
    </row>
    <row r="107" spans="1:45" ht="47.1" customHeight="1">
      <c r="A107" s="236">
        <v>5</v>
      </c>
      <c r="B107" s="236"/>
      <c r="C107" s="319" t="str">
        <f t="shared" si="11"/>
        <v>Tuberculosis multirresistente</v>
      </c>
      <c r="D107" s="403" t="s">
        <v>445</v>
      </c>
      <c r="E107" s="406" t="s">
        <v>446</v>
      </c>
      <c r="F107" s="267"/>
      <c r="G107" s="267" t="b">
        <f t="shared" si="12"/>
        <v>1</v>
      </c>
      <c r="H107" s="405" t="s">
        <v>447</v>
      </c>
      <c r="I107" s="323" t="str">
        <f>IFERROR(VLOOKUP(E107,'Reference records(soft deleted)'!D$118:F$162,3,FALSE),"")</f>
        <v>a1O1R000006c5MfUAI</v>
      </c>
      <c r="J107" s="404" t="s">
        <v>332</v>
      </c>
      <c r="L107" s="89"/>
      <c r="M107" s="89"/>
      <c r="N107" s="89"/>
      <c r="O107" s="89"/>
      <c r="P107" s="89"/>
      <c r="Q107" s="89"/>
      <c r="R107" s="89"/>
      <c r="S107" s="89"/>
      <c r="T107" s="89"/>
      <c r="U107" s="89"/>
      <c r="Y107" s="311"/>
      <c r="AS107"/>
    </row>
    <row r="108" spans="1:45" ht="47.1" customHeight="1">
      <c r="A108" s="236">
        <v>6</v>
      </c>
      <c r="B108" s="236"/>
      <c r="C108" s="319" t="str">
        <f t="shared" si="11"/>
        <v>SSRS: Sistemas de información de gestión de salud y M&amp;E (Monitoria y Evaluación)</v>
      </c>
      <c r="D108" s="403" t="s">
        <v>448</v>
      </c>
      <c r="E108" s="406" t="s">
        <v>449</v>
      </c>
      <c r="F108" s="267"/>
      <c r="G108" s="267" t="b">
        <f t="shared" si="12"/>
        <v>1</v>
      </c>
      <c r="H108" s="405" t="s">
        <v>450</v>
      </c>
      <c r="I108" s="323" t="str">
        <f>IFERROR(VLOOKUP(E108,'Reference records(soft deleted)'!D$118:F$162,3,FALSE),"")</f>
        <v>a1O1R000006c5MnUAI</v>
      </c>
      <c r="J108" s="404" t="s">
        <v>332</v>
      </c>
      <c r="L108" s="89"/>
      <c r="M108" s="89"/>
      <c r="N108" s="89"/>
      <c r="O108" s="89"/>
      <c r="P108" s="89"/>
      <c r="Q108" s="89"/>
      <c r="R108" s="89"/>
      <c r="S108" s="89"/>
      <c r="T108" s="89"/>
      <c r="U108" s="89"/>
      <c r="Y108" s="311"/>
      <c r="AS108"/>
    </row>
    <row r="109" spans="1:45" ht="47.1" customHeight="1">
      <c r="A109" s="236">
        <v>7</v>
      </c>
      <c r="B109" s="236"/>
      <c r="C109" s="319" t="str">
        <f t="shared" si="11"/>
        <v>Gestión de programas</v>
      </c>
      <c r="D109" s="403" t="s">
        <v>451</v>
      </c>
      <c r="E109" s="406" t="s">
        <v>452</v>
      </c>
      <c r="F109" s="267"/>
      <c r="G109" s="267" t="b">
        <f t="shared" si="12"/>
        <v>1</v>
      </c>
      <c r="H109" s="405" t="s">
        <v>453</v>
      </c>
      <c r="I109" s="323" t="str">
        <f>IFERROR(VLOOKUP(E109,'Reference records(soft deleted)'!D$118:F$162,3,FALSE),"")</f>
        <v>a1O1R000006c5MlUAI</v>
      </c>
      <c r="J109" s="404" t="s">
        <v>332</v>
      </c>
      <c r="L109" s="89"/>
      <c r="M109" s="89"/>
      <c r="N109" s="89"/>
      <c r="O109" s="89"/>
      <c r="P109" s="89"/>
      <c r="Q109" s="89"/>
      <c r="R109" s="89"/>
      <c r="S109" s="89"/>
      <c r="T109" s="89"/>
      <c r="U109" s="89"/>
      <c r="Y109" s="311"/>
      <c r="AS109"/>
    </row>
    <row r="110" spans="1:45" ht="47.1" customHeight="1">
      <c r="A110" s="236">
        <v>8</v>
      </c>
      <c r="B110" s="236"/>
      <c r="C110" s="319" t="str">
        <f t="shared" si="11"/>
        <v>--select--</v>
      </c>
      <c r="D110" s="403" t="s">
        <v>454</v>
      </c>
      <c r="E110" s="406"/>
      <c r="F110" s="267"/>
      <c r="G110" s="267" t="b">
        <f t="shared" si="12"/>
        <v>0</v>
      </c>
      <c r="H110" s="405" t="s">
        <v>455</v>
      </c>
      <c r="I110" s="323" t="str">
        <f>IFERROR(VLOOKUP(E110,'Reference records(soft deleted)'!D$118:F$162,3,FALSE),"")</f>
        <v/>
      </c>
      <c r="J110" s="404" t="s">
        <v>332</v>
      </c>
      <c r="L110" s="89"/>
      <c r="M110" s="89"/>
      <c r="N110" s="89"/>
      <c r="O110" s="89"/>
      <c r="P110" s="89"/>
      <c r="Q110" s="89"/>
      <c r="R110" s="89"/>
      <c r="S110" s="89"/>
      <c r="T110" s="89"/>
      <c r="U110" s="89"/>
      <c r="Y110" s="311"/>
      <c r="AS110"/>
    </row>
    <row r="111" spans="1:45" ht="47.1" customHeight="1">
      <c r="A111" s="236">
        <v>9</v>
      </c>
      <c r="B111" s="236"/>
      <c r="C111" s="319" t="str">
        <f t="shared" si="11"/>
        <v>--select--</v>
      </c>
      <c r="D111" s="403" t="s">
        <v>456</v>
      </c>
      <c r="E111" s="322" t="str">
        <f>IFERROR(IF(F111="[Module Reference (Name)]","--Select--",VLOOKUP(F111,'Reference records(soft deleted)'!$B$118:$D$162,3,FALSE)),"")</f>
        <v/>
      </c>
      <c r="F111" s="267"/>
      <c r="G111" s="267" t="b">
        <f t="shared" si="12"/>
        <v>0</v>
      </c>
      <c r="H111" s="405" t="s">
        <v>457</v>
      </c>
      <c r="I111" s="323" t="str">
        <f>IFERROR(VLOOKUP(E111,'Reference records(soft deleted)'!D$118:F$162,3,FALSE),"")</f>
        <v/>
      </c>
      <c r="J111" s="404" t="s">
        <v>332</v>
      </c>
      <c r="L111" s="89"/>
      <c r="M111" s="89"/>
      <c r="N111" s="89"/>
      <c r="O111" s="89"/>
      <c r="P111" s="89"/>
      <c r="Q111" s="89"/>
      <c r="R111" s="89"/>
      <c r="S111" s="89"/>
      <c r="T111" s="89"/>
      <c r="U111" s="89"/>
      <c r="Y111" s="311"/>
      <c r="AS111"/>
    </row>
    <row r="112" spans="1:45" ht="47.1" customHeight="1">
      <c r="A112" s="236">
        <v>10</v>
      </c>
      <c r="B112" s="236"/>
      <c r="C112" s="319" t="str">
        <f t="shared" si="11"/>
        <v>--select--</v>
      </c>
      <c r="D112" s="403" t="s">
        <v>458</v>
      </c>
      <c r="E112" s="322" t="str">
        <f>IFERROR(IF(F112="[Module Reference (Name)]","--Select--",VLOOKUP(F112,'Reference records(soft deleted)'!$B$118:$D$162,3,FALSE)),"")</f>
        <v/>
      </c>
      <c r="F112" s="267"/>
      <c r="G112" s="267" t="b">
        <f t="shared" si="12"/>
        <v>0</v>
      </c>
      <c r="H112" s="405" t="s">
        <v>459</v>
      </c>
      <c r="I112" s="323" t="str">
        <f>IFERROR(VLOOKUP(E112,'Reference records(soft deleted)'!D$118:F$162,3,FALSE),"")</f>
        <v/>
      </c>
      <c r="J112" s="404" t="s">
        <v>332</v>
      </c>
      <c r="L112" s="89"/>
      <c r="M112" s="89"/>
      <c r="N112" s="89"/>
      <c r="O112" s="89"/>
      <c r="P112" s="89"/>
      <c r="Q112" s="89"/>
      <c r="R112" s="89"/>
      <c r="S112" s="89"/>
      <c r="T112" s="89"/>
      <c r="U112" s="89"/>
      <c r="Y112" s="311"/>
      <c r="AS112"/>
    </row>
    <row r="113" spans="1:45" ht="47.1" customHeight="1">
      <c r="A113" s="236">
        <v>11</v>
      </c>
      <c r="B113" s="236"/>
      <c r="C113" s="319" t="str">
        <f t="shared" si="11"/>
        <v>--select--</v>
      </c>
      <c r="D113" s="403" t="s">
        <v>460</v>
      </c>
      <c r="E113" s="322" t="str">
        <f>IFERROR(IF(F113="[Module Reference (Name)]","--Select--",VLOOKUP(F113,'Reference records(soft deleted)'!$B$118:$D$162,3,FALSE)),"")</f>
        <v/>
      </c>
      <c r="F113" s="267"/>
      <c r="G113" s="267" t="b">
        <f t="shared" si="12"/>
        <v>0</v>
      </c>
      <c r="H113" s="405" t="s">
        <v>461</v>
      </c>
      <c r="I113" s="323" t="str">
        <f>IFERROR(VLOOKUP(E113,'Reference records(soft deleted)'!D$118:F$162,3,FALSE),"")</f>
        <v/>
      </c>
      <c r="J113" s="404" t="s">
        <v>332</v>
      </c>
      <c r="L113" s="89"/>
      <c r="M113" s="89"/>
      <c r="N113" s="89"/>
      <c r="O113" s="89"/>
      <c r="P113" s="89"/>
      <c r="Q113" s="89"/>
      <c r="R113" s="89"/>
      <c r="S113" s="89"/>
      <c r="T113" s="89"/>
      <c r="U113" s="89"/>
      <c r="Y113" s="311"/>
      <c r="AS113"/>
    </row>
    <row r="114" spans="1:45" ht="47.1" customHeight="1">
      <c r="A114" s="236">
        <v>12</v>
      </c>
      <c r="B114" s="236"/>
      <c r="C114" s="319" t="str">
        <f t="shared" si="11"/>
        <v>--select--</v>
      </c>
      <c r="D114" s="403" t="s">
        <v>462</v>
      </c>
      <c r="E114" s="322" t="str">
        <f>IFERROR(IF(F114="[Module Reference (Name)]","--Select--",VLOOKUP(F114,'Reference records(soft deleted)'!$B$118:$D$162,3,FALSE)),"")</f>
        <v/>
      </c>
      <c r="F114" s="267"/>
      <c r="G114" s="267" t="b">
        <f t="shared" si="12"/>
        <v>0</v>
      </c>
      <c r="H114" s="405" t="s">
        <v>463</v>
      </c>
      <c r="I114" s="323" t="str">
        <f>IFERROR(VLOOKUP(E114,'Reference records(soft deleted)'!D$118:F$162,3,FALSE),"")</f>
        <v/>
      </c>
      <c r="J114" s="404" t="s">
        <v>332</v>
      </c>
      <c r="L114" s="89"/>
      <c r="M114" s="89"/>
      <c r="N114" s="89"/>
      <c r="O114" s="89"/>
      <c r="P114" s="89"/>
      <c r="Q114" s="89"/>
      <c r="R114" s="89"/>
      <c r="S114" s="89"/>
      <c r="T114" s="89"/>
      <c r="U114" s="89"/>
      <c r="Y114" s="311"/>
      <c r="AS114"/>
    </row>
    <row r="115" spans="1:45" ht="47.1" customHeight="1">
      <c r="A115" s="236">
        <v>13</v>
      </c>
      <c r="B115" s="236"/>
      <c r="C115" s="319" t="str">
        <f t="shared" si="11"/>
        <v>--select--</v>
      </c>
      <c r="D115" s="403" t="s">
        <v>464</v>
      </c>
      <c r="E115" s="322" t="str">
        <f>IFERROR(IF(F115="[Module Reference (Name)]","--Select--",VLOOKUP(F115,'Reference records(soft deleted)'!$B$118:$D$162,3,FALSE)),"")</f>
        <v/>
      </c>
      <c r="F115" s="267"/>
      <c r="G115" s="267" t="b">
        <f t="shared" si="12"/>
        <v>0</v>
      </c>
      <c r="H115" s="405" t="s">
        <v>465</v>
      </c>
      <c r="I115" s="323" t="str">
        <f>IFERROR(VLOOKUP(E115,'Reference records(soft deleted)'!D$118:F$162,3,FALSE),"")</f>
        <v/>
      </c>
      <c r="J115" s="404" t="s">
        <v>332</v>
      </c>
      <c r="L115" s="89"/>
      <c r="M115" s="89"/>
      <c r="N115" s="89"/>
      <c r="O115" s="89"/>
      <c r="P115" s="89"/>
      <c r="Q115" s="89"/>
      <c r="R115" s="89"/>
      <c r="S115" s="89"/>
      <c r="T115" s="89"/>
      <c r="U115" s="89"/>
      <c r="Y115" s="311"/>
      <c r="AS115"/>
    </row>
    <row r="116" spans="1:45" ht="47.1" customHeight="1">
      <c r="A116" s="236">
        <v>14</v>
      </c>
      <c r="B116" s="236"/>
      <c r="C116" s="319" t="str">
        <f t="shared" si="11"/>
        <v>--select--</v>
      </c>
      <c r="D116" s="403" t="s">
        <v>466</v>
      </c>
      <c r="E116" s="322" t="str">
        <f>IFERROR(IF(F116="[Module Reference (Name)]","--Select--",VLOOKUP(F116,'Reference records(soft deleted)'!$B$118:$D$162,3,FALSE)),"")</f>
        <v/>
      </c>
      <c r="F116" s="267"/>
      <c r="G116" s="267" t="b">
        <f t="shared" si="12"/>
        <v>0</v>
      </c>
      <c r="H116" s="405" t="s">
        <v>467</v>
      </c>
      <c r="I116" s="323" t="str">
        <f>IFERROR(VLOOKUP(E116,'Reference records(soft deleted)'!D$118:F$162,3,FALSE),"")</f>
        <v/>
      </c>
      <c r="J116" s="404" t="s">
        <v>332</v>
      </c>
      <c r="L116" s="89"/>
      <c r="M116" s="89"/>
      <c r="N116" s="89"/>
      <c r="O116" s="89"/>
      <c r="P116" s="89"/>
      <c r="Q116" s="89"/>
      <c r="R116" s="89"/>
      <c r="S116" s="89"/>
      <c r="T116" s="89"/>
      <c r="U116" s="89"/>
      <c r="Y116" s="311"/>
      <c r="AS116"/>
    </row>
    <row r="117" spans="1:45" ht="47.1" customHeight="1">
      <c r="A117" s="236">
        <v>15</v>
      </c>
      <c r="B117" s="236"/>
      <c r="C117" s="319" t="str">
        <f t="shared" si="11"/>
        <v>--select--</v>
      </c>
      <c r="D117" s="403" t="s">
        <v>468</v>
      </c>
      <c r="E117" s="322" t="str">
        <f>IFERROR(IF(F117="[Module Reference (Name)]","--Select--",VLOOKUP(F117,'Reference records(soft deleted)'!$B$118:$D$162,3,FALSE)),"")</f>
        <v/>
      </c>
      <c r="F117" s="267"/>
      <c r="G117" s="267" t="b">
        <f t="shared" si="12"/>
        <v>0</v>
      </c>
      <c r="H117" s="405" t="s">
        <v>469</v>
      </c>
      <c r="I117" s="323" t="str">
        <f>IFERROR(VLOOKUP(E117,'Reference records(soft deleted)'!D$118:F$162,3,FALSE),"")</f>
        <v/>
      </c>
      <c r="J117" s="404" t="s">
        <v>332</v>
      </c>
      <c r="L117" s="89"/>
      <c r="M117" s="89"/>
      <c r="N117" s="89"/>
      <c r="O117" s="89"/>
      <c r="P117" s="89"/>
      <c r="Q117" s="89"/>
      <c r="R117" s="89"/>
      <c r="S117" s="89"/>
      <c r="T117" s="89"/>
      <c r="U117" s="89"/>
      <c r="Y117" s="311"/>
      <c r="AS117"/>
    </row>
    <row r="118" spans="1:45" ht="21" hidden="1" customHeight="1">
      <c r="A118" s="260"/>
      <c r="B118" s="254"/>
      <c r="C118" s="254"/>
      <c r="D118" s="254"/>
      <c r="E118" s="254"/>
      <c r="F118" s="254"/>
      <c r="G118" s="254"/>
      <c r="H118" s="254"/>
      <c r="I118" s="254"/>
      <c r="J118" s="308"/>
      <c r="L118" s="89"/>
      <c r="M118" s="89"/>
      <c r="N118" s="89"/>
      <c r="O118" s="89"/>
      <c r="P118" s="89"/>
      <c r="Q118" s="89"/>
      <c r="R118" s="89"/>
      <c r="S118" s="89"/>
      <c r="T118" s="89"/>
      <c r="U118" s="89"/>
    </row>
    <row r="119" spans="1:45" ht="35.25" customHeight="1">
      <c r="L119" s="89"/>
      <c r="M119" s="89"/>
      <c r="N119" s="89"/>
      <c r="O119" s="89"/>
      <c r="P119" s="89"/>
      <c r="Q119" s="89"/>
      <c r="R119" s="89"/>
      <c r="S119" s="89"/>
      <c r="T119" s="89"/>
      <c r="U119" s="89"/>
    </row>
    <row r="120" spans="1:45" ht="27.75" customHeight="1">
      <c r="A120" s="324"/>
      <c r="B120" s="130"/>
      <c r="C120" s="130"/>
      <c r="D120" s="130"/>
      <c r="E120" s="89"/>
      <c r="F120" s="89"/>
      <c r="G120" s="89"/>
      <c r="H120" s="89"/>
      <c r="I120" s="89"/>
      <c r="J120" s="89"/>
      <c r="K120" s="89"/>
      <c r="L120" s="89"/>
      <c r="M120" s="89"/>
      <c r="N120" s="89"/>
      <c r="O120" s="89"/>
      <c r="P120" s="89"/>
      <c r="Q120" s="89"/>
      <c r="R120" s="89"/>
      <c r="S120" s="89"/>
      <c r="T120" s="89"/>
      <c r="U120" s="89"/>
    </row>
    <row r="121" spans="1:45" ht="16.5" customHeight="1">
      <c r="A121" s="500" t="str">
        <f ca="1">Translations!A50</f>
        <v>Solo se requiere si tiene Medidas de Seguimiento al Plan de Trabajo</v>
      </c>
      <c r="B121" s="501"/>
      <c r="C121" s="501"/>
      <c r="D121" s="501"/>
      <c r="E121" s="501"/>
      <c r="F121" s="501"/>
      <c r="G121" s="501"/>
      <c r="H121" s="501"/>
      <c r="I121" s="501"/>
      <c r="J121" s="501"/>
      <c r="K121" s="501"/>
      <c r="L121" s="501"/>
      <c r="M121" s="501"/>
      <c r="N121" s="501"/>
      <c r="O121" s="501"/>
      <c r="P121" s="501"/>
      <c r="Q121" s="501"/>
      <c r="R121" s="501"/>
      <c r="S121" s="501"/>
      <c r="T121" s="501"/>
      <c r="U121" s="501"/>
      <c r="V121" s="501"/>
      <c r="W121" s="334"/>
      <c r="X121" s="334"/>
      <c r="Y121" s="334"/>
      <c r="Z121" s="334"/>
      <c r="AA121" s="334"/>
      <c r="AB121" s="334"/>
      <c r="AC121" s="344"/>
    </row>
    <row r="122" spans="1:45" ht="30" customHeight="1">
      <c r="A122" s="489" t="s">
        <v>470</v>
      </c>
      <c r="B122" s="490"/>
      <c r="C122" s="490"/>
      <c r="D122" s="490"/>
      <c r="E122" s="490"/>
      <c r="F122" s="490"/>
      <c r="G122" s="490"/>
      <c r="H122" s="490"/>
      <c r="I122" s="490"/>
      <c r="J122" s="490"/>
      <c r="K122" s="490"/>
      <c r="L122" s="490"/>
      <c r="M122" s="490"/>
      <c r="N122" s="490"/>
      <c r="O122" s="490"/>
      <c r="P122" s="490"/>
      <c r="Q122" s="490"/>
      <c r="R122" s="490"/>
      <c r="S122" s="490"/>
      <c r="T122" s="490"/>
      <c r="U122" s="490"/>
      <c r="V122" s="490"/>
      <c r="W122" s="335"/>
      <c r="X122" s="335"/>
      <c r="Y122" s="335"/>
      <c r="Z122" s="345"/>
      <c r="AA122" s="345"/>
      <c r="AB122" s="345"/>
      <c r="AC122" s="346"/>
    </row>
    <row r="123" spans="1:45" ht="46.5" customHeight="1">
      <c r="A123" s="263" t="str">
        <f ca="1">Translations!A32</f>
        <v>Número de intervención</v>
      </c>
      <c r="B123" s="263"/>
      <c r="C123" s="263"/>
      <c r="D123" s="263" t="s">
        <v>471</v>
      </c>
      <c r="E123" s="263" t="str">
        <f ca="1">Translations!A28</f>
        <v>Módulos</v>
      </c>
      <c r="F123" s="263" t="s">
        <v>472</v>
      </c>
      <c r="G123" s="263" t="s">
        <v>473</v>
      </c>
      <c r="H123" s="263" t="s">
        <v>474</v>
      </c>
      <c r="I123" s="263" t="s">
        <v>475</v>
      </c>
      <c r="J123" s="263" t="s">
        <v>476</v>
      </c>
      <c r="K123" s="263" t="str">
        <f ca="1">Translations!A33</f>
        <v xml:space="preserve">Intervención estándar </v>
      </c>
      <c r="L123" s="263" t="s">
        <v>477</v>
      </c>
      <c r="M123" s="332" t="s">
        <v>478</v>
      </c>
      <c r="N123" s="332" t="s">
        <v>479</v>
      </c>
      <c r="O123" s="332" t="s">
        <v>480</v>
      </c>
      <c r="P123" s="332" t="s">
        <v>481</v>
      </c>
      <c r="Q123" s="332" t="s">
        <v>428</v>
      </c>
      <c r="R123" s="332" t="s">
        <v>482</v>
      </c>
      <c r="S123" s="263" t="s">
        <v>483</v>
      </c>
      <c r="T123" s="336" t="str">
        <f ca="1">Translations!A34</f>
        <v>Intervención personalizada (solo si selecciona "otras" intervenciones)</v>
      </c>
      <c r="U123" s="337" t="s">
        <v>484</v>
      </c>
      <c r="V123" s="336" t="s">
        <v>485</v>
      </c>
      <c r="W123" s="338" t="s">
        <v>349</v>
      </c>
      <c r="X123" s="339" t="s">
        <v>427</v>
      </c>
      <c r="Y123" s="339" t="s">
        <v>348</v>
      </c>
      <c r="Z123" s="339" t="s">
        <v>486</v>
      </c>
      <c r="AA123" s="339" t="s">
        <v>487</v>
      </c>
      <c r="AB123" s="339" t="s">
        <v>341</v>
      </c>
      <c r="AC123" s="347"/>
      <c r="AD123" s="347" t="s">
        <v>488</v>
      </c>
      <c r="AE123" s="339" t="s">
        <v>489</v>
      </c>
      <c r="AF123" s="347" t="s">
        <v>490</v>
      </c>
      <c r="AG123" s="347" t="s">
        <v>487</v>
      </c>
      <c r="AH123" s="348" t="s">
        <v>491</v>
      </c>
      <c r="AI123" s="347" t="s">
        <v>492</v>
      </c>
      <c r="AJ123" s="347" t="s">
        <v>493</v>
      </c>
      <c r="AK123" s="347" t="s">
        <v>494</v>
      </c>
      <c r="AL123" s="347" t="s">
        <v>495</v>
      </c>
      <c r="AM123" s="347" t="s">
        <v>496</v>
      </c>
      <c r="AN123" s="347" t="s">
        <v>497</v>
      </c>
      <c r="AO123" s="347"/>
      <c r="AP123" s="347"/>
      <c r="AQ123" s="347" t="s">
        <v>498</v>
      </c>
      <c r="AR123" s="17"/>
    </row>
    <row r="124" spans="1:45" ht="47.1" hidden="1" customHeight="1">
      <c r="A124" s="236"/>
      <c r="B124" s="325"/>
      <c r="C124" s="325"/>
      <c r="D124" s="172"/>
      <c r="E124" s="326" t="str">
        <f>IFERROR(IF(AND(K124="",T124=""),"",(VLOOKUP(Q124,'Reference records(soft deleted)'!$B$118:$D$162,3,FALSE))),"")</f>
        <v/>
      </c>
      <c r="F124" s="327" t="s">
        <v>499</v>
      </c>
      <c r="G124" s="327" t="s">
        <v>500</v>
      </c>
      <c r="H124" s="328" t="str">
        <f>IF(R124="",IFERROR(VLOOKUP(AC124,'Reference Records'!G$430:J431,4,0),""),IFERROR(VLOOKUP(AC124,'Reference Records'!H$430:J431,3,0),""))</f>
        <v/>
      </c>
      <c r="I124" s="328"/>
      <c r="J124" s="333" t="s">
        <v>501</v>
      </c>
      <c r="K124" s="326" t="str">
        <f>IFERROR(VLOOKUP(INDEX('Reference Records'!E$429:E653,MATCH(R124,'Reference Records'!F$429:F653,0),1),'Reference Records'!B$211:C213,2,0),"")</f>
        <v/>
      </c>
      <c r="L124" s="328" t="e">
        <f>VLOOKUP(U124&amp;K124,'Reference Records'!H$212:I351,2,0)</f>
        <v>#N/A</v>
      </c>
      <c r="M124" s="328" t="e">
        <f>MATCH($L124,'Reference Records'!$E$430:$E$653,0)+ROW(Population_by_intervention)-1</f>
        <v>#N/A</v>
      </c>
      <c r="N124" s="328" t="e">
        <f>MATCH($L124,'Reference Records'!$E$430:$E$653,1)+ROW(Population_by_intervention)-1</f>
        <v>#N/A</v>
      </c>
      <c r="O124" s="328" t="e">
        <f>INDEX('Reference Records'!K$212:K351,MATCH(L124,'Reference Records'!B$212:B351,0))</f>
        <v>#N/A</v>
      </c>
      <c r="P124" s="328"/>
      <c r="Q124" s="340" t="s">
        <v>432</v>
      </c>
      <c r="R124" s="341" t="s">
        <v>502</v>
      </c>
      <c r="S124" s="328" t="str">
        <f>IFERROR(VLOOKUP(INDEX('Reference Records'!J$429:J653,MATCH(R124,'Reference Records'!F$429:F653),1),'Reference Records'!B$211:C213,2,0),"")</f>
        <v/>
      </c>
      <c r="T124" s="333"/>
      <c r="U124" s="342" t="str">
        <f>IFERROR(IF(VLOOKUP(E124,'Reference Records'!$F$159:$N$210,9,FALSE)=0,"",VLOOKUP(E124,'Reference Records'!$F$159:$N$210,9,FALSE)),"")</f>
        <v/>
      </c>
      <c r="V124" s="326" t="str">
        <f t="shared" ref="V124:V155" si="13">IF(IF(Language="French",G124,F124)=0,"",IF(Language="French",G124,F124))</f>
        <v>[Intervention ES]</v>
      </c>
      <c r="W124" s="343" t="str">
        <f>K124&amp;T124</f>
        <v/>
      </c>
      <c r="X124" s="343" t="str">
        <f>IFERROR(VLOOKUP(E124,$E$102:$H$119,4,FALSE),"")</f>
        <v>a1P3p00000CPRBlEAP</v>
      </c>
      <c r="Y124" s="343" t="b">
        <f>IFERROR(IF(OR(K124&lt;&gt;"",T124&lt;&gt;""),TRUE,FALSE),FALSE)</f>
        <v>0</v>
      </c>
      <c r="Z124" s="343" t="b">
        <f>IFERROR(TRUE,FALSE)</f>
        <v>1</v>
      </c>
      <c r="AA124" s="343" t="str">
        <f>IF(R124="",IFERROR(VLOOKUP(AC124,'Reference Records'!G$430:J431,3,0),""),IFERROR(VLOOKUP(AC124,'Reference Records'!H$430:J431,2,0),""))</f>
        <v/>
      </c>
      <c r="AB124" s="343" t="s">
        <v>345</v>
      </c>
      <c r="AC124" s="347" t="e">
        <f>IF(R124="",L124&amp;"|"&amp;V124,L124&amp;"|"&amp;R124)</f>
        <v>#N/A</v>
      </c>
      <c r="AD124" s="347" t="str">
        <f>E124</f>
        <v/>
      </c>
      <c r="AE124" s="347" t="str">
        <f t="array" ref="AE124">IFERROR(IF(INDEX($W$124:$W$175,MATCH(0,IF(AD124=$E$124:$E$175,COUNTIF($AE$123:$AE123,$W$124:$W$175),""),0))=0,"",INDEX($W$124:$W$175,MATCH(0,IF(AD124=$E$124:$E$175,COUNTIF($AE$123:$AE123,$W$124:$W$175),""),0))),"")</f>
        <v/>
      </c>
      <c r="AF124" s="347" t="str">
        <f>IF(AND(E124&amp;J124="",AQ124&lt;&gt;""),"|empty|",E124&amp;V124&amp;K124&amp;T124)</f>
        <v>[Intervention ES]</v>
      </c>
      <c r="AG124" s="347" t="str">
        <f>AQ124</f>
        <v>[Intervention ID]</v>
      </c>
      <c r="AH124" s="347" t="e">
        <f>X124&amp;AC124</f>
        <v>#N/A</v>
      </c>
      <c r="AI124" s="347">
        <f>IF(COUNTIF($AH$124:AH175,"&lt;="&amp;AH124)=0,"",COUNTIF($AH$124:AH175,"&lt;="&amp;AH124))</f>
        <v>47</v>
      </c>
      <c r="AJ124" s="347">
        <f>RANK(AI124,AI$124:AI175,1)</f>
        <v>5</v>
      </c>
      <c r="AK124" s="347" t="str">
        <f>INDEX(E$124:E175,MATCH(ROWS(AJ$124:AJ124),AJ$124:AJ175,0))</f>
        <v>Prevención</v>
      </c>
      <c r="AL124" s="347" t="str">
        <f>INDEX(K$124:K175,MATCH(ROWS(AJ$124:AJ124),AJ$124:AJ175,0))</f>
        <v>PrEP</v>
      </c>
      <c r="AM124" s="347" t="str">
        <f>INDEX(V$124:V175,MATCH(ROWS(AJ$124:AJ124),AJ$124:AJ175,0))</f>
        <v>HSH</v>
      </c>
      <c r="AN124" s="347" t="str">
        <f>AK124&amp;AL124</f>
        <v>PrevenciónPrEP</v>
      </c>
      <c r="AO124" s="347" t="e">
        <f>L124</f>
        <v>#N/A</v>
      </c>
      <c r="AP124" s="347"/>
      <c r="AQ124" s="349" t="s">
        <v>503</v>
      </c>
      <c r="AR124" s="17"/>
    </row>
    <row r="125" spans="1:45" ht="47.1" customHeight="1">
      <c r="A125" s="236">
        <v>1</v>
      </c>
      <c r="B125" s="325"/>
      <c r="C125" s="325"/>
      <c r="D125" s="172"/>
      <c r="E125" s="326" t="s">
        <v>437</v>
      </c>
      <c r="F125" s="327"/>
      <c r="G125" s="327"/>
      <c r="H125" s="328" t="str">
        <f>IF(R125="",IFERROR(VLOOKUP(AC125,'Reference Records'!G$430:J653,4,0),""),IFERROR(VLOOKUP(AC125,'Reference Records'!H$430:J653,3,0),""))</f>
        <v>Men who have sex with men</v>
      </c>
      <c r="I125" s="328"/>
      <c r="J125" s="333"/>
      <c r="K125" s="326" t="s">
        <v>504</v>
      </c>
      <c r="L125" s="328" t="str">
        <f>VLOOKUP(U125&amp;K125,'Reference Records'!H$212:I352,2,0)</f>
        <v>MCI-00694</v>
      </c>
      <c r="M125" s="328">
        <f>MATCH($L125,'Reference Records'!$E$430:$E$653,0)+ROW(Population_by_intervention)-1</f>
        <v>510</v>
      </c>
      <c r="N125" s="328">
        <f>MATCH($L125,'Reference Records'!$E$430:$E$653,1)+ROW(Population_by_intervention)-1</f>
        <v>519</v>
      </c>
      <c r="O125" s="328" t="str">
        <f>INDEX('Reference Records'!K$212:K352,MATCH(L125,'Reference Records'!B$212:B352,0))</f>
        <v>Community-based testing</v>
      </c>
      <c r="P125" s="328"/>
      <c r="Q125" s="340"/>
      <c r="R125" s="341"/>
      <c r="S125" s="328" t="str">
        <f>IFERROR(VLOOKUP(INDEX('Reference Records'!J$429:J654,MATCH(R125,'Reference Records'!F$429:F654),1),'Reference Records'!B$211:C351,2,0),"")</f>
        <v/>
      </c>
      <c r="T125" s="333"/>
      <c r="U125" s="342" t="str">
        <f>IFERROR(IF(VLOOKUP(E125,'Reference Records'!$F$159:$N$210,9,FALSE)=0,"",VLOOKUP(E125,'Reference Records'!$F$159:$N$210,9,FALSE)),"")</f>
        <v>MCI-00650</v>
      </c>
      <c r="V125" s="326" t="s">
        <v>505</v>
      </c>
      <c r="W125" s="343" t="str">
        <f t="shared" ref="W125:W174" si="14">K125&amp;T125</f>
        <v>Pruebas a nivel comunitario</v>
      </c>
      <c r="X125" s="343" t="str">
        <f t="shared" ref="X125:X174" si="15">IFERROR(VLOOKUP(E125,$E$102:$H$119,4,FALSE),"")</f>
        <v>a1P3p00000CPRBeEAP</v>
      </c>
      <c r="Y125" s="343" t="b">
        <f t="shared" ref="Y125:Y174" si="16">IFERROR(IF(OR(K125&lt;&gt;"",T125&lt;&gt;""),TRUE,FALSE),FALSE)</f>
        <v>1</v>
      </c>
      <c r="Z125" s="343" t="b">
        <f t="shared" ref="Z125:Z174" si="17">IFERROR(TRUE,FALSE)</f>
        <v>1</v>
      </c>
      <c r="AA125" s="343" t="str">
        <f>IF(R125="",IFERROR(VLOOKUP(AC125,'Reference Records'!G$430:J653,3,0),""),IFERROR(VLOOKUP(AC125,'Reference Records'!H$430:J653,2,0),""))</f>
        <v>a1O1R000006c5kxUAA</v>
      </c>
      <c r="AB125" s="343" t="s">
        <v>506</v>
      </c>
      <c r="AC125" s="347" t="str">
        <f t="shared" ref="AC125:AC174" si="18">IF(R125="",L125&amp;"|"&amp;V125,L125&amp;"|"&amp;R125)</f>
        <v>MCI-00694|HSH</v>
      </c>
      <c r="AD125" s="347" t="str">
        <f t="shared" ref="AD125:AD174" si="19">E125</f>
        <v>Servicios diferenciados de diagnóstico del VIH</v>
      </c>
      <c r="AE125" s="347" t="str">
        <f t="array" ref="AE125">IFERROR(IF(INDEX($W$124:$W$175,MATCH(0,IF(AD125=$E$124:$E$175,COUNTIF($AE$123:$AE124,$W$124:$W$175),""),0))=0,"",INDEX($W$124:$W$175,MATCH(0,IF(AD125=$E$124:$E$175,COUNTIF($AE$123:$AE124,$W$124:$W$175),""),0))),"")</f>
        <v>Pruebas a nivel comunitario</v>
      </c>
      <c r="AF125" s="347" t="str">
        <f t="shared" ref="AF125:AF174" si="20">IF(AND(E125&amp;J125="",AQ125&lt;&gt;""),"|empty|",E125&amp;V125&amp;K125&amp;T125)</f>
        <v>Servicios diferenciados de diagnóstico del VIHHSHPruebas a nivel comunitario</v>
      </c>
      <c r="AG125" s="347" t="str">
        <f t="shared" ref="AG125:AG174" si="21">AQ125</f>
        <v>INT-257063</v>
      </c>
      <c r="AH125" s="347" t="str">
        <f t="shared" ref="AH125:AH174" si="22">X125&amp;AC125</f>
        <v>a1P3p00000CPRBeEAPMCI-00694|HSH</v>
      </c>
      <c r="AI125" s="347">
        <f>IF(COUNTIF($AH$124:AH176,"&lt;="&amp;AH125)=0,"",COUNTIF($AH$124:AH176,"&lt;="&amp;AH125))</f>
        <v>2</v>
      </c>
      <c r="AJ125" s="347">
        <f>RANK(AI125,AI$124:AI176,1)</f>
        <v>2</v>
      </c>
      <c r="AK125" s="347" t="str">
        <f>INDEX(E$124:E176,MATCH(ROWS(AJ$124:AJ125),AJ$124:AJ176,0))</f>
        <v>Servicios diferenciados de diagnóstico del VIH</v>
      </c>
      <c r="AL125" s="347" t="str">
        <f>INDEX(K$124:K176,MATCH(ROWS(AJ$124:AJ125),AJ$124:AJ176,0))</f>
        <v>Pruebas a nivel comunitario</v>
      </c>
      <c r="AM125" s="347" t="str">
        <f>INDEX(V$124:V176,MATCH(ROWS(AJ$124:AJ125),AJ$124:AJ176,0))</f>
        <v>HSH</v>
      </c>
      <c r="AN125" s="347" t="str">
        <f t="shared" ref="AN125:AN174" si="23">AK125&amp;AL125</f>
        <v>Servicios diferenciados de diagnóstico del VIHPruebas a nivel comunitario</v>
      </c>
      <c r="AO125" s="347" t="str">
        <f t="shared" ref="AO125:AO174" si="24">L125</f>
        <v>MCI-00694</v>
      </c>
      <c r="AP125" s="347"/>
      <c r="AQ125" s="349" t="s">
        <v>507</v>
      </c>
      <c r="AR125" s="17"/>
    </row>
    <row r="126" spans="1:45" ht="47.1" customHeight="1">
      <c r="A126" s="236">
        <v>2</v>
      </c>
      <c r="B126" s="325"/>
      <c r="C126" s="325"/>
      <c r="D126" s="172"/>
      <c r="E126" s="326" t="s">
        <v>434</v>
      </c>
      <c r="F126" s="327"/>
      <c r="G126" s="327"/>
      <c r="H126" s="328" t="str">
        <f>IF(R126="",IFERROR(VLOOKUP(AC126,'Reference Records'!G$430:J654,4,0),""),IFERROR(VLOOKUP(AC126,'Reference Records'!H$430:J654,3,0),""))</f>
        <v>Men who have sex with men</v>
      </c>
      <c r="I126" s="328"/>
      <c r="J126" s="333"/>
      <c r="K126" s="326" t="s">
        <v>508</v>
      </c>
      <c r="L126" s="328" t="str">
        <f>VLOOKUP(U126&amp;K126,'Reference Records'!H$212:I353,2,0)</f>
        <v>MCI-00671</v>
      </c>
      <c r="M126" s="328">
        <f>MATCH($L126,'Reference Records'!$E$430:$E$653,0)+ROW(Population_by_intervention)-1</f>
        <v>440</v>
      </c>
      <c r="N126" s="328">
        <f>MATCH($L126,'Reference Records'!$E$430:$E$653,1)+ROW(Population_by_intervention)-1</f>
        <v>446</v>
      </c>
      <c r="O126" s="328" t="str">
        <f>INDEX('Reference Records'!K$212:K353,MATCH(L126,'Reference Records'!B$212:B353,0))</f>
        <v>Pre-exposure prophylaxis</v>
      </c>
      <c r="P126" s="328"/>
      <c r="Q126" s="340"/>
      <c r="R126" s="341"/>
      <c r="S126" s="328" t="str">
        <f>IFERROR(VLOOKUP(INDEX('Reference Records'!J$429:J655,MATCH(R126,'Reference Records'!F$429:F655),1),'Reference Records'!B$211:C352,2,0),"")</f>
        <v/>
      </c>
      <c r="T126" s="333"/>
      <c r="U126" s="342" t="str">
        <f>IFERROR(IF(VLOOKUP(E126,'Reference Records'!$F$159:$N$210,9,FALSE)=0,"",VLOOKUP(E126,'Reference Records'!$F$159:$N$210,9,FALSE)),"")</f>
        <v>MCI-00648</v>
      </c>
      <c r="V126" s="326" t="s">
        <v>505</v>
      </c>
      <c r="W126" s="343" t="str">
        <f t="shared" si="14"/>
        <v>PrEP</v>
      </c>
      <c r="X126" s="343" t="str">
        <f t="shared" si="15"/>
        <v>a1P3p00000CPRBdEAP</v>
      </c>
      <c r="Y126" s="343" t="b">
        <f t="shared" si="16"/>
        <v>1</v>
      </c>
      <c r="Z126" s="343" t="b">
        <f t="shared" si="17"/>
        <v>1</v>
      </c>
      <c r="AA126" s="343" t="str">
        <f>IF(R126="",IFERROR(VLOOKUP(AC126,'Reference Records'!G$430:J654,3,0),""),IFERROR(VLOOKUP(AC126,'Reference Records'!H$430:J654,2,0),""))</f>
        <v>a1O1R000006c5jqUAA</v>
      </c>
      <c r="AB126" s="343" t="s">
        <v>509</v>
      </c>
      <c r="AC126" s="347" t="str">
        <f t="shared" si="18"/>
        <v>MCI-00671|HSH</v>
      </c>
      <c r="AD126" s="347" t="str">
        <f t="shared" si="19"/>
        <v>Prevención</v>
      </c>
      <c r="AE126" s="347" t="str">
        <f t="array" ref="AE126">IFERROR(IF(INDEX($W$124:$W$175,MATCH(0,IF(AD126=$E$124:$E$175,COUNTIF($AE$123:$AE125,$W$124:$W$175),""),0))=0,"",INDEX($W$124:$W$175,MATCH(0,IF(AD126=$E$124:$E$175,COUNTIF($AE$123:$AE125,$W$124:$W$175),""),0))),"")</f>
        <v>PrEP</v>
      </c>
      <c r="AF126" s="347" t="str">
        <f t="shared" si="20"/>
        <v>PrevenciónHSHPrEP</v>
      </c>
      <c r="AG126" s="347" t="str">
        <f t="shared" si="21"/>
        <v>INT-257064</v>
      </c>
      <c r="AH126" s="347" t="str">
        <f t="shared" si="22"/>
        <v>a1P3p00000CPRBdEAPMCI-00671|HSH</v>
      </c>
      <c r="AI126" s="347">
        <f>IF(COUNTIF($AH$124:AH177,"&lt;="&amp;AH126)=0,"",COUNTIF($AH$124:AH177,"&lt;="&amp;AH126))</f>
        <v>1</v>
      </c>
      <c r="AJ126" s="347">
        <f>RANK(AI126,AI$124:AI177,1)</f>
        <v>1</v>
      </c>
      <c r="AK126" s="347" t="str">
        <f>INDEX(E$124:E177,MATCH(ROWS(AJ$124:AJ126),AJ$124:AJ177,0))</f>
        <v>Atención y prevención de la tuberculosis</v>
      </c>
      <c r="AL126" s="347" t="str">
        <f>INDEX(K$124:K177,MATCH(ROWS(AJ$124:AJ126),AJ$124:AJ177,0))</f>
        <v>Detección y diagnóstico de casos (Atención y prevención de la tuberculosis)</v>
      </c>
      <c r="AM126" s="347" t="str">
        <f>INDEX(V$124:V177,MATCH(ROWS(AJ$124:AJ126),AJ$124:AJ177,0))</f>
        <v>No aplicable</v>
      </c>
      <c r="AN126" s="347" t="str">
        <f t="shared" si="23"/>
        <v>Atención y prevención de la tuberculosisDetección y diagnóstico de casos (Atención y prevención de la tuberculosis)</v>
      </c>
      <c r="AO126" s="347" t="str">
        <f t="shared" si="24"/>
        <v>MCI-00671</v>
      </c>
      <c r="AP126" s="347"/>
      <c r="AQ126" s="349" t="s">
        <v>510</v>
      </c>
      <c r="AR126" s="17"/>
    </row>
    <row r="127" spans="1:45" ht="47.1" customHeight="1">
      <c r="A127" s="236">
        <v>3</v>
      </c>
      <c r="B127" s="325"/>
      <c r="C127" s="325"/>
      <c r="D127" s="172"/>
      <c r="E127" s="326" t="s">
        <v>443</v>
      </c>
      <c r="F127" s="327"/>
      <c r="G127" s="327"/>
      <c r="H127" s="328" t="str">
        <f>IF(R127="",IFERROR(VLOOKUP(AC127,'Reference Records'!G$430:J655,4,0),""),IFERROR(VLOOKUP(AC127,'Reference Records'!H$430:J655,3,0),""))</f>
        <v>Not applicable</v>
      </c>
      <c r="I127" s="328"/>
      <c r="J127" s="333"/>
      <c r="K127" s="326" t="s">
        <v>511</v>
      </c>
      <c r="L127" s="328" t="str">
        <f>VLOOKUP(U127&amp;K127,'Reference Records'!H$212:I354,2,0)</f>
        <v>MCI-00711</v>
      </c>
      <c r="M127" s="328">
        <f>MATCH($L127,'Reference Records'!$E$430:$E$653,0)+ROW(Population_by_intervention)-1</f>
        <v>557</v>
      </c>
      <c r="N127" s="328">
        <f>MATCH($L127,'Reference Records'!$E$430:$E$653,1)+ROW(Population_by_intervention)-1</f>
        <v>557</v>
      </c>
      <c r="O127" s="328" t="str">
        <f>INDEX('Reference Records'!K$212:K354,MATCH(L127,'Reference Records'!B$212:B354,0))</f>
        <v>Case detection and diagnosis (TB care and prevention)</v>
      </c>
      <c r="P127" s="328"/>
      <c r="Q127" s="340"/>
      <c r="R127" s="341"/>
      <c r="S127" s="328" t="str">
        <f>IFERROR(VLOOKUP(INDEX('Reference Records'!J$429:J656,MATCH(R127,'Reference Records'!F$429:F656),1),'Reference Records'!B$211:C353,2,0),"")</f>
        <v/>
      </c>
      <c r="T127" s="333"/>
      <c r="U127" s="342" t="str">
        <f>IFERROR(IF(VLOOKUP(E127,'Reference Records'!$F$159:$N$210,9,FALSE)=0,"",VLOOKUP(E127,'Reference Records'!$F$159:$N$210,9,FALSE)),"")</f>
        <v>MCI-00653</v>
      </c>
      <c r="V127" s="326" t="s">
        <v>512</v>
      </c>
      <c r="W127" s="343" t="str">
        <f t="shared" si="14"/>
        <v>Detección y diagnóstico de casos (Atención y prevención de la tuberculosis)</v>
      </c>
      <c r="X127" s="343" t="str">
        <f t="shared" si="15"/>
        <v>a1P3p00000CPRBgEAP</v>
      </c>
      <c r="Y127" s="343" t="b">
        <f t="shared" si="16"/>
        <v>1</v>
      </c>
      <c r="Z127" s="343" t="b">
        <f t="shared" si="17"/>
        <v>1</v>
      </c>
      <c r="AA127" s="343" t="str">
        <f>IF(R127="",IFERROR(VLOOKUP(AC127,'Reference Records'!G$430:J655,3,0),""),IFERROR(VLOOKUP(AC127,'Reference Records'!H$430:J655,2,0),""))</f>
        <v>a1O1R000006c5lqUAA</v>
      </c>
      <c r="AB127" s="343" t="s">
        <v>513</v>
      </c>
      <c r="AC127" s="347" t="str">
        <f t="shared" si="18"/>
        <v>MCI-00711|No aplicable</v>
      </c>
      <c r="AD127" s="347" t="str">
        <f t="shared" si="19"/>
        <v>Atención y prevención de la tuberculosis</v>
      </c>
      <c r="AE127" s="347" t="str">
        <f t="array" ref="AE127">IFERROR(IF(INDEX($W$124:$W$175,MATCH(0,IF(AD127=$E$124:$E$175,COUNTIF($AE$123:$AE126,$W$124:$W$175),""),0))=0,"",INDEX($W$124:$W$175,MATCH(0,IF(AD127=$E$124:$E$175,COUNTIF($AE$123:$AE126,$W$124:$W$175),""),0))),"")</f>
        <v>Detección y diagnóstico de casos (Atención y prevención de la tuberculosis)</v>
      </c>
      <c r="AF127" s="347" t="str">
        <f t="shared" si="20"/>
        <v>Atención y prevención de la tuberculosisNo aplicableDetección y diagnóstico de casos (Atención y prevención de la tuberculosis)</v>
      </c>
      <c r="AG127" s="347" t="str">
        <f t="shared" si="21"/>
        <v>INT-257065</v>
      </c>
      <c r="AH127" s="347" t="str">
        <f t="shared" si="22"/>
        <v>a1P3p00000CPRBgEAPMCI-00711|No aplicable</v>
      </c>
      <c r="AI127" s="347">
        <f>IF(COUNTIF($AH$124:AH178,"&lt;="&amp;AH127)=0,"",COUNTIF($AH$124:AH178,"&lt;="&amp;AH127))</f>
        <v>3</v>
      </c>
      <c r="AJ127" s="347">
        <f>RANK(AI127,AI$124:AI178,1)</f>
        <v>3</v>
      </c>
      <c r="AK127" s="347" t="str">
        <f>INDEX(E$124:E178,MATCH(ROWS(AJ$124:AJ127),AJ$124:AJ178,0))</f>
        <v>Tuberculosis multirresistente</v>
      </c>
      <c r="AL127" s="347" t="str">
        <f>INDEX(K$124:K178,MATCH(ROWS(AJ$124:AJ127),AJ$124:AJ178,0))</f>
        <v>Tratamiento (Tuberculosis multirresistente)</v>
      </c>
      <c r="AM127" s="347" t="str">
        <f>INDEX(V$124:V178,MATCH(ROWS(AJ$124:AJ127),AJ$124:AJ178,0))</f>
        <v>No aplicable</v>
      </c>
      <c r="AN127" s="347" t="str">
        <f t="shared" si="23"/>
        <v>Tuberculosis multirresistenteTratamiento (Tuberculosis multirresistente)</v>
      </c>
      <c r="AO127" s="347" t="str">
        <f t="shared" si="24"/>
        <v>MCI-00711</v>
      </c>
      <c r="AP127" s="347"/>
      <c r="AQ127" s="349" t="s">
        <v>514</v>
      </c>
      <c r="AR127" s="17"/>
    </row>
    <row r="128" spans="1:45" ht="47.1" customHeight="1">
      <c r="A128" s="236">
        <v>4</v>
      </c>
      <c r="B128" s="325"/>
      <c r="C128" s="325"/>
      <c r="D128" s="172"/>
      <c r="E128" s="326" t="s">
        <v>446</v>
      </c>
      <c r="F128" s="327"/>
      <c r="G128" s="327"/>
      <c r="H128" s="328" t="str">
        <f>IF(R128="",IFERROR(VLOOKUP(AC128,'Reference Records'!G$430:J656,4,0),""),IFERROR(VLOOKUP(AC128,'Reference Records'!H$430:J656,3,0),""))</f>
        <v>Not applicable</v>
      </c>
      <c r="I128" s="328"/>
      <c r="J128" s="333"/>
      <c r="K128" s="326" t="s">
        <v>515</v>
      </c>
      <c r="L128" s="328" t="str">
        <f>VLOOKUP(U128&amp;K128,'Reference Records'!H$212:I355,2,0)</f>
        <v>MCI-00723</v>
      </c>
      <c r="M128" s="328">
        <f>MATCH($L128,'Reference Records'!$E$430:$E$653,0)+ROW(Population_by_intervention)-1</f>
        <v>569</v>
      </c>
      <c r="N128" s="328">
        <f>MATCH($L128,'Reference Records'!$E$430:$E$653,1)+ROW(Population_by_intervention)-1</f>
        <v>569</v>
      </c>
      <c r="O128" s="328" t="str">
        <f>INDEX('Reference Records'!K$212:K355,MATCH(L128,'Reference Records'!B$212:B355,0))</f>
        <v>Treatment (MDR-TB)</v>
      </c>
      <c r="P128" s="328"/>
      <c r="Q128" s="340"/>
      <c r="R128" s="341"/>
      <c r="S128" s="328" t="str">
        <f>IFERROR(VLOOKUP(INDEX('Reference Records'!J$429:J657,MATCH(R128,'Reference Records'!F$429:F657),1),'Reference Records'!B$211:C354,2,0),"")</f>
        <v/>
      </c>
      <c r="T128" s="333"/>
      <c r="U128" s="342" t="str">
        <f>IFERROR(IF(VLOOKUP(E128,'Reference Records'!$F$159:$N$210,9,FALSE)=0,"",VLOOKUP(E128,'Reference Records'!$F$159:$N$210,9,FALSE)),"")</f>
        <v>MCI-00654</v>
      </c>
      <c r="V128" s="326" t="s">
        <v>512</v>
      </c>
      <c r="W128" s="343" t="str">
        <f t="shared" si="14"/>
        <v>Tratamiento (Tuberculosis multirresistente)</v>
      </c>
      <c r="X128" s="343" t="str">
        <f t="shared" si="15"/>
        <v>a1P3p00000CPRBhEAP</v>
      </c>
      <c r="Y128" s="343" t="b">
        <f t="shared" si="16"/>
        <v>1</v>
      </c>
      <c r="Z128" s="343" t="b">
        <f t="shared" si="17"/>
        <v>1</v>
      </c>
      <c r="AA128" s="343" t="str">
        <f>IF(R128="",IFERROR(VLOOKUP(AC128,'Reference Records'!G$430:J656,3,0),""),IFERROR(VLOOKUP(AC128,'Reference Records'!H$430:J656,2,0),""))</f>
        <v>a1O1R000006c5m2UAA</v>
      </c>
      <c r="AB128" s="343" t="s">
        <v>516</v>
      </c>
      <c r="AC128" s="347" t="str">
        <f t="shared" si="18"/>
        <v>MCI-00723|No aplicable</v>
      </c>
      <c r="AD128" s="347" t="str">
        <f t="shared" si="19"/>
        <v>Tuberculosis multirresistente</v>
      </c>
      <c r="AE128" s="347" t="str">
        <f t="array" ref="AE128">IFERROR(IF(INDEX($W$124:$W$175,MATCH(0,IF(AD128=$E$124:$E$175,COUNTIF($AE$123:$AE127,$W$124:$W$175),""),0))=0,"",INDEX($W$124:$W$175,MATCH(0,IF(AD128=$E$124:$E$175,COUNTIF($AE$123:$AE127,$W$124:$W$175),""),0))),"")</f>
        <v>Tratamiento (Tuberculosis multirresistente)</v>
      </c>
      <c r="AF128" s="347" t="str">
        <f t="shared" si="20"/>
        <v>Tuberculosis multirresistenteNo aplicableTratamiento (Tuberculosis multirresistente)</v>
      </c>
      <c r="AG128" s="347" t="str">
        <f t="shared" si="21"/>
        <v>INT-257066</v>
      </c>
      <c r="AH128" s="347" t="str">
        <f t="shared" si="22"/>
        <v>a1P3p00000CPRBhEAPMCI-00723|No aplicable</v>
      </c>
      <c r="AI128" s="347">
        <f>IF(COUNTIF($AH$124:AH179,"&lt;="&amp;AH128)=0,"",COUNTIF($AH$124:AH179,"&lt;="&amp;AH128))</f>
        <v>4</v>
      </c>
      <c r="AJ128" s="347">
        <f>RANK(AI128,AI$124:AI179,1)</f>
        <v>4</v>
      </c>
      <c r="AK128" s="347" t="str">
        <f>INDEX(E$124:E179,MATCH(ROWS(AJ$124:AJ128),AJ$124:AJ179,0))</f>
        <v/>
      </c>
      <c r="AL128" s="347" t="str">
        <f>INDEX(K$124:K179,MATCH(ROWS(AJ$124:AJ128),AJ$124:AJ179,0))</f>
        <v/>
      </c>
      <c r="AM128" s="347" t="str">
        <f>INDEX(V$124:V179,MATCH(ROWS(AJ$124:AJ128),AJ$124:AJ179,0))</f>
        <v>[Intervention ES]</v>
      </c>
      <c r="AN128" s="347" t="str">
        <f t="shared" si="23"/>
        <v/>
      </c>
      <c r="AO128" s="347" t="str">
        <f t="shared" si="24"/>
        <v>MCI-00723</v>
      </c>
      <c r="AP128" s="347"/>
      <c r="AQ128" s="349" t="s">
        <v>517</v>
      </c>
      <c r="AR128" s="17"/>
    </row>
    <row r="129" spans="1:44" ht="47.1" customHeight="1">
      <c r="A129" s="236">
        <v>5</v>
      </c>
      <c r="B129" s="325"/>
      <c r="C129" s="325"/>
      <c r="D129" s="172"/>
      <c r="E129" s="326" t="str">
        <f>IFERROR(IF(AND(K129="",T129=""),"",(VLOOKUP(Q129,'Reference records(soft deleted)'!$B$118:$D$162,3,FALSE))),"")</f>
        <v/>
      </c>
      <c r="F129" s="327"/>
      <c r="G129" s="327"/>
      <c r="H129" s="328" t="str">
        <f>IF(R129="",IFERROR(VLOOKUP(AC129,'Reference Records'!G$430:J657,4,0),""),IFERROR(VLOOKUP(AC129,'Reference Records'!H$430:J657,3,0),""))</f>
        <v/>
      </c>
      <c r="I129" s="328"/>
      <c r="J129" s="333"/>
      <c r="K129" s="326" t="str">
        <f>IFERROR(VLOOKUP(INDEX('Reference Records'!E$429:E734,MATCH(R129,'Reference Records'!F$429:F734,0),1),'Reference Records'!B$211:C355,2,0),"")</f>
        <v/>
      </c>
      <c r="L129" s="328" t="e">
        <f>VLOOKUP(U129&amp;K129,'Reference Records'!H$212:I356,2,0)</f>
        <v>#N/A</v>
      </c>
      <c r="M129" s="328" t="e">
        <f>MATCH($L129,'Reference Records'!$E$430:$E$653,0)+ROW(Population_by_intervention)-1</f>
        <v>#N/A</v>
      </c>
      <c r="N129" s="328" t="e">
        <f>MATCH($L129,'Reference Records'!$E$430:$E$653,1)+ROW(Population_by_intervention)-1</f>
        <v>#N/A</v>
      </c>
      <c r="O129" s="328" t="e">
        <f>INDEX('Reference Records'!K$212:K356,MATCH(L129,'Reference Records'!B$212:B356,0))</f>
        <v>#N/A</v>
      </c>
      <c r="P129" s="328"/>
      <c r="Q129" s="340"/>
      <c r="R129" s="341"/>
      <c r="S129" s="328" t="str">
        <f>IFERROR(VLOOKUP(INDEX('Reference Records'!J$429:J734,MATCH(R129,'Reference Records'!F$429:F734),1),'Reference Records'!B$211:C355,2,0),"")</f>
        <v/>
      </c>
      <c r="T129" s="333"/>
      <c r="U129" s="342" t="str">
        <f>IFERROR(IF(VLOOKUP(E129,'Reference Records'!$F$159:$N$210,9,FALSE)=0,"",VLOOKUP(E129,'Reference Records'!$F$159:$N$210,9,FALSE)),"")</f>
        <v/>
      </c>
      <c r="V129" s="326" t="str">
        <f t="shared" si="13"/>
        <v/>
      </c>
      <c r="W129" s="343" t="str">
        <f t="shared" si="14"/>
        <v/>
      </c>
      <c r="X129" s="343" t="str">
        <f t="shared" si="15"/>
        <v>a1P3p00000CPRBlEAP</v>
      </c>
      <c r="Y129" s="343" t="b">
        <f t="shared" si="16"/>
        <v>0</v>
      </c>
      <c r="Z129" s="343" t="b">
        <f t="shared" si="17"/>
        <v>1</v>
      </c>
      <c r="AA129" s="343" t="str">
        <f>IF(R129="",IFERROR(VLOOKUP(AC129,'Reference Records'!G$430:J657,3,0),""),IFERROR(VLOOKUP(AC129,'Reference Records'!H$430:J657,2,0),""))</f>
        <v/>
      </c>
      <c r="AB129" s="343" t="s">
        <v>518</v>
      </c>
      <c r="AC129" s="347" t="e">
        <f t="shared" si="18"/>
        <v>#N/A</v>
      </c>
      <c r="AD129" s="347" t="str">
        <f t="shared" si="19"/>
        <v/>
      </c>
      <c r="AE129" s="347" t="str">
        <f t="array" ref="AE129">IFERROR(IF(INDEX($W$124:$W$175,MATCH(0,IF(AD129=$E$124:$E$175,COUNTIF($AE$123:$AE128,$W$124:$W$175),""),0))=0,"",INDEX($W$124:$W$175,MATCH(0,IF(AD129=$E$124:$E$175,COUNTIF($AE$123:$AE128,$W$124:$W$175),""),0))),"")</f>
        <v/>
      </c>
      <c r="AF129" s="347" t="str">
        <f t="shared" si="20"/>
        <v>|empty|</v>
      </c>
      <c r="AG129" s="347" t="str">
        <f t="shared" si="21"/>
        <v>INT-257067</v>
      </c>
      <c r="AH129" s="347" t="e">
        <f t="shared" si="22"/>
        <v>#N/A</v>
      </c>
      <c r="AI129" s="347">
        <f>IF(COUNTIF($AH$124:AH180,"&lt;="&amp;AH129)=0,"",COUNTIF($AH$124:AH180,"&lt;="&amp;AH129))</f>
        <v>47</v>
      </c>
      <c r="AJ129" s="347">
        <f>RANK(AI129,AI$124:AI180,1)</f>
        <v>5</v>
      </c>
      <c r="AK129" s="347" t="e">
        <f>INDEX(E$124:E180,MATCH(ROWS(AJ$124:AJ129),AJ$124:AJ180,0))</f>
        <v>#N/A</v>
      </c>
      <c r="AL129" s="347" t="e">
        <f>INDEX(K$124:K180,MATCH(ROWS(AJ$124:AJ129),AJ$124:AJ180,0))</f>
        <v>#N/A</v>
      </c>
      <c r="AM129" s="347" t="e">
        <f>INDEX(V$124:V180,MATCH(ROWS(AJ$124:AJ129),AJ$124:AJ180,0))</f>
        <v>#N/A</v>
      </c>
      <c r="AN129" s="347" t="e">
        <f t="shared" si="23"/>
        <v>#N/A</v>
      </c>
      <c r="AO129" s="347" t="e">
        <f t="shared" si="24"/>
        <v>#N/A</v>
      </c>
      <c r="AP129" s="347"/>
      <c r="AQ129" s="349" t="s">
        <v>519</v>
      </c>
      <c r="AR129" s="17"/>
    </row>
    <row r="130" spans="1:44" ht="47.1" customHeight="1">
      <c r="A130" s="236">
        <v>6</v>
      </c>
      <c r="B130" s="325"/>
      <c r="C130" s="325"/>
      <c r="D130" s="172"/>
      <c r="E130" s="326" t="str">
        <f>IFERROR(IF(AND(K130="",T130=""),"",(VLOOKUP(Q130,'Reference records(soft deleted)'!$B$118:$D$162,3,FALSE))),"")</f>
        <v/>
      </c>
      <c r="F130" s="327"/>
      <c r="G130" s="327"/>
      <c r="H130" s="328" t="str">
        <f>IF(R130="",IFERROR(VLOOKUP(AC130,'Reference Records'!G$430:J734,4,0),""),IFERROR(VLOOKUP(AC130,'Reference Records'!H$430:J734,3,0),""))</f>
        <v/>
      </c>
      <c r="I130" s="328"/>
      <c r="J130" s="333"/>
      <c r="K130" s="326" t="str">
        <f>IFERROR(VLOOKUP(INDEX('Reference Records'!E$429:E735,MATCH(R130,'Reference Records'!F$429:F735,0),1),'Reference Records'!B$211:C356,2,0),"")</f>
        <v/>
      </c>
      <c r="L130" s="328" t="e">
        <f>VLOOKUP(U130&amp;K130,'Reference Records'!H$212:I357,2,0)</f>
        <v>#N/A</v>
      </c>
      <c r="M130" s="328" t="e">
        <f>MATCH($L130,'Reference Records'!$E$430:$E$653,0)+ROW(Population_by_intervention)-1</f>
        <v>#N/A</v>
      </c>
      <c r="N130" s="328" t="e">
        <f>MATCH($L130,'Reference Records'!$E$430:$E$653,1)+ROW(Population_by_intervention)-1</f>
        <v>#N/A</v>
      </c>
      <c r="O130" s="328" t="e">
        <f>INDEX('Reference Records'!K$212:K357,MATCH(L130,'Reference Records'!B$212:B357,0))</f>
        <v>#N/A</v>
      </c>
      <c r="P130" s="328"/>
      <c r="Q130" s="340"/>
      <c r="R130" s="341"/>
      <c r="S130" s="328" t="str">
        <f>IFERROR(VLOOKUP(INDEX('Reference Records'!J$429:J735,MATCH(R130,'Reference Records'!F$429:F735),1),'Reference Records'!B$211:C356,2,0),"")</f>
        <v/>
      </c>
      <c r="T130" s="333"/>
      <c r="U130" s="342" t="str">
        <f>IFERROR(IF(VLOOKUP(E130,'Reference Records'!$F$159:$N$210,9,FALSE)=0,"",VLOOKUP(E130,'Reference Records'!$F$159:$N$210,9,FALSE)),"")</f>
        <v/>
      </c>
      <c r="V130" s="326" t="str">
        <f t="shared" si="13"/>
        <v/>
      </c>
      <c r="W130" s="343" t="str">
        <f t="shared" si="14"/>
        <v/>
      </c>
      <c r="X130" s="343" t="str">
        <f t="shared" si="15"/>
        <v>a1P3p00000CPRBlEAP</v>
      </c>
      <c r="Y130" s="343" t="b">
        <f t="shared" si="16"/>
        <v>0</v>
      </c>
      <c r="Z130" s="343" t="b">
        <f t="shared" si="17"/>
        <v>1</v>
      </c>
      <c r="AA130" s="343" t="str">
        <f>IF(R130="",IFERROR(VLOOKUP(AC130,'Reference Records'!G$430:J734,3,0),""),IFERROR(VLOOKUP(AC130,'Reference Records'!H$430:J734,2,0),""))</f>
        <v/>
      </c>
      <c r="AB130" s="343" t="s">
        <v>520</v>
      </c>
      <c r="AC130" s="347" t="e">
        <f t="shared" si="18"/>
        <v>#N/A</v>
      </c>
      <c r="AD130" s="347" t="str">
        <f t="shared" si="19"/>
        <v/>
      </c>
      <c r="AE130" s="347" t="str">
        <f t="array" ref="AE130">IFERROR(IF(INDEX($W$124:$W$175,MATCH(0,IF(AD130=$E$124:$E$175,COUNTIF($AE$123:$AE129,$W$124:$W$175),""),0))=0,"",INDEX($W$124:$W$175,MATCH(0,IF(AD130=$E$124:$E$175,COUNTIF($AE$123:$AE129,$W$124:$W$175),""),0))),"")</f>
        <v/>
      </c>
      <c r="AF130" s="347" t="str">
        <f t="shared" si="20"/>
        <v>|empty|</v>
      </c>
      <c r="AG130" s="347" t="str">
        <f t="shared" si="21"/>
        <v>INT-257068</v>
      </c>
      <c r="AH130" s="347" t="e">
        <f t="shared" si="22"/>
        <v>#N/A</v>
      </c>
      <c r="AI130" s="347">
        <f>IF(COUNTIF($AH$124:AH181,"&lt;="&amp;AH130)=0,"",COUNTIF($AH$124:AH181,"&lt;="&amp;AH130))</f>
        <v>47</v>
      </c>
      <c r="AJ130" s="347">
        <f>RANK(AI130,AI$124:AI181,1)</f>
        <v>5</v>
      </c>
      <c r="AK130" s="347" t="e">
        <f>INDEX(E$124:E181,MATCH(ROWS(AJ$124:AJ130),AJ$124:AJ181,0))</f>
        <v>#N/A</v>
      </c>
      <c r="AL130" s="347" t="e">
        <f>INDEX(K$124:K181,MATCH(ROWS(AJ$124:AJ130),AJ$124:AJ181,0))</f>
        <v>#N/A</v>
      </c>
      <c r="AM130" s="347" t="e">
        <f>INDEX(V$124:V181,MATCH(ROWS(AJ$124:AJ130),AJ$124:AJ181,0))</f>
        <v>#N/A</v>
      </c>
      <c r="AN130" s="347" t="e">
        <f t="shared" si="23"/>
        <v>#N/A</v>
      </c>
      <c r="AO130" s="347" t="e">
        <f t="shared" si="24"/>
        <v>#N/A</v>
      </c>
      <c r="AP130" s="347"/>
      <c r="AQ130" s="349" t="s">
        <v>521</v>
      </c>
      <c r="AR130" s="17"/>
    </row>
    <row r="131" spans="1:44" ht="47.1" customHeight="1">
      <c r="A131" s="236">
        <v>7</v>
      </c>
      <c r="B131" s="325"/>
      <c r="C131" s="325"/>
      <c r="D131" s="172"/>
      <c r="E131" s="326" t="str">
        <f>IFERROR(IF(AND(K131="",T131=""),"",(VLOOKUP(Q131,'Reference records(soft deleted)'!$B$118:$D$162,3,FALSE))),"")</f>
        <v/>
      </c>
      <c r="F131" s="327"/>
      <c r="G131" s="327"/>
      <c r="H131" s="328" t="str">
        <f>IF(R131="",IFERROR(VLOOKUP(AC131,'Reference Records'!G$430:J735,4,0),""),IFERROR(VLOOKUP(AC131,'Reference Records'!H$430:J735,3,0),""))</f>
        <v/>
      </c>
      <c r="I131" s="328"/>
      <c r="J131" s="333"/>
      <c r="K131" s="326" t="str">
        <f>IFERROR(VLOOKUP(INDEX('Reference Records'!E$429:E736,MATCH(R131,'Reference Records'!F$429:F736,0),1),'Reference Records'!B$211:C357,2,0),"")</f>
        <v/>
      </c>
      <c r="L131" s="328" t="e">
        <f>VLOOKUP(U131&amp;K131,'Reference Records'!H$212:I358,2,0)</f>
        <v>#N/A</v>
      </c>
      <c r="M131" s="328" t="e">
        <f>MATCH($L131,'Reference Records'!$E$430:$E$653,0)+ROW(Population_by_intervention)-1</f>
        <v>#N/A</v>
      </c>
      <c r="N131" s="328" t="e">
        <f>MATCH($L131,'Reference Records'!$E$430:$E$653,1)+ROW(Population_by_intervention)-1</f>
        <v>#N/A</v>
      </c>
      <c r="O131" s="328" t="e">
        <f>INDEX('Reference Records'!K$212:K358,MATCH(L131,'Reference Records'!B$212:B358,0))</f>
        <v>#N/A</v>
      </c>
      <c r="P131" s="328"/>
      <c r="Q131" s="340"/>
      <c r="R131" s="341"/>
      <c r="S131" s="328" t="str">
        <f>IFERROR(VLOOKUP(INDEX('Reference Records'!J$429:J736,MATCH(R131,'Reference Records'!F$429:F736),1),'Reference Records'!B$211:C357,2,0),"")</f>
        <v/>
      </c>
      <c r="T131" s="333"/>
      <c r="U131" s="342" t="str">
        <f>IFERROR(IF(VLOOKUP(E131,'Reference Records'!$F$159:$N$210,9,FALSE)=0,"",VLOOKUP(E131,'Reference Records'!$F$159:$N$210,9,FALSE)),"")</f>
        <v/>
      </c>
      <c r="V131" s="326" t="str">
        <f t="shared" si="13"/>
        <v/>
      </c>
      <c r="W131" s="343" t="str">
        <f t="shared" si="14"/>
        <v/>
      </c>
      <c r="X131" s="343" t="str">
        <f t="shared" si="15"/>
        <v>a1P3p00000CPRBlEAP</v>
      </c>
      <c r="Y131" s="343" t="b">
        <f t="shared" si="16"/>
        <v>0</v>
      </c>
      <c r="Z131" s="343" t="b">
        <f t="shared" si="17"/>
        <v>1</v>
      </c>
      <c r="AA131" s="343" t="str">
        <f>IF(R131="",IFERROR(VLOOKUP(AC131,'Reference Records'!G$430:J735,3,0),""),IFERROR(VLOOKUP(AC131,'Reference Records'!H$430:J735,2,0),""))</f>
        <v/>
      </c>
      <c r="AB131" s="343" t="s">
        <v>522</v>
      </c>
      <c r="AC131" s="347" t="e">
        <f t="shared" si="18"/>
        <v>#N/A</v>
      </c>
      <c r="AD131" s="347" t="str">
        <f t="shared" si="19"/>
        <v/>
      </c>
      <c r="AE131" s="347" t="str">
        <f t="array" ref="AE131">IFERROR(IF(INDEX($W$124:$W$175,MATCH(0,IF(AD131=$E$124:$E$175,COUNTIF($AE$123:$AE130,$W$124:$W$175),""),0))=0,"",INDEX($W$124:$W$175,MATCH(0,IF(AD131=$E$124:$E$175,COUNTIF($AE$123:$AE130,$W$124:$W$175),""),0))),"")</f>
        <v/>
      </c>
      <c r="AF131" s="347" t="str">
        <f t="shared" si="20"/>
        <v>|empty|</v>
      </c>
      <c r="AG131" s="347" t="str">
        <f t="shared" si="21"/>
        <v>INT-257069</v>
      </c>
      <c r="AH131" s="347" t="e">
        <f t="shared" si="22"/>
        <v>#N/A</v>
      </c>
      <c r="AI131" s="347">
        <f>IF(COUNTIF($AH$124:AH182,"&lt;="&amp;AH131)=0,"",COUNTIF($AH$124:AH182,"&lt;="&amp;AH131))</f>
        <v>47</v>
      </c>
      <c r="AJ131" s="347">
        <f>RANK(AI131,AI$124:AI182,1)</f>
        <v>5</v>
      </c>
      <c r="AK131" s="347" t="e">
        <f>INDEX(E$124:E182,MATCH(ROWS(AJ$124:AJ131),AJ$124:AJ182,0))</f>
        <v>#N/A</v>
      </c>
      <c r="AL131" s="347" t="e">
        <f>INDEX(K$124:K182,MATCH(ROWS(AJ$124:AJ131),AJ$124:AJ182,0))</f>
        <v>#N/A</v>
      </c>
      <c r="AM131" s="347" t="e">
        <f>INDEX(V$124:V182,MATCH(ROWS(AJ$124:AJ131),AJ$124:AJ182,0))</f>
        <v>#N/A</v>
      </c>
      <c r="AN131" s="347" t="e">
        <f t="shared" si="23"/>
        <v>#N/A</v>
      </c>
      <c r="AO131" s="347" t="e">
        <f t="shared" si="24"/>
        <v>#N/A</v>
      </c>
      <c r="AP131" s="347"/>
      <c r="AQ131" s="349" t="s">
        <v>523</v>
      </c>
      <c r="AR131" s="17"/>
    </row>
    <row r="132" spans="1:44" ht="47.1" customHeight="1">
      <c r="A132" s="236">
        <v>8</v>
      </c>
      <c r="B132" s="325"/>
      <c r="C132" s="325"/>
      <c r="D132" s="172"/>
      <c r="E132" s="326" t="str">
        <f>IFERROR(IF(AND(K132="",T132=""),"",(VLOOKUP(Q132,'Reference records(soft deleted)'!$B$118:$D$162,3,FALSE))),"")</f>
        <v/>
      </c>
      <c r="F132" s="327"/>
      <c r="G132" s="327"/>
      <c r="H132" s="328" t="str">
        <f>IF(R132="",IFERROR(VLOOKUP(AC132,'Reference Records'!G$430:J736,4,0),""),IFERROR(VLOOKUP(AC132,'Reference Records'!H$430:J736,3,0),""))</f>
        <v/>
      </c>
      <c r="I132" s="328"/>
      <c r="J132" s="333"/>
      <c r="K132" s="326" t="str">
        <f>IFERROR(VLOOKUP(INDEX('Reference Records'!E$429:E737,MATCH(R132,'Reference Records'!F$429:F737,0),1),'Reference Records'!B$211:C358,2,0),"")</f>
        <v/>
      </c>
      <c r="L132" s="328" t="e">
        <f>VLOOKUP(U132&amp;K132,'Reference Records'!H$212:I359,2,0)</f>
        <v>#N/A</v>
      </c>
      <c r="M132" s="328" t="e">
        <f>MATCH($L132,'Reference Records'!$E$430:$E$653,0)+ROW(Population_by_intervention)-1</f>
        <v>#N/A</v>
      </c>
      <c r="N132" s="328" t="e">
        <f>MATCH($L132,'Reference Records'!$E$430:$E$653,1)+ROW(Population_by_intervention)-1</f>
        <v>#N/A</v>
      </c>
      <c r="O132" s="328" t="e">
        <f>INDEX('Reference Records'!K$212:K359,MATCH(L132,'Reference Records'!B$212:B359,0))</f>
        <v>#N/A</v>
      </c>
      <c r="P132" s="328"/>
      <c r="Q132" s="340"/>
      <c r="R132" s="341"/>
      <c r="S132" s="328" t="str">
        <f>IFERROR(VLOOKUP(INDEX('Reference Records'!J$429:J737,MATCH(R132,'Reference Records'!F$429:F737),1),'Reference Records'!B$211:C358,2,0),"")</f>
        <v/>
      </c>
      <c r="T132" s="333"/>
      <c r="U132" s="342" t="str">
        <f>IFERROR(IF(VLOOKUP(E132,'Reference Records'!$F$159:$N$210,9,FALSE)=0,"",VLOOKUP(E132,'Reference Records'!$F$159:$N$210,9,FALSE)),"")</f>
        <v/>
      </c>
      <c r="V132" s="326" t="str">
        <f t="shared" si="13"/>
        <v/>
      </c>
      <c r="W132" s="343" t="str">
        <f t="shared" si="14"/>
        <v/>
      </c>
      <c r="X132" s="343" t="str">
        <f t="shared" si="15"/>
        <v>a1P3p00000CPRBlEAP</v>
      </c>
      <c r="Y132" s="343" t="b">
        <f t="shared" si="16"/>
        <v>0</v>
      </c>
      <c r="Z132" s="343" t="b">
        <f t="shared" si="17"/>
        <v>1</v>
      </c>
      <c r="AA132" s="343" t="str">
        <f>IF(R132="",IFERROR(VLOOKUP(AC132,'Reference Records'!G$430:J736,3,0),""),IFERROR(VLOOKUP(AC132,'Reference Records'!H$430:J736,2,0),""))</f>
        <v/>
      </c>
      <c r="AB132" s="343" t="s">
        <v>524</v>
      </c>
      <c r="AC132" s="347" t="e">
        <f t="shared" si="18"/>
        <v>#N/A</v>
      </c>
      <c r="AD132" s="347" t="str">
        <f t="shared" si="19"/>
        <v/>
      </c>
      <c r="AE132" s="347" t="str">
        <f t="array" ref="AE132">IFERROR(IF(INDEX($W$124:$W$175,MATCH(0,IF(AD132=$E$124:$E$175,COUNTIF($AE$123:$AE131,$W$124:$W$175),""),0))=0,"",INDEX($W$124:$W$175,MATCH(0,IF(AD132=$E$124:$E$175,COUNTIF($AE$123:$AE131,$W$124:$W$175),""),0))),"")</f>
        <v/>
      </c>
      <c r="AF132" s="347" t="str">
        <f t="shared" si="20"/>
        <v>|empty|</v>
      </c>
      <c r="AG132" s="347" t="str">
        <f t="shared" si="21"/>
        <v>INT-257070</v>
      </c>
      <c r="AH132" s="347" t="e">
        <f t="shared" si="22"/>
        <v>#N/A</v>
      </c>
      <c r="AI132" s="347">
        <f>IF(COUNTIF($AH$124:AH183,"&lt;="&amp;AH132)=0,"",COUNTIF($AH$124:AH183,"&lt;="&amp;AH132))</f>
        <v>47</v>
      </c>
      <c r="AJ132" s="347">
        <f>RANK(AI132,AI$124:AI183,1)</f>
        <v>5</v>
      </c>
      <c r="AK132" s="347" t="e">
        <f>INDEX(E$124:E183,MATCH(ROWS(AJ$124:AJ132),AJ$124:AJ183,0))</f>
        <v>#N/A</v>
      </c>
      <c r="AL132" s="347" t="e">
        <f>INDEX(K$124:K183,MATCH(ROWS(AJ$124:AJ132),AJ$124:AJ183,0))</f>
        <v>#N/A</v>
      </c>
      <c r="AM132" s="347" t="e">
        <f>INDEX(V$124:V183,MATCH(ROWS(AJ$124:AJ132),AJ$124:AJ183,0))</f>
        <v>#N/A</v>
      </c>
      <c r="AN132" s="347" t="e">
        <f t="shared" si="23"/>
        <v>#N/A</v>
      </c>
      <c r="AO132" s="347" t="e">
        <f t="shared" si="24"/>
        <v>#N/A</v>
      </c>
      <c r="AP132" s="347"/>
      <c r="AQ132" s="349" t="s">
        <v>525</v>
      </c>
      <c r="AR132" s="17"/>
    </row>
    <row r="133" spans="1:44" ht="47.1" customHeight="1">
      <c r="A133" s="236">
        <v>9</v>
      </c>
      <c r="B133" s="325"/>
      <c r="C133" s="325"/>
      <c r="D133" s="172"/>
      <c r="E133" s="326" t="str">
        <f>IFERROR(IF(AND(K133="",T133=""),"",(VLOOKUP(Q133,'Reference records(soft deleted)'!$B$118:$D$162,3,FALSE))),"")</f>
        <v/>
      </c>
      <c r="F133" s="327"/>
      <c r="G133" s="327"/>
      <c r="H133" s="328" t="str">
        <f>IF(R133="",IFERROR(VLOOKUP(AC133,'Reference Records'!G$430:J737,4,0),""),IFERROR(VLOOKUP(AC133,'Reference Records'!H$430:J737,3,0),""))</f>
        <v/>
      </c>
      <c r="I133" s="328"/>
      <c r="J133" s="333"/>
      <c r="K133" s="326" t="str">
        <f>IFERROR(VLOOKUP(INDEX('Reference Records'!E$429:E738,MATCH(R133,'Reference Records'!F$429:F738,0),1),'Reference Records'!B$211:C359,2,0),"")</f>
        <v/>
      </c>
      <c r="L133" s="328" t="e">
        <f>VLOOKUP(U133&amp;K133,'Reference Records'!H$212:I360,2,0)</f>
        <v>#N/A</v>
      </c>
      <c r="M133" s="328" t="e">
        <f>MATCH($L133,'Reference Records'!$E$430:$E$653,0)+ROW(Population_by_intervention)-1</f>
        <v>#N/A</v>
      </c>
      <c r="N133" s="328" t="e">
        <f>MATCH($L133,'Reference Records'!$E$430:$E$653,1)+ROW(Population_by_intervention)-1</f>
        <v>#N/A</v>
      </c>
      <c r="O133" s="328" t="e">
        <f>INDEX('Reference Records'!K$212:K360,MATCH(L133,'Reference Records'!B$212:B360,0))</f>
        <v>#N/A</v>
      </c>
      <c r="P133" s="328"/>
      <c r="Q133" s="340"/>
      <c r="R133" s="341"/>
      <c r="S133" s="328" t="str">
        <f>IFERROR(VLOOKUP(INDEX('Reference Records'!J$429:J738,MATCH(R133,'Reference Records'!F$429:F738),1),'Reference Records'!B$211:C359,2,0),"")</f>
        <v/>
      </c>
      <c r="T133" s="333"/>
      <c r="U133" s="342" t="str">
        <f>IFERROR(IF(VLOOKUP(E133,'Reference Records'!$F$159:$N$210,9,FALSE)=0,"",VLOOKUP(E133,'Reference Records'!$F$159:$N$210,9,FALSE)),"")</f>
        <v/>
      </c>
      <c r="V133" s="326" t="str">
        <f t="shared" si="13"/>
        <v/>
      </c>
      <c r="W133" s="343" t="str">
        <f t="shared" si="14"/>
        <v/>
      </c>
      <c r="X133" s="343" t="str">
        <f t="shared" si="15"/>
        <v>a1P3p00000CPRBlEAP</v>
      </c>
      <c r="Y133" s="343" t="b">
        <f t="shared" si="16"/>
        <v>0</v>
      </c>
      <c r="Z133" s="343" t="b">
        <f t="shared" si="17"/>
        <v>1</v>
      </c>
      <c r="AA133" s="343" t="str">
        <f>IF(R133="",IFERROR(VLOOKUP(AC133,'Reference Records'!G$430:J737,3,0),""),IFERROR(VLOOKUP(AC133,'Reference Records'!H$430:J737,2,0),""))</f>
        <v/>
      </c>
      <c r="AB133" s="343" t="s">
        <v>526</v>
      </c>
      <c r="AC133" s="347" t="e">
        <f t="shared" si="18"/>
        <v>#N/A</v>
      </c>
      <c r="AD133" s="347" t="str">
        <f t="shared" si="19"/>
        <v/>
      </c>
      <c r="AE133" s="347" t="str">
        <f t="array" ref="AE133">IFERROR(IF(INDEX($W$124:$W$175,MATCH(0,IF(AD133=$E$124:$E$175,COUNTIF($AE$123:$AE132,$W$124:$W$175),""),0))=0,"",INDEX($W$124:$W$175,MATCH(0,IF(AD133=$E$124:$E$175,COUNTIF($AE$123:$AE132,$W$124:$W$175),""),0))),"")</f>
        <v/>
      </c>
      <c r="AF133" s="347" t="str">
        <f t="shared" si="20"/>
        <v>|empty|</v>
      </c>
      <c r="AG133" s="347" t="str">
        <f t="shared" si="21"/>
        <v>INT-257071</v>
      </c>
      <c r="AH133" s="347" t="e">
        <f t="shared" si="22"/>
        <v>#N/A</v>
      </c>
      <c r="AI133" s="347">
        <f>IF(COUNTIF($AH$124:AH184,"&lt;="&amp;AH133)=0,"",COUNTIF($AH$124:AH184,"&lt;="&amp;AH133))</f>
        <v>47</v>
      </c>
      <c r="AJ133" s="347">
        <f>RANK(AI133,AI$124:AI184,1)</f>
        <v>5</v>
      </c>
      <c r="AK133" s="347" t="e">
        <f>INDEX(E$124:E184,MATCH(ROWS(AJ$124:AJ133),AJ$124:AJ184,0))</f>
        <v>#N/A</v>
      </c>
      <c r="AL133" s="347" t="e">
        <f>INDEX(K$124:K184,MATCH(ROWS(AJ$124:AJ133),AJ$124:AJ184,0))</f>
        <v>#N/A</v>
      </c>
      <c r="AM133" s="347" t="e">
        <f>INDEX(V$124:V184,MATCH(ROWS(AJ$124:AJ133),AJ$124:AJ184,0))</f>
        <v>#N/A</v>
      </c>
      <c r="AN133" s="347" t="e">
        <f t="shared" si="23"/>
        <v>#N/A</v>
      </c>
      <c r="AO133" s="347" t="e">
        <f t="shared" si="24"/>
        <v>#N/A</v>
      </c>
      <c r="AP133" s="347"/>
      <c r="AQ133" s="349" t="s">
        <v>527</v>
      </c>
      <c r="AR133" s="17"/>
    </row>
    <row r="134" spans="1:44" ht="47.1" customHeight="1">
      <c r="A134" s="236">
        <v>10</v>
      </c>
      <c r="B134" s="325"/>
      <c r="C134" s="325"/>
      <c r="D134" s="172"/>
      <c r="E134" s="326" t="str">
        <f>IFERROR(IF(AND(K134="",T134=""),"",(VLOOKUP(Q134,'Reference records(soft deleted)'!$B$118:$D$162,3,FALSE))),"")</f>
        <v/>
      </c>
      <c r="F134" s="327"/>
      <c r="G134" s="327"/>
      <c r="H134" s="328" t="str">
        <f>IF(R134="",IFERROR(VLOOKUP(AC134,'Reference Records'!G$430:J738,4,0),""),IFERROR(VLOOKUP(AC134,'Reference Records'!H$430:J738,3,0),""))</f>
        <v/>
      </c>
      <c r="I134" s="328"/>
      <c r="J134" s="333"/>
      <c r="K134" s="326" t="str">
        <f>IFERROR(VLOOKUP(INDEX('Reference Records'!E$429:E739,MATCH(R134,'Reference Records'!F$429:F739,0),1),'Reference Records'!B$211:C360,2,0),"")</f>
        <v/>
      </c>
      <c r="L134" s="328" t="e">
        <f>VLOOKUP(U134&amp;K134,'Reference Records'!H$212:I361,2,0)</f>
        <v>#N/A</v>
      </c>
      <c r="M134" s="328" t="e">
        <f>MATCH($L134,'Reference Records'!$E$430:$E$653,0)+ROW(Population_by_intervention)-1</f>
        <v>#N/A</v>
      </c>
      <c r="N134" s="328" t="e">
        <f>MATCH($L134,'Reference Records'!$E$430:$E$653,1)+ROW(Population_by_intervention)-1</f>
        <v>#N/A</v>
      </c>
      <c r="O134" s="328" t="e">
        <f>INDEX('Reference Records'!K$212:K361,MATCH(L134,'Reference Records'!B$212:B361,0))</f>
        <v>#N/A</v>
      </c>
      <c r="P134" s="328"/>
      <c r="Q134" s="340"/>
      <c r="R134" s="341"/>
      <c r="S134" s="328" t="str">
        <f>IFERROR(VLOOKUP(INDEX('Reference Records'!J$429:J739,MATCH(R134,'Reference Records'!F$429:F739),1),'Reference Records'!B$211:C360,2,0),"")</f>
        <v/>
      </c>
      <c r="T134" s="333"/>
      <c r="U134" s="342" t="str">
        <f>IFERROR(IF(VLOOKUP(E134,'Reference Records'!$F$159:$N$210,9,FALSE)=0,"",VLOOKUP(E134,'Reference Records'!$F$159:$N$210,9,FALSE)),"")</f>
        <v/>
      </c>
      <c r="V134" s="326" t="str">
        <f t="shared" si="13"/>
        <v/>
      </c>
      <c r="W134" s="343" t="str">
        <f t="shared" si="14"/>
        <v/>
      </c>
      <c r="X134" s="343" t="str">
        <f t="shared" si="15"/>
        <v>a1P3p00000CPRBlEAP</v>
      </c>
      <c r="Y134" s="343" t="b">
        <f t="shared" si="16"/>
        <v>0</v>
      </c>
      <c r="Z134" s="343" t="b">
        <f t="shared" si="17"/>
        <v>1</v>
      </c>
      <c r="AA134" s="343" t="str">
        <f>IF(R134="",IFERROR(VLOOKUP(AC134,'Reference Records'!G$430:J738,3,0),""),IFERROR(VLOOKUP(AC134,'Reference Records'!H$430:J738,2,0),""))</f>
        <v/>
      </c>
      <c r="AB134" s="343" t="s">
        <v>528</v>
      </c>
      <c r="AC134" s="347" t="e">
        <f t="shared" si="18"/>
        <v>#N/A</v>
      </c>
      <c r="AD134" s="347" t="str">
        <f t="shared" si="19"/>
        <v/>
      </c>
      <c r="AE134" s="347" t="str">
        <f t="array" ref="AE134">IFERROR(IF(INDEX($W$124:$W$175,MATCH(0,IF(AD134=$E$124:$E$175,COUNTIF($AE$123:$AE133,$W$124:$W$175),""),0))=0,"",INDEX($W$124:$W$175,MATCH(0,IF(AD134=$E$124:$E$175,COUNTIF($AE$123:$AE133,$W$124:$W$175),""),0))),"")</f>
        <v/>
      </c>
      <c r="AF134" s="347" t="str">
        <f t="shared" si="20"/>
        <v>|empty|</v>
      </c>
      <c r="AG134" s="347" t="str">
        <f t="shared" si="21"/>
        <v>INT-257072</v>
      </c>
      <c r="AH134" s="347" t="e">
        <f t="shared" si="22"/>
        <v>#N/A</v>
      </c>
      <c r="AI134" s="347">
        <f>IF(COUNTIF($AH$124:AH185,"&lt;="&amp;AH134)=0,"",COUNTIF($AH$124:AH185,"&lt;="&amp;AH134))</f>
        <v>47</v>
      </c>
      <c r="AJ134" s="347">
        <f>RANK(AI134,AI$124:AI185,1)</f>
        <v>5</v>
      </c>
      <c r="AK134" s="347" t="e">
        <f>INDEX(E$124:E185,MATCH(ROWS(AJ$124:AJ134),AJ$124:AJ185,0))</f>
        <v>#N/A</v>
      </c>
      <c r="AL134" s="347" t="e">
        <f>INDEX(K$124:K185,MATCH(ROWS(AJ$124:AJ134),AJ$124:AJ185,0))</f>
        <v>#N/A</v>
      </c>
      <c r="AM134" s="347" t="e">
        <f>INDEX(V$124:V185,MATCH(ROWS(AJ$124:AJ134),AJ$124:AJ185,0))</f>
        <v>#N/A</v>
      </c>
      <c r="AN134" s="347" t="e">
        <f t="shared" si="23"/>
        <v>#N/A</v>
      </c>
      <c r="AO134" s="347" t="e">
        <f t="shared" si="24"/>
        <v>#N/A</v>
      </c>
      <c r="AP134" s="347"/>
      <c r="AQ134" s="349" t="s">
        <v>529</v>
      </c>
      <c r="AR134" s="17"/>
    </row>
    <row r="135" spans="1:44" ht="47.1" customHeight="1">
      <c r="A135" s="236">
        <v>11</v>
      </c>
      <c r="B135" s="325"/>
      <c r="C135" s="325"/>
      <c r="D135" s="172"/>
      <c r="E135" s="326" t="str">
        <f>IFERROR(IF(AND(K135="",T135=""),"",(VLOOKUP(Q135,'Reference records(soft deleted)'!$B$118:$D$162,3,FALSE))),"")</f>
        <v/>
      </c>
      <c r="F135" s="327"/>
      <c r="G135" s="327"/>
      <c r="H135" s="328" t="str">
        <f>IF(R135="",IFERROR(VLOOKUP(AC135,'Reference Records'!G$430:J739,4,0),""),IFERROR(VLOOKUP(AC135,'Reference Records'!H$430:J739,3,0),""))</f>
        <v/>
      </c>
      <c r="I135" s="328"/>
      <c r="J135" s="333"/>
      <c r="K135" s="326" t="str">
        <f>IFERROR(VLOOKUP(INDEX('Reference Records'!E$429:E740,MATCH(R135,'Reference Records'!F$429:F740,0),1),'Reference Records'!B$211:C361,2,0),"")</f>
        <v/>
      </c>
      <c r="L135" s="328" t="e">
        <f>VLOOKUP(U135&amp;K135,'Reference Records'!H$212:I362,2,0)</f>
        <v>#N/A</v>
      </c>
      <c r="M135" s="328" t="e">
        <f>MATCH($L135,'Reference Records'!$E$430:$E$653,0)+ROW(Population_by_intervention)-1</f>
        <v>#N/A</v>
      </c>
      <c r="N135" s="328" t="e">
        <f>MATCH($L135,'Reference Records'!$E$430:$E$653,1)+ROW(Population_by_intervention)-1</f>
        <v>#N/A</v>
      </c>
      <c r="O135" s="328" t="e">
        <f>INDEX('Reference Records'!K$212:K362,MATCH(L135,'Reference Records'!B$212:B362,0))</f>
        <v>#N/A</v>
      </c>
      <c r="P135" s="328"/>
      <c r="Q135" s="340"/>
      <c r="R135" s="341"/>
      <c r="S135" s="328" t="str">
        <f>IFERROR(VLOOKUP(INDEX('Reference Records'!J$429:J740,MATCH(R135,'Reference Records'!F$429:F740),1),'Reference Records'!B$211:C361,2,0),"")</f>
        <v/>
      </c>
      <c r="T135" s="333"/>
      <c r="U135" s="342" t="str">
        <f>IFERROR(IF(VLOOKUP(E135,'Reference Records'!$F$159:$N$210,9,FALSE)=0,"",VLOOKUP(E135,'Reference Records'!$F$159:$N$210,9,FALSE)),"")</f>
        <v/>
      </c>
      <c r="V135" s="326" t="str">
        <f t="shared" si="13"/>
        <v/>
      </c>
      <c r="W135" s="343" t="str">
        <f t="shared" si="14"/>
        <v/>
      </c>
      <c r="X135" s="343" t="str">
        <f t="shared" si="15"/>
        <v>a1P3p00000CPRBlEAP</v>
      </c>
      <c r="Y135" s="343" t="b">
        <f t="shared" si="16"/>
        <v>0</v>
      </c>
      <c r="Z135" s="343" t="b">
        <f t="shared" si="17"/>
        <v>1</v>
      </c>
      <c r="AA135" s="343" t="str">
        <f>IF(R135="",IFERROR(VLOOKUP(AC135,'Reference Records'!G$430:J739,3,0),""),IFERROR(VLOOKUP(AC135,'Reference Records'!H$430:J739,2,0),""))</f>
        <v/>
      </c>
      <c r="AB135" s="343" t="s">
        <v>530</v>
      </c>
      <c r="AC135" s="347" t="e">
        <f t="shared" si="18"/>
        <v>#N/A</v>
      </c>
      <c r="AD135" s="347" t="str">
        <f t="shared" si="19"/>
        <v/>
      </c>
      <c r="AE135" s="347" t="str">
        <f t="array" ref="AE135">IFERROR(IF(INDEX($W$124:$W$175,MATCH(0,IF(AD135=$E$124:$E$175,COUNTIF($AE$123:$AE134,$W$124:$W$175),""),0))=0,"",INDEX($W$124:$W$175,MATCH(0,IF(AD135=$E$124:$E$175,COUNTIF($AE$123:$AE134,$W$124:$W$175),""),0))),"")</f>
        <v/>
      </c>
      <c r="AF135" s="347" t="str">
        <f t="shared" si="20"/>
        <v>|empty|</v>
      </c>
      <c r="AG135" s="347" t="str">
        <f t="shared" si="21"/>
        <v>INT-257073</v>
      </c>
      <c r="AH135" s="347" t="e">
        <f t="shared" si="22"/>
        <v>#N/A</v>
      </c>
      <c r="AI135" s="347">
        <f>IF(COUNTIF($AH$124:AH186,"&lt;="&amp;AH135)=0,"",COUNTIF($AH$124:AH186,"&lt;="&amp;AH135))</f>
        <v>47</v>
      </c>
      <c r="AJ135" s="347">
        <f>RANK(AI135,AI$124:AI186,1)</f>
        <v>5</v>
      </c>
      <c r="AK135" s="347" t="e">
        <f>INDEX(E$124:E186,MATCH(ROWS(AJ$124:AJ135),AJ$124:AJ186,0))</f>
        <v>#N/A</v>
      </c>
      <c r="AL135" s="347" t="e">
        <f>INDEX(K$124:K186,MATCH(ROWS(AJ$124:AJ135),AJ$124:AJ186,0))</f>
        <v>#N/A</v>
      </c>
      <c r="AM135" s="347" t="e">
        <f>INDEX(V$124:V186,MATCH(ROWS(AJ$124:AJ135),AJ$124:AJ186,0))</f>
        <v>#N/A</v>
      </c>
      <c r="AN135" s="347" t="e">
        <f t="shared" si="23"/>
        <v>#N/A</v>
      </c>
      <c r="AO135" s="347" t="e">
        <f t="shared" si="24"/>
        <v>#N/A</v>
      </c>
      <c r="AP135" s="347"/>
      <c r="AQ135" s="349" t="s">
        <v>531</v>
      </c>
      <c r="AR135" s="17"/>
    </row>
    <row r="136" spans="1:44" ht="47.1" customHeight="1">
      <c r="A136" s="236">
        <v>12</v>
      </c>
      <c r="B136" s="325"/>
      <c r="C136" s="325"/>
      <c r="D136" s="172"/>
      <c r="E136" s="326" t="str">
        <f>IFERROR(IF(AND(K136="",T136=""),"",(VLOOKUP(Q136,'Reference records(soft deleted)'!$B$118:$D$162,3,FALSE))),"")</f>
        <v/>
      </c>
      <c r="F136" s="327"/>
      <c r="G136" s="327"/>
      <c r="H136" s="328" t="str">
        <f>IF(R136="",IFERROR(VLOOKUP(AC136,'Reference Records'!G$430:J740,4,0),""),IFERROR(VLOOKUP(AC136,'Reference Records'!H$430:J740,3,0),""))</f>
        <v/>
      </c>
      <c r="I136" s="328"/>
      <c r="J136" s="333"/>
      <c r="K136" s="326" t="str">
        <f>IFERROR(VLOOKUP(INDEX('Reference Records'!E$429:E741,MATCH(R136,'Reference Records'!F$429:F741,0),1),'Reference Records'!B$211:C362,2,0),"")</f>
        <v/>
      </c>
      <c r="L136" s="328" t="e">
        <f>VLOOKUP(U136&amp;K136,'Reference Records'!H$212:I363,2,0)</f>
        <v>#N/A</v>
      </c>
      <c r="M136" s="328" t="e">
        <f>MATCH($L136,'Reference Records'!$E$430:$E$653,0)+ROW(Population_by_intervention)-1</f>
        <v>#N/A</v>
      </c>
      <c r="N136" s="328" t="e">
        <f>MATCH($L136,'Reference Records'!$E$430:$E$653,1)+ROW(Population_by_intervention)-1</f>
        <v>#N/A</v>
      </c>
      <c r="O136" s="328" t="e">
        <f>INDEX('Reference Records'!K$212:K363,MATCH(L136,'Reference Records'!B$212:B363,0))</f>
        <v>#N/A</v>
      </c>
      <c r="P136" s="328"/>
      <c r="Q136" s="340"/>
      <c r="R136" s="341"/>
      <c r="S136" s="328" t="str">
        <f>IFERROR(VLOOKUP(INDEX('Reference Records'!J$429:J741,MATCH(R136,'Reference Records'!F$429:F741),1),'Reference Records'!B$211:C362,2,0),"")</f>
        <v/>
      </c>
      <c r="T136" s="333"/>
      <c r="U136" s="342" t="str">
        <f>IFERROR(IF(VLOOKUP(E136,'Reference Records'!$F$159:$N$210,9,FALSE)=0,"",VLOOKUP(E136,'Reference Records'!$F$159:$N$210,9,FALSE)),"")</f>
        <v/>
      </c>
      <c r="V136" s="326" t="str">
        <f t="shared" si="13"/>
        <v/>
      </c>
      <c r="W136" s="343" t="str">
        <f t="shared" si="14"/>
        <v/>
      </c>
      <c r="X136" s="343" t="str">
        <f t="shared" si="15"/>
        <v>a1P3p00000CPRBlEAP</v>
      </c>
      <c r="Y136" s="343" t="b">
        <f t="shared" si="16"/>
        <v>0</v>
      </c>
      <c r="Z136" s="343" t="b">
        <f t="shared" si="17"/>
        <v>1</v>
      </c>
      <c r="AA136" s="343" t="str">
        <f>IF(R136="",IFERROR(VLOOKUP(AC136,'Reference Records'!G$430:J740,3,0),""),IFERROR(VLOOKUP(AC136,'Reference Records'!H$430:J740,2,0),""))</f>
        <v/>
      </c>
      <c r="AB136" s="343" t="s">
        <v>532</v>
      </c>
      <c r="AC136" s="347" t="e">
        <f t="shared" si="18"/>
        <v>#N/A</v>
      </c>
      <c r="AD136" s="347" t="str">
        <f t="shared" si="19"/>
        <v/>
      </c>
      <c r="AE136" s="347" t="str">
        <f t="array" ref="AE136">IFERROR(IF(INDEX($W$124:$W$175,MATCH(0,IF(AD136=$E$124:$E$175,COUNTIF($AE$123:$AE135,$W$124:$W$175),""),0))=0,"",INDEX($W$124:$W$175,MATCH(0,IF(AD136=$E$124:$E$175,COUNTIF($AE$123:$AE135,$W$124:$W$175),""),0))),"")</f>
        <v/>
      </c>
      <c r="AF136" s="347" t="str">
        <f t="shared" si="20"/>
        <v>|empty|</v>
      </c>
      <c r="AG136" s="347" t="str">
        <f t="shared" si="21"/>
        <v>INT-257074</v>
      </c>
      <c r="AH136" s="347" t="e">
        <f t="shared" si="22"/>
        <v>#N/A</v>
      </c>
      <c r="AI136" s="347">
        <f>IF(COUNTIF($AH$124:AH187,"&lt;="&amp;AH136)=0,"",COUNTIF($AH$124:AH187,"&lt;="&amp;AH136))</f>
        <v>47</v>
      </c>
      <c r="AJ136" s="347">
        <f>RANK(AI136,AI$124:AI187,1)</f>
        <v>5</v>
      </c>
      <c r="AK136" s="347" t="e">
        <f>INDEX(E$124:E187,MATCH(ROWS(AJ$124:AJ136),AJ$124:AJ187,0))</f>
        <v>#N/A</v>
      </c>
      <c r="AL136" s="347" t="e">
        <f>INDEX(K$124:K187,MATCH(ROWS(AJ$124:AJ136),AJ$124:AJ187,0))</f>
        <v>#N/A</v>
      </c>
      <c r="AM136" s="347" t="e">
        <f>INDEX(V$124:V187,MATCH(ROWS(AJ$124:AJ136),AJ$124:AJ187,0))</f>
        <v>#N/A</v>
      </c>
      <c r="AN136" s="347" t="e">
        <f t="shared" si="23"/>
        <v>#N/A</v>
      </c>
      <c r="AO136" s="347" t="e">
        <f t="shared" si="24"/>
        <v>#N/A</v>
      </c>
      <c r="AP136" s="347"/>
      <c r="AQ136" s="349" t="s">
        <v>533</v>
      </c>
      <c r="AR136" s="17"/>
    </row>
    <row r="137" spans="1:44" ht="47.1" customHeight="1">
      <c r="A137" s="236">
        <v>13</v>
      </c>
      <c r="B137" s="325"/>
      <c r="C137" s="325"/>
      <c r="D137" s="172"/>
      <c r="E137" s="326" t="str">
        <f>IFERROR(IF(AND(K137="",T137=""),"",(VLOOKUP(Q137,'Reference records(soft deleted)'!$B$118:$D$162,3,FALSE))),"")</f>
        <v/>
      </c>
      <c r="F137" s="327"/>
      <c r="G137" s="327"/>
      <c r="H137" s="328" t="str">
        <f>IF(R137="",IFERROR(VLOOKUP(AC137,'Reference Records'!G$430:J741,4,0),""),IFERROR(VLOOKUP(AC137,'Reference Records'!H$430:J741,3,0),""))</f>
        <v/>
      </c>
      <c r="I137" s="328"/>
      <c r="J137" s="333"/>
      <c r="K137" s="326" t="str">
        <f>IFERROR(VLOOKUP(INDEX('Reference Records'!E$429:E742,MATCH(R137,'Reference Records'!F$429:F742,0),1),'Reference Records'!B$211:C363,2,0),"")</f>
        <v/>
      </c>
      <c r="L137" s="328" t="e">
        <f>VLOOKUP(U137&amp;K137,'Reference Records'!H$212:I364,2,0)</f>
        <v>#N/A</v>
      </c>
      <c r="M137" s="328" t="e">
        <f>MATCH($L137,'Reference Records'!$E$430:$E$653,0)+ROW(Population_by_intervention)-1</f>
        <v>#N/A</v>
      </c>
      <c r="N137" s="328" t="e">
        <f>MATCH($L137,'Reference Records'!$E$430:$E$653,1)+ROW(Population_by_intervention)-1</f>
        <v>#N/A</v>
      </c>
      <c r="O137" s="328" t="e">
        <f>INDEX('Reference Records'!K$212:K364,MATCH(L137,'Reference Records'!B$212:B364,0))</f>
        <v>#N/A</v>
      </c>
      <c r="P137" s="328"/>
      <c r="Q137" s="340"/>
      <c r="R137" s="341"/>
      <c r="S137" s="328" t="str">
        <f>IFERROR(VLOOKUP(INDEX('Reference Records'!J$429:J742,MATCH(R137,'Reference Records'!F$429:F742),1),'Reference Records'!B$211:C363,2,0),"")</f>
        <v/>
      </c>
      <c r="T137" s="333"/>
      <c r="U137" s="342" t="str">
        <f>IFERROR(IF(VLOOKUP(E137,'Reference Records'!$F$159:$N$210,9,FALSE)=0,"",VLOOKUP(E137,'Reference Records'!$F$159:$N$210,9,FALSE)),"")</f>
        <v/>
      </c>
      <c r="V137" s="326" t="str">
        <f t="shared" si="13"/>
        <v/>
      </c>
      <c r="W137" s="343" t="str">
        <f t="shared" si="14"/>
        <v/>
      </c>
      <c r="X137" s="343" t="str">
        <f t="shared" si="15"/>
        <v>a1P3p00000CPRBlEAP</v>
      </c>
      <c r="Y137" s="343" t="b">
        <f t="shared" si="16"/>
        <v>0</v>
      </c>
      <c r="Z137" s="343" t="b">
        <f t="shared" si="17"/>
        <v>1</v>
      </c>
      <c r="AA137" s="343" t="str">
        <f>IF(R137="",IFERROR(VLOOKUP(AC137,'Reference Records'!G$430:J741,3,0),""),IFERROR(VLOOKUP(AC137,'Reference Records'!H$430:J741,2,0),""))</f>
        <v/>
      </c>
      <c r="AB137" s="343" t="s">
        <v>534</v>
      </c>
      <c r="AC137" s="347" t="e">
        <f t="shared" si="18"/>
        <v>#N/A</v>
      </c>
      <c r="AD137" s="347" t="str">
        <f t="shared" si="19"/>
        <v/>
      </c>
      <c r="AE137" s="347" t="str">
        <f t="array" ref="AE137">IFERROR(IF(INDEX($W$124:$W$175,MATCH(0,IF(AD137=$E$124:$E$175,COUNTIF($AE$123:$AE136,$W$124:$W$175),""),0))=0,"",INDEX($W$124:$W$175,MATCH(0,IF(AD137=$E$124:$E$175,COUNTIF($AE$123:$AE136,$W$124:$W$175),""),0))),"")</f>
        <v/>
      </c>
      <c r="AF137" s="347" t="str">
        <f t="shared" si="20"/>
        <v>|empty|</v>
      </c>
      <c r="AG137" s="347" t="str">
        <f t="shared" si="21"/>
        <v>INT-257075</v>
      </c>
      <c r="AH137" s="347" t="e">
        <f t="shared" si="22"/>
        <v>#N/A</v>
      </c>
      <c r="AI137" s="347">
        <f>IF(COUNTIF($AH$124:AH188,"&lt;="&amp;AH137)=0,"",COUNTIF($AH$124:AH188,"&lt;="&amp;AH137))</f>
        <v>47</v>
      </c>
      <c r="AJ137" s="347">
        <f>RANK(AI137,AI$124:AI188,1)</f>
        <v>5</v>
      </c>
      <c r="AK137" s="347" t="e">
        <f>INDEX(E$124:E188,MATCH(ROWS(AJ$124:AJ137),AJ$124:AJ188,0))</f>
        <v>#N/A</v>
      </c>
      <c r="AL137" s="347" t="e">
        <f>INDEX(K$124:K188,MATCH(ROWS(AJ$124:AJ137),AJ$124:AJ188,0))</f>
        <v>#N/A</v>
      </c>
      <c r="AM137" s="347" t="e">
        <f>INDEX(V$124:V188,MATCH(ROWS(AJ$124:AJ137),AJ$124:AJ188,0))</f>
        <v>#N/A</v>
      </c>
      <c r="AN137" s="347" t="e">
        <f t="shared" si="23"/>
        <v>#N/A</v>
      </c>
      <c r="AO137" s="347" t="e">
        <f t="shared" si="24"/>
        <v>#N/A</v>
      </c>
      <c r="AP137" s="347"/>
      <c r="AQ137" s="349" t="s">
        <v>535</v>
      </c>
      <c r="AR137" s="17"/>
    </row>
    <row r="138" spans="1:44" ht="47.1" customHeight="1">
      <c r="A138" s="236">
        <v>14</v>
      </c>
      <c r="B138" s="325"/>
      <c r="C138" s="325"/>
      <c r="D138" s="172"/>
      <c r="E138" s="326" t="str">
        <f>IFERROR(IF(AND(K138="",T138=""),"",(VLOOKUP(Q138,'Reference records(soft deleted)'!$B$118:$D$162,3,FALSE))),"")</f>
        <v/>
      </c>
      <c r="F138" s="327"/>
      <c r="G138" s="327"/>
      <c r="H138" s="328" t="str">
        <f>IF(R138="",IFERROR(VLOOKUP(AC138,'Reference Records'!G$430:J742,4,0),""),IFERROR(VLOOKUP(AC138,'Reference Records'!H$430:J742,3,0),""))</f>
        <v/>
      </c>
      <c r="I138" s="328"/>
      <c r="J138" s="333"/>
      <c r="K138" s="326" t="str">
        <f>IFERROR(VLOOKUP(INDEX('Reference Records'!E$429:E743,MATCH(R138,'Reference Records'!F$429:F743,0),1),'Reference Records'!B$211:C364,2,0),"")</f>
        <v/>
      </c>
      <c r="L138" s="328" t="e">
        <f>VLOOKUP(U138&amp;K138,'Reference Records'!H$212:I365,2,0)</f>
        <v>#N/A</v>
      </c>
      <c r="M138" s="328" t="e">
        <f>MATCH($L138,'Reference Records'!$E$430:$E$653,0)+ROW(Population_by_intervention)-1</f>
        <v>#N/A</v>
      </c>
      <c r="N138" s="328" t="e">
        <f>MATCH($L138,'Reference Records'!$E$430:$E$653,1)+ROW(Population_by_intervention)-1</f>
        <v>#N/A</v>
      </c>
      <c r="O138" s="328" t="e">
        <f>INDEX('Reference Records'!K$212:K365,MATCH(L138,'Reference Records'!B$212:B365,0))</f>
        <v>#N/A</v>
      </c>
      <c r="P138" s="328"/>
      <c r="Q138" s="340"/>
      <c r="R138" s="341"/>
      <c r="S138" s="328" t="str">
        <f>IFERROR(VLOOKUP(INDEX('Reference Records'!J$429:J743,MATCH(R138,'Reference Records'!F$429:F743),1),'Reference Records'!B$211:C364,2,0),"")</f>
        <v/>
      </c>
      <c r="T138" s="333"/>
      <c r="U138" s="342" t="str">
        <f>IFERROR(IF(VLOOKUP(E138,'Reference Records'!$F$159:$N$210,9,FALSE)=0,"",VLOOKUP(E138,'Reference Records'!$F$159:$N$210,9,FALSE)),"")</f>
        <v/>
      </c>
      <c r="V138" s="326" t="str">
        <f t="shared" si="13"/>
        <v/>
      </c>
      <c r="W138" s="343" t="str">
        <f t="shared" si="14"/>
        <v/>
      </c>
      <c r="X138" s="343" t="str">
        <f t="shared" si="15"/>
        <v>a1P3p00000CPRBlEAP</v>
      </c>
      <c r="Y138" s="343" t="b">
        <f t="shared" si="16"/>
        <v>0</v>
      </c>
      <c r="Z138" s="343" t="b">
        <f t="shared" si="17"/>
        <v>1</v>
      </c>
      <c r="AA138" s="343" t="str">
        <f>IF(R138="",IFERROR(VLOOKUP(AC138,'Reference Records'!G$430:J742,3,0),""),IFERROR(VLOOKUP(AC138,'Reference Records'!H$430:J742,2,0),""))</f>
        <v/>
      </c>
      <c r="AB138" s="343" t="s">
        <v>536</v>
      </c>
      <c r="AC138" s="347" t="e">
        <f t="shared" si="18"/>
        <v>#N/A</v>
      </c>
      <c r="AD138" s="347" t="str">
        <f t="shared" si="19"/>
        <v/>
      </c>
      <c r="AE138" s="347" t="str">
        <f t="array" ref="AE138">IFERROR(IF(INDEX($W$124:$W$175,MATCH(0,IF(AD138=$E$124:$E$175,COUNTIF($AE$123:$AE137,$W$124:$W$175),""),0))=0,"",INDEX($W$124:$W$175,MATCH(0,IF(AD138=$E$124:$E$175,COUNTIF($AE$123:$AE137,$W$124:$W$175),""),0))),"")</f>
        <v/>
      </c>
      <c r="AF138" s="347" t="str">
        <f t="shared" si="20"/>
        <v>|empty|</v>
      </c>
      <c r="AG138" s="347" t="str">
        <f t="shared" si="21"/>
        <v>INT-257076</v>
      </c>
      <c r="AH138" s="347" t="e">
        <f t="shared" si="22"/>
        <v>#N/A</v>
      </c>
      <c r="AI138" s="347">
        <f>IF(COUNTIF($AH$124:AH189,"&lt;="&amp;AH138)=0,"",COUNTIF($AH$124:AH189,"&lt;="&amp;AH138))</f>
        <v>47</v>
      </c>
      <c r="AJ138" s="347">
        <f>RANK(AI138,AI$124:AI189,1)</f>
        <v>5</v>
      </c>
      <c r="AK138" s="347" t="e">
        <f>INDEX(E$124:E189,MATCH(ROWS(AJ$124:AJ138),AJ$124:AJ189,0))</f>
        <v>#N/A</v>
      </c>
      <c r="AL138" s="347" t="e">
        <f>INDEX(K$124:K189,MATCH(ROWS(AJ$124:AJ138),AJ$124:AJ189,0))</f>
        <v>#N/A</v>
      </c>
      <c r="AM138" s="347" t="e">
        <f>INDEX(V$124:V189,MATCH(ROWS(AJ$124:AJ138),AJ$124:AJ189,0))</f>
        <v>#N/A</v>
      </c>
      <c r="AN138" s="347" t="e">
        <f t="shared" si="23"/>
        <v>#N/A</v>
      </c>
      <c r="AO138" s="347" t="e">
        <f t="shared" si="24"/>
        <v>#N/A</v>
      </c>
      <c r="AP138" s="347"/>
      <c r="AQ138" s="349" t="s">
        <v>537</v>
      </c>
      <c r="AR138" s="17"/>
    </row>
    <row r="139" spans="1:44" ht="47.1" customHeight="1">
      <c r="A139" s="236">
        <v>15</v>
      </c>
      <c r="B139" s="325"/>
      <c r="C139" s="325"/>
      <c r="D139" s="172"/>
      <c r="E139" s="326" t="str">
        <f>IFERROR(IF(AND(K139="",T139=""),"",(VLOOKUP(Q139,'Reference records(soft deleted)'!$B$118:$D$162,3,FALSE))),"")</f>
        <v/>
      </c>
      <c r="F139" s="327"/>
      <c r="G139" s="327"/>
      <c r="H139" s="328" t="str">
        <f>IF(R139="",IFERROR(VLOOKUP(AC139,'Reference Records'!G$430:J743,4,0),""),IFERROR(VLOOKUP(AC139,'Reference Records'!H$430:J743,3,0),""))</f>
        <v/>
      </c>
      <c r="I139" s="328"/>
      <c r="J139" s="333"/>
      <c r="K139" s="326" t="str">
        <f>IFERROR(VLOOKUP(INDEX('Reference Records'!E$429:E744,MATCH(R139,'Reference Records'!F$429:F744,0),1),'Reference Records'!B$211:C365,2,0),"")</f>
        <v/>
      </c>
      <c r="L139" s="328" t="e">
        <f>VLOOKUP(U139&amp;K139,'Reference Records'!H$212:I366,2,0)</f>
        <v>#N/A</v>
      </c>
      <c r="M139" s="328" t="e">
        <f>MATCH($L139,'Reference Records'!$E$430:$E$653,0)+ROW(Population_by_intervention)-1</f>
        <v>#N/A</v>
      </c>
      <c r="N139" s="328" t="e">
        <f>MATCH($L139,'Reference Records'!$E$430:$E$653,1)+ROW(Population_by_intervention)-1</f>
        <v>#N/A</v>
      </c>
      <c r="O139" s="328" t="e">
        <f>INDEX('Reference Records'!K$212:K366,MATCH(L139,'Reference Records'!B$212:B366,0))</f>
        <v>#N/A</v>
      </c>
      <c r="P139" s="328"/>
      <c r="Q139" s="340"/>
      <c r="R139" s="341"/>
      <c r="S139" s="328" t="str">
        <f>IFERROR(VLOOKUP(INDEX('Reference Records'!J$429:J744,MATCH(R139,'Reference Records'!F$429:F744),1),'Reference Records'!B$211:C365,2,0),"")</f>
        <v/>
      </c>
      <c r="T139" s="333"/>
      <c r="U139" s="342" t="str">
        <f>IFERROR(IF(VLOOKUP(E139,'Reference Records'!$F$159:$N$210,9,FALSE)=0,"",VLOOKUP(E139,'Reference Records'!$F$159:$N$210,9,FALSE)),"")</f>
        <v/>
      </c>
      <c r="V139" s="326" t="str">
        <f t="shared" si="13"/>
        <v/>
      </c>
      <c r="W139" s="343" t="str">
        <f t="shared" si="14"/>
        <v/>
      </c>
      <c r="X139" s="343" t="str">
        <f t="shared" si="15"/>
        <v>a1P3p00000CPRBlEAP</v>
      </c>
      <c r="Y139" s="343" t="b">
        <f t="shared" si="16"/>
        <v>0</v>
      </c>
      <c r="Z139" s="343" t="b">
        <f t="shared" si="17"/>
        <v>1</v>
      </c>
      <c r="AA139" s="343" t="str">
        <f>IF(R139="",IFERROR(VLOOKUP(AC139,'Reference Records'!G$430:J743,3,0),""),IFERROR(VLOOKUP(AC139,'Reference Records'!H$430:J743,2,0),""))</f>
        <v/>
      </c>
      <c r="AB139" s="343" t="s">
        <v>538</v>
      </c>
      <c r="AC139" s="347" t="e">
        <f t="shared" si="18"/>
        <v>#N/A</v>
      </c>
      <c r="AD139" s="347" t="str">
        <f t="shared" si="19"/>
        <v/>
      </c>
      <c r="AE139" s="347" t="str">
        <f t="array" ref="AE139">IFERROR(IF(INDEX($W$124:$W$175,MATCH(0,IF(AD139=$E$124:$E$175,COUNTIF($AE$123:$AE138,$W$124:$W$175),""),0))=0,"",INDEX($W$124:$W$175,MATCH(0,IF(AD139=$E$124:$E$175,COUNTIF($AE$123:$AE138,$W$124:$W$175),""),0))),"")</f>
        <v/>
      </c>
      <c r="AF139" s="347" t="str">
        <f t="shared" si="20"/>
        <v>|empty|</v>
      </c>
      <c r="AG139" s="347" t="str">
        <f t="shared" si="21"/>
        <v>INT-257077</v>
      </c>
      <c r="AH139" s="347" t="e">
        <f t="shared" si="22"/>
        <v>#N/A</v>
      </c>
      <c r="AI139" s="347">
        <f>IF(COUNTIF($AH$124:AH190,"&lt;="&amp;AH139)=0,"",COUNTIF($AH$124:AH190,"&lt;="&amp;AH139))</f>
        <v>47</v>
      </c>
      <c r="AJ139" s="347">
        <f>RANK(AI139,AI$124:AI190,1)</f>
        <v>5</v>
      </c>
      <c r="AK139" s="347" t="e">
        <f>INDEX(E$124:E190,MATCH(ROWS(AJ$124:AJ139),AJ$124:AJ190,0))</f>
        <v>#N/A</v>
      </c>
      <c r="AL139" s="347" t="e">
        <f>INDEX(K$124:K190,MATCH(ROWS(AJ$124:AJ139),AJ$124:AJ190,0))</f>
        <v>#N/A</v>
      </c>
      <c r="AM139" s="347" t="e">
        <f>INDEX(V$124:V190,MATCH(ROWS(AJ$124:AJ139),AJ$124:AJ190,0))</f>
        <v>#N/A</v>
      </c>
      <c r="AN139" s="347" t="e">
        <f t="shared" si="23"/>
        <v>#N/A</v>
      </c>
      <c r="AO139" s="347" t="e">
        <f t="shared" si="24"/>
        <v>#N/A</v>
      </c>
      <c r="AP139" s="347"/>
      <c r="AQ139" s="349" t="s">
        <v>539</v>
      </c>
      <c r="AR139" s="17"/>
    </row>
    <row r="140" spans="1:44" ht="47.1" customHeight="1">
      <c r="A140" s="236">
        <v>16</v>
      </c>
      <c r="B140" s="325"/>
      <c r="C140" s="325"/>
      <c r="D140" s="172"/>
      <c r="E140" s="326" t="str">
        <f>IFERROR(IF(AND(K140="",T140=""),"",(VLOOKUP(Q140,'Reference records(soft deleted)'!$B$118:$D$162,3,FALSE))),"")</f>
        <v/>
      </c>
      <c r="F140" s="327"/>
      <c r="G140" s="327"/>
      <c r="H140" s="328" t="str">
        <f>IF(R140="",IFERROR(VLOOKUP(AC140,'Reference Records'!G$430:J744,4,0),""),IFERROR(VLOOKUP(AC140,'Reference Records'!H$430:J744,3,0),""))</f>
        <v/>
      </c>
      <c r="I140" s="328"/>
      <c r="J140" s="333"/>
      <c r="K140" s="326" t="str">
        <f>IFERROR(VLOOKUP(INDEX('Reference Records'!E$429:E745,MATCH(R140,'Reference Records'!F$429:F745,0),1),'Reference Records'!B$211:C366,2,0),"")</f>
        <v/>
      </c>
      <c r="L140" s="328" t="e">
        <f>VLOOKUP(U140&amp;K140,'Reference Records'!H$212:I367,2,0)</f>
        <v>#N/A</v>
      </c>
      <c r="M140" s="328" t="e">
        <f>MATCH($L140,'Reference Records'!$E$430:$E$653,0)+ROW(Population_by_intervention)-1</f>
        <v>#N/A</v>
      </c>
      <c r="N140" s="328" t="e">
        <f>MATCH($L140,'Reference Records'!$E$430:$E$653,1)+ROW(Population_by_intervention)-1</f>
        <v>#N/A</v>
      </c>
      <c r="O140" s="328" t="e">
        <f>INDEX('Reference Records'!K$212:K367,MATCH(L140,'Reference Records'!B$212:B367,0))</f>
        <v>#N/A</v>
      </c>
      <c r="P140" s="328"/>
      <c r="Q140" s="340"/>
      <c r="R140" s="341"/>
      <c r="S140" s="328" t="str">
        <f>IFERROR(VLOOKUP(INDEX('Reference Records'!J$429:J745,MATCH(R140,'Reference Records'!F$429:F745),1),'Reference Records'!B$211:C366,2,0),"")</f>
        <v/>
      </c>
      <c r="T140" s="333"/>
      <c r="U140" s="342" t="str">
        <f>IFERROR(IF(VLOOKUP(E140,'Reference Records'!$F$159:$N$210,9,FALSE)=0,"",VLOOKUP(E140,'Reference Records'!$F$159:$N$210,9,FALSE)),"")</f>
        <v/>
      </c>
      <c r="V140" s="326" t="str">
        <f t="shared" si="13"/>
        <v/>
      </c>
      <c r="W140" s="343" t="str">
        <f t="shared" si="14"/>
        <v/>
      </c>
      <c r="X140" s="343" t="str">
        <f t="shared" si="15"/>
        <v>a1P3p00000CPRBlEAP</v>
      </c>
      <c r="Y140" s="343" t="b">
        <f t="shared" si="16"/>
        <v>0</v>
      </c>
      <c r="Z140" s="343" t="b">
        <f t="shared" si="17"/>
        <v>1</v>
      </c>
      <c r="AA140" s="343" t="str">
        <f>IF(R140="",IFERROR(VLOOKUP(AC140,'Reference Records'!G$430:J744,3,0),""),IFERROR(VLOOKUP(AC140,'Reference Records'!H$430:J744,2,0),""))</f>
        <v/>
      </c>
      <c r="AB140" s="343" t="s">
        <v>540</v>
      </c>
      <c r="AC140" s="347" t="e">
        <f t="shared" si="18"/>
        <v>#N/A</v>
      </c>
      <c r="AD140" s="347" t="str">
        <f t="shared" si="19"/>
        <v/>
      </c>
      <c r="AE140" s="347" t="str">
        <f t="array" ref="AE140">IFERROR(IF(INDEX($W$124:$W$175,MATCH(0,IF(AD140=$E$124:$E$175,COUNTIF($AE$123:$AE139,$W$124:$W$175),""),0))=0,"",INDEX($W$124:$W$175,MATCH(0,IF(AD140=$E$124:$E$175,COUNTIF($AE$123:$AE139,$W$124:$W$175),""),0))),"")</f>
        <v/>
      </c>
      <c r="AF140" s="347" t="str">
        <f t="shared" si="20"/>
        <v>|empty|</v>
      </c>
      <c r="AG140" s="347" t="str">
        <f t="shared" si="21"/>
        <v>INT-257078</v>
      </c>
      <c r="AH140" s="347" t="e">
        <f t="shared" si="22"/>
        <v>#N/A</v>
      </c>
      <c r="AI140" s="347">
        <f>IF(COUNTIF($AH$124:AH191,"&lt;="&amp;AH140)=0,"",COUNTIF($AH$124:AH191,"&lt;="&amp;AH140))</f>
        <v>47</v>
      </c>
      <c r="AJ140" s="347">
        <f>RANK(AI140,AI$124:AI191,1)</f>
        <v>5</v>
      </c>
      <c r="AK140" s="347" t="e">
        <f>INDEX(E$124:E191,MATCH(ROWS(AJ$124:AJ140),AJ$124:AJ191,0))</f>
        <v>#N/A</v>
      </c>
      <c r="AL140" s="347" t="e">
        <f>INDEX(K$124:K191,MATCH(ROWS(AJ$124:AJ140),AJ$124:AJ191,0))</f>
        <v>#N/A</v>
      </c>
      <c r="AM140" s="347" t="e">
        <f>INDEX(V$124:V191,MATCH(ROWS(AJ$124:AJ140),AJ$124:AJ191,0))</f>
        <v>#N/A</v>
      </c>
      <c r="AN140" s="347" t="e">
        <f t="shared" si="23"/>
        <v>#N/A</v>
      </c>
      <c r="AO140" s="347" t="e">
        <f t="shared" si="24"/>
        <v>#N/A</v>
      </c>
      <c r="AP140" s="347"/>
      <c r="AQ140" s="349" t="s">
        <v>541</v>
      </c>
      <c r="AR140" s="17"/>
    </row>
    <row r="141" spans="1:44" ht="47.1" customHeight="1">
      <c r="A141" s="236">
        <v>17</v>
      </c>
      <c r="B141" s="325"/>
      <c r="C141" s="325"/>
      <c r="D141" s="172"/>
      <c r="E141" s="326" t="str">
        <f>IFERROR(IF(AND(K141="",T141=""),"",(VLOOKUP(Q141,'Reference records(soft deleted)'!$B$118:$D$162,3,FALSE))),"")</f>
        <v/>
      </c>
      <c r="F141" s="327"/>
      <c r="G141" s="327"/>
      <c r="H141" s="328" t="str">
        <f>IF(R141="",IFERROR(VLOOKUP(AC141,'Reference Records'!G$430:J745,4,0),""),IFERROR(VLOOKUP(AC141,'Reference Records'!H$430:J745,3,0),""))</f>
        <v/>
      </c>
      <c r="I141" s="328"/>
      <c r="J141" s="333"/>
      <c r="K141" s="326" t="str">
        <f>IFERROR(VLOOKUP(INDEX('Reference Records'!E$429:E746,MATCH(R141,'Reference Records'!F$429:F746,0),1),'Reference Records'!B$211:C367,2,0),"")</f>
        <v/>
      </c>
      <c r="L141" s="328" t="e">
        <f>VLOOKUP(U141&amp;K141,'Reference Records'!H$212:I368,2,0)</f>
        <v>#N/A</v>
      </c>
      <c r="M141" s="328" t="e">
        <f>MATCH($L141,'Reference Records'!$E$430:$E$653,0)+ROW(Population_by_intervention)-1</f>
        <v>#N/A</v>
      </c>
      <c r="N141" s="328" t="e">
        <f>MATCH($L141,'Reference Records'!$E$430:$E$653,1)+ROW(Population_by_intervention)-1</f>
        <v>#N/A</v>
      </c>
      <c r="O141" s="328" t="e">
        <f>INDEX('Reference Records'!K$212:K368,MATCH(L141,'Reference Records'!B$212:B368,0))</f>
        <v>#N/A</v>
      </c>
      <c r="P141" s="328"/>
      <c r="Q141" s="340"/>
      <c r="R141" s="341"/>
      <c r="S141" s="328" t="str">
        <f>IFERROR(VLOOKUP(INDEX('Reference Records'!J$429:J746,MATCH(R141,'Reference Records'!F$429:F746),1),'Reference Records'!B$211:C367,2,0),"")</f>
        <v/>
      </c>
      <c r="T141" s="333"/>
      <c r="U141" s="342" t="str">
        <f>IFERROR(IF(VLOOKUP(E141,'Reference Records'!$F$159:$N$210,9,FALSE)=0,"",VLOOKUP(E141,'Reference Records'!$F$159:$N$210,9,FALSE)),"")</f>
        <v/>
      </c>
      <c r="V141" s="326" t="str">
        <f t="shared" si="13"/>
        <v/>
      </c>
      <c r="W141" s="343" t="str">
        <f t="shared" si="14"/>
        <v/>
      </c>
      <c r="X141" s="343" t="str">
        <f t="shared" si="15"/>
        <v>a1P3p00000CPRBlEAP</v>
      </c>
      <c r="Y141" s="343" t="b">
        <f t="shared" si="16"/>
        <v>0</v>
      </c>
      <c r="Z141" s="343" t="b">
        <f t="shared" si="17"/>
        <v>1</v>
      </c>
      <c r="AA141" s="343" t="str">
        <f>IF(R141="",IFERROR(VLOOKUP(AC141,'Reference Records'!G$430:J745,3,0),""),IFERROR(VLOOKUP(AC141,'Reference Records'!H$430:J745,2,0),""))</f>
        <v/>
      </c>
      <c r="AB141" s="343" t="s">
        <v>542</v>
      </c>
      <c r="AC141" s="347" t="e">
        <f t="shared" si="18"/>
        <v>#N/A</v>
      </c>
      <c r="AD141" s="347" t="str">
        <f t="shared" si="19"/>
        <v/>
      </c>
      <c r="AE141" s="347" t="str">
        <f t="array" ref="AE141">IFERROR(IF(INDEX($W$124:$W$175,MATCH(0,IF(AD141=$E$124:$E$175,COUNTIF($AE$123:$AE140,$W$124:$W$175),""),0))=0,"",INDEX($W$124:$W$175,MATCH(0,IF(AD141=$E$124:$E$175,COUNTIF($AE$123:$AE140,$W$124:$W$175),""),0))),"")</f>
        <v/>
      </c>
      <c r="AF141" s="347" t="str">
        <f t="shared" si="20"/>
        <v>|empty|</v>
      </c>
      <c r="AG141" s="347" t="str">
        <f t="shared" si="21"/>
        <v>INT-257079</v>
      </c>
      <c r="AH141" s="347" t="e">
        <f t="shared" si="22"/>
        <v>#N/A</v>
      </c>
      <c r="AI141" s="347">
        <f>IF(COUNTIF($AH$124:AH192,"&lt;="&amp;AH141)=0,"",COUNTIF($AH$124:AH192,"&lt;="&amp;AH141))</f>
        <v>47</v>
      </c>
      <c r="AJ141" s="347">
        <f>RANK(AI141,AI$124:AI192,1)</f>
        <v>5</v>
      </c>
      <c r="AK141" s="347" t="e">
        <f>INDEX(E$124:E192,MATCH(ROWS(AJ$124:AJ141),AJ$124:AJ192,0))</f>
        <v>#N/A</v>
      </c>
      <c r="AL141" s="347" t="e">
        <f>INDEX(K$124:K192,MATCH(ROWS(AJ$124:AJ141),AJ$124:AJ192,0))</f>
        <v>#N/A</v>
      </c>
      <c r="AM141" s="347" t="e">
        <f>INDEX(V$124:V192,MATCH(ROWS(AJ$124:AJ141),AJ$124:AJ192,0))</f>
        <v>#N/A</v>
      </c>
      <c r="AN141" s="347" t="e">
        <f t="shared" si="23"/>
        <v>#N/A</v>
      </c>
      <c r="AO141" s="347" t="e">
        <f t="shared" si="24"/>
        <v>#N/A</v>
      </c>
      <c r="AP141" s="347"/>
      <c r="AQ141" s="349" t="s">
        <v>543</v>
      </c>
      <c r="AR141" s="17"/>
    </row>
    <row r="142" spans="1:44" ht="47.1" customHeight="1">
      <c r="A142" s="236">
        <v>18</v>
      </c>
      <c r="B142" s="325"/>
      <c r="C142" s="325"/>
      <c r="D142" s="172"/>
      <c r="E142" s="326" t="str">
        <f>IFERROR(IF(AND(K142="",T142=""),"",(VLOOKUP(Q142,'Reference records(soft deleted)'!$B$118:$D$162,3,FALSE))),"")</f>
        <v/>
      </c>
      <c r="F142" s="327"/>
      <c r="G142" s="327"/>
      <c r="H142" s="328" t="str">
        <f>IF(R142="",IFERROR(VLOOKUP(AC142,'Reference Records'!G$430:J746,4,0),""),IFERROR(VLOOKUP(AC142,'Reference Records'!H$430:J746,3,0),""))</f>
        <v/>
      </c>
      <c r="I142" s="328"/>
      <c r="J142" s="333"/>
      <c r="K142" s="326" t="str">
        <f>IFERROR(VLOOKUP(INDEX('Reference Records'!E$429:E747,MATCH(R142,'Reference Records'!F$429:F747,0),1),'Reference Records'!B$211:C368,2,0),"")</f>
        <v/>
      </c>
      <c r="L142" s="328" t="e">
        <f>VLOOKUP(U142&amp;K142,'Reference Records'!H$212:I369,2,0)</f>
        <v>#N/A</v>
      </c>
      <c r="M142" s="328" t="e">
        <f>MATCH($L142,'Reference Records'!$E$430:$E$653,0)+ROW(Population_by_intervention)-1</f>
        <v>#N/A</v>
      </c>
      <c r="N142" s="328" t="e">
        <f>MATCH($L142,'Reference Records'!$E$430:$E$653,1)+ROW(Population_by_intervention)-1</f>
        <v>#N/A</v>
      </c>
      <c r="O142" s="328" t="e">
        <f>INDEX('Reference Records'!K$212:K369,MATCH(L142,'Reference Records'!B$212:B369,0))</f>
        <v>#N/A</v>
      </c>
      <c r="P142" s="328"/>
      <c r="Q142" s="340"/>
      <c r="R142" s="341"/>
      <c r="S142" s="328" t="str">
        <f>IFERROR(VLOOKUP(INDEX('Reference Records'!J$429:J747,MATCH(R142,'Reference Records'!F$429:F747),1),'Reference Records'!B$211:C368,2,0),"")</f>
        <v/>
      </c>
      <c r="T142" s="333"/>
      <c r="U142" s="342" t="str">
        <f>IFERROR(IF(VLOOKUP(E142,'Reference Records'!$F$159:$N$210,9,FALSE)=0,"",VLOOKUP(E142,'Reference Records'!$F$159:$N$210,9,FALSE)),"")</f>
        <v/>
      </c>
      <c r="V142" s="326" t="str">
        <f t="shared" si="13"/>
        <v/>
      </c>
      <c r="W142" s="343" t="str">
        <f t="shared" si="14"/>
        <v/>
      </c>
      <c r="X142" s="343" t="str">
        <f t="shared" si="15"/>
        <v>a1P3p00000CPRBlEAP</v>
      </c>
      <c r="Y142" s="343" t="b">
        <f t="shared" si="16"/>
        <v>0</v>
      </c>
      <c r="Z142" s="343" t="b">
        <f t="shared" si="17"/>
        <v>1</v>
      </c>
      <c r="AA142" s="343" t="str">
        <f>IF(R142="",IFERROR(VLOOKUP(AC142,'Reference Records'!G$430:J746,3,0),""),IFERROR(VLOOKUP(AC142,'Reference Records'!H$430:J746,2,0),""))</f>
        <v/>
      </c>
      <c r="AB142" s="343" t="s">
        <v>544</v>
      </c>
      <c r="AC142" s="347" t="e">
        <f t="shared" si="18"/>
        <v>#N/A</v>
      </c>
      <c r="AD142" s="347" t="str">
        <f t="shared" si="19"/>
        <v/>
      </c>
      <c r="AE142" s="347" t="str">
        <f t="array" ref="AE142">IFERROR(IF(INDEX($W$124:$W$175,MATCH(0,IF(AD142=$E$124:$E$175,COUNTIF($AE$123:$AE141,$W$124:$W$175),""),0))=0,"",INDEX($W$124:$W$175,MATCH(0,IF(AD142=$E$124:$E$175,COUNTIF($AE$123:$AE141,$W$124:$W$175),""),0))),"")</f>
        <v/>
      </c>
      <c r="AF142" s="347" t="str">
        <f t="shared" si="20"/>
        <v>|empty|</v>
      </c>
      <c r="AG142" s="347" t="str">
        <f t="shared" si="21"/>
        <v>INT-257080</v>
      </c>
      <c r="AH142" s="347" t="e">
        <f t="shared" si="22"/>
        <v>#N/A</v>
      </c>
      <c r="AI142" s="347">
        <f>IF(COUNTIF($AH$124:AH193,"&lt;="&amp;AH142)=0,"",COUNTIF($AH$124:AH193,"&lt;="&amp;AH142))</f>
        <v>47</v>
      </c>
      <c r="AJ142" s="347">
        <f>RANK(AI142,AI$124:AI193,1)</f>
        <v>5</v>
      </c>
      <c r="AK142" s="347" t="e">
        <f>INDEX(E$124:E193,MATCH(ROWS(AJ$124:AJ142),AJ$124:AJ193,0))</f>
        <v>#N/A</v>
      </c>
      <c r="AL142" s="347" t="e">
        <f>INDEX(K$124:K193,MATCH(ROWS(AJ$124:AJ142),AJ$124:AJ193,0))</f>
        <v>#N/A</v>
      </c>
      <c r="AM142" s="347" t="e">
        <f>INDEX(V$124:V193,MATCH(ROWS(AJ$124:AJ142),AJ$124:AJ193,0))</f>
        <v>#N/A</v>
      </c>
      <c r="AN142" s="347" t="e">
        <f t="shared" si="23"/>
        <v>#N/A</v>
      </c>
      <c r="AO142" s="347" t="e">
        <f t="shared" si="24"/>
        <v>#N/A</v>
      </c>
      <c r="AP142" s="347"/>
      <c r="AQ142" s="349" t="s">
        <v>545</v>
      </c>
      <c r="AR142" s="17"/>
    </row>
    <row r="143" spans="1:44" ht="47.1" customHeight="1">
      <c r="A143" s="236">
        <v>19</v>
      </c>
      <c r="B143" s="325"/>
      <c r="C143" s="325"/>
      <c r="D143" s="172"/>
      <c r="E143" s="326" t="str">
        <f>IFERROR(IF(AND(K143="",T143=""),"",(VLOOKUP(Q143,'Reference records(soft deleted)'!$B$118:$D$162,3,FALSE))),"")</f>
        <v/>
      </c>
      <c r="F143" s="327"/>
      <c r="G143" s="327"/>
      <c r="H143" s="328" t="str">
        <f>IF(R143="",IFERROR(VLOOKUP(AC143,'Reference Records'!G$430:J747,4,0),""),IFERROR(VLOOKUP(AC143,'Reference Records'!H$430:J747,3,0),""))</f>
        <v/>
      </c>
      <c r="I143" s="328"/>
      <c r="J143" s="333"/>
      <c r="K143" s="326" t="str">
        <f>IFERROR(VLOOKUP(INDEX('Reference Records'!E$429:E748,MATCH(R143,'Reference Records'!F$429:F748,0),1),'Reference Records'!B$211:C369,2,0),"")</f>
        <v/>
      </c>
      <c r="L143" s="328" t="e">
        <f>VLOOKUP(U143&amp;K143,'Reference Records'!H$212:I370,2,0)</f>
        <v>#N/A</v>
      </c>
      <c r="M143" s="328" t="e">
        <f>MATCH($L143,'Reference Records'!$E$430:$E$653,0)+ROW(Population_by_intervention)-1</f>
        <v>#N/A</v>
      </c>
      <c r="N143" s="328" t="e">
        <f>MATCH($L143,'Reference Records'!$E$430:$E$653,1)+ROW(Population_by_intervention)-1</f>
        <v>#N/A</v>
      </c>
      <c r="O143" s="328" t="e">
        <f>INDEX('Reference Records'!K$212:K370,MATCH(L143,'Reference Records'!B$212:B370,0))</f>
        <v>#N/A</v>
      </c>
      <c r="P143" s="328"/>
      <c r="Q143" s="340"/>
      <c r="R143" s="341"/>
      <c r="S143" s="328" t="str">
        <f>IFERROR(VLOOKUP(INDEX('Reference Records'!J$429:J748,MATCH(R143,'Reference Records'!F$429:F748),1),'Reference Records'!B$211:C369,2,0),"")</f>
        <v/>
      </c>
      <c r="T143" s="333"/>
      <c r="U143" s="342" t="str">
        <f>IFERROR(IF(VLOOKUP(E143,'Reference Records'!$F$159:$N$210,9,FALSE)=0,"",VLOOKUP(E143,'Reference Records'!$F$159:$N$210,9,FALSE)),"")</f>
        <v/>
      </c>
      <c r="V143" s="326" t="str">
        <f t="shared" si="13"/>
        <v/>
      </c>
      <c r="W143" s="343" t="str">
        <f t="shared" si="14"/>
        <v/>
      </c>
      <c r="X143" s="343" t="str">
        <f t="shared" si="15"/>
        <v>a1P3p00000CPRBlEAP</v>
      </c>
      <c r="Y143" s="343" t="b">
        <f t="shared" si="16"/>
        <v>0</v>
      </c>
      <c r="Z143" s="343" t="b">
        <f t="shared" si="17"/>
        <v>1</v>
      </c>
      <c r="AA143" s="343" t="str">
        <f>IF(R143="",IFERROR(VLOOKUP(AC143,'Reference Records'!G$430:J747,3,0),""),IFERROR(VLOOKUP(AC143,'Reference Records'!H$430:J747,2,0),""))</f>
        <v/>
      </c>
      <c r="AB143" s="343" t="s">
        <v>546</v>
      </c>
      <c r="AC143" s="347" t="e">
        <f t="shared" si="18"/>
        <v>#N/A</v>
      </c>
      <c r="AD143" s="347" t="str">
        <f t="shared" si="19"/>
        <v/>
      </c>
      <c r="AE143" s="347" t="str">
        <f t="array" ref="AE143">IFERROR(IF(INDEX($W$124:$W$175,MATCH(0,IF(AD143=$E$124:$E$175,COUNTIF($AE$123:$AE142,$W$124:$W$175),""),0))=0,"",INDEX($W$124:$W$175,MATCH(0,IF(AD143=$E$124:$E$175,COUNTIF($AE$123:$AE142,$W$124:$W$175),""),0))),"")</f>
        <v/>
      </c>
      <c r="AF143" s="347" t="str">
        <f t="shared" si="20"/>
        <v>|empty|</v>
      </c>
      <c r="AG143" s="347" t="str">
        <f t="shared" si="21"/>
        <v>INT-257081</v>
      </c>
      <c r="AH143" s="347" t="e">
        <f t="shared" si="22"/>
        <v>#N/A</v>
      </c>
      <c r="AI143" s="347">
        <f>IF(COUNTIF($AH$124:AH194,"&lt;="&amp;AH143)=0,"",COUNTIF($AH$124:AH194,"&lt;="&amp;AH143))</f>
        <v>47</v>
      </c>
      <c r="AJ143" s="347">
        <f>RANK(AI143,AI$124:AI194,1)</f>
        <v>5</v>
      </c>
      <c r="AK143" s="347" t="e">
        <f>INDEX(E$124:E194,MATCH(ROWS(AJ$124:AJ143),AJ$124:AJ194,0))</f>
        <v>#N/A</v>
      </c>
      <c r="AL143" s="347" t="e">
        <f>INDEX(K$124:K194,MATCH(ROWS(AJ$124:AJ143),AJ$124:AJ194,0))</f>
        <v>#N/A</v>
      </c>
      <c r="AM143" s="347" t="e">
        <f>INDEX(V$124:V194,MATCH(ROWS(AJ$124:AJ143),AJ$124:AJ194,0))</f>
        <v>#N/A</v>
      </c>
      <c r="AN143" s="347" t="e">
        <f t="shared" si="23"/>
        <v>#N/A</v>
      </c>
      <c r="AO143" s="347" t="e">
        <f t="shared" si="24"/>
        <v>#N/A</v>
      </c>
      <c r="AP143" s="347"/>
      <c r="AQ143" s="349" t="s">
        <v>547</v>
      </c>
      <c r="AR143" s="17"/>
    </row>
    <row r="144" spans="1:44" ht="47.1" customHeight="1">
      <c r="A144" s="236">
        <v>20</v>
      </c>
      <c r="B144" s="325"/>
      <c r="C144" s="325"/>
      <c r="D144" s="172"/>
      <c r="E144" s="326" t="str">
        <f>IFERROR(IF(AND(K144="",T144=""),"",(VLOOKUP(Q144,'Reference records(soft deleted)'!$B$118:$D$162,3,FALSE))),"")</f>
        <v/>
      </c>
      <c r="F144" s="327"/>
      <c r="G144" s="327"/>
      <c r="H144" s="328" t="str">
        <f>IF(R144="",IFERROR(VLOOKUP(AC144,'Reference Records'!G$430:J748,4,0),""),IFERROR(VLOOKUP(AC144,'Reference Records'!H$430:J748,3,0),""))</f>
        <v/>
      </c>
      <c r="I144" s="328"/>
      <c r="J144" s="333"/>
      <c r="K144" s="326" t="str">
        <f>IFERROR(VLOOKUP(INDEX('Reference Records'!E$429:E749,MATCH(R144,'Reference Records'!F$429:F749,0),1),'Reference Records'!B$211:C370,2,0),"")</f>
        <v/>
      </c>
      <c r="L144" s="328" t="e">
        <f>VLOOKUP(U144&amp;K144,'Reference Records'!H$212:I371,2,0)</f>
        <v>#N/A</v>
      </c>
      <c r="M144" s="328" t="e">
        <f>MATCH($L144,'Reference Records'!$E$430:$E$653,0)+ROW(Population_by_intervention)-1</f>
        <v>#N/A</v>
      </c>
      <c r="N144" s="328" t="e">
        <f>MATCH($L144,'Reference Records'!$E$430:$E$653,1)+ROW(Population_by_intervention)-1</f>
        <v>#N/A</v>
      </c>
      <c r="O144" s="328" t="e">
        <f>INDEX('Reference Records'!K$212:K371,MATCH(L144,'Reference Records'!B$212:B371,0))</f>
        <v>#N/A</v>
      </c>
      <c r="P144" s="328"/>
      <c r="Q144" s="340"/>
      <c r="R144" s="341"/>
      <c r="S144" s="328" t="str">
        <f>IFERROR(VLOOKUP(INDEX('Reference Records'!J$429:J749,MATCH(R144,'Reference Records'!F$429:F749),1),'Reference Records'!B$211:C370,2,0),"")</f>
        <v/>
      </c>
      <c r="T144" s="333"/>
      <c r="U144" s="342" t="str">
        <f>IFERROR(IF(VLOOKUP(E144,'Reference Records'!$F$159:$N$210,9,FALSE)=0,"",VLOOKUP(E144,'Reference Records'!$F$159:$N$210,9,FALSE)),"")</f>
        <v/>
      </c>
      <c r="V144" s="326" t="str">
        <f t="shared" si="13"/>
        <v/>
      </c>
      <c r="W144" s="343" t="str">
        <f t="shared" si="14"/>
        <v/>
      </c>
      <c r="X144" s="343" t="str">
        <f t="shared" si="15"/>
        <v>a1P3p00000CPRBlEAP</v>
      </c>
      <c r="Y144" s="343" t="b">
        <f t="shared" si="16"/>
        <v>0</v>
      </c>
      <c r="Z144" s="343" t="b">
        <f t="shared" si="17"/>
        <v>1</v>
      </c>
      <c r="AA144" s="343" t="str">
        <f>IF(R144="",IFERROR(VLOOKUP(AC144,'Reference Records'!G$430:J748,3,0),""),IFERROR(VLOOKUP(AC144,'Reference Records'!H$430:J748,2,0),""))</f>
        <v/>
      </c>
      <c r="AB144" s="343" t="s">
        <v>548</v>
      </c>
      <c r="AC144" s="347" t="e">
        <f t="shared" si="18"/>
        <v>#N/A</v>
      </c>
      <c r="AD144" s="347" t="str">
        <f t="shared" si="19"/>
        <v/>
      </c>
      <c r="AE144" s="347" t="str">
        <f t="array" ref="AE144">IFERROR(IF(INDEX($W$124:$W$175,MATCH(0,IF(AD144=$E$124:$E$175,COUNTIF($AE$123:$AE143,$W$124:$W$175),""),0))=0,"",INDEX($W$124:$W$175,MATCH(0,IF(AD144=$E$124:$E$175,COUNTIF($AE$123:$AE143,$W$124:$W$175),""),0))),"")</f>
        <v/>
      </c>
      <c r="AF144" s="347" t="str">
        <f t="shared" si="20"/>
        <v>|empty|</v>
      </c>
      <c r="AG144" s="347" t="str">
        <f t="shared" si="21"/>
        <v>INT-257082</v>
      </c>
      <c r="AH144" s="347" t="e">
        <f t="shared" si="22"/>
        <v>#N/A</v>
      </c>
      <c r="AI144" s="347">
        <f>IF(COUNTIF($AH$124:AH195,"&lt;="&amp;AH144)=0,"",COUNTIF($AH$124:AH195,"&lt;="&amp;AH144))</f>
        <v>47</v>
      </c>
      <c r="AJ144" s="347">
        <f>RANK(AI144,AI$124:AI195,1)</f>
        <v>5</v>
      </c>
      <c r="AK144" s="347" t="e">
        <f>INDEX(E$124:E195,MATCH(ROWS(AJ$124:AJ144),AJ$124:AJ195,0))</f>
        <v>#N/A</v>
      </c>
      <c r="AL144" s="347" t="e">
        <f>INDEX(K$124:K195,MATCH(ROWS(AJ$124:AJ144),AJ$124:AJ195,0))</f>
        <v>#N/A</v>
      </c>
      <c r="AM144" s="347" t="e">
        <f>INDEX(V$124:V195,MATCH(ROWS(AJ$124:AJ144),AJ$124:AJ195,0))</f>
        <v>#N/A</v>
      </c>
      <c r="AN144" s="347" t="e">
        <f t="shared" si="23"/>
        <v>#N/A</v>
      </c>
      <c r="AO144" s="347" t="e">
        <f t="shared" si="24"/>
        <v>#N/A</v>
      </c>
      <c r="AP144" s="347"/>
      <c r="AQ144" s="349" t="s">
        <v>549</v>
      </c>
      <c r="AR144" s="17"/>
    </row>
    <row r="145" spans="1:44" ht="47.1" customHeight="1">
      <c r="A145" s="236">
        <v>21</v>
      </c>
      <c r="B145" s="325"/>
      <c r="C145" s="325"/>
      <c r="D145" s="172"/>
      <c r="E145" s="326" t="str">
        <f>IFERROR(IF(AND(K145="",T145=""),"",(VLOOKUP(Q145,'Reference records(soft deleted)'!$B$118:$D$162,3,FALSE))),"")</f>
        <v/>
      </c>
      <c r="F145" s="327"/>
      <c r="G145" s="327"/>
      <c r="H145" s="328" t="str">
        <f>IF(R145="",IFERROR(VLOOKUP(AC145,'Reference Records'!G$430:J749,4,0),""),IFERROR(VLOOKUP(AC145,'Reference Records'!H$430:J749,3,0),""))</f>
        <v/>
      </c>
      <c r="I145" s="328"/>
      <c r="J145" s="333"/>
      <c r="K145" s="326" t="str">
        <f>IFERROR(VLOOKUP(INDEX('Reference Records'!E$429:E750,MATCH(R145,'Reference Records'!F$429:F750,0),1),'Reference Records'!B$211:C371,2,0),"")</f>
        <v/>
      </c>
      <c r="L145" s="328" t="e">
        <f>VLOOKUP(U145&amp;K145,'Reference Records'!H$212:I372,2,0)</f>
        <v>#N/A</v>
      </c>
      <c r="M145" s="328" t="e">
        <f>MATCH($L145,'Reference Records'!$E$430:$E$653,0)+ROW(Population_by_intervention)-1</f>
        <v>#N/A</v>
      </c>
      <c r="N145" s="328" t="e">
        <f>MATCH($L145,'Reference Records'!$E$430:$E$653,1)+ROW(Population_by_intervention)-1</f>
        <v>#N/A</v>
      </c>
      <c r="O145" s="328" t="e">
        <f>INDEX('Reference Records'!K$212:K372,MATCH(L145,'Reference Records'!B$212:B372,0))</f>
        <v>#N/A</v>
      </c>
      <c r="P145" s="328"/>
      <c r="Q145" s="340"/>
      <c r="R145" s="341"/>
      <c r="S145" s="328" t="str">
        <f>IFERROR(VLOOKUP(INDEX('Reference Records'!J$429:J750,MATCH(R145,'Reference Records'!F$429:F750),1),'Reference Records'!B$211:C371,2,0),"")</f>
        <v/>
      </c>
      <c r="T145" s="333"/>
      <c r="U145" s="342" t="str">
        <f>IFERROR(IF(VLOOKUP(E145,'Reference Records'!$F$159:$N$210,9,FALSE)=0,"",VLOOKUP(E145,'Reference Records'!$F$159:$N$210,9,FALSE)),"")</f>
        <v/>
      </c>
      <c r="V145" s="326" t="str">
        <f t="shared" si="13"/>
        <v/>
      </c>
      <c r="W145" s="343" t="str">
        <f t="shared" si="14"/>
        <v/>
      </c>
      <c r="X145" s="343" t="str">
        <f t="shared" si="15"/>
        <v>a1P3p00000CPRBlEAP</v>
      </c>
      <c r="Y145" s="343" t="b">
        <f t="shared" si="16"/>
        <v>0</v>
      </c>
      <c r="Z145" s="343" t="b">
        <f t="shared" si="17"/>
        <v>1</v>
      </c>
      <c r="AA145" s="343" t="str">
        <f>IF(R145="",IFERROR(VLOOKUP(AC145,'Reference Records'!G$430:J749,3,0),""),IFERROR(VLOOKUP(AC145,'Reference Records'!H$430:J749,2,0),""))</f>
        <v/>
      </c>
      <c r="AB145" s="343" t="s">
        <v>550</v>
      </c>
      <c r="AC145" s="347" t="e">
        <f t="shared" si="18"/>
        <v>#N/A</v>
      </c>
      <c r="AD145" s="347" t="str">
        <f t="shared" si="19"/>
        <v/>
      </c>
      <c r="AE145" s="347" t="str">
        <f t="array" ref="AE145">IFERROR(IF(INDEX($W$124:$W$175,MATCH(0,IF(AD145=$E$124:$E$175,COUNTIF($AE$123:$AE144,$W$124:$W$175),""),0))=0,"",INDEX($W$124:$W$175,MATCH(0,IF(AD145=$E$124:$E$175,COUNTIF($AE$123:$AE144,$W$124:$W$175),""),0))),"")</f>
        <v/>
      </c>
      <c r="AF145" s="347" t="str">
        <f t="shared" si="20"/>
        <v>|empty|</v>
      </c>
      <c r="AG145" s="347" t="str">
        <f t="shared" si="21"/>
        <v>INT-257083</v>
      </c>
      <c r="AH145" s="347" t="e">
        <f t="shared" si="22"/>
        <v>#N/A</v>
      </c>
      <c r="AI145" s="347">
        <f>IF(COUNTIF($AH$124:AH196,"&lt;="&amp;AH145)=0,"",COUNTIF($AH$124:AH196,"&lt;="&amp;AH145))</f>
        <v>47</v>
      </c>
      <c r="AJ145" s="347">
        <f>RANK(AI145,AI$124:AI196,1)</f>
        <v>5</v>
      </c>
      <c r="AK145" s="347" t="e">
        <f>INDEX(E$124:E196,MATCH(ROWS(AJ$124:AJ145),AJ$124:AJ196,0))</f>
        <v>#N/A</v>
      </c>
      <c r="AL145" s="347" t="e">
        <f>INDEX(K$124:K196,MATCH(ROWS(AJ$124:AJ145),AJ$124:AJ196,0))</f>
        <v>#N/A</v>
      </c>
      <c r="AM145" s="347" t="e">
        <f>INDEX(V$124:V196,MATCH(ROWS(AJ$124:AJ145),AJ$124:AJ196,0))</f>
        <v>#N/A</v>
      </c>
      <c r="AN145" s="347" t="e">
        <f t="shared" si="23"/>
        <v>#N/A</v>
      </c>
      <c r="AO145" s="347" t="e">
        <f t="shared" si="24"/>
        <v>#N/A</v>
      </c>
      <c r="AP145" s="347"/>
      <c r="AQ145" s="349" t="s">
        <v>551</v>
      </c>
      <c r="AR145" s="17"/>
    </row>
    <row r="146" spans="1:44" ht="47.1" customHeight="1">
      <c r="A146" s="236">
        <v>22</v>
      </c>
      <c r="B146" s="325"/>
      <c r="C146" s="325"/>
      <c r="D146" s="172"/>
      <c r="E146" s="326" t="str">
        <f>IFERROR(IF(AND(K146="",T146=""),"",(VLOOKUP(Q146,'Reference records(soft deleted)'!$B$118:$D$162,3,FALSE))),"")</f>
        <v/>
      </c>
      <c r="F146" s="327"/>
      <c r="G146" s="327"/>
      <c r="H146" s="328" t="str">
        <f>IF(R146="",IFERROR(VLOOKUP(AC146,'Reference Records'!G$430:J750,4,0),""),IFERROR(VLOOKUP(AC146,'Reference Records'!H$430:J750,3,0),""))</f>
        <v/>
      </c>
      <c r="I146" s="328"/>
      <c r="J146" s="333"/>
      <c r="K146" s="326" t="str">
        <f>IFERROR(VLOOKUP(INDEX('Reference Records'!E$429:E751,MATCH(R146,'Reference Records'!F$429:F751,0),1),'Reference Records'!B$211:C372,2,0),"")</f>
        <v/>
      </c>
      <c r="L146" s="328" t="e">
        <f>VLOOKUP(U146&amp;K146,'Reference Records'!H$212:I418,2,0)</f>
        <v>#N/A</v>
      </c>
      <c r="M146" s="328" t="e">
        <f>MATCH($L146,'Reference Records'!$E$430:$E$653,0)+ROW(Population_by_intervention)-1</f>
        <v>#N/A</v>
      </c>
      <c r="N146" s="328" t="e">
        <f>MATCH($L146,'Reference Records'!$E$430:$E$653,1)+ROW(Population_by_intervention)-1</f>
        <v>#N/A</v>
      </c>
      <c r="O146" s="328" t="e">
        <f>INDEX('Reference Records'!K$212:K418,MATCH(L146,'Reference Records'!B$212:B418,0))</f>
        <v>#N/A</v>
      </c>
      <c r="P146" s="328"/>
      <c r="Q146" s="340"/>
      <c r="R146" s="341"/>
      <c r="S146" s="328" t="str">
        <f>IFERROR(VLOOKUP(INDEX('Reference Records'!J$429:J751,MATCH(R146,'Reference Records'!F$429:F751),1),'Reference Records'!B$211:C372,2,0),"")</f>
        <v/>
      </c>
      <c r="T146" s="333"/>
      <c r="U146" s="342" t="str">
        <f>IFERROR(IF(VLOOKUP(E146,'Reference Records'!$F$159:$N$210,9,FALSE)=0,"",VLOOKUP(E146,'Reference Records'!$F$159:$N$210,9,FALSE)),"")</f>
        <v/>
      </c>
      <c r="V146" s="326" t="str">
        <f t="shared" si="13"/>
        <v/>
      </c>
      <c r="W146" s="343" t="str">
        <f t="shared" si="14"/>
        <v/>
      </c>
      <c r="X146" s="343" t="str">
        <f t="shared" si="15"/>
        <v>a1P3p00000CPRBlEAP</v>
      </c>
      <c r="Y146" s="343" t="b">
        <f t="shared" si="16"/>
        <v>0</v>
      </c>
      <c r="Z146" s="343" t="b">
        <f t="shared" si="17"/>
        <v>1</v>
      </c>
      <c r="AA146" s="343" t="str">
        <f>IF(R146="",IFERROR(VLOOKUP(AC146,'Reference Records'!G$430:J750,3,0),""),IFERROR(VLOOKUP(AC146,'Reference Records'!H$430:J750,2,0),""))</f>
        <v/>
      </c>
      <c r="AB146" s="343" t="s">
        <v>552</v>
      </c>
      <c r="AC146" s="347" t="e">
        <f t="shared" si="18"/>
        <v>#N/A</v>
      </c>
      <c r="AD146" s="347" t="str">
        <f t="shared" si="19"/>
        <v/>
      </c>
      <c r="AE146" s="347" t="str">
        <f t="array" ref="AE146">IFERROR(IF(INDEX($W$124:$W$175,MATCH(0,IF(AD146=$E$124:$E$175,COUNTIF($AE$123:$AE145,$W$124:$W$175),""),0))=0,"",INDEX($W$124:$W$175,MATCH(0,IF(AD146=$E$124:$E$175,COUNTIF($AE$123:$AE145,$W$124:$W$175),""),0))),"")</f>
        <v/>
      </c>
      <c r="AF146" s="347" t="str">
        <f t="shared" si="20"/>
        <v>|empty|</v>
      </c>
      <c r="AG146" s="347" t="str">
        <f t="shared" si="21"/>
        <v>INT-257084</v>
      </c>
      <c r="AH146" s="347" t="e">
        <f t="shared" si="22"/>
        <v>#N/A</v>
      </c>
      <c r="AI146" s="347">
        <f>IF(COUNTIF($AH$124:AH197,"&lt;="&amp;AH146)=0,"",COUNTIF($AH$124:AH197,"&lt;="&amp;AH146))</f>
        <v>47</v>
      </c>
      <c r="AJ146" s="347">
        <f>RANK(AI146,AI$124:AI197,1)</f>
        <v>5</v>
      </c>
      <c r="AK146" s="347" t="e">
        <f>INDEX(E$124:E197,MATCH(ROWS(AJ$124:AJ146),AJ$124:AJ197,0))</f>
        <v>#N/A</v>
      </c>
      <c r="AL146" s="347" t="e">
        <f>INDEX(K$124:K197,MATCH(ROWS(AJ$124:AJ146),AJ$124:AJ197,0))</f>
        <v>#N/A</v>
      </c>
      <c r="AM146" s="347" t="e">
        <f>INDEX(V$124:V197,MATCH(ROWS(AJ$124:AJ146),AJ$124:AJ197,0))</f>
        <v>#N/A</v>
      </c>
      <c r="AN146" s="347" t="e">
        <f t="shared" si="23"/>
        <v>#N/A</v>
      </c>
      <c r="AO146" s="347" t="e">
        <f t="shared" si="24"/>
        <v>#N/A</v>
      </c>
      <c r="AP146" s="347"/>
      <c r="AQ146" s="349" t="s">
        <v>553</v>
      </c>
      <c r="AR146" s="17"/>
    </row>
    <row r="147" spans="1:44" ht="47.1" customHeight="1">
      <c r="A147" s="236">
        <v>23</v>
      </c>
      <c r="B147" s="325"/>
      <c r="C147" s="325"/>
      <c r="D147" s="172"/>
      <c r="E147" s="326" t="str">
        <f>IFERROR(IF(AND(K147="",T147=""),"",(VLOOKUP(Q147,'Reference records(soft deleted)'!$B$118:$D$162,3,FALSE))),"")</f>
        <v/>
      </c>
      <c r="F147" s="327"/>
      <c r="G147" s="327"/>
      <c r="H147" s="328" t="str">
        <f>IF(R147="",IFERROR(VLOOKUP(AC147,'Reference Records'!G$430:J751,4,0),""),IFERROR(VLOOKUP(AC147,'Reference Records'!H$430:J751,3,0),""))</f>
        <v/>
      </c>
      <c r="I147" s="328"/>
      <c r="J147" s="333"/>
      <c r="K147" s="326" t="str">
        <f>IFERROR(VLOOKUP(INDEX('Reference Records'!E$429:E752,MATCH(R147,'Reference Records'!F$429:F752,0),1),'Reference Records'!B$211:C418,2,0),"")</f>
        <v/>
      </c>
      <c r="L147" s="328" t="e">
        <f>VLOOKUP(U147&amp;K147,'Reference Records'!H$212:I419,2,0)</f>
        <v>#N/A</v>
      </c>
      <c r="M147" s="328" t="e">
        <f>MATCH($L147,'Reference Records'!$E$430:$E$653,0)+ROW(Population_by_intervention)-1</f>
        <v>#N/A</v>
      </c>
      <c r="N147" s="328" t="e">
        <f>MATCH($L147,'Reference Records'!$E$430:$E$653,1)+ROW(Population_by_intervention)-1</f>
        <v>#N/A</v>
      </c>
      <c r="O147" s="328" t="e">
        <f>INDEX('Reference Records'!K$212:K419,MATCH(L147,'Reference Records'!B$212:B419,0))</f>
        <v>#N/A</v>
      </c>
      <c r="P147" s="328"/>
      <c r="Q147" s="340"/>
      <c r="R147" s="341"/>
      <c r="S147" s="328" t="str">
        <f>IFERROR(VLOOKUP(INDEX('Reference Records'!J$429:J752,MATCH(R147,'Reference Records'!F$429:F752),1),'Reference Records'!B$211:C418,2,0),"")</f>
        <v/>
      </c>
      <c r="T147" s="333"/>
      <c r="U147" s="342" t="str">
        <f>IFERROR(IF(VLOOKUP(E147,'Reference Records'!$F$159:$N$210,9,FALSE)=0,"",VLOOKUP(E147,'Reference Records'!$F$159:$N$210,9,FALSE)),"")</f>
        <v/>
      </c>
      <c r="V147" s="326" t="str">
        <f t="shared" si="13"/>
        <v/>
      </c>
      <c r="W147" s="343" t="str">
        <f t="shared" si="14"/>
        <v/>
      </c>
      <c r="X147" s="343" t="str">
        <f t="shared" si="15"/>
        <v>a1P3p00000CPRBlEAP</v>
      </c>
      <c r="Y147" s="343" t="b">
        <f t="shared" si="16"/>
        <v>0</v>
      </c>
      <c r="Z147" s="343" t="b">
        <f t="shared" si="17"/>
        <v>1</v>
      </c>
      <c r="AA147" s="343" t="str">
        <f>IF(R147="",IFERROR(VLOOKUP(AC147,'Reference Records'!G$430:J751,3,0),""),IFERROR(VLOOKUP(AC147,'Reference Records'!H$430:J751,2,0),""))</f>
        <v/>
      </c>
      <c r="AB147" s="343" t="s">
        <v>554</v>
      </c>
      <c r="AC147" s="347" t="e">
        <f t="shared" si="18"/>
        <v>#N/A</v>
      </c>
      <c r="AD147" s="347" t="str">
        <f t="shared" si="19"/>
        <v/>
      </c>
      <c r="AE147" s="347" t="str">
        <f t="array" ref="AE147">IFERROR(IF(INDEX($W$124:$W$175,MATCH(0,IF(AD147=$E$124:$E$175,COUNTIF($AE$123:$AE146,$W$124:$W$175),""),0))=0,"",INDEX($W$124:$W$175,MATCH(0,IF(AD147=$E$124:$E$175,COUNTIF($AE$123:$AE146,$W$124:$W$175),""),0))),"")</f>
        <v/>
      </c>
      <c r="AF147" s="347" t="str">
        <f t="shared" si="20"/>
        <v>|empty|</v>
      </c>
      <c r="AG147" s="347" t="str">
        <f t="shared" si="21"/>
        <v>INT-257085</v>
      </c>
      <c r="AH147" s="347" t="e">
        <f t="shared" si="22"/>
        <v>#N/A</v>
      </c>
      <c r="AI147" s="347">
        <f>IF(COUNTIF($AH$124:AH198,"&lt;="&amp;AH147)=0,"",COUNTIF($AH$124:AH198,"&lt;="&amp;AH147))</f>
        <v>47</v>
      </c>
      <c r="AJ147" s="347">
        <f>RANK(AI147,AI$124:AI198,1)</f>
        <v>5</v>
      </c>
      <c r="AK147" s="347" t="e">
        <f>INDEX(E$124:E198,MATCH(ROWS(AJ$124:AJ147),AJ$124:AJ198,0))</f>
        <v>#N/A</v>
      </c>
      <c r="AL147" s="347" t="e">
        <f>INDEX(K$124:K198,MATCH(ROWS(AJ$124:AJ147),AJ$124:AJ198,0))</f>
        <v>#N/A</v>
      </c>
      <c r="AM147" s="347" t="e">
        <f>INDEX(V$124:V198,MATCH(ROWS(AJ$124:AJ147),AJ$124:AJ198,0))</f>
        <v>#N/A</v>
      </c>
      <c r="AN147" s="347" t="e">
        <f t="shared" si="23"/>
        <v>#N/A</v>
      </c>
      <c r="AO147" s="347" t="e">
        <f t="shared" si="24"/>
        <v>#N/A</v>
      </c>
      <c r="AP147" s="347"/>
      <c r="AQ147" s="349" t="s">
        <v>555</v>
      </c>
      <c r="AR147" s="17"/>
    </row>
    <row r="148" spans="1:44" ht="47.1" customHeight="1">
      <c r="A148" s="236">
        <v>24</v>
      </c>
      <c r="B148" s="325"/>
      <c r="C148" s="325"/>
      <c r="D148" s="172"/>
      <c r="E148" s="326" t="str">
        <f>IFERROR(IF(AND(K148="",T148=""),"",(VLOOKUP(Q148,'Reference records(soft deleted)'!$B$118:$D$162,3,FALSE))),"")</f>
        <v/>
      </c>
      <c r="F148" s="327"/>
      <c r="G148" s="327"/>
      <c r="H148" s="328" t="str">
        <f>IF(R148="",IFERROR(VLOOKUP(AC148,'Reference Records'!G$430:J752,4,0),""),IFERROR(VLOOKUP(AC148,'Reference Records'!H$430:J752,3,0),""))</f>
        <v/>
      </c>
      <c r="I148" s="328"/>
      <c r="J148" s="333"/>
      <c r="K148" s="326" t="str">
        <f>IFERROR(VLOOKUP(INDEX('Reference Records'!E$429:E753,MATCH(R148,'Reference Records'!F$429:F753,0),1),'Reference Records'!B$211:C419,2,0),"")</f>
        <v/>
      </c>
      <c r="L148" s="328" t="e">
        <f>VLOOKUP(U148&amp;K148,'Reference Records'!H$212:I420,2,0)</f>
        <v>#N/A</v>
      </c>
      <c r="M148" s="328" t="e">
        <f>MATCH($L148,'Reference Records'!$E$430:$E$653,0)+ROW(Population_by_intervention)-1</f>
        <v>#N/A</v>
      </c>
      <c r="N148" s="328" t="e">
        <f>MATCH($L148,'Reference Records'!$E$430:$E$653,1)+ROW(Population_by_intervention)-1</f>
        <v>#N/A</v>
      </c>
      <c r="O148" s="328" t="e">
        <f>INDEX('Reference Records'!K$212:K420,MATCH(L148,'Reference Records'!B$212:B420,0))</f>
        <v>#N/A</v>
      </c>
      <c r="P148" s="328"/>
      <c r="Q148" s="340"/>
      <c r="R148" s="341"/>
      <c r="S148" s="328" t="str">
        <f>IFERROR(VLOOKUP(INDEX('Reference Records'!J$429:J753,MATCH(R148,'Reference Records'!F$429:F753),1),'Reference Records'!B$211:C419,2,0),"")</f>
        <v/>
      </c>
      <c r="T148" s="333"/>
      <c r="U148" s="342" t="str">
        <f>IFERROR(IF(VLOOKUP(E148,'Reference Records'!$F$159:$N$210,9,FALSE)=0,"",VLOOKUP(E148,'Reference Records'!$F$159:$N$210,9,FALSE)),"")</f>
        <v/>
      </c>
      <c r="V148" s="326" t="str">
        <f t="shared" si="13"/>
        <v/>
      </c>
      <c r="W148" s="343" t="str">
        <f t="shared" si="14"/>
        <v/>
      </c>
      <c r="X148" s="343" t="str">
        <f t="shared" si="15"/>
        <v>a1P3p00000CPRBlEAP</v>
      </c>
      <c r="Y148" s="343" t="b">
        <f t="shared" si="16"/>
        <v>0</v>
      </c>
      <c r="Z148" s="343" t="b">
        <f t="shared" si="17"/>
        <v>1</v>
      </c>
      <c r="AA148" s="343" t="str">
        <f>IF(R148="",IFERROR(VLOOKUP(AC148,'Reference Records'!G$430:J752,3,0),""),IFERROR(VLOOKUP(AC148,'Reference Records'!H$430:J752,2,0),""))</f>
        <v/>
      </c>
      <c r="AB148" s="343" t="s">
        <v>556</v>
      </c>
      <c r="AC148" s="347" t="e">
        <f t="shared" si="18"/>
        <v>#N/A</v>
      </c>
      <c r="AD148" s="347" t="str">
        <f t="shared" si="19"/>
        <v/>
      </c>
      <c r="AE148" s="347" t="str">
        <f t="array" ref="AE148">IFERROR(IF(INDEX($W$124:$W$175,MATCH(0,IF(AD148=$E$124:$E$175,COUNTIF($AE$123:$AE147,$W$124:$W$175),""),0))=0,"",INDEX($W$124:$W$175,MATCH(0,IF(AD148=$E$124:$E$175,COUNTIF($AE$123:$AE147,$W$124:$W$175),""),0))),"")</f>
        <v/>
      </c>
      <c r="AF148" s="347" t="str">
        <f t="shared" si="20"/>
        <v>|empty|</v>
      </c>
      <c r="AG148" s="347" t="str">
        <f t="shared" si="21"/>
        <v>INT-257086</v>
      </c>
      <c r="AH148" s="347" t="e">
        <f t="shared" si="22"/>
        <v>#N/A</v>
      </c>
      <c r="AI148" s="347">
        <f>IF(COUNTIF($AH$124:AH199,"&lt;="&amp;AH148)=0,"",COUNTIF($AH$124:AH199,"&lt;="&amp;AH148))</f>
        <v>47</v>
      </c>
      <c r="AJ148" s="347">
        <f>RANK(AI148,AI$124:AI199,1)</f>
        <v>5</v>
      </c>
      <c r="AK148" s="347" t="e">
        <f>INDEX(E$124:E199,MATCH(ROWS(AJ$124:AJ148),AJ$124:AJ199,0))</f>
        <v>#N/A</v>
      </c>
      <c r="AL148" s="347" t="e">
        <f>INDEX(K$124:K199,MATCH(ROWS(AJ$124:AJ148),AJ$124:AJ199,0))</f>
        <v>#N/A</v>
      </c>
      <c r="AM148" s="347" t="e">
        <f>INDEX(V$124:V199,MATCH(ROWS(AJ$124:AJ148),AJ$124:AJ199,0))</f>
        <v>#N/A</v>
      </c>
      <c r="AN148" s="347" t="e">
        <f t="shared" si="23"/>
        <v>#N/A</v>
      </c>
      <c r="AO148" s="347" t="e">
        <f t="shared" si="24"/>
        <v>#N/A</v>
      </c>
      <c r="AP148" s="347"/>
      <c r="AQ148" s="349" t="s">
        <v>557</v>
      </c>
      <c r="AR148" s="17"/>
    </row>
    <row r="149" spans="1:44" ht="47.1" customHeight="1">
      <c r="A149" s="236">
        <v>25</v>
      </c>
      <c r="B149" s="325"/>
      <c r="C149" s="325"/>
      <c r="D149" s="172"/>
      <c r="E149" s="326" t="str">
        <f>IFERROR(IF(AND(K149="",T149=""),"",(VLOOKUP(Q149,'Reference records(soft deleted)'!$B$118:$D$162,3,FALSE))),"")</f>
        <v/>
      </c>
      <c r="F149" s="327"/>
      <c r="G149" s="327"/>
      <c r="H149" s="328" t="str">
        <f>IF(R149="",IFERROR(VLOOKUP(AC149,'Reference Records'!G$430:J753,4,0),""),IFERROR(VLOOKUP(AC149,'Reference Records'!H$430:J753,3,0),""))</f>
        <v/>
      </c>
      <c r="I149" s="328"/>
      <c r="J149" s="333"/>
      <c r="K149" s="326" t="str">
        <f>IFERROR(VLOOKUP(INDEX('Reference Records'!E$429:E754,MATCH(R149,'Reference Records'!F$429:F754,0),1),'Reference Records'!B$211:C420,2,0),"")</f>
        <v/>
      </c>
      <c r="L149" s="328" t="e">
        <f>VLOOKUP(U149&amp;K149,'Reference Records'!H$212:I421,2,0)</f>
        <v>#N/A</v>
      </c>
      <c r="M149" s="328" t="e">
        <f>MATCH($L149,'Reference Records'!$E$430:$E$653,0)+ROW(Population_by_intervention)-1</f>
        <v>#N/A</v>
      </c>
      <c r="N149" s="328" t="e">
        <f>MATCH($L149,'Reference Records'!$E$430:$E$653,1)+ROW(Population_by_intervention)-1</f>
        <v>#N/A</v>
      </c>
      <c r="O149" s="328" t="e">
        <f>INDEX('Reference Records'!K$212:K421,MATCH(L149,'Reference Records'!B$212:B421,0))</f>
        <v>#N/A</v>
      </c>
      <c r="P149" s="328"/>
      <c r="Q149" s="340"/>
      <c r="R149" s="341"/>
      <c r="S149" s="328" t="str">
        <f>IFERROR(VLOOKUP(INDEX('Reference Records'!J$429:J754,MATCH(R149,'Reference Records'!F$429:F754),1),'Reference Records'!B$211:C420,2,0),"")</f>
        <v/>
      </c>
      <c r="T149" s="333"/>
      <c r="U149" s="342" t="str">
        <f>IFERROR(IF(VLOOKUP(E149,'Reference Records'!$F$159:$N$210,9,FALSE)=0,"",VLOOKUP(E149,'Reference Records'!$F$159:$N$210,9,FALSE)),"")</f>
        <v/>
      </c>
      <c r="V149" s="326" t="str">
        <f t="shared" si="13"/>
        <v/>
      </c>
      <c r="W149" s="343" t="str">
        <f t="shared" si="14"/>
        <v/>
      </c>
      <c r="X149" s="343" t="str">
        <f t="shared" si="15"/>
        <v>a1P3p00000CPRBlEAP</v>
      </c>
      <c r="Y149" s="343" t="b">
        <f t="shared" si="16"/>
        <v>0</v>
      </c>
      <c r="Z149" s="343" t="b">
        <f t="shared" si="17"/>
        <v>1</v>
      </c>
      <c r="AA149" s="343" t="str">
        <f>IF(R149="",IFERROR(VLOOKUP(AC149,'Reference Records'!G$430:J753,3,0),""),IFERROR(VLOOKUP(AC149,'Reference Records'!H$430:J753,2,0),""))</f>
        <v/>
      </c>
      <c r="AB149" s="343" t="s">
        <v>558</v>
      </c>
      <c r="AC149" s="347" t="e">
        <f t="shared" si="18"/>
        <v>#N/A</v>
      </c>
      <c r="AD149" s="347" t="str">
        <f t="shared" si="19"/>
        <v/>
      </c>
      <c r="AE149" s="347" t="str">
        <f t="array" ref="AE149">IFERROR(IF(INDEX($W$124:$W$175,MATCH(0,IF(AD149=$E$124:$E$175,COUNTIF($AE$123:$AE148,$W$124:$W$175),""),0))=0,"",INDEX($W$124:$W$175,MATCH(0,IF(AD149=$E$124:$E$175,COUNTIF($AE$123:$AE148,$W$124:$W$175),""),0))),"")</f>
        <v/>
      </c>
      <c r="AF149" s="347" t="str">
        <f t="shared" si="20"/>
        <v>|empty|</v>
      </c>
      <c r="AG149" s="347" t="str">
        <f t="shared" si="21"/>
        <v>INT-257087</v>
      </c>
      <c r="AH149" s="347" t="e">
        <f t="shared" si="22"/>
        <v>#N/A</v>
      </c>
      <c r="AI149" s="347">
        <f>IF(COUNTIF($AH$124:AH200,"&lt;="&amp;AH149)=0,"",COUNTIF($AH$124:AH200,"&lt;="&amp;AH149))</f>
        <v>47</v>
      </c>
      <c r="AJ149" s="347">
        <f>RANK(AI149,AI$124:AI200,1)</f>
        <v>5</v>
      </c>
      <c r="AK149" s="347" t="e">
        <f>INDEX(E$124:E200,MATCH(ROWS(AJ$124:AJ149),AJ$124:AJ200,0))</f>
        <v>#N/A</v>
      </c>
      <c r="AL149" s="347" t="e">
        <f>INDEX(K$124:K200,MATCH(ROWS(AJ$124:AJ149),AJ$124:AJ200,0))</f>
        <v>#N/A</v>
      </c>
      <c r="AM149" s="347" t="e">
        <f>INDEX(V$124:V200,MATCH(ROWS(AJ$124:AJ149),AJ$124:AJ200,0))</f>
        <v>#N/A</v>
      </c>
      <c r="AN149" s="347" t="e">
        <f t="shared" si="23"/>
        <v>#N/A</v>
      </c>
      <c r="AO149" s="347" t="e">
        <f t="shared" si="24"/>
        <v>#N/A</v>
      </c>
      <c r="AP149" s="347"/>
      <c r="AQ149" s="349" t="s">
        <v>559</v>
      </c>
      <c r="AR149" s="17"/>
    </row>
    <row r="150" spans="1:44" ht="47.1" customHeight="1">
      <c r="A150" s="236">
        <v>26</v>
      </c>
      <c r="B150" s="325"/>
      <c r="C150" s="325"/>
      <c r="D150" s="172"/>
      <c r="E150" s="326" t="str">
        <f>IFERROR(IF(AND(K150="",T150=""),"",(VLOOKUP(Q150,'Reference records(soft deleted)'!$B$118:$D$162,3,FALSE))),"")</f>
        <v/>
      </c>
      <c r="F150" s="327"/>
      <c r="G150" s="327"/>
      <c r="H150" s="328" t="str">
        <f>IF(R150="",IFERROR(VLOOKUP(AC150,'Reference Records'!G$430:J754,4,0),""),IFERROR(VLOOKUP(AC150,'Reference Records'!H$430:J754,3,0),""))</f>
        <v/>
      </c>
      <c r="I150" s="328"/>
      <c r="J150" s="333"/>
      <c r="K150" s="326" t="str">
        <f>IFERROR(VLOOKUP(INDEX('Reference Records'!E$429:E755,MATCH(R150,'Reference Records'!F$429:F755,0),1),'Reference Records'!B$211:C421,2,0),"")</f>
        <v/>
      </c>
      <c r="L150" s="328" t="e">
        <f>VLOOKUP(U150&amp;K150,'Reference Records'!H$212:I422,2,0)</f>
        <v>#N/A</v>
      </c>
      <c r="M150" s="328" t="e">
        <f>MATCH($L150,'Reference Records'!$E$430:$E$653,0)+ROW(Population_by_intervention)-1</f>
        <v>#N/A</v>
      </c>
      <c r="N150" s="328" t="e">
        <f>MATCH($L150,'Reference Records'!$E$430:$E$653,1)+ROW(Population_by_intervention)-1</f>
        <v>#N/A</v>
      </c>
      <c r="O150" s="328" t="e">
        <f>INDEX('Reference Records'!K$212:K422,MATCH(L150,'Reference Records'!B$212:B422,0))</f>
        <v>#N/A</v>
      </c>
      <c r="P150" s="328"/>
      <c r="Q150" s="340"/>
      <c r="R150" s="341"/>
      <c r="S150" s="328" t="str">
        <f>IFERROR(VLOOKUP(INDEX('Reference Records'!J$429:J755,MATCH(R150,'Reference Records'!F$429:F755),1),'Reference Records'!B$211:C421,2,0),"")</f>
        <v/>
      </c>
      <c r="T150" s="333"/>
      <c r="U150" s="342" t="str">
        <f>IFERROR(IF(VLOOKUP(E150,'Reference Records'!$F$159:$N$210,9,FALSE)=0,"",VLOOKUP(E150,'Reference Records'!$F$159:$N$210,9,FALSE)),"")</f>
        <v/>
      </c>
      <c r="V150" s="326" t="str">
        <f t="shared" si="13"/>
        <v/>
      </c>
      <c r="W150" s="343" t="str">
        <f t="shared" si="14"/>
        <v/>
      </c>
      <c r="X150" s="343" t="str">
        <f t="shared" si="15"/>
        <v>a1P3p00000CPRBlEAP</v>
      </c>
      <c r="Y150" s="343" t="b">
        <f t="shared" si="16"/>
        <v>0</v>
      </c>
      <c r="Z150" s="343" t="b">
        <f t="shared" si="17"/>
        <v>1</v>
      </c>
      <c r="AA150" s="343" t="str">
        <f>IF(R150="",IFERROR(VLOOKUP(AC150,'Reference Records'!G$430:J754,3,0),""),IFERROR(VLOOKUP(AC150,'Reference Records'!H$430:J754,2,0),""))</f>
        <v/>
      </c>
      <c r="AB150" s="343" t="s">
        <v>560</v>
      </c>
      <c r="AC150" s="347" t="e">
        <f t="shared" si="18"/>
        <v>#N/A</v>
      </c>
      <c r="AD150" s="347" t="str">
        <f t="shared" si="19"/>
        <v/>
      </c>
      <c r="AE150" s="347" t="str">
        <f t="array" ref="AE150">IFERROR(IF(INDEX($W$124:$W$175,MATCH(0,IF(AD150=$E$124:$E$175,COUNTIF($AE$123:$AE149,$W$124:$W$175),""),0))=0,"",INDEX($W$124:$W$175,MATCH(0,IF(AD150=$E$124:$E$175,COUNTIF($AE$123:$AE149,$W$124:$W$175),""),0))),"")</f>
        <v/>
      </c>
      <c r="AF150" s="347" t="str">
        <f t="shared" si="20"/>
        <v>|empty|</v>
      </c>
      <c r="AG150" s="347" t="str">
        <f t="shared" si="21"/>
        <v>INT-257088</v>
      </c>
      <c r="AH150" s="347" t="e">
        <f t="shared" si="22"/>
        <v>#N/A</v>
      </c>
      <c r="AI150" s="347">
        <f>IF(COUNTIF($AH$124:AH201,"&lt;="&amp;AH150)=0,"",COUNTIF($AH$124:AH201,"&lt;="&amp;AH150))</f>
        <v>47</v>
      </c>
      <c r="AJ150" s="347">
        <f>RANK(AI150,AI$124:AI201,1)</f>
        <v>5</v>
      </c>
      <c r="AK150" s="347" t="e">
        <f>INDEX(E$124:E201,MATCH(ROWS(AJ$124:AJ150),AJ$124:AJ201,0))</f>
        <v>#N/A</v>
      </c>
      <c r="AL150" s="347" t="e">
        <f>INDEX(K$124:K201,MATCH(ROWS(AJ$124:AJ150),AJ$124:AJ201,0))</f>
        <v>#N/A</v>
      </c>
      <c r="AM150" s="347" t="e">
        <f>INDEX(V$124:V201,MATCH(ROWS(AJ$124:AJ150),AJ$124:AJ201,0))</f>
        <v>#N/A</v>
      </c>
      <c r="AN150" s="347" t="e">
        <f t="shared" si="23"/>
        <v>#N/A</v>
      </c>
      <c r="AO150" s="347" t="e">
        <f t="shared" si="24"/>
        <v>#N/A</v>
      </c>
      <c r="AP150" s="347"/>
      <c r="AQ150" s="349" t="s">
        <v>561</v>
      </c>
      <c r="AR150" s="17"/>
    </row>
    <row r="151" spans="1:44" ht="47.1" customHeight="1">
      <c r="A151" s="236">
        <v>27</v>
      </c>
      <c r="B151" s="325"/>
      <c r="C151" s="325"/>
      <c r="D151" s="172"/>
      <c r="E151" s="326" t="str">
        <f>IFERROR(IF(AND(K151="",T151=""),"",(VLOOKUP(Q151,'Reference records(soft deleted)'!$B$118:$D$162,3,FALSE))),"")</f>
        <v/>
      </c>
      <c r="F151" s="327"/>
      <c r="G151" s="327"/>
      <c r="H151" s="328" t="str">
        <f>IF(R151="",IFERROR(VLOOKUP(AC151,'Reference Records'!G$430:J755,4,0),""),IFERROR(VLOOKUP(AC151,'Reference Records'!H$430:J755,3,0),""))</f>
        <v/>
      </c>
      <c r="I151" s="328"/>
      <c r="J151" s="333"/>
      <c r="K151" s="326" t="str">
        <f>IFERROR(VLOOKUP(INDEX('Reference Records'!E$429:E756,MATCH(R151,'Reference Records'!F$429:F756,0),1),'Reference Records'!B$211:C422,2,0),"")</f>
        <v/>
      </c>
      <c r="L151" s="328" t="e">
        <f>VLOOKUP(U151&amp;K151,'Reference Records'!H$212:I423,2,0)</f>
        <v>#N/A</v>
      </c>
      <c r="M151" s="328" t="e">
        <f>MATCH($L151,'Reference Records'!$E$430:$E$653,0)+ROW(Population_by_intervention)-1</f>
        <v>#N/A</v>
      </c>
      <c r="N151" s="328" t="e">
        <f>MATCH($L151,'Reference Records'!$E$430:$E$653,1)+ROW(Population_by_intervention)-1</f>
        <v>#N/A</v>
      </c>
      <c r="O151" s="328" t="e">
        <f>INDEX('Reference Records'!K$212:K423,MATCH(L151,'Reference Records'!B$212:B423,0))</f>
        <v>#N/A</v>
      </c>
      <c r="P151" s="328"/>
      <c r="Q151" s="340"/>
      <c r="R151" s="341"/>
      <c r="S151" s="328" t="str">
        <f>IFERROR(VLOOKUP(INDEX('Reference Records'!J$429:J756,MATCH(R151,'Reference Records'!F$429:F756),1),'Reference Records'!B$211:C422,2,0),"")</f>
        <v/>
      </c>
      <c r="T151" s="333"/>
      <c r="U151" s="342" t="str">
        <f>IFERROR(IF(VLOOKUP(E151,'Reference Records'!$F$159:$N$210,9,FALSE)=0,"",VLOOKUP(E151,'Reference Records'!$F$159:$N$210,9,FALSE)),"")</f>
        <v/>
      </c>
      <c r="V151" s="326" t="str">
        <f t="shared" si="13"/>
        <v/>
      </c>
      <c r="W151" s="343" t="str">
        <f t="shared" si="14"/>
        <v/>
      </c>
      <c r="X151" s="343" t="str">
        <f t="shared" si="15"/>
        <v>a1P3p00000CPRBlEAP</v>
      </c>
      <c r="Y151" s="343" t="b">
        <f t="shared" si="16"/>
        <v>0</v>
      </c>
      <c r="Z151" s="343" t="b">
        <f t="shared" si="17"/>
        <v>1</v>
      </c>
      <c r="AA151" s="343" t="str">
        <f>IF(R151="",IFERROR(VLOOKUP(AC151,'Reference Records'!G$430:J755,3,0),""),IFERROR(VLOOKUP(AC151,'Reference Records'!H$430:J755,2,0),""))</f>
        <v/>
      </c>
      <c r="AB151" s="343" t="s">
        <v>562</v>
      </c>
      <c r="AC151" s="347" t="e">
        <f t="shared" si="18"/>
        <v>#N/A</v>
      </c>
      <c r="AD151" s="347" t="str">
        <f t="shared" si="19"/>
        <v/>
      </c>
      <c r="AE151" s="347" t="str">
        <f t="array" ref="AE151">IFERROR(IF(INDEX($W$124:$W$175,MATCH(0,IF(AD151=$E$124:$E$175,COUNTIF($AE$123:$AE150,$W$124:$W$175),""),0))=0,"",INDEX($W$124:$W$175,MATCH(0,IF(AD151=$E$124:$E$175,COUNTIF($AE$123:$AE150,$W$124:$W$175),""),0))),"")</f>
        <v/>
      </c>
      <c r="AF151" s="347" t="str">
        <f t="shared" si="20"/>
        <v>|empty|</v>
      </c>
      <c r="AG151" s="347" t="str">
        <f t="shared" si="21"/>
        <v>INT-257089</v>
      </c>
      <c r="AH151" s="347" t="e">
        <f t="shared" si="22"/>
        <v>#N/A</v>
      </c>
      <c r="AI151" s="347">
        <f>IF(COUNTIF($AH$124:AH202,"&lt;="&amp;AH151)=0,"",COUNTIF($AH$124:AH202,"&lt;="&amp;AH151))</f>
        <v>47</v>
      </c>
      <c r="AJ151" s="347">
        <f>RANK(AI151,AI$124:AI202,1)</f>
        <v>5</v>
      </c>
      <c r="AK151" s="347" t="e">
        <f>INDEX(E$124:E202,MATCH(ROWS(AJ$124:AJ151),AJ$124:AJ202,0))</f>
        <v>#N/A</v>
      </c>
      <c r="AL151" s="347" t="e">
        <f>INDEX(K$124:K202,MATCH(ROWS(AJ$124:AJ151),AJ$124:AJ202,0))</f>
        <v>#N/A</v>
      </c>
      <c r="AM151" s="347" t="e">
        <f>INDEX(V$124:V202,MATCH(ROWS(AJ$124:AJ151),AJ$124:AJ202,0))</f>
        <v>#N/A</v>
      </c>
      <c r="AN151" s="347" t="e">
        <f t="shared" si="23"/>
        <v>#N/A</v>
      </c>
      <c r="AO151" s="347" t="e">
        <f t="shared" si="24"/>
        <v>#N/A</v>
      </c>
      <c r="AP151" s="347"/>
      <c r="AQ151" s="349" t="s">
        <v>563</v>
      </c>
      <c r="AR151" s="17"/>
    </row>
    <row r="152" spans="1:44" ht="47.1" customHeight="1">
      <c r="A152" s="236">
        <v>28</v>
      </c>
      <c r="B152" s="325"/>
      <c r="C152" s="325"/>
      <c r="D152" s="172"/>
      <c r="E152" s="326" t="str">
        <f>IFERROR(IF(AND(K152="",T152=""),"",(VLOOKUP(Q152,'Reference records(soft deleted)'!$B$118:$D$162,3,FALSE))),"")</f>
        <v/>
      </c>
      <c r="F152" s="327"/>
      <c r="G152" s="327"/>
      <c r="H152" s="328" t="str">
        <f>IF(R152="",IFERROR(VLOOKUP(AC152,'Reference Records'!G$430:J756,4,0),""),IFERROR(VLOOKUP(AC152,'Reference Records'!H$430:J756,3,0),""))</f>
        <v/>
      </c>
      <c r="I152" s="328"/>
      <c r="J152" s="333"/>
      <c r="K152" s="326" t="str">
        <f>IFERROR(VLOOKUP(INDEX('Reference Records'!E$429:E757,MATCH(R152,'Reference Records'!F$429:F757,0),1),'Reference Records'!B$211:C423,2,0),"")</f>
        <v/>
      </c>
      <c r="L152" s="328" t="e">
        <f>VLOOKUP(U152&amp;K152,'Reference Records'!H$212:I424,2,0)</f>
        <v>#N/A</v>
      </c>
      <c r="M152" s="328" t="e">
        <f>MATCH($L152,'Reference Records'!$E$430:$E$653,0)+ROW(Population_by_intervention)-1</f>
        <v>#N/A</v>
      </c>
      <c r="N152" s="328" t="e">
        <f>MATCH($L152,'Reference Records'!$E$430:$E$653,1)+ROW(Population_by_intervention)-1</f>
        <v>#N/A</v>
      </c>
      <c r="O152" s="328" t="e">
        <f>INDEX('Reference Records'!K$212:K424,MATCH(L152,'Reference Records'!B$212:B424,0))</f>
        <v>#N/A</v>
      </c>
      <c r="P152" s="328"/>
      <c r="Q152" s="340"/>
      <c r="R152" s="341"/>
      <c r="S152" s="328" t="str">
        <f>IFERROR(VLOOKUP(INDEX('Reference Records'!J$429:J757,MATCH(R152,'Reference Records'!F$429:F757),1),'Reference Records'!B$211:C423,2,0),"")</f>
        <v/>
      </c>
      <c r="T152" s="333"/>
      <c r="U152" s="342" t="str">
        <f>IFERROR(IF(VLOOKUP(E152,'Reference Records'!$F$159:$N$210,9,FALSE)=0,"",VLOOKUP(E152,'Reference Records'!$F$159:$N$210,9,FALSE)),"")</f>
        <v/>
      </c>
      <c r="V152" s="326" t="str">
        <f t="shared" si="13"/>
        <v/>
      </c>
      <c r="W152" s="343" t="str">
        <f t="shared" si="14"/>
        <v/>
      </c>
      <c r="X152" s="343" t="str">
        <f t="shared" si="15"/>
        <v>a1P3p00000CPRBlEAP</v>
      </c>
      <c r="Y152" s="343" t="b">
        <f t="shared" si="16"/>
        <v>0</v>
      </c>
      <c r="Z152" s="343" t="b">
        <f t="shared" si="17"/>
        <v>1</v>
      </c>
      <c r="AA152" s="343" t="str">
        <f>IF(R152="",IFERROR(VLOOKUP(AC152,'Reference Records'!G$430:J756,3,0),""),IFERROR(VLOOKUP(AC152,'Reference Records'!H$430:J756,2,0),""))</f>
        <v/>
      </c>
      <c r="AB152" s="343" t="s">
        <v>564</v>
      </c>
      <c r="AC152" s="347" t="e">
        <f t="shared" si="18"/>
        <v>#N/A</v>
      </c>
      <c r="AD152" s="347" t="str">
        <f t="shared" si="19"/>
        <v/>
      </c>
      <c r="AE152" s="347" t="str">
        <f t="array" ref="AE152">IFERROR(IF(INDEX($W$124:$W$175,MATCH(0,IF(AD152=$E$124:$E$175,COUNTIF($AE$123:$AE151,$W$124:$W$175),""),0))=0,"",INDEX($W$124:$W$175,MATCH(0,IF(AD152=$E$124:$E$175,COUNTIF($AE$123:$AE151,$W$124:$W$175),""),0))),"")</f>
        <v/>
      </c>
      <c r="AF152" s="347" t="str">
        <f t="shared" si="20"/>
        <v>|empty|</v>
      </c>
      <c r="AG152" s="347" t="str">
        <f t="shared" si="21"/>
        <v>INT-257090</v>
      </c>
      <c r="AH152" s="347" t="e">
        <f t="shared" si="22"/>
        <v>#N/A</v>
      </c>
      <c r="AI152" s="347">
        <f>IF(COUNTIF($AH$124:AH203,"&lt;="&amp;AH152)=0,"",COUNTIF($AH$124:AH203,"&lt;="&amp;AH152))</f>
        <v>47</v>
      </c>
      <c r="AJ152" s="347">
        <f>RANK(AI152,AI$124:AI203,1)</f>
        <v>5</v>
      </c>
      <c r="AK152" s="347" t="e">
        <f>INDEX(E$124:E203,MATCH(ROWS(AJ$124:AJ152),AJ$124:AJ203,0))</f>
        <v>#N/A</v>
      </c>
      <c r="AL152" s="347" t="e">
        <f>INDEX(K$124:K203,MATCH(ROWS(AJ$124:AJ152),AJ$124:AJ203,0))</f>
        <v>#N/A</v>
      </c>
      <c r="AM152" s="347" t="e">
        <f>INDEX(V$124:V203,MATCH(ROWS(AJ$124:AJ152),AJ$124:AJ203,0))</f>
        <v>#N/A</v>
      </c>
      <c r="AN152" s="347" t="e">
        <f t="shared" si="23"/>
        <v>#N/A</v>
      </c>
      <c r="AO152" s="347" t="e">
        <f t="shared" si="24"/>
        <v>#N/A</v>
      </c>
      <c r="AP152" s="347"/>
      <c r="AQ152" s="349" t="s">
        <v>565</v>
      </c>
      <c r="AR152" s="17"/>
    </row>
    <row r="153" spans="1:44" ht="47.1" customHeight="1">
      <c r="A153" s="236">
        <v>29</v>
      </c>
      <c r="B153" s="325"/>
      <c r="C153" s="325"/>
      <c r="D153" s="172"/>
      <c r="E153" s="326" t="str">
        <f>IFERROR(IF(AND(K153="",T153=""),"",(VLOOKUP(Q153,'Reference records(soft deleted)'!$B$118:$D$162,3,FALSE))),"")</f>
        <v/>
      </c>
      <c r="F153" s="327"/>
      <c r="G153" s="327"/>
      <c r="H153" s="328" t="str">
        <f>IF(R153="",IFERROR(VLOOKUP(AC153,'Reference Records'!G$430:J757,4,0),""),IFERROR(VLOOKUP(AC153,'Reference Records'!H$430:J757,3,0),""))</f>
        <v/>
      </c>
      <c r="I153" s="328"/>
      <c r="J153" s="333"/>
      <c r="K153" s="326" t="str">
        <f>IFERROR(VLOOKUP(INDEX('Reference Records'!E$429:E758,MATCH(R153,'Reference Records'!F$429:F758,0),1),'Reference Records'!B$211:C424,2,0),"")</f>
        <v/>
      </c>
      <c r="L153" s="328" t="e">
        <f>VLOOKUP(U153&amp;K153,'Reference Records'!H$212:I425,2,0)</f>
        <v>#N/A</v>
      </c>
      <c r="M153" s="328" t="e">
        <f>MATCH($L153,'Reference Records'!$E$430:$E$653,0)+ROW(Population_by_intervention)-1</f>
        <v>#N/A</v>
      </c>
      <c r="N153" s="328" t="e">
        <f>MATCH($L153,'Reference Records'!$E$430:$E$653,1)+ROW(Population_by_intervention)-1</f>
        <v>#N/A</v>
      </c>
      <c r="O153" s="328" t="e">
        <f>INDEX('Reference Records'!K$212:K425,MATCH(L153,'Reference Records'!B$212:B425,0))</f>
        <v>#N/A</v>
      </c>
      <c r="P153" s="328"/>
      <c r="Q153" s="340"/>
      <c r="R153" s="341"/>
      <c r="S153" s="328" t="str">
        <f>IFERROR(VLOOKUP(INDEX('Reference Records'!J$429:J758,MATCH(R153,'Reference Records'!F$429:F758),1),'Reference Records'!B$211:C424,2,0),"")</f>
        <v/>
      </c>
      <c r="T153" s="333"/>
      <c r="U153" s="342" t="str">
        <f>IFERROR(IF(VLOOKUP(E153,'Reference Records'!$F$159:$N$210,9,FALSE)=0,"",VLOOKUP(E153,'Reference Records'!$F$159:$N$210,9,FALSE)),"")</f>
        <v/>
      </c>
      <c r="V153" s="326" t="str">
        <f t="shared" si="13"/>
        <v/>
      </c>
      <c r="W153" s="343" t="str">
        <f t="shared" si="14"/>
        <v/>
      </c>
      <c r="X153" s="343" t="str">
        <f t="shared" si="15"/>
        <v>a1P3p00000CPRBlEAP</v>
      </c>
      <c r="Y153" s="343" t="b">
        <f t="shared" si="16"/>
        <v>0</v>
      </c>
      <c r="Z153" s="343" t="b">
        <f t="shared" si="17"/>
        <v>1</v>
      </c>
      <c r="AA153" s="343" t="str">
        <f>IF(R153="",IFERROR(VLOOKUP(AC153,'Reference Records'!G$430:J757,3,0),""),IFERROR(VLOOKUP(AC153,'Reference Records'!H$430:J757,2,0),""))</f>
        <v/>
      </c>
      <c r="AB153" s="343" t="s">
        <v>566</v>
      </c>
      <c r="AC153" s="347" t="e">
        <f t="shared" si="18"/>
        <v>#N/A</v>
      </c>
      <c r="AD153" s="347" t="str">
        <f t="shared" si="19"/>
        <v/>
      </c>
      <c r="AE153" s="347" t="str">
        <f t="array" ref="AE153">IFERROR(IF(INDEX($W$124:$W$175,MATCH(0,IF(AD153=$E$124:$E$175,COUNTIF($AE$123:$AE152,$W$124:$W$175),""),0))=0,"",INDEX($W$124:$W$175,MATCH(0,IF(AD153=$E$124:$E$175,COUNTIF($AE$123:$AE152,$W$124:$W$175),""),0))),"")</f>
        <v/>
      </c>
      <c r="AF153" s="347" t="str">
        <f t="shared" si="20"/>
        <v>|empty|</v>
      </c>
      <c r="AG153" s="347" t="str">
        <f t="shared" si="21"/>
        <v>INT-257091</v>
      </c>
      <c r="AH153" s="347" t="e">
        <f t="shared" si="22"/>
        <v>#N/A</v>
      </c>
      <c r="AI153" s="347">
        <f>IF(COUNTIF($AH$124:AH204,"&lt;="&amp;AH153)=0,"",COUNTIF($AH$124:AH204,"&lt;="&amp;AH153))</f>
        <v>47</v>
      </c>
      <c r="AJ153" s="347">
        <f>RANK(AI153,AI$124:AI204,1)</f>
        <v>5</v>
      </c>
      <c r="AK153" s="347" t="e">
        <f>INDEX(E$124:E204,MATCH(ROWS(AJ$124:AJ153),AJ$124:AJ204,0))</f>
        <v>#N/A</v>
      </c>
      <c r="AL153" s="347" t="e">
        <f>INDEX(K$124:K204,MATCH(ROWS(AJ$124:AJ153),AJ$124:AJ204,0))</f>
        <v>#N/A</v>
      </c>
      <c r="AM153" s="347" t="e">
        <f>INDEX(V$124:V204,MATCH(ROWS(AJ$124:AJ153),AJ$124:AJ204,0))</f>
        <v>#N/A</v>
      </c>
      <c r="AN153" s="347" t="e">
        <f t="shared" si="23"/>
        <v>#N/A</v>
      </c>
      <c r="AO153" s="347" t="e">
        <f t="shared" si="24"/>
        <v>#N/A</v>
      </c>
      <c r="AP153" s="347"/>
      <c r="AQ153" s="349" t="s">
        <v>567</v>
      </c>
      <c r="AR153" s="17"/>
    </row>
    <row r="154" spans="1:44" ht="47.1" customHeight="1">
      <c r="A154" s="236">
        <v>30</v>
      </c>
      <c r="B154" s="325"/>
      <c r="C154" s="325"/>
      <c r="D154" s="172"/>
      <c r="E154" s="326" t="str">
        <f>IFERROR(IF(AND(K154="",T154=""),"",(VLOOKUP(Q154,'Reference records(soft deleted)'!$B$118:$D$162,3,FALSE))),"")</f>
        <v/>
      </c>
      <c r="F154" s="327"/>
      <c r="G154" s="327"/>
      <c r="H154" s="328" t="str">
        <f>IF(R154="",IFERROR(VLOOKUP(AC154,'Reference Records'!G$430:J758,4,0),""),IFERROR(VLOOKUP(AC154,'Reference Records'!H$430:J758,3,0),""))</f>
        <v/>
      </c>
      <c r="I154" s="328"/>
      <c r="J154" s="333"/>
      <c r="K154" s="326" t="str">
        <f>IFERROR(VLOOKUP(INDEX('Reference Records'!E$429:E759,MATCH(R154,'Reference Records'!F$429:F759,0),1),'Reference Records'!B$211:C425,2,0),"")</f>
        <v/>
      </c>
      <c r="L154" s="328" t="e">
        <f>VLOOKUP(U154&amp;K154,'Reference Records'!H$212:I426,2,0)</f>
        <v>#N/A</v>
      </c>
      <c r="M154" s="328" t="e">
        <f>MATCH($L154,'Reference Records'!$E$430:$E$653,0)+ROW(Population_by_intervention)-1</f>
        <v>#N/A</v>
      </c>
      <c r="N154" s="328" t="e">
        <f>MATCH($L154,'Reference Records'!$E$430:$E$653,1)+ROW(Population_by_intervention)-1</f>
        <v>#N/A</v>
      </c>
      <c r="O154" s="328" t="e">
        <f>INDEX('Reference Records'!K$212:K426,MATCH(L154,'Reference Records'!B$212:B426,0))</f>
        <v>#N/A</v>
      </c>
      <c r="P154" s="328"/>
      <c r="Q154" s="340"/>
      <c r="R154" s="341"/>
      <c r="S154" s="328" t="str">
        <f>IFERROR(VLOOKUP(INDEX('Reference Records'!J$429:J759,MATCH(R154,'Reference Records'!F$429:F759),1),'Reference Records'!B$211:C425,2,0),"")</f>
        <v/>
      </c>
      <c r="T154" s="333"/>
      <c r="U154" s="342" t="str">
        <f>IFERROR(IF(VLOOKUP(E154,'Reference Records'!$F$159:$N$210,9,FALSE)=0,"",VLOOKUP(E154,'Reference Records'!$F$159:$N$210,9,FALSE)),"")</f>
        <v/>
      </c>
      <c r="V154" s="326" t="str">
        <f t="shared" si="13"/>
        <v/>
      </c>
      <c r="W154" s="343" t="str">
        <f t="shared" si="14"/>
        <v/>
      </c>
      <c r="X154" s="343" t="str">
        <f t="shared" si="15"/>
        <v>a1P3p00000CPRBlEAP</v>
      </c>
      <c r="Y154" s="343" t="b">
        <f t="shared" si="16"/>
        <v>0</v>
      </c>
      <c r="Z154" s="343" t="b">
        <f t="shared" si="17"/>
        <v>1</v>
      </c>
      <c r="AA154" s="343" t="str">
        <f>IF(R154="",IFERROR(VLOOKUP(AC154,'Reference Records'!G$430:J758,3,0),""),IFERROR(VLOOKUP(AC154,'Reference Records'!H$430:J758,2,0),""))</f>
        <v/>
      </c>
      <c r="AB154" s="343" t="s">
        <v>568</v>
      </c>
      <c r="AC154" s="347" t="e">
        <f t="shared" si="18"/>
        <v>#N/A</v>
      </c>
      <c r="AD154" s="347" t="str">
        <f t="shared" si="19"/>
        <v/>
      </c>
      <c r="AE154" s="347" t="str">
        <f t="array" ref="AE154">IFERROR(IF(INDEX($W$124:$W$175,MATCH(0,IF(AD154=$E$124:$E$175,COUNTIF($AE$123:$AE153,$W$124:$W$175),""),0))=0,"",INDEX($W$124:$W$175,MATCH(0,IF(AD154=$E$124:$E$175,COUNTIF($AE$123:$AE153,$W$124:$W$175),""),0))),"")</f>
        <v/>
      </c>
      <c r="AF154" s="347" t="str">
        <f t="shared" si="20"/>
        <v>|empty|</v>
      </c>
      <c r="AG154" s="347" t="str">
        <f t="shared" si="21"/>
        <v>INT-257092</v>
      </c>
      <c r="AH154" s="347" t="e">
        <f t="shared" si="22"/>
        <v>#N/A</v>
      </c>
      <c r="AI154" s="347">
        <f>IF(COUNTIF($AH$124:AH205,"&lt;="&amp;AH154)=0,"",COUNTIF($AH$124:AH205,"&lt;="&amp;AH154))</f>
        <v>47</v>
      </c>
      <c r="AJ154" s="347">
        <f>RANK(AI154,AI$124:AI205,1)</f>
        <v>5</v>
      </c>
      <c r="AK154" s="347" t="e">
        <f>INDEX(E$124:E205,MATCH(ROWS(AJ$124:AJ154),AJ$124:AJ205,0))</f>
        <v>#N/A</v>
      </c>
      <c r="AL154" s="347" t="e">
        <f>INDEX(K$124:K205,MATCH(ROWS(AJ$124:AJ154),AJ$124:AJ205,0))</f>
        <v>#N/A</v>
      </c>
      <c r="AM154" s="347" t="e">
        <f>INDEX(V$124:V205,MATCH(ROWS(AJ$124:AJ154),AJ$124:AJ205,0))</f>
        <v>#N/A</v>
      </c>
      <c r="AN154" s="347" t="e">
        <f t="shared" si="23"/>
        <v>#N/A</v>
      </c>
      <c r="AO154" s="347" t="e">
        <f t="shared" si="24"/>
        <v>#N/A</v>
      </c>
      <c r="AP154" s="347"/>
      <c r="AQ154" s="349" t="s">
        <v>569</v>
      </c>
      <c r="AR154" s="17"/>
    </row>
    <row r="155" spans="1:44" ht="47.1" customHeight="1">
      <c r="A155" s="236">
        <v>31</v>
      </c>
      <c r="B155" s="325"/>
      <c r="C155" s="325"/>
      <c r="D155" s="172"/>
      <c r="E155" s="326" t="str">
        <f>IFERROR(IF(AND(K155="",T155=""),"",(VLOOKUP(Q155,'Reference records(soft deleted)'!$B$118:$D$162,3,FALSE))),"")</f>
        <v/>
      </c>
      <c r="F155" s="327"/>
      <c r="G155" s="327"/>
      <c r="H155" s="328" t="str">
        <f>IF(R155="",IFERROR(VLOOKUP(AC155,'Reference Records'!G$430:J759,4,0),""),IFERROR(VLOOKUP(AC155,'Reference Records'!H$430:J759,3,0),""))</f>
        <v/>
      </c>
      <c r="I155" s="328"/>
      <c r="J155" s="333"/>
      <c r="K155" s="326" t="str">
        <f>IFERROR(VLOOKUP(INDEX('Reference Records'!E$429:E760,MATCH(R155,'Reference Records'!F$429:F760,0),1),'Reference Records'!B$211:C426,2,0),"")</f>
        <v/>
      </c>
      <c r="L155" s="328" t="e">
        <f>VLOOKUP(U155&amp;K155,'Reference Records'!H$212:I427,2,0)</f>
        <v>#N/A</v>
      </c>
      <c r="M155" s="328" t="e">
        <f>MATCH($L155,'Reference Records'!$E$430:$E$653,0)+ROW(Population_by_intervention)-1</f>
        <v>#N/A</v>
      </c>
      <c r="N155" s="328" t="e">
        <f>MATCH($L155,'Reference Records'!$E$430:$E$653,1)+ROW(Population_by_intervention)-1</f>
        <v>#N/A</v>
      </c>
      <c r="O155" s="328" t="e">
        <f>INDEX('Reference Records'!K$212:K427,MATCH(L155,'Reference Records'!B$212:B427,0))</f>
        <v>#N/A</v>
      </c>
      <c r="P155" s="328"/>
      <c r="Q155" s="340"/>
      <c r="R155" s="341"/>
      <c r="S155" s="328" t="str">
        <f>IFERROR(VLOOKUP(INDEX('Reference Records'!J$429:J760,MATCH(R155,'Reference Records'!F$429:F760),1),'Reference Records'!B$211:C426,2,0),"")</f>
        <v/>
      </c>
      <c r="T155" s="333"/>
      <c r="U155" s="342" t="str">
        <f>IFERROR(IF(VLOOKUP(E155,'Reference Records'!$F$159:$N$210,9,FALSE)=0,"",VLOOKUP(E155,'Reference Records'!$F$159:$N$210,9,FALSE)),"")</f>
        <v/>
      </c>
      <c r="V155" s="326" t="str">
        <f t="shared" si="13"/>
        <v/>
      </c>
      <c r="W155" s="343" t="str">
        <f t="shared" si="14"/>
        <v/>
      </c>
      <c r="X155" s="343" t="str">
        <f t="shared" si="15"/>
        <v>a1P3p00000CPRBlEAP</v>
      </c>
      <c r="Y155" s="343" t="b">
        <f t="shared" si="16"/>
        <v>0</v>
      </c>
      <c r="Z155" s="343" t="b">
        <f t="shared" si="17"/>
        <v>1</v>
      </c>
      <c r="AA155" s="343" t="str">
        <f>IF(R155="",IFERROR(VLOOKUP(AC155,'Reference Records'!G$430:J759,3,0),""),IFERROR(VLOOKUP(AC155,'Reference Records'!H$430:J759,2,0),""))</f>
        <v/>
      </c>
      <c r="AB155" s="343" t="s">
        <v>570</v>
      </c>
      <c r="AC155" s="347" t="e">
        <f t="shared" si="18"/>
        <v>#N/A</v>
      </c>
      <c r="AD155" s="347" t="str">
        <f t="shared" si="19"/>
        <v/>
      </c>
      <c r="AE155" s="347" t="str">
        <f t="array" ref="AE155">IFERROR(IF(INDEX($W$124:$W$175,MATCH(0,IF(AD155=$E$124:$E$175,COUNTIF($AE$123:$AE154,$W$124:$W$175),""),0))=0,"",INDEX($W$124:$W$175,MATCH(0,IF(AD155=$E$124:$E$175,COUNTIF($AE$123:$AE154,$W$124:$W$175),""),0))),"")</f>
        <v/>
      </c>
      <c r="AF155" s="347" t="str">
        <f t="shared" si="20"/>
        <v>|empty|</v>
      </c>
      <c r="AG155" s="347" t="str">
        <f t="shared" si="21"/>
        <v>INT-257093</v>
      </c>
      <c r="AH155" s="347" t="e">
        <f t="shared" si="22"/>
        <v>#N/A</v>
      </c>
      <c r="AI155" s="347">
        <f>IF(COUNTIF($AH$124:AH206,"&lt;="&amp;AH155)=0,"",COUNTIF($AH$124:AH206,"&lt;="&amp;AH155))</f>
        <v>47</v>
      </c>
      <c r="AJ155" s="347">
        <f>RANK(AI155,AI$124:AI206,1)</f>
        <v>5</v>
      </c>
      <c r="AK155" s="347" t="e">
        <f>INDEX(E$124:E206,MATCH(ROWS(AJ$124:AJ155),AJ$124:AJ206,0))</f>
        <v>#N/A</v>
      </c>
      <c r="AL155" s="347" t="e">
        <f>INDEX(K$124:K206,MATCH(ROWS(AJ$124:AJ155),AJ$124:AJ206,0))</f>
        <v>#N/A</v>
      </c>
      <c r="AM155" s="347" t="e">
        <f>INDEX(V$124:V206,MATCH(ROWS(AJ$124:AJ155),AJ$124:AJ206,0))</f>
        <v>#N/A</v>
      </c>
      <c r="AN155" s="347" t="e">
        <f t="shared" si="23"/>
        <v>#N/A</v>
      </c>
      <c r="AO155" s="347" t="e">
        <f t="shared" si="24"/>
        <v>#N/A</v>
      </c>
      <c r="AP155" s="347"/>
      <c r="AQ155" s="349" t="s">
        <v>571</v>
      </c>
      <c r="AR155" s="17"/>
    </row>
    <row r="156" spans="1:44" ht="47.1" customHeight="1">
      <c r="A156" s="236">
        <v>32</v>
      </c>
      <c r="B156" s="325"/>
      <c r="C156" s="325"/>
      <c r="D156" s="172"/>
      <c r="E156" s="326" t="str">
        <f>IFERROR(IF(AND(K156="",T156=""),"",(VLOOKUP(Q156,'Reference records(soft deleted)'!$B$118:$D$162,3,FALSE))),"")</f>
        <v/>
      </c>
      <c r="F156" s="327"/>
      <c r="G156" s="327"/>
      <c r="H156" s="328" t="str">
        <f>IF(R156="",IFERROR(VLOOKUP(AC156,'Reference Records'!G$430:J760,4,0),""),IFERROR(VLOOKUP(AC156,'Reference Records'!H$430:J760,3,0),""))</f>
        <v/>
      </c>
      <c r="I156" s="328"/>
      <c r="J156" s="333"/>
      <c r="K156" s="326" t="str">
        <f>IFERROR(VLOOKUP(INDEX('Reference Records'!E$429:E761,MATCH(R156,'Reference Records'!F$429:F761,0),1),'Reference Records'!B$211:C427,2,0),"")</f>
        <v/>
      </c>
      <c r="L156" s="328" t="e">
        <f>VLOOKUP(U156&amp;K156,'Reference Records'!H$212:I428,2,0)</f>
        <v>#N/A</v>
      </c>
      <c r="M156" s="328" t="e">
        <f>MATCH($L156,'Reference Records'!$E$430:$E$653,0)+ROW(Population_by_intervention)-1</f>
        <v>#N/A</v>
      </c>
      <c r="N156" s="328" t="e">
        <f>MATCH($L156,'Reference Records'!$E$430:$E$653,1)+ROW(Population_by_intervention)-1</f>
        <v>#N/A</v>
      </c>
      <c r="O156" s="328" t="e">
        <f>INDEX('Reference Records'!K$212:K428,MATCH(L156,'Reference Records'!B$212:B428,0))</f>
        <v>#N/A</v>
      </c>
      <c r="P156" s="328"/>
      <c r="Q156" s="340"/>
      <c r="R156" s="341"/>
      <c r="S156" s="328" t="str">
        <f>IFERROR(VLOOKUP(INDEX('Reference Records'!J$429:J761,MATCH(R156,'Reference Records'!F$429:F761),1),'Reference Records'!B$211:C427,2,0),"")</f>
        <v/>
      </c>
      <c r="T156" s="333"/>
      <c r="U156" s="342" t="str">
        <f>IFERROR(IF(VLOOKUP(E156,'Reference Records'!$F$159:$N$210,9,FALSE)=0,"",VLOOKUP(E156,'Reference Records'!$F$159:$N$210,9,FALSE)),"")</f>
        <v/>
      </c>
      <c r="V156" s="326" t="str">
        <f t="shared" ref="V156:V174" si="25">IF(IF(Language="French",G156,F156)=0,"",IF(Language="French",G156,F156))</f>
        <v/>
      </c>
      <c r="W156" s="343" t="str">
        <f t="shared" si="14"/>
        <v/>
      </c>
      <c r="X156" s="343" t="str">
        <f t="shared" si="15"/>
        <v>a1P3p00000CPRBlEAP</v>
      </c>
      <c r="Y156" s="343" t="b">
        <f t="shared" si="16"/>
        <v>0</v>
      </c>
      <c r="Z156" s="343" t="b">
        <f t="shared" si="17"/>
        <v>1</v>
      </c>
      <c r="AA156" s="343" t="str">
        <f>IF(R156="",IFERROR(VLOOKUP(AC156,'Reference Records'!G$430:J760,3,0),""),IFERROR(VLOOKUP(AC156,'Reference Records'!H$430:J760,2,0),""))</f>
        <v/>
      </c>
      <c r="AB156" s="343" t="s">
        <v>572</v>
      </c>
      <c r="AC156" s="347" t="e">
        <f t="shared" si="18"/>
        <v>#N/A</v>
      </c>
      <c r="AD156" s="347" t="str">
        <f t="shared" si="19"/>
        <v/>
      </c>
      <c r="AE156" s="347" t="str">
        <f t="array" ref="AE156">IFERROR(IF(INDEX($W$124:$W$175,MATCH(0,IF(AD156=$E$124:$E$175,COUNTIF($AE$123:$AE155,$W$124:$W$175),""),0))=0,"",INDEX($W$124:$W$175,MATCH(0,IF(AD156=$E$124:$E$175,COUNTIF($AE$123:$AE155,$W$124:$W$175),""),0))),"")</f>
        <v/>
      </c>
      <c r="AF156" s="347" t="str">
        <f t="shared" si="20"/>
        <v>|empty|</v>
      </c>
      <c r="AG156" s="347" t="str">
        <f t="shared" si="21"/>
        <v>INT-257094</v>
      </c>
      <c r="AH156" s="347" t="e">
        <f t="shared" si="22"/>
        <v>#N/A</v>
      </c>
      <c r="AI156" s="347">
        <f>IF(COUNTIF($AH$124:AH207,"&lt;="&amp;AH156)=0,"",COUNTIF($AH$124:AH207,"&lt;="&amp;AH156))</f>
        <v>47</v>
      </c>
      <c r="AJ156" s="347">
        <f>RANK(AI156,AI$124:AI207,1)</f>
        <v>5</v>
      </c>
      <c r="AK156" s="347" t="e">
        <f>INDEX(E$124:E207,MATCH(ROWS(AJ$124:AJ156),AJ$124:AJ207,0))</f>
        <v>#N/A</v>
      </c>
      <c r="AL156" s="347" t="e">
        <f>INDEX(K$124:K207,MATCH(ROWS(AJ$124:AJ156),AJ$124:AJ207,0))</f>
        <v>#N/A</v>
      </c>
      <c r="AM156" s="347" t="e">
        <f>INDEX(V$124:V207,MATCH(ROWS(AJ$124:AJ156),AJ$124:AJ207,0))</f>
        <v>#N/A</v>
      </c>
      <c r="AN156" s="347" t="e">
        <f t="shared" si="23"/>
        <v>#N/A</v>
      </c>
      <c r="AO156" s="347" t="e">
        <f t="shared" si="24"/>
        <v>#N/A</v>
      </c>
      <c r="AP156" s="347"/>
      <c r="AQ156" s="349" t="s">
        <v>573</v>
      </c>
      <c r="AR156" s="17"/>
    </row>
    <row r="157" spans="1:44" ht="47.1" customHeight="1">
      <c r="A157" s="236">
        <v>33</v>
      </c>
      <c r="B157" s="325"/>
      <c r="C157" s="325"/>
      <c r="D157" s="172"/>
      <c r="E157" s="326" t="str">
        <f>IFERROR(IF(AND(K157="",T157=""),"",(VLOOKUP(Q157,'Reference records(soft deleted)'!$B$118:$D$162,3,FALSE))),"")</f>
        <v/>
      </c>
      <c r="F157" s="327"/>
      <c r="G157" s="327"/>
      <c r="H157" s="328" t="str">
        <f>IF(R157="",IFERROR(VLOOKUP(AC157,'Reference Records'!G$430:J761,4,0),""),IFERROR(VLOOKUP(AC157,'Reference Records'!H$430:J761,3,0),""))</f>
        <v/>
      </c>
      <c r="I157" s="328"/>
      <c r="J157" s="333"/>
      <c r="K157" s="326" t="str">
        <f>IFERROR(VLOOKUP(INDEX('Reference Records'!E$429:E762,MATCH(R157,'Reference Records'!F$429:F762,0),1),'Reference Records'!B$211:C428,2,0),"")</f>
        <v/>
      </c>
      <c r="L157" s="328" t="e">
        <f>VLOOKUP(U157&amp;K157,'Reference Records'!H$212:I429,2,0)</f>
        <v>#N/A</v>
      </c>
      <c r="M157" s="328" t="e">
        <f>MATCH($L157,'Reference Records'!$E$430:$E$653,0)+ROW(Population_by_intervention)-1</f>
        <v>#N/A</v>
      </c>
      <c r="N157" s="328" t="e">
        <f>MATCH($L157,'Reference Records'!$E$430:$E$653,1)+ROW(Population_by_intervention)-1</f>
        <v>#N/A</v>
      </c>
      <c r="O157" s="328" t="e">
        <f>INDEX('Reference Records'!K$212:K429,MATCH(L157,'Reference Records'!B$212:B429,0))</f>
        <v>#N/A</v>
      </c>
      <c r="P157" s="328"/>
      <c r="Q157" s="340"/>
      <c r="R157" s="341"/>
      <c r="S157" s="328" t="str">
        <f>IFERROR(VLOOKUP(INDEX('Reference Records'!J$429:J762,MATCH(R157,'Reference Records'!F$429:F762),1),'Reference Records'!B$211:C428,2,0),"")</f>
        <v/>
      </c>
      <c r="T157" s="333"/>
      <c r="U157" s="342" t="str">
        <f>IFERROR(IF(VLOOKUP(E157,'Reference Records'!$F$159:$N$210,9,FALSE)=0,"",VLOOKUP(E157,'Reference Records'!$F$159:$N$210,9,FALSE)),"")</f>
        <v/>
      </c>
      <c r="V157" s="326" t="str">
        <f t="shared" si="25"/>
        <v/>
      </c>
      <c r="W157" s="343" t="str">
        <f t="shared" si="14"/>
        <v/>
      </c>
      <c r="X157" s="343" t="str">
        <f t="shared" si="15"/>
        <v>a1P3p00000CPRBlEAP</v>
      </c>
      <c r="Y157" s="343" t="b">
        <f t="shared" si="16"/>
        <v>0</v>
      </c>
      <c r="Z157" s="343" t="b">
        <f t="shared" si="17"/>
        <v>1</v>
      </c>
      <c r="AA157" s="343" t="str">
        <f>IF(R157="",IFERROR(VLOOKUP(AC157,'Reference Records'!G$430:J761,3,0),""),IFERROR(VLOOKUP(AC157,'Reference Records'!H$430:J761,2,0),""))</f>
        <v/>
      </c>
      <c r="AB157" s="343" t="s">
        <v>574</v>
      </c>
      <c r="AC157" s="347" t="e">
        <f t="shared" si="18"/>
        <v>#N/A</v>
      </c>
      <c r="AD157" s="347" t="str">
        <f t="shared" si="19"/>
        <v/>
      </c>
      <c r="AE157" s="347" t="str">
        <f t="array" ref="AE157">IFERROR(IF(INDEX($W$124:$W$175,MATCH(0,IF(AD157=$E$124:$E$175,COUNTIF($AE$123:$AE156,$W$124:$W$175),""),0))=0,"",INDEX($W$124:$W$175,MATCH(0,IF(AD157=$E$124:$E$175,COUNTIF($AE$123:$AE156,$W$124:$W$175),""),0))),"")</f>
        <v/>
      </c>
      <c r="AF157" s="347" t="str">
        <f t="shared" si="20"/>
        <v>|empty|</v>
      </c>
      <c r="AG157" s="347" t="str">
        <f t="shared" si="21"/>
        <v>INT-257095</v>
      </c>
      <c r="AH157" s="347" t="e">
        <f t="shared" si="22"/>
        <v>#N/A</v>
      </c>
      <c r="AI157" s="347">
        <f>IF(COUNTIF($AH$124:AH208,"&lt;="&amp;AH157)=0,"",COUNTIF($AH$124:AH208,"&lt;="&amp;AH157))</f>
        <v>47</v>
      </c>
      <c r="AJ157" s="347">
        <f>RANK(AI157,AI$124:AI208,1)</f>
        <v>5</v>
      </c>
      <c r="AK157" s="347" t="e">
        <f>INDEX(E$124:E208,MATCH(ROWS(AJ$124:AJ157),AJ$124:AJ208,0))</f>
        <v>#N/A</v>
      </c>
      <c r="AL157" s="347" t="e">
        <f>INDEX(K$124:K208,MATCH(ROWS(AJ$124:AJ157),AJ$124:AJ208,0))</f>
        <v>#N/A</v>
      </c>
      <c r="AM157" s="347" t="e">
        <f>INDEX(V$124:V208,MATCH(ROWS(AJ$124:AJ157),AJ$124:AJ208,0))</f>
        <v>#N/A</v>
      </c>
      <c r="AN157" s="347" t="e">
        <f t="shared" si="23"/>
        <v>#N/A</v>
      </c>
      <c r="AO157" s="347" t="e">
        <f t="shared" si="24"/>
        <v>#N/A</v>
      </c>
      <c r="AP157" s="347"/>
      <c r="AQ157" s="349" t="s">
        <v>575</v>
      </c>
      <c r="AR157" s="17"/>
    </row>
    <row r="158" spans="1:44" ht="47.1" customHeight="1">
      <c r="A158" s="236">
        <v>34</v>
      </c>
      <c r="B158" s="325"/>
      <c r="C158" s="325"/>
      <c r="D158" s="172"/>
      <c r="E158" s="326" t="str">
        <f>IFERROR(IF(AND(K158="",T158=""),"",(VLOOKUP(Q158,'Reference records(soft deleted)'!$B$118:$D$162,3,FALSE))),"")</f>
        <v/>
      </c>
      <c r="F158" s="327"/>
      <c r="G158" s="327"/>
      <c r="H158" s="328" t="str">
        <f>IF(R158="",IFERROR(VLOOKUP(AC158,'Reference Records'!G$430:J762,4,0),""),IFERROR(VLOOKUP(AC158,'Reference Records'!H$430:J762,3,0),""))</f>
        <v/>
      </c>
      <c r="I158" s="328"/>
      <c r="J158" s="333"/>
      <c r="K158" s="326" t="str">
        <f>IFERROR(VLOOKUP(INDEX('Reference Records'!E$429:E763,MATCH(R158,'Reference Records'!F$429:F763,0),1),'Reference Records'!B$211:C429,2,0),"")</f>
        <v/>
      </c>
      <c r="L158" s="328" t="e">
        <f>VLOOKUP(U158&amp;K158,'Reference Records'!H$212:I430,2,0)</f>
        <v>#N/A</v>
      </c>
      <c r="M158" s="328" t="e">
        <f>MATCH($L158,'Reference Records'!$E$430:$E$653,0)+ROW(Population_by_intervention)-1</f>
        <v>#N/A</v>
      </c>
      <c r="N158" s="328" t="e">
        <f>MATCH($L158,'Reference Records'!$E$430:$E$653,1)+ROW(Population_by_intervention)-1</f>
        <v>#N/A</v>
      </c>
      <c r="O158" s="328" t="e">
        <f>INDEX('Reference Records'!K$212:K430,MATCH(L158,'Reference Records'!B$212:B430,0))</f>
        <v>#N/A</v>
      </c>
      <c r="P158" s="328"/>
      <c r="Q158" s="340"/>
      <c r="R158" s="341"/>
      <c r="S158" s="328" t="str">
        <f>IFERROR(VLOOKUP(INDEX('Reference Records'!J$429:J763,MATCH(R158,'Reference Records'!F$429:F763),1),'Reference Records'!B$211:C429,2,0),"")</f>
        <v/>
      </c>
      <c r="T158" s="333"/>
      <c r="U158" s="342" t="str">
        <f>IFERROR(IF(VLOOKUP(E158,'Reference Records'!$F$159:$N$210,9,FALSE)=0,"",VLOOKUP(E158,'Reference Records'!$F$159:$N$210,9,FALSE)),"")</f>
        <v/>
      </c>
      <c r="V158" s="326" t="str">
        <f t="shared" si="25"/>
        <v/>
      </c>
      <c r="W158" s="343" t="str">
        <f t="shared" si="14"/>
        <v/>
      </c>
      <c r="X158" s="343" t="str">
        <f t="shared" si="15"/>
        <v>a1P3p00000CPRBlEAP</v>
      </c>
      <c r="Y158" s="343" t="b">
        <f t="shared" si="16"/>
        <v>0</v>
      </c>
      <c r="Z158" s="343" t="b">
        <f t="shared" si="17"/>
        <v>1</v>
      </c>
      <c r="AA158" s="343" t="str">
        <f>IF(R158="",IFERROR(VLOOKUP(AC158,'Reference Records'!G$430:J762,3,0),""),IFERROR(VLOOKUP(AC158,'Reference Records'!H$430:J762,2,0),""))</f>
        <v/>
      </c>
      <c r="AB158" s="343" t="s">
        <v>576</v>
      </c>
      <c r="AC158" s="347" t="e">
        <f t="shared" si="18"/>
        <v>#N/A</v>
      </c>
      <c r="AD158" s="347" t="str">
        <f t="shared" si="19"/>
        <v/>
      </c>
      <c r="AE158" s="347" t="str">
        <f t="array" ref="AE158">IFERROR(IF(INDEX($W$124:$W$175,MATCH(0,IF(AD158=$E$124:$E$175,COUNTIF($AE$123:$AE157,$W$124:$W$175),""),0))=0,"",INDEX($W$124:$W$175,MATCH(0,IF(AD158=$E$124:$E$175,COUNTIF($AE$123:$AE157,$W$124:$W$175),""),0))),"")</f>
        <v/>
      </c>
      <c r="AF158" s="347" t="str">
        <f t="shared" si="20"/>
        <v>|empty|</v>
      </c>
      <c r="AG158" s="347" t="str">
        <f t="shared" si="21"/>
        <v>INT-257096</v>
      </c>
      <c r="AH158" s="347" t="e">
        <f t="shared" si="22"/>
        <v>#N/A</v>
      </c>
      <c r="AI158" s="347">
        <f>IF(COUNTIF($AH$124:AH209,"&lt;="&amp;AH158)=0,"",COUNTIF($AH$124:AH209,"&lt;="&amp;AH158))</f>
        <v>47</v>
      </c>
      <c r="AJ158" s="347">
        <f>RANK(AI158,AI$124:AI209,1)</f>
        <v>5</v>
      </c>
      <c r="AK158" s="347" t="e">
        <f>INDEX(E$124:E209,MATCH(ROWS(AJ$124:AJ158),AJ$124:AJ209,0))</f>
        <v>#N/A</v>
      </c>
      <c r="AL158" s="347" t="e">
        <f>INDEX(K$124:K209,MATCH(ROWS(AJ$124:AJ158),AJ$124:AJ209,0))</f>
        <v>#N/A</v>
      </c>
      <c r="AM158" s="347" t="e">
        <f>INDEX(V$124:V209,MATCH(ROWS(AJ$124:AJ158),AJ$124:AJ209,0))</f>
        <v>#N/A</v>
      </c>
      <c r="AN158" s="347" t="e">
        <f t="shared" si="23"/>
        <v>#N/A</v>
      </c>
      <c r="AO158" s="347" t="e">
        <f t="shared" si="24"/>
        <v>#N/A</v>
      </c>
      <c r="AP158" s="347"/>
      <c r="AQ158" s="349" t="s">
        <v>577</v>
      </c>
      <c r="AR158" s="17"/>
    </row>
    <row r="159" spans="1:44" ht="47.1" customHeight="1">
      <c r="A159" s="236">
        <v>35</v>
      </c>
      <c r="B159" s="325"/>
      <c r="C159" s="325"/>
      <c r="D159" s="172"/>
      <c r="E159" s="326" t="str">
        <f>IFERROR(IF(AND(K159="",T159=""),"",(VLOOKUP(Q159,'Reference records(soft deleted)'!$B$118:$D$162,3,FALSE))),"")</f>
        <v/>
      </c>
      <c r="F159" s="327"/>
      <c r="G159" s="327"/>
      <c r="H159" s="328" t="str">
        <f>IF(R159="",IFERROR(VLOOKUP(AC159,'Reference Records'!G$430:J763,4,0),""),IFERROR(VLOOKUP(AC159,'Reference Records'!H$430:J763,3,0),""))</f>
        <v/>
      </c>
      <c r="I159" s="328"/>
      <c r="J159" s="333"/>
      <c r="K159" s="326" t="str">
        <f>IFERROR(VLOOKUP(INDEX('Reference Records'!E$429:E764,MATCH(R159,'Reference Records'!F$429:F764,0),1),'Reference Records'!B$211:C430,2,0),"")</f>
        <v/>
      </c>
      <c r="L159" s="328" t="e">
        <f>VLOOKUP(U159&amp;K159,'Reference Records'!H$212:I431,2,0)</f>
        <v>#N/A</v>
      </c>
      <c r="M159" s="328" t="e">
        <f>MATCH($L159,'Reference Records'!$E$430:$E$653,0)+ROW(Population_by_intervention)-1</f>
        <v>#N/A</v>
      </c>
      <c r="N159" s="328" t="e">
        <f>MATCH($L159,'Reference Records'!$E$430:$E$653,1)+ROW(Population_by_intervention)-1</f>
        <v>#N/A</v>
      </c>
      <c r="O159" s="328" t="e">
        <f>INDEX('Reference Records'!K$212:K431,MATCH(L159,'Reference Records'!B$212:B431,0))</f>
        <v>#N/A</v>
      </c>
      <c r="P159" s="328"/>
      <c r="Q159" s="340"/>
      <c r="R159" s="341"/>
      <c r="S159" s="328" t="str">
        <f>IFERROR(VLOOKUP(INDEX('Reference Records'!J$429:J764,MATCH(R159,'Reference Records'!F$429:F764),1),'Reference Records'!B$211:C430,2,0),"")</f>
        <v/>
      </c>
      <c r="T159" s="333"/>
      <c r="U159" s="342" t="str">
        <f>IFERROR(IF(VLOOKUP(E159,'Reference Records'!$F$159:$N$210,9,FALSE)=0,"",VLOOKUP(E159,'Reference Records'!$F$159:$N$210,9,FALSE)),"")</f>
        <v/>
      </c>
      <c r="V159" s="326" t="str">
        <f t="shared" si="25"/>
        <v/>
      </c>
      <c r="W159" s="343" t="str">
        <f t="shared" si="14"/>
        <v/>
      </c>
      <c r="X159" s="343" t="str">
        <f t="shared" si="15"/>
        <v>a1P3p00000CPRBlEAP</v>
      </c>
      <c r="Y159" s="343" t="b">
        <f t="shared" si="16"/>
        <v>0</v>
      </c>
      <c r="Z159" s="343" t="b">
        <f t="shared" si="17"/>
        <v>1</v>
      </c>
      <c r="AA159" s="343" t="str">
        <f>IF(R159="",IFERROR(VLOOKUP(AC159,'Reference Records'!G$430:J763,3,0),""),IFERROR(VLOOKUP(AC159,'Reference Records'!H$430:J763,2,0),""))</f>
        <v/>
      </c>
      <c r="AB159" s="343" t="s">
        <v>578</v>
      </c>
      <c r="AC159" s="347" t="e">
        <f t="shared" si="18"/>
        <v>#N/A</v>
      </c>
      <c r="AD159" s="347" t="str">
        <f t="shared" si="19"/>
        <v/>
      </c>
      <c r="AE159" s="347" t="str">
        <f t="array" ref="AE159">IFERROR(IF(INDEX($W$124:$W$175,MATCH(0,IF(AD159=$E$124:$E$175,COUNTIF($AE$123:$AE158,$W$124:$W$175),""),0))=0,"",INDEX($W$124:$W$175,MATCH(0,IF(AD159=$E$124:$E$175,COUNTIF($AE$123:$AE158,$W$124:$W$175),""),0))),"")</f>
        <v/>
      </c>
      <c r="AF159" s="347" t="str">
        <f t="shared" si="20"/>
        <v>|empty|</v>
      </c>
      <c r="AG159" s="347" t="str">
        <f t="shared" si="21"/>
        <v>INT-257097</v>
      </c>
      <c r="AH159" s="347" t="e">
        <f t="shared" si="22"/>
        <v>#N/A</v>
      </c>
      <c r="AI159" s="347">
        <f>IF(COUNTIF($AH$124:AH210,"&lt;="&amp;AH159)=0,"",COUNTIF($AH$124:AH210,"&lt;="&amp;AH159))</f>
        <v>47</v>
      </c>
      <c r="AJ159" s="347">
        <f>RANK(AI159,AI$124:AI210,1)</f>
        <v>5</v>
      </c>
      <c r="AK159" s="347" t="e">
        <f>INDEX(E$124:E210,MATCH(ROWS(AJ$124:AJ159),AJ$124:AJ210,0))</f>
        <v>#N/A</v>
      </c>
      <c r="AL159" s="347" t="e">
        <f>INDEX(K$124:K210,MATCH(ROWS(AJ$124:AJ159),AJ$124:AJ210,0))</f>
        <v>#N/A</v>
      </c>
      <c r="AM159" s="347" t="e">
        <f>INDEX(V$124:V210,MATCH(ROWS(AJ$124:AJ159),AJ$124:AJ210,0))</f>
        <v>#N/A</v>
      </c>
      <c r="AN159" s="347" t="e">
        <f t="shared" si="23"/>
        <v>#N/A</v>
      </c>
      <c r="AO159" s="347" t="e">
        <f t="shared" si="24"/>
        <v>#N/A</v>
      </c>
      <c r="AP159" s="347"/>
      <c r="AQ159" s="349" t="s">
        <v>579</v>
      </c>
      <c r="AR159" s="17"/>
    </row>
    <row r="160" spans="1:44" ht="47.1" customHeight="1">
      <c r="A160" s="236">
        <v>36</v>
      </c>
      <c r="B160" s="325"/>
      <c r="C160" s="325"/>
      <c r="D160" s="172"/>
      <c r="E160" s="326" t="str">
        <f>IFERROR(IF(AND(K160="",T160=""),"",(VLOOKUP(Q160,'Reference records(soft deleted)'!$B$118:$D$162,3,FALSE))),"")</f>
        <v/>
      </c>
      <c r="F160" s="327"/>
      <c r="G160" s="327"/>
      <c r="H160" s="328" t="str">
        <f>IF(R160="",IFERROR(VLOOKUP(AC160,'Reference Records'!G$430:J764,4,0),""),IFERROR(VLOOKUP(AC160,'Reference Records'!H$430:J764,3,0),""))</f>
        <v/>
      </c>
      <c r="I160" s="328"/>
      <c r="J160" s="333"/>
      <c r="K160" s="326" t="str">
        <f>IFERROR(VLOOKUP(INDEX('Reference Records'!E$429:E765,MATCH(R160,'Reference Records'!F$429:F765,0),1),'Reference Records'!B$211:C431,2,0),"")</f>
        <v/>
      </c>
      <c r="L160" s="328" t="e">
        <f>VLOOKUP(U160&amp;K160,'Reference Records'!H$212:I653,2,0)</f>
        <v>#N/A</v>
      </c>
      <c r="M160" s="328" t="e">
        <f>MATCH($L160,'Reference Records'!$E$430:$E$653,0)+ROW(Population_by_intervention)-1</f>
        <v>#N/A</v>
      </c>
      <c r="N160" s="328" t="e">
        <f>MATCH($L160,'Reference Records'!$E$430:$E$653,1)+ROW(Population_by_intervention)-1</f>
        <v>#N/A</v>
      </c>
      <c r="O160" s="328" t="e">
        <f>INDEX('Reference Records'!K$212:K653,MATCH(L160,'Reference Records'!B$212:B653,0))</f>
        <v>#N/A</v>
      </c>
      <c r="P160" s="328"/>
      <c r="Q160" s="340"/>
      <c r="R160" s="341"/>
      <c r="S160" s="328" t="str">
        <f>IFERROR(VLOOKUP(INDEX('Reference Records'!J$429:J765,MATCH(R160,'Reference Records'!F$429:F765),1),'Reference Records'!B$211:C431,2,0),"")</f>
        <v/>
      </c>
      <c r="T160" s="333"/>
      <c r="U160" s="342" t="str">
        <f>IFERROR(IF(VLOOKUP(E160,'Reference Records'!$F$159:$N$210,9,FALSE)=0,"",VLOOKUP(E160,'Reference Records'!$F$159:$N$210,9,FALSE)),"")</f>
        <v/>
      </c>
      <c r="V160" s="326" t="str">
        <f t="shared" si="25"/>
        <v/>
      </c>
      <c r="W160" s="343" t="str">
        <f t="shared" si="14"/>
        <v/>
      </c>
      <c r="X160" s="343" t="str">
        <f t="shared" si="15"/>
        <v>a1P3p00000CPRBlEAP</v>
      </c>
      <c r="Y160" s="343" t="b">
        <f t="shared" si="16"/>
        <v>0</v>
      </c>
      <c r="Z160" s="343" t="b">
        <f t="shared" si="17"/>
        <v>1</v>
      </c>
      <c r="AA160" s="343" t="str">
        <f>IF(R160="",IFERROR(VLOOKUP(AC160,'Reference Records'!G$430:J764,3,0),""),IFERROR(VLOOKUP(AC160,'Reference Records'!H$430:J764,2,0),""))</f>
        <v/>
      </c>
      <c r="AB160" s="343" t="s">
        <v>580</v>
      </c>
      <c r="AC160" s="347" t="e">
        <f t="shared" si="18"/>
        <v>#N/A</v>
      </c>
      <c r="AD160" s="347" t="str">
        <f t="shared" si="19"/>
        <v/>
      </c>
      <c r="AE160" s="347" t="str">
        <f t="array" ref="AE160">IFERROR(IF(INDEX($W$124:$W$175,MATCH(0,IF(AD160=$E$124:$E$175,COUNTIF($AE$123:$AE159,$W$124:$W$175),""),0))=0,"",INDEX($W$124:$W$175,MATCH(0,IF(AD160=$E$124:$E$175,COUNTIF($AE$123:$AE159,$W$124:$W$175),""),0))),"")</f>
        <v/>
      </c>
      <c r="AF160" s="347" t="str">
        <f t="shared" si="20"/>
        <v>|empty|</v>
      </c>
      <c r="AG160" s="347" t="str">
        <f t="shared" si="21"/>
        <v>INT-257098</v>
      </c>
      <c r="AH160" s="347" t="e">
        <f t="shared" si="22"/>
        <v>#N/A</v>
      </c>
      <c r="AI160" s="347">
        <f>IF(COUNTIF($AH$124:AH211,"&lt;="&amp;AH160)=0,"",COUNTIF($AH$124:AH211,"&lt;="&amp;AH160))</f>
        <v>47</v>
      </c>
      <c r="AJ160" s="347">
        <f>RANK(AI160,AI$124:AI211,1)</f>
        <v>5</v>
      </c>
      <c r="AK160" s="347" t="e">
        <f>INDEX(E$124:E211,MATCH(ROWS(AJ$124:AJ160),AJ$124:AJ211,0))</f>
        <v>#N/A</v>
      </c>
      <c r="AL160" s="347" t="e">
        <f>INDEX(K$124:K211,MATCH(ROWS(AJ$124:AJ160),AJ$124:AJ211,0))</f>
        <v>#N/A</v>
      </c>
      <c r="AM160" s="347" t="e">
        <f>INDEX(V$124:V211,MATCH(ROWS(AJ$124:AJ160),AJ$124:AJ211,0))</f>
        <v>#N/A</v>
      </c>
      <c r="AN160" s="347" t="e">
        <f t="shared" si="23"/>
        <v>#N/A</v>
      </c>
      <c r="AO160" s="347" t="e">
        <f t="shared" si="24"/>
        <v>#N/A</v>
      </c>
      <c r="AP160" s="347"/>
      <c r="AQ160" s="349" t="s">
        <v>581</v>
      </c>
      <c r="AR160" s="17"/>
    </row>
    <row r="161" spans="1:44" ht="47.1" customHeight="1">
      <c r="A161" s="236">
        <v>37</v>
      </c>
      <c r="B161" s="325"/>
      <c r="C161" s="325"/>
      <c r="D161" s="172"/>
      <c r="E161" s="326" t="str">
        <f>IFERROR(IF(AND(K161="",T161=""),"",(VLOOKUP(Q161,'Reference records(soft deleted)'!$B$118:$D$162,3,FALSE))),"")</f>
        <v/>
      </c>
      <c r="F161" s="327"/>
      <c r="G161" s="327"/>
      <c r="H161" s="328" t="str">
        <f>IF(R161="",IFERROR(VLOOKUP(AC161,'Reference Records'!G$430:J765,4,0),""),IFERROR(VLOOKUP(AC161,'Reference Records'!H$430:J765,3,0),""))</f>
        <v/>
      </c>
      <c r="I161" s="328"/>
      <c r="J161" s="333"/>
      <c r="K161" s="326" t="str">
        <f>IFERROR(VLOOKUP(INDEX('Reference Records'!E$429:E766,MATCH(R161,'Reference Records'!F$429:F766,0),1),'Reference Records'!B$211:C653,2,0),"")</f>
        <v/>
      </c>
      <c r="L161" s="328" t="e">
        <f>VLOOKUP(U161&amp;K161,'Reference Records'!H$212:I654,2,0)</f>
        <v>#N/A</v>
      </c>
      <c r="M161" s="328" t="e">
        <f>MATCH($L161,'Reference Records'!$E$430:$E$653,0)+ROW(Population_by_intervention)-1</f>
        <v>#N/A</v>
      </c>
      <c r="N161" s="328" t="e">
        <f>MATCH($L161,'Reference Records'!$E$430:$E$653,1)+ROW(Population_by_intervention)-1</f>
        <v>#N/A</v>
      </c>
      <c r="O161" s="328" t="e">
        <f>INDEX('Reference Records'!K$212:K654,MATCH(L161,'Reference Records'!B$212:B654,0))</f>
        <v>#N/A</v>
      </c>
      <c r="P161" s="328"/>
      <c r="Q161" s="340"/>
      <c r="R161" s="341"/>
      <c r="S161" s="328" t="str">
        <f>IFERROR(VLOOKUP(INDEX('Reference Records'!J$429:J766,MATCH(R161,'Reference Records'!F$429:F766),1),'Reference Records'!B$211:C653,2,0),"")</f>
        <v/>
      </c>
      <c r="T161" s="333"/>
      <c r="U161" s="342" t="str">
        <f>IFERROR(IF(VLOOKUP(E161,'Reference Records'!$F$159:$N$210,9,FALSE)=0,"",VLOOKUP(E161,'Reference Records'!$F$159:$N$210,9,FALSE)),"")</f>
        <v/>
      </c>
      <c r="V161" s="326" t="str">
        <f t="shared" si="25"/>
        <v/>
      </c>
      <c r="W161" s="343" t="str">
        <f t="shared" si="14"/>
        <v/>
      </c>
      <c r="X161" s="343" t="str">
        <f t="shared" si="15"/>
        <v>a1P3p00000CPRBlEAP</v>
      </c>
      <c r="Y161" s="343" t="b">
        <f t="shared" si="16"/>
        <v>0</v>
      </c>
      <c r="Z161" s="343" t="b">
        <f t="shared" si="17"/>
        <v>1</v>
      </c>
      <c r="AA161" s="343" t="str">
        <f>IF(R161="",IFERROR(VLOOKUP(AC161,'Reference Records'!G$430:J765,3,0),""),IFERROR(VLOOKUP(AC161,'Reference Records'!H$430:J765,2,0),""))</f>
        <v/>
      </c>
      <c r="AB161" s="343" t="s">
        <v>582</v>
      </c>
      <c r="AC161" s="347" t="e">
        <f t="shared" si="18"/>
        <v>#N/A</v>
      </c>
      <c r="AD161" s="347" t="str">
        <f t="shared" si="19"/>
        <v/>
      </c>
      <c r="AE161" s="347" t="str">
        <f t="array" ref="AE161">IFERROR(IF(INDEX($W$124:$W$175,MATCH(0,IF(AD161=$E$124:$E$175,COUNTIF($AE$123:$AE160,$W$124:$W$175),""),0))=0,"",INDEX($W$124:$W$175,MATCH(0,IF(AD161=$E$124:$E$175,COUNTIF($AE$123:$AE160,$W$124:$W$175),""),0))),"")</f>
        <v/>
      </c>
      <c r="AF161" s="347" t="str">
        <f t="shared" si="20"/>
        <v>|empty|</v>
      </c>
      <c r="AG161" s="347" t="str">
        <f t="shared" si="21"/>
        <v>INT-257099</v>
      </c>
      <c r="AH161" s="347" t="e">
        <f t="shared" si="22"/>
        <v>#N/A</v>
      </c>
      <c r="AI161" s="347">
        <f>IF(COUNTIF($AH$124:AH212,"&lt;="&amp;AH161)=0,"",COUNTIF($AH$124:AH212,"&lt;="&amp;AH161))</f>
        <v>47</v>
      </c>
      <c r="AJ161" s="347">
        <f>RANK(AI161,AI$124:AI212,1)</f>
        <v>5</v>
      </c>
      <c r="AK161" s="347" t="e">
        <f>INDEX(E$124:E212,MATCH(ROWS(AJ$124:AJ161),AJ$124:AJ212,0))</f>
        <v>#N/A</v>
      </c>
      <c r="AL161" s="347" t="e">
        <f>INDEX(K$124:K212,MATCH(ROWS(AJ$124:AJ161),AJ$124:AJ212,0))</f>
        <v>#N/A</v>
      </c>
      <c r="AM161" s="347" t="e">
        <f>INDEX(V$124:V212,MATCH(ROWS(AJ$124:AJ161),AJ$124:AJ212,0))</f>
        <v>#N/A</v>
      </c>
      <c r="AN161" s="347" t="e">
        <f t="shared" si="23"/>
        <v>#N/A</v>
      </c>
      <c r="AO161" s="347" t="e">
        <f t="shared" si="24"/>
        <v>#N/A</v>
      </c>
      <c r="AP161" s="347"/>
      <c r="AQ161" s="349" t="s">
        <v>583</v>
      </c>
      <c r="AR161" s="17"/>
    </row>
    <row r="162" spans="1:44" ht="47.1" customHeight="1">
      <c r="A162" s="236">
        <v>38</v>
      </c>
      <c r="B162" s="325"/>
      <c r="C162" s="325"/>
      <c r="D162" s="172"/>
      <c r="E162" s="326" t="str">
        <f>IFERROR(IF(AND(K162="",T162=""),"",(VLOOKUP(Q162,'Reference records(soft deleted)'!$B$118:$D$162,3,FALSE))),"")</f>
        <v/>
      </c>
      <c r="F162" s="327"/>
      <c r="G162" s="327"/>
      <c r="H162" s="328" t="str">
        <f>IF(R162="",IFERROR(VLOOKUP(AC162,'Reference Records'!G$430:J766,4,0),""),IFERROR(VLOOKUP(AC162,'Reference Records'!H$430:J766,3,0),""))</f>
        <v/>
      </c>
      <c r="I162" s="328"/>
      <c r="J162" s="333"/>
      <c r="K162" s="326" t="str">
        <f>IFERROR(VLOOKUP(INDEX('Reference Records'!E$429:E767,MATCH(R162,'Reference Records'!F$429:F767,0),1),'Reference Records'!B$211:C654,2,0),"")</f>
        <v/>
      </c>
      <c r="L162" s="328" t="e">
        <f>VLOOKUP(U162&amp;K162,'Reference Records'!H$212:I655,2,0)</f>
        <v>#N/A</v>
      </c>
      <c r="M162" s="328" t="e">
        <f>MATCH($L162,'Reference Records'!$E$430:$E$653,0)+ROW(Population_by_intervention)-1</f>
        <v>#N/A</v>
      </c>
      <c r="N162" s="328" t="e">
        <f>MATCH($L162,'Reference Records'!$E$430:$E$653,1)+ROW(Population_by_intervention)-1</f>
        <v>#N/A</v>
      </c>
      <c r="O162" s="328" t="e">
        <f>INDEX('Reference Records'!K$212:K655,MATCH(L162,'Reference Records'!B$212:B655,0))</f>
        <v>#N/A</v>
      </c>
      <c r="P162" s="328"/>
      <c r="Q162" s="340"/>
      <c r="R162" s="341"/>
      <c r="S162" s="328" t="str">
        <f>IFERROR(VLOOKUP(INDEX('Reference Records'!J$429:J767,MATCH(R162,'Reference Records'!F$429:F767),1),'Reference Records'!B$211:C654,2,0),"")</f>
        <v/>
      </c>
      <c r="T162" s="333"/>
      <c r="U162" s="342" t="str">
        <f>IFERROR(IF(VLOOKUP(E162,'Reference Records'!$F$159:$N$210,9,FALSE)=0,"",VLOOKUP(E162,'Reference Records'!$F$159:$N$210,9,FALSE)),"")</f>
        <v/>
      </c>
      <c r="V162" s="326" t="str">
        <f t="shared" si="25"/>
        <v/>
      </c>
      <c r="W162" s="343" t="str">
        <f t="shared" si="14"/>
        <v/>
      </c>
      <c r="X162" s="343" t="str">
        <f t="shared" si="15"/>
        <v>a1P3p00000CPRBlEAP</v>
      </c>
      <c r="Y162" s="343" t="b">
        <f t="shared" si="16"/>
        <v>0</v>
      </c>
      <c r="Z162" s="343" t="b">
        <f t="shared" si="17"/>
        <v>1</v>
      </c>
      <c r="AA162" s="343" t="str">
        <f>IF(R162="",IFERROR(VLOOKUP(AC162,'Reference Records'!G$430:J766,3,0),""),IFERROR(VLOOKUP(AC162,'Reference Records'!H$430:J766,2,0),""))</f>
        <v/>
      </c>
      <c r="AB162" s="343" t="s">
        <v>584</v>
      </c>
      <c r="AC162" s="347" t="e">
        <f t="shared" si="18"/>
        <v>#N/A</v>
      </c>
      <c r="AD162" s="347" t="str">
        <f t="shared" si="19"/>
        <v/>
      </c>
      <c r="AE162" s="347" t="str">
        <f t="array" ref="AE162">IFERROR(IF(INDEX($W$124:$W$175,MATCH(0,IF(AD162=$E$124:$E$175,COUNTIF($AE$123:$AE161,$W$124:$W$175),""),0))=0,"",INDEX($W$124:$W$175,MATCH(0,IF(AD162=$E$124:$E$175,COUNTIF($AE$123:$AE161,$W$124:$W$175),""),0))),"")</f>
        <v/>
      </c>
      <c r="AF162" s="347" t="str">
        <f t="shared" si="20"/>
        <v>|empty|</v>
      </c>
      <c r="AG162" s="347" t="str">
        <f t="shared" si="21"/>
        <v>INT-257100</v>
      </c>
      <c r="AH162" s="347" t="e">
        <f t="shared" si="22"/>
        <v>#N/A</v>
      </c>
      <c r="AI162" s="347">
        <f>IF(COUNTIF($AH$124:AH213,"&lt;="&amp;AH162)=0,"",COUNTIF($AH$124:AH213,"&lt;="&amp;AH162))</f>
        <v>47</v>
      </c>
      <c r="AJ162" s="347">
        <f>RANK(AI162,AI$124:AI213,1)</f>
        <v>5</v>
      </c>
      <c r="AK162" s="347" t="e">
        <f>INDEX(E$124:E213,MATCH(ROWS(AJ$124:AJ162),AJ$124:AJ213,0))</f>
        <v>#N/A</v>
      </c>
      <c r="AL162" s="347" t="e">
        <f>INDEX(K$124:K213,MATCH(ROWS(AJ$124:AJ162),AJ$124:AJ213,0))</f>
        <v>#N/A</v>
      </c>
      <c r="AM162" s="347" t="e">
        <f>INDEX(V$124:V213,MATCH(ROWS(AJ$124:AJ162),AJ$124:AJ213,0))</f>
        <v>#N/A</v>
      </c>
      <c r="AN162" s="347" t="e">
        <f t="shared" si="23"/>
        <v>#N/A</v>
      </c>
      <c r="AO162" s="347" t="e">
        <f t="shared" si="24"/>
        <v>#N/A</v>
      </c>
      <c r="AP162" s="347"/>
      <c r="AQ162" s="349" t="s">
        <v>585</v>
      </c>
      <c r="AR162" s="17"/>
    </row>
    <row r="163" spans="1:44" ht="47.1" customHeight="1">
      <c r="A163" s="236">
        <v>39</v>
      </c>
      <c r="B163" s="325"/>
      <c r="C163" s="325"/>
      <c r="D163" s="172"/>
      <c r="E163" s="326" t="str">
        <f>IFERROR(IF(AND(K163="",T163=""),"",(VLOOKUP(Q163,'Reference records(soft deleted)'!$B$118:$D$162,3,FALSE))),"")</f>
        <v/>
      </c>
      <c r="F163" s="327"/>
      <c r="G163" s="327"/>
      <c r="H163" s="328" t="str">
        <f>IF(R163="",IFERROR(VLOOKUP(AC163,'Reference Records'!G$430:J767,4,0),""),IFERROR(VLOOKUP(AC163,'Reference Records'!H$430:J767,3,0),""))</f>
        <v/>
      </c>
      <c r="I163" s="328"/>
      <c r="J163" s="333"/>
      <c r="K163" s="326" t="str">
        <f>IFERROR(VLOOKUP(INDEX('Reference Records'!E$429:E768,MATCH(R163,'Reference Records'!F$429:F768,0),1),'Reference Records'!B$211:C655,2,0),"")</f>
        <v/>
      </c>
      <c r="L163" s="328" t="e">
        <f>VLOOKUP(U163&amp;K163,'Reference Records'!H$212:I656,2,0)</f>
        <v>#N/A</v>
      </c>
      <c r="M163" s="328" t="e">
        <f>MATCH($L163,'Reference Records'!$E$430:$E$653,0)+ROW(Population_by_intervention)-1</f>
        <v>#N/A</v>
      </c>
      <c r="N163" s="328" t="e">
        <f>MATCH($L163,'Reference Records'!$E$430:$E$653,1)+ROW(Population_by_intervention)-1</f>
        <v>#N/A</v>
      </c>
      <c r="O163" s="328" t="e">
        <f>INDEX('Reference Records'!K$212:K656,MATCH(L163,'Reference Records'!B$212:B656,0))</f>
        <v>#N/A</v>
      </c>
      <c r="P163" s="328"/>
      <c r="Q163" s="340"/>
      <c r="R163" s="341"/>
      <c r="S163" s="328" t="str">
        <f>IFERROR(VLOOKUP(INDEX('Reference Records'!J$429:J768,MATCH(R163,'Reference Records'!F$429:F768),1),'Reference Records'!B$211:C655,2,0),"")</f>
        <v/>
      </c>
      <c r="T163" s="333"/>
      <c r="U163" s="342" t="str">
        <f>IFERROR(IF(VLOOKUP(E163,'Reference Records'!$F$159:$N$210,9,FALSE)=0,"",VLOOKUP(E163,'Reference Records'!$F$159:$N$210,9,FALSE)),"")</f>
        <v/>
      </c>
      <c r="V163" s="326" t="str">
        <f t="shared" si="25"/>
        <v/>
      </c>
      <c r="W163" s="343" t="str">
        <f t="shared" si="14"/>
        <v/>
      </c>
      <c r="X163" s="343" t="str">
        <f t="shared" si="15"/>
        <v>a1P3p00000CPRBlEAP</v>
      </c>
      <c r="Y163" s="343" t="b">
        <f t="shared" si="16"/>
        <v>0</v>
      </c>
      <c r="Z163" s="343" t="b">
        <f t="shared" si="17"/>
        <v>1</v>
      </c>
      <c r="AA163" s="343" t="str">
        <f>IF(R163="",IFERROR(VLOOKUP(AC163,'Reference Records'!G$430:J767,3,0),""),IFERROR(VLOOKUP(AC163,'Reference Records'!H$430:J767,2,0),""))</f>
        <v/>
      </c>
      <c r="AB163" s="343" t="s">
        <v>586</v>
      </c>
      <c r="AC163" s="347" t="e">
        <f t="shared" si="18"/>
        <v>#N/A</v>
      </c>
      <c r="AD163" s="347" t="str">
        <f t="shared" si="19"/>
        <v/>
      </c>
      <c r="AE163" s="347" t="str">
        <f t="array" ref="AE163">IFERROR(IF(INDEX($W$124:$W$175,MATCH(0,IF(AD163=$E$124:$E$175,COUNTIF($AE$123:$AE162,$W$124:$W$175),""),0))=0,"",INDEX($W$124:$W$175,MATCH(0,IF(AD163=$E$124:$E$175,COUNTIF($AE$123:$AE162,$W$124:$W$175),""),0))),"")</f>
        <v/>
      </c>
      <c r="AF163" s="347" t="str">
        <f t="shared" si="20"/>
        <v>|empty|</v>
      </c>
      <c r="AG163" s="347" t="str">
        <f t="shared" si="21"/>
        <v>INT-257101</v>
      </c>
      <c r="AH163" s="347" t="e">
        <f t="shared" si="22"/>
        <v>#N/A</v>
      </c>
      <c r="AI163" s="347">
        <f>IF(COUNTIF($AH$124:AH214,"&lt;="&amp;AH163)=0,"",COUNTIF($AH$124:AH214,"&lt;="&amp;AH163))</f>
        <v>47</v>
      </c>
      <c r="AJ163" s="347">
        <f>RANK(AI163,AI$124:AI214,1)</f>
        <v>5</v>
      </c>
      <c r="AK163" s="347" t="e">
        <f>INDEX(E$124:E214,MATCH(ROWS(AJ$124:AJ163),AJ$124:AJ214,0))</f>
        <v>#N/A</v>
      </c>
      <c r="AL163" s="347" t="e">
        <f>INDEX(K$124:K214,MATCH(ROWS(AJ$124:AJ163),AJ$124:AJ214,0))</f>
        <v>#N/A</v>
      </c>
      <c r="AM163" s="347" t="e">
        <f>INDEX(V$124:V214,MATCH(ROWS(AJ$124:AJ163),AJ$124:AJ214,0))</f>
        <v>#N/A</v>
      </c>
      <c r="AN163" s="347" t="e">
        <f t="shared" si="23"/>
        <v>#N/A</v>
      </c>
      <c r="AO163" s="347" t="e">
        <f t="shared" si="24"/>
        <v>#N/A</v>
      </c>
      <c r="AP163" s="347"/>
      <c r="AQ163" s="349" t="s">
        <v>587</v>
      </c>
      <c r="AR163" s="17"/>
    </row>
    <row r="164" spans="1:44" ht="47.1" customHeight="1">
      <c r="A164" s="236">
        <v>40</v>
      </c>
      <c r="B164" s="325"/>
      <c r="C164" s="325"/>
      <c r="D164" s="172"/>
      <c r="E164" s="326" t="str">
        <f>IFERROR(IF(AND(K164="",T164=""),"",(VLOOKUP(Q164,'Reference records(soft deleted)'!$B$118:$D$162,3,FALSE))),"")</f>
        <v/>
      </c>
      <c r="F164" s="327"/>
      <c r="G164" s="327"/>
      <c r="H164" s="328" t="str">
        <f>IF(R164="",IFERROR(VLOOKUP(AC164,'Reference Records'!G$430:J768,4,0),""),IFERROR(VLOOKUP(AC164,'Reference Records'!H$430:J768,3,0),""))</f>
        <v/>
      </c>
      <c r="I164" s="328"/>
      <c r="J164" s="333"/>
      <c r="K164" s="326" t="str">
        <f>IFERROR(VLOOKUP(INDEX('Reference Records'!E$429:E769,MATCH(R164,'Reference Records'!F$429:F769,0),1),'Reference Records'!B$211:C656,2,0),"")</f>
        <v/>
      </c>
      <c r="L164" s="328" t="e">
        <f>VLOOKUP(U164&amp;K164,'Reference Records'!H$212:I657,2,0)</f>
        <v>#N/A</v>
      </c>
      <c r="M164" s="328" t="e">
        <f>MATCH($L164,'Reference Records'!$E$430:$E$653,0)+ROW(Population_by_intervention)-1</f>
        <v>#N/A</v>
      </c>
      <c r="N164" s="328" t="e">
        <f>MATCH($L164,'Reference Records'!$E$430:$E$653,1)+ROW(Population_by_intervention)-1</f>
        <v>#N/A</v>
      </c>
      <c r="O164" s="328" t="e">
        <f>INDEX('Reference Records'!K$212:K657,MATCH(L164,'Reference Records'!B$212:B657,0))</f>
        <v>#N/A</v>
      </c>
      <c r="P164" s="328"/>
      <c r="Q164" s="340"/>
      <c r="R164" s="341"/>
      <c r="S164" s="328" t="str">
        <f>IFERROR(VLOOKUP(INDEX('Reference Records'!J$429:J769,MATCH(R164,'Reference Records'!F$429:F769),1),'Reference Records'!B$211:C656,2,0),"")</f>
        <v/>
      </c>
      <c r="T164" s="333"/>
      <c r="U164" s="342" t="str">
        <f>IFERROR(IF(VLOOKUP(E164,'Reference Records'!$F$159:$N$210,9,FALSE)=0,"",VLOOKUP(E164,'Reference Records'!$F$159:$N$210,9,FALSE)),"")</f>
        <v/>
      </c>
      <c r="V164" s="326" t="str">
        <f t="shared" si="25"/>
        <v/>
      </c>
      <c r="W164" s="343" t="str">
        <f t="shared" si="14"/>
        <v/>
      </c>
      <c r="X164" s="343" t="str">
        <f t="shared" si="15"/>
        <v>a1P3p00000CPRBlEAP</v>
      </c>
      <c r="Y164" s="343" t="b">
        <f t="shared" si="16"/>
        <v>0</v>
      </c>
      <c r="Z164" s="343" t="b">
        <f t="shared" si="17"/>
        <v>1</v>
      </c>
      <c r="AA164" s="343" t="str">
        <f>IF(R164="",IFERROR(VLOOKUP(AC164,'Reference Records'!G$430:J768,3,0),""),IFERROR(VLOOKUP(AC164,'Reference Records'!H$430:J768,2,0),""))</f>
        <v/>
      </c>
      <c r="AB164" s="343" t="s">
        <v>588</v>
      </c>
      <c r="AC164" s="347" t="e">
        <f t="shared" si="18"/>
        <v>#N/A</v>
      </c>
      <c r="AD164" s="347" t="str">
        <f t="shared" si="19"/>
        <v/>
      </c>
      <c r="AE164" s="347" t="str">
        <f t="array" ref="AE164">IFERROR(IF(INDEX($W$124:$W$175,MATCH(0,IF(AD164=$E$124:$E$175,COUNTIF($AE$123:$AE163,$W$124:$W$175),""),0))=0,"",INDEX($W$124:$W$175,MATCH(0,IF(AD164=$E$124:$E$175,COUNTIF($AE$123:$AE163,$W$124:$W$175),""),0))),"")</f>
        <v/>
      </c>
      <c r="AF164" s="347" t="str">
        <f t="shared" si="20"/>
        <v>|empty|</v>
      </c>
      <c r="AG164" s="347" t="str">
        <f t="shared" si="21"/>
        <v>INT-257102</v>
      </c>
      <c r="AH164" s="347" t="e">
        <f t="shared" si="22"/>
        <v>#N/A</v>
      </c>
      <c r="AI164" s="347">
        <f>IF(COUNTIF($AH$124:AH215,"&lt;="&amp;AH164)=0,"",COUNTIF($AH$124:AH215,"&lt;="&amp;AH164))</f>
        <v>47</v>
      </c>
      <c r="AJ164" s="347">
        <f>RANK(AI164,AI$124:AI215,1)</f>
        <v>5</v>
      </c>
      <c r="AK164" s="347" t="e">
        <f>INDEX(E$124:E215,MATCH(ROWS(AJ$124:AJ164),AJ$124:AJ215,0))</f>
        <v>#N/A</v>
      </c>
      <c r="AL164" s="347" t="e">
        <f>INDEX(K$124:K215,MATCH(ROWS(AJ$124:AJ164),AJ$124:AJ215,0))</f>
        <v>#N/A</v>
      </c>
      <c r="AM164" s="347" t="e">
        <f>INDEX(V$124:V215,MATCH(ROWS(AJ$124:AJ164),AJ$124:AJ215,0))</f>
        <v>#N/A</v>
      </c>
      <c r="AN164" s="347" t="e">
        <f t="shared" si="23"/>
        <v>#N/A</v>
      </c>
      <c r="AO164" s="347" t="e">
        <f t="shared" si="24"/>
        <v>#N/A</v>
      </c>
      <c r="AP164" s="347"/>
      <c r="AQ164" s="349" t="s">
        <v>589</v>
      </c>
      <c r="AR164" s="17"/>
    </row>
    <row r="165" spans="1:44" ht="47.1" customHeight="1">
      <c r="A165" s="236">
        <v>41</v>
      </c>
      <c r="B165" s="325"/>
      <c r="C165" s="325"/>
      <c r="D165" s="172"/>
      <c r="E165" s="326" t="str">
        <f>IFERROR(IF(AND(K165="",T165=""),"",(VLOOKUP(Q165,'Reference records(soft deleted)'!$B$118:$D$162,3,FALSE))),"")</f>
        <v/>
      </c>
      <c r="F165" s="327"/>
      <c r="G165" s="327"/>
      <c r="H165" s="328" t="str">
        <f>IF(R165="",IFERROR(VLOOKUP(AC165,'Reference Records'!G$430:J769,4,0),""),IFERROR(VLOOKUP(AC165,'Reference Records'!H$430:J769,3,0),""))</f>
        <v/>
      </c>
      <c r="I165" s="328"/>
      <c r="J165" s="333"/>
      <c r="K165" s="326" t="str">
        <f>IFERROR(VLOOKUP(INDEX('Reference Records'!E$429:E770,MATCH(R165,'Reference Records'!F$429:F770,0),1),'Reference Records'!B$211:C657,2,0),"")</f>
        <v/>
      </c>
      <c r="L165" s="328" t="e">
        <f>VLOOKUP(U165&amp;K165,'Reference Records'!H$212:I734,2,0)</f>
        <v>#N/A</v>
      </c>
      <c r="M165" s="328" t="e">
        <f>MATCH($L165,'Reference Records'!$E$430:$E$653,0)+ROW(Population_by_intervention)-1</f>
        <v>#N/A</v>
      </c>
      <c r="N165" s="328" t="e">
        <f>MATCH($L165,'Reference Records'!$E$430:$E$653,1)+ROW(Population_by_intervention)-1</f>
        <v>#N/A</v>
      </c>
      <c r="O165" s="328" t="e">
        <f>INDEX('Reference Records'!K$212:K734,MATCH(L165,'Reference Records'!B$212:B734,0))</f>
        <v>#N/A</v>
      </c>
      <c r="P165" s="328"/>
      <c r="Q165" s="340"/>
      <c r="R165" s="341"/>
      <c r="S165" s="328" t="str">
        <f>IFERROR(VLOOKUP(INDEX('Reference Records'!J$429:J770,MATCH(R165,'Reference Records'!F$429:F770),1),'Reference Records'!B$211:C657,2,0),"")</f>
        <v/>
      </c>
      <c r="T165" s="333"/>
      <c r="U165" s="342" t="str">
        <f>IFERROR(IF(VLOOKUP(E165,'Reference Records'!$F$159:$N$210,9,FALSE)=0,"",VLOOKUP(E165,'Reference Records'!$F$159:$N$210,9,FALSE)),"")</f>
        <v/>
      </c>
      <c r="V165" s="326" t="str">
        <f t="shared" si="25"/>
        <v/>
      </c>
      <c r="W165" s="343" t="str">
        <f t="shared" si="14"/>
        <v/>
      </c>
      <c r="X165" s="343" t="str">
        <f t="shared" si="15"/>
        <v>a1P3p00000CPRBlEAP</v>
      </c>
      <c r="Y165" s="343" t="b">
        <f t="shared" si="16"/>
        <v>0</v>
      </c>
      <c r="Z165" s="343" t="b">
        <f t="shared" si="17"/>
        <v>1</v>
      </c>
      <c r="AA165" s="343" t="str">
        <f>IF(R165="",IFERROR(VLOOKUP(AC165,'Reference Records'!G$430:J769,3,0),""),IFERROR(VLOOKUP(AC165,'Reference Records'!H$430:J769,2,0),""))</f>
        <v/>
      </c>
      <c r="AB165" s="343" t="s">
        <v>590</v>
      </c>
      <c r="AC165" s="347" t="e">
        <f t="shared" si="18"/>
        <v>#N/A</v>
      </c>
      <c r="AD165" s="347" t="str">
        <f t="shared" si="19"/>
        <v/>
      </c>
      <c r="AE165" s="347" t="str">
        <f t="array" ref="AE165">IFERROR(IF(INDEX($W$124:$W$175,MATCH(0,IF(AD165=$E$124:$E$175,COUNTIF($AE$123:$AE164,$W$124:$W$175),""),0))=0,"",INDEX($W$124:$W$175,MATCH(0,IF(AD165=$E$124:$E$175,COUNTIF($AE$123:$AE164,$W$124:$W$175),""),0))),"")</f>
        <v/>
      </c>
      <c r="AF165" s="347" t="str">
        <f t="shared" si="20"/>
        <v>|empty|</v>
      </c>
      <c r="AG165" s="347" t="str">
        <f t="shared" si="21"/>
        <v>INT-257103</v>
      </c>
      <c r="AH165" s="347" t="e">
        <f t="shared" si="22"/>
        <v>#N/A</v>
      </c>
      <c r="AI165" s="347">
        <f>IF(COUNTIF($AH$124:AH216,"&lt;="&amp;AH165)=0,"",COUNTIF($AH$124:AH216,"&lt;="&amp;AH165))</f>
        <v>47</v>
      </c>
      <c r="AJ165" s="347">
        <f>RANK(AI165,AI$124:AI216,1)</f>
        <v>5</v>
      </c>
      <c r="AK165" s="347" t="e">
        <f>INDEX(E$124:E216,MATCH(ROWS(AJ$124:AJ165),AJ$124:AJ216,0))</f>
        <v>#N/A</v>
      </c>
      <c r="AL165" s="347" t="e">
        <f>INDEX(K$124:K216,MATCH(ROWS(AJ$124:AJ165),AJ$124:AJ216,0))</f>
        <v>#N/A</v>
      </c>
      <c r="AM165" s="347" t="e">
        <f>INDEX(V$124:V216,MATCH(ROWS(AJ$124:AJ165),AJ$124:AJ216,0))</f>
        <v>#N/A</v>
      </c>
      <c r="AN165" s="347" t="e">
        <f t="shared" si="23"/>
        <v>#N/A</v>
      </c>
      <c r="AO165" s="347" t="e">
        <f t="shared" si="24"/>
        <v>#N/A</v>
      </c>
      <c r="AP165" s="347"/>
      <c r="AQ165" s="349" t="s">
        <v>591</v>
      </c>
      <c r="AR165" s="17"/>
    </row>
    <row r="166" spans="1:44" ht="47.1" customHeight="1">
      <c r="A166" s="236">
        <v>42</v>
      </c>
      <c r="B166" s="325"/>
      <c r="C166" s="325"/>
      <c r="D166" s="172"/>
      <c r="E166" s="326" t="str">
        <f>IFERROR(IF(AND(K166="",T166=""),"",(VLOOKUP(Q166,'Reference records(soft deleted)'!$B$118:$D$162,3,FALSE))),"")</f>
        <v/>
      </c>
      <c r="F166" s="327"/>
      <c r="G166" s="327"/>
      <c r="H166" s="328" t="str">
        <f>IF(R166="",IFERROR(VLOOKUP(AC166,'Reference Records'!G$430:J770,4,0),""),IFERROR(VLOOKUP(AC166,'Reference Records'!H$430:J770,3,0),""))</f>
        <v/>
      </c>
      <c r="I166" s="328"/>
      <c r="J166" s="333"/>
      <c r="K166" s="326" t="str">
        <f>IFERROR(VLOOKUP(INDEX('Reference Records'!E$429:E771,MATCH(R166,'Reference Records'!F$429:F771,0),1),'Reference Records'!B$211:C734,2,0),"")</f>
        <v/>
      </c>
      <c r="L166" s="328" t="e">
        <f>VLOOKUP(U166&amp;K166,'Reference Records'!H$212:I735,2,0)</f>
        <v>#N/A</v>
      </c>
      <c r="M166" s="328" t="e">
        <f>MATCH($L166,'Reference Records'!$E$430:$E$653,0)+ROW(Population_by_intervention)-1</f>
        <v>#N/A</v>
      </c>
      <c r="N166" s="328" t="e">
        <f>MATCH($L166,'Reference Records'!$E$430:$E$653,1)+ROW(Population_by_intervention)-1</f>
        <v>#N/A</v>
      </c>
      <c r="O166" s="328" t="e">
        <f>INDEX('Reference Records'!K$212:K735,MATCH(L166,'Reference Records'!B$212:B735,0))</f>
        <v>#N/A</v>
      </c>
      <c r="P166" s="328"/>
      <c r="Q166" s="340"/>
      <c r="R166" s="341"/>
      <c r="S166" s="328" t="str">
        <f>IFERROR(VLOOKUP(INDEX('Reference Records'!J$429:J771,MATCH(R166,'Reference Records'!F$429:F771),1),'Reference Records'!B$211:C734,2,0),"")</f>
        <v/>
      </c>
      <c r="T166" s="333"/>
      <c r="U166" s="342" t="str">
        <f>IFERROR(IF(VLOOKUP(E166,'Reference Records'!$F$159:$N$210,9,FALSE)=0,"",VLOOKUP(E166,'Reference Records'!$F$159:$N$210,9,FALSE)),"")</f>
        <v/>
      </c>
      <c r="V166" s="326" t="str">
        <f t="shared" si="25"/>
        <v/>
      </c>
      <c r="W166" s="343" t="str">
        <f t="shared" si="14"/>
        <v/>
      </c>
      <c r="X166" s="343" t="str">
        <f t="shared" si="15"/>
        <v>a1P3p00000CPRBlEAP</v>
      </c>
      <c r="Y166" s="343" t="b">
        <f t="shared" si="16"/>
        <v>0</v>
      </c>
      <c r="Z166" s="343" t="b">
        <f t="shared" si="17"/>
        <v>1</v>
      </c>
      <c r="AA166" s="343" t="str">
        <f>IF(R166="",IFERROR(VLOOKUP(AC166,'Reference Records'!G$430:J770,3,0),""),IFERROR(VLOOKUP(AC166,'Reference Records'!H$430:J770,2,0),""))</f>
        <v/>
      </c>
      <c r="AB166" s="343" t="s">
        <v>592</v>
      </c>
      <c r="AC166" s="347" t="e">
        <f t="shared" si="18"/>
        <v>#N/A</v>
      </c>
      <c r="AD166" s="347" t="str">
        <f t="shared" si="19"/>
        <v/>
      </c>
      <c r="AE166" s="347" t="str">
        <f t="array" ref="AE166">IFERROR(IF(INDEX($W$124:$W$175,MATCH(0,IF(AD166=$E$124:$E$175,COUNTIF($AE$123:$AE165,$W$124:$W$175),""),0))=0,"",INDEX($W$124:$W$175,MATCH(0,IF(AD166=$E$124:$E$175,COUNTIF($AE$123:$AE165,$W$124:$W$175),""),0))),"")</f>
        <v/>
      </c>
      <c r="AF166" s="347" t="str">
        <f t="shared" si="20"/>
        <v>|empty|</v>
      </c>
      <c r="AG166" s="347" t="str">
        <f t="shared" si="21"/>
        <v>INT-257104</v>
      </c>
      <c r="AH166" s="347" t="e">
        <f t="shared" si="22"/>
        <v>#N/A</v>
      </c>
      <c r="AI166" s="347">
        <f>IF(COUNTIF($AH$124:AH217,"&lt;="&amp;AH166)=0,"",COUNTIF($AH$124:AH217,"&lt;="&amp;AH166))</f>
        <v>47</v>
      </c>
      <c r="AJ166" s="347">
        <f>RANK(AI166,AI$124:AI217,1)</f>
        <v>5</v>
      </c>
      <c r="AK166" s="347" t="e">
        <f>INDEX(E$124:E217,MATCH(ROWS(AJ$124:AJ166),AJ$124:AJ217,0))</f>
        <v>#N/A</v>
      </c>
      <c r="AL166" s="347" t="e">
        <f>INDEX(K$124:K217,MATCH(ROWS(AJ$124:AJ166),AJ$124:AJ217,0))</f>
        <v>#N/A</v>
      </c>
      <c r="AM166" s="347" t="e">
        <f>INDEX(V$124:V217,MATCH(ROWS(AJ$124:AJ166),AJ$124:AJ217,0))</f>
        <v>#N/A</v>
      </c>
      <c r="AN166" s="347" t="e">
        <f t="shared" si="23"/>
        <v>#N/A</v>
      </c>
      <c r="AO166" s="347" t="e">
        <f t="shared" si="24"/>
        <v>#N/A</v>
      </c>
      <c r="AP166" s="347"/>
      <c r="AQ166" s="349" t="s">
        <v>593</v>
      </c>
      <c r="AR166" s="17"/>
    </row>
    <row r="167" spans="1:44" ht="47.1" customHeight="1">
      <c r="A167" s="236">
        <v>43</v>
      </c>
      <c r="B167" s="325"/>
      <c r="C167" s="325"/>
      <c r="D167" s="172"/>
      <c r="E167" s="326" t="str">
        <f>IFERROR(IF(AND(K167="",T167=""),"",(VLOOKUP(Q167,'Reference records(soft deleted)'!$B$118:$D$162,3,FALSE))),"")</f>
        <v/>
      </c>
      <c r="F167" s="327"/>
      <c r="G167" s="327"/>
      <c r="H167" s="328" t="str">
        <f>IF(R167="",IFERROR(VLOOKUP(AC167,'Reference Records'!G$430:J771,4,0),""),IFERROR(VLOOKUP(AC167,'Reference Records'!H$430:J771,3,0),""))</f>
        <v/>
      </c>
      <c r="I167" s="328"/>
      <c r="J167" s="333"/>
      <c r="K167" s="326" t="str">
        <f>IFERROR(VLOOKUP(INDEX('Reference Records'!E$429:E772,MATCH(R167,'Reference Records'!F$429:F772,0),1),'Reference Records'!B$211:C735,2,0),"")</f>
        <v/>
      </c>
      <c r="L167" s="328" t="e">
        <f>VLOOKUP(U167&amp;K167,'Reference Records'!H$212:I736,2,0)</f>
        <v>#N/A</v>
      </c>
      <c r="M167" s="328" t="e">
        <f>MATCH($L167,'Reference Records'!$E$430:$E$653,0)+ROW(Population_by_intervention)-1</f>
        <v>#N/A</v>
      </c>
      <c r="N167" s="328" t="e">
        <f>MATCH($L167,'Reference Records'!$E$430:$E$653,1)+ROW(Population_by_intervention)-1</f>
        <v>#N/A</v>
      </c>
      <c r="O167" s="328" t="e">
        <f>INDEX('Reference Records'!K$212:K736,MATCH(L167,'Reference Records'!B$212:B736,0))</f>
        <v>#N/A</v>
      </c>
      <c r="P167" s="328"/>
      <c r="Q167" s="340"/>
      <c r="R167" s="341"/>
      <c r="S167" s="328" t="str">
        <f>IFERROR(VLOOKUP(INDEX('Reference Records'!J$429:J772,MATCH(R167,'Reference Records'!F$429:F772),1),'Reference Records'!B$211:C735,2,0),"")</f>
        <v/>
      </c>
      <c r="T167" s="333"/>
      <c r="U167" s="342" t="str">
        <f>IFERROR(IF(VLOOKUP(E167,'Reference Records'!$F$159:$N$210,9,FALSE)=0,"",VLOOKUP(E167,'Reference Records'!$F$159:$N$210,9,FALSE)),"")</f>
        <v/>
      </c>
      <c r="V167" s="326" t="str">
        <f t="shared" si="25"/>
        <v/>
      </c>
      <c r="W167" s="343" t="str">
        <f t="shared" si="14"/>
        <v/>
      </c>
      <c r="X167" s="343" t="str">
        <f t="shared" si="15"/>
        <v>a1P3p00000CPRBlEAP</v>
      </c>
      <c r="Y167" s="343" t="b">
        <f t="shared" si="16"/>
        <v>0</v>
      </c>
      <c r="Z167" s="343" t="b">
        <f t="shared" si="17"/>
        <v>1</v>
      </c>
      <c r="AA167" s="343" t="str">
        <f>IF(R167="",IFERROR(VLOOKUP(AC167,'Reference Records'!G$430:J771,3,0),""),IFERROR(VLOOKUP(AC167,'Reference Records'!H$430:J771,2,0),""))</f>
        <v/>
      </c>
      <c r="AB167" s="343" t="s">
        <v>594</v>
      </c>
      <c r="AC167" s="347" t="e">
        <f t="shared" si="18"/>
        <v>#N/A</v>
      </c>
      <c r="AD167" s="347" t="str">
        <f t="shared" si="19"/>
        <v/>
      </c>
      <c r="AE167" s="347" t="str">
        <f t="array" ref="AE167">IFERROR(IF(INDEX($W$124:$W$175,MATCH(0,IF(AD167=$E$124:$E$175,COUNTIF($AE$123:$AE166,$W$124:$W$175),""),0))=0,"",INDEX($W$124:$W$175,MATCH(0,IF(AD167=$E$124:$E$175,COUNTIF($AE$123:$AE166,$W$124:$W$175),""),0))),"")</f>
        <v/>
      </c>
      <c r="AF167" s="347" t="str">
        <f t="shared" si="20"/>
        <v>|empty|</v>
      </c>
      <c r="AG167" s="347" t="str">
        <f t="shared" si="21"/>
        <v>INT-257105</v>
      </c>
      <c r="AH167" s="347" t="e">
        <f t="shared" si="22"/>
        <v>#N/A</v>
      </c>
      <c r="AI167" s="347">
        <f>IF(COUNTIF($AH$124:AH218,"&lt;="&amp;AH167)=0,"",COUNTIF($AH$124:AH218,"&lt;="&amp;AH167))</f>
        <v>47</v>
      </c>
      <c r="AJ167" s="347">
        <f>RANK(AI167,AI$124:AI218,1)</f>
        <v>5</v>
      </c>
      <c r="AK167" s="347" t="e">
        <f>INDEX(E$124:E218,MATCH(ROWS(AJ$124:AJ167),AJ$124:AJ218,0))</f>
        <v>#N/A</v>
      </c>
      <c r="AL167" s="347" t="e">
        <f>INDEX(K$124:K218,MATCH(ROWS(AJ$124:AJ167),AJ$124:AJ218,0))</f>
        <v>#N/A</v>
      </c>
      <c r="AM167" s="347" t="e">
        <f>INDEX(V$124:V218,MATCH(ROWS(AJ$124:AJ167),AJ$124:AJ218,0))</f>
        <v>#N/A</v>
      </c>
      <c r="AN167" s="347" t="e">
        <f t="shared" si="23"/>
        <v>#N/A</v>
      </c>
      <c r="AO167" s="347" t="e">
        <f t="shared" si="24"/>
        <v>#N/A</v>
      </c>
      <c r="AP167" s="347"/>
      <c r="AQ167" s="349" t="s">
        <v>595</v>
      </c>
      <c r="AR167" s="17"/>
    </row>
    <row r="168" spans="1:44" ht="47.1" customHeight="1">
      <c r="A168" s="236">
        <v>44</v>
      </c>
      <c r="B168" s="325"/>
      <c r="C168" s="325"/>
      <c r="D168" s="172"/>
      <c r="E168" s="326" t="str">
        <f>IFERROR(IF(AND(K168="",T168=""),"",(VLOOKUP(Q168,'Reference records(soft deleted)'!$B$118:$D$162,3,FALSE))),"")</f>
        <v/>
      </c>
      <c r="F168" s="327"/>
      <c r="G168" s="327"/>
      <c r="H168" s="328" t="str">
        <f>IF(R168="",IFERROR(VLOOKUP(AC168,'Reference Records'!G$430:J772,4,0),""),IFERROR(VLOOKUP(AC168,'Reference Records'!H$430:J772,3,0),""))</f>
        <v/>
      </c>
      <c r="I168" s="328"/>
      <c r="J168" s="333"/>
      <c r="K168" s="326" t="str">
        <f>IFERROR(VLOOKUP(INDEX('Reference Records'!E$429:E773,MATCH(R168,'Reference Records'!F$429:F773,0),1),'Reference Records'!B$211:C736,2,0),"")</f>
        <v/>
      </c>
      <c r="L168" s="328" t="e">
        <f>VLOOKUP(U168&amp;K168,'Reference Records'!H$212:I737,2,0)</f>
        <v>#N/A</v>
      </c>
      <c r="M168" s="328" t="e">
        <f>MATCH($L168,'Reference Records'!$E$430:$E$653,0)+ROW(Population_by_intervention)-1</f>
        <v>#N/A</v>
      </c>
      <c r="N168" s="328" t="e">
        <f>MATCH($L168,'Reference Records'!$E$430:$E$653,1)+ROW(Population_by_intervention)-1</f>
        <v>#N/A</v>
      </c>
      <c r="O168" s="328" t="e">
        <f>INDEX('Reference Records'!K$212:K737,MATCH(L168,'Reference Records'!B$212:B737,0))</f>
        <v>#N/A</v>
      </c>
      <c r="P168" s="328"/>
      <c r="Q168" s="340"/>
      <c r="R168" s="341"/>
      <c r="S168" s="328" t="str">
        <f>IFERROR(VLOOKUP(INDEX('Reference Records'!J$429:J773,MATCH(R168,'Reference Records'!F$429:F773),1),'Reference Records'!B$211:C736,2,0),"")</f>
        <v/>
      </c>
      <c r="T168" s="333"/>
      <c r="U168" s="342" t="str">
        <f>IFERROR(IF(VLOOKUP(E168,'Reference Records'!$F$159:$N$210,9,FALSE)=0,"",VLOOKUP(E168,'Reference Records'!$F$159:$N$210,9,FALSE)),"")</f>
        <v/>
      </c>
      <c r="V168" s="326" t="str">
        <f t="shared" si="25"/>
        <v/>
      </c>
      <c r="W168" s="343" t="str">
        <f t="shared" si="14"/>
        <v/>
      </c>
      <c r="X168" s="343" t="str">
        <f t="shared" si="15"/>
        <v>a1P3p00000CPRBlEAP</v>
      </c>
      <c r="Y168" s="343" t="b">
        <f t="shared" si="16"/>
        <v>0</v>
      </c>
      <c r="Z168" s="343" t="b">
        <f t="shared" si="17"/>
        <v>1</v>
      </c>
      <c r="AA168" s="343" t="str">
        <f>IF(R168="",IFERROR(VLOOKUP(AC168,'Reference Records'!G$430:J772,3,0),""),IFERROR(VLOOKUP(AC168,'Reference Records'!H$430:J772,2,0),""))</f>
        <v/>
      </c>
      <c r="AB168" s="343" t="s">
        <v>596</v>
      </c>
      <c r="AC168" s="347" t="e">
        <f t="shared" si="18"/>
        <v>#N/A</v>
      </c>
      <c r="AD168" s="347" t="str">
        <f t="shared" si="19"/>
        <v/>
      </c>
      <c r="AE168" s="347" t="str">
        <f t="array" ref="AE168">IFERROR(IF(INDEX($W$124:$W$175,MATCH(0,IF(AD168=$E$124:$E$175,COUNTIF($AE$123:$AE167,$W$124:$W$175),""),0))=0,"",INDEX($W$124:$W$175,MATCH(0,IF(AD168=$E$124:$E$175,COUNTIF($AE$123:$AE167,$W$124:$W$175),""),0))),"")</f>
        <v/>
      </c>
      <c r="AF168" s="347" t="str">
        <f t="shared" si="20"/>
        <v>|empty|</v>
      </c>
      <c r="AG168" s="347" t="str">
        <f t="shared" si="21"/>
        <v>INT-257106</v>
      </c>
      <c r="AH168" s="347" t="e">
        <f t="shared" si="22"/>
        <v>#N/A</v>
      </c>
      <c r="AI168" s="347">
        <f>IF(COUNTIF($AH$124:AH219,"&lt;="&amp;AH168)=0,"",COUNTIF($AH$124:AH219,"&lt;="&amp;AH168))</f>
        <v>47</v>
      </c>
      <c r="AJ168" s="347">
        <f>RANK(AI168,AI$124:AI219,1)</f>
        <v>5</v>
      </c>
      <c r="AK168" s="347" t="e">
        <f>INDEX(E$124:E219,MATCH(ROWS(AJ$124:AJ168),AJ$124:AJ219,0))</f>
        <v>#N/A</v>
      </c>
      <c r="AL168" s="347" t="e">
        <f>INDEX(K$124:K219,MATCH(ROWS(AJ$124:AJ168),AJ$124:AJ219,0))</f>
        <v>#N/A</v>
      </c>
      <c r="AM168" s="347" t="e">
        <f>INDEX(V$124:V219,MATCH(ROWS(AJ$124:AJ168),AJ$124:AJ219,0))</f>
        <v>#N/A</v>
      </c>
      <c r="AN168" s="347" t="e">
        <f t="shared" si="23"/>
        <v>#N/A</v>
      </c>
      <c r="AO168" s="347" t="e">
        <f t="shared" si="24"/>
        <v>#N/A</v>
      </c>
      <c r="AP168" s="347"/>
      <c r="AQ168" s="349" t="s">
        <v>597</v>
      </c>
      <c r="AR168" s="17"/>
    </row>
    <row r="169" spans="1:44" ht="47.1" customHeight="1">
      <c r="A169" s="236">
        <v>45</v>
      </c>
      <c r="B169" s="325"/>
      <c r="C169" s="325"/>
      <c r="D169" s="172"/>
      <c r="E169" s="326" t="str">
        <f>IFERROR(IF(AND(K169="",T169=""),"",(VLOOKUP(Q169,'Reference records(soft deleted)'!$B$118:$D$162,3,FALSE))),"")</f>
        <v/>
      </c>
      <c r="F169" s="327"/>
      <c r="G169" s="327"/>
      <c r="H169" s="328" t="str">
        <f>IF(R169="",IFERROR(VLOOKUP(AC169,'Reference Records'!G$430:J773,4,0),""),IFERROR(VLOOKUP(AC169,'Reference Records'!H$430:J773,3,0),""))</f>
        <v/>
      </c>
      <c r="I169" s="328"/>
      <c r="J169" s="333"/>
      <c r="K169" s="326" t="str">
        <f>IFERROR(VLOOKUP(INDEX('Reference Records'!E$429:E774,MATCH(R169,'Reference Records'!F$429:F774,0),1),'Reference Records'!B$211:C737,2,0),"")</f>
        <v/>
      </c>
      <c r="L169" s="328" t="e">
        <f>VLOOKUP(U169&amp;K169,'Reference Records'!H$212:I738,2,0)</f>
        <v>#N/A</v>
      </c>
      <c r="M169" s="328" t="e">
        <f>MATCH($L169,'Reference Records'!$E$430:$E$653,0)+ROW(Population_by_intervention)-1</f>
        <v>#N/A</v>
      </c>
      <c r="N169" s="328" t="e">
        <f>MATCH($L169,'Reference Records'!$E$430:$E$653,1)+ROW(Population_by_intervention)-1</f>
        <v>#N/A</v>
      </c>
      <c r="O169" s="328" t="e">
        <f>INDEX('Reference Records'!K$212:K738,MATCH(L169,'Reference Records'!B$212:B738,0))</f>
        <v>#N/A</v>
      </c>
      <c r="P169" s="328"/>
      <c r="Q169" s="340"/>
      <c r="R169" s="341"/>
      <c r="S169" s="328" t="str">
        <f>IFERROR(VLOOKUP(INDEX('Reference Records'!J$429:J774,MATCH(R169,'Reference Records'!F$429:F774),1),'Reference Records'!B$211:C737,2,0),"")</f>
        <v/>
      </c>
      <c r="T169" s="333"/>
      <c r="U169" s="342" t="str">
        <f>IFERROR(IF(VLOOKUP(E169,'Reference Records'!$F$159:$N$210,9,FALSE)=0,"",VLOOKUP(E169,'Reference Records'!$F$159:$N$210,9,FALSE)),"")</f>
        <v/>
      </c>
      <c r="V169" s="326" t="str">
        <f t="shared" si="25"/>
        <v/>
      </c>
      <c r="W169" s="343" t="str">
        <f t="shared" si="14"/>
        <v/>
      </c>
      <c r="X169" s="343" t="str">
        <f t="shared" si="15"/>
        <v>a1P3p00000CPRBlEAP</v>
      </c>
      <c r="Y169" s="343" t="b">
        <f t="shared" si="16"/>
        <v>0</v>
      </c>
      <c r="Z169" s="343" t="b">
        <f t="shared" si="17"/>
        <v>1</v>
      </c>
      <c r="AA169" s="343" t="str">
        <f>IF(R169="",IFERROR(VLOOKUP(AC169,'Reference Records'!G$430:J773,3,0),""),IFERROR(VLOOKUP(AC169,'Reference Records'!H$430:J773,2,0),""))</f>
        <v/>
      </c>
      <c r="AB169" s="343" t="s">
        <v>598</v>
      </c>
      <c r="AC169" s="347" t="e">
        <f t="shared" si="18"/>
        <v>#N/A</v>
      </c>
      <c r="AD169" s="347" t="str">
        <f t="shared" si="19"/>
        <v/>
      </c>
      <c r="AE169" s="347" t="str">
        <f t="array" ref="AE169">IFERROR(IF(INDEX($W$124:$W$175,MATCH(0,IF(AD169=$E$124:$E$175,COUNTIF($AE$123:$AE168,$W$124:$W$175),""),0))=0,"",INDEX($W$124:$W$175,MATCH(0,IF(AD169=$E$124:$E$175,COUNTIF($AE$123:$AE168,$W$124:$W$175),""),0))),"")</f>
        <v/>
      </c>
      <c r="AF169" s="347" t="str">
        <f t="shared" si="20"/>
        <v>|empty|</v>
      </c>
      <c r="AG169" s="347" t="str">
        <f t="shared" si="21"/>
        <v>INT-257107</v>
      </c>
      <c r="AH169" s="347" t="e">
        <f t="shared" si="22"/>
        <v>#N/A</v>
      </c>
      <c r="AI169" s="347">
        <f>IF(COUNTIF($AH$124:AH220,"&lt;="&amp;AH169)=0,"",COUNTIF($AH$124:AH220,"&lt;="&amp;AH169))</f>
        <v>47</v>
      </c>
      <c r="AJ169" s="347">
        <f>RANK(AI169,AI$124:AI220,1)</f>
        <v>5</v>
      </c>
      <c r="AK169" s="347" t="e">
        <f>INDEX(E$124:E220,MATCH(ROWS(AJ$124:AJ169),AJ$124:AJ220,0))</f>
        <v>#N/A</v>
      </c>
      <c r="AL169" s="347" t="e">
        <f>INDEX(K$124:K220,MATCH(ROWS(AJ$124:AJ169),AJ$124:AJ220,0))</f>
        <v>#N/A</v>
      </c>
      <c r="AM169" s="347" t="e">
        <f>INDEX(V$124:V220,MATCH(ROWS(AJ$124:AJ169),AJ$124:AJ220,0))</f>
        <v>#N/A</v>
      </c>
      <c r="AN169" s="347" t="e">
        <f t="shared" si="23"/>
        <v>#N/A</v>
      </c>
      <c r="AO169" s="347" t="e">
        <f t="shared" si="24"/>
        <v>#N/A</v>
      </c>
      <c r="AP169" s="347"/>
      <c r="AQ169" s="349" t="s">
        <v>599</v>
      </c>
      <c r="AR169" s="17"/>
    </row>
    <row r="170" spans="1:44" ht="47.1" customHeight="1">
      <c r="A170" s="236">
        <v>46</v>
      </c>
      <c r="B170" s="325"/>
      <c r="C170" s="325"/>
      <c r="D170" s="172"/>
      <c r="E170" s="326" t="str">
        <f>IFERROR(IF(AND(K170="",T170=""),"",(VLOOKUP(Q170,'Reference records(soft deleted)'!$B$118:$D$162,3,FALSE))),"")</f>
        <v/>
      </c>
      <c r="F170" s="327"/>
      <c r="G170" s="327"/>
      <c r="H170" s="328" t="str">
        <f>IF(R170="",IFERROR(VLOOKUP(AC170,'Reference Records'!G$430:J774,4,0),""),IFERROR(VLOOKUP(AC170,'Reference Records'!H$430:J774,3,0),""))</f>
        <v/>
      </c>
      <c r="I170" s="328"/>
      <c r="J170" s="333"/>
      <c r="K170" s="326" t="str">
        <f>IFERROR(VLOOKUP(INDEX('Reference Records'!E$429:E775,MATCH(R170,'Reference Records'!F$429:F775,0),1),'Reference Records'!B$211:C738,2,0),"")</f>
        <v/>
      </c>
      <c r="L170" s="328" t="e">
        <f>VLOOKUP(U170&amp;K170,'Reference Records'!H$212:I739,2,0)</f>
        <v>#N/A</v>
      </c>
      <c r="M170" s="328" t="e">
        <f>MATCH($L170,'Reference Records'!$E$430:$E$653,0)+ROW(Population_by_intervention)-1</f>
        <v>#N/A</v>
      </c>
      <c r="N170" s="328" t="e">
        <f>MATCH($L170,'Reference Records'!$E$430:$E$653,1)+ROW(Population_by_intervention)-1</f>
        <v>#N/A</v>
      </c>
      <c r="O170" s="328" t="e">
        <f>INDEX('Reference Records'!K$212:K739,MATCH(L170,'Reference Records'!B$212:B739,0))</f>
        <v>#N/A</v>
      </c>
      <c r="P170" s="328"/>
      <c r="Q170" s="340"/>
      <c r="R170" s="341"/>
      <c r="S170" s="328" t="str">
        <f>IFERROR(VLOOKUP(INDEX('Reference Records'!J$429:J775,MATCH(R170,'Reference Records'!F$429:F775),1),'Reference Records'!B$211:C738,2,0),"")</f>
        <v/>
      </c>
      <c r="T170" s="333"/>
      <c r="U170" s="342" t="str">
        <f>IFERROR(IF(VLOOKUP(E170,'Reference Records'!$F$159:$N$210,9,FALSE)=0,"",VLOOKUP(E170,'Reference Records'!$F$159:$N$210,9,FALSE)),"")</f>
        <v/>
      </c>
      <c r="V170" s="326" t="str">
        <f t="shared" si="25"/>
        <v/>
      </c>
      <c r="W170" s="343" t="str">
        <f t="shared" si="14"/>
        <v/>
      </c>
      <c r="X170" s="343" t="str">
        <f t="shared" si="15"/>
        <v>a1P3p00000CPRBlEAP</v>
      </c>
      <c r="Y170" s="343" t="b">
        <f t="shared" si="16"/>
        <v>0</v>
      </c>
      <c r="Z170" s="343" t="b">
        <f t="shared" si="17"/>
        <v>1</v>
      </c>
      <c r="AA170" s="343" t="str">
        <f>IF(R170="",IFERROR(VLOOKUP(AC170,'Reference Records'!G$430:J774,3,0),""),IFERROR(VLOOKUP(AC170,'Reference Records'!H$430:J774,2,0),""))</f>
        <v/>
      </c>
      <c r="AB170" s="343" t="s">
        <v>600</v>
      </c>
      <c r="AC170" s="347" t="e">
        <f t="shared" si="18"/>
        <v>#N/A</v>
      </c>
      <c r="AD170" s="347" t="str">
        <f t="shared" si="19"/>
        <v/>
      </c>
      <c r="AE170" s="347" t="str">
        <f t="array" ref="AE170">IFERROR(IF(INDEX($W$124:$W$175,MATCH(0,IF(AD170=$E$124:$E$175,COUNTIF($AE$123:$AE169,$W$124:$W$175),""),0))=0,"",INDEX($W$124:$W$175,MATCH(0,IF(AD170=$E$124:$E$175,COUNTIF($AE$123:$AE169,$W$124:$W$175),""),0))),"")</f>
        <v/>
      </c>
      <c r="AF170" s="347" t="str">
        <f t="shared" si="20"/>
        <v>|empty|</v>
      </c>
      <c r="AG170" s="347" t="str">
        <f t="shared" si="21"/>
        <v>INT-257108</v>
      </c>
      <c r="AH170" s="347" t="e">
        <f t="shared" si="22"/>
        <v>#N/A</v>
      </c>
      <c r="AI170" s="347">
        <f>IF(COUNTIF($AH$124:AH221,"&lt;="&amp;AH170)=0,"",COUNTIF($AH$124:AH221,"&lt;="&amp;AH170))</f>
        <v>47</v>
      </c>
      <c r="AJ170" s="347">
        <f>RANK(AI170,AI$124:AI221,1)</f>
        <v>5</v>
      </c>
      <c r="AK170" s="347" t="e">
        <f>INDEX(E$124:E221,MATCH(ROWS(AJ$124:AJ170),AJ$124:AJ221,0))</f>
        <v>#N/A</v>
      </c>
      <c r="AL170" s="347" t="e">
        <f>INDEX(K$124:K221,MATCH(ROWS(AJ$124:AJ170),AJ$124:AJ221,0))</f>
        <v>#N/A</v>
      </c>
      <c r="AM170" s="347" t="e">
        <f>INDEX(V$124:V221,MATCH(ROWS(AJ$124:AJ170),AJ$124:AJ221,0))</f>
        <v>#N/A</v>
      </c>
      <c r="AN170" s="347" t="e">
        <f t="shared" si="23"/>
        <v>#N/A</v>
      </c>
      <c r="AO170" s="347" t="e">
        <f t="shared" si="24"/>
        <v>#N/A</v>
      </c>
      <c r="AP170" s="347"/>
      <c r="AQ170" s="349" t="s">
        <v>601</v>
      </c>
      <c r="AR170" s="17"/>
    </row>
    <row r="171" spans="1:44" ht="47.1" customHeight="1">
      <c r="A171" s="236">
        <v>47</v>
      </c>
      <c r="B171" s="325"/>
      <c r="C171" s="325"/>
      <c r="D171" s="172"/>
      <c r="E171" s="326" t="str">
        <f>IFERROR(IF(AND(K171="",T171=""),"",(VLOOKUP(Q171,'Reference records(soft deleted)'!$B$118:$D$162,3,FALSE))),"")</f>
        <v/>
      </c>
      <c r="F171" s="327"/>
      <c r="G171" s="327"/>
      <c r="H171" s="328" t="str">
        <f>IF(R171="",IFERROR(VLOOKUP(AC171,'Reference Records'!G$430:J775,4,0),""),IFERROR(VLOOKUP(AC171,'Reference Records'!H$430:J775,3,0),""))</f>
        <v/>
      </c>
      <c r="I171" s="328"/>
      <c r="J171" s="333"/>
      <c r="K171" s="326" t="str">
        <f>IFERROR(VLOOKUP(INDEX('Reference Records'!E$429:E776,MATCH(R171,'Reference Records'!F$429:F776,0),1),'Reference Records'!B$211:C739,2,0),"")</f>
        <v/>
      </c>
      <c r="L171" s="328" t="e">
        <f>VLOOKUP(U171&amp;K171,'Reference Records'!H$212:I740,2,0)</f>
        <v>#N/A</v>
      </c>
      <c r="M171" s="328" t="e">
        <f>MATCH($L171,'Reference Records'!$E$430:$E$653,0)+ROW(Population_by_intervention)-1</f>
        <v>#N/A</v>
      </c>
      <c r="N171" s="328" t="e">
        <f>MATCH($L171,'Reference Records'!$E$430:$E$653,1)+ROW(Population_by_intervention)-1</f>
        <v>#N/A</v>
      </c>
      <c r="O171" s="328" t="e">
        <f>INDEX('Reference Records'!K$212:K740,MATCH(L171,'Reference Records'!B$212:B740,0))</f>
        <v>#N/A</v>
      </c>
      <c r="P171" s="328"/>
      <c r="Q171" s="340"/>
      <c r="R171" s="341"/>
      <c r="S171" s="328" t="str">
        <f>IFERROR(VLOOKUP(INDEX('Reference Records'!J$429:J776,MATCH(R171,'Reference Records'!F$429:F776),1),'Reference Records'!B$211:C739,2,0),"")</f>
        <v/>
      </c>
      <c r="T171" s="333"/>
      <c r="U171" s="342" t="str">
        <f>IFERROR(IF(VLOOKUP(E171,'Reference Records'!$F$159:$N$210,9,FALSE)=0,"",VLOOKUP(E171,'Reference Records'!$F$159:$N$210,9,FALSE)),"")</f>
        <v/>
      </c>
      <c r="V171" s="326" t="str">
        <f t="shared" si="25"/>
        <v/>
      </c>
      <c r="W171" s="343" t="str">
        <f t="shared" si="14"/>
        <v/>
      </c>
      <c r="X171" s="343" t="str">
        <f t="shared" si="15"/>
        <v>a1P3p00000CPRBlEAP</v>
      </c>
      <c r="Y171" s="343" t="b">
        <f t="shared" si="16"/>
        <v>0</v>
      </c>
      <c r="Z171" s="343" t="b">
        <f t="shared" si="17"/>
        <v>1</v>
      </c>
      <c r="AA171" s="343" t="str">
        <f>IF(R171="",IFERROR(VLOOKUP(AC171,'Reference Records'!G$430:J775,3,0),""),IFERROR(VLOOKUP(AC171,'Reference Records'!H$430:J775,2,0),""))</f>
        <v/>
      </c>
      <c r="AB171" s="343" t="s">
        <v>602</v>
      </c>
      <c r="AC171" s="347" t="e">
        <f t="shared" si="18"/>
        <v>#N/A</v>
      </c>
      <c r="AD171" s="347" t="str">
        <f t="shared" si="19"/>
        <v/>
      </c>
      <c r="AE171" s="347" t="str">
        <f t="array" ref="AE171">IFERROR(IF(INDEX($W$124:$W$175,MATCH(0,IF(AD171=$E$124:$E$175,COUNTIF($AE$123:$AE170,$W$124:$W$175),""),0))=0,"",INDEX($W$124:$W$175,MATCH(0,IF(AD171=$E$124:$E$175,COUNTIF($AE$123:$AE170,$W$124:$W$175),""),0))),"")</f>
        <v/>
      </c>
      <c r="AF171" s="347" t="str">
        <f t="shared" si="20"/>
        <v>|empty|</v>
      </c>
      <c r="AG171" s="347" t="str">
        <f t="shared" si="21"/>
        <v>INT-257109</v>
      </c>
      <c r="AH171" s="347" t="e">
        <f t="shared" si="22"/>
        <v>#N/A</v>
      </c>
      <c r="AI171" s="347">
        <f>IF(COUNTIF($AH$124:AH222,"&lt;="&amp;AH171)=0,"",COUNTIF($AH$124:AH222,"&lt;="&amp;AH171))</f>
        <v>47</v>
      </c>
      <c r="AJ171" s="347">
        <f>RANK(AI171,AI$124:AI222,1)</f>
        <v>5</v>
      </c>
      <c r="AK171" s="347" t="e">
        <f>INDEX(E$124:E222,MATCH(ROWS(AJ$124:AJ171),AJ$124:AJ222,0))</f>
        <v>#N/A</v>
      </c>
      <c r="AL171" s="347" t="e">
        <f>INDEX(K$124:K222,MATCH(ROWS(AJ$124:AJ171),AJ$124:AJ222,0))</f>
        <v>#N/A</v>
      </c>
      <c r="AM171" s="347" t="e">
        <f>INDEX(V$124:V222,MATCH(ROWS(AJ$124:AJ171),AJ$124:AJ222,0))</f>
        <v>#N/A</v>
      </c>
      <c r="AN171" s="347" t="e">
        <f t="shared" si="23"/>
        <v>#N/A</v>
      </c>
      <c r="AO171" s="347" t="e">
        <f t="shared" si="24"/>
        <v>#N/A</v>
      </c>
      <c r="AP171" s="347"/>
      <c r="AQ171" s="349" t="s">
        <v>603</v>
      </c>
      <c r="AR171" s="17"/>
    </row>
    <row r="172" spans="1:44" ht="47.1" customHeight="1">
      <c r="A172" s="236">
        <v>48</v>
      </c>
      <c r="B172" s="325"/>
      <c r="C172" s="325"/>
      <c r="D172" s="172"/>
      <c r="E172" s="326" t="str">
        <f>IFERROR(IF(AND(K172="",T172=""),"",(VLOOKUP(Q172,'Reference records(soft deleted)'!$B$118:$D$162,3,FALSE))),"")</f>
        <v/>
      </c>
      <c r="F172" s="327"/>
      <c r="G172" s="327"/>
      <c r="H172" s="328" t="str">
        <f>IF(R172="",IFERROR(VLOOKUP(AC172,'Reference Records'!G$430:J776,4,0),""),IFERROR(VLOOKUP(AC172,'Reference Records'!H$430:J776,3,0),""))</f>
        <v/>
      </c>
      <c r="I172" s="328"/>
      <c r="J172" s="333"/>
      <c r="K172" s="326" t="str">
        <f>IFERROR(VLOOKUP(INDEX('Reference Records'!E$429:E777,MATCH(R172,'Reference Records'!F$429:F777,0),1),'Reference Records'!B$211:C740,2,0),"")</f>
        <v/>
      </c>
      <c r="L172" s="328" t="e">
        <f>VLOOKUP(U172&amp;K172,'Reference Records'!H$212:I741,2,0)</f>
        <v>#N/A</v>
      </c>
      <c r="M172" s="328" t="e">
        <f>MATCH($L172,'Reference Records'!$E$430:$E$653,0)+ROW(Population_by_intervention)-1</f>
        <v>#N/A</v>
      </c>
      <c r="N172" s="328" t="e">
        <f>MATCH($L172,'Reference Records'!$E$430:$E$653,1)+ROW(Population_by_intervention)-1</f>
        <v>#N/A</v>
      </c>
      <c r="O172" s="328" t="e">
        <f>INDEX('Reference Records'!K$212:K741,MATCH(L172,'Reference Records'!B$212:B741,0))</f>
        <v>#N/A</v>
      </c>
      <c r="P172" s="328"/>
      <c r="Q172" s="340"/>
      <c r="R172" s="341"/>
      <c r="S172" s="328" t="str">
        <f>IFERROR(VLOOKUP(INDEX('Reference Records'!J$429:J777,MATCH(R172,'Reference Records'!F$429:F777),1),'Reference Records'!B$211:C740,2,0),"")</f>
        <v/>
      </c>
      <c r="T172" s="333"/>
      <c r="U172" s="342" t="str">
        <f>IFERROR(IF(VLOOKUP(E172,'Reference Records'!$F$159:$N$210,9,FALSE)=0,"",VLOOKUP(E172,'Reference Records'!$F$159:$N$210,9,FALSE)),"")</f>
        <v/>
      </c>
      <c r="V172" s="326" t="str">
        <f t="shared" si="25"/>
        <v/>
      </c>
      <c r="W172" s="343" t="str">
        <f t="shared" si="14"/>
        <v/>
      </c>
      <c r="X172" s="343" t="str">
        <f t="shared" si="15"/>
        <v>a1P3p00000CPRBlEAP</v>
      </c>
      <c r="Y172" s="343" t="b">
        <f t="shared" si="16"/>
        <v>0</v>
      </c>
      <c r="Z172" s="343" t="b">
        <f t="shared" si="17"/>
        <v>1</v>
      </c>
      <c r="AA172" s="343" t="str">
        <f>IF(R172="",IFERROR(VLOOKUP(AC172,'Reference Records'!G$430:J776,3,0),""),IFERROR(VLOOKUP(AC172,'Reference Records'!H$430:J776,2,0),""))</f>
        <v/>
      </c>
      <c r="AB172" s="343" t="s">
        <v>604</v>
      </c>
      <c r="AC172" s="347" t="e">
        <f t="shared" si="18"/>
        <v>#N/A</v>
      </c>
      <c r="AD172" s="347" t="str">
        <f t="shared" si="19"/>
        <v/>
      </c>
      <c r="AE172" s="347" t="str">
        <f t="array" ref="AE172">IFERROR(IF(INDEX($W$124:$W$175,MATCH(0,IF(AD172=$E$124:$E$175,COUNTIF($AE$123:$AE171,$W$124:$W$175),""),0))=0,"",INDEX($W$124:$W$175,MATCH(0,IF(AD172=$E$124:$E$175,COUNTIF($AE$123:$AE171,$W$124:$W$175),""),0))),"")</f>
        <v/>
      </c>
      <c r="AF172" s="347" t="str">
        <f t="shared" si="20"/>
        <v>|empty|</v>
      </c>
      <c r="AG172" s="347" t="str">
        <f t="shared" si="21"/>
        <v>INT-257110</v>
      </c>
      <c r="AH172" s="347" t="e">
        <f t="shared" si="22"/>
        <v>#N/A</v>
      </c>
      <c r="AI172" s="347">
        <f>IF(COUNTIF($AH$124:AH223,"&lt;="&amp;AH172)=0,"",COUNTIF($AH$124:AH223,"&lt;="&amp;AH172))</f>
        <v>47</v>
      </c>
      <c r="AJ172" s="347">
        <f>RANK(AI172,AI$124:AI223,1)</f>
        <v>5</v>
      </c>
      <c r="AK172" s="347" t="e">
        <f>INDEX(E$124:E223,MATCH(ROWS(AJ$124:AJ172),AJ$124:AJ223,0))</f>
        <v>#N/A</v>
      </c>
      <c r="AL172" s="347" t="e">
        <f>INDEX(K$124:K223,MATCH(ROWS(AJ$124:AJ172),AJ$124:AJ223,0))</f>
        <v>#N/A</v>
      </c>
      <c r="AM172" s="347" t="e">
        <f>INDEX(V$124:V223,MATCH(ROWS(AJ$124:AJ172),AJ$124:AJ223,0))</f>
        <v>#N/A</v>
      </c>
      <c r="AN172" s="347" t="e">
        <f t="shared" si="23"/>
        <v>#N/A</v>
      </c>
      <c r="AO172" s="347" t="e">
        <f t="shared" si="24"/>
        <v>#N/A</v>
      </c>
      <c r="AP172" s="347"/>
      <c r="AQ172" s="349" t="s">
        <v>605</v>
      </c>
      <c r="AR172" s="17"/>
    </row>
    <row r="173" spans="1:44" ht="47.1" customHeight="1">
      <c r="A173" s="236">
        <v>49</v>
      </c>
      <c r="B173" s="325"/>
      <c r="C173" s="325"/>
      <c r="D173" s="172"/>
      <c r="E173" s="326" t="str">
        <f>IFERROR(IF(AND(K173="",T173=""),"",(VLOOKUP(Q173,'Reference records(soft deleted)'!$B$118:$D$162,3,FALSE))),"")</f>
        <v/>
      </c>
      <c r="F173" s="327"/>
      <c r="G173" s="327"/>
      <c r="H173" s="328" t="str">
        <f>IF(R173="",IFERROR(VLOOKUP(AC173,'Reference Records'!G$430:J777,4,0),""),IFERROR(VLOOKUP(AC173,'Reference Records'!H$430:J777,3,0),""))</f>
        <v/>
      </c>
      <c r="I173" s="328"/>
      <c r="J173" s="333"/>
      <c r="K173" s="326" t="str">
        <f>IFERROR(VLOOKUP(INDEX('Reference Records'!E$429:E778,MATCH(R173,'Reference Records'!F$429:F778,0),1),'Reference Records'!B$211:C741,2,0),"")</f>
        <v/>
      </c>
      <c r="L173" s="328" t="e">
        <f>VLOOKUP(U173&amp;K173,'Reference Records'!H$212:I742,2,0)</f>
        <v>#N/A</v>
      </c>
      <c r="M173" s="328" t="e">
        <f>MATCH($L173,'Reference Records'!$E$430:$E$653,0)+ROW(Population_by_intervention)-1</f>
        <v>#N/A</v>
      </c>
      <c r="N173" s="328" t="e">
        <f>MATCH($L173,'Reference Records'!$E$430:$E$653,1)+ROW(Population_by_intervention)-1</f>
        <v>#N/A</v>
      </c>
      <c r="O173" s="328" t="e">
        <f>INDEX('Reference Records'!K$212:K742,MATCH(L173,'Reference Records'!B$212:B742,0))</f>
        <v>#N/A</v>
      </c>
      <c r="P173" s="328"/>
      <c r="Q173" s="340"/>
      <c r="R173" s="341"/>
      <c r="S173" s="328" t="str">
        <f>IFERROR(VLOOKUP(INDEX('Reference Records'!J$429:J778,MATCH(R173,'Reference Records'!F$429:F778),1),'Reference Records'!B$211:C741,2,0),"")</f>
        <v/>
      </c>
      <c r="T173" s="333"/>
      <c r="U173" s="342" t="str">
        <f>IFERROR(IF(VLOOKUP(E173,'Reference Records'!$F$159:$N$210,9,FALSE)=0,"",VLOOKUP(E173,'Reference Records'!$F$159:$N$210,9,FALSE)),"")</f>
        <v/>
      </c>
      <c r="V173" s="326" t="str">
        <f t="shared" si="25"/>
        <v/>
      </c>
      <c r="W173" s="343" t="str">
        <f t="shared" si="14"/>
        <v/>
      </c>
      <c r="X173" s="343" t="str">
        <f t="shared" si="15"/>
        <v>a1P3p00000CPRBlEAP</v>
      </c>
      <c r="Y173" s="343" t="b">
        <f t="shared" si="16"/>
        <v>0</v>
      </c>
      <c r="Z173" s="343" t="b">
        <f t="shared" si="17"/>
        <v>1</v>
      </c>
      <c r="AA173" s="343" t="str">
        <f>IF(R173="",IFERROR(VLOOKUP(AC173,'Reference Records'!G$430:J777,3,0),""),IFERROR(VLOOKUP(AC173,'Reference Records'!H$430:J777,2,0),""))</f>
        <v/>
      </c>
      <c r="AB173" s="343" t="s">
        <v>606</v>
      </c>
      <c r="AC173" s="347" t="e">
        <f t="shared" si="18"/>
        <v>#N/A</v>
      </c>
      <c r="AD173" s="347" t="str">
        <f t="shared" si="19"/>
        <v/>
      </c>
      <c r="AE173" s="347" t="str">
        <f t="array" ref="AE173">IFERROR(IF(INDEX($W$124:$W$175,MATCH(0,IF(AD173=$E$124:$E$175,COUNTIF($AE$123:$AE172,$W$124:$W$175),""),0))=0,"",INDEX($W$124:$W$175,MATCH(0,IF(AD173=$E$124:$E$175,COUNTIF($AE$123:$AE172,$W$124:$W$175),""),0))),"")</f>
        <v/>
      </c>
      <c r="AF173" s="347" t="str">
        <f t="shared" si="20"/>
        <v>|empty|</v>
      </c>
      <c r="AG173" s="347" t="str">
        <f t="shared" si="21"/>
        <v>INT-257111</v>
      </c>
      <c r="AH173" s="347" t="e">
        <f t="shared" si="22"/>
        <v>#N/A</v>
      </c>
      <c r="AI173" s="347">
        <f>IF(COUNTIF($AH$124:AH224,"&lt;="&amp;AH173)=0,"",COUNTIF($AH$124:AH224,"&lt;="&amp;AH173))</f>
        <v>47</v>
      </c>
      <c r="AJ173" s="347">
        <f>RANK(AI173,AI$124:AI224,1)</f>
        <v>5</v>
      </c>
      <c r="AK173" s="347" t="e">
        <f>INDEX(E$124:E224,MATCH(ROWS(AJ$124:AJ173),AJ$124:AJ224,0))</f>
        <v>#N/A</v>
      </c>
      <c r="AL173" s="347" t="e">
        <f>INDEX(K$124:K224,MATCH(ROWS(AJ$124:AJ173),AJ$124:AJ224,0))</f>
        <v>#N/A</v>
      </c>
      <c r="AM173" s="347" t="e">
        <f>INDEX(V$124:V224,MATCH(ROWS(AJ$124:AJ173),AJ$124:AJ224,0))</f>
        <v>#N/A</v>
      </c>
      <c r="AN173" s="347" t="e">
        <f t="shared" si="23"/>
        <v>#N/A</v>
      </c>
      <c r="AO173" s="347" t="e">
        <f t="shared" si="24"/>
        <v>#N/A</v>
      </c>
      <c r="AP173" s="347"/>
      <c r="AQ173" s="349" t="s">
        <v>607</v>
      </c>
      <c r="AR173" s="17"/>
    </row>
    <row r="174" spans="1:44" ht="47.1" customHeight="1">
      <c r="A174" s="236">
        <v>50</v>
      </c>
      <c r="B174" s="325"/>
      <c r="C174" s="325"/>
      <c r="D174" s="172"/>
      <c r="E174" s="326" t="str">
        <f>IFERROR(IF(AND(K174="",T174=""),"",(VLOOKUP(Q174,'Reference records(soft deleted)'!$B$118:$D$162,3,FALSE))),"")</f>
        <v/>
      </c>
      <c r="F174" s="327"/>
      <c r="G174" s="327"/>
      <c r="H174" s="328" t="str">
        <f>IF(R174="",IFERROR(VLOOKUP(AC174,'Reference Records'!G$430:J778,4,0),""),IFERROR(VLOOKUP(AC174,'Reference Records'!H$430:J778,3,0),""))</f>
        <v/>
      </c>
      <c r="I174" s="328"/>
      <c r="J174" s="333"/>
      <c r="K174" s="326" t="str">
        <f>IFERROR(VLOOKUP(INDEX('Reference Records'!E$429:E779,MATCH(R174,'Reference Records'!F$429:F779,0),1),'Reference Records'!B$211:C742,2,0),"")</f>
        <v/>
      </c>
      <c r="L174" s="328" t="e">
        <f>VLOOKUP(U174&amp;K174,'Reference Records'!H$212:I743,2,0)</f>
        <v>#N/A</v>
      </c>
      <c r="M174" s="328" t="e">
        <f>MATCH($L174,'Reference Records'!$E$430:$E$653,0)+ROW(Population_by_intervention)-1</f>
        <v>#N/A</v>
      </c>
      <c r="N174" s="328" t="e">
        <f>MATCH($L174,'Reference Records'!$E$430:$E$653,1)+ROW(Population_by_intervention)-1</f>
        <v>#N/A</v>
      </c>
      <c r="O174" s="328" t="e">
        <f>INDEX('Reference Records'!K$212:K743,MATCH(L174,'Reference Records'!B$212:B743,0))</f>
        <v>#N/A</v>
      </c>
      <c r="P174" s="328"/>
      <c r="Q174" s="340"/>
      <c r="R174" s="341"/>
      <c r="S174" s="328" t="str">
        <f>IFERROR(VLOOKUP(INDEX('Reference Records'!J$429:J779,MATCH(R174,'Reference Records'!F$429:F779),1),'Reference Records'!B$211:C742,2,0),"")</f>
        <v/>
      </c>
      <c r="T174" s="333"/>
      <c r="U174" s="342" t="str">
        <f>IFERROR(IF(VLOOKUP(E174,'Reference Records'!$F$159:$N$210,9,FALSE)=0,"",VLOOKUP(E174,'Reference Records'!$F$159:$N$210,9,FALSE)),"")</f>
        <v/>
      </c>
      <c r="V174" s="326" t="str">
        <f t="shared" si="25"/>
        <v/>
      </c>
      <c r="W174" s="343" t="str">
        <f t="shared" si="14"/>
        <v/>
      </c>
      <c r="X174" s="343" t="str">
        <f t="shared" si="15"/>
        <v>a1P3p00000CPRBlEAP</v>
      </c>
      <c r="Y174" s="343" t="b">
        <f t="shared" si="16"/>
        <v>0</v>
      </c>
      <c r="Z174" s="343" t="b">
        <f t="shared" si="17"/>
        <v>1</v>
      </c>
      <c r="AA174" s="343" t="str">
        <f>IF(R174="",IFERROR(VLOOKUP(AC174,'Reference Records'!G$430:J778,3,0),""),IFERROR(VLOOKUP(AC174,'Reference Records'!H$430:J778,2,0),""))</f>
        <v/>
      </c>
      <c r="AB174" s="343" t="s">
        <v>608</v>
      </c>
      <c r="AC174" s="347" t="e">
        <f t="shared" si="18"/>
        <v>#N/A</v>
      </c>
      <c r="AD174" s="347" t="str">
        <f t="shared" si="19"/>
        <v/>
      </c>
      <c r="AE174" s="347" t="str">
        <f t="array" ref="AE174">IFERROR(IF(INDEX($W$124:$W$175,MATCH(0,IF(AD174=$E$124:$E$175,COUNTIF($AE$123:$AE173,$W$124:$W$175),""),0))=0,"",INDEX($W$124:$W$175,MATCH(0,IF(AD174=$E$124:$E$175,COUNTIF($AE$123:$AE173,$W$124:$W$175),""),0))),"")</f>
        <v/>
      </c>
      <c r="AF174" s="347" t="str">
        <f t="shared" si="20"/>
        <v>|empty|</v>
      </c>
      <c r="AG174" s="347" t="str">
        <f t="shared" si="21"/>
        <v>INT-257112</v>
      </c>
      <c r="AH174" s="347" t="e">
        <f t="shared" si="22"/>
        <v>#N/A</v>
      </c>
      <c r="AI174" s="347">
        <f>IF(COUNTIF($AH$124:AH225,"&lt;="&amp;AH174)=0,"",COUNTIF($AH$124:AH225,"&lt;="&amp;AH174))</f>
        <v>47</v>
      </c>
      <c r="AJ174" s="347">
        <f>RANK(AI174,AI$124:AI225,1)</f>
        <v>5</v>
      </c>
      <c r="AK174" s="347" t="e">
        <f>INDEX(E$124:E225,MATCH(ROWS(AJ$124:AJ174),AJ$124:AJ225,0))</f>
        <v>#N/A</v>
      </c>
      <c r="AL174" s="347" t="e">
        <f>INDEX(K$124:K225,MATCH(ROWS(AJ$124:AJ174),AJ$124:AJ225,0))</f>
        <v>#N/A</v>
      </c>
      <c r="AM174" s="347" t="e">
        <f>INDEX(V$124:V225,MATCH(ROWS(AJ$124:AJ174),AJ$124:AJ225,0))</f>
        <v>#N/A</v>
      </c>
      <c r="AN174" s="347" t="e">
        <f t="shared" si="23"/>
        <v>#N/A</v>
      </c>
      <c r="AO174" s="347" t="e">
        <f t="shared" si="24"/>
        <v>#N/A</v>
      </c>
      <c r="AP174" s="347"/>
      <c r="AQ174" s="349" t="s">
        <v>609</v>
      </c>
      <c r="AR174" s="17"/>
    </row>
    <row r="175" spans="1:44" ht="21.6" customHeight="1">
      <c r="A175" s="350"/>
      <c r="B175" s="351"/>
      <c r="C175" s="351"/>
      <c r="D175" s="351"/>
      <c r="E175" s="352"/>
      <c r="F175" s="351"/>
      <c r="G175" s="351"/>
      <c r="H175" s="351"/>
      <c r="I175" s="351"/>
      <c r="J175" s="351"/>
      <c r="K175" s="352"/>
      <c r="L175" s="351"/>
      <c r="M175" s="351"/>
      <c r="N175" s="351"/>
      <c r="O175" s="351"/>
      <c r="P175" s="351"/>
      <c r="Q175" s="351"/>
      <c r="R175" s="351"/>
      <c r="S175" s="351"/>
      <c r="T175" s="352"/>
      <c r="U175" s="254"/>
      <c r="V175" s="254"/>
      <c r="W175" s="254"/>
      <c r="X175" s="254"/>
      <c r="Y175" s="254"/>
      <c r="Z175" s="254"/>
      <c r="AA175" s="254"/>
      <c r="AB175" s="254"/>
      <c r="AC175" s="308"/>
      <c r="AE175" s="312"/>
      <c r="AF175" s="312"/>
      <c r="AG175" s="312"/>
      <c r="AH175" s="312"/>
    </row>
    <row r="176" spans="1:44">
      <c r="E176" s="164"/>
      <c r="K176" s="164"/>
      <c r="T176" s="164"/>
      <c r="AE176" s="312"/>
      <c r="AF176" s="312"/>
      <c r="AG176" s="312"/>
      <c r="AH176" s="312"/>
    </row>
    <row r="177" spans="1:34">
      <c r="E177" s="164"/>
      <c r="K177" s="164"/>
      <c r="T177" s="164"/>
      <c r="AE177" s="312"/>
      <c r="AF177" s="312"/>
      <c r="AG177" s="312"/>
      <c r="AH177" s="312"/>
    </row>
    <row r="178" spans="1:34">
      <c r="E178" s="164"/>
      <c r="K178" s="164"/>
      <c r="T178" s="164"/>
    </row>
    <row r="183" spans="1:34">
      <c r="A183" s="353" t="str">
        <f ca="1">Translations!A44</f>
        <v>Marco de desempeño  - Descripción General - Sección A</v>
      </c>
      <c r="B183" s="353"/>
      <c r="C183" s="353"/>
      <c r="D183" s="353"/>
    </row>
    <row r="187" spans="1:34">
      <c r="AE187" s="312" t="s">
        <v>610</v>
      </c>
    </row>
    <row r="198" spans="44:45">
      <c r="AS198" s="312"/>
    </row>
    <row r="199" spans="44:45">
      <c r="AR199" s="312">
        <f>IF(C9="","",C9)</f>
        <v>12</v>
      </c>
      <c r="AS199" s="312">
        <v>3</v>
      </c>
    </row>
    <row r="200" spans="44:45">
      <c r="AS200" s="312">
        <v>6</v>
      </c>
    </row>
    <row r="201" spans="44:45">
      <c r="AS201" s="312">
        <v>12</v>
      </c>
    </row>
    <row r="202" spans="44:45">
      <c r="AS202" s="312"/>
    </row>
  </sheetData>
  <sheetProtection sheet="1" objects="1" scenarios="1" formatCells="0" formatRows="0" sort="0" autoFilter="0"/>
  <autoFilter ref="A30:R40" xr:uid="{00000000-0009-0000-0000-000001000000}"/>
  <mergeCells count="12">
    <mergeCell ref="A100:E100"/>
    <mergeCell ref="A121:V121"/>
    <mergeCell ref="A122:V122"/>
    <mergeCell ref="A13:A14"/>
    <mergeCell ref="K10:K11"/>
    <mergeCell ref="Y59:Y60"/>
    <mergeCell ref="Y77:Y92"/>
    <mergeCell ref="A1:T2"/>
    <mergeCell ref="A43:L43"/>
    <mergeCell ref="A45:T45"/>
    <mergeCell ref="A58:E58"/>
    <mergeCell ref="A76:E76"/>
  </mergeCells>
  <conditionalFormatting sqref="A31:A40">
    <cfRule type="expression" dxfId="494" priority="27">
      <formula>OR($AN$5="Grant Making",$AN$5="Grant Revision")</formula>
    </cfRule>
  </conditionalFormatting>
  <conditionalFormatting sqref="A124:C174">
    <cfRule type="expression" dxfId="493" priority="16">
      <formula>$AB124:$AB175="[Record ID]"</formula>
    </cfRule>
  </conditionalFormatting>
  <conditionalFormatting sqref="A60:E61 A62:D62 A63:E65 A78:E80 A81:D82 A83:E89">
    <cfRule type="expression" dxfId="492" priority="22">
      <formula>$H60:$H73="[Record ID]"</formula>
    </cfRule>
  </conditionalFormatting>
  <conditionalFormatting sqref="A66:E72">
    <cfRule type="expression" dxfId="491" priority="13412">
      <formula>$H66:$H91="[Record ID]"</formula>
    </cfRule>
  </conditionalFormatting>
  <conditionalFormatting sqref="A90:E90">
    <cfRule type="expression" dxfId="490" priority="13414">
      <formula>$H90:$H118="[Record ID]"</formula>
    </cfRule>
  </conditionalFormatting>
  <conditionalFormatting sqref="A102:E108">
    <cfRule type="expression" dxfId="489" priority="17">
      <formula>$H102:$H118="[Record ID]"</formula>
    </cfRule>
  </conditionalFormatting>
  <conditionalFormatting sqref="A109:E117">
    <cfRule type="expression" dxfId="488" priority="13416">
      <formula>$H109:$H175="[Record ID]"</formula>
    </cfRule>
  </conditionalFormatting>
  <conditionalFormatting sqref="A31:I40 K31:K40 R31:R40">
    <cfRule type="expression" dxfId="487" priority="24">
      <formula>$P31:$P41="[Record ID]"</formula>
    </cfRule>
  </conditionalFormatting>
  <conditionalFormatting sqref="A47:T53">
    <cfRule type="expression" dxfId="486" priority="14">
      <formula>$A47&gt;$E$8</formula>
    </cfRule>
  </conditionalFormatting>
  <conditionalFormatting sqref="B9:E9">
    <cfRule type="expression" dxfId="485" priority="32">
      <formula>$AN$5="Funding Request_old"</formula>
    </cfRule>
  </conditionalFormatting>
  <conditionalFormatting sqref="E7 E10">
    <cfRule type="expression" dxfId="484" priority="9">
      <formula>$E$7&lt;$E$10</formula>
    </cfRule>
  </conditionalFormatting>
  <conditionalFormatting sqref="E8 E11">
    <cfRule type="expression" dxfId="483" priority="25">
      <formula>$E$8&gt;$E$11</formula>
    </cfRule>
  </conditionalFormatting>
  <conditionalFormatting sqref="E31:E40 K31:K40">
    <cfRule type="expression" dxfId="482" priority="43">
      <formula>AND($E31&lt;&gt;"",$K31&lt;&gt;"")</formula>
    </cfRule>
  </conditionalFormatting>
  <conditionalFormatting sqref="E31:E41">
    <cfRule type="expression" dxfId="481" priority="10">
      <formula>AND(COUNTIF($E$31:$E$41,$E31)&gt;1,E31&lt;&gt;"")</formula>
    </cfRule>
  </conditionalFormatting>
  <conditionalFormatting sqref="E62">
    <cfRule type="expression" dxfId="480" priority="2">
      <formula>$H62:$H75="[Record ID]"</formula>
    </cfRule>
  </conditionalFormatting>
  <conditionalFormatting sqref="E81:E82">
    <cfRule type="expression" dxfId="479" priority="1">
      <formula>$H81:$H94="[Record ID]"</formula>
    </cfRule>
  </conditionalFormatting>
  <conditionalFormatting sqref="E102:E118">
    <cfRule type="expression" dxfId="478" priority="37">
      <formula>AND(COUNTIF($E$102:$E$118,$E102)&gt;1,E102&lt;&gt;"")</formula>
    </cfRule>
  </conditionalFormatting>
  <conditionalFormatting sqref="E124:T174">
    <cfRule type="expression" dxfId="477" priority="15">
      <formula>$AB124:$AB175="[Record ID]"</formula>
    </cfRule>
  </conditionalFormatting>
  <conditionalFormatting sqref="K8">
    <cfRule type="expression" dxfId="476" priority="26">
      <formula>OR($AN$9="Additional Funding",$AN$9="Other Revison")</formula>
    </cfRule>
  </conditionalFormatting>
  <conditionalFormatting sqref="K30:K40 R30:R40 B31:I40 A30:I30">
    <cfRule type="expression" dxfId="475" priority="36">
      <formula>OR($AN$5="Grant Making",$AN$5="Grant Revision")</formula>
    </cfRule>
  </conditionalFormatting>
  <conditionalFormatting sqref="T124:T174">
    <cfRule type="expression" dxfId="474" priority="8">
      <formula>AND(IFERROR(FIND("Other",K124)&lt;&gt;1,TRUE),$T124&lt;&gt;"")</formula>
    </cfRule>
  </conditionalFormatting>
  <conditionalFormatting sqref="V124:V174">
    <cfRule type="expression" dxfId="473" priority="3">
      <formula>AND(OR($K124&lt;&gt;"",$T124&lt;&gt;""),$V124="")</formula>
    </cfRule>
    <cfRule type="expression" dxfId="472" priority="4">
      <formula>$AB124:$AB175="[Record ID]"</formula>
    </cfRule>
  </conditionalFormatting>
  <dataValidations count="20">
    <dataValidation type="decimal" allowBlank="1" showInputMessage="1" showErrorMessage="1" errorTitle="X-Author for Excel" error="Please enter a valid numeric value. Valid range for Module Number is -1E+18 to 1E+18." promptTitle="X-Author for Excel" sqref="A102:A117" xr:uid="{00000000-0002-0000-0100-000000000000}">
      <formula1>-1000000000000000000</formula1>
      <formula2>1000000000000000000</formula2>
    </dataValidation>
    <dataValidation type="custom" allowBlank="1" showInputMessage="1" showErrorMessage="1" errorTitle="X-Author for Excel" error="Id and Lookup fields are not editable." promptTitle="X-Author for Excel" sqref="AN10 F60:F72 F78:F90 H60:H72 H78:H90 Q47:Q53 U47:U53 X124:X174 AA124:AB174 H102:J117 O31:P40" xr:uid="{00000000-0002-0000-0100-000001000000}">
      <formula1>""</formula1>
    </dataValidation>
    <dataValidation type="custom" allowBlank="1" showInputMessage="1" showErrorMessage="1" errorTitle="Implementation Period Start Date" error="The Implementation Period Start should be the first day of the month" sqref="E7" xr:uid="{00000000-0002-0000-0100-000002000000}">
      <formula1>DAY(E7)=1</formula1>
    </dataValidation>
    <dataValidation type="decimal" allowBlank="1" showInputMessage="1" showErrorMessage="1" errorTitle="X-Author for Excel" error="Please enter a valid numeric value. Valid range for Programmatic Report Period Frequency is -1E+18 to 1E+18." promptTitle="X-Author for Excel" sqref="C9" xr:uid="{00000000-0002-0000-0100-000003000000}">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24:A174" xr:uid="{00000000-0002-0000-0100-000004000000}">
      <formula1>-1000000000000000000</formula1>
      <formula2>1000000000000000000</formula2>
    </dataValidation>
    <dataValidation type="date" allowBlank="1" showInputMessage="1" showErrorMessage="1" sqref="E8" xr:uid="{00000000-0002-0000-0100-000005000000}">
      <formula1>1</formula1>
      <formula2>767376</formula2>
    </dataValidation>
    <dataValidation type="list" allowBlank="1" showInputMessage="1" showErrorMessage="1" sqref="E9" xr:uid="{00000000-0002-0000-0100-000006000000}">
      <formula1>$AS$200:$AS$201</formula1>
    </dataValidation>
    <dataValidation type="decimal" allowBlank="1" showInputMessage="1" showErrorMessage="1" errorTitle="X-Author for Excel" error="Please enter a valid numeric value. Valid range for Account Role Number is -1E+18 to 1E+18." promptTitle="X-Author for Excel" sqref="A31:A40" xr:uid="{00000000-0002-0000-0100-000007000000}">
      <formula1>-1000000000000000000</formula1>
      <formula2>1000000000000000000</formula2>
    </dataValidation>
    <dataValidation type="decimal" allowBlank="1" showInputMessage="1" showErrorMessage="1" errorTitle="X-Author for Excel" error="Please enter a valid numeric value. Valid range for Objective Number is -1E+18 to 1E+18." promptTitle="X-Author for Excel" sqref="A78:A90" xr:uid="{00000000-0002-0000-0100-000008000000}">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60:A72" xr:uid="{00000000-0002-0000-0100-000009000000}">
      <formula1>-1000000000000000000</formula1>
      <formula2>1000000000000000000</formula2>
    </dataValidation>
    <dataValidation type="date" allowBlank="1" showInputMessage="1" showErrorMessage="1" errorTitle="X-Author for Excel" error="Please enter a valid date." promptTitle="X-Author for Excel" sqref="E10:E11 O47:P53" xr:uid="{00000000-0002-0000-0100-00000A000000}">
      <formula1>1</formula1>
      <formula2>767376</formula2>
    </dataValidation>
    <dataValidation type="list" allowBlank="1" showInputMessage="1" showErrorMessage="1" sqref="E31:E40" xr:uid="{00000000-0002-0000-0100-00000B000000}">
      <formula1>FundingRequestPR</formula1>
    </dataValidation>
    <dataValidation type="list" allowBlank="1" showInputMessage="1" showErrorMessage="1" sqref="E102:E117" xr:uid="{00000000-0002-0000-0100-00000C000000}">
      <formula1>Module_List</formula1>
    </dataValidation>
    <dataValidation type="list" allowBlank="1" showInputMessage="1" showErrorMessage="1" sqref="E124:E174" xr:uid="{00000000-0002-0000-0100-00000D000000}">
      <formula1>Modules</formula1>
    </dataValidation>
    <dataValidation type="list" allowBlank="1" showInputMessage="1" showErrorMessage="1" errorTitle="X-Author for Excel" error="Please select either TRUE or FALSE from the dropdown." promptTitle="X-Author for Excel" sqref="G60:G72 G78:G90 G102:G117 L31:L40 Y124:Z174 M47:N53" xr:uid="{00000000-0002-0000-0100-00000E000000}">
      <formula1>"TRUE,FALSE"</formula1>
    </dataValidation>
    <dataValidation type="list" allowBlank="1" showInputMessage="1" showErrorMessage="1" sqref="J124:J174" xr:uid="{00000000-0002-0000-0100-00000F000000}">
      <formula1>IF($T124&lt;&gt;"",#REF!,INDIRECT(CONCATENATE("'Reference Records'!C",M124,":C",N124)))</formula1>
    </dataValidation>
    <dataValidation type="custom" allowBlank="1" showInputMessage="1" showErrorMessage="1" sqref="K31:K41" xr:uid="{00000000-0002-0000-0100-000010000000}">
      <formula1>E31=""</formula1>
    </dataValidation>
    <dataValidation type="list" allowBlank="1" showInputMessage="1" showErrorMessage="1" sqref="V124:V174" xr:uid="{00000000-0002-0000-0100-000011000000}">
      <formula1>IF($T124&lt;&gt;"",#REF!,INDIRECT(CONCATENATE("'Reference Records'!C",M124,":C",N124)))</formula1>
    </dataValidation>
    <dataValidation type="list" allowBlank="1" showInputMessage="1" showErrorMessage="1" sqref="K124:K174" xr:uid="{00000000-0002-0000-0100-000012000000}">
      <formula1>OFFSET(ModuleStart,MATCH(U124,ModuleColumn,0)-1,2,COUNTIF(ModuleColumn,U124),1)</formula1>
    </dataValidation>
    <dataValidation type="custom" showInputMessage="1" showErrorMessage="1" sqref="T124:T174" xr:uid="{00000000-0002-0000-0100-000013000000}">
      <formula1>FIND("Other",K124)=1</formula1>
    </dataValidation>
  </dataValidations>
  <hyperlinks>
    <hyperlink ref="E14" location="_4f36af19_06bf_4c59_990d_586822b3d259" display="=Translations!A25" xr:uid="{00000000-0004-0000-0100-000000000000}"/>
    <hyperlink ref="T14" location="_4ede0df7_bdae_485c_a6aa_cd381b32466f" display="=Translations!A46" xr:uid="{00000000-0004-0000-0100-000001000000}"/>
    <hyperlink ref="E13" location="_8273a11c_a030_45ba_bf8f_2b577e1aa93b" display="=Translations!A45" xr:uid="{00000000-0004-0000-0100-000002000000}"/>
    <hyperlink ref="A183" location="'Overview - Section A'!A13" display="=Translations!A44" xr:uid="{00000000-0004-0000-0100-000003000000}"/>
    <hyperlink ref="K13" location="_6a3dda26_b269_4afa_8b05_c602a881a167" display="=Translations!A47" xr:uid="{00000000-0004-0000-0100-000004000000}"/>
    <hyperlink ref="K14" location="_eabb6097_6646_49fe_9d42_cce1d696601b" display="=Translations!A28" xr:uid="{00000000-0004-0000-0100-000005000000}"/>
    <hyperlink ref="T13" location="_0215c642_4079_4a66_b33f_02948e5b161c" display="=Translations!A22" xr:uid="{00000000-0004-0000-0100-000006000000}"/>
    <hyperlink ref="V13" location="'Instructions-FR'!InstructionA" display="=Translations!A48" xr:uid="{00000000-0004-0000-0100-000007000000}"/>
  </hyperlinks>
  <pageMargins left="0.7" right="0.7" top="0.75" bottom="0.75" header="0.3" footer="0.3"/>
  <pageSetup paperSize="8" scale="66" fitToHeight="0"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4"/>
  <sheetViews>
    <sheetView topLeftCell="A6" zoomScaleSheetLayoutView="100" workbookViewId="0">
      <selection activeCell="C7" sqref="C7"/>
    </sheetView>
  </sheetViews>
  <sheetFormatPr defaultColWidth="8.75" defaultRowHeight="15.75"/>
  <cols>
    <col min="1" max="2" width="16.625" customWidth="1"/>
    <col min="3" max="3" width="36.625" customWidth="1"/>
    <col min="4" max="4" width="17.125" customWidth="1"/>
    <col min="5" max="5" width="26.125" customWidth="1"/>
  </cols>
  <sheetData>
    <row r="1" spans="1:5">
      <c r="A1" s="198" t="s">
        <v>611</v>
      </c>
      <c r="B1" s="198" t="s">
        <v>612</v>
      </c>
      <c r="C1" s="198" t="s">
        <v>613</v>
      </c>
      <c r="D1" s="198" t="s">
        <v>614</v>
      </c>
      <c r="E1" s="198" t="s">
        <v>615</v>
      </c>
    </row>
    <row r="2" spans="1:5" ht="118.5" customHeight="1">
      <c r="A2" s="199">
        <v>6</v>
      </c>
      <c r="B2" s="200">
        <v>43308</v>
      </c>
      <c r="C2" s="201" t="s">
        <v>616</v>
      </c>
      <c r="D2" s="198" t="s">
        <v>617</v>
      </c>
      <c r="E2" s="198" t="s">
        <v>618</v>
      </c>
    </row>
    <row r="3" spans="1:5" ht="30">
      <c r="A3" s="198">
        <v>7</v>
      </c>
      <c r="B3" s="202">
        <v>43328</v>
      </c>
      <c r="C3" s="201" t="s">
        <v>619</v>
      </c>
      <c r="D3" s="198"/>
      <c r="E3" s="198"/>
    </row>
    <row r="4" spans="1:5" ht="240">
      <c r="A4" s="201" t="s">
        <v>620</v>
      </c>
      <c r="B4" s="198" t="s">
        <v>621</v>
      </c>
      <c r="C4" s="201" t="s">
        <v>622</v>
      </c>
      <c r="D4" s="198" t="s">
        <v>623</v>
      </c>
      <c r="E4" s="198" t="s">
        <v>624</v>
      </c>
    </row>
    <row r="5" spans="1:5" ht="45">
      <c r="A5" s="198" t="s">
        <v>625</v>
      </c>
      <c r="B5" s="202">
        <v>44012</v>
      </c>
      <c r="C5" s="201" t="s">
        <v>626</v>
      </c>
      <c r="D5" s="198" t="s">
        <v>627</v>
      </c>
      <c r="E5" s="198" t="s">
        <v>628</v>
      </c>
    </row>
    <row r="6" spans="1:5" ht="150">
      <c r="A6" s="203" t="s">
        <v>629</v>
      </c>
      <c r="B6" s="204">
        <v>44214</v>
      </c>
      <c r="C6" s="205" t="s">
        <v>630</v>
      </c>
      <c r="D6" s="203" t="s">
        <v>631</v>
      </c>
      <c r="E6" s="203" t="s">
        <v>632</v>
      </c>
    </row>
    <row r="7" spans="1:5">
      <c r="A7" s="198"/>
      <c r="B7" s="198"/>
      <c r="C7" s="198"/>
      <c r="D7" s="198"/>
      <c r="E7" s="198"/>
    </row>
    <row r="8" spans="1:5">
      <c r="A8" s="198"/>
      <c r="B8" s="198"/>
      <c r="C8" s="198"/>
      <c r="D8" s="198"/>
      <c r="E8" s="198"/>
    </row>
    <row r="9" spans="1:5">
      <c r="A9" s="198"/>
      <c r="B9" s="198"/>
      <c r="C9" s="198"/>
      <c r="D9" s="198"/>
      <c r="E9" s="198"/>
    </row>
    <row r="10" spans="1:5">
      <c r="A10" s="198"/>
      <c r="B10" s="198"/>
      <c r="C10" s="198"/>
      <c r="D10" s="198"/>
      <c r="E10" s="198"/>
    </row>
    <row r="11" spans="1:5">
      <c r="A11" s="198"/>
      <c r="B11" s="198"/>
      <c r="C11" s="198"/>
      <c r="D11" s="198"/>
      <c r="E11" s="198"/>
    </row>
    <row r="12" spans="1:5">
      <c r="A12" s="198"/>
      <c r="B12" s="198"/>
      <c r="C12" s="198"/>
      <c r="D12" s="198"/>
      <c r="E12" s="198"/>
    </row>
    <row r="13" spans="1:5">
      <c r="A13" s="198"/>
      <c r="B13" s="198"/>
      <c r="C13" s="198"/>
      <c r="D13" s="198"/>
      <c r="E13" s="198"/>
    </row>
    <row r="14" spans="1:5">
      <c r="A14" s="198"/>
      <c r="B14" s="198"/>
      <c r="C14" s="198"/>
      <c r="D14" s="198"/>
      <c r="E14" s="198"/>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733"/>
  <sheetViews>
    <sheetView topLeftCell="A42" zoomScale="80" zoomScaleSheetLayoutView="100" workbookViewId="0">
      <selection activeCell="E74" sqref="E74"/>
    </sheetView>
  </sheetViews>
  <sheetFormatPr defaultColWidth="8.625" defaultRowHeight="12.75"/>
  <cols>
    <col min="1" max="1" width="25.625" style="3" customWidth="1"/>
    <col min="2" max="2" width="30.625" style="3" customWidth="1"/>
    <col min="3" max="3" width="52.125" style="3" customWidth="1"/>
    <col min="4" max="4" width="47.625" style="3" customWidth="1"/>
    <col min="5" max="5" width="19.625" style="3" customWidth="1"/>
    <col min="6" max="6" width="63.625" style="3" customWidth="1"/>
    <col min="7" max="7" width="37.25" style="3" customWidth="1"/>
    <col min="8" max="9" width="26" style="3" customWidth="1"/>
    <col min="10" max="10" width="39.625" style="3" customWidth="1"/>
    <col min="11" max="11" width="30.625" style="3" customWidth="1"/>
    <col min="12" max="12" width="50" style="3" customWidth="1"/>
    <col min="13" max="13" width="15" style="3" customWidth="1"/>
    <col min="14" max="14" width="29.125" style="3" customWidth="1"/>
    <col min="15" max="15" width="24" style="3" customWidth="1"/>
    <col min="16" max="16" width="33.625" style="3" customWidth="1"/>
    <col min="17" max="17" width="21.75" style="3" customWidth="1"/>
    <col min="18" max="19" width="24.125" style="3" customWidth="1"/>
    <col min="20" max="16384" width="8.625" style="3"/>
  </cols>
  <sheetData>
    <row r="1" spans="1:20">
      <c r="A1" s="3" t="s">
        <v>633</v>
      </c>
    </row>
    <row r="2" spans="1:20">
      <c r="B2" s="8" t="s">
        <v>634</v>
      </c>
    </row>
    <row r="3" spans="1:20">
      <c r="B3" s="4" t="s">
        <v>635</v>
      </c>
      <c r="C3" s="4" t="s">
        <v>636</v>
      </c>
      <c r="D3" s="4" t="s">
        <v>637</v>
      </c>
      <c r="E3" s="4" t="s">
        <v>335</v>
      </c>
      <c r="F3" s="4" t="s">
        <v>638</v>
      </c>
      <c r="G3" s="4" t="s">
        <v>341</v>
      </c>
      <c r="H3" s="4" t="s">
        <v>639</v>
      </c>
      <c r="I3" s="4" t="s">
        <v>640</v>
      </c>
      <c r="J3" s="4" t="s">
        <v>641</v>
      </c>
      <c r="K3" s="4" t="s">
        <v>642</v>
      </c>
      <c r="L3" s="4"/>
      <c r="M3" s="4" t="s">
        <v>643</v>
      </c>
      <c r="N3" s="4" t="s">
        <v>644</v>
      </c>
      <c r="O3" s="4" t="s">
        <v>645</v>
      </c>
      <c r="P3" s="4" t="s">
        <v>646</v>
      </c>
      <c r="Q3" s="4" t="s">
        <v>647</v>
      </c>
      <c r="R3" s="4" t="s">
        <v>648</v>
      </c>
      <c r="S3" s="4" t="s">
        <v>649</v>
      </c>
      <c r="T3" s="4" t="s">
        <v>650</v>
      </c>
    </row>
    <row r="4" spans="1:20" hidden="1">
      <c r="B4" s="4" t="s">
        <v>651</v>
      </c>
      <c r="C4" s="4" t="str">
        <f>CHOOSE(Translations!$C$1+1,O4,P4,Q4)</f>
        <v>--Select--</v>
      </c>
      <c r="D4" s="4" t="str">
        <f>CHOOSE(Translations!$C$1+1,R4,S4,T4)</f>
        <v>[Disaggregation Categories ES]</v>
      </c>
      <c r="E4" s="4" t="s">
        <v>337</v>
      </c>
      <c r="F4" s="4" t="str">
        <f t="array" ref="F4">IFERROR(INDEX($C$4:$C$22,MATCH(0,COUNTIF($F$3:F3,$C$4:$C$22&amp;"")+IF($C$4:$C$22="",1,0),0)),"")</f>
        <v>--Select--</v>
      </c>
      <c r="G4" s="4" t="s">
        <v>345</v>
      </c>
      <c r="H4" s="4" t="str">
        <f t="array" ref="H4">IFERROR(INDEX($B$4:$B$22,MATCH(0,COUNTIF($H$3:H3,$B$4:$B$22&amp;"")+IF($B$4:$B$22="",1,0),0)),"")</f>
        <v>[Impact Outcome Reference (Name)]</v>
      </c>
      <c r="I4" s="4" t="str">
        <f t="array" ref="I4">IFERROR(IF(INDEX($C$4:$C$22,MATCH(LEFT(H4,255),LEFT($B$4:$B$22,255),0))=0,"",INDEX($C$4:$C$22,MATCH(LEFT(H4,255),LEFT($B$4:$B$22,255),0))),"")</f>
        <v>--Select--</v>
      </c>
      <c r="J4" s="4" t="str">
        <f>LEFT(C4,255)</f>
        <v>--Select--</v>
      </c>
      <c r="K4" s="6" t="s">
        <v>652</v>
      </c>
      <c r="L4" s="4"/>
      <c r="M4" s="4" t="s">
        <v>653</v>
      </c>
      <c r="N4" s="4" t="s">
        <v>654</v>
      </c>
      <c r="O4" s="407" t="s">
        <v>655</v>
      </c>
      <c r="P4" s="407" t="s">
        <v>655</v>
      </c>
      <c r="Q4" s="407" t="s">
        <v>655</v>
      </c>
      <c r="R4" s="6" t="s">
        <v>656</v>
      </c>
      <c r="S4" s="6" t="s">
        <v>657</v>
      </c>
      <c r="T4" s="6" t="s">
        <v>658</v>
      </c>
    </row>
    <row r="5" spans="1:20">
      <c r="B5" s="4" t="s">
        <v>659</v>
      </c>
      <c r="C5" s="4" t="str">
        <f>CHOOSE(Translations!$C$1+1,O5,P5,Q5)</f>
        <v>HIV I-13 Porcentaje de personas que viven con el VIH</v>
      </c>
      <c r="D5" s="4" t="str">
        <f>CHOOSE(Translations!$C$1+1,R5,S5,T5)</f>
        <v>Género,Edad</v>
      </c>
      <c r="E5" s="4" t="s">
        <v>338</v>
      </c>
      <c r="F5" s="4" t="str">
        <f t="array" ref="F5">IFERROR(INDEX($C$4:$C$22,MATCH(0,COUNTIF($F$3:F4,$C$4:$C$22&amp;"")+IF($C$4:$C$22="",1,0),0)),"")</f>
        <v>HIV I-13 Porcentaje de personas que viven con el VIH</v>
      </c>
      <c r="G5" s="4" t="s">
        <v>660</v>
      </c>
      <c r="H5" s="4" t="str">
        <f t="array" ref="H5">IFERROR(INDEX($B$4:$B$22,MATCH(0,COUNTIF($H$3:H4,$B$4:$B$22&amp;"")+IF($B$4:$B$22="",1,0),0)),"")</f>
        <v>IOR-00079</v>
      </c>
      <c r="I5" s="4" t="str">
        <f t="array" ref="I5">IFERROR(IF(INDEX($C$4:$C$22,MATCH(LEFT(H5,255),LEFT($B$4:$B$22,255),0))=0,"",INDEX($C$4:$C$22,MATCH(LEFT(H5,255),LEFT($B$4:$B$22,255),0))),"")</f>
        <v>HIV I-13 Porcentaje de personas que viven con el VIH</v>
      </c>
      <c r="J5" s="4" t="str">
        <f t="shared" ref="J5:J18" si="0">LEFT(C5,255)</f>
        <v>HIV I-13 Porcentaje de personas que viven con el VIH</v>
      </c>
      <c r="K5" s="6" t="s">
        <v>661</v>
      </c>
      <c r="L5" s="4"/>
      <c r="M5" s="4" t="s">
        <v>662</v>
      </c>
      <c r="N5" s="4" t="s">
        <v>663</v>
      </c>
      <c r="O5" s="407" t="s">
        <v>664</v>
      </c>
      <c r="P5" s="407" t="s">
        <v>665</v>
      </c>
      <c r="Q5" s="407" t="s">
        <v>666</v>
      </c>
      <c r="R5" s="6" t="s">
        <v>667</v>
      </c>
      <c r="S5" s="6" t="s">
        <v>668</v>
      </c>
      <c r="T5" s="6" t="s">
        <v>669</v>
      </c>
    </row>
    <row r="6" spans="1:20">
      <c r="B6" s="4" t="s">
        <v>670</v>
      </c>
      <c r="C6" s="4" t="str">
        <f>CHOOSE(Translations!$C$1+1,O6,P6,Q6)</f>
        <v>HIV I-14 Número de infecciones nuevas de VIH por 1.000 habitantes no infectados</v>
      </c>
      <c r="D6" s="4" t="str">
        <f>CHOOSE(Translations!$C$1+1,R6,S6,T6)</f>
        <v>Género,Edad</v>
      </c>
      <c r="E6" s="4" t="s">
        <v>338</v>
      </c>
      <c r="F6" s="4" t="str">
        <f t="array" ref="F6">IFERROR(INDEX($C$4:$C$22,MATCH(0,COUNTIF($F$3:F5,$C$4:$C$22&amp;"")+IF($C$4:$C$22="",1,0),0)),"")</f>
        <v>HIV I-14 Número de infecciones nuevas de VIH por 1.000 habitantes no infectados</v>
      </c>
      <c r="G6" s="4" t="s">
        <v>671</v>
      </c>
      <c r="H6" s="4" t="str">
        <f t="array" ref="H6">IFERROR(INDEX($B$4:$B$22,MATCH(0,COUNTIF($H$3:H5,$B$4:$B$22&amp;"")+IF($B$4:$B$22="",1,0),0)),"")</f>
        <v>IOR-00080</v>
      </c>
      <c r="I6" s="4" t="str">
        <f t="array" ref="I6">IFERROR(IF(INDEX($C$4:$C$22,MATCH(LEFT(H6,255),LEFT($B$4:$B$22,255),0))=0,"",INDEX($C$4:$C$22,MATCH(LEFT(H6,255),LEFT($B$4:$B$22,255),0))),"")</f>
        <v>HIV I-14 Número de infecciones nuevas de VIH por 1.000 habitantes no infectados</v>
      </c>
      <c r="J6" s="4" t="str">
        <f t="shared" si="0"/>
        <v>HIV I-14 Número de infecciones nuevas de VIH por 1.000 habitantes no infectados</v>
      </c>
      <c r="K6" s="6" t="s">
        <v>672</v>
      </c>
      <c r="L6" s="4"/>
      <c r="M6" s="4" t="s">
        <v>662</v>
      </c>
      <c r="N6" s="4" t="s">
        <v>663</v>
      </c>
      <c r="O6" s="407" t="s">
        <v>673</v>
      </c>
      <c r="P6" s="407" t="s">
        <v>674</v>
      </c>
      <c r="Q6" s="407" t="s">
        <v>675</v>
      </c>
      <c r="R6" s="6" t="s">
        <v>667</v>
      </c>
      <c r="S6" s="6" t="s">
        <v>668</v>
      </c>
      <c r="T6" s="6" t="s">
        <v>669</v>
      </c>
    </row>
    <row r="7" spans="1:20">
      <c r="B7" s="4" t="s">
        <v>676</v>
      </c>
      <c r="C7" s="4" t="str">
        <f>CHOOSE(Translations!$C$1+1,O7,P7,Q7)</f>
        <v>HIV I-4 Número de muertes relacionadas con el sida por cada 100.000 habitantes</v>
      </c>
      <c r="D7" s="4" t="str">
        <f>CHOOSE(Translations!$C$1+1,R7,S7,T7)</f>
        <v>Edad,Género</v>
      </c>
      <c r="E7" s="4" t="s">
        <v>338</v>
      </c>
      <c r="F7" s="4" t="str">
        <f t="array" ref="F7">IFERROR(INDEX($C$4:$C$22,MATCH(0,COUNTIF($F$3:F6,$C$4:$C$22&amp;"")+IF($C$4:$C$22="",1,0),0)),"")</f>
        <v>HIV I-4 Número de muertes relacionadas con el sida por cada 100.000 habitantes</v>
      </c>
      <c r="G7" s="4" t="s">
        <v>677</v>
      </c>
      <c r="H7" s="4" t="str">
        <f t="array" ref="H7">IFERROR(INDEX($B$4:$B$22,MATCH(0,COUNTIF($H$3:H6,$B$4:$B$22&amp;"")+IF($B$4:$B$22="",1,0),0)),"")</f>
        <v>IOR-00081</v>
      </c>
      <c r="I7" s="4" t="str">
        <f t="array" ref="I7">IFERROR(IF(INDEX($C$4:$C$22,MATCH(LEFT(H7,255),LEFT($B$4:$B$22,255),0))=0,"",INDEX($C$4:$C$22,MATCH(LEFT(H7,255),LEFT($B$4:$B$22,255),0))),"")</f>
        <v>HIV I-4 Número de muertes relacionadas con el sida por cada 100.000 habitantes</v>
      </c>
      <c r="J7" s="4" t="str">
        <f t="shared" si="0"/>
        <v>HIV I-4 Número de muertes relacionadas con el sida por cada 100.000 habitantes</v>
      </c>
      <c r="K7" s="6" t="s">
        <v>678</v>
      </c>
      <c r="L7" s="4"/>
      <c r="M7" s="4" t="s">
        <v>662</v>
      </c>
      <c r="N7" s="4" t="s">
        <v>663</v>
      </c>
      <c r="O7" s="407" t="s">
        <v>679</v>
      </c>
      <c r="P7" s="407" t="s">
        <v>680</v>
      </c>
      <c r="Q7" s="407" t="s">
        <v>681</v>
      </c>
      <c r="R7" s="6" t="s">
        <v>682</v>
      </c>
      <c r="S7" s="6" t="s">
        <v>683</v>
      </c>
      <c r="T7" s="6" t="s">
        <v>684</v>
      </c>
    </row>
    <row r="8" spans="1:20">
      <c r="B8" s="4" t="s">
        <v>685</v>
      </c>
      <c r="C8" s="4" t="str">
        <f>CHOOSE(Translations!$C$1+1,O8,P8,Q8)</f>
        <v>HIV I-6 Porcentaje estimado de niños que contraen el VIH mediante transmisión maternoinfantil entre el número de mujeres que viven con el VIH que han dado a luz en los 12 meses anteriores</v>
      </c>
      <c r="D8" s="4">
        <f>CHOOSE(Translations!$C$1+1,R8,S8,T8)</f>
        <v>0</v>
      </c>
      <c r="E8" s="4" t="s">
        <v>338</v>
      </c>
      <c r="F8" s="4" t="str">
        <f t="array" ref="F8">IFERROR(INDEX($C$4:$C$22,MATCH(0,COUNTIF($F$3:F7,$C$4:$C$22&amp;"")+IF($C$4:$C$22="",1,0),0)),"")</f>
        <v>HIV I-6 Porcentaje estimado de niños que contraen el VIH mediante transmisión maternoinfantil entre el número de mujeres que viven con el VIH que han dado a luz en los 12 meses anteriores</v>
      </c>
      <c r="G8" s="4" t="s">
        <v>686</v>
      </c>
      <c r="H8" s="4" t="str">
        <f t="array" ref="H8">IFERROR(INDEX($B$4:$B$22,MATCH(0,COUNTIF($H$3:H7,$B$4:$B$22&amp;"")+IF($B$4:$B$22="",1,0),0)),"")</f>
        <v>IOR-00082</v>
      </c>
      <c r="I8" s="4" t="str">
        <f t="array" ref="I8">IFERROR(IF(INDEX($C$4:$C$22,MATCH(LEFT(H8,255),LEFT($B$4:$B$22,255),0))=0,"",INDEX($C$4:$C$22,MATCH(LEFT(H8,255),LEFT($B$4:$B$22,255),0))),"")</f>
        <v>HIV I-6 Porcentaje estimado de niños que contraen el VIH mediante transmisión maternoinfantil entre el número de mujeres que viven con el VIH que han dado a luz en los 12 meses anteriores</v>
      </c>
      <c r="J8" s="4" t="str">
        <f t="shared" si="0"/>
        <v>HIV I-6 Porcentaje estimado de niños que contraen el VIH mediante transmisión maternoinfantil entre el número de mujeres que viven con el VIH que han dado a luz en los 12 meses anteriores</v>
      </c>
      <c r="K8" s="6" t="s">
        <v>687</v>
      </c>
      <c r="L8" s="4"/>
      <c r="M8" s="4" t="s">
        <v>662</v>
      </c>
      <c r="N8" s="4" t="s">
        <v>663</v>
      </c>
      <c r="O8" s="407" t="s">
        <v>688</v>
      </c>
      <c r="P8" s="407" t="s">
        <v>689</v>
      </c>
      <c r="Q8" s="407" t="s">
        <v>690</v>
      </c>
      <c r="R8" s="6"/>
      <c r="S8" s="6"/>
      <c r="T8" s="6"/>
    </row>
    <row r="9" spans="1:20">
      <c r="B9" s="4" t="s">
        <v>691</v>
      </c>
      <c r="C9" s="4" t="str">
        <f>CHOOSE(Translations!$C$1+1,O9,P9,Q9)</f>
        <v>HIV I-9a⁽ᴹ⁾ Porcentaje de HSH y viven con el VIH</v>
      </c>
      <c r="D9" s="4" t="str">
        <f>CHOOSE(Translations!$C$1+1,R9,S9,T9)</f>
        <v>Edad</v>
      </c>
      <c r="E9" s="4" t="s">
        <v>338</v>
      </c>
      <c r="F9" s="4" t="str">
        <f t="array" ref="F9">IFERROR(INDEX($C$4:$C$22,MATCH(0,COUNTIF($F$3:F8,$C$4:$C$22&amp;"")+IF($C$4:$C$22="",1,0),0)),"")</f>
        <v>HIV I-9a⁽ᴹ⁾ Porcentaje de HSH y viven con el VIH</v>
      </c>
      <c r="G9" s="4" t="s">
        <v>692</v>
      </c>
      <c r="H9" s="4" t="str">
        <f t="array" ref="H9">IFERROR(INDEX($B$4:$B$22,MATCH(0,COUNTIF($H$3:H8,$B$4:$B$22&amp;"")+IF($B$4:$B$22="",1,0),0)),"")</f>
        <v>IOR-00083</v>
      </c>
      <c r="I9" s="4" t="str">
        <f t="array" ref="I9">IFERROR(IF(INDEX($C$4:$C$22,MATCH(LEFT(H9,255),LEFT($B$4:$B$22,255),0))=0,"",INDEX($C$4:$C$22,MATCH(LEFT(H9,255),LEFT($B$4:$B$22,255),0))),"")</f>
        <v>HIV I-9a⁽ᴹ⁾ Porcentaje de HSH y viven con el VIH</v>
      </c>
      <c r="J9" s="4" t="str">
        <f t="shared" si="0"/>
        <v>HIV I-9a⁽ᴹ⁾ Porcentaje de HSH y viven con el VIH</v>
      </c>
      <c r="K9" s="6" t="s">
        <v>693</v>
      </c>
      <c r="L9" s="4"/>
      <c r="M9" s="4" t="s">
        <v>662</v>
      </c>
      <c r="N9" s="4" t="s">
        <v>663</v>
      </c>
      <c r="O9" s="407" t="s">
        <v>694</v>
      </c>
      <c r="P9" s="407" t="s">
        <v>695</v>
      </c>
      <c r="Q9" s="407" t="s">
        <v>696</v>
      </c>
      <c r="R9" s="6" t="s">
        <v>697</v>
      </c>
      <c r="S9" s="6" t="s">
        <v>697</v>
      </c>
      <c r="T9" s="6" t="s">
        <v>698</v>
      </c>
    </row>
    <row r="10" spans="1:20">
      <c r="B10" s="4" t="s">
        <v>699</v>
      </c>
      <c r="C10" s="4" t="str">
        <f>CHOOSE(Translations!$C$1+1,O10,P10,Q10)</f>
        <v>HIV I-9b⁽ᴹ⁾ Porcentaje de personas transgénero que viven con el VIH</v>
      </c>
      <c r="D10" s="4" t="str">
        <f>CHOOSE(Translations!$C$1+1,R10,S10,T10)</f>
        <v>Edad</v>
      </c>
      <c r="E10" s="4" t="s">
        <v>338</v>
      </c>
      <c r="F10" s="4" t="str">
        <f t="array" ref="F10">IFERROR(INDEX($C$4:$C$22,MATCH(0,COUNTIF($F$3:F9,$C$4:$C$22&amp;"")+IF($C$4:$C$22="",1,0),0)),"")</f>
        <v>HIV I-9b⁽ᴹ⁾ Porcentaje de personas transgénero que viven con el VIH</v>
      </c>
      <c r="G10" s="4" t="s">
        <v>700</v>
      </c>
      <c r="H10" s="4" t="str">
        <f t="array" ref="H10">IFERROR(INDEX($B$4:$B$22,MATCH(0,COUNTIF($H$3:H9,$B$4:$B$22&amp;"")+IF($B$4:$B$22="",1,0),0)),"")</f>
        <v>IOR-00084</v>
      </c>
      <c r="I10" s="4" t="str">
        <f t="array" ref="I10">IFERROR(IF(INDEX($C$4:$C$22,MATCH(LEFT(H10,255),LEFT($B$4:$B$22,255),0))=0,"",INDEX($C$4:$C$22,MATCH(LEFT(H10,255),LEFT($B$4:$B$22,255),0))),"")</f>
        <v>HIV I-9b⁽ᴹ⁾ Porcentaje de personas transgénero que viven con el VIH</v>
      </c>
      <c r="J10" s="4" t="str">
        <f t="shared" si="0"/>
        <v>HIV I-9b⁽ᴹ⁾ Porcentaje de personas transgénero que viven con el VIH</v>
      </c>
      <c r="K10" s="6" t="s">
        <v>701</v>
      </c>
      <c r="L10" s="4"/>
      <c r="M10" s="4" t="s">
        <v>662</v>
      </c>
      <c r="N10" s="4" t="s">
        <v>663</v>
      </c>
      <c r="O10" s="407" t="s">
        <v>702</v>
      </c>
      <c r="P10" s="407" t="s">
        <v>703</v>
      </c>
      <c r="Q10" s="407" t="s">
        <v>704</v>
      </c>
      <c r="R10" s="6" t="s">
        <v>697</v>
      </c>
      <c r="S10" s="6" t="s">
        <v>697</v>
      </c>
      <c r="T10" s="6" t="s">
        <v>698</v>
      </c>
    </row>
    <row r="11" spans="1:20">
      <c r="B11" s="4" t="s">
        <v>705</v>
      </c>
      <c r="C11" s="4" t="str">
        <f>CHOOSE(Translations!$C$1+1,O11,P11,Q11)</f>
        <v>HIV I-10⁽ᴹ⁾ Porcentaje de trabajadores sexuales que viven con el VIH</v>
      </c>
      <c r="D11" s="4" t="str">
        <f>CHOOSE(Translations!$C$1+1,R11,S11,T11)</f>
        <v>Género,Edad</v>
      </c>
      <c r="E11" s="4" t="s">
        <v>338</v>
      </c>
      <c r="F11" s="4" t="str">
        <f t="array" ref="F11">IFERROR(INDEX($C$4:$C$22,MATCH(0,COUNTIF($F$3:F10,$C$4:$C$22&amp;"")+IF($C$4:$C$22="",1,0),0)),"")</f>
        <v>HIV I-10⁽ᴹ⁾ Porcentaje de trabajadores sexuales que viven con el VIH</v>
      </c>
      <c r="G11" s="4" t="s">
        <v>706</v>
      </c>
      <c r="H11" s="4" t="str">
        <f t="array" ref="H11">IFERROR(INDEX($B$4:$B$22,MATCH(0,COUNTIF($H$3:H10,$B$4:$B$22&amp;"")+IF($B$4:$B$22="",1,0),0)),"")</f>
        <v>IOR-00085</v>
      </c>
      <c r="I11" s="4" t="str">
        <f t="array" ref="I11">IFERROR(IF(INDEX($C$4:$C$22,MATCH(LEFT(H11,255),LEFT($B$4:$B$22,255),0))=0,"",INDEX($C$4:$C$22,MATCH(LEFT(H11,255),LEFT($B$4:$B$22,255),0))),"")</f>
        <v>HIV I-10⁽ᴹ⁾ Porcentaje de trabajadores sexuales que viven con el VIH</v>
      </c>
      <c r="J11" s="4" t="str">
        <f t="shared" si="0"/>
        <v>HIV I-10⁽ᴹ⁾ Porcentaje de trabajadores sexuales que viven con el VIH</v>
      </c>
      <c r="K11" s="6" t="s">
        <v>707</v>
      </c>
      <c r="L11" s="4"/>
      <c r="M11" s="4" t="s">
        <v>662</v>
      </c>
      <c r="N11" s="4" t="s">
        <v>663</v>
      </c>
      <c r="O11" s="407" t="s">
        <v>708</v>
      </c>
      <c r="P11" s="407" t="s">
        <v>709</v>
      </c>
      <c r="Q11" s="407" t="s">
        <v>710</v>
      </c>
      <c r="R11" s="6" t="s">
        <v>711</v>
      </c>
      <c r="S11" s="6" t="s">
        <v>668</v>
      </c>
      <c r="T11" s="6" t="s">
        <v>669</v>
      </c>
    </row>
    <row r="12" spans="1:20">
      <c r="B12" s="4" t="s">
        <v>712</v>
      </c>
      <c r="C12" s="4" t="str">
        <f>CHOOSE(Translations!$C$1+1,O12,P12,Q12)</f>
        <v>HIV I-11⁽ᴹ⁾ Porcentaje de personas que consumen drogas inyectables y que viven con el VIH</v>
      </c>
      <c r="D12" s="4" t="str">
        <f>CHOOSE(Translations!$C$1+1,R12,S12,T12)</f>
        <v>Género,Edad</v>
      </c>
      <c r="E12" s="4" t="s">
        <v>338</v>
      </c>
      <c r="F12" s="4" t="str">
        <f t="array" ref="F12">IFERROR(INDEX($C$4:$C$22,MATCH(0,COUNTIF($F$3:F11,$C$4:$C$22&amp;"")+IF($C$4:$C$22="",1,0),0)),"")</f>
        <v>HIV I-11⁽ᴹ⁾ Porcentaje de personas que consumen drogas inyectables y que viven con el VIH</v>
      </c>
      <c r="G12" s="4" t="s">
        <v>713</v>
      </c>
      <c r="H12" s="4" t="str">
        <f t="array" ref="H12">IFERROR(INDEX($B$4:$B$22,MATCH(0,COUNTIF($H$3:H11,$B$4:$B$22&amp;"")+IF($B$4:$B$22="",1,0),0)),"")</f>
        <v>IOR-00086</v>
      </c>
      <c r="I12" s="4" t="str">
        <f t="array" ref="I12">IFERROR(IF(INDEX($C$4:$C$22,MATCH(LEFT(H12,255),LEFT($B$4:$B$22,255),0))=0,"",INDEX($C$4:$C$22,MATCH(LEFT(H12,255),LEFT($B$4:$B$22,255),0))),"")</f>
        <v>HIV I-11⁽ᴹ⁾ Porcentaje de personas que consumen drogas inyectables y que viven con el VIH</v>
      </c>
      <c r="J12" s="4" t="str">
        <f t="shared" si="0"/>
        <v>HIV I-11⁽ᴹ⁾ Porcentaje de personas que consumen drogas inyectables y que viven con el VIH</v>
      </c>
      <c r="K12" s="6" t="s">
        <v>714</v>
      </c>
      <c r="L12" s="4"/>
      <c r="M12" s="4" t="s">
        <v>662</v>
      </c>
      <c r="N12" s="4" t="s">
        <v>663</v>
      </c>
      <c r="O12" s="407" t="s">
        <v>715</v>
      </c>
      <c r="P12" s="407" t="s">
        <v>716</v>
      </c>
      <c r="Q12" s="407" t="s">
        <v>717</v>
      </c>
      <c r="R12" s="6" t="s">
        <v>711</v>
      </c>
      <c r="S12" s="6" t="s">
        <v>668</v>
      </c>
      <c r="T12" s="6" t="s">
        <v>669</v>
      </c>
    </row>
    <row r="13" spans="1:20">
      <c r="B13" s="4" t="s">
        <v>718</v>
      </c>
      <c r="C13" s="4" t="str">
        <f>CHOOSE(Translations!$C$1+1,O13,P13,Q13)</f>
        <v>HIV I-12 Porcentaje de otras poblaciones vulnerables (especifíquense) que viven con el VIH</v>
      </c>
      <c r="D13" s="4">
        <f>CHOOSE(Translations!$C$1+1,R13,S13,T13)</f>
        <v>0</v>
      </c>
      <c r="E13" s="4" t="s">
        <v>338</v>
      </c>
      <c r="F13" s="4" t="str">
        <f t="array" ref="F13">IFERROR(INDEX($C$4:$C$22,MATCH(0,COUNTIF($F$3:F12,$C$4:$C$22&amp;"")+IF($C$4:$C$22="",1,0),0)),"")</f>
        <v>HIV I-12 Porcentaje de otras poblaciones vulnerables (especifíquense) que viven con el VIH</v>
      </c>
      <c r="G13" s="4" t="s">
        <v>719</v>
      </c>
      <c r="H13" s="4" t="str">
        <f t="array" ref="H13">IFERROR(INDEX($B$4:$B$22,MATCH(0,COUNTIF($H$3:H12,$B$4:$B$22&amp;"")+IF($B$4:$B$22="",1,0),0)),"")</f>
        <v>IOR-00087</v>
      </c>
      <c r="I13" s="4" t="str">
        <f t="array" ref="I13">IFERROR(IF(INDEX($C$4:$C$22,MATCH(LEFT(H13,255),LEFT($B$4:$B$22,255),0))=0,"",INDEX($C$4:$C$22,MATCH(LEFT(H13,255),LEFT($B$4:$B$22,255),0))),"")</f>
        <v>HIV I-12 Porcentaje de otras poblaciones vulnerables (especifíquense) que viven con el VIH</v>
      </c>
      <c r="J13" s="4" t="str">
        <f t="shared" si="0"/>
        <v>HIV I-12 Porcentaje de otras poblaciones vulnerables (especifíquense) que viven con el VIH</v>
      </c>
      <c r="K13" s="6" t="s">
        <v>720</v>
      </c>
      <c r="L13" s="4"/>
      <c r="M13" s="4" t="s">
        <v>662</v>
      </c>
      <c r="N13" s="4" t="s">
        <v>663</v>
      </c>
      <c r="O13" s="407" t="s">
        <v>721</v>
      </c>
      <c r="P13" s="407" t="s">
        <v>722</v>
      </c>
      <c r="Q13" s="407" t="s">
        <v>723</v>
      </c>
      <c r="R13" s="6"/>
      <c r="S13" s="6"/>
      <c r="T13" s="6"/>
    </row>
    <row r="14" spans="1:20">
      <c r="B14" s="4" t="s">
        <v>724</v>
      </c>
      <c r="C14" s="4" t="str">
        <f>CHOOSE(Translations!$C$1+1,O14,P14,Q14)</f>
        <v>TB I-2 Tasa de incidencia de la tuberculosis por 100.000 habitantes.</v>
      </c>
      <c r="D14" s="4">
        <f>CHOOSE(Translations!$C$1+1,R14,S14,T14)</f>
        <v>0</v>
      </c>
      <c r="E14" s="4" t="s">
        <v>339</v>
      </c>
      <c r="F14" s="4" t="str">
        <f t="array" ref="F14">IFERROR(INDEX($C$4:$C$22,MATCH(0,COUNTIF($F$3:F13,$C$4:$C$22&amp;"")+IF($C$4:$C$22="",1,0),0)),"")</f>
        <v>TB I-2 Tasa de incidencia de la tuberculosis por 100.000 habitantes.</v>
      </c>
      <c r="G14" s="4" t="s">
        <v>725</v>
      </c>
      <c r="H14" s="4" t="str">
        <f t="array" ref="H14">IFERROR(INDEX($B$4:$B$22,MATCH(0,COUNTIF($H$3:H13,$B$4:$B$22&amp;"")+IF($B$4:$B$22="",1,0),0)),"")</f>
        <v>IOR-00088</v>
      </c>
      <c r="I14" s="4" t="str">
        <f t="array" ref="I14">IFERROR(IF(INDEX($C$4:$C$22,MATCH(LEFT(H14,255),LEFT($B$4:$B$22,255),0))=0,"",INDEX($C$4:$C$22,MATCH(LEFT(H14,255),LEFT($B$4:$B$22,255),0))),"")</f>
        <v>TB I-2 Tasa de incidencia de la tuberculosis por 100.000 habitantes.</v>
      </c>
      <c r="J14" s="4" t="str">
        <f t="shared" si="0"/>
        <v>TB I-2 Tasa de incidencia de la tuberculosis por 100.000 habitantes.</v>
      </c>
      <c r="K14" s="6" t="s">
        <v>726</v>
      </c>
      <c r="L14" s="4"/>
      <c r="M14" s="4" t="s">
        <v>662</v>
      </c>
      <c r="N14" s="4" t="s">
        <v>663</v>
      </c>
      <c r="O14" s="407" t="s">
        <v>727</v>
      </c>
      <c r="P14" s="407" t="s">
        <v>728</v>
      </c>
      <c r="Q14" s="407" t="s">
        <v>729</v>
      </c>
      <c r="R14" s="6"/>
      <c r="S14" s="6"/>
      <c r="T14" s="6"/>
    </row>
    <row r="15" spans="1:20">
      <c r="B15" s="4" t="s">
        <v>730</v>
      </c>
      <c r="C15" s="4" t="str">
        <f>CHOOSE(Translations!$C$1+1,O15,P15,Q15)</f>
        <v>TB I-3⁽ᴹ⁾ Tasa de mortalidad de la tuberculosis por 100.000 habitantes</v>
      </c>
      <c r="D15" s="4">
        <f>CHOOSE(Translations!$C$1+1,R15,S15,T15)</f>
        <v>0</v>
      </c>
      <c r="E15" s="4" t="s">
        <v>339</v>
      </c>
      <c r="F15" s="4" t="str">
        <f t="array" ref="F15">IFERROR(INDEX($C$4:$C$22,MATCH(0,COUNTIF($F$3:F14,$C$4:$C$22&amp;"")+IF($C$4:$C$22="",1,0),0)),"")</f>
        <v>TB I-3⁽ᴹ⁾ Tasa de mortalidad de la tuberculosis por 100.000 habitantes</v>
      </c>
      <c r="G15" s="4" t="s">
        <v>731</v>
      </c>
      <c r="H15" s="4" t="str">
        <f t="array" ref="H15">IFERROR(INDEX($B$4:$B$22,MATCH(0,COUNTIF($H$3:H14,$B$4:$B$22&amp;"")+IF($B$4:$B$22="",1,0),0)),"")</f>
        <v>IOR-00089</v>
      </c>
      <c r="I15" s="4" t="str">
        <f t="array" ref="I15">IFERROR(IF(INDEX($C$4:$C$22,MATCH(LEFT(H15,255),LEFT($B$4:$B$22,255),0))=0,"",INDEX($C$4:$C$22,MATCH(LEFT(H15,255),LEFT($B$4:$B$22,255),0))),"")</f>
        <v>TB I-3⁽ᴹ⁾ Tasa de mortalidad de la tuberculosis por 100.000 habitantes</v>
      </c>
      <c r="J15" s="4" t="str">
        <f t="shared" si="0"/>
        <v>TB I-3⁽ᴹ⁾ Tasa de mortalidad de la tuberculosis por 100.000 habitantes</v>
      </c>
      <c r="K15" s="6" t="s">
        <v>732</v>
      </c>
      <c r="L15" s="4"/>
      <c r="M15" s="4" t="s">
        <v>662</v>
      </c>
      <c r="N15" s="4" t="s">
        <v>663</v>
      </c>
      <c r="O15" s="407" t="s">
        <v>733</v>
      </c>
      <c r="P15" s="407" t="s">
        <v>734</v>
      </c>
      <c r="Q15" s="407" t="s">
        <v>735</v>
      </c>
      <c r="R15" s="6"/>
      <c r="S15" s="6"/>
      <c r="T15" s="6"/>
    </row>
    <row r="16" spans="1:20">
      <c r="B16" s="4" t="s">
        <v>736</v>
      </c>
      <c r="C16" s="4" t="str">
        <f>CHOOSE(Translations!$C$1+1,O16,P16,Q16)</f>
        <v>TB I-4⁽ᴹ⁾ Prevalencia de la tuberculosis resistente a la rifampicina y/o la tuberculosis multirresistente en pacientes nuevos de la enfermedad: Proporción de nuevos casos de tuberculosis resistente a la rifampicina y/o tuberculosis multirresistente.</v>
      </c>
      <c r="D16" s="4">
        <f>CHOOSE(Translations!$C$1+1,R16,S16,T16)</f>
        <v>0</v>
      </c>
      <c r="E16" s="4" t="s">
        <v>339</v>
      </c>
      <c r="F16" s="4" t="str">
        <f t="array" ref="F16">IFERROR(INDEX($C$4:$C$22,MATCH(0,COUNTIF($F$3:F15,$C$4:$C$22&amp;"")+IF($C$4:$C$22="",1,0),0)),"")</f>
        <v>TB I-4⁽ᴹ⁾ Prevalencia de la tuberculosis resistente a la rifampicina y/o la tuberculosis multirresistente en pacientes nuevos de la enfermedad: Proporción de nuevos casos de tuberculosis resistente a la rifampicina y/o tuberculosis multirresistente.</v>
      </c>
      <c r="G16" s="4" t="s">
        <v>737</v>
      </c>
      <c r="H16" s="4" t="str">
        <f t="array" ref="H16">IFERROR(INDEX($B$4:$B$22,MATCH(0,COUNTIF($H$3:H15,$B$4:$B$22&amp;"")+IF($B$4:$B$22="",1,0),0)),"")</f>
        <v>IOR-00090</v>
      </c>
      <c r="I16" s="4" t="str">
        <f t="array" ref="I16">IFERROR(IF(INDEX($C$4:$C$22,MATCH(LEFT(H16,255),LEFT($B$4:$B$22,255),0))=0,"",INDEX($C$4:$C$22,MATCH(LEFT(H16,255),LEFT($B$4:$B$22,255),0))),"")</f>
        <v>TB I-4⁽ᴹ⁾ Prevalencia de la tuberculosis resistente a la rifampicina y/o la tuberculosis multirresistente en pacientes nuevos de la enfermedad: Proporción de nuevos casos de tuberculosis resistente a la rifampicina y/o tuberculosis multirresistente.</v>
      </c>
      <c r="J16" s="4" t="str">
        <f t="shared" si="0"/>
        <v>TB I-4⁽ᴹ⁾ Prevalencia de la tuberculosis resistente a la rifampicina y/o la tuberculosis multirresistente en pacientes nuevos de la enfermedad: Proporción de nuevos casos de tuberculosis resistente a la rifampicina y/o tuberculosis multirresistente.</v>
      </c>
      <c r="K16" s="6" t="s">
        <v>738</v>
      </c>
      <c r="L16" s="4"/>
      <c r="M16" s="4" t="s">
        <v>662</v>
      </c>
      <c r="N16" s="4" t="s">
        <v>663</v>
      </c>
      <c r="O16" s="407" t="s">
        <v>739</v>
      </c>
      <c r="P16" s="407" t="s">
        <v>740</v>
      </c>
      <c r="Q16" s="407" t="s">
        <v>741</v>
      </c>
      <c r="R16" s="6"/>
      <c r="S16" s="6"/>
      <c r="T16" s="6"/>
    </row>
    <row r="17" spans="2:21">
      <c r="B17" s="4" t="s">
        <v>742</v>
      </c>
      <c r="C17" s="4" t="str">
        <f>CHOOSE(Translations!$C$1+1,O17,P17,Q17)</f>
        <v>TB/HIV I-1 Tasa de mortalidad de la TB y el VIH por 100.000 habitantes</v>
      </c>
      <c r="D17" s="4">
        <f>CHOOSE(Translations!$C$1+1,R17,S17,T17)</f>
        <v>0</v>
      </c>
      <c r="E17" s="4" t="s">
        <v>338</v>
      </c>
      <c r="F17" s="4" t="str">
        <f t="array" ref="F17">IFERROR(INDEX($C$4:$C$22,MATCH(0,COUNTIF($F$3:F16,$C$4:$C$22&amp;"")+IF($C$4:$C$22="",1,0),0)),"")</f>
        <v>TB/HIV I-1 Tasa de mortalidad de la TB y el VIH por 100.000 habitantes</v>
      </c>
      <c r="G17" s="4" t="s">
        <v>743</v>
      </c>
      <c r="H17" s="4" t="str">
        <f t="array" ref="H17">IFERROR(INDEX($B$4:$B$22,MATCH(0,COUNTIF($H$3:H16,$B$4:$B$22&amp;"")+IF($B$4:$B$22="",1,0),0)),"")</f>
        <v>IOR-00091</v>
      </c>
      <c r="I17" s="4" t="str">
        <f t="array" ref="I17">IFERROR(IF(INDEX($C$4:$C$22,MATCH(LEFT(H17,255),LEFT($B$4:$B$22,255),0))=0,"",INDEX($C$4:$C$22,MATCH(LEFT(H17,255),LEFT($B$4:$B$22,255),0))),"")</f>
        <v>TB/HIV I-1 Tasa de mortalidad de la TB y el VIH por 100.000 habitantes</v>
      </c>
      <c r="J17" s="4" t="str">
        <f t="shared" si="0"/>
        <v>TB/HIV I-1 Tasa de mortalidad de la TB y el VIH por 100.000 habitantes</v>
      </c>
      <c r="K17" s="6" t="s">
        <v>744</v>
      </c>
      <c r="L17" s="4"/>
      <c r="M17" s="4" t="s">
        <v>662</v>
      </c>
      <c r="N17" s="4" t="s">
        <v>663</v>
      </c>
      <c r="O17" s="407" t="s">
        <v>745</v>
      </c>
      <c r="P17" s="407" t="s">
        <v>746</v>
      </c>
      <c r="Q17" s="407" t="s">
        <v>747</v>
      </c>
      <c r="R17" s="6"/>
      <c r="S17" s="6"/>
      <c r="T17" s="6"/>
    </row>
    <row r="18" spans="2:21">
      <c r="B18" s="4" t="s">
        <v>742</v>
      </c>
      <c r="C18" s="4" t="str">
        <f>CHOOSE(Translations!$C$1+1,O18,P18,Q18)</f>
        <v>TB/HIV I-1 Tasa de mortalidad de la TB y el VIH por 100.000 habitantes</v>
      </c>
      <c r="D18" s="4">
        <f>CHOOSE(Translations!$C$1+1,R18,S18,T18)</f>
        <v>0</v>
      </c>
      <c r="E18" s="4" t="s">
        <v>339</v>
      </c>
      <c r="F18" s="4" t="str">
        <f t="array" ref="F18">IFERROR(INDEX($C$4:$C$22,MATCH(0,COUNTIF($F$3:F17,$C$4:$C$22&amp;"")+IF($C$4:$C$22="",1,0),0)),"")</f>
        <v/>
      </c>
      <c r="G18" s="4" t="s">
        <v>743</v>
      </c>
      <c r="H18" s="4" t="str">
        <f t="array" ref="H18">IFERROR(INDEX($B$4:$B$22,MATCH(0,COUNTIF($H$3:H17,$B$4:$B$22&amp;"")+IF($B$4:$B$22="",1,0),0)),"")</f>
        <v/>
      </c>
      <c r="I18" s="4" t="str">
        <f t="array" ref="I18">IFERROR(IF(INDEX($C$4:$C$22,MATCH(LEFT(H18,255),LEFT($B$4:$B$22,255),0))=0,"",INDEX($C$4:$C$22,MATCH(LEFT(H18,255),LEFT($B$4:$B$22,255),0))),"")</f>
        <v/>
      </c>
      <c r="J18" s="4" t="str">
        <f t="shared" si="0"/>
        <v>TB/HIV I-1 Tasa de mortalidad de la TB y el VIH por 100.000 habitantes</v>
      </c>
      <c r="K18" s="6" t="s">
        <v>748</v>
      </c>
      <c r="L18" s="4"/>
      <c r="M18" s="4" t="s">
        <v>662</v>
      </c>
      <c r="N18" s="4" t="s">
        <v>663</v>
      </c>
      <c r="O18" s="407" t="s">
        <v>745</v>
      </c>
      <c r="P18" s="407" t="s">
        <v>746</v>
      </c>
      <c r="Q18" s="407" t="s">
        <v>747</v>
      </c>
      <c r="R18" s="6"/>
      <c r="S18" s="6"/>
      <c r="T18" s="6"/>
    </row>
    <row r="19" spans="2:21">
      <c r="B19" s="4"/>
      <c r="C19" s="6"/>
      <c r="D19" s="6"/>
      <c r="E19" s="4"/>
      <c r="F19" s="4"/>
      <c r="G19" s="4"/>
      <c r="H19" s="4"/>
      <c r="I19" s="4"/>
      <c r="J19" s="4"/>
      <c r="K19" s="6"/>
    </row>
    <row r="20" spans="2:21">
      <c r="B20" s="4"/>
      <c r="C20" s="6"/>
      <c r="D20" s="6"/>
      <c r="E20" s="4"/>
      <c r="F20" s="4"/>
      <c r="G20" s="4"/>
      <c r="H20" s="4"/>
      <c r="I20" s="4"/>
      <c r="J20" s="4"/>
      <c r="K20" s="6"/>
    </row>
    <row r="21" spans="2:21">
      <c r="B21" s="4"/>
      <c r="C21" s="6"/>
      <c r="D21" s="6"/>
      <c r="E21" s="4"/>
      <c r="F21" s="4"/>
      <c r="G21" s="4"/>
      <c r="H21" s="4"/>
      <c r="I21" s="4"/>
      <c r="J21" s="4"/>
      <c r="K21" s="6"/>
    </row>
    <row r="23" spans="2:21">
      <c r="B23" s="8" t="s">
        <v>749</v>
      </c>
    </row>
    <row r="24" spans="2:21">
      <c r="B24" s="4" t="s">
        <v>635</v>
      </c>
      <c r="C24" s="4" t="s">
        <v>750</v>
      </c>
      <c r="D24" s="4" t="s">
        <v>637</v>
      </c>
      <c r="E24" s="4" t="s">
        <v>335</v>
      </c>
      <c r="F24" s="4" t="s">
        <v>638</v>
      </c>
      <c r="G24" s="4" t="s">
        <v>341</v>
      </c>
      <c r="H24" s="4" t="s">
        <v>639</v>
      </c>
      <c r="I24" s="4" t="s">
        <v>640</v>
      </c>
      <c r="J24" s="4"/>
      <c r="K24" s="4" t="s">
        <v>642</v>
      </c>
      <c r="L24" s="4" t="str">
        <f>B24</f>
        <v>Impact Outcome Reference (Name)</v>
      </c>
      <c r="M24" s="4" t="s">
        <v>643</v>
      </c>
      <c r="N24" s="4" t="s">
        <v>644</v>
      </c>
      <c r="O24" s="4"/>
      <c r="P24" s="4" t="s">
        <v>645</v>
      </c>
      <c r="Q24" s="4" t="s">
        <v>646</v>
      </c>
      <c r="R24" s="4" t="s">
        <v>647</v>
      </c>
      <c r="S24" s="4" t="s">
        <v>648</v>
      </c>
      <c r="T24" s="4" t="s">
        <v>649</v>
      </c>
      <c r="U24" s="4" t="s">
        <v>650</v>
      </c>
    </row>
    <row r="25" spans="2:21" hidden="1">
      <c r="B25" s="4" t="s">
        <v>651</v>
      </c>
      <c r="C25" s="4" t="str">
        <f>CHOOSE(Translations!$C$1+1,P25,Q25,R25)</f>
        <v>--Select--</v>
      </c>
      <c r="D25" s="4" t="str">
        <f>CHOOSE(Translations!$C$1+1,S25,T25,U25)</f>
        <v>[Disaggregation Categories ES]</v>
      </c>
      <c r="E25" s="4" t="s">
        <v>337</v>
      </c>
      <c r="F25" s="4" t="str">
        <f t="array" ref="F25">IFERROR(INDEX($C$25:$C$76,MATCH(0,COUNTIF($F$24:F24,$C$25:$C$76&amp;"")+IF($C$25:$C$76="",1,0),0)),"")</f>
        <v>--Select--</v>
      </c>
      <c r="G25" s="4" t="s">
        <v>345</v>
      </c>
      <c r="H25" s="4" t="str">
        <f t="array" ref="H25">IFERROR(INDEX($B$25:$B$76,MATCH(0,COUNTIF($H$24:H24,$B$25:$B$76&amp;"")+IF($B$25:$B$76="",1,0),0)),"")</f>
        <v>[Impact Outcome Reference (Name)]</v>
      </c>
      <c r="I25" s="4" t="str">
        <f t="array" ref="I25">IFERROR(IF(INDEX($C$25:$C$76,MATCH(LEFT(H25,255),LEFT($B$25:$B$76,255),0))=0,"",INDEX($C$25:$C$76,MATCH(LEFT(H25,255),LEFT($B$25:$B$76,255),0))),"")</f>
        <v>--Select--</v>
      </c>
      <c r="J25" s="4" t="str">
        <f>LEFT(C25,255)</f>
        <v>--Select--</v>
      </c>
      <c r="K25" s="6" t="s">
        <v>652</v>
      </c>
      <c r="L25" s="4" t="str">
        <f>B25</f>
        <v>[Impact Outcome Reference (Name)]</v>
      </c>
      <c r="M25" s="4" t="s">
        <v>653</v>
      </c>
      <c r="N25" s="4" t="s">
        <v>654</v>
      </c>
      <c r="O25" s="4"/>
      <c r="P25" s="407" t="s">
        <v>655</v>
      </c>
      <c r="Q25" s="407" t="s">
        <v>655</v>
      </c>
      <c r="R25" s="407" t="s">
        <v>655</v>
      </c>
      <c r="S25" s="6" t="s">
        <v>656</v>
      </c>
      <c r="T25" s="6" t="s">
        <v>657</v>
      </c>
      <c r="U25" s="6" t="s">
        <v>658</v>
      </c>
    </row>
    <row r="26" spans="2:21">
      <c r="B26" s="4" t="s">
        <v>751</v>
      </c>
      <c r="C26" s="4" t="str">
        <f>CHOOSE(Translations!$C$1+1,P26,Q26,R26)</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D26" s="4" t="str">
        <f>CHOOSE(Translations!$C$1+1,S26,T26,U26)</f>
        <v>Género,Edad</v>
      </c>
      <c r="E26" s="4" t="s">
        <v>338</v>
      </c>
      <c r="F26" s="4" t="str">
        <f t="array" ref="F26">IFERROR(INDEX($C$25:$C$76,MATCH(0,COUNTIF($F$24:F25,$C$25:$C$76&amp;"")+IF($C$25:$C$76="",1,0),0)),"")</f>
        <v>HIV O-4a⁽ᴹ⁾ Porcentaje de hombres que afirman haber utilizado preservativo en su última relación de sexo anal con una pareja masculina no regular</v>
      </c>
      <c r="G26" s="4" t="s">
        <v>752</v>
      </c>
      <c r="H26" s="4" t="str">
        <f t="array" ref="H26">IFERROR(INDEX($B$25:$B$76,MATCH(0,COUNTIF($H$24:H25,$B$25:$B$76&amp;"")+IF($B$25:$B$76="",1,0),0)),"")</f>
        <v>IOR-00100</v>
      </c>
      <c r="I26" s="4" t="str">
        <f t="array" ref="I26">IFERROR(IF(INDEX($C$25:$C$76,MATCH(LEFT(H26,255),LEFT($B$25:$B$76,255),0))=0,"",INDEX($C$25:$C$76,MATCH(LEFT(H26,255),LEFT($B$25:$B$76,255),0))),"")</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J26" s="4" t="str">
        <f t="shared" ref="J26:J72" si="1">LEFT(C26,255)</f>
        <v xml:space="preserve">HIV O-10 Porcentaje de encuestados que reportan haber utilizado un preservativo en la última ocasión en que mantuvieron relaciones sexuales con una pareja no conyugal, con la que no conviven, entre las personas que hayan mantenido relaciones sexuales con </v>
      </c>
      <c r="K26" s="6" t="s">
        <v>753</v>
      </c>
      <c r="L26" s="4" t="str">
        <f t="shared" ref="L26:L72" si="2">B26</f>
        <v>IOR-00100</v>
      </c>
      <c r="M26" s="4" t="s">
        <v>754</v>
      </c>
      <c r="N26" s="4" t="s">
        <v>663</v>
      </c>
      <c r="O26" s="4"/>
      <c r="P26" s="407" t="s">
        <v>755</v>
      </c>
      <c r="Q26" s="407" t="s">
        <v>756</v>
      </c>
      <c r="R26" s="407" t="s">
        <v>757</v>
      </c>
      <c r="S26" s="6" t="s">
        <v>711</v>
      </c>
      <c r="T26" s="6" t="s">
        <v>668</v>
      </c>
      <c r="U26" s="6" t="s">
        <v>669</v>
      </c>
    </row>
    <row r="27" spans="2:21">
      <c r="B27" s="4" t="s">
        <v>758</v>
      </c>
      <c r="C27" s="4" t="str">
        <f>CHOOSE(Translations!$C$1+1,P27,Q27,R27)</f>
        <v>HIV O-4a⁽ᴹ⁾ Porcentaje de hombres que afirman haber utilizado preservativo en su última relación de sexo anal con una pareja masculina no regular</v>
      </c>
      <c r="D27" s="4" t="str">
        <f>CHOOSE(Translations!$C$1+1,S27,T27,U27)</f>
        <v>Edad</v>
      </c>
      <c r="E27" s="4" t="s">
        <v>338</v>
      </c>
      <c r="F27" s="4" t="str">
        <f t="array" ref="F27">IFERROR(INDEX($C$25:$C$76,MATCH(0,COUNTIF($F$24:F26,$C$25:$C$76&amp;"")+IF($C$25:$C$76="",1,0),0)),"")</f>
        <v>HIV O-4.1b⁽ᴹ⁾ Porcentaje de personas transgénero que afirman haber utilizado preservativo en su último encuentro sexual o relación de sexo anal con una pareja masculina no regular</v>
      </c>
      <c r="G27" s="4" t="s">
        <v>759</v>
      </c>
      <c r="H27" s="4" t="str">
        <f t="array" ref="H27">IFERROR(INDEX($B$25:$B$76,MATCH(0,COUNTIF($H$24:H26,$B$25:$B$76&amp;"")+IF($B$25:$B$76="",1,0),0)),"")</f>
        <v>IOR-00101</v>
      </c>
      <c r="I27" s="4" t="str">
        <f t="array" ref="I27">IFERROR(IF(INDEX($C$25:$C$76,MATCH(LEFT(H27,255),LEFT($B$25:$B$76,255),0))=0,"",INDEX($C$25:$C$76,MATCH(LEFT(H27,255),LEFT($B$25:$B$76,255),0))),"")</f>
        <v>HIV O-4a⁽ᴹ⁾ Porcentaje de hombres que afirman haber utilizado preservativo en su última relación de sexo anal con una pareja masculina no regular</v>
      </c>
      <c r="J27" s="4" t="str">
        <f t="shared" si="1"/>
        <v>HIV O-4a⁽ᴹ⁾ Porcentaje de hombres que afirman haber utilizado preservativo en su última relación de sexo anal con una pareja masculina no regular</v>
      </c>
      <c r="K27" s="6" t="s">
        <v>760</v>
      </c>
      <c r="L27" s="4" t="str">
        <f t="shared" si="2"/>
        <v>IOR-00101</v>
      </c>
      <c r="M27" s="4" t="s">
        <v>754</v>
      </c>
      <c r="N27" s="4" t="s">
        <v>663</v>
      </c>
      <c r="O27" s="4"/>
      <c r="P27" s="407" t="s">
        <v>761</v>
      </c>
      <c r="Q27" s="407" t="s">
        <v>762</v>
      </c>
      <c r="R27" s="407" t="s">
        <v>763</v>
      </c>
      <c r="S27" s="6" t="s">
        <v>697</v>
      </c>
      <c r="T27" s="6" t="s">
        <v>697</v>
      </c>
      <c r="U27" s="6" t="s">
        <v>698</v>
      </c>
    </row>
    <row r="28" spans="2:21">
      <c r="B28" s="4" t="s">
        <v>764</v>
      </c>
      <c r="C28" s="4" t="str">
        <f>CHOOSE(Translations!$C$1+1,P28,Q28,R28)</f>
        <v>HIV O-4.1b⁽ᴹ⁾ Porcentaje de personas transgénero que afirman haber utilizado preservativo en su último encuentro sexual o relación de sexo anal con una pareja masculina no regular</v>
      </c>
      <c r="D28" s="4" t="str">
        <f>CHOOSE(Translations!$C$1+1,S28,T28,U28)</f>
        <v>Edad</v>
      </c>
      <c r="E28" s="4" t="s">
        <v>338</v>
      </c>
      <c r="F28" s="4" t="str">
        <f t="array" ref="F28">IFERROR(INDEX($C$25:$C$76,MATCH(0,COUNTIF($F$24:F27,$C$25:$C$76&amp;"")+IF($C$25:$C$76="",1,0),0)),"")</f>
        <v>HIV O-5⁽ᴹ⁾ Porcentaje de trabajadores sexuales que afirman haber utilizado preservativo con su último cliente</v>
      </c>
      <c r="G28" s="4" t="s">
        <v>765</v>
      </c>
      <c r="H28" s="4" t="str">
        <f t="array" ref="H28">IFERROR(INDEX($B$25:$B$76,MATCH(0,COUNTIF($H$24:H27,$B$25:$B$76&amp;"")+IF($B$25:$B$76="",1,0),0)),"")</f>
        <v>IOR-00102</v>
      </c>
      <c r="I28" s="4" t="str">
        <f t="array" ref="I28">IFERROR(IF(INDEX($C$25:$C$76,MATCH(LEFT(H28,255),LEFT($B$25:$B$76,255),0))=0,"",INDEX($C$25:$C$76,MATCH(LEFT(H28,255),LEFT($B$25:$B$76,255),0))),"")</f>
        <v>HIV O-4.1b⁽ᴹ⁾ Porcentaje de personas transgénero que afirman haber utilizado preservativo en su último encuentro sexual o relación de sexo anal con una pareja masculina no regular</v>
      </c>
      <c r="J28" s="4" t="str">
        <f t="shared" si="1"/>
        <v>HIV O-4.1b⁽ᴹ⁾ Porcentaje de personas transgénero que afirman haber utilizado preservativo en su último encuentro sexual o relación de sexo anal con una pareja masculina no regular</v>
      </c>
      <c r="K28" s="6" t="s">
        <v>766</v>
      </c>
      <c r="L28" s="4" t="str">
        <f t="shared" si="2"/>
        <v>IOR-00102</v>
      </c>
      <c r="M28" s="4" t="s">
        <v>754</v>
      </c>
      <c r="N28" s="4" t="s">
        <v>663</v>
      </c>
      <c r="O28" s="4"/>
      <c r="P28" s="407" t="s">
        <v>767</v>
      </c>
      <c r="Q28" s="407" t="s">
        <v>768</v>
      </c>
      <c r="R28" s="407" t="s">
        <v>769</v>
      </c>
      <c r="S28" s="6" t="s">
        <v>697</v>
      </c>
      <c r="T28" s="6" t="s">
        <v>697</v>
      </c>
      <c r="U28" s="6" t="s">
        <v>698</v>
      </c>
    </row>
    <row r="29" spans="2:21">
      <c r="B29" s="4" t="s">
        <v>770</v>
      </c>
      <c r="C29" s="4" t="str">
        <f>CHOOSE(Translations!$C$1+1,P29,Q29,R29)</f>
        <v>HIV O-5⁽ᴹ⁾ Porcentaje de trabajadores sexuales que afirman haber utilizado preservativo con su último cliente</v>
      </c>
      <c r="D29" s="4" t="str">
        <f>CHOOSE(Translations!$C$1+1,S29,T29,U29)</f>
        <v>Género,Edad</v>
      </c>
      <c r="E29" s="4" t="s">
        <v>338</v>
      </c>
      <c r="F29" s="4" t="str">
        <f t="array" ref="F29">IFERROR(INDEX($C$25:$C$76,MATCH(0,COUNTIF($F$24:F28,$C$25:$C$76&amp;"")+IF($C$25:$C$76="",1,0),0)),"")</f>
        <v>HIV O-6⁽ᴹ⁾ Porcentaje de consumidores de drogas inyectables que afirman haber utilizado material de inyección esterilizado en su última inyección</v>
      </c>
      <c r="G29" s="4" t="s">
        <v>771</v>
      </c>
      <c r="H29" s="4" t="str">
        <f t="array" ref="H29">IFERROR(INDEX($B$25:$B$76,MATCH(0,COUNTIF($H$24:H28,$B$25:$B$76&amp;"")+IF($B$25:$B$76="",1,0),0)),"")</f>
        <v>IOR-00103</v>
      </c>
      <c r="I29" s="4" t="str">
        <f t="array" ref="I29">IFERROR(IF(INDEX($C$25:$C$76,MATCH(LEFT(H29,255),LEFT($B$25:$B$76,255),0))=0,"",INDEX($C$25:$C$76,MATCH(LEFT(H29,255),LEFT($B$25:$B$76,255),0))),"")</f>
        <v>HIV O-5⁽ᴹ⁾ Porcentaje de trabajadores sexuales que afirman haber utilizado preservativo con su último cliente</v>
      </c>
      <c r="J29" s="4" t="str">
        <f t="shared" si="1"/>
        <v>HIV O-5⁽ᴹ⁾ Porcentaje de trabajadores sexuales que afirman haber utilizado preservativo con su último cliente</v>
      </c>
      <c r="K29" s="6" t="s">
        <v>772</v>
      </c>
      <c r="L29" s="4" t="str">
        <f t="shared" si="2"/>
        <v>IOR-00103</v>
      </c>
      <c r="M29" s="4" t="s">
        <v>754</v>
      </c>
      <c r="N29" s="4" t="s">
        <v>663</v>
      </c>
      <c r="O29" s="4"/>
      <c r="P29" s="407" t="s">
        <v>773</v>
      </c>
      <c r="Q29" s="407" t="s">
        <v>774</v>
      </c>
      <c r="R29" s="407" t="s">
        <v>775</v>
      </c>
      <c r="S29" s="6" t="s">
        <v>711</v>
      </c>
      <c r="T29" s="6" t="s">
        <v>668</v>
      </c>
      <c r="U29" s="6" t="s">
        <v>669</v>
      </c>
    </row>
    <row r="30" spans="2:21">
      <c r="B30" s="4" t="s">
        <v>776</v>
      </c>
      <c r="C30" s="4" t="str">
        <f>CHOOSE(Translations!$C$1+1,P30,Q30,R30)</f>
        <v>HIV O-6⁽ᴹ⁾ Porcentaje de consumidores de drogas inyectables que afirman haber utilizado material de inyección esterilizado en su última inyección</v>
      </c>
      <c r="D30" s="4" t="str">
        <f>CHOOSE(Translations!$C$1+1,S30,T30,U30)</f>
        <v>Género,Edad</v>
      </c>
      <c r="E30" s="4" t="s">
        <v>338</v>
      </c>
      <c r="F30" s="4" t="str">
        <f t="array" ref="F30">IFERROR(INDEX($C$25:$C$76,MATCH(0,COUNTIF($F$24:F29,$C$25:$C$76&amp;"")+IF($C$25:$C$76="",1,0),0)),"")</f>
        <v>HIV O-9 Porcentaje de consumidores de drogas inyectables que afirman haber utilizado preservativo en su última relación sexual</v>
      </c>
      <c r="G30" s="4" t="s">
        <v>777</v>
      </c>
      <c r="H30" s="4" t="str">
        <f t="array" ref="H30">IFERROR(INDEX($B$25:$B$76,MATCH(0,COUNTIF($H$24:H29,$B$25:$B$76&amp;"")+IF($B$25:$B$76="",1,0),0)),"")</f>
        <v>IOR-00104</v>
      </c>
      <c r="I30" s="4" t="str">
        <f t="array" ref="I30">IFERROR(IF(INDEX($C$25:$C$76,MATCH(LEFT(H30,255),LEFT($B$25:$B$76,255),0))=0,"",INDEX($C$25:$C$76,MATCH(LEFT(H30,255),LEFT($B$25:$B$76,255),0))),"")</f>
        <v>HIV O-6⁽ᴹ⁾ Porcentaje de consumidores de drogas inyectables que afirman haber utilizado material de inyección esterilizado en su última inyección</v>
      </c>
      <c r="J30" s="4" t="str">
        <f t="shared" si="1"/>
        <v>HIV O-6⁽ᴹ⁾ Porcentaje de consumidores de drogas inyectables que afirman haber utilizado material de inyección esterilizado en su última inyección</v>
      </c>
      <c r="K30" s="6" t="s">
        <v>778</v>
      </c>
      <c r="L30" s="4" t="str">
        <f t="shared" si="2"/>
        <v>IOR-00104</v>
      </c>
      <c r="M30" s="4" t="s">
        <v>754</v>
      </c>
      <c r="N30" s="4" t="s">
        <v>663</v>
      </c>
      <c r="O30" s="4"/>
      <c r="P30" s="407" t="s">
        <v>779</v>
      </c>
      <c r="Q30" s="407" t="s">
        <v>780</v>
      </c>
      <c r="R30" s="407" t="s">
        <v>781</v>
      </c>
      <c r="S30" s="6" t="s">
        <v>711</v>
      </c>
      <c r="T30" s="6" t="s">
        <v>668</v>
      </c>
      <c r="U30" s="6" t="s">
        <v>669</v>
      </c>
    </row>
    <row r="31" spans="2:21">
      <c r="B31" s="4" t="s">
        <v>782</v>
      </c>
      <c r="C31" s="4" t="str">
        <f>CHOOSE(Translations!$C$1+1,P31,Q31,R31)</f>
        <v>HIV O-9 Porcentaje de consumidores de drogas inyectables que afirman haber utilizado preservativo en su última relación sexual</v>
      </c>
      <c r="D31" s="4" t="str">
        <f>CHOOSE(Translations!$C$1+1,S31,T31,U31)</f>
        <v>Género,Edad</v>
      </c>
      <c r="E31" s="4" t="s">
        <v>338</v>
      </c>
      <c r="F31" s="4" t="str">
        <f t="array" ref="F31">IFERROR(INDEX($C$25:$C$76,MATCH(0,COUNTIF($F$24:F30,$C$25:$C$76&amp;"")+IF($C$25:$C$76="",1,0),0)),"")</f>
        <v>HIV O-7 Porcentaje de otras poblaciones vulnerables que afirman haber utilizado preservativo en su última relación sexual</v>
      </c>
      <c r="G31" s="4" t="s">
        <v>783</v>
      </c>
      <c r="H31" s="4" t="str">
        <f t="array" ref="H31">IFERROR(INDEX($B$25:$B$76,MATCH(0,COUNTIF($H$24:H30,$B$25:$B$76&amp;"")+IF($B$25:$B$76="",1,0),0)),"")</f>
        <v>IOR-00105</v>
      </c>
      <c r="I31" s="4" t="str">
        <f t="array" ref="I31">IFERROR(IF(INDEX($C$25:$C$76,MATCH(LEFT(H31,255),LEFT($B$25:$B$76,255),0))=0,"",INDEX($C$25:$C$76,MATCH(LEFT(H31,255),LEFT($B$25:$B$76,255),0))),"")</f>
        <v>HIV O-9 Porcentaje de consumidores de drogas inyectables que afirman haber utilizado preservativo en su última relación sexual</v>
      </c>
      <c r="J31" s="4" t="str">
        <f t="shared" si="1"/>
        <v>HIV O-9 Porcentaje de consumidores de drogas inyectables que afirman haber utilizado preservativo en su última relación sexual</v>
      </c>
      <c r="K31" s="6" t="s">
        <v>784</v>
      </c>
      <c r="L31" s="4" t="str">
        <f t="shared" si="2"/>
        <v>IOR-00105</v>
      </c>
      <c r="M31" s="4" t="s">
        <v>754</v>
      </c>
      <c r="N31" s="4" t="s">
        <v>663</v>
      </c>
      <c r="O31" s="4"/>
      <c r="P31" s="407" t="s">
        <v>785</v>
      </c>
      <c r="Q31" s="407" t="s">
        <v>786</v>
      </c>
      <c r="R31" s="407" t="s">
        <v>787</v>
      </c>
      <c r="S31" s="6" t="s">
        <v>711</v>
      </c>
      <c r="T31" s="6" t="s">
        <v>668</v>
      </c>
      <c r="U31" s="6" t="s">
        <v>669</v>
      </c>
    </row>
    <row r="32" spans="2:21">
      <c r="B32" s="4" t="s">
        <v>788</v>
      </c>
      <c r="C32" s="4" t="str">
        <f>CHOOSE(Translations!$C$1+1,P32,Q32,R32)</f>
        <v>HIV O-7 Porcentaje de otras poblaciones vulnerables que afirman haber utilizado preservativo en su última relación sexual</v>
      </c>
      <c r="D32" s="4">
        <f>CHOOSE(Translations!$C$1+1,S32,T32,U32)</f>
        <v>0</v>
      </c>
      <c r="E32" s="4" t="s">
        <v>338</v>
      </c>
      <c r="F32" s="4" t="str">
        <f t="array" ref="F32">IFERROR(INDEX($C$25:$C$76,MATCH(0,COUNTIF($F$24:F31,$C$25:$C$76&amp;"")+IF($C$25:$C$76="",1,0),0)),"")</f>
        <v>HIV O-11⁽ᴹ⁾ Porcentaje de personas que viven con el VIH que conocen su Estatus de VIH al final del período de reporte</v>
      </c>
      <c r="G32" s="4" t="s">
        <v>789</v>
      </c>
      <c r="H32" s="4" t="str">
        <f t="array" ref="H32">IFERROR(INDEX($B$25:$B$76,MATCH(0,COUNTIF($H$24:H31,$B$25:$B$76&amp;"")+IF($B$25:$B$76="",1,0),0)),"")</f>
        <v>IOR-00106</v>
      </c>
      <c r="I32" s="4" t="str">
        <f t="array" ref="I32">IFERROR(IF(INDEX($C$25:$C$76,MATCH(LEFT(H32,255),LEFT($B$25:$B$76,255),0))=0,"",INDEX($C$25:$C$76,MATCH(LEFT(H32,255),LEFT($B$25:$B$76,255),0))),"")</f>
        <v>HIV O-7 Porcentaje de otras poblaciones vulnerables que afirman haber utilizado preservativo en su última relación sexual</v>
      </c>
      <c r="J32" s="4" t="str">
        <f t="shared" si="1"/>
        <v>HIV O-7 Porcentaje de otras poblaciones vulnerables que afirman haber utilizado preservativo en su última relación sexual</v>
      </c>
      <c r="K32" s="6" t="s">
        <v>790</v>
      </c>
      <c r="L32" s="4" t="str">
        <f t="shared" si="2"/>
        <v>IOR-00106</v>
      </c>
      <c r="M32" s="4" t="s">
        <v>754</v>
      </c>
      <c r="N32" s="4" t="s">
        <v>663</v>
      </c>
      <c r="O32" s="4"/>
      <c r="P32" s="407" t="s">
        <v>791</v>
      </c>
      <c r="Q32" s="407" t="s">
        <v>792</v>
      </c>
      <c r="R32" s="407" t="s">
        <v>793</v>
      </c>
      <c r="S32" s="6"/>
      <c r="T32" s="6"/>
      <c r="U32" s="6"/>
    </row>
    <row r="33" spans="2:21">
      <c r="B33" s="4" t="s">
        <v>794</v>
      </c>
      <c r="C33" s="4" t="str">
        <f>CHOOSE(Translations!$C$1+1,P33,Q33,R33)</f>
        <v>HIV O-11⁽ᴹ⁾ Porcentaje de personas que viven con el VIH que conocen su Estatus de VIH al final del período de reporte</v>
      </c>
      <c r="D33" s="4" t="str">
        <f>CHOOSE(Translations!$C$1+1,S33,T33,U33)</f>
        <v>Género</v>
      </c>
      <c r="E33" s="4" t="s">
        <v>338</v>
      </c>
      <c r="F33" s="4" t="str">
        <f t="array" ref="F33">IFERROR(INDEX($C$25:$C$76,MATCH(0,COUNTIF($F$24:F32,$C$25:$C$76&amp;"")+IF($C$25:$C$76="",1,0),0)),"")</f>
        <v>HIV O-12 Porcentaje de personas que viven con VIH que reciben tratamiento antirretroviral y tienen carga viral suprimida</v>
      </c>
      <c r="G33" s="4" t="s">
        <v>795</v>
      </c>
      <c r="H33" s="4" t="str">
        <f t="array" ref="H33">IFERROR(INDEX($B$25:$B$76,MATCH(0,COUNTIF($H$24:H32,$B$25:$B$76&amp;"")+IF($B$25:$B$76="",1,0),0)),"")</f>
        <v>IOR-00107</v>
      </c>
      <c r="I33" s="4" t="str">
        <f t="array" ref="I33">IFERROR(IF(INDEX($C$25:$C$76,MATCH(LEFT(H33,255),LEFT($B$25:$B$76,255),0))=0,"",INDEX($C$25:$C$76,MATCH(LEFT(H33,255),LEFT($B$25:$B$76,255),0))),"")</f>
        <v>HIV O-11⁽ᴹ⁾ Porcentaje de personas que viven con el VIH que conocen su Estatus de VIH al final del período de reporte</v>
      </c>
      <c r="J33" s="4" t="str">
        <f t="shared" si="1"/>
        <v>HIV O-11⁽ᴹ⁾ Porcentaje de personas que viven con el VIH que conocen su Estatus de VIH al final del período de reporte</v>
      </c>
      <c r="K33" s="6" t="s">
        <v>796</v>
      </c>
      <c r="L33" s="4" t="str">
        <f t="shared" si="2"/>
        <v>IOR-00107</v>
      </c>
      <c r="M33" s="4" t="s">
        <v>754</v>
      </c>
      <c r="N33" s="4" t="s">
        <v>663</v>
      </c>
      <c r="O33" s="4"/>
      <c r="P33" s="407" t="s">
        <v>797</v>
      </c>
      <c r="Q33" s="407" t="s">
        <v>798</v>
      </c>
      <c r="R33" s="407" t="s">
        <v>799</v>
      </c>
      <c r="S33" s="6" t="s">
        <v>800</v>
      </c>
      <c r="T33" s="6" t="s">
        <v>801</v>
      </c>
      <c r="U33" s="6" t="s">
        <v>802</v>
      </c>
    </row>
    <row r="34" spans="2:21">
      <c r="B34" s="4" t="s">
        <v>803</v>
      </c>
      <c r="C34" s="4" t="str">
        <f>CHOOSE(Translations!$C$1+1,P34,Q34,R34)</f>
        <v>HIV O-12 Porcentaje de personas que viven con VIH que reciben tratamiento antirretroviral y tienen carga viral suprimida</v>
      </c>
      <c r="D34" s="4" t="str">
        <f>CHOOSE(Translations!$C$1+1,S34,T34,U34)</f>
        <v>Género</v>
      </c>
      <c r="E34" s="4" t="s">
        <v>338</v>
      </c>
      <c r="F34" s="4" t="str">
        <f t="array" ref="F34">IFERROR(INDEX($C$25:$C$76,MATCH(0,COUNTIF($F$24:F33,$C$25:$C$76&amp;"")+IF($C$25:$C$76="",1,0),0)),"")</f>
        <v>HIV O-13 Porcentaje de mujeres de 15 a 49 años, no solteras o con pareja, que han sufrido violencia física o sexual de una pareja masculina en los últimos 12 meses</v>
      </c>
      <c r="G34" s="4" t="s">
        <v>804</v>
      </c>
      <c r="H34" s="4" t="str">
        <f t="array" ref="H34">IFERROR(INDEX($B$25:$B$76,MATCH(0,COUNTIF($H$24:H33,$B$25:$B$76&amp;"")+IF($B$25:$B$76="",1,0),0)),"")</f>
        <v>IOR-00108</v>
      </c>
      <c r="I34" s="4" t="str">
        <f t="array" ref="I34">IFERROR(IF(INDEX($C$25:$C$76,MATCH(LEFT(H34,255),LEFT($B$25:$B$76,255),0))=0,"",INDEX($C$25:$C$76,MATCH(LEFT(H34,255),LEFT($B$25:$B$76,255),0))),"")</f>
        <v>HIV O-12 Porcentaje de personas que viven con VIH que reciben tratamiento antirretroviral y tienen carga viral suprimida</v>
      </c>
      <c r="J34" s="4" t="str">
        <f t="shared" si="1"/>
        <v>HIV O-12 Porcentaje de personas que viven con VIH que reciben tratamiento antirretroviral y tienen carga viral suprimida</v>
      </c>
      <c r="K34" s="6" t="s">
        <v>805</v>
      </c>
      <c r="L34" s="4" t="str">
        <f t="shared" si="2"/>
        <v>IOR-00108</v>
      </c>
      <c r="M34" s="4" t="s">
        <v>754</v>
      </c>
      <c r="N34" s="4" t="s">
        <v>663</v>
      </c>
      <c r="O34" s="4"/>
      <c r="P34" s="407" t="s">
        <v>806</v>
      </c>
      <c r="Q34" s="407" t="s">
        <v>807</v>
      </c>
      <c r="R34" s="407" t="s">
        <v>808</v>
      </c>
      <c r="S34" s="6" t="s">
        <v>800</v>
      </c>
      <c r="T34" s="6" t="s">
        <v>801</v>
      </c>
      <c r="U34" s="6" t="s">
        <v>802</v>
      </c>
    </row>
    <row r="35" spans="2:21">
      <c r="B35" s="4" t="s">
        <v>809</v>
      </c>
      <c r="C35" s="4" t="str">
        <f>CHOOSE(Translations!$C$1+1,P35,Q35,R35)</f>
        <v>HIV O-13 Porcentaje de mujeres de 15 a 49 años, no solteras o con pareja, que han sufrido violencia física o sexual de una pareja masculina en los últimos 12 meses</v>
      </c>
      <c r="D35" s="4" t="str">
        <f>CHOOSE(Translations!$C$1+1,S35,T35,U35)</f>
        <v>Edad</v>
      </c>
      <c r="E35" s="4" t="s">
        <v>338</v>
      </c>
      <c r="F35" s="4" t="str">
        <f t="array" ref="F35">IFERROR(INDEX($C$25:$C$76,MATCH(0,COUNTIF($F$24:F34,$C$25:$C$76&amp;"")+IF($C$25:$C$76="",1,0),0)),"")</f>
        <v>HIV O-14 Porcentaje de mujeres y hombres de 15 a 49 años que informan de actitudes discriminatorias hacia las personas que viven con el VIH</v>
      </c>
      <c r="G35" s="4" t="s">
        <v>810</v>
      </c>
      <c r="H35" s="4" t="str">
        <f t="array" ref="H35">IFERROR(INDEX($B$25:$B$76,MATCH(0,COUNTIF($H$24:H34,$B$25:$B$76&amp;"")+IF($B$25:$B$76="",1,0),0)),"")</f>
        <v>IOR-00109</v>
      </c>
      <c r="I35" s="4" t="str">
        <f t="array" ref="I35">IFERROR(IF(INDEX($C$25:$C$76,MATCH(LEFT(H35,255),LEFT($B$25:$B$76,255),0))=0,"",INDEX($C$25:$C$76,MATCH(LEFT(H35,255),LEFT($B$25:$B$76,255),0))),"")</f>
        <v>HIV O-13 Porcentaje de mujeres de 15 a 49 años, no solteras o con pareja, que han sufrido violencia física o sexual de una pareja masculina en los últimos 12 meses</v>
      </c>
      <c r="J35" s="4" t="str">
        <f t="shared" si="1"/>
        <v>HIV O-13 Porcentaje de mujeres de 15 a 49 años, no solteras o con pareja, que han sufrido violencia física o sexual de una pareja masculina en los últimos 12 meses</v>
      </c>
      <c r="K35" s="6" t="s">
        <v>811</v>
      </c>
      <c r="L35" s="4" t="str">
        <f t="shared" si="2"/>
        <v>IOR-00109</v>
      </c>
      <c r="M35" s="4" t="s">
        <v>754</v>
      </c>
      <c r="N35" s="4" t="s">
        <v>663</v>
      </c>
      <c r="O35" s="4"/>
      <c r="P35" s="407" t="s">
        <v>812</v>
      </c>
      <c r="Q35" s="407" t="s">
        <v>813</v>
      </c>
      <c r="R35" s="407" t="s">
        <v>814</v>
      </c>
      <c r="S35" s="6" t="s">
        <v>697</v>
      </c>
      <c r="T35" s="6" t="s">
        <v>697</v>
      </c>
      <c r="U35" s="6" t="s">
        <v>698</v>
      </c>
    </row>
    <row r="36" spans="2:21">
      <c r="B36" s="4" t="s">
        <v>815</v>
      </c>
      <c r="C36" s="4" t="str">
        <f>CHOOSE(Translations!$C$1+1,P36,Q36,R36)</f>
        <v>HIV O-14 Porcentaje de mujeres y hombres de 15 a 49 años que informan de actitudes discriminatorias hacia las personas que viven con el VIH</v>
      </c>
      <c r="D36" s="4">
        <f>CHOOSE(Translations!$C$1+1,S36,T36,U36)</f>
        <v>0</v>
      </c>
      <c r="E36" s="4" t="s">
        <v>338</v>
      </c>
      <c r="F36" s="4" t="str">
        <f t="array" ref="F36">IFERROR(INDEX($C$25:$C$76,MATCH(0,COUNTIF($F$24:F35,$C$25:$C$76&amp;"")+IF($C$25:$C$76="",1,0),0)),"")</f>
        <v>HIV O-15 Porcentaje de personas que viven con el VIH que afirman haber experimentado discriminación relacionada con el VIH en el ámbito de servicios de salud</v>
      </c>
      <c r="G36" s="4" t="s">
        <v>816</v>
      </c>
      <c r="H36" s="4" t="str">
        <f t="array" ref="H36">IFERROR(INDEX($B$25:$B$76,MATCH(0,COUNTIF($H$24:H35,$B$25:$B$76&amp;"")+IF($B$25:$B$76="",1,0),0)),"")</f>
        <v>IOR-00110</v>
      </c>
      <c r="I36" s="4" t="str">
        <f t="array" ref="I36">IFERROR(IF(INDEX($C$25:$C$76,MATCH(LEFT(H36,255),LEFT($B$25:$B$76,255),0))=0,"",INDEX($C$25:$C$76,MATCH(LEFT(H36,255),LEFT($B$25:$B$76,255),0))),"")</f>
        <v>HIV O-14 Porcentaje de mujeres y hombres de 15 a 49 años que informan de actitudes discriminatorias hacia las personas que viven con el VIH</v>
      </c>
      <c r="J36" s="4" t="str">
        <f t="shared" si="1"/>
        <v>HIV O-14 Porcentaje de mujeres y hombres de 15 a 49 años que informan de actitudes discriminatorias hacia las personas que viven con el VIH</v>
      </c>
      <c r="K36" s="6" t="s">
        <v>817</v>
      </c>
      <c r="L36" s="4" t="str">
        <f t="shared" si="2"/>
        <v>IOR-00110</v>
      </c>
      <c r="M36" s="4" t="s">
        <v>754</v>
      </c>
      <c r="N36" s="4" t="s">
        <v>663</v>
      </c>
      <c r="O36" s="4"/>
      <c r="P36" s="407" t="s">
        <v>818</v>
      </c>
      <c r="Q36" s="407" t="s">
        <v>819</v>
      </c>
      <c r="R36" s="407" t="s">
        <v>820</v>
      </c>
      <c r="S36" s="6"/>
      <c r="T36" s="6"/>
      <c r="U36" s="6"/>
    </row>
    <row r="37" spans="2:21">
      <c r="B37" s="4" t="s">
        <v>821</v>
      </c>
      <c r="C37" s="4" t="str">
        <f>CHOOSE(Translations!$C$1+1,P37,Q37,R37)</f>
        <v>HIV O-15 Porcentaje de personas que viven con el VIH que afirman haber experimentado discriminación relacionada con el VIH en el ámbito de servicios de salud</v>
      </c>
      <c r="D37" s="4">
        <f>CHOOSE(Translations!$C$1+1,S37,T37,U37)</f>
        <v>0</v>
      </c>
      <c r="E37" s="4" t="s">
        <v>338</v>
      </c>
      <c r="F37" s="4" t="str">
        <f t="array" ref="F37">IFERROR(INDEX($C$25:$C$76,MATCH(0,COUNTIF($F$24:F36,$C$25:$C$76&amp;"")+IF($C$25:$C$76="",1,0),0)),"")</f>
        <v>HIV O-16a Porcentaje de HSH que evitan la atención sanitaria debido al estigma y la discriminación</v>
      </c>
      <c r="G37" s="4" t="s">
        <v>822</v>
      </c>
      <c r="H37" s="4" t="str">
        <f t="array" ref="H37">IFERROR(INDEX($B$25:$B$76,MATCH(0,COUNTIF($H$24:H36,$B$25:$B$76&amp;"")+IF($B$25:$B$76="",1,0),0)),"")</f>
        <v>IOR-00111</v>
      </c>
      <c r="I37" s="4" t="str">
        <f t="array" ref="I37">IFERROR(IF(INDEX($C$25:$C$76,MATCH(LEFT(H37,255),LEFT($B$25:$B$76,255),0))=0,"",INDEX($C$25:$C$76,MATCH(LEFT(H37,255),LEFT($B$25:$B$76,255),0))),"")</f>
        <v>HIV O-15 Porcentaje de personas que viven con el VIH que afirman haber experimentado discriminación relacionada con el VIH en el ámbito de servicios de salud</v>
      </c>
      <c r="J37" s="4" t="str">
        <f t="shared" si="1"/>
        <v>HIV O-15 Porcentaje de personas que viven con el VIH que afirman haber experimentado discriminación relacionada con el VIH en el ámbito de servicios de salud</v>
      </c>
      <c r="K37" s="6" t="s">
        <v>823</v>
      </c>
      <c r="L37" s="4" t="str">
        <f t="shared" si="2"/>
        <v>IOR-00111</v>
      </c>
      <c r="M37" s="4" t="s">
        <v>754</v>
      </c>
      <c r="N37" s="4" t="s">
        <v>663</v>
      </c>
      <c r="O37" s="4"/>
      <c r="P37" s="407" t="s">
        <v>824</v>
      </c>
      <c r="Q37" s="407" t="s">
        <v>825</v>
      </c>
      <c r="R37" s="407" t="s">
        <v>826</v>
      </c>
      <c r="S37" s="6"/>
      <c r="T37" s="6"/>
      <c r="U37" s="6"/>
    </row>
    <row r="38" spans="2:21">
      <c r="B38" s="4" t="s">
        <v>827</v>
      </c>
      <c r="C38" s="4" t="str">
        <f>CHOOSE(Translations!$C$1+1,P38,Q38,R38)</f>
        <v>HIV O-16a Porcentaje de HSH que evitan la atención sanitaria debido al estigma y la discriminación</v>
      </c>
      <c r="D38" s="4" t="str">
        <f>CHOOSE(Translations!$C$1+1,S38,T38,U38)</f>
        <v>Edad</v>
      </c>
      <c r="E38" s="4" t="s">
        <v>338</v>
      </c>
      <c r="F38" s="4" t="str">
        <f t="array" ref="F38">IFERROR(INDEX($C$25:$C$76,MATCH(0,COUNTIF($F$24:F37,$C$25:$C$76&amp;"")+IF($C$25:$C$76="",1,0),0)),"")</f>
        <v>HIV O-16b Porcentaje de grupos objetivo que evitan la atención sanitaria debido al estigma y la discriminación</v>
      </c>
      <c r="G38" s="4" t="s">
        <v>828</v>
      </c>
      <c r="H38" s="4" t="str">
        <f t="array" ref="H38">IFERROR(INDEX($B$25:$B$76,MATCH(0,COUNTIF($H$24:H37,$B$25:$B$76&amp;"")+IF($B$25:$B$76="",1,0),0)),"")</f>
        <v>IOR-00112</v>
      </c>
      <c r="I38" s="4" t="str">
        <f t="array" ref="I38">IFERROR(IF(INDEX($C$25:$C$76,MATCH(LEFT(H38,255),LEFT($B$25:$B$76,255),0))=0,"",INDEX($C$25:$C$76,MATCH(LEFT(H38,255),LEFT($B$25:$B$76,255),0))),"")</f>
        <v>HIV O-16a Porcentaje de HSH que evitan la atención sanitaria debido al estigma y la discriminación</v>
      </c>
      <c r="J38" s="4" t="str">
        <f t="shared" si="1"/>
        <v>HIV O-16a Porcentaje de HSH que evitan la atención sanitaria debido al estigma y la discriminación</v>
      </c>
      <c r="K38" s="6" t="s">
        <v>829</v>
      </c>
      <c r="L38" s="4" t="str">
        <f t="shared" si="2"/>
        <v>IOR-00112</v>
      </c>
      <c r="M38" s="4" t="s">
        <v>754</v>
      </c>
      <c r="N38" s="4" t="s">
        <v>663</v>
      </c>
      <c r="O38" s="4"/>
      <c r="P38" s="407" t="s">
        <v>830</v>
      </c>
      <c r="Q38" s="407" t="s">
        <v>831</v>
      </c>
      <c r="R38" s="407" t="s">
        <v>832</v>
      </c>
      <c r="S38" s="6" t="s">
        <v>697</v>
      </c>
      <c r="T38" s="6" t="s">
        <v>697</v>
      </c>
      <c r="U38" s="6" t="s">
        <v>698</v>
      </c>
    </row>
    <row r="39" spans="2:21">
      <c r="B39" s="4" t="s">
        <v>833</v>
      </c>
      <c r="C39" s="4" t="str">
        <f>CHOOSE(Translations!$C$1+1,P39,Q39,R39)</f>
        <v>HIV O-16b Porcentaje de grupos objetivo que evitan la atención sanitaria debido al estigma y la discriminación</v>
      </c>
      <c r="D39" s="4" t="str">
        <f>CHOOSE(Translations!$C$1+1,S39,T39,U39)</f>
        <v>Edad</v>
      </c>
      <c r="E39" s="4" t="s">
        <v>338</v>
      </c>
      <c r="F39" s="4" t="str">
        <f t="array" ref="F39">IFERROR(INDEX($C$25:$C$76,MATCH(0,COUNTIF($F$24:F38,$C$25:$C$76&amp;"")+IF($C$25:$C$76="",1,0),0)),"")</f>
        <v>HIV O-16c Porcentaje de trabajadores sexuales que evitan la atención sanitaria debido al estigma y la discriminación</v>
      </c>
      <c r="G39" s="4" t="s">
        <v>834</v>
      </c>
      <c r="H39" s="4" t="str">
        <f t="array" ref="H39">IFERROR(INDEX($B$25:$B$76,MATCH(0,COUNTIF($H$24:H38,$B$25:$B$76&amp;"")+IF($B$25:$B$76="",1,0),0)),"")</f>
        <v>IOR-00113</v>
      </c>
      <c r="I39" s="4" t="str">
        <f t="array" ref="I39">IFERROR(IF(INDEX($C$25:$C$76,MATCH(LEFT(H39,255),LEFT($B$25:$B$76,255),0))=0,"",INDEX($C$25:$C$76,MATCH(LEFT(H39,255),LEFT($B$25:$B$76,255),0))),"")</f>
        <v>HIV O-16b Porcentaje de grupos objetivo que evitan la atención sanitaria debido al estigma y la discriminación</v>
      </c>
      <c r="J39" s="4" t="str">
        <f t="shared" si="1"/>
        <v>HIV O-16b Porcentaje de grupos objetivo que evitan la atención sanitaria debido al estigma y la discriminación</v>
      </c>
      <c r="K39" s="6" t="s">
        <v>835</v>
      </c>
      <c r="L39" s="4" t="str">
        <f t="shared" si="2"/>
        <v>IOR-00113</v>
      </c>
      <c r="M39" s="4" t="s">
        <v>754</v>
      </c>
      <c r="N39" s="4" t="s">
        <v>663</v>
      </c>
      <c r="O39" s="4"/>
      <c r="P39" s="407" t="s">
        <v>836</v>
      </c>
      <c r="Q39" s="407" t="s">
        <v>837</v>
      </c>
      <c r="R39" s="407" t="s">
        <v>838</v>
      </c>
      <c r="S39" s="6" t="s">
        <v>697</v>
      </c>
      <c r="T39" s="6" t="s">
        <v>697</v>
      </c>
      <c r="U39" s="6" t="s">
        <v>698</v>
      </c>
    </row>
    <row r="40" spans="2:21">
      <c r="B40" s="4" t="s">
        <v>839</v>
      </c>
      <c r="C40" s="4" t="str">
        <f>CHOOSE(Translations!$C$1+1,P40,Q40,R40)</f>
        <v>HIV O-16c Porcentaje de trabajadores sexuales que evitan la atención sanitaria debido al estigma y la discriminación</v>
      </c>
      <c r="D40" s="4" t="str">
        <f>CHOOSE(Translations!$C$1+1,S40,T40,U40)</f>
        <v>Género,Edad</v>
      </c>
      <c r="E40" s="4" t="s">
        <v>338</v>
      </c>
      <c r="F40" s="4" t="str">
        <f t="array" ref="F40">IFERROR(INDEX($C$25:$C$76,MATCH(0,COUNTIF($F$24:F39,$C$25:$C$76&amp;"")+IF($C$25:$C$76="",1,0),0)),"")</f>
        <v>HIV O-16d Porcentaje de personas que consumen drogas inyectables que evitan la atención sanitaria debido al estigma y la discriminación</v>
      </c>
      <c r="G40" s="4" t="s">
        <v>840</v>
      </c>
      <c r="H40" s="4" t="str">
        <f t="array" ref="H40">IFERROR(INDEX($B$25:$B$76,MATCH(0,COUNTIF($H$24:H39,$B$25:$B$76&amp;"")+IF($B$25:$B$76="",1,0),0)),"")</f>
        <v>IOR-00114</v>
      </c>
      <c r="I40" s="4" t="str">
        <f t="array" ref="I40">IFERROR(IF(INDEX($C$25:$C$76,MATCH(LEFT(H40,255),LEFT($B$25:$B$76,255),0))=0,"",INDEX($C$25:$C$76,MATCH(LEFT(H40,255),LEFT($B$25:$B$76,255),0))),"")</f>
        <v>HIV O-16c Porcentaje de trabajadores sexuales que evitan la atención sanitaria debido al estigma y la discriminación</v>
      </c>
      <c r="J40" s="4" t="str">
        <f t="shared" si="1"/>
        <v>HIV O-16c Porcentaje de trabajadores sexuales que evitan la atención sanitaria debido al estigma y la discriminación</v>
      </c>
      <c r="K40" s="6" t="s">
        <v>841</v>
      </c>
      <c r="L40" s="4" t="str">
        <f t="shared" si="2"/>
        <v>IOR-00114</v>
      </c>
      <c r="M40" s="4" t="s">
        <v>754</v>
      </c>
      <c r="N40" s="4" t="s">
        <v>663</v>
      </c>
      <c r="O40" s="4"/>
      <c r="P40" s="407" t="s">
        <v>842</v>
      </c>
      <c r="Q40" s="407" t="s">
        <v>843</v>
      </c>
      <c r="R40" s="407" t="s">
        <v>844</v>
      </c>
      <c r="S40" s="6" t="s">
        <v>711</v>
      </c>
      <c r="T40" s="6" t="s">
        <v>668</v>
      </c>
      <c r="U40" s="6" t="s">
        <v>669</v>
      </c>
    </row>
    <row r="41" spans="2:21">
      <c r="B41" s="4" t="s">
        <v>845</v>
      </c>
      <c r="C41" s="4" t="str">
        <f>CHOOSE(Translations!$C$1+1,P41,Q41,R41)</f>
        <v>HIV O-16d Porcentaje de personas que consumen drogas inyectables que evitan la atención sanitaria debido al estigma y la discriminación</v>
      </c>
      <c r="D41" s="4" t="str">
        <f>CHOOSE(Translations!$C$1+1,S41,T41,U41)</f>
        <v>Género,Edad</v>
      </c>
      <c r="E41" s="4" t="s">
        <v>338</v>
      </c>
      <c r="F41" s="4" t="str">
        <f t="array" ref="F41">IFERROR(INDEX($C$25:$C$76,MATCH(0,COUNTIF($F$24:F40,$C$25:$C$76&amp;"")+IF($C$25:$C$76="",1,0),0)),"")</f>
        <v>HIV O-17 Porcentaje de personas que viven con el VIH que, habiendo notificado la violación de sus derechos, buscaron compensación jurídica</v>
      </c>
      <c r="G41" s="4" t="s">
        <v>846</v>
      </c>
      <c r="H41" s="4" t="str">
        <f t="array" ref="H41">IFERROR(INDEX($B$25:$B$76,MATCH(0,COUNTIF($H$24:H40,$B$25:$B$76&amp;"")+IF($B$25:$B$76="",1,0),0)),"")</f>
        <v>IOR-00115</v>
      </c>
      <c r="I41" s="4" t="str">
        <f t="array" ref="I41">IFERROR(IF(INDEX($C$25:$C$76,MATCH(LEFT(H41,255),LEFT($B$25:$B$76,255),0))=0,"",INDEX($C$25:$C$76,MATCH(LEFT(H41,255),LEFT($B$25:$B$76,255),0))),"")</f>
        <v>HIV O-16d Porcentaje de personas que consumen drogas inyectables que evitan la atención sanitaria debido al estigma y la discriminación</v>
      </c>
      <c r="J41" s="4" t="str">
        <f t="shared" si="1"/>
        <v>HIV O-16d Porcentaje de personas que consumen drogas inyectables que evitan la atención sanitaria debido al estigma y la discriminación</v>
      </c>
      <c r="K41" s="6" t="s">
        <v>847</v>
      </c>
      <c r="L41" s="4" t="str">
        <f t="shared" si="2"/>
        <v>IOR-00115</v>
      </c>
      <c r="M41" s="4" t="s">
        <v>754</v>
      </c>
      <c r="N41" s="4" t="s">
        <v>663</v>
      </c>
      <c r="O41" s="4"/>
      <c r="P41" s="407" t="s">
        <v>848</v>
      </c>
      <c r="Q41" s="407" t="s">
        <v>849</v>
      </c>
      <c r="R41" s="407" t="s">
        <v>850</v>
      </c>
      <c r="S41" s="6" t="s">
        <v>711</v>
      </c>
      <c r="T41" s="6" t="s">
        <v>668</v>
      </c>
      <c r="U41" s="6" t="s">
        <v>669</v>
      </c>
    </row>
    <row r="42" spans="2:21">
      <c r="B42" s="4" t="s">
        <v>851</v>
      </c>
      <c r="C42" s="4" t="str">
        <f>CHOOSE(Translations!$C$1+1,P42,Q42,R42)</f>
        <v>HIV O-17 Porcentaje de personas que viven con el VIH que, habiendo notificado la violación de sus derechos, buscaron compensación jurídica</v>
      </c>
      <c r="D42" s="4" t="str">
        <f>CHOOSE(Translations!$C$1+1,S42,T42,U42)</f>
        <v>Grupo de riesgo objetivo,Género,Edad</v>
      </c>
      <c r="E42" s="4" t="s">
        <v>338</v>
      </c>
      <c r="F42" s="4" t="str">
        <f t="array" ref="F42">IFERROR(INDEX($C$25:$C$76,MATCH(0,COUNTIF($F$24:F41,$C$25:$C$76&amp;"")+IF($C$25:$C$76="",1,0),0)),"")</f>
        <v>HIV O-18 Porcentajes de mujeres de 15 a 24 años de edad que han tenido dos o más parejas en los últimos 12 meses</v>
      </c>
      <c r="G42" s="4" t="s">
        <v>852</v>
      </c>
      <c r="H42" s="4" t="str">
        <f t="array" ref="H42">IFERROR(INDEX($B$25:$B$76,MATCH(0,COUNTIF($H$24:H41,$B$25:$B$76&amp;"")+IF($B$25:$B$76="",1,0),0)),"")</f>
        <v>IOR-00116</v>
      </c>
      <c r="I42" s="4" t="str">
        <f t="array" ref="I42">IFERROR(IF(INDEX($C$25:$C$76,MATCH(LEFT(H42,255),LEFT($B$25:$B$76,255),0))=0,"",INDEX($C$25:$C$76,MATCH(LEFT(H42,255),LEFT($B$25:$B$76,255),0))),"")</f>
        <v>HIV O-17 Porcentaje de personas que viven con el VIH que, habiendo notificado la violación de sus derechos, buscaron compensación jurídica</v>
      </c>
      <c r="J42" s="4" t="str">
        <f t="shared" si="1"/>
        <v>HIV O-17 Porcentaje de personas que viven con el VIH que, habiendo notificado la violación de sus derechos, buscaron compensación jurídica</v>
      </c>
      <c r="K42" s="6" t="s">
        <v>853</v>
      </c>
      <c r="L42" s="4" t="str">
        <f t="shared" si="2"/>
        <v>IOR-00116</v>
      </c>
      <c r="M42" s="4" t="s">
        <v>754</v>
      </c>
      <c r="N42" s="4" t="s">
        <v>663</v>
      </c>
      <c r="O42" s="4"/>
      <c r="P42" s="407" t="s">
        <v>854</v>
      </c>
      <c r="Q42" s="407" t="s">
        <v>855</v>
      </c>
      <c r="R42" s="407" t="s">
        <v>856</v>
      </c>
      <c r="S42" s="6" t="s">
        <v>857</v>
      </c>
      <c r="T42" s="6" t="s">
        <v>858</v>
      </c>
      <c r="U42" s="6" t="s">
        <v>859</v>
      </c>
    </row>
    <row r="43" spans="2:21">
      <c r="B43" s="4" t="s">
        <v>860</v>
      </c>
      <c r="C43" s="4" t="str">
        <f>CHOOSE(Translations!$C$1+1,P43,Q43,R43)</f>
        <v>HIV O-18 Porcentajes de mujeres de 15 a 24 años de edad que han tenido dos o más parejas en los últimos 12 meses</v>
      </c>
      <c r="D43" s="4">
        <f>CHOOSE(Translations!$C$1+1,S43,T43,U43)</f>
        <v>0</v>
      </c>
      <c r="E43" s="4" t="s">
        <v>338</v>
      </c>
      <c r="F43" s="4" t="str">
        <f t="array" ref="F43">IFERROR(INDEX($C$25:$C$76,MATCH(0,COUNTIF($F$24:F42,$C$25:$C$76&amp;"")+IF($C$25:$C$76="",1,0),0)),"")</f>
        <v>HIV O-19 Porcentaje de mujeres de 15 a 19 años de edad que han tenido un niño nacido vivo o que están embarazadas actualmente</v>
      </c>
      <c r="G43" s="4" t="s">
        <v>861</v>
      </c>
      <c r="H43" s="4" t="str">
        <f t="array" ref="H43">IFERROR(INDEX($B$25:$B$76,MATCH(0,COUNTIF($H$24:H42,$B$25:$B$76&amp;"")+IF($B$25:$B$76="",1,0),0)),"")</f>
        <v>IOR-00117</v>
      </c>
      <c r="I43" s="4" t="str">
        <f t="array" ref="I43">IFERROR(IF(INDEX($C$25:$C$76,MATCH(LEFT(H43,255),LEFT($B$25:$B$76,255),0))=0,"",INDEX($C$25:$C$76,MATCH(LEFT(H43,255),LEFT($B$25:$B$76,255),0))),"")</f>
        <v>HIV O-18 Porcentajes de mujeres de 15 a 24 años de edad que han tenido dos o más parejas en los últimos 12 meses</v>
      </c>
      <c r="J43" s="4" t="str">
        <f t="shared" si="1"/>
        <v>HIV O-18 Porcentajes de mujeres de 15 a 24 años de edad que han tenido dos o más parejas en los últimos 12 meses</v>
      </c>
      <c r="K43" s="6" t="s">
        <v>862</v>
      </c>
      <c r="L43" s="4" t="str">
        <f t="shared" si="2"/>
        <v>IOR-00117</v>
      </c>
      <c r="M43" s="4" t="s">
        <v>754</v>
      </c>
      <c r="N43" s="4" t="s">
        <v>663</v>
      </c>
      <c r="O43" s="4"/>
      <c r="P43" s="407" t="s">
        <v>863</v>
      </c>
      <c r="Q43" s="407" t="s">
        <v>864</v>
      </c>
      <c r="R43" s="407" t="s">
        <v>865</v>
      </c>
      <c r="S43" s="6"/>
      <c r="T43" s="6"/>
      <c r="U43" s="6"/>
    </row>
    <row r="44" spans="2:21">
      <c r="B44" s="4" t="s">
        <v>866</v>
      </c>
      <c r="C44" s="4" t="str">
        <f>CHOOSE(Translations!$C$1+1,P44,Q44,R44)</f>
        <v>HIV O-19 Porcentaje de mujeres de 15 a 19 años de edad que han tenido un niño nacido vivo o que están embarazadas actualmente</v>
      </c>
      <c r="D44" s="4">
        <f>CHOOSE(Translations!$C$1+1,S44,T44,U44)</f>
        <v>0</v>
      </c>
      <c r="E44" s="4" t="s">
        <v>338</v>
      </c>
      <c r="F44" s="4" t="str">
        <f t="array" ref="F44">IFERROR(INDEX($C$25:$C$76,MATCH(0,COUNTIF($F$24:F43,$C$25:$C$76&amp;"")+IF($C$25:$C$76="",1,0),0)),"")</f>
        <v>HIV O-20 Porcentaje de mujeres de 15 a 24 años de edad que abandonaron los estudios en el último año</v>
      </c>
      <c r="G44" s="4" t="s">
        <v>867</v>
      </c>
      <c r="H44" s="4" t="str">
        <f t="array" ref="H44">IFERROR(INDEX($B$25:$B$76,MATCH(0,COUNTIF($H$24:H43,$B$25:$B$76&amp;"")+IF($B$25:$B$76="",1,0),0)),"")</f>
        <v>IOR-00118</v>
      </c>
      <c r="I44" s="4" t="str">
        <f t="array" ref="I44">IFERROR(IF(INDEX($C$25:$C$76,MATCH(LEFT(H44,255),LEFT($B$25:$B$76,255),0))=0,"",INDEX($C$25:$C$76,MATCH(LEFT(H44,255),LEFT($B$25:$B$76,255),0))),"")</f>
        <v>HIV O-19 Porcentaje de mujeres de 15 a 19 años de edad que han tenido un niño nacido vivo o que están embarazadas actualmente</v>
      </c>
      <c r="J44" s="4" t="str">
        <f t="shared" si="1"/>
        <v>HIV O-19 Porcentaje de mujeres de 15 a 19 años de edad que han tenido un niño nacido vivo o que están embarazadas actualmente</v>
      </c>
      <c r="K44" s="6" t="s">
        <v>868</v>
      </c>
      <c r="L44" s="4" t="str">
        <f t="shared" si="2"/>
        <v>IOR-00118</v>
      </c>
      <c r="M44" s="4" t="s">
        <v>754</v>
      </c>
      <c r="N44" s="4" t="s">
        <v>663</v>
      </c>
      <c r="O44" s="4"/>
      <c r="P44" s="407" t="s">
        <v>869</v>
      </c>
      <c r="Q44" s="407" t="s">
        <v>870</v>
      </c>
      <c r="R44" s="407" t="s">
        <v>871</v>
      </c>
      <c r="S44" s="6"/>
      <c r="T44" s="6"/>
      <c r="U44" s="6"/>
    </row>
    <row r="45" spans="2:21">
      <c r="B45" s="4" t="s">
        <v>872</v>
      </c>
      <c r="C45" s="4" t="str">
        <f>CHOOSE(Translations!$C$1+1,P45,Q45,R45)</f>
        <v>HIV O-20 Porcentaje de mujeres de 15 a 24 años de edad que abandonaron los estudios en el último año</v>
      </c>
      <c r="D45" s="4">
        <f>CHOOSE(Translations!$C$1+1,S45,T45,U45)</f>
        <v>0</v>
      </c>
      <c r="E45" s="4" t="s">
        <v>338</v>
      </c>
      <c r="F45" s="4" t="str">
        <f t="array" ref="F45">IFERROR(INDEX($C$25:$C$76,MATCH(0,COUNTIF($F$24:F44,$C$25:$C$76&amp;"")+IF($C$25:$C$76="",1,0),0)),"")</f>
        <v>HIV O-21 Porcentaje de personas que viven con el VIH que no reciben TARV al final del período de reporte entre el total de personas que viven con el VIH en TARV o que iniciaron TARV durante el período de reporte</v>
      </c>
      <c r="G45" s="4" t="s">
        <v>873</v>
      </c>
      <c r="H45" s="4" t="str">
        <f t="array" ref="H45">IFERROR(INDEX($B$25:$B$76,MATCH(0,COUNTIF($H$24:H44,$B$25:$B$76&amp;"")+IF($B$25:$B$76="",1,0),0)),"")</f>
        <v>IOR-00119</v>
      </c>
      <c r="I45" s="4" t="str">
        <f t="array" ref="I45">IFERROR(IF(INDEX($C$25:$C$76,MATCH(LEFT(H45,255),LEFT($B$25:$B$76,255),0))=0,"",INDEX($C$25:$C$76,MATCH(LEFT(H45,255),LEFT($B$25:$B$76,255),0))),"")</f>
        <v>HIV O-20 Porcentaje de mujeres de 15 a 24 años de edad que abandonaron los estudios en el último año</v>
      </c>
      <c r="J45" s="4" t="str">
        <f t="shared" si="1"/>
        <v>HIV O-20 Porcentaje de mujeres de 15 a 24 años de edad que abandonaron los estudios en el último año</v>
      </c>
      <c r="K45" s="6" t="s">
        <v>874</v>
      </c>
      <c r="L45" s="4" t="str">
        <f t="shared" si="2"/>
        <v>IOR-00119</v>
      </c>
      <c r="M45" s="4" t="s">
        <v>754</v>
      </c>
      <c r="N45" s="4" t="s">
        <v>663</v>
      </c>
      <c r="O45" s="4"/>
      <c r="P45" s="407" t="s">
        <v>875</v>
      </c>
      <c r="Q45" s="407" t="s">
        <v>876</v>
      </c>
      <c r="R45" s="407" t="s">
        <v>877</v>
      </c>
      <c r="S45" s="6"/>
      <c r="T45" s="6"/>
      <c r="U45" s="6"/>
    </row>
    <row r="46" spans="2:21">
      <c r="B46" s="4" t="s">
        <v>878</v>
      </c>
      <c r="C46" s="4" t="str">
        <f>CHOOSE(Translations!$C$1+1,P46,Q46,R46)</f>
        <v>HIV O-21 Porcentaje de personas que viven con el VIH que no reciben TARV al final del período de reporte entre el total de personas que viven con el VIH en TARV o que iniciaron TARV durante el período de reporte</v>
      </c>
      <c r="D46" s="4" t="str">
        <f>CHOOSE(Translations!$C$1+1,S46,T46,U46)</f>
        <v>Edad,Resultados de tratamiento,Género</v>
      </c>
      <c r="E46" s="4" t="s">
        <v>338</v>
      </c>
      <c r="F46" s="4" t="str">
        <f t="array" ref="F46">IFERROR(INDEX($C$25:$C$76,MATCH(0,COUNTIF($F$24:F45,$C$25:$C$76&amp;"")+IF($C$25:$C$76="",1,0),0)),"")</f>
        <v>TB O-1a Tasa de notificación de casos de todas las  forma de tuberculosis por cada 100.000 habitantes, confirmados bacteriológicamente y con diagnóstico clínico, casos nuevos y recaídas.</v>
      </c>
      <c r="G46" s="4" t="s">
        <v>879</v>
      </c>
      <c r="H46" s="4" t="str">
        <f t="array" ref="H46">IFERROR(INDEX($B$25:$B$76,MATCH(0,COUNTIF($H$24:H45,$B$25:$B$76&amp;"")+IF($B$25:$B$76="",1,0),0)),"")</f>
        <v>IOR-00120</v>
      </c>
      <c r="I46" s="4" t="str">
        <f t="array" ref="I46">IFERROR(IF(INDEX($C$25:$C$76,MATCH(LEFT(H46,255),LEFT($B$25:$B$76,255),0))=0,"",INDEX($C$25:$C$76,MATCH(LEFT(H46,255),LEFT($B$25:$B$76,255),0))),"")</f>
        <v>HIV O-21 Porcentaje de personas que viven con el VIH que no reciben TARV al final del período de reporte entre el total de personas que viven con el VIH en TARV o que iniciaron TARV durante el período de reporte</v>
      </c>
      <c r="J46" s="4" t="str">
        <f t="shared" si="1"/>
        <v>HIV O-21 Porcentaje de personas que viven con el VIH que no reciben TARV al final del período de reporte entre el total de personas que viven con el VIH en TARV o que iniciaron TARV durante el período de reporte</v>
      </c>
      <c r="K46" s="6" t="s">
        <v>880</v>
      </c>
      <c r="L46" s="4" t="str">
        <f t="shared" si="2"/>
        <v>IOR-00120</v>
      </c>
      <c r="M46" s="4" t="s">
        <v>754</v>
      </c>
      <c r="N46" s="4" t="s">
        <v>663</v>
      </c>
      <c r="O46" s="4"/>
      <c r="P46" s="407" t="s">
        <v>881</v>
      </c>
      <c r="Q46" s="407" t="s">
        <v>882</v>
      </c>
      <c r="R46" s="407" t="s">
        <v>883</v>
      </c>
      <c r="S46" s="6" t="s">
        <v>884</v>
      </c>
      <c r="T46" s="6" t="s">
        <v>885</v>
      </c>
      <c r="U46" s="6" t="s">
        <v>886</v>
      </c>
    </row>
    <row r="47" spans="2:21">
      <c r="B47" s="4" t="s">
        <v>887</v>
      </c>
      <c r="C47" s="4" t="str">
        <f>CHOOSE(Translations!$C$1+1,P47,Q47,R47)</f>
        <v>TB O-1a Tasa de notificación de casos de todas las  forma de tuberculosis por cada 100.000 habitantes, confirmados bacteriológicamente y con diagnóstico clínico, casos nuevos y recaídas.</v>
      </c>
      <c r="D47" s="4">
        <f>CHOOSE(Translations!$C$1+1,S47,T47,U47)</f>
        <v>0</v>
      </c>
      <c r="E47" s="4" t="s">
        <v>339</v>
      </c>
      <c r="F47" s="4" t="str">
        <f t="array" ref="F47">IFERROR(INDEX($C$25:$C$76,MATCH(0,COUNTIF($F$24:F46,$C$25:$C$76&amp;"")+IF($C$25:$C$76="",1,0),0)),"")</f>
        <v>TB O-2a Tasa de éxito del tratamiento en todas las formas de tuberculosis, confirmada bacteriológicamente y con diagnóstico clínico, casos nuevos y recaídas.</v>
      </c>
      <c r="G47" s="4" t="s">
        <v>888</v>
      </c>
      <c r="H47" s="4" t="str">
        <f t="array" ref="H47">IFERROR(INDEX($B$25:$B$76,MATCH(0,COUNTIF($H$24:H46,$B$25:$B$76&amp;"")+IF($B$25:$B$76="",1,0),0)),"")</f>
        <v>IOR-00121</v>
      </c>
      <c r="I47" s="4" t="str">
        <f t="array" ref="I47">IFERROR(IF(INDEX($C$25:$C$76,MATCH(LEFT(H47,255),LEFT($B$25:$B$76,255),0))=0,"",INDEX($C$25:$C$76,MATCH(LEFT(H47,255),LEFT($B$25:$B$76,255),0))),"")</f>
        <v>TB O-1a Tasa de notificación de casos de todas las  forma de tuberculosis por cada 100.000 habitantes, confirmados bacteriológicamente y con diagnóstico clínico, casos nuevos y recaídas.</v>
      </c>
      <c r="J47" s="4" t="str">
        <f t="shared" si="1"/>
        <v>TB O-1a Tasa de notificación de casos de todas las  forma de tuberculosis por cada 100.000 habitantes, confirmados bacteriológicamente y con diagnóstico clínico, casos nuevos y recaídas.</v>
      </c>
      <c r="K47" s="6" t="s">
        <v>889</v>
      </c>
      <c r="L47" s="4" t="str">
        <f t="shared" si="2"/>
        <v>IOR-00121</v>
      </c>
      <c r="M47" s="4" t="s">
        <v>754</v>
      </c>
      <c r="N47" s="4" t="s">
        <v>663</v>
      </c>
      <c r="O47" s="4"/>
      <c r="P47" s="407" t="s">
        <v>890</v>
      </c>
      <c r="Q47" s="407" t="s">
        <v>891</v>
      </c>
      <c r="R47" s="407" t="s">
        <v>892</v>
      </c>
      <c r="S47" s="6"/>
      <c r="T47" s="6"/>
      <c r="U47" s="6"/>
    </row>
    <row r="48" spans="2:21">
      <c r="B48" s="4" t="s">
        <v>893</v>
      </c>
      <c r="C48" s="4" t="str">
        <f>CHOOSE(Translations!$C$1+1,P48,Q48,R48)</f>
        <v>TB O-2a Tasa de éxito del tratamiento en todas las formas de tuberculosis, confirmada bacteriológicamente y con diagnóstico clínico, casos nuevos y recaídas.</v>
      </c>
      <c r="D48" s="4">
        <f>CHOOSE(Translations!$C$1+1,S48,T48,U48)</f>
        <v>0</v>
      </c>
      <c r="E48" s="4" t="s">
        <v>339</v>
      </c>
      <c r="F48" s="4" t="str">
        <f t="array" ref="F48">IFERROR(INDEX($C$25:$C$76,MATCH(0,COUNTIF($F$24:F47,$C$25:$C$76&amp;"")+IF($C$25:$C$76="",1,0),0)),"")</f>
        <v>TB O-4⁽ᴹ⁾ Tasa de éxito del tratamiento de los casos de tuberculosis resistente a la rifampicina y/o tuberculosis multirresistente: Porcentaje de casos de tuberculosis resistente a la rifampicina y/o tuberculosis multirresistente tratados con éxito.</v>
      </c>
      <c r="G48" s="4" t="s">
        <v>894</v>
      </c>
      <c r="H48" s="4" t="str">
        <f t="array" ref="H48">IFERROR(INDEX($B$25:$B$76,MATCH(0,COUNTIF($H$24:H47,$B$25:$B$76&amp;"")+IF($B$25:$B$76="",1,0),0)),"")</f>
        <v>IOR-00122</v>
      </c>
      <c r="I48" s="4" t="str">
        <f t="array" ref="I48">IFERROR(IF(INDEX($C$25:$C$76,MATCH(LEFT(H48,255),LEFT($B$25:$B$76,255),0))=0,"",INDEX($C$25:$C$76,MATCH(LEFT(H48,255),LEFT($B$25:$B$76,255),0))),"")</f>
        <v>TB O-2a Tasa de éxito del tratamiento en todas las formas de tuberculosis, confirmada bacteriológicamente y con diagnóstico clínico, casos nuevos y recaídas.</v>
      </c>
      <c r="J48" s="4" t="str">
        <f t="shared" si="1"/>
        <v>TB O-2a Tasa de éxito del tratamiento en todas las formas de tuberculosis, confirmada bacteriológicamente y con diagnóstico clínico, casos nuevos y recaídas.</v>
      </c>
      <c r="K48" s="6" t="s">
        <v>895</v>
      </c>
      <c r="L48" s="4" t="str">
        <f t="shared" si="2"/>
        <v>IOR-00122</v>
      </c>
      <c r="M48" s="4" t="s">
        <v>754</v>
      </c>
      <c r="N48" s="4" t="s">
        <v>663</v>
      </c>
      <c r="O48" s="4"/>
      <c r="P48" s="407" t="s">
        <v>896</v>
      </c>
      <c r="Q48" s="407" t="s">
        <v>897</v>
      </c>
      <c r="R48" s="407" t="s">
        <v>898</v>
      </c>
      <c r="S48" s="6"/>
      <c r="T48" s="6"/>
      <c r="U48" s="6"/>
    </row>
    <row r="49" spans="2:21">
      <c r="B49" s="4" t="s">
        <v>899</v>
      </c>
      <c r="C49" s="4" t="str">
        <f>CHOOSE(Translations!$C$1+1,P49,Q49,R49)</f>
        <v>TB O-6 Notificación de casos de tuberculosis resistente a la rifampicina (TB-RR) y/o tuberculosis multirresistente (TB-MR): porcentaje de casos notificados de TB-RR y/o TB-MR confirmados bacteriológicamente como proporción de todos los casos estimados de TB-RR y/o TB-MR.</v>
      </c>
      <c r="D49" s="4">
        <f>CHOOSE(Translations!$C$1+1,S49,T49,U49)</f>
        <v>0</v>
      </c>
      <c r="E49" s="4" t="s">
        <v>339</v>
      </c>
      <c r="F49" s="4" t="str">
        <f t="array" ref="F49">IFERROR(INDEX($C$25:$C$76,MATCH(0,COUNTIF($F$24:F48,$C$25:$C$76&amp;"")+IF($C$25:$C$76="",1,0),0)),"")</f>
        <v>TB O-7 Porcentaje de personas con tuberculosis que han sufrido autoestigmatización a causa de su estado con respecto a la enfermedad que les ha impedido buscar servicios relacionados con la tuberculosis y acceder</v>
      </c>
      <c r="G49" s="4" t="s">
        <v>900</v>
      </c>
      <c r="H49" s="4" t="str">
        <f t="array" ref="H49">IFERROR(INDEX($B$25:$B$76,MATCH(0,COUNTIF($H$24:H48,$B$25:$B$76&amp;"")+IF($B$25:$B$76="",1,0),0)),"")</f>
        <v>IOR-00123</v>
      </c>
      <c r="I49" s="4" t="str">
        <f t="array" ref="I49">IFERROR(IF(INDEX($C$25:$C$76,MATCH(LEFT(H49,255),LEFT($B$25:$B$76,255),0))=0,"",INDEX($C$25:$C$76,MATCH(LEFT(H49,255),LEFT($B$25:$B$76,255),0))),"")</f>
        <v>TB O-6 Notificación de casos de tuberculosis resistente a la rifampicina (TB-RR) y/o tuberculosis multirresistente (TB-MR): porcentaje de casos notificados de TB-RR y/o TB-MR confirmados bacteriológicamente como proporción de todos los casos estimados de TB-RR y/o TB-MR.</v>
      </c>
      <c r="J49" s="4" t="str">
        <f t="shared" si="1"/>
        <v xml:space="preserve">TB O-6 Notificación de casos de tuberculosis resistente a la rifampicina (TB-RR) y/o tuberculosis multirresistente (TB-MR): porcentaje de casos notificados de TB-RR y/o TB-MR confirmados bacteriológicamente como proporción de todos los casos estimados de </v>
      </c>
      <c r="K49" s="6" t="s">
        <v>901</v>
      </c>
      <c r="L49" s="4" t="str">
        <f t="shared" si="2"/>
        <v>IOR-00123</v>
      </c>
      <c r="M49" s="4" t="s">
        <v>754</v>
      </c>
      <c r="N49" s="4" t="s">
        <v>663</v>
      </c>
      <c r="O49" s="4"/>
      <c r="P49" s="407" t="s">
        <v>902</v>
      </c>
      <c r="Q49" s="407" t="s">
        <v>903</v>
      </c>
      <c r="R49" s="407" t="s">
        <v>904</v>
      </c>
      <c r="S49" s="6"/>
      <c r="T49" s="6"/>
      <c r="U49" s="6"/>
    </row>
    <row r="50" spans="2:21">
      <c r="B50" s="4" t="s">
        <v>905</v>
      </c>
      <c r="C50" s="4" t="str">
        <f>CHOOSE(Translations!$C$1+1,P50,Q50,R50)</f>
        <v>TB O-4⁽ᴹ⁾ Tasa de éxito del tratamiento de los casos de tuberculosis resistente a la rifampicina y/o tuberculosis multirresistente: Porcentaje de casos de tuberculosis resistente a la rifampicina y/o tuberculosis multirresistente tratados con éxito.</v>
      </c>
      <c r="D50" s="4">
        <f>CHOOSE(Translations!$C$1+1,S50,T50,U50)</f>
        <v>0</v>
      </c>
      <c r="E50" s="4" t="s">
        <v>339</v>
      </c>
      <c r="F50" s="4" t="str">
        <f t="array" ref="F50">IFERROR(INDEX($C$25:$C$76,MATCH(0,COUNTIF($F$24:F49,$C$25:$C$76&amp;"")+IF($C$25:$C$76="",1,0),0)),"")</f>
        <v>TB O-8 Porcentaje de personas con tuberculosis que han sufrido estigmatización en centros de atención de la salud a causa de su estado con respecto a la enfermedad que les ha impedido buscar servicios relacionados con la tuberculosis y acceder</v>
      </c>
      <c r="G50" s="4" t="s">
        <v>906</v>
      </c>
      <c r="H50" s="4" t="str">
        <f t="array" ref="H50">IFERROR(INDEX($B$25:$B$76,MATCH(0,COUNTIF($H$24:H49,$B$25:$B$76&amp;"")+IF($B$25:$B$76="",1,0),0)),"")</f>
        <v>IOR-00124</v>
      </c>
      <c r="I50" s="4" t="str">
        <f t="array" ref="I50">IFERROR(IF(INDEX($C$25:$C$76,MATCH(LEFT(H50,255),LEFT($B$25:$B$76,255),0))=0,"",INDEX($C$25:$C$76,MATCH(LEFT(H50,255),LEFT($B$25:$B$76,255),0))),"")</f>
        <v>TB O-4⁽ᴹ⁾ Tasa de éxito del tratamiento de los casos de tuberculosis resistente a la rifampicina y/o tuberculosis multirresistente: Porcentaje de casos de tuberculosis resistente a la rifampicina y/o tuberculosis multirresistente tratados con éxito.</v>
      </c>
      <c r="J50" s="4" t="str">
        <f t="shared" si="1"/>
        <v>TB O-4⁽ᴹ⁾ Tasa de éxito del tratamiento de los casos de tuberculosis resistente a la rifampicina y/o tuberculosis multirresistente: Porcentaje de casos de tuberculosis resistente a la rifampicina y/o tuberculosis multirresistente tratados con éxito.</v>
      </c>
      <c r="K50" s="6" t="s">
        <v>907</v>
      </c>
      <c r="L50" s="4" t="str">
        <f t="shared" si="2"/>
        <v>IOR-00124</v>
      </c>
      <c r="M50" s="4" t="s">
        <v>754</v>
      </c>
      <c r="N50" s="4" t="s">
        <v>663</v>
      </c>
      <c r="O50" s="4"/>
      <c r="P50" s="407" t="s">
        <v>908</v>
      </c>
      <c r="Q50" s="407" t="s">
        <v>909</v>
      </c>
      <c r="R50" s="407" t="s">
        <v>910</v>
      </c>
      <c r="S50" s="6"/>
      <c r="T50" s="6"/>
      <c r="U50" s="6"/>
    </row>
    <row r="51" spans="2:21">
      <c r="B51" s="4" t="s">
        <v>911</v>
      </c>
      <c r="C51" s="4" t="str">
        <f>CHOOSE(Translations!$C$1+1,P51,Q51,R51)</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51" s="4">
        <f>CHOOSE(Translations!$C$1+1,S51,T51,U51)</f>
        <v>0</v>
      </c>
      <c r="E51" s="4" t="s">
        <v>339</v>
      </c>
      <c r="F51" s="4" t="str">
        <f t="array" ref="F51">IFERROR(INDEX($C$25:$C$76,MATCH(0,COUNTIF($F$24:F50,$C$25:$C$76&amp;"")+IF($C$25:$C$76="",1,0),0)),"")</f>
        <v>TB O-9 Porcentajeo de personas con tuberculosis que han sufrido estigmatización en centros comunitarios a causa de su estado con respecto a la enfermedad que les ha impedido buscar servicios relacionados con la tuberculosis y acceder</v>
      </c>
      <c r="G51" s="4" t="s">
        <v>912</v>
      </c>
      <c r="H51" s="4" t="str">
        <f t="array" ref="H51">IFERROR(INDEX($B$25:$B$76,MATCH(0,COUNTIF($H$24:H50,$B$25:$B$76&amp;"")+IF($B$25:$B$76="",1,0),0)),"")</f>
        <v>IOR-00125</v>
      </c>
      <c r="I51" s="4" t="str">
        <f t="array" ref="I51">IFERROR(IF(INDEX($C$25:$C$76,MATCH(LEFT(H51,255),LEFT($B$25:$B$76,255),0))=0,"",INDEX($C$25:$C$76,MATCH(LEFT(H51,255),LEFT($B$25:$B$76,255),0))),"")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J51" s="4" t="str">
        <f t="shared" si="1"/>
        <v>TB O-5⁽ᴹ⁾ Cobertura del tratamiento de la tuberculosis: Porcentaje de casos nuevos y recaídas notificados y tratados entre el número estimado de casos incidentes de tuberculosis en el mismo año (en cualquier tipo de tuberculosis, confirmada bacteriológica</v>
      </c>
      <c r="K51" s="6" t="s">
        <v>913</v>
      </c>
      <c r="L51" s="4" t="str">
        <f t="shared" si="2"/>
        <v>IOR-00125</v>
      </c>
      <c r="M51" s="4" t="s">
        <v>754</v>
      </c>
      <c r="N51" s="4" t="s">
        <v>663</v>
      </c>
      <c r="O51" s="4"/>
      <c r="P51" s="407" t="s">
        <v>914</v>
      </c>
      <c r="Q51" s="407" t="s">
        <v>915</v>
      </c>
      <c r="R51" s="407" t="s">
        <v>916</v>
      </c>
      <c r="S51" s="6"/>
      <c r="T51" s="6"/>
      <c r="U51" s="6"/>
    </row>
    <row r="52" spans="2:21">
      <c r="B52" s="4" t="s">
        <v>917</v>
      </c>
      <c r="C52" s="4" t="str">
        <f>CHOOSE(Translations!$C$1+1,P52,Q52,R52)</f>
        <v>TB O-7 Porcentaje de personas con tuberculosis que han sufrido autoestigmatización a causa de su estado con respecto a la enfermedad que les ha impedido buscar servicios relacionados con la tuberculosis y acceder</v>
      </c>
      <c r="D52" s="4" t="str">
        <f>CHOOSE(Translations!$C$1+1,S52,T52,U52)</f>
        <v>Género</v>
      </c>
      <c r="E52" s="4" t="s">
        <v>339</v>
      </c>
      <c r="F52" s="4" t="str">
        <f t="array" ref="F52">IFERROR(INDEX($C$25:$C$76,MATCH(0,COUNTIF($F$24:F51,$C$25:$C$76&amp;"")+IF($C$25:$C$76="",1,0),0)),"")</f>
        <v>HSS O-5 Porcentaje de centros de establecimientos de salud con medicamentos marcadores para las tres enfermedades disponibles el día de la visita o el día de la notificación</v>
      </c>
      <c r="G52" s="4" t="s">
        <v>918</v>
      </c>
      <c r="H52" s="4" t="str">
        <f t="array" ref="H52">IFERROR(INDEX($B$25:$B$76,MATCH(0,COUNTIF($H$24:H51,$B$25:$B$76&amp;"")+IF($B$25:$B$76="",1,0),0)),"")</f>
        <v>IOR-00126</v>
      </c>
      <c r="I52" s="4" t="str">
        <f t="array" ref="I52">IFERROR(IF(INDEX($C$25:$C$76,MATCH(LEFT(H52,255),LEFT($B$25:$B$76,255),0))=0,"",INDEX($C$25:$C$76,MATCH(LEFT(H52,255),LEFT($B$25:$B$76,255),0))),"")</f>
        <v>TB O-7 Porcentaje de personas con tuberculosis que han sufrido autoestigmatización a causa de su estado con respecto a la enfermedad que les ha impedido buscar servicios relacionados con la tuberculosis y acceder</v>
      </c>
      <c r="J52" s="4" t="str">
        <f t="shared" si="1"/>
        <v>TB O-7 Porcentaje de personas con tuberculosis que han sufrido autoestigmatización a causa de su estado con respecto a la enfermedad que les ha impedido buscar servicios relacionados con la tuberculosis y acceder</v>
      </c>
      <c r="K52" s="6" t="s">
        <v>919</v>
      </c>
      <c r="L52" s="4" t="str">
        <f t="shared" si="2"/>
        <v>IOR-00126</v>
      </c>
      <c r="M52" s="4" t="s">
        <v>754</v>
      </c>
      <c r="N52" s="4" t="s">
        <v>663</v>
      </c>
      <c r="O52" s="4"/>
      <c r="P52" s="407" t="s">
        <v>920</v>
      </c>
      <c r="Q52" s="407" t="s">
        <v>921</v>
      </c>
      <c r="R52" s="407" t="s">
        <v>922</v>
      </c>
      <c r="S52" s="6" t="s">
        <v>800</v>
      </c>
      <c r="T52" s="6" t="s">
        <v>801</v>
      </c>
      <c r="U52" s="6" t="s">
        <v>802</v>
      </c>
    </row>
    <row r="53" spans="2:21">
      <c r="B53" s="4" t="s">
        <v>923</v>
      </c>
      <c r="C53" s="4" t="str">
        <f>CHOOSE(Translations!$C$1+1,P53,Q53,R53)</f>
        <v>TB O-8 Porcentaje de personas con tuberculosis que han sufrido estigmatización en centros de atención de la salud a causa de su estado con respecto a la enfermedad que les ha impedido buscar servicios relacionados con la tuberculosis y acceder</v>
      </c>
      <c r="D53" s="4" t="str">
        <f>CHOOSE(Translations!$C$1+1,S53,T53,U53)</f>
        <v>Género</v>
      </c>
      <c r="E53" s="4" t="s">
        <v>339</v>
      </c>
      <c r="F53" s="4" t="str">
        <f t="array" ref="F53">IFERROR(INDEX($C$25:$C$76,MATCH(0,COUNTIF($F$24:F52,$C$25:$C$76&amp;"")+IF($C$25:$C$76="",1,0),0)),"")</f>
        <v>HSS O-6 Porcentaje de establecimientos  de salud que prestan servicios de diagnóstico el día de la evaluación</v>
      </c>
      <c r="G53" s="4" t="s">
        <v>924</v>
      </c>
      <c r="H53" s="4" t="str">
        <f t="array" ref="H53">IFERROR(INDEX($B$25:$B$76,MATCH(0,COUNTIF($H$24:H52,$B$25:$B$76&amp;"")+IF($B$25:$B$76="",1,0),0)),"")</f>
        <v>IOR-00127</v>
      </c>
      <c r="I53" s="4" t="str">
        <f t="array" ref="I53">IFERROR(IF(INDEX($C$25:$C$76,MATCH(LEFT(H53,255),LEFT($B$25:$B$76,255),0))=0,"",INDEX($C$25:$C$76,MATCH(LEFT(H53,255),LEFT($B$25:$B$76,255),0))),"")</f>
        <v>TB O-8 Porcentaje de personas con tuberculosis que han sufrido estigmatización en centros de atención de la salud a causa de su estado con respecto a la enfermedad que les ha impedido buscar servicios relacionados con la tuberculosis y acceder</v>
      </c>
      <c r="J53" s="4" t="str">
        <f t="shared" si="1"/>
        <v>TB O-8 Porcentaje de personas con tuberculosis que han sufrido estigmatización en centros de atención de la salud a causa de su estado con respecto a la enfermedad que les ha impedido buscar servicios relacionados con la tuberculosis y acceder</v>
      </c>
      <c r="K53" s="6" t="s">
        <v>925</v>
      </c>
      <c r="L53" s="4" t="str">
        <f t="shared" si="2"/>
        <v>IOR-00127</v>
      </c>
      <c r="M53" s="4" t="s">
        <v>754</v>
      </c>
      <c r="N53" s="4" t="s">
        <v>663</v>
      </c>
      <c r="O53" s="4"/>
      <c r="P53" s="407" t="s">
        <v>926</v>
      </c>
      <c r="Q53" s="407" t="s">
        <v>927</v>
      </c>
      <c r="R53" s="407" t="s">
        <v>928</v>
      </c>
      <c r="S53" s="6" t="s">
        <v>800</v>
      </c>
      <c r="T53" s="6" t="s">
        <v>801</v>
      </c>
      <c r="U53" s="6" t="s">
        <v>802</v>
      </c>
    </row>
    <row r="54" spans="2:21">
      <c r="B54" s="4" t="s">
        <v>929</v>
      </c>
      <c r="C54" s="4" t="str">
        <f>CHOOSE(Translations!$C$1+1,P54,Q54,R54)</f>
        <v>TB O-9 Porcentajeo de personas con tuberculosis que han sufrido estigmatización en centros comunitarios a causa de su estado con respecto a la enfermedad que les ha impedido buscar servicios relacionados con la tuberculosis y acceder</v>
      </c>
      <c r="D54" s="4" t="str">
        <f>CHOOSE(Translations!$C$1+1,S54,T54,U54)</f>
        <v>Género</v>
      </c>
      <c r="E54" s="4" t="s">
        <v>339</v>
      </c>
      <c r="F54" s="4" t="str">
        <f t="array" ref="F54">IFERROR(INDEX($C$25:$C$76,MATCH(0,COUNTIF($F$24:F53,$C$25:$C$76&amp;"")+IF($C$25:$C$76="",1,0),0)),"")</f>
        <v>HSS O-8 Trabajadores de  salud activos por cada 10.000 habitantes</v>
      </c>
      <c r="G54" s="4" t="s">
        <v>930</v>
      </c>
      <c r="H54" s="4" t="str">
        <f t="array" ref="H54">IFERROR(INDEX($B$25:$B$76,MATCH(0,COUNTIF($H$24:H53,$B$25:$B$76&amp;"")+IF($B$25:$B$76="",1,0),0)),"")</f>
        <v>IOR-00128</v>
      </c>
      <c r="I54" s="4" t="str">
        <f t="array" ref="I54">IFERROR(IF(INDEX($C$25:$C$76,MATCH(LEFT(H54,255),LEFT($B$25:$B$76,255),0))=0,"",INDEX($C$25:$C$76,MATCH(LEFT(H54,255),LEFT($B$25:$B$76,255),0))),"")</f>
        <v>TB O-9 Porcentajeo de personas con tuberculosis que han sufrido estigmatización en centros comunitarios a causa de su estado con respecto a la enfermedad que les ha impedido buscar servicios relacionados con la tuberculosis y acceder</v>
      </c>
      <c r="J54" s="4" t="str">
        <f t="shared" si="1"/>
        <v>TB O-9 Porcentajeo de personas con tuberculosis que han sufrido estigmatización en centros comunitarios a causa de su estado con respecto a la enfermedad que les ha impedido buscar servicios relacionados con la tuberculosis y acceder</v>
      </c>
      <c r="K54" s="6" t="s">
        <v>931</v>
      </c>
      <c r="L54" s="4" t="str">
        <f t="shared" si="2"/>
        <v>IOR-00128</v>
      </c>
      <c r="M54" s="4" t="s">
        <v>754</v>
      </c>
      <c r="N54" s="4" t="s">
        <v>663</v>
      </c>
      <c r="O54" s="4"/>
      <c r="P54" s="407" t="s">
        <v>932</v>
      </c>
      <c r="Q54" s="407" t="s">
        <v>933</v>
      </c>
      <c r="R54" s="407" t="s">
        <v>934</v>
      </c>
      <c r="S54" s="6" t="s">
        <v>800</v>
      </c>
      <c r="T54" s="6" t="s">
        <v>801</v>
      </c>
      <c r="U54" s="6" t="s">
        <v>802</v>
      </c>
    </row>
    <row r="55" spans="2:21">
      <c r="B55" s="4" t="s">
        <v>935</v>
      </c>
      <c r="C55" s="4" t="str">
        <f>CHOOSE(Translations!$C$1+1,P55,Q55,R55)</f>
        <v>HSS O-5 Porcentaje de centros de establecimientos de salud con medicamentos marcadores para las tres enfermedades disponibles el día de la visita o el día de la notificación</v>
      </c>
      <c r="D55" s="4">
        <f>CHOOSE(Translations!$C$1+1,S55,T55,U55)</f>
        <v>0</v>
      </c>
      <c r="E55" s="4" t="s">
        <v>338</v>
      </c>
      <c r="F55" s="4" t="str">
        <f t="array" ref="F55">IFERROR(INDEX($C$25:$C$76,MATCH(0,COUNTIF($F$24:F54,$C$25:$C$76&amp;"")+IF($C$25:$C$76="",1,0),0)),"")</f>
        <v>HSS O-9 Porcentaje de clientes prenatales con primera visita antes de las 12 semanas</v>
      </c>
      <c r="G55" s="4" t="s">
        <v>936</v>
      </c>
      <c r="H55" s="4" t="str">
        <f t="array" ref="H55">IFERROR(INDEX($B$25:$B$76,MATCH(0,COUNTIF($H$24:H54,$B$25:$B$76&amp;"")+IF($B$25:$B$76="",1,0),0)),"")</f>
        <v>IOR-00137</v>
      </c>
      <c r="I55" s="4" t="str">
        <f t="array" ref="I55">IFERROR(IF(INDEX($C$25:$C$76,MATCH(LEFT(H55,255),LEFT($B$25:$B$76,255),0))=0,"",INDEX($C$25:$C$76,MATCH(LEFT(H55,255),LEFT($B$25:$B$76,255),0))),"")</f>
        <v>HSS O-5 Porcentaje de centros de establecimientos de salud con medicamentos marcadores para las tres enfermedades disponibles el día de la visita o el día de la notificación</v>
      </c>
      <c r="J55" s="4" t="str">
        <f t="shared" si="1"/>
        <v>HSS O-5 Porcentaje de centros de establecimientos de salud con medicamentos marcadores para las tres enfermedades disponibles el día de la visita o el día de la notificación</v>
      </c>
      <c r="K55" s="6" t="s">
        <v>937</v>
      </c>
      <c r="L55" s="4" t="str">
        <f t="shared" si="2"/>
        <v>IOR-00137</v>
      </c>
      <c r="M55" s="4" t="s">
        <v>754</v>
      </c>
      <c r="N55" s="4" t="s">
        <v>663</v>
      </c>
      <c r="O55" s="4"/>
      <c r="P55" s="407" t="s">
        <v>938</v>
      </c>
      <c r="Q55" s="407" t="s">
        <v>939</v>
      </c>
      <c r="R55" s="407" t="s">
        <v>940</v>
      </c>
      <c r="S55" s="6"/>
      <c r="T55" s="6"/>
      <c r="U55" s="6"/>
    </row>
    <row r="56" spans="2:21">
      <c r="B56" s="4" t="s">
        <v>935</v>
      </c>
      <c r="C56" s="4" t="str">
        <f>CHOOSE(Translations!$C$1+1,P56,Q56,R56)</f>
        <v>HSS O-5 Porcentaje de centros de establecimientos de salud con medicamentos marcadores para las tres enfermedades disponibles el día de la visita o el día de la notificación</v>
      </c>
      <c r="D56" s="4">
        <f>CHOOSE(Translations!$C$1+1,S56,T56,U56)</f>
        <v>0</v>
      </c>
      <c r="E56" s="4" t="s">
        <v>339</v>
      </c>
      <c r="F56" s="4" t="str">
        <f t="array" ref="F56">IFERROR(INDEX($C$25:$C$76,MATCH(0,COUNTIF($F$24:F55,$C$25:$C$76&amp;"")+IF($C$25:$C$76="",1,0),0)),"")</f>
        <v>HSS O-10 Proporción de población con importantes gastos en salud en el hogar como parte de los gastos o ingresos totales del hogar (gastos catastróficos en salud)</v>
      </c>
      <c r="G56" s="4" t="s">
        <v>936</v>
      </c>
      <c r="H56" s="4" t="str">
        <f t="array" ref="H56">IFERROR(INDEX($B$25:$B$76,MATCH(0,COUNTIF($H$24:H55,$B$25:$B$76&amp;"")+IF($B$25:$B$76="",1,0),0)),"")</f>
        <v>IOR-00138</v>
      </c>
      <c r="I56" s="4" t="str">
        <f t="array" ref="I56">IFERROR(IF(INDEX($C$25:$C$76,MATCH(LEFT(H56,255),LEFT($B$25:$B$76,255),0))=0,"",INDEX($C$25:$C$76,MATCH(LEFT(H56,255),LEFT($B$25:$B$76,255),0))),"")</f>
        <v>HSS O-6 Porcentaje de establecimientos  de salud que prestan servicios de diagnóstico el día de la evaluación</v>
      </c>
      <c r="J56" s="4" t="str">
        <f t="shared" si="1"/>
        <v>HSS O-5 Porcentaje de centros de establecimientos de salud con medicamentos marcadores para las tres enfermedades disponibles el día de la visita o el día de la notificación</v>
      </c>
      <c r="K56" s="6" t="s">
        <v>941</v>
      </c>
      <c r="L56" s="4" t="str">
        <f t="shared" si="2"/>
        <v>IOR-00137</v>
      </c>
      <c r="M56" s="4" t="s">
        <v>754</v>
      </c>
      <c r="N56" s="4" t="s">
        <v>663</v>
      </c>
      <c r="O56" s="4"/>
      <c r="P56" s="407" t="s">
        <v>938</v>
      </c>
      <c r="Q56" s="407" t="s">
        <v>939</v>
      </c>
      <c r="R56" s="407" t="s">
        <v>940</v>
      </c>
      <c r="S56" s="6"/>
      <c r="T56" s="6"/>
      <c r="U56" s="6"/>
    </row>
    <row r="57" spans="2:21">
      <c r="B57" s="4" t="s">
        <v>935</v>
      </c>
      <c r="C57" s="4" t="str">
        <f>CHOOSE(Translations!$C$1+1,P57,Q57,R57)</f>
        <v>HSS O-5 Porcentaje de centros de establecimientos de salud con medicamentos marcadores para las tres enfermedades disponibles el día de la visita o el día de la notificación</v>
      </c>
      <c r="D57" s="4">
        <f>CHOOSE(Translations!$C$1+1,S57,T57,U57)</f>
        <v>0</v>
      </c>
      <c r="E57" s="4" t="s">
        <v>340</v>
      </c>
      <c r="F57" s="4" t="str">
        <f t="array" ref="F57">IFERROR(INDEX($C$25:$C$76,MATCH(0,COUNTIF($F$24:F56,$C$25:$C$76&amp;"")+IF($C$25:$C$76="",1,0),0)),"")</f>
        <v/>
      </c>
      <c r="G57" s="4" t="s">
        <v>936</v>
      </c>
      <c r="H57" s="4" t="str">
        <f t="array" ref="H57">IFERROR(INDEX($B$25:$B$76,MATCH(0,COUNTIF($H$24:H56,$B$25:$B$76&amp;"")+IF($B$25:$B$76="",1,0),0)),"")</f>
        <v>IOR-00139</v>
      </c>
      <c r="I57" s="4" t="str">
        <f t="array" ref="I57">IFERROR(IF(INDEX($C$25:$C$76,MATCH(LEFT(H57,255),LEFT($B$25:$B$76,255),0))=0,"",INDEX($C$25:$C$76,MATCH(LEFT(H57,255),LEFT($B$25:$B$76,255),0))),"")</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J57" s="4" t="str">
        <f t="shared" si="1"/>
        <v>HSS O-5 Porcentaje de centros de establecimientos de salud con medicamentos marcadores para las tres enfermedades disponibles el día de la visita o el día de la notificación</v>
      </c>
      <c r="K57" s="6" t="s">
        <v>942</v>
      </c>
      <c r="L57" s="4" t="str">
        <f t="shared" si="2"/>
        <v>IOR-00137</v>
      </c>
      <c r="M57" s="4" t="s">
        <v>754</v>
      </c>
      <c r="N57" s="4" t="s">
        <v>663</v>
      </c>
      <c r="O57" s="4"/>
      <c r="P57" s="407" t="s">
        <v>938</v>
      </c>
      <c r="Q57" s="407" t="s">
        <v>939</v>
      </c>
      <c r="R57" s="407" t="s">
        <v>940</v>
      </c>
      <c r="S57" s="6"/>
      <c r="T57" s="6"/>
      <c r="U57" s="6"/>
    </row>
    <row r="58" spans="2:21">
      <c r="B58" s="4" t="s">
        <v>943</v>
      </c>
      <c r="C58" s="4" t="str">
        <f>CHOOSE(Translations!$C$1+1,P58,Q58,R58)</f>
        <v>HSS O-6 Porcentaje de establecimientos  de salud que prestan servicios de diagnóstico el día de la evaluación</v>
      </c>
      <c r="D58" s="4">
        <f>CHOOSE(Translations!$C$1+1,S58,T58,U58)</f>
        <v>0</v>
      </c>
      <c r="E58" s="4" t="s">
        <v>338</v>
      </c>
      <c r="F58" s="4" t="str">
        <f t="array" ref="F58">IFERROR(INDEX($C$25:$C$76,MATCH(0,COUNTIF($F$24:F57,$C$25:$C$76&amp;"")+IF($C$25:$C$76="",1,0),0)),"")</f>
        <v/>
      </c>
      <c r="G58" s="4" t="s">
        <v>944</v>
      </c>
      <c r="H58" s="4" t="str">
        <f t="array" ref="H58">IFERROR(INDEX($B$25:$B$76,MATCH(0,COUNTIF($H$24:H57,$B$25:$B$76&amp;"")+IF($B$25:$B$76="",1,0),0)),"")</f>
        <v>IOR-00140</v>
      </c>
      <c r="I58" s="4" t="str">
        <f t="array" ref="I58">IFERROR(IF(INDEX($C$25:$C$76,MATCH(LEFT(H58,255),LEFT($B$25:$B$76,255),0))=0,"",INDEX($C$25:$C$76,MATCH(LEFT(H58,255),LEFT($B$25:$B$76,255),0))),"")</f>
        <v>HSS O-8 Trabajadores de  salud activos por cada 10.000 habitantes</v>
      </c>
      <c r="J58" s="4" t="str">
        <f t="shared" si="1"/>
        <v>HSS O-6 Porcentaje de establecimientos  de salud que prestan servicios de diagnóstico el día de la evaluación</v>
      </c>
      <c r="K58" s="6" t="s">
        <v>945</v>
      </c>
      <c r="L58" s="4" t="str">
        <f t="shared" si="2"/>
        <v>IOR-00138</v>
      </c>
      <c r="M58" s="4" t="s">
        <v>754</v>
      </c>
      <c r="N58" s="4" t="s">
        <v>663</v>
      </c>
      <c r="O58" s="4"/>
      <c r="P58" s="407" t="s">
        <v>946</v>
      </c>
      <c r="Q58" s="407" t="s">
        <v>947</v>
      </c>
      <c r="R58" s="407" t="s">
        <v>948</v>
      </c>
      <c r="S58" s="6"/>
      <c r="T58" s="6"/>
      <c r="U58" s="6"/>
    </row>
    <row r="59" spans="2:21">
      <c r="B59" s="4" t="s">
        <v>943</v>
      </c>
      <c r="C59" s="4" t="str">
        <f>CHOOSE(Translations!$C$1+1,P59,Q59,R59)</f>
        <v>HSS O-6 Porcentaje de establecimientos  de salud que prestan servicios de diagnóstico el día de la evaluación</v>
      </c>
      <c r="D59" s="4">
        <f>CHOOSE(Translations!$C$1+1,S59,T59,U59)</f>
        <v>0</v>
      </c>
      <c r="E59" s="4" t="s">
        <v>339</v>
      </c>
      <c r="F59" s="4" t="str">
        <f t="array" ref="F59">IFERROR(INDEX($C$25:$C$76,MATCH(0,COUNTIF($F$24:F58,$C$25:$C$76&amp;"")+IF($C$25:$C$76="",1,0),0)),"")</f>
        <v/>
      </c>
      <c r="G59" s="4" t="s">
        <v>944</v>
      </c>
      <c r="H59" s="4" t="str">
        <f t="array" ref="H59">IFERROR(INDEX($B$25:$B$76,MATCH(0,COUNTIF($H$24:H58,$B$25:$B$76&amp;"")+IF($B$25:$B$76="",1,0),0)),"")</f>
        <v>IOR-00141</v>
      </c>
      <c r="I59" s="4" t="str">
        <f t="array" ref="I59">IFERROR(IF(INDEX($C$25:$C$76,MATCH(LEFT(H59,255),LEFT($B$25:$B$76,255),0))=0,"",INDEX($C$25:$C$76,MATCH(LEFT(H59,255),LEFT($B$25:$B$76,255),0))),"")</f>
        <v>HSS O-9 Porcentaje de clientes prenatales con primera visita antes de las 12 semanas</v>
      </c>
      <c r="J59" s="4" t="str">
        <f t="shared" si="1"/>
        <v>HSS O-6 Porcentaje de establecimientos  de salud que prestan servicios de diagnóstico el día de la evaluación</v>
      </c>
      <c r="K59" s="6" t="s">
        <v>949</v>
      </c>
      <c r="L59" s="4" t="str">
        <f t="shared" si="2"/>
        <v>IOR-00138</v>
      </c>
      <c r="M59" s="4" t="s">
        <v>754</v>
      </c>
      <c r="N59" s="4" t="s">
        <v>663</v>
      </c>
      <c r="O59" s="4"/>
      <c r="P59" s="407" t="s">
        <v>946</v>
      </c>
      <c r="Q59" s="407" t="s">
        <v>947</v>
      </c>
      <c r="R59" s="407" t="s">
        <v>948</v>
      </c>
      <c r="S59" s="6"/>
      <c r="T59" s="6"/>
      <c r="U59" s="6"/>
    </row>
    <row r="60" spans="2:21">
      <c r="B60" s="4" t="s">
        <v>943</v>
      </c>
      <c r="C60" s="4" t="str">
        <f>CHOOSE(Translations!$C$1+1,P60,Q60,R60)</f>
        <v>HSS O-6 Porcentaje de establecimientos  de salud que prestan servicios de diagnóstico el día de la evaluación</v>
      </c>
      <c r="D60" s="4">
        <f>CHOOSE(Translations!$C$1+1,S60,T60,U60)</f>
        <v>0</v>
      </c>
      <c r="E60" s="4" t="s">
        <v>340</v>
      </c>
      <c r="F60" s="4" t="str">
        <f t="array" ref="F60">IFERROR(INDEX($C$25:$C$76,MATCH(0,COUNTIF($F$24:F59,$C$25:$C$76&amp;"")+IF($C$25:$C$76="",1,0),0)),"")</f>
        <v/>
      </c>
      <c r="G60" s="4" t="s">
        <v>944</v>
      </c>
      <c r="H60" s="4" t="str">
        <f t="array" ref="H60">IFERROR(INDEX($B$25:$B$76,MATCH(0,COUNTIF($H$24:H59,$B$25:$B$76&amp;"")+IF($B$25:$B$76="",1,0),0)),"")</f>
        <v>IOR-00142</v>
      </c>
      <c r="I60" s="4" t="str">
        <f t="array" ref="I60">IFERROR(IF(INDEX($C$25:$C$76,MATCH(LEFT(H60,255),LEFT($B$25:$B$76,255),0))=0,"",INDEX($C$25:$C$76,MATCH(LEFT(H60,255),LEFT($B$25:$B$76,255),0))),"")</f>
        <v>HSS O-10 Proporción de población con importantes gastos en salud en el hogar como parte de los gastos o ingresos totales del hogar (gastos catastróficos en salud)</v>
      </c>
      <c r="J60" s="4" t="str">
        <f t="shared" si="1"/>
        <v>HSS O-6 Porcentaje de establecimientos  de salud que prestan servicios de diagnóstico el día de la evaluación</v>
      </c>
      <c r="K60" s="6" t="s">
        <v>950</v>
      </c>
      <c r="L60" s="4" t="str">
        <f t="shared" si="2"/>
        <v>IOR-00138</v>
      </c>
      <c r="M60" s="4" t="s">
        <v>754</v>
      </c>
      <c r="N60" s="4" t="s">
        <v>663</v>
      </c>
      <c r="O60" s="4"/>
      <c r="P60" s="407" t="s">
        <v>946</v>
      </c>
      <c r="Q60" s="407" t="s">
        <v>947</v>
      </c>
      <c r="R60" s="407" t="s">
        <v>948</v>
      </c>
      <c r="S60" s="6"/>
      <c r="T60" s="6"/>
      <c r="U60" s="6"/>
    </row>
    <row r="61" spans="2:21">
      <c r="B61" s="4" t="s">
        <v>951</v>
      </c>
      <c r="C61" s="4" t="str">
        <f>CHOOSE(Translations!$C$1+1,P61,Q61,R61)</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D61" s="4">
        <f>CHOOSE(Translations!$C$1+1,S61,T61,U61)</f>
        <v>0</v>
      </c>
      <c r="E61" s="4" t="s">
        <v>338</v>
      </c>
      <c r="F61" s="4" t="str">
        <f t="array" ref="F61">IFERROR(INDEX($C$25:$C$76,MATCH(0,COUNTIF($F$24:F60,$C$25:$C$76&amp;"")+IF($C$25:$C$76="",1,0),0)),"")</f>
        <v/>
      </c>
      <c r="G61" s="4" t="s">
        <v>952</v>
      </c>
      <c r="H61" s="4" t="str">
        <f t="array" ref="H61">IFERROR(INDEX($B$25:$B$76,MATCH(0,COUNTIF($H$24:H60,$B$25:$B$76&amp;"")+IF($B$25:$B$76="",1,0),0)),"")</f>
        <v/>
      </c>
      <c r="I61" s="4" t="str">
        <f t="array" ref="I61">IFERROR(IF(INDEX($C$25:$C$76,MATCH(LEFT(H61,255),LEFT($B$25:$B$76,255),0))=0,"",INDEX($C$25:$C$76,MATCH(LEFT(H61,255),LEFT($B$25:$B$76,255),0))),"")</f>
        <v/>
      </c>
      <c r="J61" s="4" t="str">
        <f t="shared" si="1"/>
        <v>HSS O-7 Sistema de información de gestión de salud nacional de datos agregados completamente implementado y funcional : porcentaje de los componentes del SIGS  implementados ( alcance, reportes completos,  reportes oportunos,   integración  de  los indica</v>
      </c>
      <c r="K61" s="6" t="s">
        <v>953</v>
      </c>
      <c r="L61" s="4" t="str">
        <f t="shared" si="2"/>
        <v>IOR-00139</v>
      </c>
      <c r="M61" s="4" t="s">
        <v>754</v>
      </c>
      <c r="N61" s="4" t="s">
        <v>663</v>
      </c>
      <c r="O61" s="4"/>
      <c r="P61" s="407" t="s">
        <v>954</v>
      </c>
      <c r="Q61" s="407" t="s">
        <v>955</v>
      </c>
      <c r="R61" s="407" t="s">
        <v>956</v>
      </c>
      <c r="S61" s="6"/>
      <c r="T61" s="6"/>
      <c r="U61" s="6"/>
    </row>
    <row r="62" spans="2:21">
      <c r="B62" s="4" t="s">
        <v>951</v>
      </c>
      <c r="C62" s="4" t="str">
        <f>CHOOSE(Translations!$C$1+1,P62,Q62,R62)</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D62" s="4">
        <f>CHOOSE(Translations!$C$1+1,S62,T62,U62)</f>
        <v>0</v>
      </c>
      <c r="E62" s="4" t="s">
        <v>339</v>
      </c>
      <c r="F62" s="4" t="str">
        <f t="array" ref="F62">IFERROR(INDEX($C$25:$C$76,MATCH(0,COUNTIF($F$24:F61,$C$25:$C$76&amp;"")+IF($C$25:$C$76="",1,0),0)),"")</f>
        <v/>
      </c>
      <c r="G62" s="4" t="s">
        <v>952</v>
      </c>
      <c r="H62" s="4" t="str">
        <f t="array" ref="H62">IFERROR(INDEX($B$25:$B$76,MATCH(0,COUNTIF($H$24:H61,$B$25:$B$76&amp;"")+IF($B$25:$B$76="",1,0),0)),"")</f>
        <v/>
      </c>
      <c r="I62" s="4" t="str">
        <f t="array" ref="I62">IFERROR(IF(INDEX($C$25:$C$76,MATCH(LEFT(H62,255),LEFT($B$25:$B$76,255),0))=0,"",INDEX($C$25:$C$76,MATCH(LEFT(H62,255),LEFT($B$25:$B$76,255),0))),"")</f>
        <v/>
      </c>
      <c r="J62" s="4" t="str">
        <f t="shared" si="1"/>
        <v>HSS O-7 Sistema de información de gestión de salud nacional de datos agregados completamente implementado y funcional : porcentaje de los componentes del SIGS  implementados ( alcance, reportes completos,  reportes oportunos,   integración  de  los indica</v>
      </c>
      <c r="K62" s="6" t="s">
        <v>957</v>
      </c>
      <c r="L62" s="4" t="str">
        <f t="shared" si="2"/>
        <v>IOR-00139</v>
      </c>
      <c r="M62" s="4" t="s">
        <v>754</v>
      </c>
      <c r="N62" s="4" t="s">
        <v>663</v>
      </c>
      <c r="O62" s="4"/>
      <c r="P62" s="407" t="s">
        <v>954</v>
      </c>
      <c r="Q62" s="407" t="s">
        <v>955</v>
      </c>
      <c r="R62" s="407" t="s">
        <v>956</v>
      </c>
      <c r="S62" s="6"/>
      <c r="T62" s="6"/>
      <c r="U62" s="6"/>
    </row>
    <row r="63" spans="2:21">
      <c r="B63" s="4" t="s">
        <v>951</v>
      </c>
      <c r="C63" s="4" t="str">
        <f>CHOOSE(Translations!$C$1+1,P63,Q63,R63)</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D63" s="4">
        <f>CHOOSE(Translations!$C$1+1,S63,T63,U63)</f>
        <v>0</v>
      </c>
      <c r="E63" s="4" t="s">
        <v>340</v>
      </c>
      <c r="F63" s="4" t="str">
        <f t="array" ref="F63">IFERROR(INDEX($C$25:$C$76,MATCH(0,COUNTIF($F$24:F62,$C$25:$C$76&amp;"")+IF($C$25:$C$76="",1,0),0)),"")</f>
        <v/>
      </c>
      <c r="G63" s="4" t="s">
        <v>952</v>
      </c>
      <c r="H63" s="4" t="str">
        <f t="array" ref="H63">IFERROR(INDEX($B$25:$B$76,MATCH(0,COUNTIF($H$24:H62,$B$25:$B$76&amp;"")+IF($B$25:$B$76="",1,0),0)),"")</f>
        <v/>
      </c>
      <c r="I63" s="4" t="str">
        <f t="array" ref="I63">IFERROR(IF(INDEX($C$25:$C$76,MATCH(LEFT(H63,255),LEFT($B$25:$B$76,255),0))=0,"",INDEX($C$25:$C$76,MATCH(LEFT(H63,255),LEFT($B$25:$B$76,255),0))),"")</f>
        <v/>
      </c>
      <c r="J63" s="4" t="str">
        <f t="shared" si="1"/>
        <v>HSS O-7 Sistema de información de gestión de salud nacional de datos agregados completamente implementado y funcional : porcentaje de los componentes del SIGS  implementados ( alcance, reportes completos,  reportes oportunos,   integración  de  los indica</v>
      </c>
      <c r="K63" s="6" t="s">
        <v>958</v>
      </c>
      <c r="L63" s="4" t="str">
        <f t="shared" si="2"/>
        <v>IOR-00139</v>
      </c>
      <c r="M63" s="4" t="s">
        <v>754</v>
      </c>
      <c r="N63" s="4" t="s">
        <v>663</v>
      </c>
      <c r="O63" s="4"/>
      <c r="P63" s="407" t="s">
        <v>954</v>
      </c>
      <c r="Q63" s="407" t="s">
        <v>955</v>
      </c>
      <c r="R63" s="407" t="s">
        <v>956</v>
      </c>
      <c r="S63" s="6"/>
      <c r="T63" s="6"/>
      <c r="U63" s="6"/>
    </row>
    <row r="64" spans="2:21">
      <c r="B64" s="4" t="s">
        <v>959</v>
      </c>
      <c r="C64" s="4" t="str">
        <f>CHOOSE(Translations!$C$1+1,P64,Q64,R64)</f>
        <v>HSS O-8 Trabajadores de  salud activos por cada 10.000 habitantes</v>
      </c>
      <c r="D64" s="4" t="str">
        <f>CHOOSE(Translations!$C$1+1,S64,T64,U64)</f>
        <v>Grupo de ocupación</v>
      </c>
      <c r="E64" s="4" t="s">
        <v>338</v>
      </c>
      <c r="F64" s="4" t="str">
        <f t="array" ref="F64">IFERROR(INDEX($C$25:$C$76,MATCH(0,COUNTIF($F$24:F63,$C$25:$C$76&amp;"")+IF($C$25:$C$76="",1,0),0)),"")</f>
        <v/>
      </c>
      <c r="G64" s="4" t="s">
        <v>960</v>
      </c>
      <c r="H64" s="4" t="str">
        <f t="array" ref="H64">IFERROR(INDEX($B$25:$B$76,MATCH(0,COUNTIF($H$24:H63,$B$25:$B$76&amp;"")+IF($B$25:$B$76="",1,0),0)),"")</f>
        <v/>
      </c>
      <c r="I64" s="4" t="str">
        <f t="array" ref="I64">IFERROR(IF(INDEX($C$25:$C$76,MATCH(LEFT(H64,255),LEFT($B$25:$B$76,255),0))=0,"",INDEX($C$25:$C$76,MATCH(LEFT(H64,255),LEFT($B$25:$B$76,255),0))),"")</f>
        <v/>
      </c>
      <c r="J64" s="4" t="str">
        <f t="shared" si="1"/>
        <v>HSS O-8 Trabajadores de  salud activos por cada 10.000 habitantes</v>
      </c>
      <c r="K64" s="6" t="s">
        <v>961</v>
      </c>
      <c r="L64" s="4" t="str">
        <f t="shared" si="2"/>
        <v>IOR-00140</v>
      </c>
      <c r="M64" s="4" t="s">
        <v>754</v>
      </c>
      <c r="N64" s="4" t="s">
        <v>663</v>
      </c>
      <c r="O64" s="4"/>
      <c r="P64" s="407" t="s">
        <v>962</v>
      </c>
      <c r="Q64" s="407" t="s">
        <v>963</v>
      </c>
      <c r="R64" s="407" t="s">
        <v>964</v>
      </c>
      <c r="S64" s="6" t="s">
        <v>965</v>
      </c>
      <c r="T64" s="6" t="s">
        <v>966</v>
      </c>
      <c r="U64" s="6" t="s">
        <v>967</v>
      </c>
    </row>
    <row r="65" spans="1:21">
      <c r="B65" s="4" t="s">
        <v>959</v>
      </c>
      <c r="C65" s="4" t="str">
        <f>CHOOSE(Translations!$C$1+1,P65,Q65,R65)</f>
        <v>HSS O-8 Trabajadores de  salud activos por cada 10.000 habitantes</v>
      </c>
      <c r="D65" s="4" t="str">
        <f>CHOOSE(Translations!$C$1+1,S65,T65,U65)</f>
        <v>Grupo de ocupación</v>
      </c>
      <c r="E65" s="4" t="s">
        <v>339</v>
      </c>
      <c r="F65" s="4" t="str">
        <f t="array" ref="F65">IFERROR(INDEX($C$25:$C$76,MATCH(0,COUNTIF($F$24:F64,$C$25:$C$76&amp;"")+IF($C$25:$C$76="",1,0),0)),"")</f>
        <v/>
      </c>
      <c r="G65" s="4" t="s">
        <v>960</v>
      </c>
      <c r="H65" s="4" t="str">
        <f t="array" ref="H65">IFERROR(INDEX($B$25:$B$76,MATCH(0,COUNTIF($H$24:H64,$B$25:$B$76&amp;"")+IF($B$25:$B$76="",1,0),0)),"")</f>
        <v/>
      </c>
      <c r="I65" s="4" t="str">
        <f t="array" ref="I65">IFERROR(IF(INDEX($C$25:$C$76,MATCH(LEFT(H65,255),LEFT($B$25:$B$76,255),0))=0,"",INDEX($C$25:$C$76,MATCH(LEFT(H65,255),LEFT($B$25:$B$76,255),0))),"")</f>
        <v/>
      </c>
      <c r="J65" s="4" t="str">
        <f t="shared" si="1"/>
        <v>HSS O-8 Trabajadores de  salud activos por cada 10.000 habitantes</v>
      </c>
      <c r="K65" s="6" t="s">
        <v>968</v>
      </c>
      <c r="L65" s="4" t="str">
        <f t="shared" si="2"/>
        <v>IOR-00140</v>
      </c>
      <c r="M65" s="4" t="s">
        <v>754</v>
      </c>
      <c r="N65" s="4" t="s">
        <v>663</v>
      </c>
      <c r="O65" s="4"/>
      <c r="P65" s="407" t="s">
        <v>962</v>
      </c>
      <c r="Q65" s="407" t="s">
        <v>963</v>
      </c>
      <c r="R65" s="407" t="s">
        <v>964</v>
      </c>
      <c r="S65" s="6" t="s">
        <v>965</v>
      </c>
      <c r="T65" s="6" t="s">
        <v>966</v>
      </c>
      <c r="U65" s="6" t="s">
        <v>967</v>
      </c>
    </row>
    <row r="66" spans="1:21">
      <c r="B66" s="4" t="s">
        <v>959</v>
      </c>
      <c r="C66" s="4" t="str">
        <f>CHOOSE(Translations!$C$1+1,P66,Q66,R66)</f>
        <v>HSS O-8 Trabajadores de  salud activos por cada 10.000 habitantes</v>
      </c>
      <c r="D66" s="4" t="str">
        <f>CHOOSE(Translations!$C$1+1,S66,T66,U66)</f>
        <v>Grupo de ocupación</v>
      </c>
      <c r="E66" s="4" t="s">
        <v>340</v>
      </c>
      <c r="F66" s="4" t="str">
        <f t="array" ref="F66">IFERROR(INDEX($C$25:$C$76,MATCH(0,COUNTIF($F$24:F65,$C$25:$C$76&amp;"")+IF($C$25:$C$76="",1,0),0)),"")</f>
        <v/>
      </c>
      <c r="G66" s="4" t="s">
        <v>960</v>
      </c>
      <c r="H66" s="4" t="str">
        <f t="array" ref="H66">IFERROR(INDEX($B$25:$B$76,MATCH(0,COUNTIF($H$24:H65,$B$25:$B$76&amp;"")+IF($B$25:$B$76="",1,0),0)),"")</f>
        <v/>
      </c>
      <c r="I66" s="4" t="str">
        <f t="array" ref="I66">IFERROR(IF(INDEX($C$25:$C$76,MATCH(LEFT(H66,255),LEFT($B$25:$B$76,255),0))=0,"",INDEX($C$25:$C$76,MATCH(LEFT(H66,255),LEFT($B$25:$B$76,255),0))),"")</f>
        <v/>
      </c>
      <c r="J66" s="4" t="str">
        <f t="shared" si="1"/>
        <v>HSS O-8 Trabajadores de  salud activos por cada 10.000 habitantes</v>
      </c>
      <c r="K66" s="6" t="s">
        <v>969</v>
      </c>
      <c r="L66" s="4" t="str">
        <f t="shared" si="2"/>
        <v>IOR-00140</v>
      </c>
      <c r="M66" s="4" t="s">
        <v>754</v>
      </c>
      <c r="N66" s="4" t="s">
        <v>663</v>
      </c>
      <c r="O66" s="4"/>
      <c r="P66" s="407" t="s">
        <v>962</v>
      </c>
      <c r="Q66" s="407" t="s">
        <v>963</v>
      </c>
      <c r="R66" s="407" t="s">
        <v>964</v>
      </c>
      <c r="S66" s="6" t="s">
        <v>965</v>
      </c>
      <c r="T66" s="6" t="s">
        <v>966</v>
      </c>
      <c r="U66" s="6" t="s">
        <v>967</v>
      </c>
    </row>
    <row r="67" spans="1:21">
      <c r="B67" s="4" t="s">
        <v>970</v>
      </c>
      <c r="C67" s="4" t="str">
        <f>CHOOSE(Translations!$C$1+1,P67,Q67,R67)</f>
        <v>HSS O-9 Porcentaje de clientes prenatales con primera visita antes de las 12 semanas</v>
      </c>
      <c r="D67" s="4" t="str">
        <f>CHOOSE(Translations!$C$1+1,S67,T67,U67)</f>
        <v>Edad</v>
      </c>
      <c r="E67" s="4" t="s">
        <v>338</v>
      </c>
      <c r="F67" s="4" t="str">
        <f t="array" ref="F67">IFERROR(INDEX($C$25:$C$76,MATCH(0,COUNTIF($F$24:F66,$C$25:$C$76&amp;"")+IF($C$25:$C$76="",1,0),0)),"")</f>
        <v/>
      </c>
      <c r="G67" s="4" t="s">
        <v>971</v>
      </c>
      <c r="H67" s="4" t="str">
        <f t="array" ref="H67">IFERROR(INDEX($B$25:$B$76,MATCH(0,COUNTIF($H$24:H66,$B$25:$B$76&amp;"")+IF($B$25:$B$76="",1,0),0)),"")</f>
        <v/>
      </c>
      <c r="I67" s="4" t="str">
        <f t="array" ref="I67">IFERROR(IF(INDEX($C$25:$C$76,MATCH(LEFT(H67,255),LEFT($B$25:$B$76,255),0))=0,"",INDEX($C$25:$C$76,MATCH(LEFT(H67,255),LEFT($B$25:$B$76,255),0))),"")</f>
        <v/>
      </c>
      <c r="J67" s="4" t="str">
        <f t="shared" si="1"/>
        <v>HSS O-9 Porcentaje de clientes prenatales con primera visita antes de las 12 semanas</v>
      </c>
      <c r="K67" s="6" t="s">
        <v>972</v>
      </c>
      <c r="L67" s="4" t="str">
        <f t="shared" si="2"/>
        <v>IOR-00141</v>
      </c>
      <c r="M67" s="4" t="s">
        <v>754</v>
      </c>
      <c r="N67" s="4" t="s">
        <v>663</v>
      </c>
      <c r="O67" s="4"/>
      <c r="P67" s="407" t="s">
        <v>973</v>
      </c>
      <c r="Q67" s="407" t="s">
        <v>974</v>
      </c>
      <c r="R67" s="407" t="s">
        <v>975</v>
      </c>
      <c r="S67" s="6" t="s">
        <v>697</v>
      </c>
      <c r="T67" s="6" t="s">
        <v>697</v>
      </c>
      <c r="U67" s="6" t="s">
        <v>698</v>
      </c>
    </row>
    <row r="68" spans="1:21">
      <c r="B68" s="4" t="s">
        <v>970</v>
      </c>
      <c r="C68" s="4" t="str">
        <f>CHOOSE(Translations!$C$1+1,P68,Q68,R68)</f>
        <v>HSS O-9 Porcentaje de clientes prenatales con primera visita antes de las 12 semanas</v>
      </c>
      <c r="D68" s="4" t="str">
        <f>CHOOSE(Translations!$C$1+1,S68,T68,U68)</f>
        <v>Edad</v>
      </c>
      <c r="E68" s="4" t="s">
        <v>339</v>
      </c>
      <c r="F68" s="4" t="str">
        <f t="array" ref="F68">IFERROR(INDEX($C$25:$C$76,MATCH(0,COUNTIF($F$24:F67,$C$25:$C$76&amp;"")+IF($C$25:$C$76="",1,0),0)),"")</f>
        <v/>
      </c>
      <c r="G68" s="4" t="s">
        <v>971</v>
      </c>
      <c r="H68" s="4" t="str">
        <f t="array" ref="H68">IFERROR(INDEX($B$25:$B$76,MATCH(0,COUNTIF($H$24:H67,$B$25:$B$76&amp;"")+IF($B$25:$B$76="",1,0),0)),"")</f>
        <v/>
      </c>
      <c r="I68" s="4" t="str">
        <f t="array" ref="I68">IFERROR(IF(INDEX($C$25:$C$76,MATCH(LEFT(H68,255),LEFT($B$25:$B$76,255),0))=0,"",INDEX($C$25:$C$76,MATCH(LEFT(H68,255),LEFT($B$25:$B$76,255),0))),"")</f>
        <v/>
      </c>
      <c r="J68" s="4" t="str">
        <f t="shared" si="1"/>
        <v>HSS O-9 Porcentaje de clientes prenatales con primera visita antes de las 12 semanas</v>
      </c>
      <c r="K68" s="6" t="s">
        <v>976</v>
      </c>
      <c r="L68" s="4" t="str">
        <f t="shared" si="2"/>
        <v>IOR-00141</v>
      </c>
      <c r="M68" s="4" t="s">
        <v>754</v>
      </c>
      <c r="N68" s="4" t="s">
        <v>663</v>
      </c>
      <c r="O68" s="4"/>
      <c r="P68" s="407" t="s">
        <v>973</v>
      </c>
      <c r="Q68" s="407" t="s">
        <v>974</v>
      </c>
      <c r="R68" s="407" t="s">
        <v>975</v>
      </c>
      <c r="S68" s="6" t="s">
        <v>697</v>
      </c>
      <c r="T68" s="6" t="s">
        <v>697</v>
      </c>
      <c r="U68" s="6" t="s">
        <v>698</v>
      </c>
    </row>
    <row r="69" spans="1:21">
      <c r="B69" s="4" t="s">
        <v>970</v>
      </c>
      <c r="C69" s="4" t="str">
        <f>CHOOSE(Translations!$C$1+1,P69,Q69,R69)</f>
        <v>HSS O-9 Porcentaje de clientes prenatales con primera visita antes de las 12 semanas</v>
      </c>
      <c r="D69" s="4" t="str">
        <f>CHOOSE(Translations!$C$1+1,S69,T69,U69)</f>
        <v>Edad</v>
      </c>
      <c r="E69" s="4" t="s">
        <v>340</v>
      </c>
      <c r="F69" s="4" t="str">
        <f t="array" ref="F69">IFERROR(INDEX($C$25:$C$76,MATCH(0,COUNTIF($F$24:F68,$C$25:$C$76&amp;"")+IF($C$25:$C$76="",1,0),0)),"")</f>
        <v/>
      </c>
      <c r="G69" s="4" t="s">
        <v>971</v>
      </c>
      <c r="H69" s="4" t="str">
        <f t="array" ref="H69">IFERROR(INDEX($B$25:$B$76,MATCH(0,COUNTIF($H$24:H68,$B$25:$B$76&amp;"")+IF($B$25:$B$76="",1,0),0)),"")</f>
        <v/>
      </c>
      <c r="I69" s="4" t="str">
        <f t="array" ref="I69">IFERROR(IF(INDEX($C$25:$C$76,MATCH(LEFT(H69,255),LEFT($B$25:$B$76,255),0))=0,"",INDEX($C$25:$C$76,MATCH(LEFT(H69,255),LEFT($B$25:$B$76,255),0))),"")</f>
        <v/>
      </c>
      <c r="J69" s="4" t="str">
        <f t="shared" si="1"/>
        <v>HSS O-9 Porcentaje de clientes prenatales con primera visita antes de las 12 semanas</v>
      </c>
      <c r="K69" s="6" t="s">
        <v>977</v>
      </c>
      <c r="L69" s="4" t="str">
        <f t="shared" si="2"/>
        <v>IOR-00141</v>
      </c>
      <c r="M69" s="4" t="s">
        <v>754</v>
      </c>
      <c r="N69" s="4" t="s">
        <v>663</v>
      </c>
      <c r="O69" s="4"/>
      <c r="P69" s="407" t="s">
        <v>973</v>
      </c>
      <c r="Q69" s="407" t="s">
        <v>974</v>
      </c>
      <c r="R69" s="407" t="s">
        <v>975</v>
      </c>
      <c r="S69" s="6" t="s">
        <v>697</v>
      </c>
      <c r="T69" s="6" t="s">
        <v>697</v>
      </c>
      <c r="U69" s="6" t="s">
        <v>698</v>
      </c>
    </row>
    <row r="70" spans="1:21">
      <c r="B70" s="4" t="s">
        <v>978</v>
      </c>
      <c r="C70" s="4" t="str">
        <f>CHOOSE(Translations!$C$1+1,P70,Q70,R70)</f>
        <v>HSS O-10 Proporción de población con importantes gastos en salud en el hogar como parte de los gastos o ingresos totales del hogar (gastos catastróficos en salud)</v>
      </c>
      <c r="D70" s="4">
        <f>CHOOSE(Translations!$C$1+1,S70,T70,U70)</f>
        <v>0</v>
      </c>
      <c r="E70" s="4" t="s">
        <v>338</v>
      </c>
      <c r="F70" s="4" t="str">
        <f t="array" ref="F70">IFERROR(INDEX($C$25:$C$76,MATCH(0,COUNTIF($F$24:F69,$C$25:$C$76&amp;"")+IF($C$25:$C$76="",1,0),0)),"")</f>
        <v/>
      </c>
      <c r="G70" s="4" t="s">
        <v>979</v>
      </c>
      <c r="H70" s="4" t="str">
        <f t="array" ref="H70">IFERROR(INDEX($B$25:$B$76,MATCH(0,COUNTIF($H$24:H69,$B$25:$B$76&amp;"")+IF($B$25:$B$76="",1,0),0)),"")</f>
        <v/>
      </c>
      <c r="I70" s="4" t="str">
        <f t="array" ref="I70">IFERROR(IF(INDEX($C$25:$C$76,MATCH(LEFT(H70,255),LEFT($B$25:$B$76,255),0))=0,"",INDEX($C$25:$C$76,MATCH(LEFT(H70,255),LEFT($B$25:$B$76,255),0))),"")</f>
        <v/>
      </c>
      <c r="J70" s="4" t="str">
        <f t="shared" si="1"/>
        <v>HSS O-10 Proporción de población con importantes gastos en salud en el hogar como parte de los gastos o ingresos totales del hogar (gastos catastróficos en salud)</v>
      </c>
      <c r="K70" s="6" t="s">
        <v>980</v>
      </c>
      <c r="L70" s="4" t="str">
        <f t="shared" si="2"/>
        <v>IOR-00142</v>
      </c>
      <c r="M70" s="4" t="s">
        <v>754</v>
      </c>
      <c r="N70" s="4" t="s">
        <v>663</v>
      </c>
      <c r="O70" s="4"/>
      <c r="P70" s="407" t="s">
        <v>981</v>
      </c>
      <c r="Q70" s="407" t="s">
        <v>982</v>
      </c>
      <c r="R70" s="407" t="s">
        <v>983</v>
      </c>
      <c r="S70" s="6"/>
      <c r="T70" s="6"/>
      <c r="U70" s="6"/>
    </row>
    <row r="71" spans="1:21">
      <c r="B71" s="4" t="s">
        <v>978</v>
      </c>
      <c r="C71" s="4" t="str">
        <f>CHOOSE(Translations!$C$1+1,P71,Q71,R71)</f>
        <v>HSS O-10 Proporción de población con importantes gastos en salud en el hogar como parte de los gastos o ingresos totales del hogar (gastos catastróficos en salud)</v>
      </c>
      <c r="D71" s="4">
        <f>CHOOSE(Translations!$C$1+1,S71,T71,U71)</f>
        <v>0</v>
      </c>
      <c r="E71" s="4" t="s">
        <v>339</v>
      </c>
      <c r="F71" s="4" t="str">
        <f t="array" ref="F71">IFERROR(INDEX($C$25:$C$76,MATCH(0,COUNTIF($F$24:F70,$C$25:$C$76&amp;"")+IF($C$25:$C$76="",1,0),0)),"")</f>
        <v/>
      </c>
      <c r="G71" s="4" t="s">
        <v>979</v>
      </c>
      <c r="H71" s="4" t="str">
        <f t="array" ref="H71">IFERROR(INDEX($B$25:$B$76,MATCH(0,COUNTIF($H$24:H70,$B$25:$B$76&amp;"")+IF($B$25:$B$76="",1,0),0)),"")</f>
        <v/>
      </c>
      <c r="I71" s="4" t="str">
        <f t="array" ref="I71">IFERROR(IF(INDEX($C$25:$C$76,MATCH(LEFT(H71,255),LEFT($B$25:$B$76,255),0))=0,"",INDEX($C$25:$C$76,MATCH(LEFT(H71,255),LEFT($B$25:$B$76,255),0))),"")</f>
        <v/>
      </c>
      <c r="J71" s="4" t="str">
        <f t="shared" si="1"/>
        <v>HSS O-10 Proporción de población con importantes gastos en salud en el hogar como parte de los gastos o ingresos totales del hogar (gastos catastróficos en salud)</v>
      </c>
      <c r="K71" s="6" t="s">
        <v>984</v>
      </c>
      <c r="L71" s="4" t="str">
        <f t="shared" si="2"/>
        <v>IOR-00142</v>
      </c>
      <c r="M71" s="4" t="s">
        <v>754</v>
      </c>
      <c r="N71" s="4" t="s">
        <v>663</v>
      </c>
      <c r="O71" s="4"/>
      <c r="P71" s="407" t="s">
        <v>981</v>
      </c>
      <c r="Q71" s="407" t="s">
        <v>982</v>
      </c>
      <c r="R71" s="407" t="s">
        <v>983</v>
      </c>
      <c r="S71" s="6"/>
      <c r="T71" s="6"/>
      <c r="U71" s="6"/>
    </row>
    <row r="72" spans="1:21">
      <c r="B72" s="4" t="s">
        <v>978</v>
      </c>
      <c r="C72" s="4" t="str">
        <f>CHOOSE(Translations!$C$1+1,P72,Q72,R72)</f>
        <v>HSS O-10 Proporción de población con importantes gastos en salud en el hogar como parte de los gastos o ingresos totales del hogar (gastos catastróficos en salud)</v>
      </c>
      <c r="D72" s="4">
        <f>CHOOSE(Translations!$C$1+1,S72,T72,U72)</f>
        <v>0</v>
      </c>
      <c r="E72" s="4" t="s">
        <v>340</v>
      </c>
      <c r="F72" s="4" t="str">
        <f t="array" ref="F72">IFERROR(INDEX($C$25:$C$76,MATCH(0,COUNTIF($F$24:F71,$C$25:$C$76&amp;"")+IF($C$25:$C$76="",1,0),0)),"")</f>
        <v/>
      </c>
      <c r="G72" s="4" t="s">
        <v>979</v>
      </c>
      <c r="H72" s="4" t="str">
        <f t="array" ref="H72">IFERROR(INDEX($B$25:$B$76,MATCH(0,COUNTIF($H$24:H71,$B$25:$B$76&amp;"")+IF($B$25:$B$76="",1,0),0)),"")</f>
        <v/>
      </c>
      <c r="I72" s="4" t="str">
        <f t="array" ref="I72">IFERROR(IF(INDEX($C$25:$C$76,MATCH(LEFT(H72,255),LEFT($B$25:$B$76,255),0))=0,"",INDEX($C$25:$C$76,MATCH(LEFT(H72,255),LEFT($B$25:$B$76,255),0))),"")</f>
        <v/>
      </c>
      <c r="J72" s="4" t="str">
        <f t="shared" si="1"/>
        <v>HSS O-10 Proporción de población con importantes gastos en salud en el hogar como parte de los gastos o ingresos totales del hogar (gastos catastróficos en salud)</v>
      </c>
      <c r="K72" s="6" t="s">
        <v>985</v>
      </c>
      <c r="L72" s="4" t="str">
        <f t="shared" si="2"/>
        <v>IOR-00142</v>
      </c>
      <c r="M72" s="4" t="s">
        <v>754</v>
      </c>
      <c r="N72" s="4" t="s">
        <v>663</v>
      </c>
      <c r="O72" s="4"/>
      <c r="P72" s="407" t="s">
        <v>981</v>
      </c>
      <c r="Q72" s="407" t="s">
        <v>982</v>
      </c>
      <c r="R72" s="407" t="s">
        <v>983</v>
      </c>
      <c r="S72" s="6"/>
      <c r="T72" s="6"/>
      <c r="U72" s="6"/>
    </row>
    <row r="73" spans="1:21">
      <c r="B73" s="4"/>
      <c r="C73" s="6"/>
      <c r="D73" s="6"/>
      <c r="E73" s="4"/>
      <c r="F73" s="4"/>
      <c r="G73" s="4"/>
      <c r="H73" s="4"/>
      <c r="I73" s="4"/>
      <c r="J73" s="4"/>
      <c r="K73" s="6"/>
    </row>
    <row r="74" spans="1:21">
      <c r="B74" s="4"/>
      <c r="C74" s="6"/>
      <c r="D74" s="6"/>
      <c r="E74" s="4"/>
      <c r="F74" s="4"/>
      <c r="G74" s="4"/>
      <c r="H74" s="4"/>
      <c r="I74" s="4"/>
      <c r="J74" s="4"/>
      <c r="K74" s="6"/>
    </row>
    <row r="75" spans="1:21">
      <c r="B75" s="4"/>
      <c r="C75" s="6"/>
      <c r="D75" s="6"/>
      <c r="E75" s="4"/>
      <c r="F75" s="4"/>
      <c r="G75" s="4"/>
      <c r="H75" s="4"/>
      <c r="I75" s="4"/>
      <c r="J75" s="4"/>
      <c r="K75" s="6"/>
    </row>
    <row r="77" spans="1:21">
      <c r="B77" s="8" t="s">
        <v>986</v>
      </c>
    </row>
    <row r="78" spans="1:21">
      <c r="A78" s="408" t="s">
        <v>987</v>
      </c>
      <c r="B78" s="194" t="s">
        <v>988</v>
      </c>
      <c r="C78" s="194" t="s">
        <v>636</v>
      </c>
      <c r="D78" s="194" t="s">
        <v>989</v>
      </c>
      <c r="E78" s="194" t="s">
        <v>990</v>
      </c>
      <c r="F78" s="194" t="s">
        <v>991</v>
      </c>
      <c r="G78" s="194" t="s">
        <v>341</v>
      </c>
      <c r="H78" s="194" t="s">
        <v>992</v>
      </c>
      <c r="I78" s="194" t="s">
        <v>644</v>
      </c>
      <c r="J78" s="194" t="s">
        <v>993</v>
      </c>
      <c r="K78" s="194" t="s">
        <v>994</v>
      </c>
      <c r="L78" s="194" t="s">
        <v>645</v>
      </c>
      <c r="M78" s="194" t="s">
        <v>646</v>
      </c>
      <c r="N78" s="194" t="s">
        <v>647</v>
      </c>
      <c r="O78" s="194" t="s">
        <v>648</v>
      </c>
      <c r="P78" s="194" t="s">
        <v>649</v>
      </c>
      <c r="Q78" s="194" t="s">
        <v>650</v>
      </c>
    </row>
    <row r="79" spans="1:21" hidden="1">
      <c r="A79" s="194" t="s">
        <v>995</v>
      </c>
      <c r="B79" s="195" t="s">
        <v>996</v>
      </c>
      <c r="C79" s="194" t="str">
        <f>CHOOSE(Translations!$C$1+1,L79,M79,N79)</f>
        <v>--Select--</v>
      </c>
      <c r="D79" s="194" t="str">
        <f>CHOOSE(Translations!$C$1+1,O79,P79,Q79)</f>
        <v>[Disaggregation Categories ES]</v>
      </c>
      <c r="E79" s="194" t="str">
        <f>LEFT(C79,255)</f>
        <v>--Select--</v>
      </c>
      <c r="F79" s="195" t="str">
        <f t="shared" ref="F79:F142" si="3">B79</f>
        <v>[Name ID]</v>
      </c>
      <c r="G79" s="194" t="s">
        <v>345</v>
      </c>
      <c r="H79" s="195"/>
      <c r="I79" s="195" t="s">
        <v>654</v>
      </c>
      <c r="J79" s="195" t="s">
        <v>997</v>
      </c>
      <c r="K79" s="195" t="s">
        <v>998</v>
      </c>
      <c r="L79" s="409" t="s">
        <v>655</v>
      </c>
      <c r="M79" s="409" t="s">
        <v>655</v>
      </c>
      <c r="N79" s="409" t="s">
        <v>655</v>
      </c>
      <c r="O79" s="195" t="s">
        <v>656</v>
      </c>
      <c r="P79" s="195" t="s">
        <v>657</v>
      </c>
      <c r="Q79" s="195" t="s">
        <v>658</v>
      </c>
    </row>
    <row r="80" spans="1:21">
      <c r="A80" s="194" t="s">
        <v>999</v>
      </c>
      <c r="B80" s="195" t="s">
        <v>1000</v>
      </c>
      <c r="C80" s="194" t="str">
        <f>CHOOSE(Translations!$C$1+1,L80,M80,N80)</f>
        <v>KP-1a⁽ᴹ⁾ Porcentaje de HSH alcanzados por programas de prevención del VIH - paquete definido de servicios</v>
      </c>
      <c r="D80" s="194" t="str">
        <f>CHOOSE(Translations!$C$1+1,O80,P80,Q80)</f>
        <v>Edad</v>
      </c>
      <c r="E80" s="194" t="str">
        <f t="shared" ref="E80:E143" si="4">LEFT(C80,255)</f>
        <v>KP-1a⁽ᴹ⁾ Porcentaje de HSH alcanzados por programas de prevención del VIH - paquete definido de servicios</v>
      </c>
      <c r="F80" s="195" t="str">
        <f t="shared" si="3"/>
        <v>MCI-01045</v>
      </c>
      <c r="G80" s="194" t="s">
        <v>1001</v>
      </c>
      <c r="H80" s="195"/>
      <c r="I80" s="195" t="s">
        <v>663</v>
      </c>
      <c r="J80" s="195" t="s">
        <v>1002</v>
      </c>
      <c r="K80" s="195" t="s">
        <v>1003</v>
      </c>
      <c r="L80" s="409" t="s">
        <v>1004</v>
      </c>
      <c r="M80" s="409" t="s">
        <v>1005</v>
      </c>
      <c r="N80" s="409" t="s">
        <v>1006</v>
      </c>
      <c r="O80" s="195" t="s">
        <v>697</v>
      </c>
      <c r="P80" s="195" t="s">
        <v>697</v>
      </c>
      <c r="Q80" s="195" t="s">
        <v>698</v>
      </c>
    </row>
    <row r="81" spans="1:17">
      <c r="A81" s="194" t="s">
        <v>999</v>
      </c>
      <c r="B81" s="195" t="s">
        <v>1007</v>
      </c>
      <c r="C81" s="194" t="str">
        <f>CHOOSE(Translations!$C$1+1,L81,M81,N81)</f>
        <v>KP-1b⁽ᴹ⁾ Porcentaje de personas transgénero alcanzados por programas de prevención del VIH - paquete definido de servicios</v>
      </c>
      <c r="D81" s="194" t="str">
        <f>CHOOSE(Translations!$C$1+1,O81,P81,Q81)</f>
        <v>Edad</v>
      </c>
      <c r="E81" s="194" t="str">
        <f t="shared" si="4"/>
        <v>KP-1b⁽ᴹ⁾ Porcentaje de personas transgénero alcanzados por programas de prevención del VIH - paquete definido de servicios</v>
      </c>
      <c r="F81" s="195" t="str">
        <f t="shared" si="3"/>
        <v>MCI-01046</v>
      </c>
      <c r="G81" s="194" t="s">
        <v>1008</v>
      </c>
      <c r="H81" s="195"/>
      <c r="I81" s="195" t="s">
        <v>663</v>
      </c>
      <c r="J81" s="195" t="s">
        <v>1002</v>
      </c>
      <c r="K81" s="195" t="s">
        <v>1003</v>
      </c>
      <c r="L81" s="409" t="s">
        <v>1009</v>
      </c>
      <c r="M81" s="409" t="s">
        <v>1010</v>
      </c>
      <c r="N81" s="409" t="s">
        <v>1011</v>
      </c>
      <c r="O81" s="195" t="s">
        <v>697</v>
      </c>
      <c r="P81" s="195" t="s">
        <v>697</v>
      </c>
      <c r="Q81" s="195" t="s">
        <v>698</v>
      </c>
    </row>
    <row r="82" spans="1:17">
      <c r="A82" s="194" t="s">
        <v>999</v>
      </c>
      <c r="B82" s="195" t="s">
        <v>1012</v>
      </c>
      <c r="C82" s="194" t="str">
        <f>CHOOSE(Translations!$C$1+1,L82,M82,N82)</f>
        <v>KP-1c⁽ᴹ⁾ Porcentaje de trabajadores sexuales alcanzados por programas de prevención del VIH - paquete definido de servicios</v>
      </c>
      <c r="D82" s="194" t="str">
        <f>CHOOSE(Translations!$C$1+1,O82,P82,Q82)</f>
        <v>Género,Edad</v>
      </c>
      <c r="E82" s="194" t="str">
        <f t="shared" si="4"/>
        <v>KP-1c⁽ᴹ⁾ Porcentaje de trabajadores sexuales alcanzados por programas de prevención del VIH - paquete definido de servicios</v>
      </c>
      <c r="F82" s="195" t="str">
        <f t="shared" si="3"/>
        <v>MCI-01047</v>
      </c>
      <c r="G82" s="194" t="s">
        <v>1013</v>
      </c>
      <c r="H82" s="195"/>
      <c r="I82" s="195" t="s">
        <v>663</v>
      </c>
      <c r="J82" s="195" t="s">
        <v>1002</v>
      </c>
      <c r="K82" s="195" t="s">
        <v>1003</v>
      </c>
      <c r="L82" s="409" t="s">
        <v>1014</v>
      </c>
      <c r="M82" s="409" t="s">
        <v>1015</v>
      </c>
      <c r="N82" s="409" t="s">
        <v>1016</v>
      </c>
      <c r="O82" s="195" t="s">
        <v>711</v>
      </c>
      <c r="P82" s="195" t="s">
        <v>668</v>
      </c>
      <c r="Q82" s="195" t="s">
        <v>669</v>
      </c>
    </row>
    <row r="83" spans="1:17">
      <c r="A83" s="194" t="s">
        <v>999</v>
      </c>
      <c r="B83" s="195" t="s">
        <v>1017</v>
      </c>
      <c r="C83" s="194" t="str">
        <f>CHOOSE(Translations!$C$1+1,L83,M83,N83)</f>
        <v>KP-1d⁽ᴹ⁾ Porcentaje de personas que consumen drogas inyectables alcanzados por programas de prevención del VIH - paquete definido de servicios</v>
      </c>
      <c r="D83" s="194" t="str">
        <f>CHOOSE(Translations!$C$1+1,O83,P83,Q83)</f>
        <v>Edad,Género</v>
      </c>
      <c r="E83" s="194" t="str">
        <f t="shared" si="4"/>
        <v>KP-1d⁽ᴹ⁾ Porcentaje de personas que consumen drogas inyectables alcanzados por programas de prevención del VIH - paquete definido de servicios</v>
      </c>
      <c r="F83" s="195" t="str">
        <f t="shared" si="3"/>
        <v>MCI-01048</v>
      </c>
      <c r="G83" s="194" t="s">
        <v>1018</v>
      </c>
      <c r="H83" s="195"/>
      <c r="I83" s="195" t="s">
        <v>663</v>
      </c>
      <c r="J83" s="195" t="s">
        <v>1002</v>
      </c>
      <c r="K83" s="195" t="s">
        <v>1003</v>
      </c>
      <c r="L83" s="409" t="s">
        <v>1019</v>
      </c>
      <c r="M83" s="409" t="s">
        <v>1020</v>
      </c>
      <c r="N83" s="409" t="s">
        <v>1021</v>
      </c>
      <c r="O83" s="195" t="s">
        <v>1022</v>
      </c>
      <c r="P83" s="195" t="s">
        <v>683</v>
      </c>
      <c r="Q83" s="195" t="s">
        <v>684</v>
      </c>
    </row>
    <row r="84" spans="1:17">
      <c r="A84" s="194" t="s">
        <v>999</v>
      </c>
      <c r="B84" s="195" t="s">
        <v>1023</v>
      </c>
      <c r="C84" s="194" t="str">
        <f>CHOOSE(Translations!$C$1+1,L84,M84,N84)</f>
        <v>KP-1e Porcentaje de otras poblaciones vulnerables alcanzados por programas de prevención del VIH - paquete definido de servicios</v>
      </c>
      <c r="D84" s="194">
        <f>CHOOSE(Translations!$C$1+1,O84,P84,Q84)</f>
        <v>0</v>
      </c>
      <c r="E84" s="194" t="str">
        <f t="shared" si="4"/>
        <v>KP-1e Porcentaje de otras poblaciones vulnerables alcanzados por programas de prevención del VIH - paquete definido de servicios</v>
      </c>
      <c r="F84" s="195" t="str">
        <f t="shared" si="3"/>
        <v>MCI-01049</v>
      </c>
      <c r="G84" s="194" t="s">
        <v>1024</v>
      </c>
      <c r="H84" s="195"/>
      <c r="I84" s="195" t="s">
        <v>663</v>
      </c>
      <c r="J84" s="195" t="s">
        <v>1002</v>
      </c>
      <c r="K84" s="195" t="s">
        <v>1003</v>
      </c>
      <c r="L84" s="409" t="s">
        <v>1025</v>
      </c>
      <c r="M84" s="409" t="s">
        <v>1026</v>
      </c>
      <c r="N84" s="409" t="s">
        <v>1027</v>
      </c>
      <c r="O84" s="195"/>
      <c r="P84" s="195"/>
      <c r="Q84" s="195"/>
    </row>
    <row r="85" spans="1:17">
      <c r="A85" s="194" t="s">
        <v>999</v>
      </c>
      <c r="B85" s="195" t="s">
        <v>1028</v>
      </c>
      <c r="C85" s="194" t="str">
        <f>CHOOSE(Translations!$C$1+1,L85,M85,N85)</f>
        <v>KP-1f⁽ᴹ⁾ Número de personas privadas de libertad en centros penitenciarios y otros lugares de reclusión alcanzados por programas de prevención del VIH - paquete definido de servicios</v>
      </c>
      <c r="D85" s="194">
        <f>CHOOSE(Translations!$C$1+1,O85,P85,Q85)</f>
        <v>0</v>
      </c>
      <c r="E85" s="194" t="str">
        <f t="shared" si="4"/>
        <v>KP-1f⁽ᴹ⁾ Número de personas privadas de libertad en centros penitenciarios y otros lugares de reclusión alcanzados por programas de prevención del VIH - paquete definido de servicios</v>
      </c>
      <c r="F85" s="195" t="str">
        <f t="shared" si="3"/>
        <v>MCI-01050</v>
      </c>
      <c r="G85" s="194" t="s">
        <v>1029</v>
      </c>
      <c r="H85" s="195"/>
      <c r="I85" s="195" t="s">
        <v>663</v>
      </c>
      <c r="J85" s="195" t="s">
        <v>1002</v>
      </c>
      <c r="K85" s="195" t="s">
        <v>1003</v>
      </c>
      <c r="L85" s="409" t="s">
        <v>1030</v>
      </c>
      <c r="M85" s="409" t="s">
        <v>1031</v>
      </c>
      <c r="N85" s="409" t="s">
        <v>1032</v>
      </c>
      <c r="O85" s="195"/>
      <c r="P85" s="195"/>
      <c r="Q85" s="195"/>
    </row>
    <row r="86" spans="1:17">
      <c r="A86" s="194" t="s">
        <v>999</v>
      </c>
      <c r="B86" s="195" t="s">
        <v>1033</v>
      </c>
      <c r="C86" s="194" t="str">
        <f>CHOOSE(Translations!$C$1+1,L86,M86,N86)</f>
        <v>KP-4 Número de agujas y jeringuillas distribuidas al año por persona que consume drogas inyectables a través de programas de agujas y jeringuillas</v>
      </c>
      <c r="D86" s="194">
        <f>CHOOSE(Translations!$C$1+1,O86,P86,Q86)</f>
        <v>0</v>
      </c>
      <c r="E86" s="194" t="str">
        <f t="shared" si="4"/>
        <v>KP-4 Número de agujas y jeringuillas distribuidas al año por persona que consume drogas inyectables a través de programas de agujas y jeringuillas</v>
      </c>
      <c r="F86" s="195" t="str">
        <f t="shared" si="3"/>
        <v>MCI-01051</v>
      </c>
      <c r="G86" s="194" t="s">
        <v>1034</v>
      </c>
      <c r="H86" s="195"/>
      <c r="I86" s="195" t="s">
        <v>663</v>
      </c>
      <c r="J86" s="195" t="s">
        <v>1002</v>
      </c>
      <c r="K86" s="195" t="s">
        <v>1035</v>
      </c>
      <c r="L86" s="409" t="s">
        <v>1036</v>
      </c>
      <c r="M86" s="409" t="s">
        <v>1037</v>
      </c>
      <c r="N86" s="409" t="s">
        <v>1038</v>
      </c>
      <c r="O86" s="195"/>
      <c r="P86" s="195"/>
      <c r="Q86" s="195"/>
    </row>
    <row r="87" spans="1:17">
      <c r="A87" s="194" t="s">
        <v>999</v>
      </c>
      <c r="B87" s="195" t="s">
        <v>1039</v>
      </c>
      <c r="C87" s="194" t="str">
        <f>CHOOSE(Translations!$C$1+1,L87,M87,N87)</f>
        <v>KP-5 Porcentaje de personas en terapia de sustitución de opiáceos que recibieron tratamiento durante al menos 6 meses</v>
      </c>
      <c r="D87" s="194">
        <f>CHOOSE(Translations!$C$1+1,O87,P87,Q87)</f>
        <v>0</v>
      </c>
      <c r="E87" s="194" t="str">
        <f t="shared" si="4"/>
        <v>KP-5 Porcentaje de personas en terapia de sustitución de opiáceos que recibieron tratamiento durante al menos 6 meses</v>
      </c>
      <c r="F87" s="195" t="str">
        <f t="shared" si="3"/>
        <v>MCI-01052</v>
      </c>
      <c r="G87" s="194" t="s">
        <v>1040</v>
      </c>
      <c r="H87" s="195"/>
      <c r="I87" s="195" t="s">
        <v>663</v>
      </c>
      <c r="J87" s="195" t="s">
        <v>1002</v>
      </c>
      <c r="K87" s="195" t="s">
        <v>1041</v>
      </c>
      <c r="L87" s="409" t="s">
        <v>1042</v>
      </c>
      <c r="M87" s="409" t="s">
        <v>1043</v>
      </c>
      <c r="N87" s="409" t="s">
        <v>1044</v>
      </c>
      <c r="O87" s="195"/>
      <c r="P87" s="195"/>
      <c r="Q87" s="195"/>
    </row>
    <row r="88" spans="1:17">
      <c r="A88" s="194" t="s">
        <v>999</v>
      </c>
      <c r="B88" s="195" t="s">
        <v>1045</v>
      </c>
      <c r="C88" s="194" t="str">
        <f>CHOOSE(Translations!$C$1+1,L88,M88,N88)</f>
        <v>KP-6a Porcentaje de HSH elegibles que iniciaron PrEP durante el período de reporte</v>
      </c>
      <c r="D88" s="194">
        <f>CHOOSE(Translations!$C$1+1,O88,P88,Q88)</f>
        <v>0</v>
      </c>
      <c r="E88" s="194" t="str">
        <f t="shared" si="4"/>
        <v>KP-6a Porcentaje de HSH elegibles que iniciaron PrEP durante el período de reporte</v>
      </c>
      <c r="F88" s="195" t="str">
        <f t="shared" si="3"/>
        <v>MCI-01053</v>
      </c>
      <c r="G88" s="194" t="s">
        <v>1046</v>
      </c>
      <c r="H88" s="195"/>
      <c r="I88" s="195" t="s">
        <v>663</v>
      </c>
      <c r="J88" s="195" t="s">
        <v>1002</v>
      </c>
      <c r="K88" s="195" t="s">
        <v>1041</v>
      </c>
      <c r="L88" s="409" t="s">
        <v>1047</v>
      </c>
      <c r="M88" s="409" t="s">
        <v>1048</v>
      </c>
      <c r="N88" s="409" t="s">
        <v>1049</v>
      </c>
      <c r="O88" s="195"/>
      <c r="P88" s="195"/>
      <c r="Q88" s="195"/>
    </row>
    <row r="89" spans="1:17">
      <c r="A89" s="194" t="s">
        <v>999</v>
      </c>
      <c r="B89" s="195" t="s">
        <v>1050</v>
      </c>
      <c r="C89" s="194" t="str">
        <f>CHOOSE(Translations!$C$1+1,L89,M89,N89)</f>
        <v>KP-6b Porcentaje de personas transgénero elegibles que iniciaron PrEP durante el período de reporte</v>
      </c>
      <c r="D89" s="194">
        <f>CHOOSE(Translations!$C$1+1,O89,P89,Q89)</f>
        <v>0</v>
      </c>
      <c r="E89" s="194" t="str">
        <f t="shared" si="4"/>
        <v>KP-6b Porcentaje de personas transgénero elegibles que iniciaron PrEP durante el período de reporte</v>
      </c>
      <c r="F89" s="195" t="str">
        <f t="shared" si="3"/>
        <v>MCI-01054</v>
      </c>
      <c r="G89" s="194" t="s">
        <v>1051</v>
      </c>
      <c r="H89" s="195"/>
      <c r="I89" s="195" t="s">
        <v>663</v>
      </c>
      <c r="J89" s="195" t="s">
        <v>1002</v>
      </c>
      <c r="K89" s="195" t="s">
        <v>1041</v>
      </c>
      <c r="L89" s="409" t="s">
        <v>1052</v>
      </c>
      <c r="M89" s="409" t="s">
        <v>1053</v>
      </c>
      <c r="N89" s="409" t="s">
        <v>1054</v>
      </c>
      <c r="O89" s="195"/>
      <c r="P89" s="195"/>
      <c r="Q89" s="195"/>
    </row>
    <row r="90" spans="1:17">
      <c r="A90" s="194" t="s">
        <v>999</v>
      </c>
      <c r="B90" s="195" t="s">
        <v>1055</v>
      </c>
      <c r="C90" s="194" t="str">
        <f>CHOOSE(Translations!$C$1+1,L90,M90,N90)</f>
        <v>KP-6c Porcentaje de trabajadores sexuales elegibles que iniciaron PrEP durante el período de reporte</v>
      </c>
      <c r="D90" s="194">
        <f>CHOOSE(Translations!$C$1+1,O90,P90,Q90)</f>
        <v>0</v>
      </c>
      <c r="E90" s="194" t="str">
        <f t="shared" si="4"/>
        <v>KP-6c Porcentaje de trabajadores sexuales elegibles que iniciaron PrEP durante el período de reporte</v>
      </c>
      <c r="F90" s="195" t="str">
        <f t="shared" si="3"/>
        <v>MCI-01055</v>
      </c>
      <c r="G90" s="194" t="s">
        <v>1056</v>
      </c>
      <c r="H90" s="195"/>
      <c r="I90" s="195" t="s">
        <v>663</v>
      </c>
      <c r="J90" s="195" t="s">
        <v>1002</v>
      </c>
      <c r="K90" s="195" t="s">
        <v>1041</v>
      </c>
      <c r="L90" s="409" t="s">
        <v>1057</v>
      </c>
      <c r="M90" s="409" t="s">
        <v>1058</v>
      </c>
      <c r="N90" s="409" t="s">
        <v>1059</v>
      </c>
      <c r="O90" s="195"/>
      <c r="P90" s="195"/>
      <c r="Q90" s="195"/>
    </row>
    <row r="91" spans="1:17">
      <c r="A91" s="194" t="s">
        <v>999</v>
      </c>
      <c r="B91" s="195" t="s">
        <v>1060</v>
      </c>
      <c r="C91" s="194" t="str">
        <f>CHOOSE(Translations!$C$1+1,L91,M91,N91)</f>
        <v>MEN-1 Número de circuncisiones masculinas médicas realizadas de conformidad con las normas nacionales</v>
      </c>
      <c r="D91" s="194">
        <f>CHOOSE(Translations!$C$1+1,O91,P91,Q91)</f>
        <v>0</v>
      </c>
      <c r="E91" s="194" t="str">
        <f t="shared" si="4"/>
        <v>MEN-1 Número de circuncisiones masculinas médicas realizadas de conformidad con las normas nacionales</v>
      </c>
      <c r="F91" s="195" t="str">
        <f t="shared" si="3"/>
        <v>MCI-01044</v>
      </c>
      <c r="G91" s="194" t="s">
        <v>1061</v>
      </c>
      <c r="H91" s="195"/>
      <c r="I91" s="195" t="s">
        <v>663</v>
      </c>
      <c r="J91" s="195" t="s">
        <v>1002</v>
      </c>
      <c r="K91" s="195" t="s">
        <v>1041</v>
      </c>
      <c r="L91" s="409" t="s">
        <v>1062</v>
      </c>
      <c r="M91" s="409" t="s">
        <v>1063</v>
      </c>
      <c r="N91" s="409" t="s">
        <v>1064</v>
      </c>
      <c r="O91" s="195"/>
      <c r="P91" s="195"/>
      <c r="Q91" s="195"/>
    </row>
    <row r="92" spans="1:17">
      <c r="A92" s="194" t="s">
        <v>999</v>
      </c>
      <c r="B92" s="195" t="s">
        <v>1065</v>
      </c>
      <c r="C92" s="194" t="str">
        <f>CHOOSE(Translations!$C$1+1,L92,M92,N92)</f>
        <v>YP-1a Porcentaje de jóvenes de 10 a 24 años asistiendo a la escuela alcanzados con programas de educación sexual integral y/o educación basada en el desarrollo de habilidades para la vida y  VIH, en las escuelas</v>
      </c>
      <c r="D92" s="194" t="str">
        <f>CHOOSE(Translations!$C$1+1,O92,P92,Q92)</f>
        <v>Género</v>
      </c>
      <c r="E92" s="194" t="str">
        <f t="shared" si="4"/>
        <v>YP-1a Porcentaje de jóvenes de 10 a 24 años asistiendo a la escuela alcanzados con programas de educación sexual integral y/o educación basada en el desarrollo de habilidades para la vida y  VIH, en las escuelas</v>
      </c>
      <c r="F92" s="195" t="str">
        <f t="shared" si="3"/>
        <v>MCI-01056</v>
      </c>
      <c r="G92" s="194" t="s">
        <v>1066</v>
      </c>
      <c r="H92" s="195"/>
      <c r="I92" s="195" t="s">
        <v>663</v>
      </c>
      <c r="J92" s="195" t="s">
        <v>1002</v>
      </c>
      <c r="K92" s="195" t="s">
        <v>1035</v>
      </c>
      <c r="L92" s="409" t="s">
        <v>1067</v>
      </c>
      <c r="M92" s="409" t="s">
        <v>1068</v>
      </c>
      <c r="N92" s="409" t="s">
        <v>1069</v>
      </c>
      <c r="O92" s="195" t="s">
        <v>800</v>
      </c>
      <c r="P92" s="195" t="s">
        <v>801</v>
      </c>
      <c r="Q92" s="195" t="s">
        <v>802</v>
      </c>
    </row>
    <row r="93" spans="1:17">
      <c r="A93" s="194" t="s">
        <v>999</v>
      </c>
      <c r="B93" s="195" t="s">
        <v>1070</v>
      </c>
      <c r="C93" s="194" t="str">
        <f>CHOOSE(Translations!$C$1+1,L93,M93,N93)</f>
        <v>YP-1b Porcentaje de jóvenes de 10 a 24 años alcanzados por programas de educación sexual integral y/o educación basada en el desarrollo de habilidades para la vida y VIH, fuera de las escuelas</v>
      </c>
      <c r="D93" s="194" t="str">
        <f>CHOOSE(Translations!$C$1+1,O93,P93,Q93)</f>
        <v>Género</v>
      </c>
      <c r="E93" s="194" t="str">
        <f t="shared" si="4"/>
        <v>YP-1b Porcentaje de jóvenes de 10 a 24 años alcanzados por programas de educación sexual integral y/o educación basada en el desarrollo de habilidades para la vida y VIH, fuera de las escuelas</v>
      </c>
      <c r="F93" s="195" t="str">
        <f t="shared" si="3"/>
        <v>MCI-01057</v>
      </c>
      <c r="G93" s="194" t="s">
        <v>1071</v>
      </c>
      <c r="H93" s="195"/>
      <c r="I93" s="195" t="s">
        <v>663</v>
      </c>
      <c r="J93" s="195" t="s">
        <v>1002</v>
      </c>
      <c r="K93" s="195" t="s">
        <v>1035</v>
      </c>
      <c r="L93" s="409" t="s">
        <v>1072</v>
      </c>
      <c r="M93" s="409" t="s">
        <v>1073</v>
      </c>
      <c r="N93" s="409" t="s">
        <v>1074</v>
      </c>
      <c r="O93" s="195" t="s">
        <v>800</v>
      </c>
      <c r="P93" s="195" t="s">
        <v>801</v>
      </c>
      <c r="Q93" s="195" t="s">
        <v>802</v>
      </c>
    </row>
    <row r="94" spans="1:17">
      <c r="A94" s="194" t="s">
        <v>999</v>
      </c>
      <c r="B94" s="195" t="s">
        <v>1075</v>
      </c>
      <c r="C94" s="194" t="str">
        <f>CHOOSE(Translations!$C$1+1,L94,M94,N94)</f>
        <v>YP-2 Porcentaje de niñas adolescentes y mujeres jóvenes alcanzadas por programas de prevención del VIH - paquete definido de servicios</v>
      </c>
      <c r="D94" s="194" t="str">
        <f>CHOOSE(Translations!$C$1+1,O94,P94,Q94)</f>
        <v>Edad</v>
      </c>
      <c r="E94" s="194" t="str">
        <f t="shared" si="4"/>
        <v>YP-2 Porcentaje de niñas adolescentes y mujeres jóvenes alcanzadas por programas de prevención del VIH - paquete definido de servicios</v>
      </c>
      <c r="F94" s="195" t="str">
        <f t="shared" si="3"/>
        <v>MCI-01058</v>
      </c>
      <c r="G94" s="194" t="s">
        <v>1076</v>
      </c>
      <c r="H94" s="195"/>
      <c r="I94" s="195" t="s">
        <v>663</v>
      </c>
      <c r="J94" s="195" t="s">
        <v>1002</v>
      </c>
      <c r="K94" s="195" t="s">
        <v>1003</v>
      </c>
      <c r="L94" s="409" t="s">
        <v>1077</v>
      </c>
      <c r="M94" s="409" t="s">
        <v>1078</v>
      </c>
      <c r="N94" s="409" t="s">
        <v>1079</v>
      </c>
      <c r="O94" s="195" t="s">
        <v>697</v>
      </c>
      <c r="P94" s="195" t="s">
        <v>697</v>
      </c>
      <c r="Q94" s="195" t="s">
        <v>698</v>
      </c>
    </row>
    <row r="95" spans="1:17">
      <c r="A95" s="194" t="s">
        <v>999</v>
      </c>
      <c r="B95" s="195" t="s">
        <v>1080</v>
      </c>
      <c r="C95" s="194" t="str">
        <f>CHOOSE(Translations!$C$1+1,L95,M95,N95)</f>
        <v>YP-4 Porcentaje de niñas adolescentes y mujeres jóvenes elegibles que iniciaron PrEP durante el período de reporte</v>
      </c>
      <c r="D95" s="194">
        <f>CHOOSE(Translations!$C$1+1,O95,P95,Q95)</f>
        <v>0</v>
      </c>
      <c r="E95" s="194" t="str">
        <f t="shared" si="4"/>
        <v>YP-4 Porcentaje de niñas adolescentes y mujeres jóvenes elegibles que iniciaron PrEP durante el período de reporte</v>
      </c>
      <c r="F95" s="195" t="str">
        <f t="shared" si="3"/>
        <v>MCI-01059</v>
      </c>
      <c r="G95" s="194" t="s">
        <v>1081</v>
      </c>
      <c r="H95" s="195"/>
      <c r="I95" s="195" t="s">
        <v>663</v>
      </c>
      <c r="J95" s="195" t="s">
        <v>1002</v>
      </c>
      <c r="K95" s="195" t="s">
        <v>1041</v>
      </c>
      <c r="L95" s="409" t="s">
        <v>1082</v>
      </c>
      <c r="M95" s="409" t="s">
        <v>1083</v>
      </c>
      <c r="N95" s="409" t="s">
        <v>1084</v>
      </c>
      <c r="O95" s="195"/>
      <c r="P95" s="195"/>
      <c r="Q95" s="195"/>
    </row>
    <row r="96" spans="1:17">
      <c r="A96" s="194" t="s">
        <v>1085</v>
      </c>
      <c r="B96" s="195" t="s">
        <v>1086</v>
      </c>
      <c r="C96" s="194" t="str">
        <f>CHOOSE(Translations!$C$1+1,L96,M96,N96)</f>
        <v>PMTCT-1 Porcentaje de mujeres embarazadas que conocen su Estatus de VIH</v>
      </c>
      <c r="D96" s="194" t="str">
        <f>CHOOSE(Translations!$C$1+1,O96,P96,Q96)</f>
        <v>Resultado de prueba del VIH</v>
      </c>
      <c r="E96" s="194" t="str">
        <f t="shared" si="4"/>
        <v>PMTCT-1 Porcentaje de mujeres embarazadas que conocen su Estatus de VIH</v>
      </c>
      <c r="F96" s="195" t="str">
        <f t="shared" si="3"/>
        <v>MCI-01060</v>
      </c>
      <c r="G96" s="194" t="s">
        <v>1087</v>
      </c>
      <c r="H96" s="195"/>
      <c r="I96" s="195" t="s">
        <v>663</v>
      </c>
      <c r="J96" s="195" t="s">
        <v>1002</v>
      </c>
      <c r="K96" s="195" t="s">
        <v>1088</v>
      </c>
      <c r="L96" s="409" t="s">
        <v>1089</v>
      </c>
      <c r="M96" s="409" t="s">
        <v>1090</v>
      </c>
      <c r="N96" s="409" t="s">
        <v>1091</v>
      </c>
      <c r="O96" s="195" t="s">
        <v>1092</v>
      </c>
      <c r="P96" s="195" t="s">
        <v>1093</v>
      </c>
      <c r="Q96" s="195" t="s">
        <v>1094</v>
      </c>
    </row>
    <row r="97" spans="1:17">
      <c r="A97" s="194" t="s">
        <v>1085</v>
      </c>
      <c r="B97" s="195" t="s">
        <v>1095</v>
      </c>
      <c r="C97" s="194" t="str">
        <f>CHOOSE(Translations!$C$1+1,L97,M97,N97)</f>
        <v>PMTCT-2.1 Porcentaje de mujeres seropositivas que recibieron TARV durante el embarazo y/o trabajo de parto y parto</v>
      </c>
      <c r="D97" s="194">
        <f>CHOOSE(Translations!$C$1+1,O97,P97,Q97)</f>
        <v>0</v>
      </c>
      <c r="E97" s="194" t="str">
        <f t="shared" si="4"/>
        <v>PMTCT-2.1 Porcentaje de mujeres seropositivas que recibieron TARV durante el embarazo y/o trabajo de parto y parto</v>
      </c>
      <c r="F97" s="195" t="str">
        <f t="shared" si="3"/>
        <v>MCI-01061</v>
      </c>
      <c r="G97" s="194" t="s">
        <v>1096</v>
      </c>
      <c r="H97" s="195"/>
      <c r="I97" s="195" t="s">
        <v>663</v>
      </c>
      <c r="J97" s="195" t="s">
        <v>1002</v>
      </c>
      <c r="K97" s="195" t="s">
        <v>1088</v>
      </c>
      <c r="L97" s="409" t="s">
        <v>1097</v>
      </c>
      <c r="M97" s="409" t="s">
        <v>1098</v>
      </c>
      <c r="N97" s="409" t="s">
        <v>1099</v>
      </c>
      <c r="O97" s="195" t="s">
        <v>1100</v>
      </c>
      <c r="P97" s="195"/>
      <c r="Q97" s="195"/>
    </row>
    <row r="98" spans="1:17">
      <c r="A98" s="194" t="s">
        <v>1085</v>
      </c>
      <c r="B98" s="195" t="s">
        <v>1101</v>
      </c>
      <c r="C98" s="194" t="str">
        <f>CHOOSE(Translations!$C$1+1,L98,M98,N98)</f>
        <v>PMTCT-3.1 Porcentaje de recién nacidos expuestos al VIH que se sometieron a una prueba virológica del VIH durante los 2 meses posteriores a su nacimiento</v>
      </c>
      <c r="D98" s="194" t="str">
        <f>CHOOSE(Translations!$C$1+1,O98,P98,Q98)</f>
        <v>Resultado de prueba del VIH</v>
      </c>
      <c r="E98" s="194" t="str">
        <f t="shared" si="4"/>
        <v>PMTCT-3.1 Porcentaje de recién nacidos expuestos al VIH que se sometieron a una prueba virológica del VIH durante los 2 meses posteriores a su nacimiento</v>
      </c>
      <c r="F98" s="195" t="str">
        <f t="shared" si="3"/>
        <v>MCI-01062</v>
      </c>
      <c r="G98" s="194" t="s">
        <v>1102</v>
      </c>
      <c r="H98" s="195"/>
      <c r="I98" s="195" t="s">
        <v>663</v>
      </c>
      <c r="J98" s="195" t="s">
        <v>1002</v>
      </c>
      <c r="K98" s="195" t="s">
        <v>1041</v>
      </c>
      <c r="L98" s="409" t="s">
        <v>1103</v>
      </c>
      <c r="M98" s="409" t="s">
        <v>1104</v>
      </c>
      <c r="N98" s="409" t="s">
        <v>1105</v>
      </c>
      <c r="O98" s="195" t="s">
        <v>1092</v>
      </c>
      <c r="P98" s="195" t="s">
        <v>1093</v>
      </c>
      <c r="Q98" s="195" t="s">
        <v>1094</v>
      </c>
    </row>
    <row r="99" spans="1:17">
      <c r="A99" s="194" t="s">
        <v>1085</v>
      </c>
      <c r="B99" s="195" t="s">
        <v>1106</v>
      </c>
      <c r="C99" s="194" t="str">
        <f>CHOOSE(Translations!$C$1+1,L99,M99,N99)</f>
        <v>PMTCT-4 Porcentaje de pacientes de atención prenatal que se sometieron a la prueba de la sífilis</v>
      </c>
      <c r="D99" s="194">
        <f>CHOOSE(Translations!$C$1+1,O99,P99,Q99)</f>
        <v>0</v>
      </c>
      <c r="E99" s="194" t="str">
        <f t="shared" si="4"/>
        <v>PMTCT-4 Porcentaje de pacientes de atención prenatal que se sometieron a la prueba de la sífilis</v>
      </c>
      <c r="F99" s="195" t="str">
        <f t="shared" si="3"/>
        <v>MCI-01063</v>
      </c>
      <c r="G99" s="194" t="s">
        <v>1107</v>
      </c>
      <c r="H99" s="195"/>
      <c r="I99" s="195" t="s">
        <v>663</v>
      </c>
      <c r="J99" s="195" t="s">
        <v>1002</v>
      </c>
      <c r="K99" s="195" t="s">
        <v>1041</v>
      </c>
      <c r="L99" s="409" t="s">
        <v>1108</v>
      </c>
      <c r="M99" s="409" t="s">
        <v>1109</v>
      </c>
      <c r="N99" s="409" t="s">
        <v>1110</v>
      </c>
      <c r="O99" s="195"/>
      <c r="P99" s="195"/>
      <c r="Q99" s="195"/>
    </row>
    <row r="100" spans="1:17">
      <c r="A100" s="194" t="s">
        <v>1111</v>
      </c>
      <c r="B100" s="195" t="s">
        <v>1112</v>
      </c>
      <c r="C100" s="194" t="str">
        <f>CHOOSE(Translations!$C$1+1,L100,M100,N100)</f>
        <v>HTS-2 Número de niñas adolescentes y mujeres jóvenes que se sometieron a la prueba del VIH y recibieron los resultados durante el período de reporte</v>
      </c>
      <c r="D100" s="194" t="str">
        <f>CHOOSE(Translations!$C$1+1,O100,P100,Q100)</f>
        <v>Edad,Resultado de prueba del VIH</v>
      </c>
      <c r="E100" s="194" t="str">
        <f t="shared" si="4"/>
        <v>HTS-2 Número de niñas adolescentes y mujeres jóvenes que se sometieron a la prueba del VIH y recibieron los resultados durante el período de reporte</v>
      </c>
      <c r="F100" s="195" t="str">
        <f t="shared" si="3"/>
        <v>MCI-01064</v>
      </c>
      <c r="G100" s="194" t="s">
        <v>1113</v>
      </c>
      <c r="H100" s="195"/>
      <c r="I100" s="195" t="s">
        <v>663</v>
      </c>
      <c r="J100" s="195" t="s">
        <v>1002</v>
      </c>
      <c r="K100" s="195" t="s">
        <v>1041</v>
      </c>
      <c r="L100" s="409" t="s">
        <v>1114</v>
      </c>
      <c r="M100" s="409" t="s">
        <v>1115</v>
      </c>
      <c r="N100" s="409" t="s">
        <v>1116</v>
      </c>
      <c r="O100" s="195" t="s">
        <v>1117</v>
      </c>
      <c r="P100" s="195" t="s">
        <v>1118</v>
      </c>
      <c r="Q100" s="195" t="s">
        <v>1119</v>
      </c>
    </row>
    <row r="101" spans="1:17">
      <c r="A101" s="194" t="s">
        <v>1111</v>
      </c>
      <c r="B101" s="195" t="s">
        <v>1120</v>
      </c>
      <c r="C101" s="194" t="str">
        <f>CHOOSE(Translations!$C$1+1,L101,M101,N101)</f>
        <v>HTS-3a⁽ᴹ⁾ Porcentaje de HSH a los que se les ha realizado una prueba de VIH durante el período de reporte y que conocen sus resultados</v>
      </c>
      <c r="D101" s="194" t="str">
        <f>CHOOSE(Translations!$C$1+1,O101,P101,Q101)</f>
        <v>Edad,Resultado de prueba del VIH</v>
      </c>
      <c r="E101" s="194" t="str">
        <f t="shared" si="4"/>
        <v>HTS-3a⁽ᴹ⁾ Porcentaje de HSH a los que se les ha realizado una prueba de VIH durante el período de reporte y que conocen sus resultados</v>
      </c>
      <c r="F101" s="195" t="str">
        <f t="shared" si="3"/>
        <v>MCI-01065</v>
      </c>
      <c r="G101" s="194" t="s">
        <v>1121</v>
      </c>
      <c r="H101" s="195"/>
      <c r="I101" s="195" t="s">
        <v>663</v>
      </c>
      <c r="J101" s="195" t="s">
        <v>1002</v>
      </c>
      <c r="K101" s="195" t="s">
        <v>1003</v>
      </c>
      <c r="L101" s="409" t="s">
        <v>1122</v>
      </c>
      <c r="M101" s="409" t="s">
        <v>1123</v>
      </c>
      <c r="N101" s="409" t="s">
        <v>1124</v>
      </c>
      <c r="O101" s="195" t="s">
        <v>1117</v>
      </c>
      <c r="P101" s="195" t="s">
        <v>1118</v>
      </c>
      <c r="Q101" s="195" t="s">
        <v>1119</v>
      </c>
    </row>
    <row r="102" spans="1:17">
      <c r="A102" s="194" t="s">
        <v>1111</v>
      </c>
      <c r="B102" s="195" t="s">
        <v>1125</v>
      </c>
      <c r="C102" s="194" t="str">
        <f>CHOOSE(Translations!$C$1+1,L102,M102,N102)</f>
        <v>HTS-3b⁽ᴹ⁾ Porcentaje de personas transgénero a los que se les ha realizado una prueba de VIH durante el período de reporte y que conocen sus resultados</v>
      </c>
      <c r="D102" s="194" t="str">
        <f>CHOOSE(Translations!$C$1+1,O102,P102,Q102)</f>
        <v>Edad,Resultado de prueba del VIH</v>
      </c>
      <c r="E102" s="194" t="str">
        <f t="shared" si="4"/>
        <v>HTS-3b⁽ᴹ⁾ Porcentaje de personas transgénero a los que se les ha realizado una prueba de VIH durante el período de reporte y que conocen sus resultados</v>
      </c>
      <c r="F102" s="195" t="str">
        <f t="shared" si="3"/>
        <v>MCI-01066</v>
      </c>
      <c r="G102" s="194" t="s">
        <v>1126</v>
      </c>
      <c r="H102" s="195"/>
      <c r="I102" s="195" t="s">
        <v>663</v>
      </c>
      <c r="J102" s="195" t="s">
        <v>1002</v>
      </c>
      <c r="K102" s="195" t="s">
        <v>1003</v>
      </c>
      <c r="L102" s="409" t="s">
        <v>1127</v>
      </c>
      <c r="M102" s="409" t="s">
        <v>1128</v>
      </c>
      <c r="N102" s="409" t="s">
        <v>1129</v>
      </c>
      <c r="O102" s="195" t="s">
        <v>1117</v>
      </c>
      <c r="P102" s="195" t="s">
        <v>1118</v>
      </c>
      <c r="Q102" s="195" t="s">
        <v>1119</v>
      </c>
    </row>
    <row r="103" spans="1:17">
      <c r="A103" s="194" t="s">
        <v>1111</v>
      </c>
      <c r="B103" s="195" t="s">
        <v>1130</v>
      </c>
      <c r="C103" s="194" t="str">
        <f>CHOOSE(Translations!$C$1+1,L103,M103,N103)</f>
        <v>HTS-3c⁽ᴹ⁾ Porcentaje de trabajadores sexuales a los que se les ha realizado una prueba de VIH durante el período de reporte y que conocen sus resultados</v>
      </c>
      <c r="D103" s="194" t="str">
        <f>CHOOSE(Translations!$C$1+1,O103,P103,Q103)</f>
        <v>Edad,Género,Resultado de prueba del VIH</v>
      </c>
      <c r="E103" s="194" t="str">
        <f t="shared" si="4"/>
        <v>HTS-3c⁽ᴹ⁾ Porcentaje de trabajadores sexuales a los que se les ha realizado una prueba de VIH durante el período de reporte y que conocen sus resultados</v>
      </c>
      <c r="F103" s="195" t="str">
        <f t="shared" si="3"/>
        <v>MCI-01067</v>
      </c>
      <c r="G103" s="194" t="s">
        <v>1131</v>
      </c>
      <c r="H103" s="195"/>
      <c r="I103" s="195" t="s">
        <v>663</v>
      </c>
      <c r="J103" s="195" t="s">
        <v>1002</v>
      </c>
      <c r="K103" s="195" t="s">
        <v>1003</v>
      </c>
      <c r="L103" s="409" t="s">
        <v>1132</v>
      </c>
      <c r="M103" s="409" t="s">
        <v>1133</v>
      </c>
      <c r="N103" s="409" t="s">
        <v>1134</v>
      </c>
      <c r="O103" s="195" t="s">
        <v>1135</v>
      </c>
      <c r="P103" s="195" t="s">
        <v>1136</v>
      </c>
      <c r="Q103" s="195" t="s">
        <v>1137</v>
      </c>
    </row>
    <row r="104" spans="1:17">
      <c r="A104" s="194" t="s">
        <v>1111</v>
      </c>
      <c r="B104" s="195" t="s">
        <v>1138</v>
      </c>
      <c r="C104" s="194" t="str">
        <f>CHOOSE(Translations!$C$1+1,L104,M104,N104)</f>
        <v>HTS-3d⁽ᴹ⁾ Porcentaje de consumidores de drogas inyectables a los que se les ha realizado una prueba de VIH durante el período de reporte y que conocen sus resultados</v>
      </c>
      <c r="D104" s="194" t="str">
        <f>CHOOSE(Translations!$C$1+1,O104,P104,Q104)</f>
        <v>Edad,Género,Resultado de prueba del VIH</v>
      </c>
      <c r="E104" s="194" t="str">
        <f t="shared" si="4"/>
        <v>HTS-3d⁽ᴹ⁾ Porcentaje de consumidores de drogas inyectables a los que se les ha realizado una prueba de VIH durante el período de reporte y que conocen sus resultados</v>
      </c>
      <c r="F104" s="195" t="str">
        <f t="shared" si="3"/>
        <v>MCI-01068</v>
      </c>
      <c r="G104" s="194" t="s">
        <v>1139</v>
      </c>
      <c r="H104" s="195"/>
      <c r="I104" s="195" t="s">
        <v>663</v>
      </c>
      <c r="J104" s="195" t="s">
        <v>1002</v>
      </c>
      <c r="K104" s="195" t="s">
        <v>1003</v>
      </c>
      <c r="L104" s="409" t="s">
        <v>1140</v>
      </c>
      <c r="M104" s="409" t="s">
        <v>1141</v>
      </c>
      <c r="N104" s="409" t="s">
        <v>1142</v>
      </c>
      <c r="O104" s="195" t="s">
        <v>1135</v>
      </c>
      <c r="P104" s="195" t="s">
        <v>1136</v>
      </c>
      <c r="Q104" s="195" t="s">
        <v>1137</v>
      </c>
    </row>
    <row r="105" spans="1:17">
      <c r="A105" s="194" t="s">
        <v>1111</v>
      </c>
      <c r="B105" s="195" t="s">
        <v>1143</v>
      </c>
      <c r="C105" s="194" t="str">
        <f>CHOOSE(Translations!$C$1+1,L105,M105,N105)</f>
        <v>HTS-3e Porcentaje de otras poblaciones vulnerables a los que se les ha realizado una prueba de VIH durante el período de reporte y que conocen sus resultados</v>
      </c>
      <c r="D105" s="194" t="str">
        <f>CHOOSE(Translations!$C$1+1,O105,P105,Q105)</f>
        <v>Resultado de prueba del VIH</v>
      </c>
      <c r="E105" s="194" t="str">
        <f t="shared" si="4"/>
        <v>HTS-3e Porcentaje de otras poblaciones vulnerables a los que se les ha realizado una prueba de VIH durante el período de reporte y que conocen sus resultados</v>
      </c>
      <c r="F105" s="195" t="str">
        <f t="shared" si="3"/>
        <v>MCI-01069</v>
      </c>
      <c r="G105" s="194" t="s">
        <v>1144</v>
      </c>
      <c r="H105" s="195"/>
      <c r="I105" s="195" t="s">
        <v>663</v>
      </c>
      <c r="J105" s="195" t="s">
        <v>1002</v>
      </c>
      <c r="K105" s="195" t="s">
        <v>1003</v>
      </c>
      <c r="L105" s="409" t="s">
        <v>1145</v>
      </c>
      <c r="M105" s="409" t="s">
        <v>1146</v>
      </c>
      <c r="N105" s="409" t="s">
        <v>1147</v>
      </c>
      <c r="O105" s="195" t="s">
        <v>1092</v>
      </c>
      <c r="P105" s="195" t="s">
        <v>1093</v>
      </c>
      <c r="Q105" s="195" t="s">
        <v>1094</v>
      </c>
    </row>
    <row r="106" spans="1:17">
      <c r="A106" s="194" t="s">
        <v>1111</v>
      </c>
      <c r="B106" s="195" t="s">
        <v>1148</v>
      </c>
      <c r="C106" s="194" t="str">
        <f>CHOOSE(Translations!$C$1+1,L106,M106,N106)</f>
        <v>HTS-3f⁽ᴹ⁾ Número de personas privadas de libertad en centros penitenciarios y otros lugares de reclusión a los que se les ha realizado una prueba de VIH durante el período de reporte y que conocen sus resultados</v>
      </c>
      <c r="D106" s="194" t="str">
        <f>CHOOSE(Translations!$C$1+1,O106,P106,Q106)</f>
        <v>Resultado de prueba del VIH</v>
      </c>
      <c r="E106" s="194" t="str">
        <f t="shared" si="4"/>
        <v>HTS-3f⁽ᴹ⁾ Número de personas privadas de libertad en centros penitenciarios y otros lugares de reclusión a los que se les ha realizado una prueba de VIH durante el período de reporte y que conocen sus resultados</v>
      </c>
      <c r="F106" s="195" t="str">
        <f t="shared" si="3"/>
        <v>MCI-01070</v>
      </c>
      <c r="G106" s="194" t="s">
        <v>1149</v>
      </c>
      <c r="H106" s="195"/>
      <c r="I106" s="195" t="s">
        <v>663</v>
      </c>
      <c r="J106" s="195" t="s">
        <v>1002</v>
      </c>
      <c r="K106" s="195" t="s">
        <v>1003</v>
      </c>
      <c r="L106" s="409" t="s">
        <v>1150</v>
      </c>
      <c r="M106" s="409" t="s">
        <v>1151</v>
      </c>
      <c r="N106" s="409" t="s">
        <v>1152</v>
      </c>
      <c r="O106" s="195" t="s">
        <v>1092</v>
      </c>
      <c r="P106" s="195" t="s">
        <v>1093</v>
      </c>
      <c r="Q106" s="195" t="s">
        <v>1094</v>
      </c>
    </row>
    <row r="107" spans="1:17">
      <c r="A107" s="194" t="s">
        <v>1111</v>
      </c>
      <c r="B107" s="195" t="s">
        <v>1153</v>
      </c>
      <c r="C107" s="194" t="str">
        <f>CHOOSE(Translations!$C$1+1,L107,M107,N107)</f>
        <v>HTS-4 Porcentaje de resultados de VIH positivos entre el total de pruebas de VIH realizadas durante el período de reporte.</v>
      </c>
      <c r="D107" s="194" t="str">
        <f>CHOOSE(Translations!$C$1+1,O107,P107,Q107)</f>
        <v>Edad,Género,Diagnóstico en la comunidad,Diagnóstico en establecimientos de salud</v>
      </c>
      <c r="E107" s="194" t="str">
        <f t="shared" si="4"/>
        <v>HTS-4 Porcentaje de resultados de VIH positivos entre el total de pruebas de VIH realizadas durante el período de reporte.</v>
      </c>
      <c r="F107" s="195" t="str">
        <f t="shared" si="3"/>
        <v>MCI-01071</v>
      </c>
      <c r="G107" s="194" t="s">
        <v>1154</v>
      </c>
      <c r="H107" s="195"/>
      <c r="I107" s="195" t="s">
        <v>663</v>
      </c>
      <c r="J107" s="195" t="s">
        <v>1002</v>
      </c>
      <c r="K107" s="195" t="s">
        <v>1041</v>
      </c>
      <c r="L107" s="409" t="s">
        <v>1155</v>
      </c>
      <c r="M107" s="409" t="s">
        <v>1156</v>
      </c>
      <c r="N107" s="409" t="s">
        <v>1157</v>
      </c>
      <c r="O107" s="195" t="s">
        <v>1158</v>
      </c>
      <c r="P107" s="195" t="s">
        <v>1159</v>
      </c>
      <c r="Q107" s="195" t="s">
        <v>1160</v>
      </c>
    </row>
    <row r="108" spans="1:17">
      <c r="A108" s="194" t="s">
        <v>1111</v>
      </c>
      <c r="B108" s="195" t="s">
        <v>1161</v>
      </c>
      <c r="C108" s="194" t="str">
        <f>CHOOSE(Translations!$C$1+1,L108,M108,N108)</f>
        <v>HTS-5 Porcentaje de personas con diagnóstico nuevo de VIH que han iniciado terapia antirretroviral</v>
      </c>
      <c r="D108" s="194" t="str">
        <f>CHOOSE(Translations!$C$1+1,O108,P108,Q108)</f>
        <v>Género,Grupo de riesgo objetivo</v>
      </c>
      <c r="E108" s="194" t="str">
        <f t="shared" si="4"/>
        <v>HTS-5 Porcentaje de personas con diagnóstico nuevo de VIH que han iniciado terapia antirretroviral</v>
      </c>
      <c r="F108" s="195" t="str">
        <f t="shared" si="3"/>
        <v>MCI-01072</v>
      </c>
      <c r="G108" s="194" t="s">
        <v>1162</v>
      </c>
      <c r="H108" s="195"/>
      <c r="I108" s="195" t="s">
        <v>663</v>
      </c>
      <c r="J108" s="195" t="s">
        <v>1002</v>
      </c>
      <c r="K108" s="195" t="s">
        <v>1041</v>
      </c>
      <c r="L108" s="409" t="s">
        <v>1163</v>
      </c>
      <c r="M108" s="409" t="s">
        <v>1164</v>
      </c>
      <c r="N108" s="409" t="s">
        <v>1165</v>
      </c>
      <c r="O108" s="195" t="s">
        <v>1166</v>
      </c>
      <c r="P108" s="195" t="s">
        <v>1167</v>
      </c>
      <c r="Q108" s="195" t="s">
        <v>1168</v>
      </c>
    </row>
    <row r="109" spans="1:17">
      <c r="A109" s="194" t="s">
        <v>1169</v>
      </c>
      <c r="B109" s="195" t="s">
        <v>1170</v>
      </c>
      <c r="C109" s="194" t="str">
        <f>CHOOSE(Translations!$C$1+1,L109,M109,N109)</f>
        <v>TCS-1.1⁽ᴹ⁾ Porcentaje de personas en TARV entre todas las personas viviendo con VIH al final del período de reporte</v>
      </c>
      <c r="D109" s="194" t="str">
        <f>CHOOSE(Translations!$C$1+1,O109,P109,Q109)</f>
        <v>Edad,Género,Duración del tratamiento,Grupo de riesgo objetivo</v>
      </c>
      <c r="E109" s="194" t="str">
        <f t="shared" si="4"/>
        <v>TCS-1.1⁽ᴹ⁾ Porcentaje de personas en TARV entre todas las personas viviendo con VIH al final del período de reporte</v>
      </c>
      <c r="F109" s="195" t="str">
        <f t="shared" si="3"/>
        <v>MCI-01073</v>
      </c>
      <c r="G109" s="194" t="s">
        <v>1171</v>
      </c>
      <c r="H109" s="195"/>
      <c r="I109" s="195" t="s">
        <v>663</v>
      </c>
      <c r="J109" s="195" t="s">
        <v>1002</v>
      </c>
      <c r="K109" s="195" t="s">
        <v>1035</v>
      </c>
      <c r="L109" s="409" t="s">
        <v>1172</v>
      </c>
      <c r="M109" s="409" t="s">
        <v>1173</v>
      </c>
      <c r="N109" s="409" t="s">
        <v>1174</v>
      </c>
      <c r="O109" s="195" t="s">
        <v>1175</v>
      </c>
      <c r="P109" s="195" t="s">
        <v>1176</v>
      </c>
      <c r="Q109" s="195" t="s">
        <v>1177</v>
      </c>
    </row>
    <row r="110" spans="1:17">
      <c r="A110" s="194" t="s">
        <v>1169</v>
      </c>
      <c r="B110" s="195" t="s">
        <v>1178</v>
      </c>
      <c r="C110" s="194" t="str">
        <f>CHOOSE(Translations!$C$1+1,L110,M110,N110)</f>
        <v>TCS-1b⁽ᴹ⁾ Porcentaje de adultos (15 años o más) en TARV entre el total de adultos viviendo con VIH al final del período de reporte</v>
      </c>
      <c r="D110" s="194" t="str">
        <f>CHOOSE(Translations!$C$1+1,O110,P110,Q110)</f>
        <v>Género,Duración del tratamiento,Grupo de riesgo objetivo</v>
      </c>
      <c r="E110" s="194" t="str">
        <f t="shared" si="4"/>
        <v>TCS-1b⁽ᴹ⁾ Porcentaje de adultos (15 años o más) en TARV entre el total de adultos viviendo con VIH al final del período de reporte</v>
      </c>
      <c r="F110" s="195" t="str">
        <f t="shared" si="3"/>
        <v>MCI-01074</v>
      </c>
      <c r="G110" s="194" t="s">
        <v>1179</v>
      </c>
      <c r="H110" s="195"/>
      <c r="I110" s="195" t="s">
        <v>663</v>
      </c>
      <c r="J110" s="195" t="s">
        <v>1002</v>
      </c>
      <c r="K110" s="195" t="s">
        <v>1035</v>
      </c>
      <c r="L110" s="409" t="s">
        <v>1180</v>
      </c>
      <c r="M110" s="409" t="s">
        <v>1181</v>
      </c>
      <c r="N110" s="409" t="s">
        <v>1182</v>
      </c>
      <c r="O110" s="195" t="s">
        <v>1183</v>
      </c>
      <c r="P110" s="195" t="s">
        <v>1184</v>
      </c>
      <c r="Q110" s="195" t="s">
        <v>1185</v>
      </c>
    </row>
    <row r="111" spans="1:17">
      <c r="A111" s="194" t="s">
        <v>1169</v>
      </c>
      <c r="B111" s="195" t="s">
        <v>1186</v>
      </c>
      <c r="C111" s="194" t="str">
        <f>CHOOSE(Translations!$C$1+1,L111,M111,N111)</f>
        <v>TCS-1c⁽ᴹ⁾ Porcentaje de niños (menores de 15 años) en TARV entre el total de niños viviendo con VIH al final del período de reporte</v>
      </c>
      <c r="D111" s="194" t="str">
        <f>CHOOSE(Translations!$C$1+1,O111,P111,Q111)</f>
        <v>Género,Duración del tratamiento</v>
      </c>
      <c r="E111" s="194" t="str">
        <f t="shared" si="4"/>
        <v>TCS-1c⁽ᴹ⁾ Porcentaje de niños (menores de 15 años) en TARV entre el total de niños viviendo con VIH al final del período de reporte</v>
      </c>
      <c r="F111" s="195" t="str">
        <f t="shared" si="3"/>
        <v>MCI-01075</v>
      </c>
      <c r="G111" s="194" t="s">
        <v>1187</v>
      </c>
      <c r="H111" s="195"/>
      <c r="I111" s="195" t="s">
        <v>663</v>
      </c>
      <c r="J111" s="195" t="s">
        <v>1002</v>
      </c>
      <c r="K111" s="195" t="s">
        <v>1035</v>
      </c>
      <c r="L111" s="409" t="s">
        <v>1188</v>
      </c>
      <c r="M111" s="409" t="s">
        <v>1189</v>
      </c>
      <c r="N111" s="409" t="s">
        <v>1190</v>
      </c>
      <c r="O111" s="195" t="s">
        <v>1191</v>
      </c>
      <c r="P111" s="195" t="s">
        <v>1192</v>
      </c>
      <c r="Q111" s="195" t="s">
        <v>1193</v>
      </c>
    </row>
    <row r="112" spans="1:17">
      <c r="A112" s="194" t="s">
        <v>1194</v>
      </c>
      <c r="B112" s="195" t="s">
        <v>1195</v>
      </c>
      <c r="C112" s="194" t="str">
        <f>CHOOSE(Translations!$C$1+1,L112,M112,N112)</f>
        <v>TCP-1⁽ᴹ⁾ Número de casos notificados de todas las formas de tuberculosis (esto es, confirmados bacteriológicamente y con diagnóstico clínico), casos nuevos y recaídas.</v>
      </c>
      <c r="D112" s="194" t="str">
        <f>CHOOSE(Translations!$C$1+1,O112,P112,Q112)</f>
        <v>Edad,Género,Resultado de prueba del VIH,Definición de caso</v>
      </c>
      <c r="E112" s="194" t="str">
        <f t="shared" si="4"/>
        <v>TCP-1⁽ᴹ⁾ Número de casos notificados de todas las formas de tuberculosis (esto es, confirmados bacteriológicamente y con diagnóstico clínico), casos nuevos y recaídas.</v>
      </c>
      <c r="F112" s="195" t="str">
        <f t="shared" si="3"/>
        <v>MCI-01076</v>
      </c>
      <c r="G112" s="194" t="s">
        <v>1196</v>
      </c>
      <c r="H112" s="195"/>
      <c r="I112" s="195" t="s">
        <v>663</v>
      </c>
      <c r="J112" s="195" t="s">
        <v>1002</v>
      </c>
      <c r="K112" s="195" t="s">
        <v>1041</v>
      </c>
      <c r="L112" s="409" t="s">
        <v>1197</v>
      </c>
      <c r="M112" s="409" t="s">
        <v>1198</v>
      </c>
      <c r="N112" s="409" t="s">
        <v>1199</v>
      </c>
      <c r="O112" s="195" t="s">
        <v>1200</v>
      </c>
      <c r="P112" s="195" t="s">
        <v>1201</v>
      </c>
      <c r="Q112" s="195" t="s">
        <v>1202</v>
      </c>
    </row>
    <row r="113" spans="1:17">
      <c r="A113" s="194" t="s">
        <v>1194</v>
      </c>
      <c r="B113" s="195" t="s">
        <v>1203</v>
      </c>
      <c r="C113" s="194" t="str">
        <f>CHOOSE(Translations!$C$1+1,L113,M113,N113)</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113" s="194" t="str">
        <f>CHOOSE(Translations!$C$1+1,O113,P113,Q113)</f>
        <v>Edad,Género,Resultado de prueba del VIH</v>
      </c>
      <c r="E113" s="194" t="str">
        <f t="shared" si="4"/>
        <v>TCP-2⁽ᴹ⁾ Tasa de éxito del tratamiento en todas las formas de tuberculosis: Porcentaje de casos de tuberculosis, en todas sus formas, confirmados bacteriológicamente y con diagnóstico clínico que se han tratado con éxito (curados y tratamiento completado)</v>
      </c>
      <c r="F113" s="195" t="str">
        <f t="shared" si="3"/>
        <v>MCI-01077</v>
      </c>
      <c r="G113" s="194" t="s">
        <v>1204</v>
      </c>
      <c r="H113" s="195"/>
      <c r="I113" s="195" t="s">
        <v>663</v>
      </c>
      <c r="J113" s="195" t="s">
        <v>1002</v>
      </c>
      <c r="K113" s="195" t="s">
        <v>1041</v>
      </c>
      <c r="L113" s="409" t="s">
        <v>1205</v>
      </c>
      <c r="M113" s="409" t="s">
        <v>1206</v>
      </c>
      <c r="N113" s="409" t="s">
        <v>1207</v>
      </c>
      <c r="O113" s="195" t="s">
        <v>1135</v>
      </c>
      <c r="P113" s="195" t="s">
        <v>1136</v>
      </c>
      <c r="Q113" s="195" t="s">
        <v>1137</v>
      </c>
    </row>
    <row r="114" spans="1:17">
      <c r="A114" s="194" t="s">
        <v>1194</v>
      </c>
      <c r="B114" s="195" t="s">
        <v>1208</v>
      </c>
      <c r="C114" s="194" t="str">
        <f>CHOOSE(Translations!$C$1+1,L114,M114,N114)</f>
        <v>TCP-3 Porcentaje de laboratorios que demuestran un desempeño adecuado en el aseguramiento externo de la calidad en lo que se refiere a la microscopía de frotis entre el número total de laboratorios que realizan microscopía de frotis durante el periodo de presentación de informes.</v>
      </c>
      <c r="D114" s="194">
        <f>CHOOSE(Translations!$C$1+1,O114,P114,Q114)</f>
        <v>0</v>
      </c>
      <c r="E114" s="194" t="str">
        <f t="shared" si="4"/>
        <v xml:space="preserve">TCP-3 Porcentaje de laboratorios que demuestran un desempeño adecuado en el aseguramiento externo de la calidad en lo que se refiere a la microscopía de frotis entre el número total de laboratorios que realizan microscopía de frotis durante el periodo de </v>
      </c>
      <c r="F114" s="195" t="str">
        <f t="shared" si="3"/>
        <v>MCI-01078</v>
      </c>
      <c r="G114" s="194" t="s">
        <v>1209</v>
      </c>
      <c r="H114" s="195"/>
      <c r="I114" s="195" t="s">
        <v>663</v>
      </c>
      <c r="J114" s="195" t="s">
        <v>1002</v>
      </c>
      <c r="K114" s="195" t="s">
        <v>1210</v>
      </c>
      <c r="L114" s="409" t="s">
        <v>1211</v>
      </c>
      <c r="M114" s="409" t="s">
        <v>1212</v>
      </c>
      <c r="N114" s="409" t="s">
        <v>1213</v>
      </c>
      <c r="O114" s="195"/>
      <c r="P114" s="195"/>
      <c r="Q114" s="195"/>
    </row>
    <row r="115" spans="1:17">
      <c r="A115" s="194" t="s">
        <v>1194</v>
      </c>
      <c r="B115" s="195" t="s">
        <v>1214</v>
      </c>
      <c r="C115" s="194" t="str">
        <f>CHOOSE(Translations!$C$1+1,L115,M115,N115)</f>
        <v>TCP-5.1 Número de personas en contacto con pacientes de tuberculosis que empezaron a recibir terapia preventiva.</v>
      </c>
      <c r="D115" s="194" t="str">
        <f>CHOOSE(Translations!$C$1+1,O115,P115,Q115)</f>
        <v>Edad</v>
      </c>
      <c r="E115" s="194" t="str">
        <f t="shared" si="4"/>
        <v>TCP-5.1 Número de personas en contacto con pacientes de tuberculosis que empezaron a recibir terapia preventiva.</v>
      </c>
      <c r="F115" s="195" t="str">
        <f t="shared" si="3"/>
        <v>MCI-01079</v>
      </c>
      <c r="G115" s="194" t="s">
        <v>1215</v>
      </c>
      <c r="H115" s="195"/>
      <c r="I115" s="195" t="s">
        <v>663</v>
      </c>
      <c r="J115" s="195" t="s">
        <v>1002</v>
      </c>
      <c r="K115" s="195" t="s">
        <v>1041</v>
      </c>
      <c r="L115" s="409" t="s">
        <v>1216</v>
      </c>
      <c r="M115" s="409" t="s">
        <v>1217</v>
      </c>
      <c r="N115" s="409" t="s">
        <v>1218</v>
      </c>
      <c r="O115" s="195" t="s">
        <v>697</v>
      </c>
      <c r="P115" s="195" t="s">
        <v>697</v>
      </c>
      <c r="Q115" s="195" t="s">
        <v>698</v>
      </c>
    </row>
    <row r="116" spans="1:17">
      <c r="A116" s="194" t="s">
        <v>1194</v>
      </c>
      <c r="B116" s="195" t="s">
        <v>1219</v>
      </c>
      <c r="C116" s="194" t="str">
        <f>CHOOSE(Translations!$C$1+1,L116,M116,N116)</f>
        <v>TCP-6a Número de casos de tuberculosis (en todas sus formas) notificados entre reclusos.</v>
      </c>
      <c r="D116" s="194">
        <f>CHOOSE(Translations!$C$1+1,O116,P116,Q116)</f>
        <v>0</v>
      </c>
      <c r="E116" s="194" t="str">
        <f t="shared" si="4"/>
        <v>TCP-6a Número de casos de tuberculosis (en todas sus formas) notificados entre reclusos.</v>
      </c>
      <c r="F116" s="195" t="str">
        <f t="shared" si="3"/>
        <v>MCI-01080</v>
      </c>
      <c r="G116" s="194" t="s">
        <v>1220</v>
      </c>
      <c r="H116" s="195"/>
      <c r="I116" s="195" t="s">
        <v>663</v>
      </c>
      <c r="J116" s="195" t="s">
        <v>1002</v>
      </c>
      <c r="K116" s="195" t="s">
        <v>1041</v>
      </c>
      <c r="L116" s="409" t="s">
        <v>1221</v>
      </c>
      <c r="M116" s="409" t="s">
        <v>1222</v>
      </c>
      <c r="N116" s="409" t="s">
        <v>1223</v>
      </c>
      <c r="O116" s="195"/>
      <c r="P116" s="195"/>
      <c r="Q116" s="195"/>
    </row>
    <row r="117" spans="1:17">
      <c r="A117" s="194" t="s">
        <v>1194</v>
      </c>
      <c r="B117" s="195" t="s">
        <v>1224</v>
      </c>
      <c r="C117" s="194" t="str">
        <f>CHOOSE(Translations!$C$1+1,L117,M117,N117)</f>
        <v>TCP-6b Número de casos de tuberculosis (en todas sus formas) notificados entre las poblaciones clave afectadas o los grupos de alto riesgo (distintos de los reclusos).</v>
      </c>
      <c r="D117" s="194" t="str">
        <f>CHOOSE(Translations!$C$1+1,O117,P117,Q117)</f>
        <v>Grupo de riesgo objetivo</v>
      </c>
      <c r="E117" s="194" t="str">
        <f t="shared" si="4"/>
        <v>TCP-6b Número de casos de tuberculosis (en todas sus formas) notificados entre las poblaciones clave afectadas o los grupos de alto riesgo (distintos de los reclusos).</v>
      </c>
      <c r="F117" s="195" t="str">
        <f t="shared" si="3"/>
        <v>MCI-01081</v>
      </c>
      <c r="G117" s="194" t="s">
        <v>1225</v>
      </c>
      <c r="H117" s="195"/>
      <c r="I117" s="195" t="s">
        <v>663</v>
      </c>
      <c r="J117" s="195" t="s">
        <v>1002</v>
      </c>
      <c r="K117" s="195" t="s">
        <v>1041</v>
      </c>
      <c r="L117" s="409" t="s">
        <v>1226</v>
      </c>
      <c r="M117" s="409" t="s">
        <v>1227</v>
      </c>
      <c r="N117" s="409" t="s">
        <v>1228</v>
      </c>
      <c r="O117" s="195" t="s">
        <v>1229</v>
      </c>
      <c r="P117" s="195" t="s">
        <v>1230</v>
      </c>
      <c r="Q117" s="195" t="s">
        <v>1231</v>
      </c>
    </row>
    <row r="118" spans="1:17">
      <c r="A118" s="194" t="s">
        <v>1194</v>
      </c>
      <c r="B118" s="195" t="s">
        <v>1232</v>
      </c>
      <c r="C118" s="194" t="str">
        <f>CHOOSE(Translations!$C$1+1,L118,M118,N118)</f>
        <v>TCP-7a Número de casos de tuberculosis notificados (en todas sus formas) aportados por proveedores que no pertenecen al programa nacional para el control de la tuberculosis: centros privados o no gubernamentales.</v>
      </c>
      <c r="D118" s="194">
        <f>CHOOSE(Translations!$C$1+1,O118,P118,Q118)</f>
        <v>0</v>
      </c>
      <c r="E118" s="194" t="str">
        <f t="shared" si="4"/>
        <v>TCP-7a Número de casos de tuberculosis notificados (en todas sus formas) aportados por proveedores que no pertenecen al programa nacional para el control de la tuberculosis: centros privados o no gubernamentales.</v>
      </c>
      <c r="F118" s="195" t="str">
        <f t="shared" si="3"/>
        <v>MCI-01082</v>
      </c>
      <c r="G118" s="194" t="s">
        <v>1233</v>
      </c>
      <c r="H118" s="195"/>
      <c r="I118" s="195" t="s">
        <v>663</v>
      </c>
      <c r="J118" s="195" t="s">
        <v>1002</v>
      </c>
      <c r="K118" s="195" t="s">
        <v>1041</v>
      </c>
      <c r="L118" s="409" t="s">
        <v>1234</v>
      </c>
      <c r="M118" s="409" t="s">
        <v>1235</v>
      </c>
      <c r="N118" s="409" t="s">
        <v>1236</v>
      </c>
      <c r="O118" s="195"/>
      <c r="P118" s="195"/>
      <c r="Q118" s="195"/>
    </row>
    <row r="119" spans="1:17">
      <c r="A119" s="194" t="s">
        <v>1194</v>
      </c>
      <c r="B119" s="195" t="s">
        <v>1237</v>
      </c>
      <c r="C119" s="194" t="str">
        <f>CHOOSE(Translations!$C$1+1,L119,M119,N119)</f>
        <v>TCP-7b Número de casos de tuberculosis notificados (en todas sus formas) aportados por proveedores que no pertenecen al programa nacional para el control de la tuberculosis: sector público.</v>
      </c>
      <c r="D119" s="194">
        <f>CHOOSE(Translations!$C$1+1,O119,P119,Q119)</f>
        <v>0</v>
      </c>
      <c r="E119" s="194" t="str">
        <f t="shared" si="4"/>
        <v>TCP-7b Número de casos de tuberculosis notificados (en todas sus formas) aportados por proveedores que no pertenecen al programa nacional para el control de la tuberculosis: sector público.</v>
      </c>
      <c r="F119" s="195" t="str">
        <f t="shared" si="3"/>
        <v>MCI-01083</v>
      </c>
      <c r="G119" s="194" t="s">
        <v>1238</v>
      </c>
      <c r="H119" s="195"/>
      <c r="I119" s="195" t="s">
        <v>663</v>
      </c>
      <c r="J119" s="195" t="s">
        <v>1002</v>
      </c>
      <c r="K119" s="195" t="s">
        <v>1041</v>
      </c>
      <c r="L119" s="409" t="s">
        <v>1239</v>
      </c>
      <c r="M119" s="409" t="s">
        <v>1240</v>
      </c>
      <c r="N119" s="409" t="s">
        <v>1241</v>
      </c>
      <c r="O119" s="195"/>
      <c r="P119" s="195"/>
      <c r="Q119" s="195"/>
    </row>
    <row r="120" spans="1:17">
      <c r="A120" s="194" t="s">
        <v>1194</v>
      </c>
      <c r="B120" s="195" t="s">
        <v>1242</v>
      </c>
      <c r="C120" s="194" t="str">
        <f>CHOOSE(Translations!$C$1+1,L120,M120,N120)</f>
        <v>TCP-7c Número de casos de tuberculosis notificados (en todas sus formas) aportados por proveedores que no pertenecen al programa nacional para el control de la tuberculosis: derivados desde las comunidades.</v>
      </c>
      <c r="D120" s="194">
        <f>CHOOSE(Translations!$C$1+1,O120,P120,Q120)</f>
        <v>0</v>
      </c>
      <c r="E120" s="194" t="str">
        <f t="shared" si="4"/>
        <v>TCP-7c Número de casos de tuberculosis notificados (en todas sus formas) aportados por proveedores que no pertenecen al programa nacional para el control de la tuberculosis: derivados desde las comunidades.</v>
      </c>
      <c r="F120" s="195" t="str">
        <f t="shared" si="3"/>
        <v>MCI-01084</v>
      </c>
      <c r="G120" s="194" t="s">
        <v>1243</v>
      </c>
      <c r="H120" s="195"/>
      <c r="I120" s="195" t="s">
        <v>663</v>
      </c>
      <c r="J120" s="195" t="s">
        <v>1002</v>
      </c>
      <c r="K120" s="195" t="s">
        <v>1041</v>
      </c>
      <c r="L120" s="409" t="s">
        <v>1244</v>
      </c>
      <c r="M120" s="409" t="s">
        <v>1245</v>
      </c>
      <c r="N120" s="409" t="s">
        <v>1246</v>
      </c>
      <c r="O120" s="195" t="s">
        <v>1100</v>
      </c>
      <c r="P120" s="195"/>
      <c r="Q120" s="195"/>
    </row>
    <row r="121" spans="1:17">
      <c r="A121" s="194" t="s">
        <v>1194</v>
      </c>
      <c r="B121" s="195" t="s">
        <v>1247</v>
      </c>
      <c r="C121" s="194" t="str">
        <f>CHOOSE(Translations!$C$1+1,L121,M121,N121)</f>
        <v>TCP-8 Porcentaje de pacientes de tuberculosis notificados como casos nuevos y recaídas analizados con las pruebas rápidas recomendadas por la OMS en el momento del diagnóstico.</v>
      </c>
      <c r="D121" s="194">
        <f>CHOOSE(Translations!$C$1+1,O121,P121,Q121)</f>
        <v>0</v>
      </c>
      <c r="E121" s="194" t="str">
        <f t="shared" si="4"/>
        <v>TCP-8 Porcentaje de pacientes de tuberculosis notificados como casos nuevos y recaídas analizados con las pruebas rápidas recomendadas por la OMS en el momento del diagnóstico.</v>
      </c>
      <c r="F121" s="195" t="str">
        <f t="shared" si="3"/>
        <v>MCI-01085</v>
      </c>
      <c r="G121" s="194" t="s">
        <v>1248</v>
      </c>
      <c r="H121" s="195"/>
      <c r="I121" s="195" t="s">
        <v>663</v>
      </c>
      <c r="J121" s="195" t="s">
        <v>1002</v>
      </c>
      <c r="K121" s="195" t="s">
        <v>1041</v>
      </c>
      <c r="L121" s="409" t="s">
        <v>1249</v>
      </c>
      <c r="M121" s="409" t="s">
        <v>1250</v>
      </c>
      <c r="N121" s="409" t="s">
        <v>1251</v>
      </c>
      <c r="O121" s="195"/>
      <c r="P121" s="195"/>
      <c r="Q121" s="195"/>
    </row>
    <row r="122" spans="1:17">
      <c r="A122" s="194" t="s">
        <v>1252</v>
      </c>
      <c r="B122" s="195" t="s">
        <v>1253</v>
      </c>
      <c r="C122" s="194" t="str">
        <f>CHOOSE(Translations!$C$1+1,L122,M122,N122)</f>
        <v>MDR TB-2⁽ᴹ⁾ Número de casos de tuberculosis resistente a la rifampicina y/o multirresistente notificados.</v>
      </c>
      <c r="D122" s="194" t="str">
        <f>CHOOSE(Translations!$C$1+1,O122,P122,Q122)</f>
        <v>Edad,Género</v>
      </c>
      <c r="E122" s="194" t="str">
        <f t="shared" si="4"/>
        <v>MDR TB-2⁽ᴹ⁾ Número de casos de tuberculosis resistente a la rifampicina y/o multirresistente notificados.</v>
      </c>
      <c r="F122" s="195" t="str">
        <f t="shared" si="3"/>
        <v>MCI-01086</v>
      </c>
      <c r="G122" s="194" t="s">
        <v>1254</v>
      </c>
      <c r="H122" s="195"/>
      <c r="I122" s="195" t="s">
        <v>663</v>
      </c>
      <c r="J122" s="195" t="s">
        <v>1002</v>
      </c>
      <c r="K122" s="195" t="s">
        <v>1041</v>
      </c>
      <c r="L122" s="409" t="s">
        <v>1255</v>
      </c>
      <c r="M122" s="409" t="s">
        <v>1256</v>
      </c>
      <c r="N122" s="409" t="s">
        <v>1257</v>
      </c>
      <c r="O122" s="195" t="s">
        <v>1022</v>
      </c>
      <c r="P122" s="195" t="s">
        <v>683</v>
      </c>
      <c r="Q122" s="195" t="s">
        <v>684</v>
      </c>
    </row>
    <row r="123" spans="1:17">
      <c r="A123" s="194" t="s">
        <v>1252</v>
      </c>
      <c r="B123" s="195" t="s">
        <v>1258</v>
      </c>
      <c r="C123" s="194" t="str">
        <f>CHOOSE(Translations!$C$1+1,L123,M123,N123)</f>
        <v>MDR TB-3⁽ᴹ⁾ Número de casos de tuberculosis resistente a la rifampicina y/o multirresistente que empezaron a recibir tratamiento de segunda línea.</v>
      </c>
      <c r="D123" s="194" t="str">
        <f>CHOOSE(Translations!$C$1+1,O123,P123,Q123)</f>
        <v>Edad,Género,Tipo de tratamiento</v>
      </c>
      <c r="E123" s="194" t="str">
        <f t="shared" si="4"/>
        <v>MDR TB-3⁽ᴹ⁾ Número de casos de tuberculosis resistente a la rifampicina y/o multirresistente que empezaron a recibir tratamiento de segunda línea.</v>
      </c>
      <c r="F123" s="195" t="str">
        <f t="shared" si="3"/>
        <v>MCI-01087</v>
      </c>
      <c r="G123" s="194" t="s">
        <v>1259</v>
      </c>
      <c r="H123" s="195"/>
      <c r="I123" s="195" t="s">
        <v>663</v>
      </c>
      <c r="J123" s="195" t="s">
        <v>1002</v>
      </c>
      <c r="K123" s="195" t="s">
        <v>1041</v>
      </c>
      <c r="L123" s="409" t="s">
        <v>1260</v>
      </c>
      <c r="M123" s="409" t="s">
        <v>1261</v>
      </c>
      <c r="N123" s="409" t="s">
        <v>1262</v>
      </c>
      <c r="O123" s="195" t="s">
        <v>1263</v>
      </c>
      <c r="P123" s="195" t="s">
        <v>1264</v>
      </c>
      <c r="Q123" s="195" t="s">
        <v>1265</v>
      </c>
    </row>
    <row r="124" spans="1:17">
      <c r="A124" s="194" t="s">
        <v>1252</v>
      </c>
      <c r="B124" s="195" t="s">
        <v>1266</v>
      </c>
      <c r="C124" s="194" t="str">
        <f>CHOOSE(Translations!$C$1+1,L124,M124,N124)</f>
        <v>MDR TB-4 Porcentaje de casos de tuberculosis resistente a la rifampicina y/o multirresistente que comenzaron a recibir tratamiento para la tuberculosis multirresistente y cuyo seguimiento se interrumpió a los seis meses.</v>
      </c>
      <c r="D124" s="194">
        <f>CHOOSE(Translations!$C$1+1,O124,P124,Q124)</f>
        <v>0</v>
      </c>
      <c r="E124" s="194" t="str">
        <f t="shared" si="4"/>
        <v>MDR TB-4 Porcentaje de casos de tuberculosis resistente a la rifampicina y/o multirresistente que comenzaron a recibir tratamiento para la tuberculosis multirresistente y cuyo seguimiento se interrumpió a los seis meses.</v>
      </c>
      <c r="F124" s="195" t="str">
        <f t="shared" si="3"/>
        <v>MCI-01088</v>
      </c>
      <c r="G124" s="194" t="s">
        <v>1267</v>
      </c>
      <c r="H124" s="195"/>
      <c r="I124" s="195" t="s">
        <v>663</v>
      </c>
      <c r="J124" s="195" t="s">
        <v>1002</v>
      </c>
      <c r="K124" s="195" t="s">
        <v>1041</v>
      </c>
      <c r="L124" s="409" t="s">
        <v>1268</v>
      </c>
      <c r="M124" s="409" t="s">
        <v>1269</v>
      </c>
      <c r="N124" s="409" t="s">
        <v>1270</v>
      </c>
      <c r="O124" s="195"/>
      <c r="P124" s="195"/>
      <c r="Q124" s="195"/>
    </row>
    <row r="125" spans="1:17">
      <c r="A125" s="194" t="s">
        <v>1252</v>
      </c>
      <c r="B125" s="195" t="s">
        <v>1271</v>
      </c>
      <c r="C125" s="194" t="str">
        <f>CHOOSE(Translations!$C$1+1,L125,M125,N125)</f>
        <v>MDR TB-5 Porcentaje de laboratorios de pruebas de sensibilidad a los medicamentos que muestran un desempeño adecuado en lo que se refiere al aseguramiento externo de la calidad.</v>
      </c>
      <c r="D125" s="194">
        <f>CHOOSE(Translations!$C$1+1,O125,P125,Q125)</f>
        <v>0</v>
      </c>
      <c r="E125" s="194" t="str">
        <f t="shared" si="4"/>
        <v>MDR TB-5 Porcentaje de laboratorios de pruebas de sensibilidad a los medicamentos que muestran un desempeño adecuado en lo que se refiere al aseguramiento externo de la calidad.</v>
      </c>
      <c r="F125" s="195" t="str">
        <f t="shared" si="3"/>
        <v>MCI-01089</v>
      </c>
      <c r="G125" s="194" t="s">
        <v>1272</v>
      </c>
      <c r="H125" s="195"/>
      <c r="I125" s="195" t="s">
        <v>663</v>
      </c>
      <c r="J125" s="195" t="s">
        <v>1002</v>
      </c>
      <c r="K125" s="195" t="s">
        <v>1210</v>
      </c>
      <c r="L125" s="409" t="s">
        <v>1273</v>
      </c>
      <c r="M125" s="409" t="s">
        <v>1274</v>
      </c>
      <c r="N125" s="409" t="s">
        <v>1275</v>
      </c>
      <c r="O125" s="195"/>
      <c r="P125" s="195"/>
      <c r="Q125" s="195"/>
    </row>
    <row r="126" spans="1:17">
      <c r="A126" s="194" t="s">
        <v>1252</v>
      </c>
      <c r="B126" s="195" t="s">
        <v>1276</v>
      </c>
      <c r="C126" s="194" t="str">
        <f>CHOOSE(Translations!$C$1+1,L126,M126,N126)</f>
        <v>MDR TB-6 Porcentaje de pacientes con tuberculosis y resultados de sensibilidad a los fármacos al menos con respecto a la rifampicina entre el número total de casos notificados (nuevos y vueltos a tratar) en el mismo año.</v>
      </c>
      <c r="D126" s="194">
        <f>CHOOSE(Translations!$C$1+1,O126,P126,Q126)</f>
        <v>0</v>
      </c>
      <c r="E126" s="194" t="str">
        <f t="shared" si="4"/>
        <v>MDR TB-6 Porcentaje de pacientes con tuberculosis y resultados de sensibilidad a los fármacos al menos con respecto a la rifampicina entre el número total de casos notificados (nuevos y vueltos a tratar) en el mismo año.</v>
      </c>
      <c r="F126" s="195" t="str">
        <f t="shared" si="3"/>
        <v>MCI-01090</v>
      </c>
      <c r="G126" s="194" t="s">
        <v>1277</v>
      </c>
      <c r="H126" s="195"/>
      <c r="I126" s="195" t="s">
        <v>663</v>
      </c>
      <c r="J126" s="195" t="s">
        <v>1002</v>
      </c>
      <c r="K126" s="195" t="s">
        <v>1041</v>
      </c>
      <c r="L126" s="409" t="s">
        <v>1278</v>
      </c>
      <c r="M126" s="409" t="s">
        <v>1279</v>
      </c>
      <c r="N126" s="409" t="s">
        <v>1280</v>
      </c>
      <c r="O126" s="195"/>
      <c r="P126" s="195"/>
      <c r="Q126" s="195"/>
    </row>
    <row r="127" spans="1:17">
      <c r="A127" s="194" t="s">
        <v>1252</v>
      </c>
      <c r="B127" s="195" t="s">
        <v>1281</v>
      </c>
      <c r="C127" s="194" t="str">
        <f>CHOOSE(Translations!$C$1+1,L127,M127,N127)</f>
        <v>MDR TB-7.1 Porcentaje de casos confirmados de tuberculosis resistente a la rifampicina y/o multirresistente que se han sometido a pruebas para detectar la resistencia a medicamentos de segunda línea.</v>
      </c>
      <c r="D127" s="194">
        <f>CHOOSE(Translations!$C$1+1,O127,P127,Q127)</f>
        <v>0</v>
      </c>
      <c r="E127" s="194" t="str">
        <f t="shared" si="4"/>
        <v>MDR TB-7.1 Porcentaje de casos confirmados de tuberculosis resistente a la rifampicina y/o multirresistente que se han sometido a pruebas para detectar la resistencia a medicamentos de segunda línea.</v>
      </c>
      <c r="F127" s="195" t="str">
        <f t="shared" si="3"/>
        <v>MCI-01091</v>
      </c>
      <c r="G127" s="194" t="s">
        <v>1282</v>
      </c>
      <c r="H127" s="195"/>
      <c r="I127" s="195" t="s">
        <v>663</v>
      </c>
      <c r="J127" s="195" t="s">
        <v>1002</v>
      </c>
      <c r="K127" s="195" t="s">
        <v>1041</v>
      </c>
      <c r="L127" s="409" t="s">
        <v>1283</v>
      </c>
      <c r="M127" s="409" t="s">
        <v>1284</v>
      </c>
      <c r="N127" s="409" t="s">
        <v>1285</v>
      </c>
      <c r="O127" s="195"/>
      <c r="P127" s="195"/>
      <c r="Q127" s="195"/>
    </row>
    <row r="128" spans="1:17">
      <c r="A128" s="194" t="s">
        <v>1252</v>
      </c>
      <c r="B128" s="195" t="s">
        <v>1286</v>
      </c>
      <c r="C128" s="194" t="str">
        <f>CHOOSE(Translations!$C$1+1,L128,M128,N128)</f>
        <v>MDR TB-8 Número de casos de tuberculosis ultrarresistente (TB-XR) que reciben tratamiento.</v>
      </c>
      <c r="D128" s="194">
        <f>CHOOSE(Translations!$C$1+1,O128,P128,Q128)</f>
        <v>0</v>
      </c>
      <c r="E128" s="194" t="str">
        <f t="shared" si="4"/>
        <v>MDR TB-8 Número de casos de tuberculosis ultrarresistente (TB-XR) que reciben tratamiento.</v>
      </c>
      <c r="F128" s="195" t="str">
        <f t="shared" si="3"/>
        <v>MCI-01092</v>
      </c>
      <c r="G128" s="194" t="s">
        <v>1287</v>
      </c>
      <c r="H128" s="195"/>
      <c r="I128" s="195" t="s">
        <v>663</v>
      </c>
      <c r="J128" s="195" t="s">
        <v>1002</v>
      </c>
      <c r="K128" s="195" t="s">
        <v>1041</v>
      </c>
      <c r="L128" s="409" t="s">
        <v>1288</v>
      </c>
      <c r="M128" s="409" t="s">
        <v>1289</v>
      </c>
      <c r="N128" s="409" t="s">
        <v>1290</v>
      </c>
      <c r="O128" s="195"/>
      <c r="P128" s="195"/>
      <c r="Q128" s="195"/>
    </row>
    <row r="129" spans="1:17">
      <c r="A129" s="194" t="s">
        <v>1252</v>
      </c>
      <c r="B129" s="195" t="s">
        <v>1291</v>
      </c>
      <c r="C129" s="194" t="str">
        <f>CHOOSE(Translations!$C$1+1,L129,M129,N129)</f>
        <v>MDR TB-9 Índice de éxito del tratamiento de los casos de tuberculosis resistente a la rifampicina y/o tuberculosis multirresistente: Porcentaje de casos de tuberculosis resistente a la rifampicina y/o tuberculosis multirresistente tratados con éxito.</v>
      </c>
      <c r="D129" s="194" t="str">
        <f>CHOOSE(Translations!$C$1+1,O129,P129,Q129)</f>
        <v>Edad,Género,Resultado de prueba del VIH,Definición de caso</v>
      </c>
      <c r="E129" s="194" t="str">
        <f t="shared" si="4"/>
        <v>MDR TB-9 Índice de éxito del tratamiento de los casos de tuberculosis resistente a la rifampicina y/o tuberculosis multirresistente: Porcentaje de casos de tuberculosis resistente a la rifampicina y/o tuberculosis multirresistente tratados con éxito.</v>
      </c>
      <c r="F129" s="195" t="str">
        <f t="shared" si="3"/>
        <v>MCI-01093</v>
      </c>
      <c r="G129" s="194" t="s">
        <v>1292</v>
      </c>
      <c r="H129" s="195"/>
      <c r="I129" s="195" t="s">
        <v>663</v>
      </c>
      <c r="J129" s="195" t="s">
        <v>1002</v>
      </c>
      <c r="K129" s="195" t="s">
        <v>1041</v>
      </c>
      <c r="L129" s="409" t="s">
        <v>1293</v>
      </c>
      <c r="M129" s="409" t="s">
        <v>1294</v>
      </c>
      <c r="N129" s="409" t="s">
        <v>1295</v>
      </c>
      <c r="O129" s="195" t="s">
        <v>1200</v>
      </c>
      <c r="P129" s="195" t="s">
        <v>1201</v>
      </c>
      <c r="Q129" s="195" t="s">
        <v>1202</v>
      </c>
    </row>
    <row r="130" spans="1:17">
      <c r="A130" s="194" t="s">
        <v>1296</v>
      </c>
      <c r="B130" s="195" t="s">
        <v>1297</v>
      </c>
      <c r="C130" s="194" t="str">
        <f>CHOOSE(Translations!$C$1+1,L130,M130,N130)</f>
        <v>TB/HIV-3.1a Porcentaje de personas que viven con VIH que iniciaron TARV que se han sometido a un tamizaje de TB</v>
      </c>
      <c r="D130" s="194" t="str">
        <f>CHOOSE(Translations!$C$1+1,O130,P130,Q130)</f>
        <v>Género,Edad</v>
      </c>
      <c r="E130" s="194" t="str">
        <f t="shared" si="4"/>
        <v>TB/HIV-3.1a Porcentaje de personas que viven con VIH que iniciaron TARV que se han sometido a un tamizaje de TB</v>
      </c>
      <c r="F130" s="195" t="str">
        <f t="shared" si="3"/>
        <v>MCI-01230</v>
      </c>
      <c r="G130" s="194" t="s">
        <v>1298</v>
      </c>
      <c r="H130" s="195"/>
      <c r="I130" s="195" t="s">
        <v>663</v>
      </c>
      <c r="J130" s="195" t="s">
        <v>1002</v>
      </c>
      <c r="K130" s="195" t="s">
        <v>1041</v>
      </c>
      <c r="L130" s="409" t="s">
        <v>1299</v>
      </c>
      <c r="M130" s="409" t="s">
        <v>1300</v>
      </c>
      <c r="N130" s="409" t="s">
        <v>1301</v>
      </c>
      <c r="O130" s="195" t="s">
        <v>711</v>
      </c>
      <c r="P130" s="195" t="s">
        <v>668</v>
      </c>
      <c r="Q130" s="195" t="s">
        <v>669</v>
      </c>
    </row>
    <row r="131" spans="1:17">
      <c r="A131" s="194" t="s">
        <v>1296</v>
      </c>
      <c r="B131" s="195" t="s">
        <v>1302</v>
      </c>
      <c r="C131" s="194" t="str">
        <f>CHOOSE(Translations!$C$1+1,L131,M131,N131)</f>
        <v>TB/HIV-5 Porcentaje de casos nuevos y recaídas de TB registrados, con estado serológico de VIH documentado</v>
      </c>
      <c r="D131" s="194" t="str">
        <f>CHOOSE(Translations!$C$1+1,O131,P131,Q131)</f>
        <v>Edad,Género,Resultado de prueba del VIH</v>
      </c>
      <c r="E131" s="194" t="str">
        <f t="shared" si="4"/>
        <v>TB/HIV-5 Porcentaje de casos nuevos y recaídas de TB registrados, con estado serológico de VIH documentado</v>
      </c>
      <c r="F131" s="195" t="str">
        <f t="shared" si="3"/>
        <v>MCI-01094</v>
      </c>
      <c r="G131" s="194" t="s">
        <v>1303</v>
      </c>
      <c r="H131" s="195"/>
      <c r="I131" s="195" t="s">
        <v>663</v>
      </c>
      <c r="J131" s="195" t="s">
        <v>1002</v>
      </c>
      <c r="K131" s="195" t="s">
        <v>1041</v>
      </c>
      <c r="L131" s="409" t="s">
        <v>1304</v>
      </c>
      <c r="M131" s="409" t="s">
        <v>1305</v>
      </c>
      <c r="N131" s="409" t="s">
        <v>1306</v>
      </c>
      <c r="O131" s="195" t="s">
        <v>1135</v>
      </c>
      <c r="P131" s="195" t="s">
        <v>1136</v>
      </c>
      <c r="Q131" s="195" t="s">
        <v>1137</v>
      </c>
    </row>
    <row r="132" spans="1:17">
      <c r="A132" s="194" t="s">
        <v>1296</v>
      </c>
      <c r="B132" s="195" t="s">
        <v>1307</v>
      </c>
      <c r="C132" s="194" t="str">
        <f>CHOOSE(Translations!$C$1+1,L132,M132,N132)</f>
        <v>TB/HIV-6⁽ᴹ⁾ Porcentaje de casos nuevos y recaídas de TB coinfectados con VIH que recibieron TARV durante el tratamiento de la TB</v>
      </c>
      <c r="D132" s="194" t="str">
        <f>CHOOSE(Translations!$C$1+1,O132,P132,Q132)</f>
        <v>Edad,Género</v>
      </c>
      <c r="E132" s="194" t="str">
        <f t="shared" si="4"/>
        <v>TB/HIV-6⁽ᴹ⁾ Porcentaje de casos nuevos y recaídas de TB coinfectados con VIH que recibieron TARV durante el tratamiento de la TB</v>
      </c>
      <c r="F132" s="195" t="str">
        <f t="shared" si="3"/>
        <v>MCI-01095</v>
      </c>
      <c r="G132" s="194" t="s">
        <v>1308</v>
      </c>
      <c r="H132" s="195"/>
      <c r="I132" s="195" t="s">
        <v>663</v>
      </c>
      <c r="J132" s="195" t="s">
        <v>1002</v>
      </c>
      <c r="K132" s="195" t="s">
        <v>1041</v>
      </c>
      <c r="L132" s="409" t="s">
        <v>1309</v>
      </c>
      <c r="M132" s="409" t="s">
        <v>1310</v>
      </c>
      <c r="N132" s="409" t="s">
        <v>1311</v>
      </c>
      <c r="O132" s="195" t="s">
        <v>1022</v>
      </c>
      <c r="P132" s="195" t="s">
        <v>683</v>
      </c>
      <c r="Q132" s="195" t="s">
        <v>684</v>
      </c>
    </row>
    <row r="133" spans="1:17">
      <c r="A133" s="194" t="s">
        <v>1296</v>
      </c>
      <c r="B133" s="195" t="s">
        <v>1312</v>
      </c>
      <c r="C133" s="194" t="str">
        <f>CHOOSE(Translations!$C$1+1,L133,M133,N133)</f>
        <v>TB/HIV-7 Porcentaje de personas que viven con el VIH recibiendo terapia antirretroviral que han iniciado la terapia preventiva de TB entre las personas que viven con el VIH elegibles durante el período de reporte</v>
      </c>
      <c r="D133" s="194" t="str">
        <f>CHOOSE(Translations!$C$1+1,O133,P133,Q133)</f>
        <v>Edad,Género,Régimen de TPT</v>
      </c>
      <c r="E133" s="194" t="str">
        <f t="shared" si="4"/>
        <v>TB/HIV-7 Porcentaje de personas que viven con el VIH recibiendo terapia antirretroviral que han iniciado la terapia preventiva de TB entre las personas que viven con el VIH elegibles durante el período de reporte</v>
      </c>
      <c r="F133" s="195" t="str">
        <f t="shared" si="3"/>
        <v>MCI-01097</v>
      </c>
      <c r="G133" s="194" t="s">
        <v>1313</v>
      </c>
      <c r="H133" s="195"/>
      <c r="I133" s="195" t="s">
        <v>663</v>
      </c>
      <c r="J133" s="195" t="s">
        <v>1002</v>
      </c>
      <c r="K133" s="195" t="s">
        <v>1041</v>
      </c>
      <c r="L133" s="409" t="s">
        <v>1314</v>
      </c>
      <c r="M133" s="409" t="s">
        <v>1315</v>
      </c>
      <c r="N133" s="409" t="s">
        <v>1316</v>
      </c>
      <c r="O133" s="195" t="s">
        <v>1317</v>
      </c>
      <c r="P133" s="195" t="s">
        <v>1318</v>
      </c>
      <c r="Q133" s="195" t="s">
        <v>1319</v>
      </c>
    </row>
    <row r="134" spans="1:17">
      <c r="A134" s="194" t="s">
        <v>1320</v>
      </c>
      <c r="B134" s="195" t="s">
        <v>1321</v>
      </c>
      <c r="C134" s="194" t="str">
        <f>CHOOSE(Translations!$C$1+1,L134,M134,N134)</f>
        <v>PSM-3 Porcentaje de establecimientos  de salud que prestan servicios de diagnóstico con productos marcadores disponibles el día de la visita o el día de la notificación</v>
      </c>
      <c r="D134" s="194">
        <f>CHOOSE(Translations!$C$1+1,O134,P134,Q134)</f>
        <v>0</v>
      </c>
      <c r="E134" s="194" t="str">
        <f t="shared" si="4"/>
        <v>PSM-3 Porcentaje de establecimientos  de salud que prestan servicios de diagnóstico con productos marcadores disponibles el día de la visita o el día de la notificación</v>
      </c>
      <c r="F134" s="195" t="str">
        <f t="shared" si="3"/>
        <v>MCI-01115</v>
      </c>
      <c r="G134" s="194" t="s">
        <v>1322</v>
      </c>
      <c r="H134" s="195"/>
      <c r="I134" s="195" t="s">
        <v>663</v>
      </c>
      <c r="J134" s="195" t="s">
        <v>1002</v>
      </c>
      <c r="K134" s="195" t="s">
        <v>1210</v>
      </c>
      <c r="L134" s="409" t="s">
        <v>1323</v>
      </c>
      <c r="M134" s="409" t="s">
        <v>1324</v>
      </c>
      <c r="N134" s="409" t="s">
        <v>1325</v>
      </c>
      <c r="O134" s="195"/>
      <c r="P134" s="195"/>
      <c r="Q134" s="195"/>
    </row>
    <row r="135" spans="1:17">
      <c r="A135" s="194" t="s">
        <v>1320</v>
      </c>
      <c r="B135" s="195" t="s">
        <v>1326</v>
      </c>
      <c r="C135" s="194" t="str">
        <f>CHOOSE(Translations!$C$1+1,L135,M135,N135)</f>
        <v>PSM-4 Porcentaje de establecimientos de salud con medicamentos marcadores para las tres enfermedades disponibles el día de la visita o el día de la notificación</v>
      </c>
      <c r="D135" s="194">
        <f>CHOOSE(Translations!$C$1+1,O135,P135,Q135)</f>
        <v>0</v>
      </c>
      <c r="E135" s="194" t="str">
        <f t="shared" si="4"/>
        <v>PSM-4 Porcentaje de establecimientos de salud con medicamentos marcadores para las tres enfermedades disponibles el día de la visita o el día de la notificación</v>
      </c>
      <c r="F135" s="195" t="str">
        <f t="shared" si="3"/>
        <v>MCI-01116</v>
      </c>
      <c r="G135" s="194" t="s">
        <v>1327</v>
      </c>
      <c r="H135" s="195"/>
      <c r="I135" s="195" t="s">
        <v>663</v>
      </c>
      <c r="J135" s="195" t="s">
        <v>1002</v>
      </c>
      <c r="K135" s="195" t="s">
        <v>1210</v>
      </c>
      <c r="L135" s="409" t="s">
        <v>1328</v>
      </c>
      <c r="M135" s="409" t="s">
        <v>1329</v>
      </c>
      <c r="N135" s="409" t="s">
        <v>1330</v>
      </c>
      <c r="O135" s="195"/>
      <c r="P135" s="195"/>
      <c r="Q135" s="195"/>
    </row>
    <row r="136" spans="1:17">
      <c r="A136" s="194" t="s">
        <v>1320</v>
      </c>
      <c r="B136" s="195" t="s">
        <v>1331</v>
      </c>
      <c r="C136" s="194" t="str">
        <f>CHOOSE(Translations!$C$1+1,L136,M136,N136)</f>
        <v>PSM-5 Porcentaje de envíos entregados a tiempo y completos en el número total de envíos que se espera que sean entregados para las tres enfermedades durante el período del informe</v>
      </c>
      <c r="D136" s="194">
        <f>CHOOSE(Translations!$C$1+1,O136,P136,Q136)</f>
        <v>0</v>
      </c>
      <c r="E136" s="194" t="str">
        <f t="shared" si="4"/>
        <v>PSM-5 Porcentaje de envíos entregados a tiempo y completos en el número total de envíos que se espera que sean entregados para las tres enfermedades durante el período del informe</v>
      </c>
      <c r="F136" s="195" t="str">
        <f t="shared" si="3"/>
        <v>MCI-01117</v>
      </c>
      <c r="G136" s="194" t="s">
        <v>1332</v>
      </c>
      <c r="H136" s="195"/>
      <c r="I136" s="195" t="s">
        <v>663</v>
      </c>
      <c r="J136" s="195" t="s">
        <v>1002</v>
      </c>
      <c r="K136" s="195" t="s">
        <v>1035</v>
      </c>
      <c r="L136" s="409" t="s">
        <v>1333</v>
      </c>
      <c r="M136" s="409" t="s">
        <v>1334</v>
      </c>
      <c r="N136" s="409" t="s">
        <v>1335</v>
      </c>
      <c r="O136" s="195"/>
      <c r="P136" s="195"/>
      <c r="Q136" s="195"/>
    </row>
    <row r="137" spans="1:17">
      <c r="A137" s="194" t="s">
        <v>1320</v>
      </c>
      <c r="B137" s="195" t="s">
        <v>1336</v>
      </c>
      <c r="C137" s="194" t="str">
        <f>CHOOSE(Translations!$C$1+1,L137,M137,N137)</f>
        <v>PSM-6 Porcentaje de productos sanitarios para órdenes de compra confirmadas con los proveedores en las cantidades previstas para las tres enfermedades durante el período del informe</v>
      </c>
      <c r="D137" s="194">
        <f>CHOOSE(Translations!$C$1+1,O137,P137,Q137)</f>
        <v>0</v>
      </c>
      <c r="E137" s="194" t="str">
        <f t="shared" si="4"/>
        <v>PSM-6 Porcentaje de productos sanitarios para órdenes de compra confirmadas con los proveedores en las cantidades previstas para las tres enfermedades durante el período del informe</v>
      </c>
      <c r="F137" s="195" t="str">
        <f t="shared" si="3"/>
        <v>MCI-01118</v>
      </c>
      <c r="G137" s="194" t="s">
        <v>1337</v>
      </c>
      <c r="H137" s="195"/>
      <c r="I137" s="195" t="s">
        <v>663</v>
      </c>
      <c r="J137" s="195" t="s">
        <v>1002</v>
      </c>
      <c r="K137" s="195" t="s">
        <v>1035</v>
      </c>
      <c r="L137" s="409" t="s">
        <v>1338</v>
      </c>
      <c r="M137" s="409" t="s">
        <v>1339</v>
      </c>
      <c r="N137" s="409" t="s">
        <v>1340</v>
      </c>
      <c r="O137" s="195"/>
      <c r="P137" s="195"/>
      <c r="Q137" s="195"/>
    </row>
    <row r="138" spans="1:17">
      <c r="A138" s="194" t="s">
        <v>1320</v>
      </c>
      <c r="B138" s="195" t="s">
        <v>1341</v>
      </c>
      <c r="C138" s="194" t="str">
        <f>CHOOSE(Translations!$C$1+1,L138,M138,N138)</f>
        <v>PSM-7 Porcentaje de lotes de productos sanitarios para las tres enfermedades sometidos a pruebas de calidad de acuerdo con la política de aseguramiento de la calidad del Fondo Mundial</v>
      </c>
      <c r="D138" s="194">
        <f>CHOOSE(Translations!$C$1+1,O138,P138,Q138)</f>
        <v>0</v>
      </c>
      <c r="E138" s="194" t="str">
        <f t="shared" si="4"/>
        <v>PSM-7 Porcentaje de lotes de productos sanitarios para las tres enfermedades sometidos a pruebas de calidad de acuerdo con la política de aseguramiento de la calidad del Fondo Mundial</v>
      </c>
      <c r="F138" s="195" t="str">
        <f t="shared" si="3"/>
        <v>MCI-01119</v>
      </c>
      <c r="G138" s="194" t="s">
        <v>1342</v>
      </c>
      <c r="H138" s="195"/>
      <c r="I138" s="195" t="s">
        <v>663</v>
      </c>
      <c r="J138" s="195" t="s">
        <v>1002</v>
      </c>
      <c r="K138" s="195" t="s">
        <v>1035</v>
      </c>
      <c r="L138" s="409" t="s">
        <v>1343</v>
      </c>
      <c r="M138" s="409" t="s">
        <v>1344</v>
      </c>
      <c r="N138" s="409" t="s">
        <v>1345</v>
      </c>
      <c r="O138" s="195"/>
      <c r="P138" s="195"/>
      <c r="Q138" s="195"/>
    </row>
    <row r="139" spans="1:17">
      <c r="A139" s="194" t="s">
        <v>1346</v>
      </c>
      <c r="B139" s="195" t="s">
        <v>1347</v>
      </c>
      <c r="C139" s="194" t="str">
        <f>CHOOSE(Translations!$C$1+1,L139,M139,N139)</f>
        <v>M&amp;E-2a Exhaustividad de los informes de los establecimientos de salud  : porcentaje de informes mensuales previstos  de los establecimientos de salud  (para el período de reporte) que se reciben realmente</v>
      </c>
      <c r="D139" s="194" t="str">
        <f>CHOOSE(Translations!$C$1+1,O139,P139,Q139)</f>
        <v>Tipo de informe</v>
      </c>
      <c r="E139" s="194" t="str">
        <f t="shared" si="4"/>
        <v>M&amp;E-2a Exhaustividad de los informes de los establecimientos de salud  : porcentaje de informes mensuales previstos  de los establecimientos de salud  (para el período de reporte) que se reciben realmente</v>
      </c>
      <c r="F139" s="195" t="str">
        <f t="shared" si="3"/>
        <v>MCI-01120</v>
      </c>
      <c r="G139" s="194" t="s">
        <v>1348</v>
      </c>
      <c r="H139" s="195"/>
      <c r="I139" s="195" t="s">
        <v>663</v>
      </c>
      <c r="J139" s="195" t="s">
        <v>1002</v>
      </c>
      <c r="K139" s="195" t="s">
        <v>1041</v>
      </c>
      <c r="L139" s="409" t="s">
        <v>1349</v>
      </c>
      <c r="M139" s="409" t="s">
        <v>1350</v>
      </c>
      <c r="N139" s="409" t="s">
        <v>1351</v>
      </c>
      <c r="O139" s="195" t="s">
        <v>1352</v>
      </c>
      <c r="P139" s="195" t="s">
        <v>1353</v>
      </c>
      <c r="Q139" s="195" t="s">
        <v>1354</v>
      </c>
    </row>
    <row r="140" spans="1:17">
      <c r="A140" s="194" t="s">
        <v>1346</v>
      </c>
      <c r="B140" s="195" t="s">
        <v>1355</v>
      </c>
      <c r="C140" s="194" t="str">
        <f>CHOOSE(Translations!$C$1+1,L140,M140,N140)</f>
        <v>M&amp;E-2b Puntualidad de los informes de los  establecimientos de salud : porcentaje de informes de los establecimientos de salud  enviados mensualmente ( para el período de reporte) que se reciben puntualmente de acuerdo con las directrices nacionales</v>
      </c>
      <c r="D140" s="194" t="str">
        <f>CHOOSE(Translations!$C$1+1,O140,P140,Q140)</f>
        <v>Tipo de informe</v>
      </c>
      <c r="E140" s="194" t="str">
        <f t="shared" si="4"/>
        <v>M&amp;E-2b Puntualidad de los informes de los  establecimientos de salud : porcentaje de informes de los establecimientos de salud  enviados mensualmente ( para el período de reporte) que se reciben puntualmente de acuerdo con las directrices nacionales</v>
      </c>
      <c r="F140" s="195" t="str">
        <f t="shared" si="3"/>
        <v>MCI-01121</v>
      </c>
      <c r="G140" s="194" t="s">
        <v>1356</v>
      </c>
      <c r="H140" s="195"/>
      <c r="I140" s="195" t="s">
        <v>663</v>
      </c>
      <c r="J140" s="195" t="s">
        <v>1002</v>
      </c>
      <c r="K140" s="195" t="s">
        <v>1041</v>
      </c>
      <c r="L140" s="409" t="s">
        <v>1357</v>
      </c>
      <c r="M140" s="409" t="s">
        <v>1358</v>
      </c>
      <c r="N140" s="409" t="s">
        <v>1359</v>
      </c>
      <c r="O140" s="195" t="s">
        <v>1352</v>
      </c>
      <c r="P140" s="195" t="s">
        <v>1353</v>
      </c>
      <c r="Q140" s="195" t="s">
        <v>1354</v>
      </c>
    </row>
    <row r="141" spans="1:17">
      <c r="A141" s="194" t="s">
        <v>1346</v>
      </c>
      <c r="B141" s="195" t="s">
        <v>1360</v>
      </c>
      <c r="C141" s="194" t="str">
        <f>CHOOSE(Translations!$C$1+1,L141,M141,N141)</f>
        <v>M&amp;E-4 Porcentaje de  informes sobre la prestación de servicios de los trabajadores de la salud comunitarios integrados en el Sistema de información de gestión de salud  nacional</v>
      </c>
      <c r="D141" s="194">
        <f>CHOOSE(Translations!$C$1+1,O141,P141,Q141)</f>
        <v>0</v>
      </c>
      <c r="E141" s="194" t="str">
        <f t="shared" si="4"/>
        <v>M&amp;E-4 Porcentaje de  informes sobre la prestación de servicios de los trabajadores de la salud comunitarios integrados en el Sistema de información de gestión de salud  nacional</v>
      </c>
      <c r="F141" s="195" t="str">
        <f t="shared" si="3"/>
        <v>MCI-01122</v>
      </c>
      <c r="G141" s="194" t="s">
        <v>1361</v>
      </c>
      <c r="H141" s="195"/>
      <c r="I141" s="195" t="s">
        <v>663</v>
      </c>
      <c r="J141" s="195" t="s">
        <v>1002</v>
      </c>
      <c r="K141" s="195" t="s">
        <v>1041</v>
      </c>
      <c r="L141" s="409" t="s">
        <v>1362</v>
      </c>
      <c r="M141" s="409" t="s">
        <v>1363</v>
      </c>
      <c r="N141" s="409" t="s">
        <v>1364</v>
      </c>
      <c r="O141" s="195"/>
      <c r="P141" s="195"/>
      <c r="Q141" s="195"/>
    </row>
    <row r="142" spans="1:17">
      <c r="A142" s="194" t="s">
        <v>1346</v>
      </c>
      <c r="B142" s="195" t="s">
        <v>1365</v>
      </c>
      <c r="C142" s="194" t="str">
        <f>CHOOSE(Translations!$C$1+1,L142,M142,N142)</f>
        <v>M&amp;E-5 Porcentaje de establecimientos de salud que registran y envían los datos mediante el sistema de comunicación electrónico</v>
      </c>
      <c r="D142" s="194">
        <f>CHOOSE(Translations!$C$1+1,O142,P142,Q142)</f>
        <v>0</v>
      </c>
      <c r="E142" s="194" t="str">
        <f t="shared" si="4"/>
        <v>M&amp;E-5 Porcentaje de establecimientos de salud que registran y envían los datos mediante el sistema de comunicación electrónico</v>
      </c>
      <c r="F142" s="195" t="str">
        <f t="shared" si="3"/>
        <v>MCI-01123</v>
      </c>
      <c r="G142" s="194" t="s">
        <v>1366</v>
      </c>
      <c r="H142" s="195"/>
      <c r="I142" s="195" t="s">
        <v>663</v>
      </c>
      <c r="J142" s="195" t="s">
        <v>1002</v>
      </c>
      <c r="K142" s="195" t="s">
        <v>1035</v>
      </c>
      <c r="L142" s="409" t="s">
        <v>1367</v>
      </c>
      <c r="M142" s="409" t="s">
        <v>1368</v>
      </c>
      <c r="N142" s="409" t="s">
        <v>1369</v>
      </c>
      <c r="O142" s="195"/>
      <c r="P142" s="195"/>
      <c r="Q142" s="195"/>
    </row>
    <row r="143" spans="1:17">
      <c r="A143" s="194" t="s">
        <v>1346</v>
      </c>
      <c r="B143" s="195" t="s">
        <v>1370</v>
      </c>
      <c r="C143" s="194" t="str">
        <f>CHOOSE(Translations!$C$1+1,L143,M143,N143)</f>
        <v>M&amp;E-6 Porcentaje de distritos que producen informe(s) analíticos periódicos de acuerdo con el plan y el formato de los informes acordados a nivel nacional durante el período de reporte</v>
      </c>
      <c r="D143" s="194">
        <f>CHOOSE(Translations!$C$1+1,O143,P143,Q143)</f>
        <v>0</v>
      </c>
      <c r="E143" s="194" t="str">
        <f t="shared" si="4"/>
        <v>M&amp;E-6 Porcentaje de distritos que producen informe(s) analíticos periódicos de acuerdo con el plan y el formato de los informes acordados a nivel nacional durante el período de reporte</v>
      </c>
      <c r="F143" s="195" t="str">
        <f t="shared" ref="F143:F155" si="5">B143</f>
        <v>MCI-01124</v>
      </c>
      <c r="G143" s="194" t="s">
        <v>1371</v>
      </c>
      <c r="H143" s="195"/>
      <c r="I143" s="195" t="s">
        <v>663</v>
      </c>
      <c r="J143" s="195" t="s">
        <v>1002</v>
      </c>
      <c r="K143" s="195" t="s">
        <v>1035</v>
      </c>
      <c r="L143" s="409" t="s">
        <v>1372</v>
      </c>
      <c r="M143" s="409" t="s">
        <v>1373</v>
      </c>
      <c r="N143" s="409" t="s">
        <v>1374</v>
      </c>
      <c r="O143" s="195"/>
      <c r="P143" s="195"/>
      <c r="Q143" s="195"/>
    </row>
    <row r="144" spans="1:17">
      <c r="A144" s="194" t="s">
        <v>1375</v>
      </c>
      <c r="B144" s="195" t="s">
        <v>1376</v>
      </c>
      <c r="C144" s="194" t="str">
        <f>CHOOSE(Translations!$C$1+1,L144,M144,N144)</f>
        <v>HRH-1 Tasa de puestos vacantes: número de puestos de salud a tiempo completo vacantes durante al menos 6 meses como porcentaje total del número de puestos financiados</v>
      </c>
      <c r="D144" s="194" t="str">
        <f>CHOOSE(Translations!$C$1+1,O144,P144,Q144)</f>
        <v>Grupo de ocupación</v>
      </c>
      <c r="E144" s="194" t="str">
        <f t="shared" ref="E144:E155" si="6">LEFT(C144,255)</f>
        <v>HRH-1 Tasa de puestos vacantes: número de puestos de salud a tiempo completo vacantes durante al menos 6 meses como porcentaje total del número de puestos financiados</v>
      </c>
      <c r="F144" s="195" t="str">
        <f t="shared" si="5"/>
        <v>MCI-01125</v>
      </c>
      <c r="G144" s="194" t="s">
        <v>1377</v>
      </c>
      <c r="H144" s="195"/>
      <c r="I144" s="195" t="s">
        <v>663</v>
      </c>
      <c r="J144" s="195" t="s">
        <v>1002</v>
      </c>
      <c r="K144" s="195" t="s">
        <v>1035</v>
      </c>
      <c r="L144" s="409" t="s">
        <v>1378</v>
      </c>
      <c r="M144" s="409" t="s">
        <v>1379</v>
      </c>
      <c r="N144" s="409" t="s">
        <v>1380</v>
      </c>
      <c r="O144" s="195" t="s">
        <v>965</v>
      </c>
      <c r="P144" s="195" t="s">
        <v>966</v>
      </c>
      <c r="Q144" s="195" t="s">
        <v>967</v>
      </c>
    </row>
    <row r="145" spans="1:18">
      <c r="A145" s="194" t="s">
        <v>1375</v>
      </c>
      <c r="B145" s="195" t="s">
        <v>1381</v>
      </c>
      <c r="C145" s="194" t="str">
        <f>CHOOSE(Translations!$C$1+1,L145,M145,N145)</f>
        <v>HRH-2 Proporción de estudiantes graduados de un programa de educación y formación de personal sanitario respecto del número de estudiantes inscritos en primer año</v>
      </c>
      <c r="D145" s="194" t="str">
        <f>CHOOSE(Translations!$C$1+1,O145,P145,Q145)</f>
        <v>Grupo de ocupación</v>
      </c>
      <c r="E145" s="194" t="str">
        <f t="shared" si="6"/>
        <v>HRH-2 Proporción de estudiantes graduados de un programa de educación y formación de personal sanitario respecto del número de estudiantes inscritos en primer año</v>
      </c>
      <c r="F145" s="195" t="str">
        <f t="shared" si="5"/>
        <v>MCI-01126</v>
      </c>
      <c r="G145" s="194" t="s">
        <v>1382</v>
      </c>
      <c r="H145" s="195"/>
      <c r="I145" s="195" t="s">
        <v>663</v>
      </c>
      <c r="J145" s="195" t="s">
        <v>1002</v>
      </c>
      <c r="K145" s="195" t="s">
        <v>1035</v>
      </c>
      <c r="L145" s="409" t="s">
        <v>1383</v>
      </c>
      <c r="M145" s="409" t="s">
        <v>1384</v>
      </c>
      <c r="N145" s="409" t="s">
        <v>1385</v>
      </c>
      <c r="O145" s="195" t="s">
        <v>965</v>
      </c>
      <c r="P145" s="195" t="s">
        <v>966</v>
      </c>
      <c r="Q145" s="195" t="s">
        <v>967</v>
      </c>
    </row>
    <row r="146" spans="1:18">
      <c r="A146" s="194" t="s">
        <v>1375</v>
      </c>
      <c r="B146" s="195" t="s">
        <v>1386</v>
      </c>
      <c r="C146" s="194" t="str">
        <f>CHOOSE(Translations!$C$1+1,L146,M146,N146)</f>
        <v>HRH-3 Proporción de trabajadores de  salud comunitarios que recibieron al menos una supervisión de apoyo  durante el período de reporte</v>
      </c>
      <c r="D146" s="194">
        <f>CHOOSE(Translations!$C$1+1,O146,P146,Q146)</f>
        <v>0</v>
      </c>
      <c r="E146" s="194" t="str">
        <f t="shared" si="6"/>
        <v>HRH-3 Proporción de trabajadores de  salud comunitarios que recibieron al menos una supervisión de apoyo  durante el período de reporte</v>
      </c>
      <c r="F146" s="195" t="str">
        <f t="shared" si="5"/>
        <v>MCI-01127</v>
      </c>
      <c r="G146" s="194" t="s">
        <v>1387</v>
      </c>
      <c r="H146" s="195"/>
      <c r="I146" s="195" t="s">
        <v>663</v>
      </c>
      <c r="J146" s="195" t="s">
        <v>1002</v>
      </c>
      <c r="K146" s="195" t="s">
        <v>1035</v>
      </c>
      <c r="L146" s="409" t="s">
        <v>1388</v>
      </c>
      <c r="M146" s="409" t="s">
        <v>1389</v>
      </c>
      <c r="N146" s="409" t="s">
        <v>1390</v>
      </c>
      <c r="O146" s="195"/>
      <c r="P146" s="195"/>
      <c r="Q146" s="195"/>
    </row>
    <row r="147" spans="1:18">
      <c r="A147" s="194" t="s">
        <v>1391</v>
      </c>
      <c r="B147" s="195" t="s">
        <v>1392</v>
      </c>
      <c r="C147" s="194" t="str">
        <f>CHOOSE(Translations!$C$1+1,L147,M147,N147)</f>
        <v>SD-3 Número de visitas al departamento de pacientes ambulatorios por persona y año</v>
      </c>
      <c r="D147" s="194">
        <f>CHOOSE(Translations!$C$1+1,O147,P147,Q147)</f>
        <v>0</v>
      </c>
      <c r="E147" s="194" t="str">
        <f t="shared" si="6"/>
        <v>SD-3 Número de visitas al departamento de pacientes ambulatorios por persona y año</v>
      </c>
      <c r="F147" s="195" t="str">
        <f t="shared" si="5"/>
        <v>MCI-01128</v>
      </c>
      <c r="G147" s="194" t="s">
        <v>1393</v>
      </c>
      <c r="H147" s="195"/>
      <c r="I147" s="195" t="s">
        <v>663</v>
      </c>
      <c r="J147" s="195" t="s">
        <v>1002</v>
      </c>
      <c r="K147" s="195" t="s">
        <v>1035</v>
      </c>
      <c r="L147" s="409" t="s">
        <v>1394</v>
      </c>
      <c r="M147" s="409" t="s">
        <v>1395</v>
      </c>
      <c r="N147" s="409" t="s">
        <v>1396</v>
      </c>
      <c r="O147" s="195"/>
      <c r="P147" s="195"/>
      <c r="Q147" s="195"/>
    </row>
    <row r="148" spans="1:18">
      <c r="A148" s="194" t="s">
        <v>1391</v>
      </c>
      <c r="B148" s="195" t="s">
        <v>1397</v>
      </c>
      <c r="C148" s="194" t="str">
        <f>CHOOSE(Translations!$C$1+1,L148,M148,N148)</f>
        <v>SD-4 Porcentaje de establecimientos de salud con comité de salud en funcionamiento (o similar) que incluya a los miembros comunitarios y se reúna al menos una vez por trimestre</v>
      </c>
      <c r="D148" s="194">
        <f>CHOOSE(Translations!$C$1+1,O148,P148,Q148)</f>
        <v>0</v>
      </c>
      <c r="E148" s="194" t="str">
        <f t="shared" si="6"/>
        <v>SD-4 Porcentaje de establecimientos de salud con comité de salud en funcionamiento (o similar) que incluya a los miembros comunitarios y se reúna al menos una vez por trimestre</v>
      </c>
      <c r="F148" s="195" t="str">
        <f t="shared" si="5"/>
        <v>MCI-01129</v>
      </c>
      <c r="G148" s="194" t="s">
        <v>1398</v>
      </c>
      <c r="H148" s="195"/>
      <c r="I148" s="195" t="s">
        <v>663</v>
      </c>
      <c r="J148" s="195" t="s">
        <v>1002</v>
      </c>
      <c r="K148" s="195" t="s">
        <v>1035</v>
      </c>
      <c r="L148" s="409" t="s">
        <v>1399</v>
      </c>
      <c r="M148" s="409" t="s">
        <v>1400</v>
      </c>
      <c r="N148" s="409" t="s">
        <v>1401</v>
      </c>
      <c r="O148" s="195"/>
      <c r="P148" s="195"/>
      <c r="Q148" s="195"/>
    </row>
    <row r="149" spans="1:18">
      <c r="A149" s="194" t="s">
        <v>1391</v>
      </c>
      <c r="B149" s="195" t="s">
        <v>1402</v>
      </c>
      <c r="C149" s="194" t="str">
        <f>CHOOSE(Translations!$C$1+1,L149,M149,N149)</f>
        <v>SD-5 Porcentaje de establecimientos de salud que reciben supervisión de apoyo al menos una vez por trimestre</v>
      </c>
      <c r="D149" s="194">
        <f>CHOOSE(Translations!$C$1+1,O149,P149,Q149)</f>
        <v>0</v>
      </c>
      <c r="E149" s="194" t="str">
        <f t="shared" si="6"/>
        <v>SD-5 Porcentaje de establecimientos de salud que reciben supervisión de apoyo al menos una vez por trimestre</v>
      </c>
      <c r="F149" s="195" t="str">
        <f t="shared" si="5"/>
        <v>MCI-01130</v>
      </c>
      <c r="G149" s="194" t="s">
        <v>1403</v>
      </c>
      <c r="H149" s="195"/>
      <c r="I149" s="195" t="s">
        <v>663</v>
      </c>
      <c r="J149" s="195" t="s">
        <v>1002</v>
      </c>
      <c r="K149" s="195" t="s">
        <v>1210</v>
      </c>
      <c r="L149" s="409" t="s">
        <v>1404</v>
      </c>
      <c r="M149" s="409" t="s">
        <v>1405</v>
      </c>
      <c r="N149" s="409" t="s">
        <v>1406</v>
      </c>
      <c r="O149" s="195"/>
      <c r="P149" s="195"/>
      <c r="Q149" s="195"/>
    </row>
    <row r="150" spans="1:18">
      <c r="A150" s="194" t="s">
        <v>1391</v>
      </c>
      <c r="B150" s="195" t="s">
        <v>1407</v>
      </c>
      <c r="C150" s="194" t="str">
        <f>CHOOSE(Translations!$C$1+1,L150,M150,N150)</f>
        <v>SD-6 Número de  condiciones de la atención integrada en la comunidad de enfermedades infantiles tratadas en niños menores de 5 años en áreas objetivo durante el período de informes</v>
      </c>
      <c r="D150" s="194" t="str">
        <f>CHOOSE(Translations!$C$1+1,O150,P150,Q150)</f>
        <v>Condición GICC</v>
      </c>
      <c r="E150" s="194" t="str">
        <f t="shared" si="6"/>
        <v>SD-6 Número de  condiciones de la atención integrada en la comunidad de enfermedades infantiles tratadas en niños menores de 5 años en áreas objetivo durante el período de informes</v>
      </c>
      <c r="F150" s="195" t="str">
        <f t="shared" si="5"/>
        <v>MCI-01131</v>
      </c>
      <c r="G150" s="194" t="s">
        <v>1408</v>
      </c>
      <c r="H150" s="195"/>
      <c r="I150" s="195" t="s">
        <v>663</v>
      </c>
      <c r="J150" s="195" t="s">
        <v>1002</v>
      </c>
      <c r="K150" s="195" t="s">
        <v>1041</v>
      </c>
      <c r="L150" s="409" t="s">
        <v>1409</v>
      </c>
      <c r="M150" s="409" t="s">
        <v>1410</v>
      </c>
      <c r="N150" s="409" t="s">
        <v>1411</v>
      </c>
      <c r="O150" s="195" t="s">
        <v>1412</v>
      </c>
      <c r="P150" s="195" t="s">
        <v>1413</v>
      </c>
      <c r="Q150" s="195" t="s">
        <v>1414</v>
      </c>
    </row>
    <row r="151" spans="1:18">
      <c r="A151" s="194" t="s">
        <v>1415</v>
      </c>
      <c r="B151" s="195" t="s">
        <v>1416</v>
      </c>
      <c r="C151" s="194" t="str">
        <f>CHOOSE(Translations!$C$1+1,L151,M151,N151)</f>
        <v>FMS-1 Porcentaje de componentes del sistema de gestión de financiamiento público utilizado para la gestión de financiamiento de las subvenciones</v>
      </c>
      <c r="D151" s="194">
        <f>CHOOSE(Translations!$C$1+1,O151,P151,Q151)</f>
        <v>0</v>
      </c>
      <c r="E151" s="194" t="str">
        <f t="shared" si="6"/>
        <v>FMS-1 Porcentaje de componentes del sistema de gestión de financiamiento público utilizado para la gestión de financiamiento de las subvenciones</v>
      </c>
      <c r="F151" s="195" t="str">
        <f t="shared" si="5"/>
        <v>MCI-01132</v>
      </c>
      <c r="G151" s="194" t="s">
        <v>1417</v>
      </c>
      <c r="H151" s="195"/>
      <c r="I151" s="195" t="s">
        <v>663</v>
      </c>
      <c r="J151" s="195" t="s">
        <v>1002</v>
      </c>
      <c r="K151" s="195" t="s">
        <v>1035</v>
      </c>
      <c r="L151" s="409" t="s">
        <v>1418</v>
      </c>
      <c r="M151" s="409" t="s">
        <v>1419</v>
      </c>
      <c r="N151" s="409" t="s">
        <v>1420</v>
      </c>
      <c r="O151" s="195"/>
      <c r="P151" s="195"/>
      <c r="Q151" s="195"/>
    </row>
    <row r="152" spans="1:18">
      <c r="A152" s="194" t="s">
        <v>1421</v>
      </c>
      <c r="B152" s="195" t="s">
        <v>1422</v>
      </c>
      <c r="C152" s="194" t="str">
        <f>CHOOSE(Translations!$C$1+1,L152,M152,N152)</f>
        <v>HSG-1 Porcentaje de equipos de gestión sanitaria en los distritos u otras unidades administrativas que han elaborado un plan de monitoreo, incluidos objetivos de trabajo anuales y medidas de desempeño</v>
      </c>
      <c r="D152" s="194">
        <f>CHOOSE(Translations!$C$1+1,O152,P152,Q152)</f>
        <v>0</v>
      </c>
      <c r="E152" s="194" t="str">
        <f t="shared" si="6"/>
        <v>HSG-1 Porcentaje de equipos de gestión sanitaria en los distritos u otras unidades administrativas que han elaborado un plan de monitoreo, incluidos objetivos de trabajo anuales y medidas de desempeño</v>
      </c>
      <c r="F152" s="195" t="str">
        <f t="shared" si="5"/>
        <v>MCI-01133</v>
      </c>
      <c r="G152" s="194" t="s">
        <v>1423</v>
      </c>
      <c r="H152" s="195"/>
      <c r="I152" s="195" t="s">
        <v>663</v>
      </c>
      <c r="J152" s="195" t="s">
        <v>1002</v>
      </c>
      <c r="K152" s="195" t="s">
        <v>1035</v>
      </c>
      <c r="L152" s="409" t="s">
        <v>1424</v>
      </c>
      <c r="M152" s="409" t="s">
        <v>1425</v>
      </c>
      <c r="N152" s="409" t="s">
        <v>1426</v>
      </c>
      <c r="O152" s="195"/>
      <c r="P152" s="195"/>
      <c r="Q152" s="195"/>
    </row>
    <row r="153" spans="1:18">
      <c r="A153" s="194" t="s">
        <v>1427</v>
      </c>
      <c r="B153" s="195" t="s">
        <v>1428</v>
      </c>
      <c r="C153" s="194" t="str">
        <f>CHOOSE(Translations!$C$1+1,L153,M153,N153)</f>
        <v>CSS-1 Porcentaje de informes de monitoreo  comunitarios presentados a los mecanismos de supervisión pertinentes</v>
      </c>
      <c r="D153" s="194">
        <f>CHOOSE(Translations!$C$1+1,O153,P153,Q153)</f>
        <v>0</v>
      </c>
      <c r="E153" s="194" t="str">
        <f t="shared" si="6"/>
        <v>CSS-1 Porcentaje de informes de monitoreo  comunitarios presentados a los mecanismos de supervisión pertinentes</v>
      </c>
      <c r="F153" s="195" t="str">
        <f t="shared" si="5"/>
        <v>MCI-01134</v>
      </c>
      <c r="G153" s="194" t="s">
        <v>1429</v>
      </c>
      <c r="H153" s="195"/>
      <c r="I153" s="195" t="s">
        <v>663</v>
      </c>
      <c r="J153" s="195" t="s">
        <v>1002</v>
      </c>
      <c r="K153" s="195" t="s">
        <v>1041</v>
      </c>
      <c r="L153" s="409" t="s">
        <v>1430</v>
      </c>
      <c r="M153" s="409" t="s">
        <v>1431</v>
      </c>
      <c r="N153" s="409" t="s">
        <v>1432</v>
      </c>
      <c r="O153" s="195"/>
      <c r="P153" s="195"/>
      <c r="Q153" s="195"/>
    </row>
    <row r="154" spans="1:18">
      <c r="A154" s="194" t="s">
        <v>1427</v>
      </c>
      <c r="B154" s="195" t="s">
        <v>1433</v>
      </c>
      <c r="C154" s="194" t="str">
        <f>CHOOSE(Translations!$C$1+1,L154,M154,N154)</f>
        <v>CSS-2 Número de organizaciones comunitarias que recibieron un paquete de formación predefinido</v>
      </c>
      <c r="D154" s="194">
        <f>CHOOSE(Translations!$C$1+1,O154,P154,Q154)</f>
        <v>0</v>
      </c>
      <c r="E154" s="194" t="str">
        <f t="shared" si="6"/>
        <v>CSS-2 Número de organizaciones comunitarias que recibieron un paquete de formación predefinido</v>
      </c>
      <c r="F154" s="195" t="str">
        <f t="shared" si="5"/>
        <v>MCI-01135</v>
      </c>
      <c r="G154" s="194" t="s">
        <v>1434</v>
      </c>
      <c r="H154" s="195"/>
      <c r="I154" s="195" t="s">
        <v>663</v>
      </c>
      <c r="J154" s="195" t="s">
        <v>1002</v>
      </c>
      <c r="K154" s="195" t="s">
        <v>1035</v>
      </c>
      <c r="L154" s="409" t="s">
        <v>1435</v>
      </c>
      <c r="M154" s="409" t="s">
        <v>1436</v>
      </c>
      <c r="N154" s="409" t="s">
        <v>1437</v>
      </c>
      <c r="O154" s="195"/>
      <c r="P154" s="195"/>
      <c r="Q154" s="195"/>
    </row>
    <row r="155" spans="1:18">
      <c r="A155" s="194" t="s">
        <v>1438</v>
      </c>
      <c r="B155" s="195" t="s">
        <v>1439</v>
      </c>
      <c r="C155" s="194" t="str">
        <f>CHOOSE(Translations!$C$1+1,L155,M155,N155)</f>
        <v>LAB-1 Porcentaje de laboratorios nacionales de referencia acreditados de acuerdo con el estándar ISO15189 o que hayan conseguido al menos cuatro estrellas con vistas a obtener la acreditación</v>
      </c>
      <c r="D155" s="194">
        <f>CHOOSE(Translations!$C$1+1,O155,P155,Q155)</f>
        <v>0</v>
      </c>
      <c r="E155" s="194" t="str">
        <f t="shared" si="6"/>
        <v>LAB-1 Porcentaje de laboratorios nacionales de referencia acreditados de acuerdo con el estándar ISO15189 o que hayan conseguido al menos cuatro estrellas con vistas a obtener la acreditación</v>
      </c>
      <c r="F155" s="195" t="str">
        <f t="shared" si="5"/>
        <v>MCI-01136</v>
      </c>
      <c r="G155" s="194" t="s">
        <v>1440</v>
      </c>
      <c r="H155" s="195"/>
      <c r="I155" s="195" t="s">
        <v>663</v>
      </c>
      <c r="J155" s="195" t="s">
        <v>1002</v>
      </c>
      <c r="K155" s="195" t="s">
        <v>1035</v>
      </c>
      <c r="L155" s="409" t="s">
        <v>1441</v>
      </c>
      <c r="M155" s="409" t="s">
        <v>1442</v>
      </c>
      <c r="N155" s="409" t="s">
        <v>1443</v>
      </c>
      <c r="O155" s="195"/>
      <c r="P155" s="195"/>
      <c r="Q155" s="195"/>
    </row>
    <row r="157" spans="1:18">
      <c r="B157" s="8" t="s">
        <v>1444</v>
      </c>
    </row>
    <row r="158" spans="1:18">
      <c r="B158" s="3" t="s">
        <v>1445</v>
      </c>
      <c r="C158" s="4" t="s">
        <v>484</v>
      </c>
      <c r="D158" s="4" t="s">
        <v>1446</v>
      </c>
      <c r="E158" s="4" t="s">
        <v>335</v>
      </c>
      <c r="F158" s="4" t="s">
        <v>1447</v>
      </c>
      <c r="G158" s="4" t="s">
        <v>341</v>
      </c>
      <c r="H158" s="4" t="s">
        <v>1448</v>
      </c>
      <c r="I158" s="4" t="s">
        <v>1449</v>
      </c>
      <c r="J158" s="4" t="s">
        <v>640</v>
      </c>
      <c r="K158" s="4" t="s">
        <v>644</v>
      </c>
      <c r="L158" s="4" t="s">
        <v>1450</v>
      </c>
      <c r="M158" s="4" t="s">
        <v>642</v>
      </c>
      <c r="N158" s="4" t="s">
        <v>990</v>
      </c>
      <c r="O158" s="4" t="s">
        <v>991</v>
      </c>
      <c r="P158" s="4" t="s">
        <v>994</v>
      </c>
      <c r="Q158" s="4" t="s">
        <v>646</v>
      </c>
      <c r="R158" s="4" t="s">
        <v>647</v>
      </c>
    </row>
    <row r="159" spans="1:18" hidden="1">
      <c r="B159" s="3" t="str">
        <f t="array" ref="B159">IFERROR(INDEX($C$159:$C$210,MATCH(0,COUNTIF($B$158:B158,$C$159:$C$210&amp;"")+IF($C$159:$C$210="",1,0),0)),"")</f>
        <v>--Select--</v>
      </c>
      <c r="C159" s="407" t="s">
        <v>655</v>
      </c>
      <c r="D159" s="4" t="s">
        <v>1451</v>
      </c>
      <c r="E159" s="4" t="s">
        <v>337</v>
      </c>
      <c r="F159" s="4" t="str">
        <f>CHOOSE(Translations!$C$1+1,'Reference Records'!C159,'Reference Records'!Q159,'Reference Records'!R159)</f>
        <v>[Name - ES]</v>
      </c>
      <c r="G159" s="4" t="s">
        <v>345</v>
      </c>
      <c r="H159" s="410" t="s">
        <v>1452</v>
      </c>
      <c r="I159" s="4" t="str">
        <f t="array" ref="I159">IFERROR(INDEX($D$159:$D$210,MATCH(0,COUNTIF($I$158:I158,$D$159:$D$210&amp;"")+IF($D$159:$D$210="",1,0),0)),"")</f>
        <v>[Module-Coverage-Intervention Reference (Name)]</v>
      </c>
      <c r="J159" s="4" t="str">
        <f t="array" ref="J159">IFERROR(IF(INDEX($F$159:$F$210,MATCH(LEFT(I159,255),LEFT($D$159:$D$210,255),0))=0,"",INDEX($F$159:$F$210,MATCH(LEFT(I159,255),LEFT($D$159:$D$210,255),0))),"")</f>
        <v>[Name - ES]</v>
      </c>
      <c r="K159" s="4" t="s">
        <v>654</v>
      </c>
      <c r="L159" s="6" t="s">
        <v>995</v>
      </c>
      <c r="M159" s="6" t="s">
        <v>652</v>
      </c>
      <c r="N159" s="4" t="str">
        <f>D159</f>
        <v>[Module-Coverage-Intervention Reference (Name)]</v>
      </c>
      <c r="O159" s="4"/>
      <c r="P159" s="6" t="s">
        <v>998</v>
      </c>
      <c r="Q159" s="6" t="s">
        <v>1453</v>
      </c>
      <c r="R159" s="6" t="s">
        <v>1454</v>
      </c>
    </row>
    <row r="160" spans="1:18">
      <c r="B160" s="196" t="str">
        <f t="array" ref="B160">IFERROR(INDEX($C$159:$C$210,MATCH(0,COUNTIF($B$158:B159,$C$159:$C$210&amp;"")+IF($C$159:$C$210="",1,0),0)),"")</f>
        <v>COVID-19</v>
      </c>
      <c r="C160" s="407" t="s">
        <v>1455</v>
      </c>
      <c r="D160" s="4" t="s">
        <v>1456</v>
      </c>
      <c r="E160" s="4" t="s">
        <v>340</v>
      </c>
      <c r="F160" s="4" t="str">
        <f>CHOOSE(Translations!$C$1+1,'Reference Records'!C160,'Reference Records'!Q160,'Reference Records'!R160)</f>
        <v>COVID-19</v>
      </c>
      <c r="G160" s="4" t="s">
        <v>1457</v>
      </c>
      <c r="H160" s="411" t="s">
        <v>1458</v>
      </c>
      <c r="I160" s="4" t="str">
        <f t="array" ref="I160">IFERROR(INDEX($D$159:$D$210,MATCH(0,COUNTIF($I$158:I159,$D$159:$D$210&amp;"")+IF($D$159:$D$210="",1,0),0)),"")</f>
        <v>MCI-01236</v>
      </c>
      <c r="J160" s="4" t="str">
        <f t="array" ref="J160">IFERROR(IF(INDEX($F$159:$F$210,MATCH(LEFT(I160,255),LEFT($D$159:$D$210,255),0))=0,"",INDEX($F$159:$F$210,MATCH(LEFT(I160,255),LEFT($D$159:$D$210,255),0))),"")</f>
        <v>COVID-19</v>
      </c>
      <c r="K160" s="4" t="s">
        <v>663</v>
      </c>
      <c r="L160" s="6"/>
      <c r="M160" s="6" t="s">
        <v>1459</v>
      </c>
      <c r="N160" s="4" t="str">
        <f t="shared" ref="N160:N202" si="7">D160</f>
        <v>MCI-01236</v>
      </c>
      <c r="O160" s="4"/>
      <c r="P160" s="6"/>
      <c r="Q160" s="6" t="s">
        <v>1455</v>
      </c>
      <c r="R160" s="6" t="s">
        <v>1455</v>
      </c>
    </row>
    <row r="161" spans="2:18">
      <c r="B161" s="196" t="str">
        <f t="array" ref="B161">IFERROR(INDEX($C$159:$C$210,MATCH(0,COUNTIF($B$158:B160,$C$159:$C$210&amp;"")+IF($C$159:$C$210="",1,0),0)),"")</f>
        <v>Differentiated HIV Testing Services</v>
      </c>
      <c r="C161" s="407" t="s">
        <v>1455</v>
      </c>
      <c r="D161" s="4" t="s">
        <v>1456</v>
      </c>
      <c r="E161" s="4" t="s">
        <v>339</v>
      </c>
      <c r="F161" s="4" t="str">
        <f>CHOOSE(Translations!$C$1+1,'Reference Records'!C161,'Reference Records'!Q161,'Reference Records'!R161)</f>
        <v>COVID-19</v>
      </c>
      <c r="G161" s="4" t="s">
        <v>1460</v>
      </c>
      <c r="H161" s="411" t="s">
        <v>1458</v>
      </c>
      <c r="I161" s="4" t="str">
        <f t="array" ref="I161">IFERROR(INDEX($D$159:$D$210,MATCH(0,COUNTIF($I$158:I160,$D$159:$D$210&amp;"")+IF($D$159:$D$210="",1,0),0)),"")</f>
        <v>MCI-00650</v>
      </c>
      <c r="J161" s="4" t="str">
        <f t="array" ref="J161">IFERROR(IF(INDEX($F$159:$F$210,MATCH(LEFT(I161,255),LEFT($D$159:$D$210,255),0))=0,"",INDEX($F$159:$F$210,MATCH(LEFT(I161,255),LEFT($D$159:$D$210,255),0))),"")</f>
        <v>Servicios diferenciados de diagnóstico del VIH</v>
      </c>
      <c r="K161" s="4" t="s">
        <v>663</v>
      </c>
      <c r="L161" s="6"/>
      <c r="M161" s="6" t="s">
        <v>1461</v>
      </c>
      <c r="N161" s="4" t="str">
        <f t="shared" si="7"/>
        <v>MCI-01236</v>
      </c>
      <c r="O161" s="4"/>
      <c r="P161" s="6"/>
      <c r="Q161" s="6" t="s">
        <v>1455</v>
      </c>
      <c r="R161" s="6" t="s">
        <v>1455</v>
      </c>
    </row>
    <row r="162" spans="2:18">
      <c r="B162" s="196" t="str">
        <f t="array" ref="B162">IFERROR(INDEX($C$159:$C$210,MATCH(0,COUNTIF($B$158:B161,$C$159:$C$210&amp;"")+IF($C$159:$C$210="",1,0),0)),"")</f>
        <v>MDR-TB</v>
      </c>
      <c r="C162" s="407" t="s">
        <v>1455</v>
      </c>
      <c r="D162" s="4" t="s">
        <v>1456</v>
      </c>
      <c r="E162" s="4" t="s">
        <v>338</v>
      </c>
      <c r="F162" s="4" t="str">
        <f>CHOOSE(Translations!$C$1+1,'Reference Records'!C162,'Reference Records'!Q162,'Reference Records'!R162)</f>
        <v>COVID-19</v>
      </c>
      <c r="G162" s="4" t="s">
        <v>1462</v>
      </c>
      <c r="H162" s="411" t="s">
        <v>1458</v>
      </c>
      <c r="I162" s="4" t="str">
        <f t="array" ref="I162">IFERROR(INDEX($D$159:$D$210,MATCH(0,COUNTIF($I$158:I161,$D$159:$D$210&amp;"")+IF($D$159:$D$210="",1,0),0)),"")</f>
        <v>MCI-00654</v>
      </c>
      <c r="J162" s="4" t="str">
        <f t="array" ref="J162">IFERROR(IF(INDEX($F$159:$F$210,MATCH(LEFT(I162,255),LEFT($D$159:$D$210,255),0))=0,"",INDEX($F$159:$F$210,MATCH(LEFT(I162,255),LEFT($D$159:$D$210,255),0))),"")</f>
        <v>Tuberculosis multirresistente</v>
      </c>
      <c r="K162" s="4" t="s">
        <v>663</v>
      </c>
      <c r="L162" s="6"/>
      <c r="M162" s="6" t="s">
        <v>1463</v>
      </c>
      <c r="N162" s="4" t="str">
        <f t="shared" si="7"/>
        <v>MCI-01236</v>
      </c>
      <c r="O162" s="4"/>
      <c r="P162" s="6"/>
      <c r="Q162" s="6" t="s">
        <v>1455</v>
      </c>
      <c r="R162" s="6" t="s">
        <v>1455</v>
      </c>
    </row>
    <row r="163" spans="2:18">
      <c r="B163" s="196" t="str">
        <f t="array" ref="B163">IFERROR(INDEX($C$159:$C$210,MATCH(0,COUNTIF($B$158:B162,$C$159:$C$210&amp;"")+IF($C$159:$C$210="",1,0),0)),"")</f>
        <v>Payment for results</v>
      </c>
      <c r="C163" s="407" t="s">
        <v>1464</v>
      </c>
      <c r="D163" s="4" t="s">
        <v>1111</v>
      </c>
      <c r="E163" s="4" t="s">
        <v>338</v>
      </c>
      <c r="F163" s="4" t="str">
        <f>CHOOSE(Translations!$C$1+1,'Reference Records'!C163,'Reference Records'!Q163,'Reference Records'!R163)</f>
        <v>Servicios diferenciados de diagnóstico del VIH</v>
      </c>
      <c r="G163" s="4" t="s">
        <v>1465</v>
      </c>
      <c r="H163" s="411" t="s">
        <v>1466</v>
      </c>
      <c r="I163" s="4" t="str">
        <f t="array" ref="I163">IFERROR(INDEX($D$159:$D$210,MATCH(0,COUNTIF($I$158:I162,$D$159:$D$210&amp;"")+IF($D$159:$D$210="",1,0),0)),"")</f>
        <v>MCI-00669</v>
      </c>
      <c r="J163" s="4" t="str">
        <f t="array" ref="J163">IFERROR(IF(INDEX($F$159:$F$210,MATCH(LEFT(I163,255),LEFT($D$159:$D$210,255),0))=0,"",INDEX($F$159:$F$210,MATCH(LEFT(I163,255),LEFT($D$159:$D$210,255),0))),"")</f>
        <v>Financiación basada en los resultados</v>
      </c>
      <c r="K163" s="4" t="s">
        <v>663</v>
      </c>
      <c r="L163" s="6"/>
      <c r="M163" s="6" t="s">
        <v>1467</v>
      </c>
      <c r="N163" s="4" t="str">
        <f t="shared" si="7"/>
        <v>MCI-00650</v>
      </c>
      <c r="O163" s="4"/>
      <c r="P163" s="6"/>
      <c r="Q163" s="6" t="s">
        <v>1468</v>
      </c>
      <c r="R163" s="6" t="s">
        <v>437</v>
      </c>
    </row>
    <row r="164" spans="2:18">
      <c r="B164" s="196" t="str">
        <f t="array" ref="B164">IFERROR(INDEX($C$159:$C$210,MATCH(0,COUNTIF($B$158:B163,$C$159:$C$210&amp;"")+IF($C$159:$C$210="",1,0),0)),"")</f>
        <v>PMTCT</v>
      </c>
      <c r="C164" s="407" t="s">
        <v>1469</v>
      </c>
      <c r="D164" s="4" t="s">
        <v>1252</v>
      </c>
      <c r="E164" s="4" t="s">
        <v>339</v>
      </c>
      <c r="F164" s="4" t="str">
        <f>CHOOSE(Translations!$C$1+1,'Reference Records'!C164,'Reference Records'!Q164,'Reference Records'!R164)</f>
        <v>Tuberculosis multirresistente</v>
      </c>
      <c r="G164" s="4" t="s">
        <v>1470</v>
      </c>
      <c r="H164" s="411" t="s">
        <v>1471</v>
      </c>
      <c r="I164" s="4" t="str">
        <f t="array" ref="I164">IFERROR(INDEX($D$159:$D$210,MATCH(0,COUNTIF($I$158:I163,$D$159:$D$210&amp;"")+IF($D$159:$D$210="",1,0),0)),"")</f>
        <v>MCI-00649</v>
      </c>
      <c r="J164" s="4" t="str">
        <f t="array" ref="J164">IFERROR(IF(INDEX($F$159:$F$210,MATCH(LEFT(I164,255),LEFT($D$159:$D$210,255),0))=0,"",INDEX($F$159:$F$210,MATCH(LEFT(I164,255),LEFT($D$159:$D$210,255),0))),"")</f>
        <v>PTMI</v>
      </c>
      <c r="K164" s="4" t="s">
        <v>663</v>
      </c>
      <c r="L164" s="6"/>
      <c r="M164" s="6" t="s">
        <v>1472</v>
      </c>
      <c r="N164" s="4" t="str">
        <f t="shared" si="7"/>
        <v>MCI-00654</v>
      </c>
      <c r="O164" s="4"/>
      <c r="P164" s="6"/>
      <c r="Q164" s="6" t="s">
        <v>1473</v>
      </c>
      <c r="R164" s="6" t="s">
        <v>446</v>
      </c>
    </row>
    <row r="165" spans="2:18">
      <c r="B165" s="196" t="str">
        <f t="array" ref="B165">IFERROR(INDEX($C$159:$C$210,MATCH(0,COUNTIF($B$158:B164,$C$159:$C$210&amp;"")+IF($C$159:$C$210="",1,0),0)),"")</f>
        <v>Prevention</v>
      </c>
      <c r="C165" s="407" t="s">
        <v>1474</v>
      </c>
      <c r="D165" s="4" t="s">
        <v>1475</v>
      </c>
      <c r="E165" s="4" t="s">
        <v>338</v>
      </c>
      <c r="F165" s="4" t="str">
        <f>CHOOSE(Translations!$C$1+1,'Reference Records'!C165,'Reference Records'!Q165,'Reference Records'!R165)</f>
        <v>Financiación basada en los resultados</v>
      </c>
      <c r="G165" s="4" t="s">
        <v>1476</v>
      </c>
      <c r="H165" s="411" t="s">
        <v>1477</v>
      </c>
      <c r="I165" s="4" t="str">
        <f t="array" ref="I165">IFERROR(INDEX($D$159:$D$210,MATCH(0,COUNTIF($I$158:I164,$D$159:$D$210&amp;"")+IF($D$159:$D$210="",1,0),0)),"")</f>
        <v>MCI-00648</v>
      </c>
      <c r="J165" s="4" t="str">
        <f t="array" ref="J165">IFERROR(IF(INDEX($F$159:$F$210,MATCH(LEFT(I165,255),LEFT($D$159:$D$210,255),0))=0,"",INDEX($F$159:$F$210,MATCH(LEFT(I165,255),LEFT($D$159:$D$210,255),0))),"")</f>
        <v>Prevención</v>
      </c>
      <c r="K165" s="4" t="s">
        <v>663</v>
      </c>
      <c r="L165" s="6"/>
      <c r="M165" s="6" t="s">
        <v>1478</v>
      </c>
      <c r="N165" s="4" t="str">
        <f t="shared" si="7"/>
        <v>MCI-00669</v>
      </c>
      <c r="O165" s="4"/>
      <c r="P165" s="6"/>
      <c r="Q165" s="6" t="s">
        <v>1479</v>
      </c>
      <c r="R165" s="6" t="s">
        <v>1480</v>
      </c>
    </row>
    <row r="166" spans="2:18">
      <c r="B166" s="196" t="str">
        <f t="array" ref="B166">IFERROR(INDEX($C$159:$C$210,MATCH(0,COUNTIF($B$158:B165,$C$159:$C$210&amp;"")+IF($C$159:$C$210="",1,0),0)),"")</f>
        <v>Program management</v>
      </c>
      <c r="C166" s="407" t="s">
        <v>1474</v>
      </c>
      <c r="D166" s="4" t="s">
        <v>1475</v>
      </c>
      <c r="E166" s="4" t="s">
        <v>339</v>
      </c>
      <c r="F166" s="4" t="str">
        <f>CHOOSE(Translations!$C$1+1,'Reference Records'!C166,'Reference Records'!Q166,'Reference Records'!R166)</f>
        <v>Financiación basada en los resultados</v>
      </c>
      <c r="G166" s="4" t="s">
        <v>1481</v>
      </c>
      <c r="H166" s="411" t="s">
        <v>1477</v>
      </c>
      <c r="I166" s="4" t="str">
        <f t="array" ref="I166">IFERROR(INDEX($D$159:$D$210,MATCH(0,COUNTIF($I$158:I165,$D$159:$D$210&amp;"")+IF($D$159:$D$210="",1,0),0)),"")</f>
        <v>MCI-00660</v>
      </c>
      <c r="J166" s="4" t="str">
        <f t="array" ref="J166">IFERROR(IF(INDEX($F$159:$F$210,MATCH(LEFT(I166,255),LEFT($D$159:$D$210,255),0))=0,"",INDEX($F$159:$F$210,MATCH(LEFT(I166,255),LEFT($D$159:$D$210,255),0))),"")</f>
        <v>Gestión de programas</v>
      </c>
      <c r="K166" s="4" t="s">
        <v>663</v>
      </c>
      <c r="L166" s="6"/>
      <c r="M166" s="6" t="s">
        <v>1482</v>
      </c>
      <c r="N166" s="4" t="str">
        <f t="shared" si="7"/>
        <v>MCI-00669</v>
      </c>
      <c r="O166" s="4"/>
      <c r="P166" s="6"/>
      <c r="Q166" s="6" t="s">
        <v>1479</v>
      </c>
      <c r="R166" s="6" t="s">
        <v>1480</v>
      </c>
    </row>
    <row r="167" spans="2:18">
      <c r="B167" s="196" t="str">
        <f t="array" ref="B167">IFERROR(INDEX($C$159:$C$210,MATCH(0,COUNTIF($B$158:B166,$C$159:$C$210&amp;"")+IF($C$159:$C$210="",1,0),0)),"")</f>
        <v>Reducing human rights-related barriers to HIV/TB services</v>
      </c>
      <c r="C167" s="407" t="s">
        <v>1474</v>
      </c>
      <c r="D167" s="4" t="s">
        <v>1475</v>
      </c>
      <c r="E167" s="4" t="s">
        <v>340</v>
      </c>
      <c r="F167" s="4" t="str">
        <f>CHOOSE(Translations!$C$1+1,'Reference Records'!C167,'Reference Records'!Q167,'Reference Records'!R167)</f>
        <v>Financiación basada en los resultados</v>
      </c>
      <c r="G167" s="4" t="s">
        <v>1483</v>
      </c>
      <c r="H167" s="411" t="s">
        <v>1477</v>
      </c>
      <c r="I167" s="4" t="str">
        <f t="array" ref="I167">IFERROR(INDEX($D$159:$D$210,MATCH(0,COUNTIF($I$158:I166,$D$159:$D$210&amp;"")+IF($D$159:$D$210="",1,0),0)),"")</f>
        <v>MCI-00652</v>
      </c>
      <c r="J167" s="4" t="str">
        <f t="array" ref="J167">IFERROR(IF(INDEX($F$159:$F$210,MATCH(LEFT(I167,255),LEFT($D$159:$D$210,255),0))=0,"",INDEX($F$159:$F$210,MATCH(LEFT(I167,255),LEFT($D$159:$D$210,255),0))),"")</f>
        <v>Reducción de las barreras relacionadas con los derechos humanos para acceder a los servicios del VIH y la tuberculosis</v>
      </c>
      <c r="K167" s="4" t="s">
        <v>663</v>
      </c>
      <c r="L167" s="6"/>
      <c r="M167" s="6" t="s">
        <v>1484</v>
      </c>
      <c r="N167" s="4" t="str">
        <f t="shared" si="7"/>
        <v>MCI-00669</v>
      </c>
      <c r="O167" s="4"/>
      <c r="P167" s="6"/>
      <c r="Q167" s="6" t="s">
        <v>1479</v>
      </c>
      <c r="R167" s="6" t="s">
        <v>1480</v>
      </c>
    </row>
    <row r="168" spans="2:18">
      <c r="B168" s="196" t="str">
        <f t="array" ref="B168">IFERROR(INDEX($C$159:$C$210,MATCH(0,COUNTIF($B$158:B167,$C$159:$C$210&amp;"")+IF($C$159:$C$210="",1,0),0)),"")</f>
        <v>Removing human rights and gender related barriers to TB services</v>
      </c>
      <c r="C168" s="407" t="s">
        <v>1485</v>
      </c>
      <c r="D168" s="4" t="s">
        <v>1085</v>
      </c>
      <c r="E168" s="4" t="s">
        <v>338</v>
      </c>
      <c r="F168" s="4" t="str">
        <f>CHOOSE(Translations!$C$1+1,'Reference Records'!C168,'Reference Records'!Q168,'Reference Records'!R168)</f>
        <v>PTMI</v>
      </c>
      <c r="G168" s="4" t="s">
        <v>1486</v>
      </c>
      <c r="H168" s="411" t="s">
        <v>1487</v>
      </c>
      <c r="I168" s="4" t="str">
        <f t="array" ref="I168">IFERROR(INDEX($D$159:$D$210,MATCH(0,COUNTIF($I$158:I167,$D$159:$D$210&amp;"")+IF($D$159:$D$210="",1,0),0)),"")</f>
        <v>MCI-00655</v>
      </c>
      <c r="J168" s="4" t="str">
        <f t="array" ref="J168">IFERROR(IF(INDEX($F$159:$F$210,MATCH(LEFT(I168,255),LEFT($D$159:$D$210,255),0))=0,"",INDEX($F$159:$F$210,MATCH(LEFT(I168,255),LEFT($D$159:$D$210,255),0))),"")</f>
        <v>Eliminar las barreras relacionadas con los derechos humanos y el género que dificultan el acceso a los servicios de tuberculosis</v>
      </c>
      <c r="K168" s="4" t="s">
        <v>663</v>
      </c>
      <c r="L168" s="6"/>
      <c r="M168" s="6" t="s">
        <v>1488</v>
      </c>
      <c r="N168" s="4" t="str">
        <f t="shared" si="7"/>
        <v>MCI-00649</v>
      </c>
      <c r="O168" s="4"/>
      <c r="P168" s="6"/>
      <c r="Q168" s="6" t="s">
        <v>1489</v>
      </c>
      <c r="R168" s="6" t="s">
        <v>1490</v>
      </c>
    </row>
    <row r="169" spans="2:18">
      <c r="B169" s="196" t="str">
        <f t="array" ref="B169">IFERROR(INDEX($C$159:$C$210,MATCH(0,COUNTIF($B$158:B168,$C$159:$C$210&amp;"")+IF($C$159:$C$210="",1,0),0)),"")</f>
        <v>RSSH: Community systems strengthening</v>
      </c>
      <c r="C169" s="407" t="s">
        <v>1491</v>
      </c>
      <c r="D169" s="4" t="s">
        <v>999</v>
      </c>
      <c r="E169" s="4" t="s">
        <v>338</v>
      </c>
      <c r="F169" s="4" t="str">
        <f>CHOOSE(Translations!$C$1+1,'Reference Records'!C169,'Reference Records'!Q169,'Reference Records'!R169)</f>
        <v>Prevención</v>
      </c>
      <c r="G169" s="4" t="s">
        <v>1492</v>
      </c>
      <c r="H169" s="411" t="s">
        <v>1493</v>
      </c>
      <c r="I169" s="4" t="str">
        <f t="array" ref="I169">IFERROR(INDEX($D$159:$D$210,MATCH(0,COUNTIF($I$158:I168,$D$159:$D$210&amp;"")+IF($D$159:$D$210="",1,0),0)),"")</f>
        <v>MCI-00667</v>
      </c>
      <c r="J169" s="4" t="str">
        <f t="array" ref="J169">IFERROR(IF(INDEX($F$159:$F$210,MATCH(LEFT(I169,255),LEFT($D$159:$D$210,255),0))=0,"",INDEX($F$159:$F$210,MATCH(LEFT(I169,255),LEFT($D$159:$D$210,255),0))),"")</f>
        <v>SSRS: fortalecimiento de los sistemas comunitarios</v>
      </c>
      <c r="K169" s="4" t="s">
        <v>663</v>
      </c>
      <c r="L169" s="6"/>
      <c r="M169" s="6" t="s">
        <v>1494</v>
      </c>
      <c r="N169" s="4" t="str">
        <f t="shared" si="7"/>
        <v>MCI-00648</v>
      </c>
      <c r="O169" s="4"/>
      <c r="P169" s="6"/>
      <c r="Q169" s="6" t="s">
        <v>1495</v>
      </c>
      <c r="R169" s="6" t="s">
        <v>434</v>
      </c>
    </row>
    <row r="170" spans="2:18">
      <c r="B170" s="196" t="str">
        <f t="array" ref="B170">IFERROR(INDEX($C$159:$C$210,MATCH(0,COUNTIF($B$158:B169,$C$159:$C$210&amp;"")+IF($C$159:$C$210="",1,0),0)),"")</f>
        <v>RSSH: Financial management systems</v>
      </c>
      <c r="C170" s="407" t="s">
        <v>1496</v>
      </c>
      <c r="D170" s="4" t="s">
        <v>1497</v>
      </c>
      <c r="E170" s="4" t="s">
        <v>338</v>
      </c>
      <c r="F170" s="4" t="str">
        <f>CHOOSE(Translations!$C$1+1,'Reference Records'!C170,'Reference Records'!Q170,'Reference Records'!R170)</f>
        <v>Gestión de programas</v>
      </c>
      <c r="G170" s="4" t="s">
        <v>1498</v>
      </c>
      <c r="H170" s="411" t="s">
        <v>1499</v>
      </c>
      <c r="I170" s="4" t="str">
        <f t="array" ref="I170">IFERROR(INDEX($D$159:$D$210,MATCH(0,COUNTIF($I$158:I169,$D$159:$D$210&amp;"")+IF($D$159:$D$210="",1,0),0)),"")</f>
        <v>MCI-00665</v>
      </c>
      <c r="J170" s="4" t="str">
        <f t="array" ref="J170">IFERROR(IF(INDEX($F$159:$F$210,MATCH(LEFT(I170,255),LEFT($D$159:$D$210,255),0))=0,"",INDEX($F$159:$F$210,MATCH(LEFT(I170,255),LEFT($D$159:$D$210,255),0))),"")</f>
        <v>SSRS: Sistemas de gestión financiera</v>
      </c>
      <c r="K170" s="4" t="s">
        <v>663</v>
      </c>
      <c r="L170" s="6"/>
      <c r="M170" s="6" t="s">
        <v>1500</v>
      </c>
      <c r="N170" s="4" t="str">
        <f t="shared" si="7"/>
        <v>MCI-00660</v>
      </c>
      <c r="O170" s="4"/>
      <c r="P170" s="6"/>
      <c r="Q170" s="6" t="s">
        <v>1501</v>
      </c>
      <c r="R170" s="6" t="s">
        <v>452</v>
      </c>
    </row>
    <row r="171" spans="2:18">
      <c r="B171" s="196" t="str">
        <f t="array" ref="B171">IFERROR(INDEX($C$159:$C$210,MATCH(0,COUNTIF($B$158:B170,$C$159:$C$210&amp;"")+IF($C$159:$C$210="",1,0),0)),"")</f>
        <v>RSSH: Health management information systems and M&amp;E</v>
      </c>
      <c r="C171" s="407" t="s">
        <v>1496</v>
      </c>
      <c r="D171" s="4" t="s">
        <v>1497</v>
      </c>
      <c r="E171" s="4" t="s">
        <v>339</v>
      </c>
      <c r="F171" s="4" t="str">
        <f>CHOOSE(Translations!$C$1+1,'Reference Records'!C171,'Reference Records'!Q171,'Reference Records'!R171)</f>
        <v>Gestión de programas</v>
      </c>
      <c r="G171" s="4" t="s">
        <v>1502</v>
      </c>
      <c r="H171" s="411" t="s">
        <v>1499</v>
      </c>
      <c r="I171" s="4" t="str">
        <f t="array" ref="I171">IFERROR(INDEX($D$159:$D$210,MATCH(0,COUNTIF($I$158:I170,$D$159:$D$210&amp;"")+IF($D$159:$D$210="",1,0),0)),"")</f>
        <v>MCI-00662</v>
      </c>
      <c r="J171" s="4" t="str">
        <f t="array" ref="J171">IFERROR(IF(INDEX($F$159:$F$210,MATCH(LEFT(I171,255),LEFT($D$159:$D$210,255),0))=0,"",INDEX($F$159:$F$210,MATCH(LEFT(I171,255),LEFT($D$159:$D$210,255),0))),"")</f>
        <v>SSRS: Sistemas de información de gestión de salud y M&amp;E (Monitoria y Evaluación)</v>
      </c>
      <c r="K171" s="4" t="s">
        <v>663</v>
      </c>
      <c r="L171" s="6"/>
      <c r="M171" s="6" t="s">
        <v>1503</v>
      </c>
      <c r="N171" s="4" t="str">
        <f t="shared" si="7"/>
        <v>MCI-00660</v>
      </c>
      <c r="O171" s="4"/>
      <c r="P171" s="6"/>
      <c r="Q171" s="6" t="s">
        <v>1501</v>
      </c>
      <c r="R171" s="6" t="s">
        <v>452</v>
      </c>
    </row>
    <row r="172" spans="2:18">
      <c r="B172" s="196" t="str">
        <f t="array" ref="B172">IFERROR(INDEX($C$159:$C$210,MATCH(0,COUNTIF($B$158:B171,$C$159:$C$210&amp;"")+IF($C$159:$C$210="",1,0),0)),"")</f>
        <v>RSSH: Health products management systems</v>
      </c>
      <c r="C172" s="407" t="s">
        <v>1496</v>
      </c>
      <c r="D172" s="4" t="s">
        <v>1497</v>
      </c>
      <c r="E172" s="4" t="s">
        <v>340</v>
      </c>
      <c r="F172" s="4" t="str">
        <f>CHOOSE(Translations!$C$1+1,'Reference Records'!C172,'Reference Records'!Q172,'Reference Records'!R172)</f>
        <v>Gestión de programas</v>
      </c>
      <c r="G172" s="4" t="s">
        <v>1504</v>
      </c>
      <c r="H172" s="411" t="s">
        <v>1499</v>
      </c>
      <c r="I172" s="4" t="str">
        <f t="array" ref="I172">IFERROR(INDEX($D$159:$D$210,MATCH(0,COUNTIF($I$158:I171,$D$159:$D$210&amp;"")+IF($D$159:$D$210="",1,0),0)),"")</f>
        <v>MCI-00661</v>
      </c>
      <c r="J172" s="4" t="str">
        <f t="array" ref="J172">IFERROR(IF(INDEX($F$159:$F$210,MATCH(LEFT(I172,255),LEFT($D$159:$D$210,255),0))=0,"",INDEX($F$159:$F$210,MATCH(LEFT(I172,255),LEFT($D$159:$D$210,255),0))),"")</f>
        <v>SSRS: sistemas de gestión de productos para la salud</v>
      </c>
      <c r="K172" s="4" t="s">
        <v>663</v>
      </c>
      <c r="L172" s="6"/>
      <c r="M172" s="6" t="s">
        <v>1505</v>
      </c>
      <c r="N172" s="4" t="str">
        <f t="shared" si="7"/>
        <v>MCI-00660</v>
      </c>
      <c r="O172" s="4"/>
      <c r="P172" s="6"/>
      <c r="Q172" s="6" t="s">
        <v>1501</v>
      </c>
      <c r="R172" s="6" t="s">
        <v>452</v>
      </c>
    </row>
    <row r="173" spans="2:18">
      <c r="B173" s="196" t="str">
        <f t="array" ref="B173">IFERROR(INDEX($C$159:$C$210,MATCH(0,COUNTIF($B$158:B172,$C$159:$C$210&amp;"")+IF($C$159:$C$210="",1,0),0)),"")</f>
        <v>RSSH: Health sector governance and planning</v>
      </c>
      <c r="C173" s="407" t="s">
        <v>1506</v>
      </c>
      <c r="D173" s="4" t="s">
        <v>1507</v>
      </c>
      <c r="E173" s="4" t="s">
        <v>338</v>
      </c>
      <c r="F173" s="4" t="str">
        <f>CHOOSE(Translations!$C$1+1,'Reference Records'!C173,'Reference Records'!Q173,'Reference Records'!R173)</f>
        <v>Reducción de las barreras relacionadas con los derechos humanos para acceder a los servicios del VIH y la tuberculosis</v>
      </c>
      <c r="G173" s="4" t="s">
        <v>1508</v>
      </c>
      <c r="H173" s="411" t="s">
        <v>1509</v>
      </c>
      <c r="I173" s="4" t="str">
        <f t="array" ref="I173">IFERROR(INDEX($D$159:$D$210,MATCH(0,COUNTIF($I$158:I172,$D$159:$D$210&amp;"")+IF($D$159:$D$210="",1,0),0)),"")</f>
        <v>MCI-00666</v>
      </c>
      <c r="J173" s="4" t="str">
        <f t="array" ref="J173">IFERROR(IF(INDEX($F$159:$F$210,MATCH(LEFT(I173,255),LEFT($D$159:$D$210,255),0))=0,"",INDEX($F$159:$F$210,MATCH(LEFT(I173,255),LEFT($D$159:$D$210,255),0))),"")</f>
        <v>SSRS: gobernanza y planificación del sector de la salud</v>
      </c>
      <c r="K173" s="4" t="s">
        <v>663</v>
      </c>
      <c r="L173" s="6"/>
      <c r="M173" s="6" t="s">
        <v>1510</v>
      </c>
      <c r="N173" s="4" t="str">
        <f t="shared" si="7"/>
        <v>MCI-00652</v>
      </c>
      <c r="O173" s="4"/>
      <c r="P173" s="6"/>
      <c r="Q173" s="6" t="s">
        <v>1511</v>
      </c>
      <c r="R173" s="6" t="s">
        <v>1512</v>
      </c>
    </row>
    <row r="174" spans="2:18">
      <c r="B174" s="196" t="str">
        <f t="array" ref="B174">IFERROR(INDEX($C$159:$C$210,MATCH(0,COUNTIF($B$158:B173,$C$159:$C$210&amp;"")+IF($C$159:$C$210="",1,0),0)),"")</f>
        <v>RSSH: Human resources for health, including community health workers</v>
      </c>
      <c r="C174" s="407" t="s">
        <v>1513</v>
      </c>
      <c r="D174" s="4" t="s">
        <v>1514</v>
      </c>
      <c r="E174" s="4" t="s">
        <v>339</v>
      </c>
      <c r="F174" s="4" t="str">
        <f>CHOOSE(Translations!$C$1+1,'Reference Records'!C174,'Reference Records'!Q174,'Reference Records'!R174)</f>
        <v>Eliminar las barreras relacionadas con los derechos humanos y el género que dificultan el acceso a los servicios de tuberculosis</v>
      </c>
      <c r="G174" s="4" t="s">
        <v>1515</v>
      </c>
      <c r="H174" s="411" t="s">
        <v>1516</v>
      </c>
      <c r="I174" s="4" t="str">
        <f t="array" ref="I174">IFERROR(INDEX($D$159:$D$210,MATCH(0,COUNTIF($I$158:I173,$D$159:$D$210&amp;"")+IF($D$159:$D$210="",1,0),0)),"")</f>
        <v>MCI-00663</v>
      </c>
      <c r="J174" s="4" t="str">
        <f t="array" ref="J174">IFERROR(IF(INDEX($F$159:$F$210,MATCH(LEFT(I174,255),LEFT($D$159:$D$210,255),0))=0,"",INDEX($F$159:$F$210,MATCH(LEFT(I174,255),LEFT($D$159:$D$210,255),0))),"")</f>
        <v>SSRS: recursos humanos para la salud  incluidos los trabajadores de la salud comunitarios</v>
      </c>
      <c r="K174" s="4" t="s">
        <v>663</v>
      </c>
      <c r="L174" s="6"/>
      <c r="M174" s="6" t="s">
        <v>1517</v>
      </c>
      <c r="N174" s="4" t="str">
        <f t="shared" si="7"/>
        <v>MCI-00655</v>
      </c>
      <c r="O174" s="4"/>
      <c r="P174" s="6"/>
      <c r="Q174" s="6" t="s">
        <v>1518</v>
      </c>
      <c r="R174" s="6" t="s">
        <v>1519</v>
      </c>
    </row>
    <row r="175" spans="2:18">
      <c r="B175" s="196" t="str">
        <f t="array" ref="B175">IFERROR(INDEX($C$159:$C$210,MATCH(0,COUNTIF($B$158:B174,$C$159:$C$210&amp;"")+IF($C$159:$C$210="",1,0),0)),"")</f>
        <v>RSSH: Integrated service delivery and quality improvement</v>
      </c>
      <c r="C175" s="407" t="s">
        <v>1520</v>
      </c>
      <c r="D175" s="4" t="s">
        <v>1427</v>
      </c>
      <c r="E175" s="4" t="s">
        <v>338</v>
      </c>
      <c r="F175" s="4" t="str">
        <f>CHOOSE(Translations!$C$1+1,'Reference Records'!C175,'Reference Records'!Q175,'Reference Records'!R175)</f>
        <v>SSRS: fortalecimiento de los sistemas comunitarios</v>
      </c>
      <c r="G175" s="4" t="s">
        <v>1521</v>
      </c>
      <c r="H175" s="411" t="s">
        <v>1522</v>
      </c>
      <c r="I175" s="4" t="str">
        <f t="array" ref="I175">IFERROR(INDEX($D$159:$D$210,MATCH(0,COUNTIF($I$158:I174,$D$159:$D$210&amp;"")+IF($D$159:$D$210="",1,0),0)),"")</f>
        <v>MCI-00664</v>
      </c>
      <c r="J175" s="4" t="str">
        <f t="array" ref="J175">IFERROR(IF(INDEX($F$159:$F$210,MATCH(LEFT(I175,255),LEFT($D$159:$D$210,255),0))=0,"",INDEX($F$159:$F$210,MATCH(LEFT(I175,255),LEFT($D$159:$D$210,255),0))),"")</f>
        <v>SSRS: mejora de la calidad y la prestación de servicios integrados</v>
      </c>
      <c r="K175" s="4" t="s">
        <v>663</v>
      </c>
      <c r="L175" s="6"/>
      <c r="M175" s="6" t="s">
        <v>1523</v>
      </c>
      <c r="N175" s="4" t="str">
        <f t="shared" si="7"/>
        <v>MCI-00667</v>
      </c>
      <c r="O175" s="4"/>
      <c r="P175" s="6"/>
      <c r="Q175" s="6" t="s">
        <v>1524</v>
      </c>
      <c r="R175" s="6" t="s">
        <v>1525</v>
      </c>
    </row>
    <row r="176" spans="2:18">
      <c r="B176" s="196" t="str">
        <f t="array" ref="B176">IFERROR(INDEX($C$159:$C$210,MATCH(0,COUNTIF($B$158:B175,$C$159:$C$210&amp;"")+IF($C$159:$C$210="",1,0),0)),"")</f>
        <v>RSSH: Laboratory systems</v>
      </c>
      <c r="C176" s="407" t="s">
        <v>1520</v>
      </c>
      <c r="D176" s="4" t="s">
        <v>1427</v>
      </c>
      <c r="E176" s="4" t="s">
        <v>339</v>
      </c>
      <c r="F176" s="4" t="str">
        <f>CHOOSE(Translations!$C$1+1,'Reference Records'!C176,'Reference Records'!Q176,'Reference Records'!R176)</f>
        <v>SSRS: fortalecimiento de los sistemas comunitarios</v>
      </c>
      <c r="G176" s="4" t="s">
        <v>1526</v>
      </c>
      <c r="H176" s="411" t="s">
        <v>1522</v>
      </c>
      <c r="I176" s="4" t="str">
        <f t="array" ref="I176">IFERROR(INDEX($D$159:$D$210,MATCH(0,COUNTIF($I$158:I175,$D$159:$D$210&amp;"")+IF($D$159:$D$210="",1,0),0)),"")</f>
        <v>MCI-00668</v>
      </c>
      <c r="J176" s="4" t="str">
        <f t="array" ref="J176">IFERROR(IF(INDEX($F$159:$F$210,MATCH(LEFT(I176,255),LEFT($D$159:$D$210,255),0))=0,"",INDEX($F$159:$F$210,MATCH(LEFT(I176,255),LEFT($D$159:$D$210,255),0))),"")</f>
        <v>SSRS: sistemas de laboratorio</v>
      </c>
      <c r="K176" s="4" t="s">
        <v>663</v>
      </c>
      <c r="L176" s="6"/>
      <c r="M176" s="6" t="s">
        <v>1527</v>
      </c>
      <c r="N176" s="4" t="str">
        <f t="shared" si="7"/>
        <v>MCI-00667</v>
      </c>
      <c r="O176" s="4"/>
      <c r="P176" s="6"/>
      <c r="Q176" s="6" t="s">
        <v>1524</v>
      </c>
      <c r="R176" s="6" t="s">
        <v>1525</v>
      </c>
    </row>
    <row r="177" spans="2:18">
      <c r="B177" s="196" t="str">
        <f t="array" ref="B177">IFERROR(INDEX($C$159:$C$210,MATCH(0,COUNTIF($B$158:B176,$C$159:$C$210&amp;"")+IF($C$159:$C$210="",1,0),0)),"")</f>
        <v>TB care and prevention</v>
      </c>
      <c r="C177" s="407" t="s">
        <v>1520</v>
      </c>
      <c r="D177" s="4" t="s">
        <v>1427</v>
      </c>
      <c r="E177" s="4" t="s">
        <v>340</v>
      </c>
      <c r="F177" s="4" t="str">
        <f>CHOOSE(Translations!$C$1+1,'Reference Records'!C177,'Reference Records'!Q177,'Reference Records'!R177)</f>
        <v>SSRS: fortalecimiento de los sistemas comunitarios</v>
      </c>
      <c r="G177" s="4" t="s">
        <v>1528</v>
      </c>
      <c r="H177" s="411" t="s">
        <v>1522</v>
      </c>
      <c r="I177" s="4" t="str">
        <f t="array" ref="I177">IFERROR(INDEX($D$159:$D$210,MATCH(0,COUNTIF($I$158:I176,$D$159:$D$210&amp;"")+IF($D$159:$D$210="",1,0),0)),"")</f>
        <v>MCI-00653</v>
      </c>
      <c r="J177" s="4" t="str">
        <f t="array" ref="J177">IFERROR(IF(INDEX($F$159:$F$210,MATCH(LEFT(I177,255),LEFT($D$159:$D$210,255),0))=0,"",INDEX($F$159:$F$210,MATCH(LEFT(I177,255),LEFT($D$159:$D$210,255),0))),"")</f>
        <v>Atención y prevención de la tuberculosis</v>
      </c>
      <c r="K177" s="4" t="s">
        <v>663</v>
      </c>
      <c r="L177" s="6"/>
      <c r="M177" s="6" t="s">
        <v>1529</v>
      </c>
      <c r="N177" s="4" t="str">
        <f t="shared" si="7"/>
        <v>MCI-00667</v>
      </c>
      <c r="O177" s="4"/>
      <c r="P177" s="6"/>
      <c r="Q177" s="6" t="s">
        <v>1524</v>
      </c>
      <c r="R177" s="6" t="s">
        <v>1525</v>
      </c>
    </row>
    <row r="178" spans="2:18">
      <c r="B178" s="196" t="str">
        <f t="array" ref="B178">IFERROR(INDEX($C$159:$C$210,MATCH(0,COUNTIF($B$158:B177,$C$159:$C$210&amp;"")+IF($C$159:$C$210="",1,0),0)),"")</f>
        <v>TB/HIV</v>
      </c>
      <c r="C178" s="407" t="s">
        <v>1530</v>
      </c>
      <c r="D178" s="4" t="s">
        <v>1415</v>
      </c>
      <c r="E178" s="4" t="s">
        <v>338</v>
      </c>
      <c r="F178" s="4" t="str">
        <f>CHOOSE(Translations!$C$1+1,'Reference Records'!C178,'Reference Records'!Q178,'Reference Records'!R178)</f>
        <v>SSRS: Sistemas de gestión financiera</v>
      </c>
      <c r="G178" s="4" t="s">
        <v>1531</v>
      </c>
      <c r="H178" s="411" t="s">
        <v>1532</v>
      </c>
      <c r="I178" s="4" t="str">
        <f t="array" ref="I178">IFERROR(INDEX($D$159:$D$210,MATCH(0,COUNTIF($I$158:I177,$D$159:$D$210&amp;"")+IF($D$159:$D$210="",1,0),0)),"")</f>
        <v>MCI-00656</v>
      </c>
      <c r="J178" s="4" t="str">
        <f t="array" ref="J178">IFERROR(IF(INDEX($F$159:$F$210,MATCH(LEFT(I178,255),LEFT($D$159:$D$210,255),0))=0,"",INDEX($F$159:$F$210,MATCH(LEFT(I178,255),LEFT($D$159:$D$210,255),0))),"")</f>
        <v>TB/VIH</v>
      </c>
      <c r="K178" s="4" t="s">
        <v>663</v>
      </c>
      <c r="L178" s="6"/>
      <c r="M178" s="6" t="s">
        <v>1533</v>
      </c>
      <c r="N178" s="4" t="str">
        <f t="shared" si="7"/>
        <v>MCI-00665</v>
      </c>
      <c r="O178" s="4"/>
      <c r="P178" s="6"/>
      <c r="Q178" s="6" t="s">
        <v>1534</v>
      </c>
      <c r="R178" s="6" t="s">
        <v>1535</v>
      </c>
    </row>
    <row r="179" spans="2:18">
      <c r="B179" s="196" t="str">
        <f t="array" ref="B179">IFERROR(INDEX($C$159:$C$210,MATCH(0,COUNTIF($B$158:B178,$C$159:$C$210&amp;"")+IF($C$159:$C$210="",1,0),0)),"")</f>
        <v>Treatment, care and support</v>
      </c>
      <c r="C179" s="407" t="s">
        <v>1530</v>
      </c>
      <c r="D179" s="4" t="s">
        <v>1415</v>
      </c>
      <c r="E179" s="4" t="s">
        <v>339</v>
      </c>
      <c r="F179" s="4" t="str">
        <f>CHOOSE(Translations!$C$1+1,'Reference Records'!C179,'Reference Records'!Q179,'Reference Records'!R179)</f>
        <v>SSRS: Sistemas de gestión financiera</v>
      </c>
      <c r="G179" s="4" t="s">
        <v>1536</v>
      </c>
      <c r="H179" s="411" t="s">
        <v>1532</v>
      </c>
      <c r="I179" s="4" t="str">
        <f t="array" ref="I179">IFERROR(INDEX($D$159:$D$210,MATCH(0,COUNTIF($I$158:I178,$D$159:$D$210&amp;"")+IF($D$159:$D$210="",1,0),0)),"")</f>
        <v>MCI-00651</v>
      </c>
      <c r="J179" s="4" t="str">
        <f t="array" ref="J179">IFERROR(IF(INDEX($F$159:$F$210,MATCH(LEFT(I179,255),LEFT($D$159:$D$210,255),0))=0,"",INDEX($F$159:$F$210,MATCH(LEFT(I179,255),LEFT($D$159:$D$210,255),0))),"")</f>
        <v>Tratamiento, atención y apoyo</v>
      </c>
      <c r="K179" s="4" t="s">
        <v>663</v>
      </c>
      <c r="L179" s="6"/>
      <c r="M179" s="6" t="s">
        <v>1537</v>
      </c>
      <c r="N179" s="4" t="str">
        <f t="shared" si="7"/>
        <v>MCI-00665</v>
      </c>
      <c r="O179" s="4"/>
      <c r="P179" s="6"/>
      <c r="Q179" s="6" t="s">
        <v>1534</v>
      </c>
      <c r="R179" s="6" t="s">
        <v>1535</v>
      </c>
    </row>
    <row r="180" spans="2:18">
      <c r="B180" s="196" t="str">
        <f t="array" ref="B180">IFERROR(INDEX($C$159:$C$210,MATCH(0,COUNTIF($B$158:B179,$C$159:$C$210&amp;"")+IF($C$159:$C$210="",1,0),0)),"")</f>
        <v/>
      </c>
      <c r="C180" s="407" t="s">
        <v>1530</v>
      </c>
      <c r="D180" s="4" t="s">
        <v>1415</v>
      </c>
      <c r="E180" s="4" t="s">
        <v>340</v>
      </c>
      <c r="F180" s="4" t="str">
        <f>CHOOSE(Translations!$C$1+1,'Reference Records'!C180,'Reference Records'!Q180,'Reference Records'!R180)</f>
        <v>SSRS: Sistemas de gestión financiera</v>
      </c>
      <c r="G180" s="4" t="s">
        <v>1538</v>
      </c>
      <c r="H180" s="411" t="s">
        <v>1532</v>
      </c>
      <c r="I180" s="4" t="str">
        <f t="array" ref="I180">IFERROR(INDEX($D$159:$D$210,MATCH(0,COUNTIF($I$158:I179,$D$159:$D$210&amp;"")+IF($D$159:$D$210="",1,0),0)),"")</f>
        <v/>
      </c>
      <c r="J180" s="4" t="str">
        <f t="array" ref="J180">IFERROR(IF(INDEX($F$159:$F$210,MATCH(LEFT(I180,255),LEFT($D$159:$D$210,255),0))=0,"",INDEX($F$159:$F$210,MATCH(LEFT(I180,255),LEFT($D$159:$D$210,255),0))),"")</f>
        <v/>
      </c>
      <c r="K180" s="4" t="s">
        <v>663</v>
      </c>
      <c r="L180" s="6"/>
      <c r="M180" s="6" t="s">
        <v>1539</v>
      </c>
      <c r="N180" s="4" t="str">
        <f t="shared" si="7"/>
        <v>MCI-00665</v>
      </c>
      <c r="O180" s="4"/>
      <c r="P180" s="6"/>
      <c r="Q180" s="6" t="s">
        <v>1534</v>
      </c>
      <c r="R180" s="6" t="s">
        <v>1535</v>
      </c>
    </row>
    <row r="181" spans="2:18">
      <c r="B181" s="196" t="str">
        <f t="array" ref="B181">IFERROR(INDEX($C$159:$C$210,MATCH(0,COUNTIF($B$158:B180,$C$159:$C$210&amp;"")+IF($C$159:$C$210="",1,0),0)),"")</f>
        <v/>
      </c>
      <c r="C181" s="407" t="s">
        <v>1540</v>
      </c>
      <c r="D181" s="4" t="s">
        <v>1346</v>
      </c>
      <c r="E181" s="4" t="s">
        <v>338</v>
      </c>
      <c r="F181" s="4" t="str">
        <f>CHOOSE(Translations!$C$1+1,'Reference Records'!C181,'Reference Records'!Q181,'Reference Records'!R181)</f>
        <v>SSRS: Sistemas de información de gestión de salud y M&amp;E (Monitoria y Evaluación)</v>
      </c>
      <c r="G181" s="4" t="s">
        <v>1541</v>
      </c>
      <c r="H181" s="411" t="s">
        <v>1542</v>
      </c>
      <c r="I181" s="4" t="str">
        <f t="array" ref="I181">IFERROR(INDEX($D$159:$D$210,MATCH(0,COUNTIF($I$158:I180,$D$159:$D$210&amp;"")+IF($D$159:$D$210="",1,0),0)),"")</f>
        <v/>
      </c>
      <c r="J181" s="4" t="str">
        <f t="array" ref="J181">IFERROR(IF(INDEX($F$159:$F$210,MATCH(LEFT(I181,255),LEFT($D$159:$D$210,255),0))=0,"",INDEX($F$159:$F$210,MATCH(LEFT(I181,255),LEFT($D$159:$D$210,255),0))),"")</f>
        <v/>
      </c>
      <c r="K181" s="4" t="s">
        <v>663</v>
      </c>
      <c r="L181" s="6"/>
      <c r="M181" s="6" t="s">
        <v>1543</v>
      </c>
      <c r="N181" s="4" t="str">
        <f t="shared" si="7"/>
        <v>MCI-00662</v>
      </c>
      <c r="O181" s="4"/>
      <c r="P181" s="6"/>
      <c r="Q181" s="6" t="s">
        <v>1544</v>
      </c>
      <c r="R181" s="6" t="s">
        <v>449</v>
      </c>
    </row>
    <row r="182" spans="2:18">
      <c r="B182" s="196" t="str">
        <f t="array" ref="B182">IFERROR(INDEX($C$159:$C$210,MATCH(0,COUNTIF($B$158:B181,$C$159:$C$210&amp;"")+IF($C$159:$C$210="",1,0),0)),"")</f>
        <v/>
      </c>
      <c r="C182" s="407" t="s">
        <v>1540</v>
      </c>
      <c r="D182" s="4" t="s">
        <v>1346</v>
      </c>
      <c r="E182" s="4" t="s">
        <v>339</v>
      </c>
      <c r="F182" s="4" t="str">
        <f>CHOOSE(Translations!$C$1+1,'Reference Records'!C182,'Reference Records'!Q182,'Reference Records'!R182)</f>
        <v>SSRS: Sistemas de información de gestión de salud y M&amp;E (Monitoria y Evaluación)</v>
      </c>
      <c r="G182" s="4" t="s">
        <v>1545</v>
      </c>
      <c r="H182" s="411" t="s">
        <v>1542</v>
      </c>
      <c r="I182" s="4" t="str">
        <f t="array" ref="I182">IFERROR(INDEX($D$159:$D$210,MATCH(0,COUNTIF($I$158:I181,$D$159:$D$210&amp;"")+IF($D$159:$D$210="",1,0),0)),"")</f>
        <v/>
      </c>
      <c r="J182" s="4" t="str">
        <f t="array" ref="J182">IFERROR(IF(INDEX($F$159:$F$210,MATCH(LEFT(I182,255),LEFT($D$159:$D$210,255),0))=0,"",INDEX($F$159:$F$210,MATCH(LEFT(I182,255),LEFT($D$159:$D$210,255),0))),"")</f>
        <v/>
      </c>
      <c r="K182" s="4" t="s">
        <v>663</v>
      </c>
      <c r="L182" s="6"/>
      <c r="M182" s="6" t="s">
        <v>1546</v>
      </c>
      <c r="N182" s="4" t="str">
        <f t="shared" si="7"/>
        <v>MCI-00662</v>
      </c>
      <c r="O182" s="4"/>
      <c r="P182" s="6"/>
      <c r="Q182" s="6" t="s">
        <v>1544</v>
      </c>
      <c r="R182" s="6" t="s">
        <v>449</v>
      </c>
    </row>
    <row r="183" spans="2:18">
      <c r="B183" s="196" t="str">
        <f t="array" ref="B183">IFERROR(INDEX($C$159:$C$210,MATCH(0,COUNTIF($B$158:B182,$C$159:$C$210&amp;"")+IF($C$159:$C$210="",1,0),0)),"")</f>
        <v/>
      </c>
      <c r="C183" s="407" t="s">
        <v>1540</v>
      </c>
      <c r="D183" s="4" t="s">
        <v>1346</v>
      </c>
      <c r="E183" s="4" t="s">
        <v>340</v>
      </c>
      <c r="F183" s="4" t="str">
        <f>CHOOSE(Translations!$C$1+1,'Reference Records'!C183,'Reference Records'!Q183,'Reference Records'!R183)</f>
        <v>SSRS: Sistemas de información de gestión de salud y M&amp;E (Monitoria y Evaluación)</v>
      </c>
      <c r="G183" s="4" t="s">
        <v>1547</v>
      </c>
      <c r="H183" s="411" t="s">
        <v>1542</v>
      </c>
      <c r="I183" s="4" t="str">
        <f t="array" ref="I183">IFERROR(INDEX($D$159:$D$210,MATCH(0,COUNTIF($I$158:I182,$D$159:$D$210&amp;"")+IF($D$159:$D$210="",1,0),0)),"")</f>
        <v/>
      </c>
      <c r="J183" s="4" t="str">
        <f t="array" ref="J183">IFERROR(IF(INDEX($F$159:$F$210,MATCH(LEFT(I183,255),LEFT($D$159:$D$210,255),0))=0,"",INDEX($F$159:$F$210,MATCH(LEFT(I183,255),LEFT($D$159:$D$210,255),0))),"")</f>
        <v/>
      </c>
      <c r="K183" s="4" t="s">
        <v>663</v>
      </c>
      <c r="L183" s="6"/>
      <c r="M183" s="6" t="s">
        <v>1548</v>
      </c>
      <c r="N183" s="4" t="str">
        <f t="shared" si="7"/>
        <v>MCI-00662</v>
      </c>
      <c r="O183" s="4"/>
      <c r="P183" s="6"/>
      <c r="Q183" s="6" t="s">
        <v>1544</v>
      </c>
      <c r="R183" s="6" t="s">
        <v>449</v>
      </c>
    </row>
    <row r="184" spans="2:18">
      <c r="B184" s="196" t="str">
        <f t="array" ref="B184">IFERROR(INDEX($C$159:$C$210,MATCH(0,COUNTIF($B$158:B183,$C$159:$C$210&amp;"")+IF($C$159:$C$210="",1,0),0)),"")</f>
        <v/>
      </c>
      <c r="C184" s="407" t="s">
        <v>1549</v>
      </c>
      <c r="D184" s="4" t="s">
        <v>1320</v>
      </c>
      <c r="E184" s="4" t="s">
        <v>338</v>
      </c>
      <c r="F184" s="4" t="str">
        <f>CHOOSE(Translations!$C$1+1,'Reference Records'!C184,'Reference Records'!Q184,'Reference Records'!R184)</f>
        <v>SSRS: sistemas de gestión de productos para la salud</v>
      </c>
      <c r="G184" s="4" t="s">
        <v>1550</v>
      </c>
      <c r="H184" s="411" t="s">
        <v>1551</v>
      </c>
      <c r="I184" s="4" t="str">
        <f t="array" ref="I184">IFERROR(INDEX($D$159:$D$210,MATCH(0,COUNTIF($I$158:I183,$D$159:$D$210&amp;"")+IF($D$159:$D$210="",1,0),0)),"")</f>
        <v/>
      </c>
      <c r="J184" s="4" t="str">
        <f t="array" ref="J184">IFERROR(IF(INDEX($F$159:$F$210,MATCH(LEFT(I184,255),LEFT($D$159:$D$210,255),0))=0,"",INDEX($F$159:$F$210,MATCH(LEFT(I184,255),LEFT($D$159:$D$210,255),0))),"")</f>
        <v/>
      </c>
      <c r="K184" s="4" t="s">
        <v>663</v>
      </c>
      <c r="L184" s="6"/>
      <c r="M184" s="6" t="s">
        <v>1552</v>
      </c>
      <c r="N184" s="4" t="str">
        <f t="shared" si="7"/>
        <v>MCI-00661</v>
      </c>
      <c r="O184" s="4"/>
      <c r="P184" s="6"/>
      <c r="Q184" s="6" t="s">
        <v>1553</v>
      </c>
      <c r="R184" s="6" t="s">
        <v>1554</v>
      </c>
    </row>
    <row r="185" spans="2:18">
      <c r="B185" s="196" t="str">
        <f t="array" ref="B185">IFERROR(INDEX($C$159:$C$210,MATCH(0,COUNTIF($B$158:B184,$C$159:$C$210&amp;"")+IF($C$159:$C$210="",1,0),0)),"")</f>
        <v/>
      </c>
      <c r="C185" s="407" t="s">
        <v>1549</v>
      </c>
      <c r="D185" s="4" t="s">
        <v>1320</v>
      </c>
      <c r="E185" s="4" t="s">
        <v>339</v>
      </c>
      <c r="F185" s="4" t="str">
        <f>CHOOSE(Translations!$C$1+1,'Reference Records'!C185,'Reference Records'!Q185,'Reference Records'!R185)</f>
        <v>SSRS: sistemas de gestión de productos para la salud</v>
      </c>
      <c r="G185" s="4" t="s">
        <v>1555</v>
      </c>
      <c r="H185" s="411" t="s">
        <v>1551</v>
      </c>
      <c r="I185" s="4" t="str">
        <f t="array" ref="I185">IFERROR(INDEX($D$159:$D$210,MATCH(0,COUNTIF($I$158:I184,$D$159:$D$210&amp;"")+IF($D$159:$D$210="",1,0),0)),"")</f>
        <v/>
      </c>
      <c r="J185" s="4" t="str">
        <f t="array" ref="J185">IFERROR(IF(INDEX($F$159:$F$210,MATCH(LEFT(I185,255),LEFT($D$159:$D$210,255),0))=0,"",INDEX($F$159:$F$210,MATCH(LEFT(I185,255),LEFT($D$159:$D$210,255),0))),"")</f>
        <v/>
      </c>
      <c r="K185" s="4" t="s">
        <v>663</v>
      </c>
      <c r="L185" s="6"/>
      <c r="M185" s="6" t="s">
        <v>1556</v>
      </c>
      <c r="N185" s="4" t="str">
        <f t="shared" si="7"/>
        <v>MCI-00661</v>
      </c>
      <c r="O185" s="4"/>
      <c r="P185" s="6"/>
      <c r="Q185" s="6" t="s">
        <v>1553</v>
      </c>
      <c r="R185" s="6" t="s">
        <v>1554</v>
      </c>
    </row>
    <row r="186" spans="2:18">
      <c r="B186" s="196" t="str">
        <f t="array" ref="B186">IFERROR(INDEX($C$159:$C$210,MATCH(0,COUNTIF($B$158:B185,$C$159:$C$210&amp;"")+IF($C$159:$C$210="",1,0),0)),"")</f>
        <v/>
      </c>
      <c r="C186" s="407" t="s">
        <v>1549</v>
      </c>
      <c r="D186" s="4" t="s">
        <v>1320</v>
      </c>
      <c r="E186" s="4" t="s">
        <v>340</v>
      </c>
      <c r="F186" s="4" t="str">
        <f>CHOOSE(Translations!$C$1+1,'Reference Records'!C186,'Reference Records'!Q186,'Reference Records'!R186)</f>
        <v>SSRS: sistemas de gestión de productos para la salud</v>
      </c>
      <c r="G186" s="4" t="s">
        <v>1557</v>
      </c>
      <c r="H186" s="411" t="s">
        <v>1551</v>
      </c>
      <c r="I186" s="4" t="str">
        <f t="array" ref="I186">IFERROR(INDEX($D$159:$D$210,MATCH(0,COUNTIF($I$158:I185,$D$159:$D$210&amp;"")+IF($D$159:$D$210="",1,0),0)),"")</f>
        <v/>
      </c>
      <c r="J186" s="4" t="str">
        <f t="array" ref="J186">IFERROR(IF(INDEX($F$159:$F$210,MATCH(LEFT(I186,255),LEFT($D$159:$D$210,255),0))=0,"",INDEX($F$159:$F$210,MATCH(LEFT(I186,255),LEFT($D$159:$D$210,255),0))),"")</f>
        <v/>
      </c>
      <c r="K186" s="4" t="s">
        <v>663</v>
      </c>
      <c r="L186" s="6"/>
      <c r="M186" s="6" t="s">
        <v>1558</v>
      </c>
      <c r="N186" s="4" t="str">
        <f t="shared" si="7"/>
        <v>MCI-00661</v>
      </c>
      <c r="O186" s="4"/>
      <c r="P186" s="6"/>
      <c r="Q186" s="6" t="s">
        <v>1553</v>
      </c>
      <c r="R186" s="6" t="s">
        <v>1554</v>
      </c>
    </row>
    <row r="187" spans="2:18">
      <c r="B187" s="196" t="str">
        <f t="array" ref="B187">IFERROR(INDEX($C$159:$C$210,MATCH(0,COUNTIF($B$158:B186,$C$159:$C$210&amp;"")+IF($C$159:$C$210="",1,0),0)),"")</f>
        <v/>
      </c>
      <c r="C187" s="407" t="s">
        <v>1559</v>
      </c>
      <c r="D187" s="4" t="s">
        <v>1421</v>
      </c>
      <c r="E187" s="4" t="s">
        <v>338</v>
      </c>
      <c r="F187" s="4" t="str">
        <f>CHOOSE(Translations!$C$1+1,'Reference Records'!C187,'Reference Records'!Q187,'Reference Records'!R187)</f>
        <v>SSRS: gobernanza y planificación del sector de la salud</v>
      </c>
      <c r="G187" s="4" t="s">
        <v>1560</v>
      </c>
      <c r="H187" s="411" t="s">
        <v>1561</v>
      </c>
      <c r="I187" s="4" t="str">
        <f t="array" ref="I187">IFERROR(INDEX($D$159:$D$210,MATCH(0,COUNTIF($I$158:I186,$D$159:$D$210&amp;"")+IF($D$159:$D$210="",1,0),0)),"")</f>
        <v/>
      </c>
      <c r="J187" s="4" t="str">
        <f t="array" ref="J187">IFERROR(IF(INDEX($F$159:$F$210,MATCH(LEFT(I187,255),LEFT($D$159:$D$210,255),0))=0,"",INDEX($F$159:$F$210,MATCH(LEFT(I187,255),LEFT($D$159:$D$210,255),0))),"")</f>
        <v/>
      </c>
      <c r="K187" s="4" t="s">
        <v>663</v>
      </c>
      <c r="L187" s="6"/>
      <c r="M187" s="6" t="s">
        <v>1562</v>
      </c>
      <c r="N187" s="4" t="str">
        <f t="shared" si="7"/>
        <v>MCI-00666</v>
      </c>
      <c r="O187" s="4"/>
      <c r="P187" s="6"/>
      <c r="Q187" s="6" t="s">
        <v>1563</v>
      </c>
      <c r="R187" s="6" t="s">
        <v>1564</v>
      </c>
    </row>
    <row r="188" spans="2:18">
      <c r="B188" s="196" t="str">
        <f t="array" ref="B188">IFERROR(INDEX($C$159:$C$210,MATCH(0,COUNTIF($B$158:B187,$C$159:$C$210&amp;"")+IF($C$159:$C$210="",1,0),0)),"")</f>
        <v/>
      </c>
      <c r="C188" s="407" t="s">
        <v>1559</v>
      </c>
      <c r="D188" s="4" t="s">
        <v>1421</v>
      </c>
      <c r="E188" s="4" t="s">
        <v>339</v>
      </c>
      <c r="F188" s="4" t="str">
        <f>CHOOSE(Translations!$C$1+1,'Reference Records'!C188,'Reference Records'!Q188,'Reference Records'!R188)</f>
        <v>SSRS: gobernanza y planificación del sector de la salud</v>
      </c>
      <c r="G188" s="4" t="s">
        <v>1565</v>
      </c>
      <c r="H188" s="411" t="s">
        <v>1561</v>
      </c>
      <c r="I188" s="4" t="str">
        <f t="array" ref="I188">IFERROR(INDEX($D$159:$D$210,MATCH(0,COUNTIF($I$158:I187,$D$159:$D$210&amp;"")+IF($D$159:$D$210="",1,0),0)),"")</f>
        <v/>
      </c>
      <c r="J188" s="4" t="str">
        <f t="array" ref="J188">IFERROR(IF(INDEX($F$159:$F$210,MATCH(LEFT(I188,255),LEFT($D$159:$D$210,255),0))=0,"",INDEX($F$159:$F$210,MATCH(LEFT(I188,255),LEFT($D$159:$D$210,255),0))),"")</f>
        <v/>
      </c>
      <c r="K188" s="4" t="s">
        <v>663</v>
      </c>
      <c r="L188" s="6"/>
      <c r="M188" s="6" t="s">
        <v>1566</v>
      </c>
      <c r="N188" s="4" t="str">
        <f t="shared" si="7"/>
        <v>MCI-00666</v>
      </c>
      <c r="O188" s="4"/>
      <c r="P188" s="6"/>
      <c r="Q188" s="6" t="s">
        <v>1563</v>
      </c>
      <c r="R188" s="6" t="s">
        <v>1564</v>
      </c>
    </row>
    <row r="189" spans="2:18">
      <c r="B189" s="196" t="str">
        <f t="array" ref="B189">IFERROR(INDEX($C$159:$C$210,MATCH(0,COUNTIF($B$158:B188,$C$159:$C$210&amp;"")+IF($C$159:$C$210="",1,0),0)),"")</f>
        <v/>
      </c>
      <c r="C189" s="407" t="s">
        <v>1559</v>
      </c>
      <c r="D189" s="4" t="s">
        <v>1421</v>
      </c>
      <c r="E189" s="4" t="s">
        <v>340</v>
      </c>
      <c r="F189" s="4" t="str">
        <f>CHOOSE(Translations!$C$1+1,'Reference Records'!C189,'Reference Records'!Q189,'Reference Records'!R189)</f>
        <v>SSRS: gobernanza y planificación del sector de la salud</v>
      </c>
      <c r="G189" s="4" t="s">
        <v>1567</v>
      </c>
      <c r="H189" s="411" t="s">
        <v>1561</v>
      </c>
      <c r="I189" s="4" t="str">
        <f t="array" ref="I189">IFERROR(INDEX($D$159:$D$210,MATCH(0,COUNTIF($I$158:I188,$D$159:$D$210&amp;"")+IF($D$159:$D$210="",1,0),0)),"")</f>
        <v/>
      </c>
      <c r="J189" s="4" t="str">
        <f t="array" ref="J189">IFERROR(IF(INDEX($F$159:$F$210,MATCH(LEFT(I189,255),LEFT($D$159:$D$210,255),0))=0,"",INDEX($F$159:$F$210,MATCH(LEFT(I189,255),LEFT($D$159:$D$210,255),0))),"")</f>
        <v/>
      </c>
      <c r="K189" s="4" t="s">
        <v>663</v>
      </c>
      <c r="L189" s="6"/>
      <c r="M189" s="6" t="s">
        <v>1568</v>
      </c>
      <c r="N189" s="4" t="str">
        <f t="shared" si="7"/>
        <v>MCI-00666</v>
      </c>
      <c r="O189" s="4"/>
      <c r="P189" s="6"/>
      <c r="Q189" s="6" t="s">
        <v>1563</v>
      </c>
      <c r="R189" s="6" t="s">
        <v>1564</v>
      </c>
    </row>
    <row r="190" spans="2:18">
      <c r="B190" s="196" t="str">
        <f t="array" ref="B190">IFERROR(INDEX($C$159:$C$210,MATCH(0,COUNTIF($B$158:B189,$C$159:$C$210&amp;"")+IF($C$159:$C$210="",1,0),0)),"")</f>
        <v/>
      </c>
      <c r="C190" s="407" t="s">
        <v>1569</v>
      </c>
      <c r="D190" s="4" t="s">
        <v>1375</v>
      </c>
      <c r="E190" s="4" t="s">
        <v>338</v>
      </c>
      <c r="F190" s="4" t="str">
        <f>CHOOSE(Translations!$C$1+1,'Reference Records'!C190,'Reference Records'!Q190,'Reference Records'!R190)</f>
        <v>SSRS: recursos humanos para la salud  incluidos los trabajadores de la salud comunitarios</v>
      </c>
      <c r="G190" s="4" t="s">
        <v>1570</v>
      </c>
      <c r="H190" s="411" t="s">
        <v>1571</v>
      </c>
      <c r="I190" s="4" t="str">
        <f t="array" ref="I190">IFERROR(INDEX($D$159:$D$210,MATCH(0,COUNTIF($I$158:I189,$D$159:$D$210&amp;"")+IF($D$159:$D$210="",1,0),0)),"")</f>
        <v/>
      </c>
      <c r="J190" s="4" t="str">
        <f t="array" ref="J190">IFERROR(IF(INDEX($F$159:$F$210,MATCH(LEFT(I190,255),LEFT($D$159:$D$210,255),0))=0,"",INDEX($F$159:$F$210,MATCH(LEFT(I190,255),LEFT($D$159:$D$210,255),0))),"")</f>
        <v/>
      </c>
      <c r="K190" s="4" t="s">
        <v>663</v>
      </c>
      <c r="L190" s="6"/>
      <c r="M190" s="6" t="s">
        <v>1572</v>
      </c>
      <c r="N190" s="4" t="str">
        <f t="shared" si="7"/>
        <v>MCI-00663</v>
      </c>
      <c r="O190" s="4"/>
      <c r="P190" s="6"/>
      <c r="Q190" s="6" t="s">
        <v>1573</v>
      </c>
      <c r="R190" s="6" t="s">
        <v>1574</v>
      </c>
    </row>
    <row r="191" spans="2:18">
      <c r="B191" s="196" t="str">
        <f t="array" ref="B191">IFERROR(INDEX($C$159:$C$210,MATCH(0,COUNTIF($B$158:B190,$C$159:$C$210&amp;"")+IF($C$159:$C$210="",1,0),0)),"")</f>
        <v/>
      </c>
      <c r="C191" s="407" t="s">
        <v>1569</v>
      </c>
      <c r="D191" s="4" t="s">
        <v>1375</v>
      </c>
      <c r="E191" s="4" t="s">
        <v>339</v>
      </c>
      <c r="F191" s="4" t="str">
        <f>CHOOSE(Translations!$C$1+1,'Reference Records'!C191,'Reference Records'!Q191,'Reference Records'!R191)</f>
        <v>SSRS: recursos humanos para la salud  incluidos los trabajadores de la salud comunitarios</v>
      </c>
      <c r="G191" s="4" t="s">
        <v>1575</v>
      </c>
      <c r="H191" s="411" t="s">
        <v>1571</v>
      </c>
      <c r="I191" s="4" t="str">
        <f t="array" ref="I191">IFERROR(INDEX($D$159:$D$210,MATCH(0,COUNTIF($I$158:I190,$D$159:$D$210&amp;"")+IF($D$159:$D$210="",1,0),0)),"")</f>
        <v/>
      </c>
      <c r="J191" s="4" t="str">
        <f t="array" ref="J191">IFERROR(IF(INDEX($F$159:$F$210,MATCH(LEFT(I191,255),LEFT($D$159:$D$210,255),0))=0,"",INDEX($F$159:$F$210,MATCH(LEFT(I191,255),LEFT($D$159:$D$210,255),0))),"")</f>
        <v/>
      </c>
      <c r="K191" s="4" t="s">
        <v>663</v>
      </c>
      <c r="L191" s="6"/>
      <c r="M191" s="6" t="s">
        <v>1576</v>
      </c>
      <c r="N191" s="4" t="str">
        <f t="shared" si="7"/>
        <v>MCI-00663</v>
      </c>
      <c r="O191" s="4"/>
      <c r="P191" s="6"/>
      <c r="Q191" s="6" t="s">
        <v>1573</v>
      </c>
      <c r="R191" s="6" t="s">
        <v>1574</v>
      </c>
    </row>
    <row r="192" spans="2:18">
      <c r="B192" s="196" t="str">
        <f t="array" ref="B192">IFERROR(INDEX($C$159:$C$210,MATCH(0,COUNTIF($B$158:B191,$C$159:$C$210&amp;"")+IF($C$159:$C$210="",1,0),0)),"")</f>
        <v/>
      </c>
      <c r="C192" s="407" t="s">
        <v>1569</v>
      </c>
      <c r="D192" s="4" t="s">
        <v>1375</v>
      </c>
      <c r="E192" s="4" t="s">
        <v>340</v>
      </c>
      <c r="F192" s="4" t="str">
        <f>CHOOSE(Translations!$C$1+1,'Reference Records'!C192,'Reference Records'!Q192,'Reference Records'!R192)</f>
        <v>SSRS: recursos humanos para la salud  incluidos los trabajadores de la salud comunitarios</v>
      </c>
      <c r="G192" s="4" t="s">
        <v>1577</v>
      </c>
      <c r="H192" s="411" t="s">
        <v>1571</v>
      </c>
      <c r="I192" s="4" t="str">
        <f t="array" ref="I192">IFERROR(INDEX($D$159:$D$210,MATCH(0,COUNTIF($I$158:I191,$D$159:$D$210&amp;"")+IF($D$159:$D$210="",1,0),0)),"")</f>
        <v/>
      </c>
      <c r="J192" s="4" t="str">
        <f t="array" ref="J192">IFERROR(IF(INDEX($F$159:$F$210,MATCH(LEFT(I192,255),LEFT($D$159:$D$210,255),0))=0,"",INDEX($F$159:$F$210,MATCH(LEFT(I192,255),LEFT($D$159:$D$210,255),0))),"")</f>
        <v/>
      </c>
      <c r="K192" s="4" t="s">
        <v>663</v>
      </c>
      <c r="L192" s="6"/>
      <c r="M192" s="6" t="s">
        <v>1578</v>
      </c>
      <c r="N192" s="4" t="str">
        <f t="shared" si="7"/>
        <v>MCI-00663</v>
      </c>
      <c r="O192" s="4"/>
      <c r="P192" s="6"/>
      <c r="Q192" s="6" t="s">
        <v>1573</v>
      </c>
      <c r="R192" s="6" t="s">
        <v>1574</v>
      </c>
    </row>
    <row r="193" spans="2:18">
      <c r="B193" s="196" t="str">
        <f t="array" ref="B193">IFERROR(INDEX($C$159:$C$210,MATCH(0,COUNTIF($B$158:B192,$C$159:$C$210&amp;"")+IF($C$159:$C$210="",1,0),0)),"")</f>
        <v/>
      </c>
      <c r="C193" s="407" t="s">
        <v>1579</v>
      </c>
      <c r="D193" s="4" t="s">
        <v>1391</v>
      </c>
      <c r="E193" s="4" t="s">
        <v>338</v>
      </c>
      <c r="F193" s="4" t="str">
        <f>CHOOSE(Translations!$C$1+1,'Reference Records'!C193,'Reference Records'!Q193,'Reference Records'!R193)</f>
        <v>SSRS: mejora de la calidad y la prestación de servicios integrados</v>
      </c>
      <c r="G193" s="4" t="s">
        <v>1580</v>
      </c>
      <c r="H193" s="411" t="s">
        <v>1581</v>
      </c>
      <c r="I193" s="4" t="str">
        <f t="array" ref="I193">IFERROR(INDEX($D$159:$D$210,MATCH(0,COUNTIF($I$158:I192,$D$159:$D$210&amp;"")+IF($D$159:$D$210="",1,0),0)),"")</f>
        <v/>
      </c>
      <c r="J193" s="4" t="str">
        <f t="array" ref="J193">IFERROR(IF(INDEX($F$159:$F$210,MATCH(LEFT(I193,255),LEFT($D$159:$D$210,255),0))=0,"",INDEX($F$159:$F$210,MATCH(LEFT(I193,255),LEFT($D$159:$D$210,255),0))),"")</f>
        <v/>
      </c>
      <c r="K193" s="4" t="s">
        <v>663</v>
      </c>
      <c r="L193" s="6"/>
      <c r="M193" s="6" t="s">
        <v>1582</v>
      </c>
      <c r="N193" s="4" t="str">
        <f t="shared" si="7"/>
        <v>MCI-00664</v>
      </c>
      <c r="O193" s="4"/>
      <c r="P193" s="6"/>
      <c r="Q193" s="6" t="s">
        <v>1583</v>
      </c>
      <c r="R193" s="6" t="s">
        <v>1584</v>
      </c>
    </row>
    <row r="194" spans="2:18">
      <c r="B194" s="196" t="str">
        <f t="array" ref="B194">IFERROR(INDEX($C$159:$C$210,MATCH(0,COUNTIF($B$158:B193,$C$159:$C$210&amp;"")+IF($C$159:$C$210="",1,0),0)),"")</f>
        <v/>
      </c>
      <c r="C194" s="407" t="s">
        <v>1579</v>
      </c>
      <c r="D194" s="4" t="s">
        <v>1391</v>
      </c>
      <c r="E194" s="4" t="s">
        <v>339</v>
      </c>
      <c r="F194" s="4" t="str">
        <f>CHOOSE(Translations!$C$1+1,'Reference Records'!C194,'Reference Records'!Q194,'Reference Records'!R194)</f>
        <v>SSRS: mejora de la calidad y la prestación de servicios integrados</v>
      </c>
      <c r="G194" s="4" t="s">
        <v>1585</v>
      </c>
      <c r="H194" s="411" t="s">
        <v>1581</v>
      </c>
      <c r="I194" s="4" t="str">
        <f t="array" ref="I194">IFERROR(INDEX($D$159:$D$210,MATCH(0,COUNTIF($I$158:I193,$D$159:$D$210&amp;"")+IF($D$159:$D$210="",1,0),0)),"")</f>
        <v/>
      </c>
      <c r="J194" s="4" t="str">
        <f t="array" ref="J194">IFERROR(IF(INDEX($F$159:$F$210,MATCH(LEFT(I194,255),LEFT($D$159:$D$210,255),0))=0,"",INDEX($F$159:$F$210,MATCH(LEFT(I194,255),LEFT($D$159:$D$210,255),0))),"")</f>
        <v/>
      </c>
      <c r="K194" s="4" t="s">
        <v>663</v>
      </c>
      <c r="L194" s="6"/>
      <c r="M194" s="6" t="s">
        <v>1586</v>
      </c>
      <c r="N194" s="4" t="str">
        <f t="shared" si="7"/>
        <v>MCI-00664</v>
      </c>
      <c r="O194" s="4"/>
      <c r="P194" s="6"/>
      <c r="Q194" s="6" t="s">
        <v>1583</v>
      </c>
      <c r="R194" s="6" t="s">
        <v>1584</v>
      </c>
    </row>
    <row r="195" spans="2:18">
      <c r="B195" s="196" t="str">
        <f t="array" ref="B195">IFERROR(INDEX($C$159:$C$210,MATCH(0,COUNTIF($B$158:B194,$C$159:$C$210&amp;"")+IF($C$159:$C$210="",1,0),0)),"")</f>
        <v/>
      </c>
      <c r="C195" s="407" t="s">
        <v>1579</v>
      </c>
      <c r="D195" s="4" t="s">
        <v>1391</v>
      </c>
      <c r="E195" s="4" t="s">
        <v>340</v>
      </c>
      <c r="F195" s="4" t="str">
        <f>CHOOSE(Translations!$C$1+1,'Reference Records'!C195,'Reference Records'!Q195,'Reference Records'!R195)</f>
        <v>SSRS: mejora de la calidad y la prestación de servicios integrados</v>
      </c>
      <c r="G195" s="4" t="s">
        <v>1587</v>
      </c>
      <c r="H195" s="411" t="s">
        <v>1581</v>
      </c>
      <c r="I195" s="4" t="str">
        <f t="array" ref="I195">IFERROR(INDEX($D$159:$D$210,MATCH(0,COUNTIF($I$158:I194,$D$159:$D$210&amp;"")+IF($D$159:$D$210="",1,0),0)),"")</f>
        <v/>
      </c>
      <c r="J195" s="4" t="str">
        <f t="array" ref="J195">IFERROR(IF(INDEX($F$159:$F$210,MATCH(LEFT(I195,255),LEFT($D$159:$D$210,255),0))=0,"",INDEX($F$159:$F$210,MATCH(LEFT(I195,255),LEFT($D$159:$D$210,255),0))),"")</f>
        <v/>
      </c>
      <c r="K195" s="4" t="s">
        <v>663</v>
      </c>
      <c r="L195" s="6"/>
      <c r="M195" s="6" t="s">
        <v>1588</v>
      </c>
      <c r="N195" s="4" t="str">
        <f t="shared" si="7"/>
        <v>MCI-00664</v>
      </c>
      <c r="O195" s="4"/>
      <c r="P195" s="6"/>
      <c r="Q195" s="6" t="s">
        <v>1583</v>
      </c>
      <c r="R195" s="6" t="s">
        <v>1584</v>
      </c>
    </row>
    <row r="196" spans="2:18">
      <c r="B196" s="196" t="str">
        <f t="array" ref="B196">IFERROR(INDEX($C$159:$C$210,MATCH(0,COUNTIF($B$158:B195,$C$159:$C$210&amp;"")+IF($C$159:$C$210="",1,0),0)),"")</f>
        <v/>
      </c>
      <c r="C196" s="407" t="s">
        <v>1589</v>
      </c>
      <c r="D196" s="4" t="s">
        <v>1438</v>
      </c>
      <c r="E196" s="4" t="s">
        <v>338</v>
      </c>
      <c r="F196" s="4" t="str">
        <f>CHOOSE(Translations!$C$1+1,'Reference Records'!C196,'Reference Records'!Q196,'Reference Records'!R196)</f>
        <v>SSRS: sistemas de laboratorio</v>
      </c>
      <c r="G196" s="4" t="s">
        <v>1590</v>
      </c>
      <c r="H196" s="411" t="s">
        <v>1591</v>
      </c>
      <c r="I196" s="4" t="str">
        <f t="array" ref="I196">IFERROR(INDEX($D$159:$D$210,MATCH(0,COUNTIF($I$158:I195,$D$159:$D$210&amp;"")+IF($D$159:$D$210="",1,0),0)),"")</f>
        <v/>
      </c>
      <c r="J196" s="4" t="str">
        <f t="array" ref="J196">IFERROR(IF(INDEX($F$159:$F$210,MATCH(LEFT(I196,255),LEFT($D$159:$D$210,255),0))=0,"",INDEX($F$159:$F$210,MATCH(LEFT(I196,255),LEFT($D$159:$D$210,255),0))),"")</f>
        <v/>
      </c>
      <c r="K196" s="4" t="s">
        <v>663</v>
      </c>
      <c r="L196" s="6"/>
      <c r="M196" s="6" t="s">
        <v>1592</v>
      </c>
      <c r="N196" s="4" t="str">
        <f t="shared" si="7"/>
        <v>MCI-00668</v>
      </c>
      <c r="O196" s="4"/>
      <c r="P196" s="6"/>
      <c r="Q196" s="6" t="s">
        <v>1593</v>
      </c>
      <c r="R196" s="6" t="s">
        <v>1594</v>
      </c>
    </row>
    <row r="197" spans="2:18">
      <c r="B197" s="196" t="str">
        <f t="array" ref="B197">IFERROR(INDEX($C$159:$C$210,MATCH(0,COUNTIF($B$158:B196,$C$159:$C$210&amp;"")+IF($C$159:$C$210="",1,0),0)),"")</f>
        <v/>
      </c>
      <c r="C197" s="407" t="s">
        <v>1589</v>
      </c>
      <c r="D197" s="4" t="s">
        <v>1438</v>
      </c>
      <c r="E197" s="4" t="s">
        <v>339</v>
      </c>
      <c r="F197" s="4" t="str">
        <f>CHOOSE(Translations!$C$1+1,'Reference Records'!C197,'Reference Records'!Q197,'Reference Records'!R197)</f>
        <v>SSRS: sistemas de laboratorio</v>
      </c>
      <c r="G197" s="4" t="s">
        <v>1595</v>
      </c>
      <c r="H197" s="411" t="s">
        <v>1591</v>
      </c>
      <c r="I197" s="4" t="str">
        <f t="array" ref="I197">IFERROR(INDEX($D$159:$D$210,MATCH(0,COUNTIF($I$158:I196,$D$159:$D$210&amp;"")+IF($D$159:$D$210="",1,0),0)),"")</f>
        <v/>
      </c>
      <c r="J197" s="4" t="str">
        <f t="array" ref="J197">IFERROR(IF(INDEX($F$159:$F$210,MATCH(LEFT(I197,255),LEFT($D$159:$D$210,255),0))=0,"",INDEX($F$159:$F$210,MATCH(LEFT(I197,255),LEFT($D$159:$D$210,255),0))),"")</f>
        <v/>
      </c>
      <c r="K197" s="4" t="s">
        <v>663</v>
      </c>
      <c r="L197" s="6"/>
      <c r="M197" s="6" t="s">
        <v>1596</v>
      </c>
      <c r="N197" s="4" t="str">
        <f t="shared" si="7"/>
        <v>MCI-00668</v>
      </c>
      <c r="O197" s="4"/>
      <c r="P197" s="6"/>
      <c r="Q197" s="6" t="s">
        <v>1593</v>
      </c>
      <c r="R197" s="6" t="s">
        <v>1594</v>
      </c>
    </row>
    <row r="198" spans="2:18">
      <c r="B198" s="196" t="str">
        <f t="array" ref="B198">IFERROR(INDEX($C$159:$C$210,MATCH(0,COUNTIF($B$158:B197,$C$159:$C$210&amp;"")+IF($C$159:$C$210="",1,0),0)),"")</f>
        <v/>
      </c>
      <c r="C198" s="407" t="s">
        <v>1589</v>
      </c>
      <c r="D198" s="4" t="s">
        <v>1438</v>
      </c>
      <c r="E198" s="4" t="s">
        <v>340</v>
      </c>
      <c r="F198" s="4" t="str">
        <f>CHOOSE(Translations!$C$1+1,'Reference Records'!C198,'Reference Records'!Q198,'Reference Records'!R198)</f>
        <v>SSRS: sistemas de laboratorio</v>
      </c>
      <c r="G198" s="4" t="s">
        <v>1597</v>
      </c>
      <c r="H198" s="411" t="s">
        <v>1591</v>
      </c>
      <c r="I198" s="4" t="str">
        <f t="array" ref="I198">IFERROR(INDEX($D$159:$D$210,MATCH(0,COUNTIF($I$158:I197,$D$159:$D$210&amp;"")+IF($D$159:$D$210="",1,0),0)),"")</f>
        <v/>
      </c>
      <c r="J198" s="4" t="str">
        <f t="array" ref="J198">IFERROR(IF(INDEX($F$159:$F$210,MATCH(LEFT(I198,255),LEFT($D$159:$D$210,255),0))=0,"",INDEX($F$159:$F$210,MATCH(LEFT(I198,255),LEFT($D$159:$D$210,255),0))),"")</f>
        <v/>
      </c>
      <c r="K198" s="4" t="s">
        <v>663</v>
      </c>
      <c r="L198" s="6"/>
      <c r="M198" s="6" t="s">
        <v>1598</v>
      </c>
      <c r="N198" s="4" t="str">
        <f t="shared" si="7"/>
        <v>MCI-00668</v>
      </c>
      <c r="O198" s="4"/>
      <c r="P198" s="6"/>
      <c r="Q198" s="6" t="s">
        <v>1593</v>
      </c>
      <c r="R198" s="6" t="s">
        <v>1594</v>
      </c>
    </row>
    <row r="199" spans="2:18">
      <c r="B199" s="196" t="str">
        <f t="array" ref="B199">IFERROR(INDEX($C$159:$C$210,MATCH(0,COUNTIF($B$158:B198,$C$159:$C$210&amp;"")+IF($C$159:$C$210="",1,0),0)),"")</f>
        <v/>
      </c>
      <c r="C199" s="407" t="s">
        <v>1599</v>
      </c>
      <c r="D199" s="4" t="s">
        <v>1194</v>
      </c>
      <c r="E199" s="4" t="s">
        <v>339</v>
      </c>
      <c r="F199" s="4" t="str">
        <f>CHOOSE(Translations!$C$1+1,'Reference Records'!C199,'Reference Records'!Q199,'Reference Records'!R199)</f>
        <v>Atención y prevención de la tuberculosis</v>
      </c>
      <c r="G199" s="4" t="s">
        <v>1600</v>
      </c>
      <c r="H199" s="411" t="s">
        <v>1601</v>
      </c>
      <c r="I199" s="4" t="str">
        <f t="array" ref="I199">IFERROR(INDEX($D$159:$D$210,MATCH(0,COUNTIF($I$158:I198,$D$159:$D$210&amp;"")+IF($D$159:$D$210="",1,0),0)),"")</f>
        <v/>
      </c>
      <c r="J199" s="4" t="str">
        <f t="array" ref="J199">IFERROR(IF(INDEX($F$159:$F$210,MATCH(LEFT(I199,255),LEFT($D$159:$D$210,255),0))=0,"",INDEX($F$159:$F$210,MATCH(LEFT(I199,255),LEFT($D$159:$D$210,255),0))),"")</f>
        <v/>
      </c>
      <c r="K199" s="4" t="s">
        <v>663</v>
      </c>
      <c r="L199" s="6"/>
      <c r="M199" s="6" t="s">
        <v>1602</v>
      </c>
      <c r="N199" s="4" t="str">
        <f t="shared" si="7"/>
        <v>MCI-00653</v>
      </c>
      <c r="O199" s="4"/>
      <c r="P199" s="6"/>
      <c r="Q199" s="6" t="s">
        <v>1603</v>
      </c>
      <c r="R199" s="6" t="s">
        <v>443</v>
      </c>
    </row>
    <row r="200" spans="2:18">
      <c r="B200" s="196" t="str">
        <f t="array" ref="B200">IFERROR(INDEX($C$159:$C$210,MATCH(0,COUNTIF($B$158:B199,$C$159:$C$210&amp;"")+IF($C$159:$C$210="",1,0),0)),"")</f>
        <v/>
      </c>
      <c r="C200" s="407" t="s">
        <v>1604</v>
      </c>
      <c r="D200" s="4" t="s">
        <v>1296</v>
      </c>
      <c r="E200" s="4" t="s">
        <v>338</v>
      </c>
      <c r="F200" s="4" t="str">
        <f>CHOOSE(Translations!$C$1+1,'Reference Records'!C200,'Reference Records'!Q200,'Reference Records'!R200)</f>
        <v>TB/VIH</v>
      </c>
      <c r="G200" s="4" t="s">
        <v>1605</v>
      </c>
      <c r="H200" s="411" t="s">
        <v>1606</v>
      </c>
      <c r="I200" s="4" t="str">
        <f t="array" ref="I200">IFERROR(INDEX($D$159:$D$210,MATCH(0,COUNTIF($I$158:I199,$D$159:$D$210&amp;"")+IF($D$159:$D$210="",1,0),0)),"")</f>
        <v/>
      </c>
      <c r="J200" s="4" t="str">
        <f t="array" ref="J200">IFERROR(IF(INDEX($F$159:$F$210,MATCH(LEFT(I200,255),LEFT($D$159:$D$210,255),0))=0,"",INDEX($F$159:$F$210,MATCH(LEFT(I200,255),LEFT($D$159:$D$210,255),0))),"")</f>
        <v/>
      </c>
      <c r="K200" s="4" t="s">
        <v>663</v>
      </c>
      <c r="L200" s="6"/>
      <c r="M200" s="6" t="s">
        <v>1607</v>
      </c>
      <c r="N200" s="4" t="str">
        <f t="shared" si="7"/>
        <v>MCI-00656</v>
      </c>
      <c r="O200" s="4"/>
      <c r="P200" s="6"/>
      <c r="Q200" s="6" t="s">
        <v>1608</v>
      </c>
      <c r="R200" s="6" t="s">
        <v>1609</v>
      </c>
    </row>
    <row r="201" spans="2:18">
      <c r="B201" s="196" t="str">
        <f t="array" ref="B201">IFERROR(INDEX($C$159:$C$210,MATCH(0,COUNTIF($B$158:B200,$C$159:$C$210&amp;"")+IF($C$159:$C$210="",1,0),0)),"")</f>
        <v/>
      </c>
      <c r="C201" s="407" t="s">
        <v>1604</v>
      </c>
      <c r="D201" s="4" t="s">
        <v>1296</v>
      </c>
      <c r="E201" s="4" t="s">
        <v>339</v>
      </c>
      <c r="F201" s="4" t="str">
        <f>CHOOSE(Translations!$C$1+1,'Reference Records'!C201,'Reference Records'!Q201,'Reference Records'!R201)</f>
        <v>TB/VIH</v>
      </c>
      <c r="G201" s="4" t="s">
        <v>1610</v>
      </c>
      <c r="H201" s="411" t="s">
        <v>1606</v>
      </c>
      <c r="I201" s="4" t="str">
        <f t="array" ref="I201">IFERROR(INDEX($D$159:$D$210,MATCH(0,COUNTIF($I$158:I200,$D$159:$D$210&amp;"")+IF($D$159:$D$210="",1,0),0)),"")</f>
        <v/>
      </c>
      <c r="J201" s="4" t="str">
        <f t="array" ref="J201">IFERROR(IF(INDEX($F$159:$F$210,MATCH(LEFT(I201,255),LEFT($D$159:$D$210,255),0))=0,"",INDEX($F$159:$F$210,MATCH(LEFT(I201,255),LEFT($D$159:$D$210,255),0))),"")</f>
        <v/>
      </c>
      <c r="K201" s="4" t="s">
        <v>663</v>
      </c>
      <c r="L201" s="6"/>
      <c r="M201" s="6" t="s">
        <v>1611</v>
      </c>
      <c r="N201" s="4" t="str">
        <f t="shared" si="7"/>
        <v>MCI-00656</v>
      </c>
      <c r="O201" s="4"/>
      <c r="P201" s="6"/>
      <c r="Q201" s="6" t="s">
        <v>1608</v>
      </c>
      <c r="R201" s="6" t="s">
        <v>1609</v>
      </c>
    </row>
    <row r="202" spans="2:18">
      <c r="B202" s="196" t="str">
        <f t="array" ref="B202">IFERROR(INDEX($C$159:$C$210,MATCH(0,COUNTIF($B$158:B201,$C$159:$C$210&amp;"")+IF($C$159:$C$210="",1,0),0)),"")</f>
        <v/>
      </c>
      <c r="C202" s="407" t="s">
        <v>1612</v>
      </c>
      <c r="D202" s="4" t="s">
        <v>1169</v>
      </c>
      <c r="E202" s="4" t="s">
        <v>338</v>
      </c>
      <c r="F202" s="4" t="str">
        <f>CHOOSE(Translations!$C$1+1,'Reference Records'!C202,'Reference Records'!Q202,'Reference Records'!R202)</f>
        <v>Tratamiento, atención y apoyo</v>
      </c>
      <c r="G202" s="4" t="s">
        <v>1613</v>
      </c>
      <c r="H202" s="411" t="s">
        <v>1614</v>
      </c>
      <c r="I202" s="4" t="str">
        <f t="array" ref="I202">IFERROR(INDEX($D$159:$D$210,MATCH(0,COUNTIF($I$158:I201,$D$159:$D$210&amp;"")+IF($D$159:$D$210="",1,0),0)),"")</f>
        <v/>
      </c>
      <c r="J202" s="4" t="str">
        <f t="array" ref="J202">IFERROR(IF(INDEX($F$159:$F$210,MATCH(LEFT(I202,255),LEFT($D$159:$D$210,255),0))=0,"",INDEX($F$159:$F$210,MATCH(LEFT(I202,255),LEFT($D$159:$D$210,255),0))),"")</f>
        <v/>
      </c>
      <c r="K202" s="4" t="s">
        <v>663</v>
      </c>
      <c r="L202" s="6"/>
      <c r="M202" s="6" t="s">
        <v>1615</v>
      </c>
      <c r="N202" s="4" t="str">
        <f t="shared" si="7"/>
        <v>MCI-00651</v>
      </c>
      <c r="O202" s="4"/>
      <c r="P202" s="6"/>
      <c r="Q202" s="6" t="s">
        <v>1616</v>
      </c>
      <c r="R202" s="6" t="s">
        <v>440</v>
      </c>
    </row>
    <row r="203" spans="2:18">
      <c r="C203" s="6"/>
      <c r="D203" s="4"/>
      <c r="E203" s="4"/>
      <c r="F203" s="4"/>
      <c r="G203" s="4"/>
      <c r="H203" s="5"/>
      <c r="I203" s="4"/>
      <c r="J203" s="4"/>
      <c r="K203" s="4"/>
      <c r="L203" s="4"/>
      <c r="M203" s="6"/>
    </row>
    <row r="204" spans="2:18">
      <c r="C204" s="6"/>
      <c r="D204" s="4"/>
      <c r="E204" s="4"/>
      <c r="F204" s="4"/>
      <c r="G204" s="4"/>
      <c r="H204" s="5"/>
      <c r="I204" s="4"/>
      <c r="J204" s="4"/>
      <c r="K204" s="4"/>
      <c r="L204" s="4"/>
      <c r="M204" s="6"/>
    </row>
    <row r="205" spans="2:18">
      <c r="C205" s="6"/>
      <c r="D205" s="4"/>
      <c r="E205" s="4"/>
      <c r="F205" s="4"/>
      <c r="G205" s="4"/>
      <c r="H205" s="5"/>
      <c r="I205" s="4"/>
      <c r="J205" s="4"/>
      <c r="K205" s="4"/>
      <c r="L205" s="4"/>
      <c r="M205" s="6"/>
    </row>
    <row r="206" spans="2:18">
      <c r="C206" s="6"/>
      <c r="D206" s="4"/>
      <c r="E206" s="4"/>
      <c r="F206" s="4"/>
      <c r="G206" s="4"/>
      <c r="H206" s="5"/>
      <c r="I206" s="4"/>
      <c r="J206" s="4"/>
      <c r="K206" s="4"/>
      <c r="L206" s="4"/>
      <c r="M206" s="6"/>
    </row>
    <row r="207" spans="2:18">
      <c r="C207" s="6"/>
      <c r="D207" s="4"/>
      <c r="E207" s="4"/>
      <c r="F207" s="4"/>
      <c r="G207" s="4"/>
      <c r="H207" s="5"/>
      <c r="I207" s="4"/>
      <c r="J207" s="4"/>
      <c r="K207" s="4"/>
      <c r="L207" s="4"/>
      <c r="M207" s="6"/>
    </row>
    <row r="208" spans="2:18">
      <c r="C208" s="6"/>
      <c r="D208" s="4"/>
      <c r="E208" s="4"/>
      <c r="F208" s="4"/>
      <c r="G208" s="4"/>
      <c r="H208" s="5"/>
      <c r="I208" s="4"/>
      <c r="J208" s="4"/>
      <c r="K208" s="4"/>
      <c r="L208" s="4"/>
      <c r="M208" s="6"/>
    </row>
    <row r="209" spans="1:14">
      <c r="C209" s="6"/>
      <c r="D209" s="4"/>
      <c r="E209" s="4"/>
      <c r="F209" s="4"/>
      <c r="G209" s="4"/>
      <c r="H209" s="5"/>
      <c r="I209" s="4"/>
      <c r="J209" s="4"/>
      <c r="K209" s="4"/>
      <c r="L209" s="4"/>
      <c r="M209" s="6"/>
    </row>
    <row r="211" spans="1:14">
      <c r="A211" s="8" t="s">
        <v>1617</v>
      </c>
    </row>
    <row r="212" spans="1:14">
      <c r="A212" s="194" t="s">
        <v>987</v>
      </c>
      <c r="B212" s="194" t="s">
        <v>988</v>
      </c>
      <c r="C212" s="194" t="s">
        <v>1618</v>
      </c>
      <c r="D212" s="194" t="s">
        <v>648</v>
      </c>
      <c r="E212" s="194" t="s">
        <v>341</v>
      </c>
      <c r="F212" s="194" t="s">
        <v>990</v>
      </c>
      <c r="G212" s="194" t="s">
        <v>991</v>
      </c>
      <c r="H212" s="194" t="s">
        <v>1619</v>
      </c>
      <c r="I212" s="194" t="s">
        <v>1620</v>
      </c>
      <c r="J212" s="194" t="s">
        <v>992</v>
      </c>
      <c r="K212" s="194" t="s">
        <v>1621</v>
      </c>
      <c r="L212" s="194" t="s">
        <v>646</v>
      </c>
      <c r="M212" s="194" t="s">
        <v>647</v>
      </c>
      <c r="N212" s="194" t="s">
        <v>644</v>
      </c>
    </row>
    <row r="213" spans="1:14" hidden="1">
      <c r="A213" s="194" t="s">
        <v>995</v>
      </c>
      <c r="B213" s="195" t="s">
        <v>996</v>
      </c>
      <c r="C213" s="194" t="str">
        <f>CHOOSE(Translations!$C$1+1,K213,L213,M213)</f>
        <v>[Name - ES]</v>
      </c>
      <c r="D213" s="195" t="s">
        <v>656</v>
      </c>
      <c r="E213" s="194" t="s">
        <v>345</v>
      </c>
      <c r="F213" s="195" t="str">
        <f>B213</f>
        <v>[Name ID]</v>
      </c>
      <c r="G213" s="194" t="str">
        <f>A213&amp;C213</f>
        <v>[Module (Name)][Name - ES]</v>
      </c>
      <c r="H213" s="194" t="str">
        <f>A213&amp;C213</f>
        <v>[Module (Name)][Name - ES]</v>
      </c>
      <c r="I213" s="195" t="str">
        <f>F213</f>
        <v>[Name ID]</v>
      </c>
      <c r="J213" s="194"/>
      <c r="K213" s="409" t="s">
        <v>655</v>
      </c>
      <c r="L213" s="195" t="s">
        <v>1453</v>
      </c>
      <c r="M213" s="195" t="s">
        <v>1454</v>
      </c>
      <c r="N213" s="194" t="s">
        <v>654</v>
      </c>
    </row>
    <row r="214" spans="1:14">
      <c r="A214" s="194" t="s">
        <v>999</v>
      </c>
      <c r="B214" s="194" t="s">
        <v>1622</v>
      </c>
      <c r="C214" s="194" t="str">
        <f>CHOOSE(Translations!$C$1+1,K214,L214,M214)</f>
        <v>Abordaje del estigma, la discriminación y la violencia</v>
      </c>
      <c r="D214" s="194"/>
      <c r="E214" s="194" t="s">
        <v>1623</v>
      </c>
      <c r="F214" s="195" t="str">
        <f t="shared" ref="F214:F277" si="8">B214</f>
        <v>MCI-00676</v>
      </c>
      <c r="G214" s="194" t="str">
        <f t="shared" ref="G214:G277" si="9">A214&amp;C214</f>
        <v>MCI-00648Abordaje del estigma, la discriminación y la violencia</v>
      </c>
      <c r="H214" s="194" t="str">
        <f t="shared" ref="H214:H277" si="10">A214&amp;C214</f>
        <v>MCI-00648Abordaje del estigma, la discriminación y la violencia</v>
      </c>
      <c r="I214" s="195" t="str">
        <f t="shared" ref="I214:I277" si="11">F214</f>
        <v>MCI-00676</v>
      </c>
      <c r="J214" s="194"/>
      <c r="K214" s="409" t="s">
        <v>1624</v>
      </c>
      <c r="L214" s="195" t="s">
        <v>1625</v>
      </c>
      <c r="M214" s="195" t="s">
        <v>1626</v>
      </c>
      <c r="N214" s="194" t="s">
        <v>663</v>
      </c>
    </row>
    <row r="215" spans="1:14">
      <c r="A215" s="194" t="s">
        <v>999</v>
      </c>
      <c r="B215" s="194" t="s">
        <v>1627</v>
      </c>
      <c r="C215" s="194" t="str">
        <f>CHOOSE(Translations!$C$1+1,K215,L215,M215)</f>
        <v>Intervenciones para cambio de comportamiento</v>
      </c>
      <c r="D215" s="194"/>
      <c r="E215" s="194" t="s">
        <v>1628</v>
      </c>
      <c r="F215" s="195" t="str">
        <f t="shared" si="8"/>
        <v>MCI-00672</v>
      </c>
      <c r="G215" s="194" t="str">
        <f t="shared" si="9"/>
        <v>MCI-00648Intervenciones para cambio de comportamiento</v>
      </c>
      <c r="H215" s="194" t="str">
        <f t="shared" si="10"/>
        <v>MCI-00648Intervenciones para cambio de comportamiento</v>
      </c>
      <c r="I215" s="195" t="str">
        <f t="shared" si="11"/>
        <v>MCI-00672</v>
      </c>
      <c r="J215" s="194"/>
      <c r="K215" s="409" t="s">
        <v>1629</v>
      </c>
      <c r="L215" s="195" t="s">
        <v>1630</v>
      </c>
      <c r="M215" s="195" t="s">
        <v>1631</v>
      </c>
      <c r="N215" s="194" t="s">
        <v>663</v>
      </c>
    </row>
    <row r="216" spans="1:14">
      <c r="A216" s="194" t="s">
        <v>999</v>
      </c>
      <c r="B216" s="194" t="s">
        <v>1632</v>
      </c>
      <c r="C216" s="194" t="str">
        <f>CHOOSE(Translations!$C$1+1,K216,L216,M216)</f>
        <v>Empoderamiento comunitario</v>
      </c>
      <c r="D216" s="194"/>
      <c r="E216" s="194" t="s">
        <v>1633</v>
      </c>
      <c r="F216" s="195" t="str">
        <f t="shared" si="8"/>
        <v>MCI-00673</v>
      </c>
      <c r="G216" s="194" t="str">
        <f t="shared" si="9"/>
        <v>MCI-00648Empoderamiento comunitario</v>
      </c>
      <c r="H216" s="194" t="str">
        <f t="shared" si="10"/>
        <v>MCI-00648Empoderamiento comunitario</v>
      </c>
      <c r="I216" s="195" t="str">
        <f t="shared" si="11"/>
        <v>MCI-00673</v>
      </c>
      <c r="J216" s="194"/>
      <c r="K216" s="409" t="s">
        <v>1634</v>
      </c>
      <c r="L216" s="195" t="s">
        <v>1635</v>
      </c>
      <c r="M216" s="195" t="s">
        <v>1636</v>
      </c>
      <c r="N216" s="194" t="s">
        <v>663</v>
      </c>
    </row>
    <row r="217" spans="1:14">
      <c r="A217" s="194" t="s">
        <v>999</v>
      </c>
      <c r="B217" s="194" t="s">
        <v>1637</v>
      </c>
      <c r="C217" s="194" t="str">
        <f>CHOOSE(Translations!$C$1+1,K217,L217,M217)</f>
        <v>Educación sexual integral</v>
      </c>
      <c r="D217" s="194"/>
      <c r="E217" s="194" t="s">
        <v>1638</v>
      </c>
      <c r="F217" s="195" t="str">
        <f t="shared" si="8"/>
        <v>MCI-00682</v>
      </c>
      <c r="G217" s="194" t="str">
        <f t="shared" si="9"/>
        <v>MCI-00648Educación sexual integral</v>
      </c>
      <c r="H217" s="194" t="str">
        <f t="shared" si="10"/>
        <v>MCI-00648Educación sexual integral</v>
      </c>
      <c r="I217" s="195" t="str">
        <f t="shared" si="11"/>
        <v>MCI-00682</v>
      </c>
      <c r="J217" s="194"/>
      <c r="K217" s="409" t="s">
        <v>1639</v>
      </c>
      <c r="L217" s="195" t="s">
        <v>1640</v>
      </c>
      <c r="M217" s="195" t="s">
        <v>1641</v>
      </c>
      <c r="N217" s="194" t="s">
        <v>663</v>
      </c>
    </row>
    <row r="218" spans="1:14">
      <c r="A218" s="194" t="s">
        <v>999</v>
      </c>
      <c r="B218" s="194" t="s">
        <v>1642</v>
      </c>
      <c r="C218" s="194" t="str">
        <f>CHOOSE(Translations!$C$1+1,K218,L218,M218)</f>
        <v>Programas de preservativos y lubricantes</v>
      </c>
      <c r="D218" s="194"/>
      <c r="E218" s="194" t="s">
        <v>1643</v>
      </c>
      <c r="F218" s="195" t="str">
        <f t="shared" si="8"/>
        <v>MCI-00670</v>
      </c>
      <c r="G218" s="194" t="str">
        <f t="shared" si="9"/>
        <v>MCI-00648Programas de preservativos y lubricantes</v>
      </c>
      <c r="H218" s="194" t="str">
        <f t="shared" si="10"/>
        <v>MCI-00648Programas de preservativos y lubricantes</v>
      </c>
      <c r="I218" s="195" t="str">
        <f t="shared" si="11"/>
        <v>MCI-00670</v>
      </c>
      <c r="J218" s="194"/>
      <c r="K218" s="409" t="s">
        <v>1644</v>
      </c>
      <c r="L218" s="195" t="s">
        <v>1645</v>
      </c>
      <c r="M218" s="195" t="s">
        <v>1646</v>
      </c>
      <c r="N218" s="194" t="s">
        <v>663</v>
      </c>
    </row>
    <row r="219" spans="1:14">
      <c r="A219" s="194" t="s">
        <v>999</v>
      </c>
      <c r="B219" s="194" t="s">
        <v>1647</v>
      </c>
      <c r="C219" s="194" t="str">
        <f>CHOOSE(Translations!$C$1+1,K219,L219,M219)</f>
        <v>Prevención de la violencia de género y atención posterior a un episodio de violencia</v>
      </c>
      <c r="D219" s="194"/>
      <c r="E219" s="194" t="s">
        <v>1648</v>
      </c>
      <c r="F219" s="195" t="str">
        <f t="shared" si="8"/>
        <v>MCI-00683</v>
      </c>
      <c r="G219" s="194" t="str">
        <f t="shared" si="9"/>
        <v>MCI-00648Prevención de la violencia de género y atención posterior a un episodio de violencia</v>
      </c>
      <c r="H219" s="194" t="str">
        <f t="shared" si="10"/>
        <v>MCI-00648Prevención de la violencia de género y atención posterior a un episodio de violencia</v>
      </c>
      <c r="I219" s="195" t="str">
        <f t="shared" si="11"/>
        <v>MCI-00683</v>
      </c>
      <c r="J219" s="194"/>
      <c r="K219" s="409" t="s">
        <v>1649</v>
      </c>
      <c r="L219" s="195" t="s">
        <v>1650</v>
      </c>
      <c r="M219" s="195" t="s">
        <v>1651</v>
      </c>
      <c r="N219" s="194" t="s">
        <v>663</v>
      </c>
    </row>
    <row r="220" spans="1:14">
      <c r="A220" s="194" t="s">
        <v>999</v>
      </c>
      <c r="B220" s="194" t="s">
        <v>1652</v>
      </c>
      <c r="C220" s="194" t="str">
        <f>CHOOSE(Translations!$C$1+1,K220,L220,M220)</f>
        <v>Intervenciones de reducción de daño por consumo de drogas</v>
      </c>
      <c r="D220" s="194"/>
      <c r="E220" s="194" t="s">
        <v>1653</v>
      </c>
      <c r="F220" s="195" t="str">
        <f t="shared" si="8"/>
        <v>MCI-00675</v>
      </c>
      <c r="G220" s="194" t="str">
        <f t="shared" si="9"/>
        <v>MCI-00648Intervenciones de reducción de daño por consumo de drogas</v>
      </c>
      <c r="H220" s="194" t="str">
        <f t="shared" si="10"/>
        <v>MCI-00648Intervenciones de reducción de daño por consumo de drogas</v>
      </c>
      <c r="I220" s="195" t="str">
        <f t="shared" si="11"/>
        <v>MCI-00675</v>
      </c>
      <c r="J220" s="194"/>
      <c r="K220" s="409" t="s">
        <v>1654</v>
      </c>
      <c r="L220" s="195" t="s">
        <v>1655</v>
      </c>
      <c r="M220" s="195" t="s">
        <v>1656</v>
      </c>
      <c r="N220" s="194" t="s">
        <v>663</v>
      </c>
    </row>
    <row r="221" spans="1:14">
      <c r="A221" s="194" t="s">
        <v>999</v>
      </c>
      <c r="B221" s="194" t="s">
        <v>1657</v>
      </c>
      <c r="C221" s="194" t="str">
        <f>CHOOSE(Translations!$C$1+1,K221,L221,M221)</f>
        <v>Integración de los programas para niñas adolescentes y mujeres jóvenes en las respuestas nacionales multisectoriales</v>
      </c>
      <c r="D221" s="194"/>
      <c r="E221" s="194" t="s">
        <v>1658</v>
      </c>
      <c r="F221" s="195" t="str">
        <f t="shared" si="8"/>
        <v>MCI-00685</v>
      </c>
      <c r="G221" s="194" t="str">
        <f t="shared" si="9"/>
        <v>MCI-00648Integración de los programas para niñas adolescentes y mujeres jóvenes en las respuestas nacionales multisectoriales</v>
      </c>
      <c r="H221" s="194" t="str">
        <f t="shared" si="10"/>
        <v>MCI-00648Integración de los programas para niñas adolescentes y mujeres jóvenes en las respuestas nacionales multisectoriales</v>
      </c>
      <c r="I221" s="195" t="str">
        <f t="shared" si="11"/>
        <v>MCI-00685</v>
      </c>
      <c r="J221" s="194"/>
      <c r="K221" s="409" t="s">
        <v>1659</v>
      </c>
      <c r="L221" s="195" t="s">
        <v>1660</v>
      </c>
      <c r="M221" s="195" t="s">
        <v>1661</v>
      </c>
      <c r="N221" s="194" t="s">
        <v>663</v>
      </c>
    </row>
    <row r="222" spans="1:14">
      <c r="A222" s="194" t="s">
        <v>999</v>
      </c>
      <c r="B222" s="194" t="s">
        <v>1662</v>
      </c>
      <c r="C222" s="194" t="str">
        <f>CHOOSE(Translations!$C$1+1,K222,L222,M222)</f>
        <v>Intervenciones para poblaciones jóvenes clave</v>
      </c>
      <c r="D222" s="194"/>
      <c r="E222" s="194" t="s">
        <v>1663</v>
      </c>
      <c r="F222" s="195" t="str">
        <f t="shared" si="8"/>
        <v>MCI-00677</v>
      </c>
      <c r="G222" s="194" t="str">
        <f t="shared" si="9"/>
        <v>MCI-00648Intervenciones para poblaciones jóvenes clave</v>
      </c>
      <c r="H222" s="194" t="str">
        <f t="shared" si="10"/>
        <v>MCI-00648Intervenciones para poblaciones jóvenes clave</v>
      </c>
      <c r="I222" s="195" t="str">
        <f t="shared" si="11"/>
        <v>MCI-00677</v>
      </c>
      <c r="J222" s="194"/>
      <c r="K222" s="409" t="s">
        <v>1664</v>
      </c>
      <c r="L222" s="195" t="s">
        <v>1665</v>
      </c>
      <c r="M222" s="195" t="s">
        <v>1666</v>
      </c>
      <c r="N222" s="194" t="s">
        <v>663</v>
      </c>
    </row>
    <row r="223" spans="1:14">
      <c r="A223" s="194" t="s">
        <v>999</v>
      </c>
      <c r="B223" s="194" t="s">
        <v>1667</v>
      </c>
      <c r="C223" s="194" t="str">
        <f>CHOOSE(Translations!$C$1+1,K223,L223,M223)</f>
        <v>Integración de los programas de VIH y la salud reproductiva, materna, adolescente, infantil y neonatal</v>
      </c>
      <c r="D223" s="194"/>
      <c r="E223" s="194" t="s">
        <v>1668</v>
      </c>
      <c r="F223" s="195" t="str">
        <f t="shared" si="8"/>
        <v>MCI-00688</v>
      </c>
      <c r="G223" s="194" t="str">
        <f t="shared" si="9"/>
        <v>MCI-00648Integración de los programas de VIH y la salud reproductiva, materna, adolescente, infantil y neonatal</v>
      </c>
      <c r="H223" s="194" t="str">
        <f t="shared" si="10"/>
        <v>MCI-00648Integración de los programas de VIH y la salud reproductiva, materna, adolescente, infantil y neonatal</v>
      </c>
      <c r="I223" s="195" t="str">
        <f t="shared" si="11"/>
        <v>MCI-00688</v>
      </c>
      <c r="J223" s="194"/>
      <c r="K223" s="409" t="s">
        <v>1669</v>
      </c>
      <c r="L223" s="195" t="s">
        <v>1670</v>
      </c>
      <c r="M223" s="195" t="s">
        <v>1671</v>
      </c>
      <c r="N223" s="194" t="s">
        <v>663</v>
      </c>
    </row>
    <row r="224" spans="1:14">
      <c r="A224" s="194" t="s">
        <v>999</v>
      </c>
      <c r="B224" s="194" t="s">
        <v>1672</v>
      </c>
      <c r="C224" s="194" t="str">
        <f>CHOOSE(Translations!$C$1+1,K224,L224,M224)</f>
        <v>Gestión de programas nacionales para preservativos</v>
      </c>
      <c r="D224" s="194"/>
      <c r="E224" s="194" t="s">
        <v>1673</v>
      </c>
      <c r="F224" s="195" t="str">
        <f t="shared" si="8"/>
        <v>MCI-00687</v>
      </c>
      <c r="G224" s="194" t="str">
        <f t="shared" si="9"/>
        <v>MCI-00648Gestión de programas nacionales para preservativos</v>
      </c>
      <c r="H224" s="194" t="str">
        <f t="shared" si="10"/>
        <v>MCI-00648Gestión de programas nacionales para preservativos</v>
      </c>
      <c r="I224" s="195" t="str">
        <f t="shared" si="11"/>
        <v>MCI-00687</v>
      </c>
      <c r="J224" s="194"/>
      <c r="K224" s="409" t="s">
        <v>1674</v>
      </c>
      <c r="L224" s="195" t="s">
        <v>1675</v>
      </c>
      <c r="M224" s="195" t="s">
        <v>1676</v>
      </c>
      <c r="N224" s="194" t="s">
        <v>663</v>
      </c>
    </row>
    <row r="225" spans="1:14">
      <c r="A225" s="194" t="s">
        <v>999</v>
      </c>
      <c r="B225" s="194" t="s">
        <v>1677</v>
      </c>
      <c r="C225" s="194" t="str">
        <f>CHOOSE(Translations!$C$1+1,K225,L225,M225)</f>
        <v>Programas de agujas y jeringuillas</v>
      </c>
      <c r="D225" s="194"/>
      <c r="E225" s="194" t="s">
        <v>1678</v>
      </c>
      <c r="F225" s="195" t="str">
        <f t="shared" si="8"/>
        <v>MCI-00679</v>
      </c>
      <c r="G225" s="194" t="str">
        <f t="shared" si="9"/>
        <v>MCI-00648Programas de agujas y jeringuillas</v>
      </c>
      <c r="H225" s="194" t="str">
        <f t="shared" si="10"/>
        <v>MCI-00648Programas de agujas y jeringuillas</v>
      </c>
      <c r="I225" s="195" t="str">
        <f t="shared" si="11"/>
        <v>MCI-00679</v>
      </c>
      <c r="J225" s="194"/>
      <c r="K225" s="409" t="s">
        <v>1679</v>
      </c>
      <c r="L225" s="195" t="s">
        <v>1680</v>
      </c>
      <c r="M225" s="195" t="s">
        <v>1681</v>
      </c>
      <c r="N225" s="194" t="s">
        <v>663</v>
      </c>
    </row>
    <row r="226" spans="1:14">
      <c r="A226" s="194" t="s">
        <v>999</v>
      </c>
      <c r="B226" s="194" t="s">
        <v>1682</v>
      </c>
      <c r="C226" s="194" t="str">
        <f>CHOOSE(Translations!$C$1+1,K226,L226,M226)</f>
        <v>Tratamiento de sustitución de opiáceos y otros tratamientos de la drogodependencia que requieren atención médica</v>
      </c>
      <c r="D226" s="194"/>
      <c r="E226" s="194" t="s">
        <v>1683</v>
      </c>
      <c r="F226" s="195" t="str">
        <f t="shared" si="8"/>
        <v>MCI-00680</v>
      </c>
      <c r="G226" s="194" t="str">
        <f t="shared" si="9"/>
        <v>MCI-00648Tratamiento de sustitución de opiáceos y otros tratamientos de la drogodependencia que requieren atención médica</v>
      </c>
      <c r="H226" s="194" t="str">
        <f t="shared" si="10"/>
        <v>MCI-00648Tratamiento de sustitución de opiáceos y otros tratamientos de la drogodependencia que requieren atención médica</v>
      </c>
      <c r="I226" s="195" t="str">
        <f t="shared" si="11"/>
        <v>MCI-00680</v>
      </c>
      <c r="J226" s="194"/>
      <c r="K226" s="409" t="s">
        <v>1684</v>
      </c>
      <c r="L226" s="195" t="s">
        <v>1685</v>
      </c>
      <c r="M226" s="195" t="s">
        <v>1686</v>
      </c>
      <c r="N226" s="194" t="s">
        <v>663</v>
      </c>
    </row>
    <row r="227" spans="1:14">
      <c r="A227" s="194" t="s">
        <v>999</v>
      </c>
      <c r="B227" s="194" t="s">
        <v>1687</v>
      </c>
      <c r="C227" s="194" t="str">
        <f>CHOOSE(Translations!$C$1+1,K227,L227,M227)</f>
        <v>Prevención y tratamiento de la sobredosis</v>
      </c>
      <c r="D227" s="194"/>
      <c r="E227" s="194" t="s">
        <v>1688</v>
      </c>
      <c r="F227" s="195" t="str">
        <f t="shared" si="8"/>
        <v>MCI-00681</v>
      </c>
      <c r="G227" s="194" t="str">
        <f t="shared" si="9"/>
        <v>MCI-00648Prevención y tratamiento de la sobredosis</v>
      </c>
      <c r="H227" s="194" t="str">
        <f t="shared" si="10"/>
        <v>MCI-00648Prevención y tratamiento de la sobredosis</v>
      </c>
      <c r="I227" s="195" t="str">
        <f t="shared" si="11"/>
        <v>MCI-00681</v>
      </c>
      <c r="J227" s="194"/>
      <c r="K227" s="409" t="s">
        <v>1689</v>
      </c>
      <c r="L227" s="195" t="s">
        <v>1690</v>
      </c>
      <c r="M227" s="195" t="s">
        <v>1691</v>
      </c>
      <c r="N227" s="194" t="s">
        <v>663</v>
      </c>
    </row>
    <row r="228" spans="1:14">
      <c r="A228" s="194" t="s">
        <v>999</v>
      </c>
      <c r="B228" s="194" t="s">
        <v>1692</v>
      </c>
      <c r="C228" s="194" t="str">
        <f>CHOOSE(Translations!$C$1+1,K228,L228,M228)</f>
        <v>PrEP</v>
      </c>
      <c r="D228" s="194"/>
      <c r="E228" s="194" t="s">
        <v>1693</v>
      </c>
      <c r="F228" s="195" t="str">
        <f t="shared" si="8"/>
        <v>MCI-00671</v>
      </c>
      <c r="G228" s="194" t="str">
        <f t="shared" si="9"/>
        <v>MCI-00648PrEP</v>
      </c>
      <c r="H228" s="194" t="str">
        <f t="shared" si="10"/>
        <v>MCI-00648PrEP</v>
      </c>
      <c r="I228" s="195" t="str">
        <f t="shared" si="11"/>
        <v>MCI-00671</v>
      </c>
      <c r="J228" s="194"/>
      <c r="K228" s="409" t="s">
        <v>1694</v>
      </c>
      <c r="L228" s="195" t="s">
        <v>1695</v>
      </c>
      <c r="M228" s="195" t="s">
        <v>508</v>
      </c>
      <c r="N228" s="194" t="s">
        <v>663</v>
      </c>
    </row>
    <row r="229" spans="1:14">
      <c r="A229" s="194" t="s">
        <v>999</v>
      </c>
      <c r="B229" s="194" t="s">
        <v>1696</v>
      </c>
      <c r="C229" s="194" t="str">
        <f>CHOOSE(Translations!$C$1+1,K229,L229,M229)</f>
        <v>Prevención y manejo de coinfecciones y comorbilidades (Prevención)</v>
      </c>
      <c r="D229" s="194"/>
      <c r="E229" s="194" t="s">
        <v>1697</v>
      </c>
      <c r="F229" s="195" t="str">
        <f t="shared" si="8"/>
        <v>MCI-00678</v>
      </c>
      <c r="G229" s="194" t="str">
        <f t="shared" si="9"/>
        <v>MCI-00648Prevención y manejo de coinfecciones y comorbilidades (Prevención)</v>
      </c>
      <c r="H229" s="194" t="str">
        <f t="shared" si="10"/>
        <v>MCI-00648Prevención y manejo de coinfecciones y comorbilidades (Prevención)</v>
      </c>
      <c r="I229" s="195" t="str">
        <f t="shared" si="11"/>
        <v>MCI-00678</v>
      </c>
      <c r="J229" s="194"/>
      <c r="K229" s="409" t="s">
        <v>1698</v>
      </c>
      <c r="L229" s="195" t="s">
        <v>1699</v>
      </c>
      <c r="M229" s="195" t="s">
        <v>1700</v>
      </c>
      <c r="N229" s="194" t="s">
        <v>663</v>
      </c>
    </row>
    <row r="230" spans="1:14">
      <c r="A230" s="194" t="s">
        <v>999</v>
      </c>
      <c r="B230" s="194" t="s">
        <v>1701</v>
      </c>
      <c r="C230" s="194" t="str">
        <f>CHOOSE(Translations!$C$1+1,K230,L230,M230)</f>
        <v>Servicios de salud sexual y reproductiva, incluyendo las ITS</v>
      </c>
      <c r="D230" s="194"/>
      <c r="E230" s="194" t="s">
        <v>1702</v>
      </c>
      <c r="F230" s="195" t="str">
        <f t="shared" si="8"/>
        <v>MCI-00674</v>
      </c>
      <c r="G230" s="194" t="str">
        <f t="shared" si="9"/>
        <v>MCI-00648Servicios de salud sexual y reproductiva, incluyendo las ITS</v>
      </c>
      <c r="H230" s="194" t="str">
        <f t="shared" si="10"/>
        <v>MCI-00648Servicios de salud sexual y reproductiva, incluyendo las ITS</v>
      </c>
      <c r="I230" s="195" t="str">
        <f t="shared" si="11"/>
        <v>MCI-00674</v>
      </c>
      <c r="J230" s="194"/>
      <c r="K230" s="409" t="s">
        <v>1703</v>
      </c>
      <c r="L230" s="195" t="s">
        <v>1704</v>
      </c>
      <c r="M230" s="195" t="s">
        <v>1705</v>
      </c>
      <c r="N230" s="194" t="s">
        <v>663</v>
      </c>
    </row>
    <row r="231" spans="1:14">
      <c r="A231" s="194" t="s">
        <v>999</v>
      </c>
      <c r="B231" s="194" t="s">
        <v>1706</v>
      </c>
      <c r="C231" s="194" t="str">
        <f>CHOOSE(Translations!$C$1+1,K231,L231,M231)</f>
        <v>Intervenciones de protección social</v>
      </c>
      <c r="D231" s="194"/>
      <c r="E231" s="194" t="s">
        <v>1707</v>
      </c>
      <c r="F231" s="195" t="str">
        <f t="shared" si="8"/>
        <v>MCI-00684</v>
      </c>
      <c r="G231" s="194" t="str">
        <f t="shared" si="9"/>
        <v>MCI-00648Intervenciones de protección social</v>
      </c>
      <c r="H231" s="194" t="str">
        <f t="shared" si="10"/>
        <v>MCI-00648Intervenciones de protección social</v>
      </c>
      <c r="I231" s="195" t="str">
        <f t="shared" si="11"/>
        <v>MCI-00684</v>
      </c>
      <c r="J231" s="194"/>
      <c r="K231" s="409" t="s">
        <v>1708</v>
      </c>
      <c r="L231" s="195" t="s">
        <v>1709</v>
      </c>
      <c r="M231" s="195" t="s">
        <v>1710</v>
      </c>
      <c r="N231" s="194" t="s">
        <v>663</v>
      </c>
    </row>
    <row r="232" spans="1:14">
      <c r="A232" s="194" t="s">
        <v>999</v>
      </c>
      <c r="B232" s="194" t="s">
        <v>1711</v>
      </c>
      <c r="C232" s="194" t="str">
        <f>CHOOSE(Translations!$C$1+1,K232,L232,M232)</f>
        <v>Circuncisión médica masculina voluntaria</v>
      </c>
      <c r="D232" s="194"/>
      <c r="E232" s="194" t="s">
        <v>1712</v>
      </c>
      <c r="F232" s="195" t="str">
        <f t="shared" si="8"/>
        <v>MCI-00686</v>
      </c>
      <c r="G232" s="194" t="str">
        <f t="shared" si="9"/>
        <v>MCI-00648Circuncisión médica masculina voluntaria</v>
      </c>
      <c r="H232" s="194" t="str">
        <f t="shared" si="10"/>
        <v>MCI-00648Circuncisión médica masculina voluntaria</v>
      </c>
      <c r="I232" s="195" t="str">
        <f t="shared" si="11"/>
        <v>MCI-00686</v>
      </c>
      <c r="J232" s="194"/>
      <c r="K232" s="409" t="s">
        <v>1713</v>
      </c>
      <c r="L232" s="195" t="s">
        <v>1714</v>
      </c>
      <c r="M232" s="195" t="s">
        <v>1715</v>
      </c>
      <c r="N232" s="194" t="s">
        <v>663</v>
      </c>
    </row>
    <row r="233" spans="1:14">
      <c r="A233" s="194" t="s">
        <v>1085</v>
      </c>
      <c r="B233" s="194" t="s">
        <v>1716</v>
      </c>
      <c r="C233" s="194" t="str">
        <f>CHOOSE(Translations!$C$1+1,K233,L233,M233)</f>
        <v>Vertiente 1: Prevención primaria de la infección por el VIH en mujeres en edad fecunda</v>
      </c>
      <c r="D233" s="194"/>
      <c r="E233" s="194" t="s">
        <v>1717</v>
      </c>
      <c r="F233" s="195" t="str">
        <f t="shared" si="8"/>
        <v>MCI-00689</v>
      </c>
      <c r="G233" s="194" t="str">
        <f t="shared" si="9"/>
        <v>MCI-00649Vertiente 1: Prevención primaria de la infección por el VIH en mujeres en edad fecunda</v>
      </c>
      <c r="H233" s="194" t="str">
        <f t="shared" si="10"/>
        <v>MCI-00649Vertiente 1: Prevención primaria de la infección por el VIH en mujeres en edad fecunda</v>
      </c>
      <c r="I233" s="195" t="str">
        <f t="shared" si="11"/>
        <v>MCI-00689</v>
      </c>
      <c r="J233" s="194"/>
      <c r="K233" s="409" t="s">
        <v>1718</v>
      </c>
      <c r="L233" s="195" t="s">
        <v>1719</v>
      </c>
      <c r="M233" s="195" t="s">
        <v>1720</v>
      </c>
      <c r="N233" s="194" t="s">
        <v>663</v>
      </c>
    </row>
    <row r="234" spans="1:14">
      <c r="A234" s="194" t="s">
        <v>1085</v>
      </c>
      <c r="B234" s="194" t="s">
        <v>1721</v>
      </c>
      <c r="C234" s="194" t="str">
        <f>CHOOSE(Translations!$C$1+1,K234,L234,M234)</f>
        <v>Vertiente 2: Prevención de embarazos no deseados en mujeres que viven con el VIH</v>
      </c>
      <c r="D234" s="194"/>
      <c r="E234" s="194" t="s">
        <v>1722</v>
      </c>
      <c r="F234" s="195" t="str">
        <f t="shared" si="8"/>
        <v>MCI-00690</v>
      </c>
      <c r="G234" s="194" t="str">
        <f t="shared" si="9"/>
        <v>MCI-00649Vertiente 2: Prevención de embarazos no deseados en mujeres que viven con el VIH</v>
      </c>
      <c r="H234" s="194" t="str">
        <f t="shared" si="10"/>
        <v>MCI-00649Vertiente 2: Prevención de embarazos no deseados en mujeres que viven con el VIH</v>
      </c>
      <c r="I234" s="195" t="str">
        <f t="shared" si="11"/>
        <v>MCI-00690</v>
      </c>
      <c r="J234" s="194"/>
      <c r="K234" s="409" t="s">
        <v>1723</v>
      </c>
      <c r="L234" s="195" t="s">
        <v>1724</v>
      </c>
      <c r="M234" s="195" t="s">
        <v>1725</v>
      </c>
      <c r="N234" s="194" t="s">
        <v>663</v>
      </c>
    </row>
    <row r="235" spans="1:14">
      <c r="A235" s="194" t="s">
        <v>1085</v>
      </c>
      <c r="B235" s="194" t="s">
        <v>1726</v>
      </c>
      <c r="C235" s="194" t="str">
        <f>CHOOSE(Translations!$C$1+1,K235,L235,M235)</f>
        <v>Vertiente 3: Prevención de la transmisión vertical del VIH</v>
      </c>
      <c r="D235" s="194"/>
      <c r="E235" s="194" t="s">
        <v>1727</v>
      </c>
      <c r="F235" s="195" t="str">
        <f t="shared" si="8"/>
        <v>MCI-00691</v>
      </c>
      <c r="G235" s="194" t="str">
        <f t="shared" si="9"/>
        <v>MCI-00649Vertiente 3: Prevención de la transmisión vertical del VIH</v>
      </c>
      <c r="H235" s="194" t="str">
        <f t="shared" si="10"/>
        <v>MCI-00649Vertiente 3: Prevención de la transmisión vertical del VIH</v>
      </c>
      <c r="I235" s="195" t="str">
        <f t="shared" si="11"/>
        <v>MCI-00691</v>
      </c>
      <c r="J235" s="194"/>
      <c r="K235" s="409" t="s">
        <v>1728</v>
      </c>
      <c r="L235" s="195" t="s">
        <v>1729</v>
      </c>
      <c r="M235" s="195" t="s">
        <v>1730</v>
      </c>
      <c r="N235" s="194" t="s">
        <v>663</v>
      </c>
    </row>
    <row r="236" spans="1:14">
      <c r="A236" s="194" t="s">
        <v>1085</v>
      </c>
      <c r="B236" s="194" t="s">
        <v>1731</v>
      </c>
      <c r="C236" s="194" t="str">
        <f>CHOOSE(Translations!$C$1+1,K236,L236,M236)</f>
        <v>Vertiente 4: Tratamiento, atención y apoyo para madres que viven con el VIH, así como para sus hijos y familias</v>
      </c>
      <c r="D236" s="194"/>
      <c r="E236" s="194" t="s">
        <v>1732</v>
      </c>
      <c r="F236" s="195" t="str">
        <f t="shared" si="8"/>
        <v>MCI-00692</v>
      </c>
      <c r="G236" s="194" t="str">
        <f t="shared" si="9"/>
        <v>MCI-00649Vertiente 4: Tratamiento, atención y apoyo para madres que viven con el VIH, así como para sus hijos y familias</v>
      </c>
      <c r="H236" s="194" t="str">
        <f t="shared" si="10"/>
        <v>MCI-00649Vertiente 4: Tratamiento, atención y apoyo para madres que viven con el VIH, así como para sus hijos y familias</v>
      </c>
      <c r="I236" s="195" t="str">
        <f t="shared" si="11"/>
        <v>MCI-00692</v>
      </c>
      <c r="J236" s="194"/>
      <c r="K236" s="409" t="s">
        <v>1733</v>
      </c>
      <c r="L236" s="195" t="s">
        <v>1734</v>
      </c>
      <c r="M236" s="195" t="s">
        <v>1735</v>
      </c>
      <c r="N236" s="194" t="s">
        <v>663</v>
      </c>
    </row>
    <row r="237" spans="1:14">
      <c r="A237" s="194" t="s">
        <v>1111</v>
      </c>
      <c r="B237" s="194" t="s">
        <v>1736</v>
      </c>
      <c r="C237" s="194" t="str">
        <f>CHOOSE(Translations!$C$1+1,K237,L237,M237)</f>
        <v>Pruebas a nivel comunitario</v>
      </c>
      <c r="D237" s="194"/>
      <c r="E237" s="194" t="s">
        <v>1737</v>
      </c>
      <c r="F237" s="195" t="str">
        <f t="shared" si="8"/>
        <v>MCI-00694</v>
      </c>
      <c r="G237" s="194" t="str">
        <f t="shared" si="9"/>
        <v>MCI-00650Pruebas a nivel comunitario</v>
      </c>
      <c r="H237" s="194" t="str">
        <f t="shared" si="10"/>
        <v>MCI-00650Pruebas a nivel comunitario</v>
      </c>
      <c r="I237" s="195" t="str">
        <f t="shared" si="11"/>
        <v>MCI-00694</v>
      </c>
      <c r="J237" s="194"/>
      <c r="K237" s="409" t="s">
        <v>1738</v>
      </c>
      <c r="L237" s="195" t="s">
        <v>1739</v>
      </c>
      <c r="M237" s="195" t="s">
        <v>504</v>
      </c>
      <c r="N237" s="194" t="s">
        <v>663</v>
      </c>
    </row>
    <row r="238" spans="1:14">
      <c r="A238" s="194" t="s">
        <v>1111</v>
      </c>
      <c r="B238" s="194" t="s">
        <v>1740</v>
      </c>
      <c r="C238" s="194" t="str">
        <f>CHOOSE(Translations!$C$1+1,K238,L238,M238)</f>
        <v>Pruebas a nivel de establecimientos de salud</v>
      </c>
      <c r="D238" s="194"/>
      <c r="E238" s="194" t="s">
        <v>1741</v>
      </c>
      <c r="F238" s="195" t="str">
        <f t="shared" si="8"/>
        <v>MCI-00693</v>
      </c>
      <c r="G238" s="194" t="str">
        <f t="shared" si="9"/>
        <v>MCI-00650Pruebas a nivel de establecimientos de salud</v>
      </c>
      <c r="H238" s="194" t="str">
        <f t="shared" si="10"/>
        <v>MCI-00650Pruebas a nivel de establecimientos de salud</v>
      </c>
      <c r="I238" s="195" t="str">
        <f t="shared" si="11"/>
        <v>MCI-00693</v>
      </c>
      <c r="J238" s="194"/>
      <c r="K238" s="409" t="s">
        <v>1742</v>
      </c>
      <c r="L238" s="195" t="s">
        <v>1743</v>
      </c>
      <c r="M238" s="195" t="s">
        <v>1744</v>
      </c>
      <c r="N238" s="194" t="s">
        <v>663</v>
      </c>
    </row>
    <row r="239" spans="1:14">
      <c r="A239" s="194" t="s">
        <v>1111</v>
      </c>
      <c r="B239" s="194" t="s">
        <v>1745</v>
      </c>
      <c r="C239" s="194" t="str">
        <f>CHOOSE(Translations!$C$1+1,K239,L239,M239)</f>
        <v>Autoprueba (self testing)</v>
      </c>
      <c r="D239" s="194"/>
      <c r="E239" s="194" t="s">
        <v>1746</v>
      </c>
      <c r="F239" s="195" t="str">
        <f t="shared" si="8"/>
        <v>MCI-00695</v>
      </c>
      <c r="G239" s="194" t="str">
        <f t="shared" si="9"/>
        <v>MCI-00650Autoprueba (self testing)</v>
      </c>
      <c r="H239" s="194" t="str">
        <f t="shared" si="10"/>
        <v>MCI-00650Autoprueba (self testing)</v>
      </c>
      <c r="I239" s="195" t="str">
        <f t="shared" si="11"/>
        <v>MCI-00695</v>
      </c>
      <c r="J239" s="194"/>
      <c r="K239" s="409" t="s">
        <v>1747</v>
      </c>
      <c r="L239" s="195" t="s">
        <v>1748</v>
      </c>
      <c r="M239" s="195" t="s">
        <v>1749</v>
      </c>
      <c r="N239" s="194" t="s">
        <v>663</v>
      </c>
    </row>
    <row r="240" spans="1:14">
      <c r="A240" s="194" t="s">
        <v>1169</v>
      </c>
      <c r="B240" s="194" t="s">
        <v>1750</v>
      </c>
      <c r="C240" s="194" t="str">
        <f>CHOOSE(Translations!$C$1+1,K240,L240,M240)</f>
        <v>Consejería y apoyo psicosocial</v>
      </c>
      <c r="D240" s="194"/>
      <c r="E240" s="194" t="s">
        <v>1751</v>
      </c>
      <c r="F240" s="195" t="str">
        <f t="shared" si="8"/>
        <v>MCI-00701</v>
      </c>
      <c r="G240" s="194" t="str">
        <f t="shared" si="9"/>
        <v>MCI-00651Consejería y apoyo psicosocial</v>
      </c>
      <c r="H240" s="194" t="str">
        <f t="shared" si="10"/>
        <v>MCI-00651Consejería y apoyo psicosocial</v>
      </c>
      <c r="I240" s="195" t="str">
        <f t="shared" si="11"/>
        <v>MCI-00701</v>
      </c>
      <c r="J240" s="194"/>
      <c r="K240" s="409" t="s">
        <v>1752</v>
      </c>
      <c r="L240" s="195" t="s">
        <v>1753</v>
      </c>
      <c r="M240" s="195" t="s">
        <v>1754</v>
      </c>
      <c r="N240" s="194" t="s">
        <v>663</v>
      </c>
    </row>
    <row r="241" spans="1:14">
      <c r="A241" s="194" t="s">
        <v>1169</v>
      </c>
      <c r="B241" s="194" t="s">
        <v>1755</v>
      </c>
      <c r="C241" s="194" t="str">
        <f>CHOOSE(Translations!$C$1+1,K241,L241,M241)</f>
        <v>Prestación de servicios diferenciados de tratamiento antirretroviral y atención para el VIH</v>
      </c>
      <c r="D241" s="194"/>
      <c r="E241" s="194" t="s">
        <v>1756</v>
      </c>
      <c r="F241" s="195" t="str">
        <f t="shared" si="8"/>
        <v>MCI-00696</v>
      </c>
      <c r="G241" s="194" t="str">
        <f t="shared" si="9"/>
        <v>MCI-00651Prestación de servicios diferenciados de tratamiento antirretroviral y atención para el VIH</v>
      </c>
      <c r="H241" s="194" t="str">
        <f t="shared" si="10"/>
        <v>MCI-00651Prestación de servicios diferenciados de tratamiento antirretroviral y atención para el VIH</v>
      </c>
      <c r="I241" s="195" t="str">
        <f t="shared" si="11"/>
        <v>MCI-00696</v>
      </c>
      <c r="J241" s="194"/>
      <c r="K241" s="409" t="s">
        <v>1757</v>
      </c>
      <c r="L241" s="195" t="s">
        <v>1758</v>
      </c>
      <c r="M241" s="195" t="s">
        <v>1759</v>
      </c>
      <c r="N241" s="194" t="s">
        <v>663</v>
      </c>
    </row>
    <row r="242" spans="1:14">
      <c r="A242" s="194" t="s">
        <v>1169</v>
      </c>
      <c r="B242" s="194" t="s">
        <v>1760</v>
      </c>
      <c r="C242" s="194" t="str">
        <f>CHOOSE(Translations!$C$1+1,K242,L242,M242)</f>
        <v>Paquete para huérfanos y niños vulnerables</v>
      </c>
      <c r="D242" s="194"/>
      <c r="E242" s="194" t="s">
        <v>1761</v>
      </c>
      <c r="F242" s="195" t="str">
        <f t="shared" si="8"/>
        <v>MCI-00702</v>
      </c>
      <c r="G242" s="194" t="str">
        <f t="shared" si="9"/>
        <v>MCI-00651Paquete para huérfanos y niños vulnerables</v>
      </c>
      <c r="H242" s="194" t="str">
        <f t="shared" si="10"/>
        <v>MCI-00651Paquete para huérfanos y niños vulnerables</v>
      </c>
      <c r="I242" s="195" t="str">
        <f t="shared" si="11"/>
        <v>MCI-00702</v>
      </c>
      <c r="J242" s="194"/>
      <c r="K242" s="409" t="s">
        <v>1762</v>
      </c>
      <c r="L242" s="195" t="s">
        <v>1763</v>
      </c>
      <c r="M242" s="195" t="s">
        <v>1764</v>
      </c>
      <c r="N242" s="194" t="s">
        <v>663</v>
      </c>
    </row>
    <row r="243" spans="1:14">
      <c r="A243" s="194" t="s">
        <v>1169</v>
      </c>
      <c r="B243" s="194" t="s">
        <v>1765</v>
      </c>
      <c r="C243" s="194" t="str">
        <f>CHOOSE(Translations!$C$1+1,K243,L243,M243)</f>
        <v>Prevención y manejo de coinfecciones y comorbilidades (Tratamiento, atención y apoyo)</v>
      </c>
      <c r="D243" s="194"/>
      <c r="E243" s="194" t="s">
        <v>1766</v>
      </c>
      <c r="F243" s="195" t="str">
        <f t="shared" si="8"/>
        <v>MCI-00700</v>
      </c>
      <c r="G243" s="194" t="str">
        <f t="shared" si="9"/>
        <v>MCI-00651Prevención y manejo de coinfecciones y comorbilidades (Tratamiento, atención y apoyo)</v>
      </c>
      <c r="H243" s="194" t="str">
        <f t="shared" si="10"/>
        <v>MCI-00651Prevención y manejo de coinfecciones y comorbilidades (Tratamiento, atención y apoyo)</v>
      </c>
      <c r="I243" s="195" t="str">
        <f t="shared" si="11"/>
        <v>MCI-00700</v>
      </c>
      <c r="J243" s="194"/>
      <c r="K243" s="409" t="s">
        <v>1767</v>
      </c>
      <c r="L243" s="195" t="s">
        <v>1768</v>
      </c>
      <c r="M243" s="195" t="s">
        <v>1769</v>
      </c>
      <c r="N243" s="194" t="s">
        <v>663</v>
      </c>
    </row>
    <row r="244" spans="1:14">
      <c r="A244" s="194" t="s">
        <v>1169</v>
      </c>
      <c r="B244" s="194" t="s">
        <v>1770</v>
      </c>
      <c r="C244" s="194" t="str">
        <f>CHOOSE(Translations!$C$1+1,K244,L244,M244)</f>
        <v>Seguimiento del tratamiento: toxicidad de la terapia antirretroviral</v>
      </c>
      <c r="D244" s="194"/>
      <c r="E244" s="194" t="s">
        <v>1771</v>
      </c>
      <c r="F244" s="195" t="str">
        <f t="shared" si="8"/>
        <v>MCI-00698</v>
      </c>
      <c r="G244" s="194" t="str">
        <f t="shared" si="9"/>
        <v>MCI-00651Seguimiento del tratamiento: toxicidad de la terapia antirretroviral</v>
      </c>
      <c r="H244" s="194" t="str">
        <f t="shared" si="10"/>
        <v>MCI-00651Seguimiento del tratamiento: toxicidad de la terapia antirretroviral</v>
      </c>
      <c r="I244" s="195" t="str">
        <f t="shared" si="11"/>
        <v>MCI-00698</v>
      </c>
      <c r="J244" s="194"/>
      <c r="K244" s="409" t="s">
        <v>1772</v>
      </c>
      <c r="L244" s="195" t="s">
        <v>1773</v>
      </c>
      <c r="M244" s="195" t="s">
        <v>1774</v>
      </c>
      <c r="N244" s="194" t="s">
        <v>663</v>
      </c>
    </row>
    <row r="245" spans="1:14">
      <c r="A245" s="194" t="s">
        <v>1169</v>
      </c>
      <c r="B245" s="194" t="s">
        <v>1775</v>
      </c>
      <c r="C245" s="194" t="str">
        <f>CHOOSE(Translations!$C$1+1,K245,L245,M245)</f>
        <v>Seguimiento del tratamiento: farmacorresistencia</v>
      </c>
      <c r="D245" s="194"/>
      <c r="E245" s="194" t="s">
        <v>1776</v>
      </c>
      <c r="F245" s="195" t="str">
        <f t="shared" si="8"/>
        <v>MCI-00697</v>
      </c>
      <c r="G245" s="194" t="str">
        <f t="shared" si="9"/>
        <v>MCI-00651Seguimiento del tratamiento: farmacorresistencia</v>
      </c>
      <c r="H245" s="194" t="str">
        <f t="shared" si="10"/>
        <v>MCI-00651Seguimiento del tratamiento: farmacorresistencia</v>
      </c>
      <c r="I245" s="195" t="str">
        <f t="shared" si="11"/>
        <v>MCI-00697</v>
      </c>
      <c r="J245" s="194"/>
      <c r="K245" s="409" t="s">
        <v>1777</v>
      </c>
      <c r="L245" s="195" t="s">
        <v>1778</v>
      </c>
      <c r="M245" s="195" t="s">
        <v>1779</v>
      </c>
      <c r="N245" s="194" t="s">
        <v>663</v>
      </c>
    </row>
    <row r="246" spans="1:14">
      <c r="A246" s="194" t="s">
        <v>1169</v>
      </c>
      <c r="B246" s="194" t="s">
        <v>1780</v>
      </c>
      <c r="C246" s="194" t="str">
        <f>CHOOSE(Translations!$C$1+1,K246,L246,M246)</f>
        <v>Seguimiento del tratamiento: carga viral</v>
      </c>
      <c r="D246" s="194"/>
      <c r="E246" s="194" t="s">
        <v>1781</v>
      </c>
      <c r="F246" s="195" t="str">
        <f t="shared" si="8"/>
        <v>MCI-00699</v>
      </c>
      <c r="G246" s="194" t="str">
        <f t="shared" si="9"/>
        <v>MCI-00651Seguimiento del tratamiento: carga viral</v>
      </c>
      <c r="H246" s="194" t="str">
        <f t="shared" si="10"/>
        <v>MCI-00651Seguimiento del tratamiento: carga viral</v>
      </c>
      <c r="I246" s="195" t="str">
        <f t="shared" si="11"/>
        <v>MCI-00699</v>
      </c>
      <c r="J246" s="194"/>
      <c r="K246" s="409" t="s">
        <v>1782</v>
      </c>
      <c r="L246" s="195" t="s">
        <v>1783</v>
      </c>
      <c r="M246" s="195" t="s">
        <v>1784</v>
      </c>
      <c r="N246" s="194" t="s">
        <v>663</v>
      </c>
    </row>
    <row r="247" spans="1:14">
      <c r="A247" s="194" t="s">
        <v>1507</v>
      </c>
      <c r="B247" s="194" t="s">
        <v>1785</v>
      </c>
      <c r="C247" s="194" t="str">
        <f>CHOOSE(Translations!$C$1+1,K247,L247,M247)</f>
        <v>Movilización y promoción comunitarias (VIH/TB)</v>
      </c>
      <c r="D247" s="194"/>
      <c r="E247" s="194" t="s">
        <v>1786</v>
      </c>
      <c r="F247" s="195" t="str">
        <f t="shared" si="8"/>
        <v>MCI-00710</v>
      </c>
      <c r="G247" s="194" t="str">
        <f t="shared" si="9"/>
        <v>MCI-00652Movilización y promoción comunitarias (VIH/TB)</v>
      </c>
      <c r="H247" s="194" t="str">
        <f t="shared" si="10"/>
        <v>MCI-00652Movilización y promoción comunitarias (VIH/TB)</v>
      </c>
      <c r="I247" s="195" t="str">
        <f t="shared" si="11"/>
        <v>MCI-00710</v>
      </c>
      <c r="J247" s="194"/>
      <c r="K247" s="409" t="s">
        <v>1787</v>
      </c>
      <c r="L247" s="195" t="s">
        <v>1788</v>
      </c>
      <c r="M247" s="195" t="s">
        <v>1789</v>
      </c>
      <c r="N247" s="194" t="s">
        <v>663</v>
      </c>
    </row>
    <row r="248" spans="1:14">
      <c r="A248" s="194" t="s">
        <v>1507</v>
      </c>
      <c r="B248" s="194" t="s">
        <v>1790</v>
      </c>
      <c r="C248" s="194" t="str">
        <f>CHOOSE(Translations!$C$1+1,K248,L248,M248)</f>
        <v>Servicios jurídicos relacionados con el VIH y la TB/VIH</v>
      </c>
      <c r="D248" s="194"/>
      <c r="E248" s="194" t="s">
        <v>1791</v>
      </c>
      <c r="F248" s="195" t="str">
        <f t="shared" si="8"/>
        <v>MCI-00706</v>
      </c>
      <c r="G248" s="194" t="str">
        <f t="shared" si="9"/>
        <v>MCI-00652Servicios jurídicos relacionados con el VIH y la TB/VIH</v>
      </c>
      <c r="H248" s="194" t="str">
        <f t="shared" si="10"/>
        <v>MCI-00652Servicios jurídicos relacionados con el VIH y la TB/VIH</v>
      </c>
      <c r="I248" s="195" t="str">
        <f t="shared" si="11"/>
        <v>MCI-00706</v>
      </c>
      <c r="J248" s="194"/>
      <c r="K248" s="409" t="s">
        <v>1792</v>
      </c>
      <c r="L248" s="195" t="s">
        <v>1793</v>
      </c>
      <c r="M248" s="195" t="s">
        <v>1794</v>
      </c>
      <c r="N248" s="194" t="s">
        <v>663</v>
      </c>
    </row>
    <row r="249" spans="1:14">
      <c r="A249" s="194" t="s">
        <v>1507</v>
      </c>
      <c r="B249" s="194" t="s">
        <v>1795</v>
      </c>
      <c r="C249" s="194" t="str">
        <f>CHOOSE(Translations!$C$1+1,K249,L249,M249)</f>
        <v>Derechos humanos y ética médica en relación con el VIH y la tuberculosis y el VIH para personal sanitario</v>
      </c>
      <c r="D249" s="194"/>
      <c r="E249" s="194" t="s">
        <v>1796</v>
      </c>
      <c r="F249" s="195" t="str">
        <f t="shared" si="8"/>
        <v>MCI-00705</v>
      </c>
      <c r="G249" s="194" t="str">
        <f t="shared" si="9"/>
        <v>MCI-00652Derechos humanos y ética médica en relación con el VIH y la tuberculosis y el VIH para personal sanitario</v>
      </c>
      <c r="H249" s="194" t="str">
        <f t="shared" si="10"/>
        <v>MCI-00652Derechos humanos y ética médica en relación con el VIH y la tuberculosis y el VIH para personal sanitario</v>
      </c>
      <c r="I249" s="195" t="str">
        <f t="shared" si="11"/>
        <v>MCI-00705</v>
      </c>
      <c r="J249" s="194"/>
      <c r="K249" s="409" t="s">
        <v>1797</v>
      </c>
      <c r="L249" s="195" t="s">
        <v>1798</v>
      </c>
      <c r="M249" s="195" t="s">
        <v>1799</v>
      </c>
      <c r="N249" s="194" t="s">
        <v>663</v>
      </c>
    </row>
    <row r="250" spans="1:14">
      <c r="A250" s="194" t="s">
        <v>1507</v>
      </c>
      <c r="B250" s="194" t="s">
        <v>1800</v>
      </c>
      <c r="C250" s="194" t="str">
        <f>CHOOSE(Translations!$C$1+1,K250,L250,M250)</f>
        <v>Mejora de leyes, reglamentos y políticas relacionadas con el VIH y la TB/VIH</v>
      </c>
      <c r="D250" s="194"/>
      <c r="E250" s="194" t="s">
        <v>1801</v>
      </c>
      <c r="F250" s="195" t="str">
        <f t="shared" si="8"/>
        <v>MCI-00708</v>
      </c>
      <c r="G250" s="194" t="str">
        <f t="shared" si="9"/>
        <v>MCI-00652Mejora de leyes, reglamentos y políticas relacionadas con el VIH y la TB/VIH</v>
      </c>
      <c r="H250" s="194" t="str">
        <f t="shared" si="10"/>
        <v>MCI-00652Mejora de leyes, reglamentos y políticas relacionadas con el VIH y la TB/VIH</v>
      </c>
      <c r="I250" s="195" t="str">
        <f t="shared" si="11"/>
        <v>MCI-00708</v>
      </c>
      <c r="J250" s="194"/>
      <c r="K250" s="409" t="s">
        <v>1802</v>
      </c>
      <c r="L250" s="195" t="s">
        <v>1803</v>
      </c>
      <c r="M250" s="195" t="s">
        <v>1804</v>
      </c>
      <c r="N250" s="194" t="s">
        <v>663</v>
      </c>
    </row>
    <row r="251" spans="1:14">
      <c r="A251" s="194" t="s">
        <v>1507</v>
      </c>
      <c r="B251" s="194" t="s">
        <v>1805</v>
      </c>
      <c r="C251" s="194" t="str">
        <f>CHOOSE(Translations!$C$1+1,K251,L251,M251)</f>
        <v>Conocimientos jurídicos («Conoce tus derechos»)</v>
      </c>
      <c r="D251" s="194"/>
      <c r="E251" s="194" t="s">
        <v>1806</v>
      </c>
      <c r="F251" s="195" t="str">
        <f t="shared" si="8"/>
        <v>MCI-00704</v>
      </c>
      <c r="G251" s="194" t="str">
        <f t="shared" si="9"/>
        <v>MCI-00652Conocimientos jurídicos («Conoce tus derechos»)</v>
      </c>
      <c r="H251" s="194" t="str">
        <f t="shared" si="10"/>
        <v>MCI-00652Conocimientos jurídicos («Conoce tus derechos»)</v>
      </c>
      <c r="I251" s="195" t="str">
        <f t="shared" si="11"/>
        <v>MCI-00704</v>
      </c>
      <c r="J251" s="194"/>
      <c r="K251" s="409" t="s">
        <v>1807</v>
      </c>
      <c r="L251" s="195" t="s">
        <v>1808</v>
      </c>
      <c r="M251" s="195" t="s">
        <v>1809</v>
      </c>
      <c r="N251" s="194" t="s">
        <v>663</v>
      </c>
    </row>
    <row r="252" spans="1:14">
      <c r="A252" s="194" t="s">
        <v>1507</v>
      </c>
      <c r="B252" s="194" t="s">
        <v>1810</v>
      </c>
      <c r="C252" s="194" t="str">
        <f>CHOOSE(Translations!$C$1+1,K252,L252,M252)</f>
        <v>Reducción de la discriminación de género relacionada con el VIH, las normas de género perjudiciales y la violencia contra las mujeres y las niñas en toda su diversidad</v>
      </c>
      <c r="D252" s="194"/>
      <c r="E252" s="194" t="s">
        <v>1811</v>
      </c>
      <c r="F252" s="195" t="str">
        <f t="shared" si="8"/>
        <v>MCI-00709</v>
      </c>
      <c r="G252" s="194" t="str">
        <f t="shared" si="9"/>
        <v>MCI-00652Reducción de la discriminación de género relacionada con el VIH, las normas de género perjudiciales y la violencia contra las mujeres y las niñas en toda su diversidad</v>
      </c>
      <c r="H252" s="194" t="str">
        <f t="shared" si="10"/>
        <v>MCI-00652Reducción de la discriminación de género relacionada con el VIH, las normas de género perjudiciales y la violencia contra las mujeres y las niñas en toda su diversidad</v>
      </c>
      <c r="I252" s="195" t="str">
        <f t="shared" si="11"/>
        <v>MCI-00709</v>
      </c>
      <c r="J252" s="194"/>
      <c r="K252" s="409" t="s">
        <v>1812</v>
      </c>
      <c r="L252" s="195" t="s">
        <v>1813</v>
      </c>
      <c r="M252" s="195" t="s">
        <v>1814</v>
      </c>
      <c r="N252" s="194" t="s">
        <v>663</v>
      </c>
    </row>
    <row r="253" spans="1:14">
      <c r="A253" s="194" t="s">
        <v>1507</v>
      </c>
      <c r="B253" s="194" t="s">
        <v>1815</v>
      </c>
      <c r="C253" s="194" t="str">
        <f>CHOOSE(Translations!$C$1+1,K253,L253,M253)</f>
        <v>Sensibilización de los cuerpos de seguridad y cuerpos de seguridad</v>
      </c>
      <c r="D253" s="194"/>
      <c r="E253" s="194" t="s">
        <v>1816</v>
      </c>
      <c r="F253" s="195" t="str">
        <f t="shared" si="8"/>
        <v>MCI-00707</v>
      </c>
      <c r="G253" s="194" t="str">
        <f t="shared" si="9"/>
        <v>MCI-00652Sensibilización de los cuerpos de seguridad y cuerpos de seguridad</v>
      </c>
      <c r="H253" s="194" t="str">
        <f t="shared" si="10"/>
        <v>MCI-00652Sensibilización de los cuerpos de seguridad y cuerpos de seguridad</v>
      </c>
      <c r="I253" s="195" t="str">
        <f t="shared" si="11"/>
        <v>MCI-00707</v>
      </c>
      <c r="J253" s="194"/>
      <c r="K253" s="409" t="s">
        <v>1817</v>
      </c>
      <c r="L253" s="195" t="s">
        <v>1818</v>
      </c>
      <c r="M253" s="195" t="s">
        <v>1819</v>
      </c>
      <c r="N253" s="194" t="s">
        <v>663</v>
      </c>
    </row>
    <row r="254" spans="1:14">
      <c r="A254" s="194" t="s">
        <v>1507</v>
      </c>
      <c r="B254" s="194" t="s">
        <v>1820</v>
      </c>
      <c r="C254" s="194" t="str">
        <f>CHOOSE(Translations!$C$1+1,K254,L254,M254)</f>
        <v>Reducción del estigma y la discriminación (VIH/TB)</v>
      </c>
      <c r="D254" s="194"/>
      <c r="E254" s="194" t="s">
        <v>1821</v>
      </c>
      <c r="F254" s="195" t="str">
        <f t="shared" si="8"/>
        <v>MCI-00703</v>
      </c>
      <c r="G254" s="194" t="str">
        <f t="shared" si="9"/>
        <v>MCI-00652Reducción del estigma y la discriminación (VIH/TB)</v>
      </c>
      <c r="H254" s="194" t="str">
        <f t="shared" si="10"/>
        <v>MCI-00652Reducción del estigma y la discriminación (VIH/TB)</v>
      </c>
      <c r="I254" s="195" t="str">
        <f t="shared" si="11"/>
        <v>MCI-00703</v>
      </c>
      <c r="J254" s="194"/>
      <c r="K254" s="409" t="s">
        <v>1822</v>
      </c>
      <c r="L254" s="195" t="s">
        <v>1823</v>
      </c>
      <c r="M254" s="195" t="s">
        <v>1824</v>
      </c>
      <c r="N254" s="194" t="s">
        <v>663</v>
      </c>
    </row>
    <row r="255" spans="1:14">
      <c r="A255" s="194" t="s">
        <v>1194</v>
      </c>
      <c r="B255" s="194" t="s">
        <v>1825</v>
      </c>
      <c r="C255" s="194" t="str">
        <f>CHOOSE(Translations!$C$1+1,K255,L255,M255)</f>
        <v>Detección y diagnóstico de casos (Atención y prevención de la tuberculosis)</v>
      </c>
      <c r="D255" s="194"/>
      <c r="E255" s="194" t="s">
        <v>1826</v>
      </c>
      <c r="F255" s="195" t="str">
        <f t="shared" si="8"/>
        <v>MCI-00711</v>
      </c>
      <c r="G255" s="194" t="str">
        <f t="shared" si="9"/>
        <v>MCI-00653Detección y diagnóstico de casos (Atención y prevención de la tuberculosis)</v>
      </c>
      <c r="H255" s="194" t="str">
        <f t="shared" si="10"/>
        <v>MCI-00653Detección y diagnóstico de casos (Atención y prevención de la tuberculosis)</v>
      </c>
      <c r="I255" s="195" t="str">
        <f t="shared" si="11"/>
        <v>MCI-00711</v>
      </c>
      <c r="J255" s="194"/>
      <c r="K255" s="409" t="s">
        <v>1827</v>
      </c>
      <c r="L255" s="195" t="s">
        <v>1828</v>
      </c>
      <c r="M255" s="195" t="s">
        <v>511</v>
      </c>
      <c r="N255" s="194" t="s">
        <v>663</v>
      </c>
    </row>
    <row r="256" spans="1:14">
      <c r="A256" s="194" t="s">
        <v>1194</v>
      </c>
      <c r="B256" s="194" t="s">
        <v>1829</v>
      </c>
      <c r="C256" s="194" t="str">
        <f>CHOOSE(Translations!$C$1+1,K256,L256,M256)</f>
        <v>Actividades de colaboración con otros programas y sectores (Atención y prevención de la tuberculosis)</v>
      </c>
      <c r="D256" s="194"/>
      <c r="E256" s="194" t="s">
        <v>1830</v>
      </c>
      <c r="F256" s="195" t="str">
        <f t="shared" si="8"/>
        <v>MCI-00721</v>
      </c>
      <c r="G256" s="194" t="str">
        <f t="shared" si="9"/>
        <v>MCI-00653Actividades de colaboración con otros programas y sectores (Atención y prevención de la tuberculosis)</v>
      </c>
      <c r="H256" s="194" t="str">
        <f t="shared" si="10"/>
        <v>MCI-00653Actividades de colaboración con otros programas y sectores (Atención y prevención de la tuberculosis)</v>
      </c>
      <c r="I256" s="195" t="str">
        <f t="shared" si="11"/>
        <v>MCI-00721</v>
      </c>
      <c r="J256" s="194"/>
      <c r="K256" s="409" t="s">
        <v>1831</v>
      </c>
      <c r="L256" s="195" t="s">
        <v>1832</v>
      </c>
      <c r="M256" s="195" t="s">
        <v>1833</v>
      </c>
      <c r="N256" s="194" t="s">
        <v>663</v>
      </c>
    </row>
    <row r="257" spans="1:14">
      <c r="A257" s="194" t="s">
        <v>1194</v>
      </c>
      <c r="B257" s="194" t="s">
        <v>1834</v>
      </c>
      <c r="C257" s="194" t="str">
        <f>CHOOSE(Translations!$C$1+1,K257,L257,M257)</f>
        <v>Prestación de servicios de atención de la tuberculosis en la comunidad</v>
      </c>
      <c r="D257" s="194"/>
      <c r="E257" s="194" t="s">
        <v>1835</v>
      </c>
      <c r="F257" s="195" t="str">
        <f t="shared" si="8"/>
        <v>MCI-00715</v>
      </c>
      <c r="G257" s="194" t="str">
        <f t="shared" si="9"/>
        <v>MCI-00653Prestación de servicios de atención de la tuberculosis en la comunidad</v>
      </c>
      <c r="H257" s="194" t="str">
        <f t="shared" si="10"/>
        <v>MCI-00653Prestación de servicios de atención de la tuberculosis en la comunidad</v>
      </c>
      <c r="I257" s="195" t="str">
        <f t="shared" si="11"/>
        <v>MCI-00715</v>
      </c>
      <c r="J257" s="194"/>
      <c r="K257" s="409" t="s">
        <v>1836</v>
      </c>
      <c r="L257" s="195" t="s">
        <v>1837</v>
      </c>
      <c r="M257" s="195" t="s">
        <v>1838</v>
      </c>
      <c r="N257" s="194" t="s">
        <v>663</v>
      </c>
    </row>
    <row r="258" spans="1:14">
      <c r="A258" s="194" t="s">
        <v>1194</v>
      </c>
      <c r="B258" s="194" t="s">
        <v>1839</v>
      </c>
      <c r="C258" s="194" t="str">
        <f>CHOOSE(Translations!$C$1+1,K258,L258,M258)</f>
        <v>Implicar a todos los proveedores de atención (Atención y prevención de la tuberculosis)</v>
      </c>
      <c r="D258" s="194"/>
      <c r="E258" s="194" t="s">
        <v>1840</v>
      </c>
      <c r="F258" s="195" t="str">
        <f t="shared" si="8"/>
        <v>MCI-00714</v>
      </c>
      <c r="G258" s="194" t="str">
        <f t="shared" si="9"/>
        <v>MCI-00653Implicar a todos los proveedores de atención (Atención y prevención de la tuberculosis)</v>
      </c>
      <c r="H258" s="194" t="str">
        <f t="shared" si="10"/>
        <v>MCI-00653Implicar a todos los proveedores de atención (Atención y prevención de la tuberculosis)</v>
      </c>
      <c r="I258" s="195" t="str">
        <f t="shared" si="11"/>
        <v>MCI-00714</v>
      </c>
      <c r="J258" s="194"/>
      <c r="K258" s="409" t="s">
        <v>1841</v>
      </c>
      <c r="L258" s="195" t="s">
        <v>1842</v>
      </c>
      <c r="M258" s="195" t="s">
        <v>1843</v>
      </c>
      <c r="N258" s="194" t="s">
        <v>663</v>
      </c>
    </row>
    <row r="259" spans="1:14">
      <c r="A259" s="194" t="s">
        <v>1194</v>
      </c>
      <c r="B259" s="194" t="s">
        <v>1844</v>
      </c>
      <c r="C259" s="194" t="str">
        <f>CHOOSE(Translations!$C$1+1,K259,L259,M259)</f>
        <v>Poblaciones clave (Atención y prevención de la tuberculosis): niños</v>
      </c>
      <c r="D259" s="194"/>
      <c r="E259" s="194" t="s">
        <v>1845</v>
      </c>
      <c r="F259" s="195" t="str">
        <f t="shared" si="8"/>
        <v>MCI-00716</v>
      </c>
      <c r="G259" s="194" t="str">
        <f t="shared" si="9"/>
        <v>MCI-00653Poblaciones clave (Atención y prevención de la tuberculosis): niños</v>
      </c>
      <c r="H259" s="194" t="str">
        <f t="shared" si="10"/>
        <v>MCI-00653Poblaciones clave (Atención y prevención de la tuberculosis): niños</v>
      </c>
      <c r="I259" s="195" t="str">
        <f t="shared" si="11"/>
        <v>MCI-00716</v>
      </c>
      <c r="J259" s="194"/>
      <c r="K259" s="409" t="s">
        <v>1846</v>
      </c>
      <c r="L259" s="195" t="s">
        <v>1847</v>
      </c>
      <c r="M259" s="195" t="s">
        <v>1848</v>
      </c>
      <c r="N259" s="194" t="s">
        <v>663</v>
      </c>
    </row>
    <row r="260" spans="1:14">
      <c r="A260" s="194" t="s">
        <v>1194</v>
      </c>
      <c r="B260" s="194" t="s">
        <v>1849</v>
      </c>
      <c r="C260" s="194" t="str">
        <f>CHOOSE(Translations!$C$1+1,K260,L260,M260)</f>
        <v>Poblaciones clave (Atención y prevención de la tuberculosis): mineros y comunidades mineras</v>
      </c>
      <c r="D260" s="194"/>
      <c r="E260" s="194" t="s">
        <v>1850</v>
      </c>
      <c r="F260" s="195" t="str">
        <f t="shared" si="8"/>
        <v>MCI-00719</v>
      </c>
      <c r="G260" s="194" t="str">
        <f t="shared" si="9"/>
        <v>MCI-00653Poblaciones clave (Atención y prevención de la tuberculosis): mineros y comunidades mineras</v>
      </c>
      <c r="H260" s="194" t="str">
        <f t="shared" si="10"/>
        <v>MCI-00653Poblaciones clave (Atención y prevención de la tuberculosis): mineros y comunidades mineras</v>
      </c>
      <c r="I260" s="195" t="str">
        <f t="shared" si="11"/>
        <v>MCI-00719</v>
      </c>
      <c r="J260" s="194"/>
      <c r="K260" s="409" t="s">
        <v>1851</v>
      </c>
      <c r="L260" s="195" t="s">
        <v>1852</v>
      </c>
      <c r="M260" s="195" t="s">
        <v>1853</v>
      </c>
      <c r="N260" s="194" t="s">
        <v>663</v>
      </c>
    </row>
    <row r="261" spans="1:14">
      <c r="A261" s="194" t="s">
        <v>1194</v>
      </c>
      <c r="B261" s="194" t="s">
        <v>1854</v>
      </c>
      <c r="C261" s="194" t="str">
        <f>CHOOSE(Translations!$C$1+1,K261,L261,M261)</f>
        <v>Poblaciones clave (Atención y prevención de la tuberculosis): poblaciones móviles (refugiados, migrantes y personas desplazadas internamente)</v>
      </c>
      <c r="D261" s="194"/>
      <c r="E261" s="194" t="s">
        <v>1855</v>
      </c>
      <c r="F261" s="195" t="str">
        <f t="shared" si="8"/>
        <v>MCI-00718</v>
      </c>
      <c r="G261" s="194" t="str">
        <f t="shared" si="9"/>
        <v>MCI-00653Poblaciones clave (Atención y prevención de la tuberculosis): poblaciones móviles (refugiados, migrantes y personas desplazadas internamente)</v>
      </c>
      <c r="H261" s="194" t="str">
        <f t="shared" si="10"/>
        <v>MCI-00653Poblaciones clave (Atención y prevención de la tuberculosis): poblaciones móviles (refugiados, migrantes y personas desplazadas internamente)</v>
      </c>
      <c r="I261" s="195" t="str">
        <f t="shared" si="11"/>
        <v>MCI-00718</v>
      </c>
      <c r="J261" s="194"/>
      <c r="K261" s="409" t="s">
        <v>1856</v>
      </c>
      <c r="L261" s="195" t="s">
        <v>1857</v>
      </c>
      <c r="M261" s="195" t="s">
        <v>1858</v>
      </c>
      <c r="N261" s="194" t="s">
        <v>663</v>
      </c>
    </row>
    <row r="262" spans="1:14">
      <c r="A262" s="194" t="s">
        <v>1194</v>
      </c>
      <c r="B262" s="194" t="s">
        <v>1859</v>
      </c>
      <c r="C262" s="194" t="str">
        <f>CHOOSE(Translations!$C$1+1,K262,L262,M262)</f>
        <v>Poblaciones clave (Atención y prevención de la tuberculosis): otros</v>
      </c>
      <c r="D262" s="194"/>
      <c r="E262" s="194" t="s">
        <v>1860</v>
      </c>
      <c r="F262" s="195" t="str">
        <f t="shared" si="8"/>
        <v>MCI-00720</v>
      </c>
      <c r="G262" s="194" t="str">
        <f t="shared" si="9"/>
        <v>MCI-00653Poblaciones clave (Atención y prevención de la tuberculosis): otros</v>
      </c>
      <c r="H262" s="194" t="str">
        <f t="shared" si="10"/>
        <v>MCI-00653Poblaciones clave (Atención y prevención de la tuberculosis): otros</v>
      </c>
      <c r="I262" s="195" t="str">
        <f t="shared" si="11"/>
        <v>MCI-00720</v>
      </c>
      <c r="J262" s="194"/>
      <c r="K262" s="409" t="s">
        <v>1861</v>
      </c>
      <c r="L262" s="195" t="s">
        <v>1862</v>
      </c>
      <c r="M262" s="195" t="s">
        <v>1863</v>
      </c>
      <c r="N262" s="194" t="s">
        <v>663</v>
      </c>
    </row>
    <row r="263" spans="1:14">
      <c r="A263" s="194" t="s">
        <v>1194</v>
      </c>
      <c r="B263" s="194" t="s">
        <v>1864</v>
      </c>
      <c r="C263" s="194" t="str">
        <f>CHOOSE(Translations!$C$1+1,K263,L263,M263)</f>
        <v>Poblaciones clave (Atención y prevención de la tuberculosis): reclusos</v>
      </c>
      <c r="D263" s="194"/>
      <c r="E263" s="194" t="s">
        <v>1865</v>
      </c>
      <c r="F263" s="195" t="str">
        <f t="shared" si="8"/>
        <v>MCI-00717</v>
      </c>
      <c r="G263" s="194" t="str">
        <f t="shared" si="9"/>
        <v>MCI-00653Poblaciones clave (Atención y prevención de la tuberculosis): reclusos</v>
      </c>
      <c r="H263" s="194" t="str">
        <f t="shared" si="10"/>
        <v>MCI-00653Poblaciones clave (Atención y prevención de la tuberculosis): reclusos</v>
      </c>
      <c r="I263" s="195" t="str">
        <f t="shared" si="11"/>
        <v>MCI-00717</v>
      </c>
      <c r="J263" s="194"/>
      <c r="K263" s="409" t="s">
        <v>1866</v>
      </c>
      <c r="L263" s="195" t="s">
        <v>1867</v>
      </c>
      <c r="M263" s="195" t="s">
        <v>1868</v>
      </c>
      <c r="N263" s="194" t="s">
        <v>663</v>
      </c>
    </row>
    <row r="264" spans="1:14">
      <c r="A264" s="194" t="s">
        <v>1194</v>
      </c>
      <c r="B264" s="194" t="s">
        <v>1869</v>
      </c>
      <c r="C264" s="194" t="str">
        <f>CHOOSE(Translations!$C$1+1,K264,L264,M264)</f>
        <v>Prevención (Atención y prevención de la tuberculosis)</v>
      </c>
      <c r="D264" s="194"/>
      <c r="E264" s="194" t="s">
        <v>1870</v>
      </c>
      <c r="F264" s="195" t="str">
        <f t="shared" si="8"/>
        <v>MCI-00713</v>
      </c>
      <c r="G264" s="194" t="str">
        <f t="shared" si="9"/>
        <v>MCI-00653Prevención (Atención y prevención de la tuberculosis)</v>
      </c>
      <c r="H264" s="194" t="str">
        <f t="shared" si="10"/>
        <v>MCI-00653Prevención (Atención y prevención de la tuberculosis)</v>
      </c>
      <c r="I264" s="195" t="str">
        <f t="shared" si="11"/>
        <v>MCI-00713</v>
      </c>
      <c r="J264" s="194"/>
      <c r="K264" s="409" t="s">
        <v>1871</v>
      </c>
      <c r="L264" s="195" t="s">
        <v>1872</v>
      </c>
      <c r="M264" s="195" t="s">
        <v>1873</v>
      </c>
      <c r="N264" s="194" t="s">
        <v>663</v>
      </c>
    </row>
    <row r="265" spans="1:14">
      <c r="A265" s="194" t="s">
        <v>1194</v>
      </c>
      <c r="B265" s="194" t="s">
        <v>1874</v>
      </c>
      <c r="C265" s="194" t="str">
        <f>CHOOSE(Translations!$C$1+1,K265,L265,M265)</f>
        <v>Tratamiento (Atención y prevención de la tuberculosis)</v>
      </c>
      <c r="D265" s="194"/>
      <c r="E265" s="194" t="s">
        <v>1875</v>
      </c>
      <c r="F265" s="195" t="str">
        <f t="shared" si="8"/>
        <v>MCI-00712</v>
      </c>
      <c r="G265" s="194" t="str">
        <f t="shared" si="9"/>
        <v>MCI-00653Tratamiento (Atención y prevención de la tuberculosis)</v>
      </c>
      <c r="H265" s="194" t="str">
        <f t="shared" si="10"/>
        <v>MCI-00653Tratamiento (Atención y prevención de la tuberculosis)</v>
      </c>
      <c r="I265" s="195" t="str">
        <f t="shared" si="11"/>
        <v>MCI-00712</v>
      </c>
      <c r="J265" s="194"/>
      <c r="K265" s="409" t="s">
        <v>1876</v>
      </c>
      <c r="L265" s="195" t="s">
        <v>1877</v>
      </c>
      <c r="M265" s="195" t="s">
        <v>1878</v>
      </c>
      <c r="N265" s="194" t="s">
        <v>663</v>
      </c>
    </row>
    <row r="266" spans="1:14">
      <c r="A266" s="194" t="s">
        <v>1252</v>
      </c>
      <c r="B266" s="194" t="s">
        <v>1879</v>
      </c>
      <c r="C266" s="194" t="str">
        <f>CHOOSE(Translations!$C$1+1,K266,L266,M266)</f>
        <v>Detección y diagnóstico de casos (Tuberculosis multirresistente)</v>
      </c>
      <c r="D266" s="194"/>
      <c r="E266" s="194" t="s">
        <v>1880</v>
      </c>
      <c r="F266" s="195" t="str">
        <f t="shared" si="8"/>
        <v>MCI-00722</v>
      </c>
      <c r="G266" s="194" t="str">
        <f t="shared" si="9"/>
        <v>MCI-00654Detección y diagnóstico de casos (Tuberculosis multirresistente)</v>
      </c>
      <c r="H266" s="194" t="str">
        <f t="shared" si="10"/>
        <v>MCI-00654Detección y diagnóstico de casos (Tuberculosis multirresistente)</v>
      </c>
      <c r="I266" s="195" t="str">
        <f t="shared" si="11"/>
        <v>MCI-00722</v>
      </c>
      <c r="J266" s="194"/>
      <c r="K266" s="409" t="s">
        <v>1881</v>
      </c>
      <c r="L266" s="195" t="s">
        <v>1882</v>
      </c>
      <c r="M266" s="195" t="s">
        <v>1883</v>
      </c>
      <c r="N266" s="194" t="s">
        <v>663</v>
      </c>
    </row>
    <row r="267" spans="1:14">
      <c r="A267" s="194" t="s">
        <v>1252</v>
      </c>
      <c r="B267" s="194" t="s">
        <v>1884</v>
      </c>
      <c r="C267" s="194" t="str">
        <f>CHOOSE(Translations!$C$1+1,K267,L267,M267)</f>
        <v>Actividades de colaboración con otros programas y sectores (Tuberculosis multirresistente)</v>
      </c>
      <c r="D267" s="194"/>
      <c r="E267" s="194" t="s">
        <v>1885</v>
      </c>
      <c r="F267" s="195" t="str">
        <f t="shared" si="8"/>
        <v>MCI-00732</v>
      </c>
      <c r="G267" s="194" t="str">
        <f t="shared" si="9"/>
        <v>MCI-00654Actividades de colaboración con otros programas y sectores (Tuberculosis multirresistente)</v>
      </c>
      <c r="H267" s="194" t="str">
        <f t="shared" si="10"/>
        <v>MCI-00654Actividades de colaboración con otros programas y sectores (Tuberculosis multirresistente)</v>
      </c>
      <c r="I267" s="195" t="str">
        <f t="shared" si="11"/>
        <v>MCI-00732</v>
      </c>
      <c r="J267" s="194"/>
      <c r="K267" s="409" t="s">
        <v>1886</v>
      </c>
      <c r="L267" s="195" t="s">
        <v>1887</v>
      </c>
      <c r="M267" s="195" t="s">
        <v>1888</v>
      </c>
      <c r="N267" s="194" t="s">
        <v>663</v>
      </c>
    </row>
    <row r="268" spans="1:14">
      <c r="A268" s="194" t="s">
        <v>1252</v>
      </c>
      <c r="B268" s="194" t="s">
        <v>1889</v>
      </c>
      <c r="C268" s="194" t="str">
        <f>CHOOSE(Translations!$C$1+1,K268,L268,M268)</f>
        <v>Prestación de servicios de atención de la tuberculosis multirresistente en la comunidad</v>
      </c>
      <c r="D268" s="194"/>
      <c r="E268" s="194" t="s">
        <v>1890</v>
      </c>
      <c r="F268" s="195" t="str">
        <f t="shared" si="8"/>
        <v>MCI-00726</v>
      </c>
      <c r="G268" s="194" t="str">
        <f t="shared" si="9"/>
        <v>MCI-00654Prestación de servicios de atención de la tuberculosis multirresistente en la comunidad</v>
      </c>
      <c r="H268" s="194" t="str">
        <f t="shared" si="10"/>
        <v>MCI-00654Prestación de servicios de atención de la tuberculosis multirresistente en la comunidad</v>
      </c>
      <c r="I268" s="195" t="str">
        <f t="shared" si="11"/>
        <v>MCI-00726</v>
      </c>
      <c r="J268" s="194"/>
      <c r="K268" s="409" t="s">
        <v>1891</v>
      </c>
      <c r="L268" s="195" t="s">
        <v>1892</v>
      </c>
      <c r="M268" s="195" t="s">
        <v>1893</v>
      </c>
      <c r="N268" s="194" t="s">
        <v>663</v>
      </c>
    </row>
    <row r="269" spans="1:14">
      <c r="A269" s="194" t="s">
        <v>1252</v>
      </c>
      <c r="B269" s="194" t="s">
        <v>1894</v>
      </c>
      <c r="C269" s="194" t="str">
        <f>CHOOSE(Translations!$C$1+1,K269,L269,M269)</f>
        <v>Implicar a todos los proveedores de atención (Tuberculosis multirresistente)</v>
      </c>
      <c r="D269" s="194"/>
      <c r="E269" s="194" t="s">
        <v>1895</v>
      </c>
      <c r="F269" s="195" t="str">
        <f t="shared" si="8"/>
        <v>MCI-00725</v>
      </c>
      <c r="G269" s="194" t="str">
        <f t="shared" si="9"/>
        <v>MCI-00654Implicar a todos los proveedores de atención (Tuberculosis multirresistente)</v>
      </c>
      <c r="H269" s="194" t="str">
        <f t="shared" si="10"/>
        <v>MCI-00654Implicar a todos los proveedores de atención (Tuberculosis multirresistente)</v>
      </c>
      <c r="I269" s="195" t="str">
        <f t="shared" si="11"/>
        <v>MCI-00725</v>
      </c>
      <c r="J269" s="194"/>
      <c r="K269" s="409" t="s">
        <v>1896</v>
      </c>
      <c r="L269" s="195" t="s">
        <v>1897</v>
      </c>
      <c r="M269" s="195" t="s">
        <v>1898</v>
      </c>
      <c r="N269" s="194" t="s">
        <v>663</v>
      </c>
    </row>
    <row r="270" spans="1:14">
      <c r="A270" s="194" t="s">
        <v>1252</v>
      </c>
      <c r="B270" s="194" t="s">
        <v>1899</v>
      </c>
      <c r="C270" s="194" t="str">
        <f>CHOOSE(Translations!$C$1+1,K270,L270,M270)</f>
        <v>Poblaciones clave (Tuberculosis multirresistente): niños</v>
      </c>
      <c r="D270" s="194"/>
      <c r="E270" s="194" t="s">
        <v>1900</v>
      </c>
      <c r="F270" s="195" t="str">
        <f t="shared" si="8"/>
        <v>MCI-00727</v>
      </c>
      <c r="G270" s="194" t="str">
        <f t="shared" si="9"/>
        <v>MCI-00654Poblaciones clave (Tuberculosis multirresistente): niños</v>
      </c>
      <c r="H270" s="194" t="str">
        <f t="shared" si="10"/>
        <v>MCI-00654Poblaciones clave (Tuberculosis multirresistente): niños</v>
      </c>
      <c r="I270" s="195" t="str">
        <f t="shared" si="11"/>
        <v>MCI-00727</v>
      </c>
      <c r="J270" s="194"/>
      <c r="K270" s="409" t="s">
        <v>1901</v>
      </c>
      <c r="L270" s="195" t="s">
        <v>1902</v>
      </c>
      <c r="M270" s="195" t="s">
        <v>1903</v>
      </c>
      <c r="N270" s="194" t="s">
        <v>663</v>
      </c>
    </row>
    <row r="271" spans="1:14">
      <c r="A271" s="194" t="s">
        <v>1252</v>
      </c>
      <c r="B271" s="194" t="s">
        <v>1904</v>
      </c>
      <c r="C271" s="194" t="str">
        <f>CHOOSE(Translations!$C$1+1,K271,L271,M271)</f>
        <v>Poblaciones clave (Tuberculosis multirresistente): mineros y comunidades mineras</v>
      </c>
      <c r="D271" s="194"/>
      <c r="E271" s="194" t="s">
        <v>1905</v>
      </c>
      <c r="F271" s="195" t="str">
        <f t="shared" si="8"/>
        <v>MCI-00730</v>
      </c>
      <c r="G271" s="194" t="str">
        <f t="shared" si="9"/>
        <v>MCI-00654Poblaciones clave (Tuberculosis multirresistente): mineros y comunidades mineras</v>
      </c>
      <c r="H271" s="194" t="str">
        <f t="shared" si="10"/>
        <v>MCI-00654Poblaciones clave (Tuberculosis multirresistente): mineros y comunidades mineras</v>
      </c>
      <c r="I271" s="195" t="str">
        <f t="shared" si="11"/>
        <v>MCI-00730</v>
      </c>
      <c r="J271" s="194"/>
      <c r="K271" s="409" t="s">
        <v>1906</v>
      </c>
      <c r="L271" s="195" t="s">
        <v>1907</v>
      </c>
      <c r="M271" s="195" t="s">
        <v>1908</v>
      </c>
      <c r="N271" s="194" t="s">
        <v>663</v>
      </c>
    </row>
    <row r="272" spans="1:14">
      <c r="A272" s="194" t="s">
        <v>1252</v>
      </c>
      <c r="B272" s="194" t="s">
        <v>1909</v>
      </c>
      <c r="C272" s="194" t="str">
        <f>CHOOSE(Translations!$C$1+1,K272,L272,M272)</f>
        <v>Poblaciones clave (Tuberculosis multirresistente): poblaciones móviles (refugiados, migrantes y personas desplazadas internamente)</v>
      </c>
      <c r="D272" s="194"/>
      <c r="E272" s="194" t="s">
        <v>1910</v>
      </c>
      <c r="F272" s="195" t="str">
        <f t="shared" si="8"/>
        <v>MCI-00729</v>
      </c>
      <c r="G272" s="194" t="str">
        <f t="shared" si="9"/>
        <v>MCI-00654Poblaciones clave (Tuberculosis multirresistente): poblaciones móviles (refugiados, migrantes y personas desplazadas internamente)</v>
      </c>
      <c r="H272" s="194" t="str">
        <f t="shared" si="10"/>
        <v>MCI-00654Poblaciones clave (Tuberculosis multirresistente): poblaciones móviles (refugiados, migrantes y personas desplazadas internamente)</v>
      </c>
      <c r="I272" s="195" t="str">
        <f t="shared" si="11"/>
        <v>MCI-00729</v>
      </c>
      <c r="J272" s="194"/>
      <c r="K272" s="409" t="s">
        <v>1911</v>
      </c>
      <c r="L272" s="195" t="s">
        <v>1912</v>
      </c>
      <c r="M272" s="195" t="s">
        <v>1913</v>
      </c>
      <c r="N272" s="194" t="s">
        <v>663</v>
      </c>
    </row>
    <row r="273" spans="1:14">
      <c r="A273" s="194" t="s">
        <v>1252</v>
      </c>
      <c r="B273" s="194" t="s">
        <v>1914</v>
      </c>
      <c r="C273" s="194" t="str">
        <f>CHOOSE(Translations!$C$1+1,K273,L273,M273)</f>
        <v>Poblaciones clave (Tuberculosis multirresistente): otros</v>
      </c>
      <c r="D273" s="194"/>
      <c r="E273" s="194" t="s">
        <v>1915</v>
      </c>
      <c r="F273" s="195" t="str">
        <f t="shared" si="8"/>
        <v>MCI-00731</v>
      </c>
      <c r="G273" s="194" t="str">
        <f t="shared" si="9"/>
        <v>MCI-00654Poblaciones clave (Tuberculosis multirresistente): otros</v>
      </c>
      <c r="H273" s="194" t="str">
        <f t="shared" si="10"/>
        <v>MCI-00654Poblaciones clave (Tuberculosis multirresistente): otros</v>
      </c>
      <c r="I273" s="195" t="str">
        <f t="shared" si="11"/>
        <v>MCI-00731</v>
      </c>
      <c r="J273" s="194"/>
      <c r="K273" s="409" t="s">
        <v>1916</v>
      </c>
      <c r="L273" s="195" t="s">
        <v>1917</v>
      </c>
      <c r="M273" s="195" t="s">
        <v>1918</v>
      </c>
      <c r="N273" s="194" t="s">
        <v>663</v>
      </c>
    </row>
    <row r="274" spans="1:14">
      <c r="A274" s="194" t="s">
        <v>1252</v>
      </c>
      <c r="B274" s="194" t="s">
        <v>1919</v>
      </c>
      <c r="C274" s="194" t="str">
        <f>CHOOSE(Translations!$C$1+1,K274,L274,M274)</f>
        <v>Poblaciones clave (Tuberculosis multirresistente): reclusos</v>
      </c>
      <c r="D274" s="194"/>
      <c r="E274" s="194" t="s">
        <v>1920</v>
      </c>
      <c r="F274" s="195" t="str">
        <f t="shared" si="8"/>
        <v>MCI-00728</v>
      </c>
      <c r="G274" s="194" t="str">
        <f t="shared" si="9"/>
        <v>MCI-00654Poblaciones clave (Tuberculosis multirresistente): reclusos</v>
      </c>
      <c r="H274" s="194" t="str">
        <f t="shared" si="10"/>
        <v>MCI-00654Poblaciones clave (Tuberculosis multirresistente): reclusos</v>
      </c>
      <c r="I274" s="195" t="str">
        <f t="shared" si="11"/>
        <v>MCI-00728</v>
      </c>
      <c r="J274" s="194"/>
      <c r="K274" s="409" t="s">
        <v>1921</v>
      </c>
      <c r="L274" s="195" t="s">
        <v>1922</v>
      </c>
      <c r="M274" s="195" t="s">
        <v>1923</v>
      </c>
      <c r="N274" s="194" t="s">
        <v>663</v>
      </c>
    </row>
    <row r="275" spans="1:14">
      <c r="A275" s="194" t="s">
        <v>1252</v>
      </c>
      <c r="B275" s="194" t="s">
        <v>1924</v>
      </c>
      <c r="C275" s="194" t="str">
        <f>CHOOSE(Translations!$C$1+1,K275,L275,M275)</f>
        <v>Prevención (Tuberculosis multirresistente)</v>
      </c>
      <c r="D275" s="194"/>
      <c r="E275" s="194" t="s">
        <v>1925</v>
      </c>
      <c r="F275" s="195" t="str">
        <f t="shared" si="8"/>
        <v>MCI-00724</v>
      </c>
      <c r="G275" s="194" t="str">
        <f t="shared" si="9"/>
        <v>MCI-00654Prevención (Tuberculosis multirresistente)</v>
      </c>
      <c r="H275" s="194" t="str">
        <f t="shared" si="10"/>
        <v>MCI-00654Prevención (Tuberculosis multirresistente)</v>
      </c>
      <c r="I275" s="195" t="str">
        <f t="shared" si="11"/>
        <v>MCI-00724</v>
      </c>
      <c r="J275" s="194"/>
      <c r="K275" s="409" t="s">
        <v>1926</v>
      </c>
      <c r="L275" s="195" t="s">
        <v>1927</v>
      </c>
      <c r="M275" s="195" t="s">
        <v>1928</v>
      </c>
      <c r="N275" s="194" t="s">
        <v>663</v>
      </c>
    </row>
    <row r="276" spans="1:14">
      <c r="A276" s="194" t="s">
        <v>1252</v>
      </c>
      <c r="B276" s="194" t="s">
        <v>1929</v>
      </c>
      <c r="C276" s="194" t="str">
        <f>CHOOSE(Translations!$C$1+1,K276,L276,M276)</f>
        <v>Tratamiento (Tuberculosis multirresistente)</v>
      </c>
      <c r="D276" s="194"/>
      <c r="E276" s="194" t="s">
        <v>1930</v>
      </c>
      <c r="F276" s="195" t="str">
        <f t="shared" si="8"/>
        <v>MCI-00723</v>
      </c>
      <c r="G276" s="194" t="str">
        <f t="shared" si="9"/>
        <v>MCI-00654Tratamiento (Tuberculosis multirresistente)</v>
      </c>
      <c r="H276" s="194" t="str">
        <f t="shared" si="10"/>
        <v>MCI-00654Tratamiento (Tuberculosis multirresistente)</v>
      </c>
      <c r="I276" s="195" t="str">
        <f t="shared" si="11"/>
        <v>MCI-00723</v>
      </c>
      <c r="J276" s="194"/>
      <c r="K276" s="409" t="s">
        <v>1931</v>
      </c>
      <c r="L276" s="195" t="s">
        <v>1932</v>
      </c>
      <c r="M276" s="195" t="s">
        <v>515</v>
      </c>
      <c r="N276" s="194" t="s">
        <v>663</v>
      </c>
    </row>
    <row r="277" spans="1:14">
      <c r="A277" s="194" t="s">
        <v>1514</v>
      </c>
      <c r="B277" s="194" t="s">
        <v>1933</v>
      </c>
      <c r="C277" s="194" t="str">
        <f>CHOOSE(Translations!$C$1+1,K277,L277,M277)</f>
        <v>Movilización y promoción comunitarias (TB)</v>
      </c>
      <c r="D277" s="194"/>
      <c r="E277" s="194" t="s">
        <v>1934</v>
      </c>
      <c r="F277" s="195" t="str">
        <f t="shared" si="8"/>
        <v>MCI-00737</v>
      </c>
      <c r="G277" s="194" t="str">
        <f t="shared" si="9"/>
        <v>MCI-00655Movilización y promoción comunitarias (TB)</v>
      </c>
      <c r="H277" s="194" t="str">
        <f t="shared" si="10"/>
        <v>MCI-00655Movilización y promoción comunitarias (TB)</v>
      </c>
      <c r="I277" s="195" t="str">
        <f t="shared" si="11"/>
        <v>MCI-00737</v>
      </c>
      <c r="J277" s="194"/>
      <c r="K277" s="409" t="s">
        <v>1935</v>
      </c>
      <c r="L277" s="195" t="s">
        <v>1936</v>
      </c>
      <c r="M277" s="195" t="s">
        <v>1937</v>
      </c>
      <c r="N277" s="194" t="s">
        <v>663</v>
      </c>
    </row>
    <row r="278" spans="1:14">
      <c r="A278" s="194" t="s">
        <v>1514</v>
      </c>
      <c r="B278" s="194" t="s">
        <v>1938</v>
      </c>
      <c r="C278" s="194" t="str">
        <f>CHOOSE(Translations!$C$1+1,K278,L278,M278)</f>
        <v>Derechos humanos, ética médica y educación sobre cuestiones jurídicas</v>
      </c>
      <c r="D278" s="194"/>
      <c r="E278" s="194" t="s">
        <v>1939</v>
      </c>
      <c r="F278" s="195" t="str">
        <f t="shared" ref="F278:F341" si="12">B278</f>
        <v>MCI-00734</v>
      </c>
      <c r="G278" s="194" t="str">
        <f t="shared" ref="G278:G341" si="13">A278&amp;C278</f>
        <v>MCI-00655Derechos humanos, ética médica y educación sobre cuestiones jurídicas</v>
      </c>
      <c r="H278" s="194" t="str">
        <f t="shared" ref="H278:H341" si="14">A278&amp;C278</f>
        <v>MCI-00655Derechos humanos, ética médica y educación sobre cuestiones jurídicas</v>
      </c>
      <c r="I278" s="195" t="str">
        <f t="shared" ref="I278:I341" si="15">F278</f>
        <v>MCI-00734</v>
      </c>
      <c r="J278" s="194"/>
      <c r="K278" s="409" t="s">
        <v>1940</v>
      </c>
      <c r="L278" s="195" t="s">
        <v>1941</v>
      </c>
      <c r="M278" s="195" t="s">
        <v>1942</v>
      </c>
      <c r="N278" s="194" t="s">
        <v>663</v>
      </c>
    </row>
    <row r="279" spans="1:14">
      <c r="A279" s="194" t="s">
        <v>1514</v>
      </c>
      <c r="B279" s="194" t="s">
        <v>1943</v>
      </c>
      <c r="C279" s="194" t="str">
        <f>CHOOSE(Translations!$C$1+1,K279,L279,M279)</f>
        <v>Asistencia y servicios jurídicos</v>
      </c>
      <c r="D279" s="194"/>
      <c r="E279" s="194" t="s">
        <v>1944</v>
      </c>
      <c r="F279" s="195" t="str">
        <f t="shared" si="12"/>
        <v>MCI-00735</v>
      </c>
      <c r="G279" s="194" t="str">
        <f t="shared" si="13"/>
        <v>MCI-00655Asistencia y servicios jurídicos</v>
      </c>
      <c r="H279" s="194" t="str">
        <f t="shared" si="14"/>
        <v>MCI-00655Asistencia y servicios jurídicos</v>
      </c>
      <c r="I279" s="195" t="str">
        <f t="shared" si="15"/>
        <v>MCI-00735</v>
      </c>
      <c r="J279" s="194"/>
      <c r="K279" s="409" t="s">
        <v>1945</v>
      </c>
      <c r="L279" s="195" t="s">
        <v>1946</v>
      </c>
      <c r="M279" s="195" t="s">
        <v>1947</v>
      </c>
      <c r="N279" s="194" t="s">
        <v>663</v>
      </c>
    </row>
    <row r="280" spans="1:14">
      <c r="A280" s="194" t="s">
        <v>1514</v>
      </c>
      <c r="B280" s="194" t="s">
        <v>1948</v>
      </c>
      <c r="C280" s="194" t="str">
        <f>CHOOSE(Translations!$C$1+1,K280,L280,M280)</f>
        <v>Reforma de leyes y políticas</v>
      </c>
      <c r="D280" s="194"/>
      <c r="E280" s="194" t="s">
        <v>1949</v>
      </c>
      <c r="F280" s="195" t="str">
        <f t="shared" si="12"/>
        <v>MCI-00736</v>
      </c>
      <c r="G280" s="194" t="str">
        <f t="shared" si="13"/>
        <v>MCI-00655Reforma de leyes y políticas</v>
      </c>
      <c r="H280" s="194" t="str">
        <f t="shared" si="14"/>
        <v>MCI-00655Reforma de leyes y políticas</v>
      </c>
      <c r="I280" s="195" t="str">
        <f t="shared" si="15"/>
        <v>MCI-00736</v>
      </c>
      <c r="J280" s="194"/>
      <c r="K280" s="409" t="s">
        <v>1950</v>
      </c>
      <c r="L280" s="195" t="s">
        <v>1951</v>
      </c>
      <c r="M280" s="195" t="s">
        <v>1952</v>
      </c>
      <c r="N280" s="194" t="s">
        <v>663</v>
      </c>
    </row>
    <row r="281" spans="1:14">
      <c r="A281" s="194" t="s">
        <v>1514</v>
      </c>
      <c r="B281" s="194" t="s">
        <v>1953</v>
      </c>
      <c r="C281" s="194" t="str">
        <f>CHOOSE(Translations!$C$1+1,K281,L281,M281)</f>
        <v>Reducción del estigma y la discriminación (TB)</v>
      </c>
      <c r="D281" s="194"/>
      <c r="E281" s="194" t="s">
        <v>1954</v>
      </c>
      <c r="F281" s="195" t="str">
        <f t="shared" si="12"/>
        <v>MCI-00733</v>
      </c>
      <c r="G281" s="194" t="str">
        <f t="shared" si="13"/>
        <v>MCI-00655Reducción del estigma y la discriminación (TB)</v>
      </c>
      <c r="H281" s="194" t="str">
        <f t="shared" si="14"/>
        <v>MCI-00655Reducción del estigma y la discriminación (TB)</v>
      </c>
      <c r="I281" s="195" t="str">
        <f t="shared" si="15"/>
        <v>MCI-00733</v>
      </c>
      <c r="J281" s="194"/>
      <c r="K281" s="409" t="s">
        <v>1955</v>
      </c>
      <c r="L281" s="195" t="s">
        <v>1956</v>
      </c>
      <c r="M281" s="195" t="s">
        <v>1957</v>
      </c>
      <c r="N281" s="194" t="s">
        <v>663</v>
      </c>
    </row>
    <row r="282" spans="1:14">
      <c r="A282" s="194" t="s">
        <v>1296</v>
      </c>
      <c r="B282" s="194" t="s">
        <v>1958</v>
      </c>
      <c r="C282" s="194" t="str">
        <f>CHOOSE(Translations!$C$1+1,K282,L282,M282)</f>
        <v>Actividades de colaboración con otros programas y sectores (TB/VIH)</v>
      </c>
      <c r="D282" s="194"/>
      <c r="E282" s="194" t="s">
        <v>1959</v>
      </c>
      <c r="F282" s="195" t="str">
        <f t="shared" si="12"/>
        <v>MCI-00749</v>
      </c>
      <c r="G282" s="194" t="str">
        <f t="shared" si="13"/>
        <v>MCI-00656Actividades de colaboración con otros programas y sectores (TB/VIH)</v>
      </c>
      <c r="H282" s="194" t="str">
        <f t="shared" si="14"/>
        <v>MCI-00656Actividades de colaboración con otros programas y sectores (TB/VIH)</v>
      </c>
      <c r="I282" s="195" t="str">
        <f t="shared" si="15"/>
        <v>MCI-00749</v>
      </c>
      <c r="J282" s="194"/>
      <c r="K282" s="409" t="s">
        <v>1960</v>
      </c>
      <c r="L282" s="195" t="s">
        <v>1961</v>
      </c>
      <c r="M282" s="195" t="s">
        <v>1962</v>
      </c>
      <c r="N282" s="194" t="s">
        <v>663</v>
      </c>
    </row>
    <row r="283" spans="1:14">
      <c r="A283" s="194" t="s">
        <v>1296</v>
      </c>
      <c r="B283" s="194" t="s">
        <v>1963</v>
      </c>
      <c r="C283" s="194" t="str">
        <f>CHOOSE(Translations!$C$1+1,K283,L283,M283)</f>
        <v>Prestación de servicios comunitarios de TB/VIH</v>
      </c>
      <c r="D283" s="194"/>
      <c r="E283" s="194" t="s">
        <v>1964</v>
      </c>
      <c r="F283" s="195" t="str">
        <f t="shared" si="12"/>
        <v>MCI-00743</v>
      </c>
      <c r="G283" s="194" t="str">
        <f t="shared" si="13"/>
        <v>MCI-00656Prestación de servicios comunitarios de TB/VIH</v>
      </c>
      <c r="H283" s="194" t="str">
        <f t="shared" si="14"/>
        <v>MCI-00656Prestación de servicios comunitarios de TB/VIH</v>
      </c>
      <c r="I283" s="195" t="str">
        <f t="shared" si="15"/>
        <v>MCI-00743</v>
      </c>
      <c r="J283" s="194"/>
      <c r="K283" s="409" t="s">
        <v>1965</v>
      </c>
      <c r="L283" s="195" t="s">
        <v>1966</v>
      </c>
      <c r="M283" s="195" t="s">
        <v>1967</v>
      </c>
      <c r="N283" s="194" t="s">
        <v>663</v>
      </c>
    </row>
    <row r="284" spans="1:14">
      <c r="A284" s="194" t="s">
        <v>1296</v>
      </c>
      <c r="B284" s="194" t="s">
        <v>1968</v>
      </c>
      <c r="C284" s="194" t="str">
        <f>CHOOSE(Translations!$C$1+1,K284,L284,M284)</f>
        <v>Involucramiento de todos los proveedores de salud (TB/VIH)</v>
      </c>
      <c r="D284" s="194"/>
      <c r="E284" s="194" t="s">
        <v>1969</v>
      </c>
      <c r="F284" s="195" t="str">
        <f t="shared" si="12"/>
        <v>MCI-00742</v>
      </c>
      <c r="G284" s="194" t="str">
        <f t="shared" si="13"/>
        <v>MCI-00656Involucramiento de todos los proveedores de salud (TB/VIH)</v>
      </c>
      <c r="H284" s="194" t="str">
        <f t="shared" si="14"/>
        <v>MCI-00656Involucramiento de todos los proveedores de salud (TB/VIH)</v>
      </c>
      <c r="I284" s="195" t="str">
        <f t="shared" si="15"/>
        <v>MCI-00742</v>
      </c>
      <c r="J284" s="194"/>
      <c r="K284" s="409" t="s">
        <v>1970</v>
      </c>
      <c r="L284" s="195" t="s">
        <v>1971</v>
      </c>
      <c r="M284" s="195" t="s">
        <v>1972</v>
      </c>
      <c r="N284" s="194" t="s">
        <v>663</v>
      </c>
    </row>
    <row r="285" spans="1:14">
      <c r="A285" s="194" t="s">
        <v>1296</v>
      </c>
      <c r="B285" s="194" t="s">
        <v>1973</v>
      </c>
      <c r="C285" s="194" t="str">
        <f>CHOOSE(Translations!$C$1+1,K285,L285,M285)</f>
        <v>Poblaciones clave (TB/VIH): niños</v>
      </c>
      <c r="D285" s="194"/>
      <c r="E285" s="194" t="s">
        <v>1974</v>
      </c>
      <c r="F285" s="195" t="str">
        <f t="shared" si="12"/>
        <v>MCI-00744</v>
      </c>
      <c r="G285" s="194" t="str">
        <f t="shared" si="13"/>
        <v>MCI-00656Poblaciones clave (TB/VIH): niños</v>
      </c>
      <c r="H285" s="194" t="str">
        <f t="shared" si="14"/>
        <v>MCI-00656Poblaciones clave (TB/VIH): niños</v>
      </c>
      <c r="I285" s="195" t="str">
        <f t="shared" si="15"/>
        <v>MCI-00744</v>
      </c>
      <c r="J285" s="194"/>
      <c r="K285" s="409" t="s">
        <v>1975</v>
      </c>
      <c r="L285" s="195" t="s">
        <v>1976</v>
      </c>
      <c r="M285" s="195" t="s">
        <v>1977</v>
      </c>
      <c r="N285" s="194" t="s">
        <v>663</v>
      </c>
    </row>
    <row r="286" spans="1:14">
      <c r="A286" s="194" t="s">
        <v>1296</v>
      </c>
      <c r="B286" s="194" t="s">
        <v>1978</v>
      </c>
      <c r="C286" s="194" t="str">
        <f>CHOOSE(Translations!$C$1+1,K286,L286,M286)</f>
        <v>Poblaciones clave (TB/VIH): mineros y comunidades mineras</v>
      </c>
      <c r="D286" s="194"/>
      <c r="E286" s="194" t="s">
        <v>1979</v>
      </c>
      <c r="F286" s="195" t="str">
        <f t="shared" si="12"/>
        <v>MCI-00747</v>
      </c>
      <c r="G286" s="194" t="str">
        <f t="shared" si="13"/>
        <v>MCI-00656Poblaciones clave (TB/VIH): mineros y comunidades mineras</v>
      </c>
      <c r="H286" s="194" t="str">
        <f t="shared" si="14"/>
        <v>MCI-00656Poblaciones clave (TB/VIH): mineros y comunidades mineras</v>
      </c>
      <c r="I286" s="195" t="str">
        <f t="shared" si="15"/>
        <v>MCI-00747</v>
      </c>
      <c r="J286" s="194"/>
      <c r="K286" s="409" t="s">
        <v>1980</v>
      </c>
      <c r="L286" s="195" t="s">
        <v>1981</v>
      </c>
      <c r="M286" s="195" t="s">
        <v>1982</v>
      </c>
      <c r="N286" s="194" t="s">
        <v>663</v>
      </c>
    </row>
    <row r="287" spans="1:14">
      <c r="A287" s="194" t="s">
        <v>1296</v>
      </c>
      <c r="B287" s="194" t="s">
        <v>1983</v>
      </c>
      <c r="C287" s="194" t="str">
        <f>CHOOSE(Translations!$C$1+1,K287,L287,M287)</f>
        <v>Poblaciones clave (TB/VIH): poblaciones móviles (refugiados, migrantes y personas desplazadas internamente)</v>
      </c>
      <c r="D287" s="194"/>
      <c r="E287" s="194" t="s">
        <v>1984</v>
      </c>
      <c r="F287" s="195" t="str">
        <f t="shared" si="12"/>
        <v>MCI-00746</v>
      </c>
      <c r="G287" s="194" t="str">
        <f t="shared" si="13"/>
        <v>MCI-00656Poblaciones clave (TB/VIH): poblaciones móviles (refugiados, migrantes y personas desplazadas internamente)</v>
      </c>
      <c r="H287" s="194" t="str">
        <f t="shared" si="14"/>
        <v>MCI-00656Poblaciones clave (TB/VIH): poblaciones móviles (refugiados, migrantes y personas desplazadas internamente)</v>
      </c>
      <c r="I287" s="195" t="str">
        <f t="shared" si="15"/>
        <v>MCI-00746</v>
      </c>
      <c r="J287" s="194"/>
      <c r="K287" s="409" t="s">
        <v>1985</v>
      </c>
      <c r="L287" s="195" t="s">
        <v>1986</v>
      </c>
      <c r="M287" s="195" t="s">
        <v>1987</v>
      </c>
      <c r="N287" s="194" t="s">
        <v>663</v>
      </c>
    </row>
    <row r="288" spans="1:14">
      <c r="A288" s="194" t="s">
        <v>1296</v>
      </c>
      <c r="B288" s="194" t="s">
        <v>1988</v>
      </c>
      <c r="C288" s="194" t="str">
        <f>CHOOSE(Translations!$C$1+1,K288,L288,M288)</f>
        <v>Poblaciones clave (TB/VIH): otros</v>
      </c>
      <c r="D288" s="194"/>
      <c r="E288" s="194" t="s">
        <v>1989</v>
      </c>
      <c r="F288" s="195" t="str">
        <f t="shared" si="12"/>
        <v>MCI-00748</v>
      </c>
      <c r="G288" s="194" t="str">
        <f t="shared" si="13"/>
        <v>MCI-00656Poblaciones clave (TB/VIH): otros</v>
      </c>
      <c r="H288" s="194" t="str">
        <f t="shared" si="14"/>
        <v>MCI-00656Poblaciones clave (TB/VIH): otros</v>
      </c>
      <c r="I288" s="195" t="str">
        <f t="shared" si="15"/>
        <v>MCI-00748</v>
      </c>
      <c r="J288" s="194"/>
      <c r="K288" s="409" t="s">
        <v>1990</v>
      </c>
      <c r="L288" s="195" t="s">
        <v>1991</v>
      </c>
      <c r="M288" s="195" t="s">
        <v>1992</v>
      </c>
      <c r="N288" s="194" t="s">
        <v>663</v>
      </c>
    </row>
    <row r="289" spans="1:14">
      <c r="A289" s="194" t="s">
        <v>1296</v>
      </c>
      <c r="B289" s="194" t="s">
        <v>1993</v>
      </c>
      <c r="C289" s="194" t="str">
        <f>CHOOSE(Translations!$C$1+1,K289,L289,M289)</f>
        <v>Poblaciones clave (TB/VIH): personas privadas de libertad</v>
      </c>
      <c r="D289" s="194"/>
      <c r="E289" s="194" t="s">
        <v>1994</v>
      </c>
      <c r="F289" s="195" t="str">
        <f t="shared" si="12"/>
        <v>MCI-00745</v>
      </c>
      <c r="G289" s="194" t="str">
        <f t="shared" si="13"/>
        <v>MCI-00656Poblaciones clave (TB/VIH): personas privadas de libertad</v>
      </c>
      <c r="H289" s="194" t="str">
        <f t="shared" si="14"/>
        <v>MCI-00656Poblaciones clave (TB/VIH): personas privadas de libertad</v>
      </c>
      <c r="I289" s="195" t="str">
        <f t="shared" si="15"/>
        <v>MCI-00745</v>
      </c>
      <c r="J289" s="194"/>
      <c r="K289" s="409" t="s">
        <v>1995</v>
      </c>
      <c r="L289" s="195" t="s">
        <v>1996</v>
      </c>
      <c r="M289" s="195" t="s">
        <v>1997</v>
      </c>
      <c r="N289" s="194" t="s">
        <v>663</v>
      </c>
    </row>
    <row r="290" spans="1:14">
      <c r="A290" s="194" t="s">
        <v>1296</v>
      </c>
      <c r="B290" s="194" t="s">
        <v>1998</v>
      </c>
      <c r="C290" s="194" t="str">
        <f>CHOOSE(Translations!$C$1+1,K290,L290,M290)</f>
        <v>Prevención (TB/VIH)</v>
      </c>
      <c r="D290" s="194"/>
      <c r="E290" s="194" t="s">
        <v>1999</v>
      </c>
      <c r="F290" s="195" t="str">
        <f t="shared" si="12"/>
        <v>MCI-00741</v>
      </c>
      <c r="G290" s="194" t="str">
        <f t="shared" si="13"/>
        <v>MCI-00656Prevención (TB/VIH)</v>
      </c>
      <c r="H290" s="194" t="str">
        <f t="shared" si="14"/>
        <v>MCI-00656Prevención (TB/VIH)</v>
      </c>
      <c r="I290" s="195" t="str">
        <f t="shared" si="15"/>
        <v>MCI-00741</v>
      </c>
      <c r="J290" s="194"/>
      <c r="K290" s="409" t="s">
        <v>2000</v>
      </c>
      <c r="L290" s="195" t="s">
        <v>2001</v>
      </c>
      <c r="M290" s="195" t="s">
        <v>2002</v>
      </c>
      <c r="N290" s="194" t="s">
        <v>663</v>
      </c>
    </row>
    <row r="291" spans="1:14">
      <c r="A291" s="194" t="s">
        <v>1296</v>
      </c>
      <c r="B291" s="194" t="s">
        <v>2003</v>
      </c>
      <c r="C291" s="194" t="str">
        <f>CHOOSE(Translations!$C$1+1,K291,L291,M291)</f>
        <v>Tamizaje, prueba y diagnóstico</v>
      </c>
      <c r="D291" s="194"/>
      <c r="E291" s="194" t="s">
        <v>2004</v>
      </c>
      <c r="F291" s="195" t="str">
        <f t="shared" si="12"/>
        <v>MCI-00739</v>
      </c>
      <c r="G291" s="194" t="str">
        <f t="shared" si="13"/>
        <v>MCI-00656Tamizaje, prueba y diagnóstico</v>
      </c>
      <c r="H291" s="194" t="str">
        <f t="shared" si="14"/>
        <v>MCI-00656Tamizaje, prueba y diagnóstico</v>
      </c>
      <c r="I291" s="195" t="str">
        <f t="shared" si="15"/>
        <v>MCI-00739</v>
      </c>
      <c r="J291" s="194"/>
      <c r="K291" s="409" t="s">
        <v>2005</v>
      </c>
      <c r="L291" s="195" t="s">
        <v>2006</v>
      </c>
      <c r="M291" s="195" t="s">
        <v>2007</v>
      </c>
      <c r="N291" s="194" t="s">
        <v>663</v>
      </c>
    </row>
    <row r="292" spans="1:14">
      <c r="A292" s="194" t="s">
        <v>1296</v>
      </c>
      <c r="B292" s="194" t="s">
        <v>2008</v>
      </c>
      <c r="C292" s="194" t="str">
        <f>CHOOSE(Translations!$C$1+1,K292,L292,M292)</f>
        <v>Actividades de colaboración en materia de TB/VIH</v>
      </c>
      <c r="D292" s="194"/>
      <c r="E292" s="194" t="s">
        <v>2009</v>
      </c>
      <c r="F292" s="195" t="str">
        <f t="shared" si="12"/>
        <v>MCI-00738</v>
      </c>
      <c r="G292" s="194" t="str">
        <f t="shared" si="13"/>
        <v>MCI-00656Actividades de colaboración en materia de TB/VIH</v>
      </c>
      <c r="H292" s="194" t="str">
        <f t="shared" si="14"/>
        <v>MCI-00656Actividades de colaboración en materia de TB/VIH</v>
      </c>
      <c r="I292" s="195" t="str">
        <f t="shared" si="15"/>
        <v>MCI-00738</v>
      </c>
      <c r="J292" s="194"/>
      <c r="K292" s="409" t="s">
        <v>2010</v>
      </c>
      <c r="L292" s="195" t="s">
        <v>2011</v>
      </c>
      <c r="M292" s="195" t="s">
        <v>2012</v>
      </c>
      <c r="N292" s="194" t="s">
        <v>663</v>
      </c>
    </row>
    <row r="293" spans="1:14">
      <c r="A293" s="194" t="s">
        <v>1296</v>
      </c>
      <c r="B293" s="194" t="s">
        <v>2013</v>
      </c>
      <c r="C293" s="194" t="str">
        <f>CHOOSE(Translations!$C$1+1,K293,L293,M293)</f>
        <v>Tratamiento (TB/VIH)</v>
      </c>
      <c r="D293" s="194"/>
      <c r="E293" s="194" t="s">
        <v>2014</v>
      </c>
      <c r="F293" s="195" t="str">
        <f t="shared" si="12"/>
        <v>MCI-00740</v>
      </c>
      <c r="G293" s="194" t="str">
        <f t="shared" si="13"/>
        <v>MCI-00656Tratamiento (TB/VIH)</v>
      </c>
      <c r="H293" s="194" t="str">
        <f t="shared" si="14"/>
        <v>MCI-00656Tratamiento (TB/VIH)</v>
      </c>
      <c r="I293" s="195" t="str">
        <f t="shared" si="15"/>
        <v>MCI-00740</v>
      </c>
      <c r="J293" s="194"/>
      <c r="K293" s="409" t="s">
        <v>2015</v>
      </c>
      <c r="L293" s="195" t="s">
        <v>2016</v>
      </c>
      <c r="M293" s="195" t="s">
        <v>2017</v>
      </c>
      <c r="N293" s="194" t="s">
        <v>663</v>
      </c>
    </row>
    <row r="294" spans="1:14">
      <c r="A294" s="194" t="s">
        <v>1497</v>
      </c>
      <c r="B294" s="194" t="s">
        <v>2018</v>
      </c>
      <c r="C294" s="194" t="str">
        <f>CHOOSE(Translations!$C$1+1,K294,L294,M294)</f>
        <v>Coordinación y gestión de los programas nacionales de control de enfermedades</v>
      </c>
      <c r="D294" s="194"/>
      <c r="E294" s="194" t="s">
        <v>2019</v>
      </c>
      <c r="F294" s="195" t="str">
        <f t="shared" si="12"/>
        <v>MCI-00778</v>
      </c>
      <c r="G294" s="194" t="str">
        <f t="shared" si="13"/>
        <v>MCI-00660Coordinación y gestión de los programas nacionales de control de enfermedades</v>
      </c>
      <c r="H294" s="194" t="str">
        <f t="shared" si="14"/>
        <v>MCI-00660Coordinación y gestión de los programas nacionales de control de enfermedades</v>
      </c>
      <c r="I294" s="195" t="str">
        <f t="shared" si="15"/>
        <v>MCI-00778</v>
      </c>
      <c r="J294" s="194"/>
      <c r="K294" s="409" t="s">
        <v>2020</v>
      </c>
      <c r="L294" s="195" t="s">
        <v>2021</v>
      </c>
      <c r="M294" s="195" t="s">
        <v>2022</v>
      </c>
      <c r="N294" s="194" t="s">
        <v>663</v>
      </c>
    </row>
    <row r="295" spans="1:14">
      <c r="A295" s="194" t="s">
        <v>1497</v>
      </c>
      <c r="B295" s="194" t="s">
        <v>2023</v>
      </c>
      <c r="C295" s="194" t="str">
        <f>CHOOSE(Translations!$C$1+1,K295,L295,M295)</f>
        <v>Gestión de subvenciones</v>
      </c>
      <c r="D295" s="194"/>
      <c r="E295" s="194" t="s">
        <v>2024</v>
      </c>
      <c r="F295" s="195" t="str">
        <f t="shared" si="12"/>
        <v>MCI-00779</v>
      </c>
      <c r="G295" s="194" t="str">
        <f t="shared" si="13"/>
        <v>MCI-00660Gestión de subvenciones</v>
      </c>
      <c r="H295" s="194" t="str">
        <f t="shared" si="14"/>
        <v>MCI-00660Gestión de subvenciones</v>
      </c>
      <c r="I295" s="195" t="str">
        <f t="shared" si="15"/>
        <v>MCI-00779</v>
      </c>
      <c r="J295" s="194"/>
      <c r="K295" s="409" t="s">
        <v>2025</v>
      </c>
      <c r="L295" s="195" t="s">
        <v>2026</v>
      </c>
      <c r="M295" s="195" t="s">
        <v>2027</v>
      </c>
      <c r="N295" s="194" t="s">
        <v>663</v>
      </c>
    </row>
    <row r="296" spans="1:14">
      <c r="A296" s="194" t="s">
        <v>1320</v>
      </c>
      <c r="B296" s="194" t="s">
        <v>2028</v>
      </c>
      <c r="C296" s="194" t="str">
        <f>CHOOSE(Translations!$C$1+1,K296,L296,M296)</f>
        <v>Gestión de los residuos de la atención sanitaria</v>
      </c>
      <c r="D296" s="194"/>
      <c r="E296" s="194" t="s">
        <v>2029</v>
      </c>
      <c r="F296" s="195" t="str">
        <f t="shared" si="12"/>
        <v>MCI-00784</v>
      </c>
      <c r="G296" s="194" t="str">
        <f t="shared" si="13"/>
        <v>MCI-00661Gestión de los residuos de la atención sanitaria</v>
      </c>
      <c r="H296" s="194" t="str">
        <f t="shared" si="14"/>
        <v>MCI-00661Gestión de los residuos de la atención sanitaria</v>
      </c>
      <c r="I296" s="195" t="str">
        <f t="shared" si="15"/>
        <v>MCI-00784</v>
      </c>
      <c r="J296" s="194"/>
      <c r="K296" s="409" t="s">
        <v>2030</v>
      </c>
      <c r="L296" s="195" t="s">
        <v>2031</v>
      </c>
      <c r="M296" s="195" t="s">
        <v>2032</v>
      </c>
      <c r="N296" s="194" t="s">
        <v>663</v>
      </c>
    </row>
    <row r="297" spans="1:14">
      <c r="A297" s="194" t="s">
        <v>1320</v>
      </c>
      <c r="B297" s="194" t="s">
        <v>2033</v>
      </c>
      <c r="C297" s="194" t="str">
        <f>CHOOSE(Translations!$C$1+1,K297,L297,M297)</f>
        <v>Política, estrategia, gobernanza</v>
      </c>
      <c r="D297" s="194"/>
      <c r="E297" s="194" t="s">
        <v>2034</v>
      </c>
      <c r="F297" s="195" t="str">
        <f t="shared" si="12"/>
        <v>MCI-00780</v>
      </c>
      <c r="G297" s="194" t="str">
        <f t="shared" si="13"/>
        <v>MCI-00661Política, estrategia, gobernanza</v>
      </c>
      <c r="H297" s="194" t="str">
        <f t="shared" si="14"/>
        <v>MCI-00661Política, estrategia, gobernanza</v>
      </c>
      <c r="I297" s="195" t="str">
        <f t="shared" si="15"/>
        <v>MCI-00780</v>
      </c>
      <c r="J297" s="194"/>
      <c r="K297" s="409" t="s">
        <v>2035</v>
      </c>
      <c r="L297" s="195" t="s">
        <v>2036</v>
      </c>
      <c r="M297" s="195" t="s">
        <v>2037</v>
      </c>
      <c r="N297" s="194" t="s">
        <v>663</v>
      </c>
    </row>
    <row r="298" spans="1:14">
      <c r="A298" s="194" t="s">
        <v>1320</v>
      </c>
      <c r="B298" s="194" t="s">
        <v>2038</v>
      </c>
      <c r="C298" s="194" t="str">
        <f>CHOOSE(Translations!$C$1+1,K298,L298,M298)</f>
        <v>Capacidad de adquisición</v>
      </c>
      <c r="D298" s="194"/>
      <c r="E298" s="194" t="s">
        <v>2039</v>
      </c>
      <c r="F298" s="195" t="str">
        <f t="shared" si="12"/>
        <v>MCI-00782</v>
      </c>
      <c r="G298" s="194" t="str">
        <f t="shared" si="13"/>
        <v>MCI-00661Capacidad de adquisición</v>
      </c>
      <c r="H298" s="194" t="str">
        <f t="shared" si="14"/>
        <v>MCI-00661Capacidad de adquisición</v>
      </c>
      <c r="I298" s="195" t="str">
        <f t="shared" si="15"/>
        <v>MCI-00782</v>
      </c>
      <c r="J298" s="194"/>
      <c r="K298" s="409" t="s">
        <v>2040</v>
      </c>
      <c r="L298" s="195" t="s">
        <v>2041</v>
      </c>
      <c r="M298" s="195" t="s">
        <v>2042</v>
      </c>
      <c r="N298" s="194" t="s">
        <v>663</v>
      </c>
    </row>
    <row r="299" spans="1:14">
      <c r="A299" s="194" t="s">
        <v>1320</v>
      </c>
      <c r="B299" s="194" t="s">
        <v>2043</v>
      </c>
      <c r="C299" s="194" t="str">
        <f>CHOOSE(Translations!$C$1+1,K299,L299,M299)</f>
        <v>Apoyo regulador/aseguramiento de la calidad</v>
      </c>
      <c r="D299" s="194"/>
      <c r="E299" s="194" t="s">
        <v>2044</v>
      </c>
      <c r="F299" s="195" t="str">
        <f t="shared" si="12"/>
        <v>MCI-00783</v>
      </c>
      <c r="G299" s="194" t="str">
        <f t="shared" si="13"/>
        <v>MCI-00661Apoyo regulador/aseguramiento de la calidad</v>
      </c>
      <c r="H299" s="194" t="str">
        <f t="shared" si="14"/>
        <v>MCI-00661Apoyo regulador/aseguramiento de la calidad</v>
      </c>
      <c r="I299" s="195" t="str">
        <f t="shared" si="15"/>
        <v>MCI-00783</v>
      </c>
      <c r="J299" s="194"/>
      <c r="K299" s="409" t="s">
        <v>2045</v>
      </c>
      <c r="L299" s="195" t="s">
        <v>2046</v>
      </c>
      <c r="M299" s="195" t="s">
        <v>2047</v>
      </c>
      <c r="N299" s="194" t="s">
        <v>663</v>
      </c>
    </row>
    <row r="300" spans="1:14">
      <c r="A300" s="194" t="s">
        <v>1320</v>
      </c>
      <c r="B300" s="194" t="s">
        <v>2048</v>
      </c>
      <c r="C300" s="194" t="str">
        <f>CHOOSE(Translations!$C$1+1,K300,L300,M300)</f>
        <v>Capacidad de almacenamiento y distribución</v>
      </c>
      <c r="D300" s="194"/>
      <c r="E300" s="194" t="s">
        <v>2049</v>
      </c>
      <c r="F300" s="195" t="str">
        <f t="shared" si="12"/>
        <v>MCI-00781</v>
      </c>
      <c r="G300" s="194" t="str">
        <f t="shared" si="13"/>
        <v>MCI-00661Capacidad de almacenamiento y distribución</v>
      </c>
      <c r="H300" s="194" t="str">
        <f t="shared" si="14"/>
        <v>MCI-00661Capacidad de almacenamiento y distribución</v>
      </c>
      <c r="I300" s="195" t="str">
        <f t="shared" si="15"/>
        <v>MCI-00781</v>
      </c>
      <c r="J300" s="194"/>
      <c r="K300" s="409" t="s">
        <v>2050</v>
      </c>
      <c r="L300" s="195" t="s">
        <v>2051</v>
      </c>
      <c r="M300" s="195" t="s">
        <v>2052</v>
      </c>
      <c r="N300" s="194" t="s">
        <v>663</v>
      </c>
    </row>
    <row r="301" spans="1:14">
      <c r="A301" s="194" t="s">
        <v>1346</v>
      </c>
      <c r="B301" s="194" t="s">
        <v>2053</v>
      </c>
      <c r="C301" s="194" t="str">
        <f>CHOOSE(Translations!$C$1+1,K301,L301,M301)</f>
        <v>Fuentes de los datos financieros y administrativos</v>
      </c>
      <c r="D301" s="194"/>
      <c r="E301" s="194" t="s">
        <v>2054</v>
      </c>
      <c r="F301" s="195" t="str">
        <f t="shared" si="12"/>
        <v>MCI-00789</v>
      </c>
      <c r="G301" s="194" t="str">
        <f t="shared" si="13"/>
        <v>MCI-00662Fuentes de los datos financieros y administrativos</v>
      </c>
      <c r="H301" s="194" t="str">
        <f t="shared" si="14"/>
        <v>MCI-00662Fuentes de los datos financieros y administrativos</v>
      </c>
      <c r="I301" s="195" t="str">
        <f t="shared" si="15"/>
        <v>MCI-00789</v>
      </c>
      <c r="J301" s="194"/>
      <c r="K301" s="409" t="s">
        <v>2055</v>
      </c>
      <c r="L301" s="195" t="s">
        <v>2056</v>
      </c>
      <c r="M301" s="195" t="s">
        <v>2057</v>
      </c>
      <c r="N301" s="194" t="s">
        <v>663</v>
      </c>
    </row>
    <row r="302" spans="1:14">
      <c r="A302" s="194" t="s">
        <v>1346</v>
      </c>
      <c r="B302" s="194" t="s">
        <v>2058</v>
      </c>
      <c r="C302" s="194" t="str">
        <f>CHOOSE(Translations!$C$1+1,K302,L302,M302)</f>
        <v>Análisis, evaluaciones, revisión y transparencia</v>
      </c>
      <c r="D302" s="194"/>
      <c r="E302" s="194" t="s">
        <v>2059</v>
      </c>
      <c r="F302" s="195" t="str">
        <f t="shared" si="12"/>
        <v>MCI-00787</v>
      </c>
      <c r="G302" s="194" t="str">
        <f t="shared" si="13"/>
        <v>MCI-00662Análisis, evaluaciones, revisión y transparencia</v>
      </c>
      <c r="H302" s="194" t="str">
        <f t="shared" si="14"/>
        <v>MCI-00662Análisis, evaluaciones, revisión y transparencia</v>
      </c>
      <c r="I302" s="195" t="str">
        <f t="shared" si="15"/>
        <v>MCI-00787</v>
      </c>
      <c r="J302" s="194"/>
      <c r="K302" s="409" t="s">
        <v>2060</v>
      </c>
      <c r="L302" s="195" t="s">
        <v>2061</v>
      </c>
      <c r="M302" s="195" t="s">
        <v>2062</v>
      </c>
      <c r="N302" s="194" t="s">
        <v>663</v>
      </c>
    </row>
    <row r="303" spans="1:14">
      <c r="A303" s="194" t="s">
        <v>1346</v>
      </c>
      <c r="B303" s="194" t="s">
        <v>2063</v>
      </c>
      <c r="C303" s="194" t="str">
        <f>CHOOSE(Translations!$C$1+1,K303,L303,M303)</f>
        <v>Registro civil y estadísticas vitales</v>
      </c>
      <c r="D303" s="194"/>
      <c r="E303" s="194" t="s">
        <v>2064</v>
      </c>
      <c r="F303" s="195" t="str">
        <f t="shared" si="12"/>
        <v>MCI-00790</v>
      </c>
      <c r="G303" s="194" t="str">
        <f t="shared" si="13"/>
        <v>MCI-00662Registro civil y estadísticas vitales</v>
      </c>
      <c r="H303" s="194" t="str">
        <f t="shared" si="14"/>
        <v>MCI-00662Registro civil y estadísticas vitales</v>
      </c>
      <c r="I303" s="195" t="str">
        <f t="shared" si="15"/>
        <v>MCI-00790</v>
      </c>
      <c r="J303" s="194"/>
      <c r="K303" s="409" t="s">
        <v>2065</v>
      </c>
      <c r="L303" s="195" t="s">
        <v>2066</v>
      </c>
      <c r="M303" s="195" t="s">
        <v>2067</v>
      </c>
      <c r="N303" s="194" t="s">
        <v>663</v>
      </c>
    </row>
    <row r="304" spans="1:14">
      <c r="A304" s="194" t="s">
        <v>1346</v>
      </c>
      <c r="B304" s="194" t="s">
        <v>2068</v>
      </c>
      <c r="C304" s="194" t="str">
        <f>CHOOSE(Translations!$C$1+1,K304,L304,M304)</f>
        <v>Calidad del programa y los datos</v>
      </c>
      <c r="D304" s="194"/>
      <c r="E304" s="194" t="s">
        <v>2069</v>
      </c>
      <c r="F304" s="195" t="str">
        <f t="shared" si="12"/>
        <v>MCI-00786</v>
      </c>
      <c r="G304" s="194" t="str">
        <f t="shared" si="13"/>
        <v>MCI-00662Calidad del programa y los datos</v>
      </c>
      <c r="H304" s="194" t="str">
        <f t="shared" si="14"/>
        <v>MCI-00662Calidad del programa y los datos</v>
      </c>
      <c r="I304" s="195" t="str">
        <f t="shared" si="15"/>
        <v>MCI-00786</v>
      </c>
      <c r="J304" s="194"/>
      <c r="K304" s="409" t="s">
        <v>2070</v>
      </c>
      <c r="L304" s="195" t="s">
        <v>2071</v>
      </c>
      <c r="M304" s="195" t="s">
        <v>2072</v>
      </c>
      <c r="N304" s="194" t="s">
        <v>663</v>
      </c>
    </row>
    <row r="305" spans="1:14">
      <c r="A305" s="194" t="s">
        <v>1346</v>
      </c>
      <c r="B305" s="194" t="s">
        <v>2073</v>
      </c>
      <c r="C305" s="194" t="str">
        <f>CHOOSE(Translations!$C$1+1,K305,L305,M305)</f>
        <v>Informes rutinarios</v>
      </c>
      <c r="D305" s="194"/>
      <c r="E305" s="194" t="s">
        <v>2074</v>
      </c>
      <c r="F305" s="195" t="str">
        <f t="shared" si="12"/>
        <v>MCI-00785</v>
      </c>
      <c r="G305" s="194" t="str">
        <f t="shared" si="13"/>
        <v>MCI-00662Informes rutinarios</v>
      </c>
      <c r="H305" s="194" t="str">
        <f t="shared" si="14"/>
        <v>MCI-00662Informes rutinarios</v>
      </c>
      <c r="I305" s="195" t="str">
        <f t="shared" si="15"/>
        <v>MCI-00785</v>
      </c>
      <c r="J305" s="194"/>
      <c r="K305" s="409" t="s">
        <v>2075</v>
      </c>
      <c r="L305" s="195" t="s">
        <v>2076</v>
      </c>
      <c r="M305" s="195" t="s">
        <v>2077</v>
      </c>
      <c r="N305" s="194" t="s">
        <v>663</v>
      </c>
    </row>
    <row r="306" spans="1:14">
      <c r="A306" s="194" t="s">
        <v>1346</v>
      </c>
      <c r="B306" s="194" t="s">
        <v>2078</v>
      </c>
      <c r="C306" s="194" t="str">
        <f>CHOOSE(Translations!$C$1+1,K306,L306,M306)</f>
        <v>Encuestas</v>
      </c>
      <c r="D306" s="194"/>
      <c r="E306" s="194" t="s">
        <v>2079</v>
      </c>
      <c r="F306" s="195" t="str">
        <f t="shared" si="12"/>
        <v>MCI-00788</v>
      </c>
      <c r="G306" s="194" t="str">
        <f t="shared" si="13"/>
        <v>MCI-00662Encuestas</v>
      </c>
      <c r="H306" s="194" t="str">
        <f t="shared" si="14"/>
        <v>MCI-00662Encuestas</v>
      </c>
      <c r="I306" s="195" t="str">
        <f t="shared" si="15"/>
        <v>MCI-00788</v>
      </c>
      <c r="J306" s="194"/>
      <c r="K306" s="409" t="s">
        <v>2080</v>
      </c>
      <c r="L306" s="195" t="s">
        <v>2081</v>
      </c>
      <c r="M306" s="195" t="s">
        <v>2082</v>
      </c>
      <c r="N306" s="194" t="s">
        <v>663</v>
      </c>
    </row>
    <row r="307" spans="1:14">
      <c r="A307" s="194" t="s">
        <v>1375</v>
      </c>
      <c r="B307" s="194" t="s">
        <v>2083</v>
      </c>
      <c r="C307" s="194" t="str">
        <f>CHOOSE(Translations!$C$1+1,K307,L307,M307)</f>
        <v>Trabajadores de salud comunitarios: educación y producción</v>
      </c>
      <c r="D307" s="194"/>
      <c r="E307" s="194" t="s">
        <v>2084</v>
      </c>
      <c r="F307" s="195" t="str">
        <f t="shared" si="12"/>
        <v>MCI-00795</v>
      </c>
      <c r="G307" s="194" t="str">
        <f t="shared" si="13"/>
        <v>MCI-00663Trabajadores de salud comunitarios: educación y producción</v>
      </c>
      <c r="H307" s="194" t="str">
        <f t="shared" si="14"/>
        <v>MCI-00663Trabajadores de salud comunitarios: educación y producción</v>
      </c>
      <c r="I307" s="195" t="str">
        <f t="shared" si="15"/>
        <v>MCI-00795</v>
      </c>
      <c r="J307" s="194"/>
      <c r="K307" s="409" t="s">
        <v>2085</v>
      </c>
      <c r="L307" s="195" t="s">
        <v>2086</v>
      </c>
      <c r="M307" s="195" t="s">
        <v>2087</v>
      </c>
      <c r="N307" s="194" t="s">
        <v>663</v>
      </c>
    </row>
    <row r="308" spans="1:14">
      <c r="A308" s="194" t="s">
        <v>1375</v>
      </c>
      <c r="B308" s="194" t="s">
        <v>2088</v>
      </c>
      <c r="C308" s="194" t="str">
        <f>CHOOSE(Translations!$C$1+1,K308,L308,M308)</f>
        <v>Trabajadores de salud comunitarios: formación durante la prestación de los servicios</v>
      </c>
      <c r="D308" s="194"/>
      <c r="E308" s="194" t="s">
        <v>2089</v>
      </c>
      <c r="F308" s="195" t="str">
        <f t="shared" si="12"/>
        <v>MCI-00797</v>
      </c>
      <c r="G308" s="194" t="str">
        <f t="shared" si="13"/>
        <v>MCI-00663Trabajadores de salud comunitarios: formación durante la prestación de los servicios</v>
      </c>
      <c r="H308" s="194" t="str">
        <f t="shared" si="14"/>
        <v>MCI-00663Trabajadores de salud comunitarios: formación durante la prestación de los servicios</v>
      </c>
      <c r="I308" s="195" t="str">
        <f t="shared" si="15"/>
        <v>MCI-00797</v>
      </c>
      <c r="J308" s="194"/>
      <c r="K308" s="409" t="s">
        <v>2090</v>
      </c>
      <c r="L308" s="195" t="s">
        <v>2091</v>
      </c>
      <c r="M308" s="195" t="s">
        <v>2092</v>
      </c>
      <c r="N308" s="194" t="s">
        <v>663</v>
      </c>
    </row>
    <row r="309" spans="1:14">
      <c r="A309" s="194" t="s">
        <v>1375</v>
      </c>
      <c r="B309" s="194" t="s">
        <v>2093</v>
      </c>
      <c r="C309" s="194" t="str">
        <f>CHOOSE(Translations!$C$1+1,K309,L309,M309)</f>
        <v>Trabajadores de salud comunitarios: remuneración y despliegue</v>
      </c>
      <c r="D309" s="194"/>
      <c r="E309" s="194" t="s">
        <v>2094</v>
      </c>
      <c r="F309" s="195" t="str">
        <f t="shared" si="12"/>
        <v>MCI-00796</v>
      </c>
      <c r="G309" s="194" t="str">
        <f t="shared" si="13"/>
        <v>MCI-00663Trabajadores de salud comunitarios: remuneración y despliegue</v>
      </c>
      <c r="H309" s="194" t="str">
        <f t="shared" si="14"/>
        <v>MCI-00663Trabajadores de salud comunitarios: remuneración y despliegue</v>
      </c>
      <c r="I309" s="195" t="str">
        <f t="shared" si="15"/>
        <v>MCI-00796</v>
      </c>
      <c r="J309" s="194"/>
      <c r="K309" s="409" t="s">
        <v>2095</v>
      </c>
      <c r="L309" s="195" t="s">
        <v>2096</v>
      </c>
      <c r="M309" s="195" t="s">
        <v>2097</v>
      </c>
      <c r="N309" s="194" t="s">
        <v>663</v>
      </c>
    </row>
    <row r="310" spans="1:14">
      <c r="A310" s="194" t="s">
        <v>1375</v>
      </c>
      <c r="B310" s="194" t="s">
        <v>2098</v>
      </c>
      <c r="C310" s="194" t="str">
        <f>CHOOSE(Translations!$C$1+1,K310,L310,M310)</f>
        <v>Educación y producción de nuevos trabajadores de  salud (excepto los trabajadores de la salud comunitarios)</v>
      </c>
      <c r="D310" s="194"/>
      <c r="E310" s="194" t="s">
        <v>2099</v>
      </c>
      <c r="F310" s="195" t="str">
        <f t="shared" si="12"/>
        <v>MCI-00791</v>
      </c>
      <c r="G310" s="194" t="str">
        <f t="shared" si="13"/>
        <v>MCI-00663Educación y producción de nuevos trabajadores de  salud (excepto los trabajadores de la salud comunitarios)</v>
      </c>
      <c r="H310" s="194" t="str">
        <f t="shared" si="14"/>
        <v>MCI-00663Educación y producción de nuevos trabajadores de  salud (excepto los trabajadores de la salud comunitarios)</v>
      </c>
      <c r="I310" s="195" t="str">
        <f t="shared" si="15"/>
        <v>MCI-00791</v>
      </c>
      <c r="J310" s="194"/>
      <c r="K310" s="409" t="s">
        <v>2100</v>
      </c>
      <c r="L310" s="195" t="s">
        <v>2101</v>
      </c>
      <c r="M310" s="195" t="s">
        <v>2102</v>
      </c>
      <c r="N310" s="194" t="s">
        <v>663</v>
      </c>
    </row>
    <row r="311" spans="1:14">
      <c r="A311" s="194" t="s">
        <v>1375</v>
      </c>
      <c r="B311" s="194" t="s">
        <v>2103</v>
      </c>
      <c r="C311" s="194" t="str">
        <f>CHOOSE(Translations!$C$1+1,K311,L311,M311)</f>
        <v>Política y gobernanza de Recursos Humanos de Salud</v>
      </c>
      <c r="D311" s="194"/>
      <c r="E311" s="194" t="s">
        <v>2104</v>
      </c>
      <c r="F311" s="195" t="str">
        <f t="shared" si="12"/>
        <v>MCI-00794</v>
      </c>
      <c r="G311" s="194" t="str">
        <f t="shared" si="13"/>
        <v>MCI-00663Política y gobernanza de Recursos Humanos de Salud</v>
      </c>
      <c r="H311" s="194" t="str">
        <f t="shared" si="14"/>
        <v>MCI-00663Política y gobernanza de Recursos Humanos de Salud</v>
      </c>
      <c r="I311" s="195" t="str">
        <f t="shared" si="15"/>
        <v>MCI-00794</v>
      </c>
      <c r="J311" s="194"/>
      <c r="K311" s="409" t="s">
        <v>2105</v>
      </c>
      <c r="L311" s="195" t="s">
        <v>2106</v>
      </c>
      <c r="M311" s="195" t="s">
        <v>2107</v>
      </c>
      <c r="N311" s="194" t="s">
        <v>663</v>
      </c>
    </row>
    <row r="312" spans="1:14">
      <c r="A312" s="194" t="s">
        <v>1375</v>
      </c>
      <c r="B312" s="194" t="s">
        <v>2108</v>
      </c>
      <c r="C312" s="194" t="str">
        <f>CHOOSE(Translations!$C$1+1,K312,L312,M312)</f>
        <v>Formación durante la prestación de servicios (excepto los trabajadores de  salud comunitarios)</v>
      </c>
      <c r="D312" s="194"/>
      <c r="E312" s="194" t="s">
        <v>2109</v>
      </c>
      <c r="F312" s="195" t="str">
        <f t="shared" si="12"/>
        <v>MCI-00793</v>
      </c>
      <c r="G312" s="194" t="str">
        <f t="shared" si="13"/>
        <v>MCI-00663Formación durante la prestación de servicios (excepto los trabajadores de  salud comunitarios)</v>
      </c>
      <c r="H312" s="194" t="str">
        <f t="shared" si="14"/>
        <v>MCI-00663Formación durante la prestación de servicios (excepto los trabajadores de  salud comunitarios)</v>
      </c>
      <c r="I312" s="195" t="str">
        <f t="shared" si="15"/>
        <v>MCI-00793</v>
      </c>
      <c r="J312" s="194"/>
      <c r="K312" s="409" t="s">
        <v>2110</v>
      </c>
      <c r="L312" s="195" t="s">
        <v>2111</v>
      </c>
      <c r="M312" s="195" t="s">
        <v>2112</v>
      </c>
      <c r="N312" s="194" t="s">
        <v>663</v>
      </c>
    </row>
    <row r="313" spans="1:14">
      <c r="A313" s="194" t="s">
        <v>1375</v>
      </c>
      <c r="B313" s="194" t="s">
        <v>2113</v>
      </c>
      <c r="C313" s="194" t="str">
        <f>CHOOSE(Translations!$C$1+1,K313,L313,M313)</f>
        <v>Remuneración y despliegue de personal nuevo/existente (excepto los trabajadores de la salud comunitarios)</v>
      </c>
      <c r="D313" s="194"/>
      <c r="E313" s="194" t="s">
        <v>2114</v>
      </c>
      <c r="F313" s="195" t="str">
        <f t="shared" si="12"/>
        <v>MCI-00792</v>
      </c>
      <c r="G313" s="194" t="str">
        <f t="shared" si="13"/>
        <v>MCI-00663Remuneración y despliegue de personal nuevo/existente (excepto los trabajadores de la salud comunitarios)</v>
      </c>
      <c r="H313" s="194" t="str">
        <f t="shared" si="14"/>
        <v>MCI-00663Remuneración y despliegue de personal nuevo/existente (excepto los trabajadores de la salud comunitarios)</v>
      </c>
      <c r="I313" s="195" t="str">
        <f t="shared" si="15"/>
        <v>MCI-00792</v>
      </c>
      <c r="J313" s="194"/>
      <c r="K313" s="409" t="s">
        <v>2115</v>
      </c>
      <c r="L313" s="195" t="s">
        <v>2116</v>
      </c>
      <c r="M313" s="195" t="s">
        <v>2117</v>
      </c>
      <c r="N313" s="194" t="s">
        <v>663</v>
      </c>
    </row>
    <row r="314" spans="1:14">
      <c r="A314" s="194" t="s">
        <v>1391</v>
      </c>
      <c r="B314" s="194" t="s">
        <v>2118</v>
      </c>
      <c r="C314" s="194" t="str">
        <f>CHOOSE(Translations!$C$1+1,K314,L314,M314)</f>
        <v>Calidad de la atención</v>
      </c>
      <c r="D314" s="194"/>
      <c r="E314" s="194" t="s">
        <v>2119</v>
      </c>
      <c r="F314" s="195" t="str">
        <f t="shared" si="12"/>
        <v>MCI-00798</v>
      </c>
      <c r="G314" s="194" t="str">
        <f t="shared" si="13"/>
        <v>MCI-00664Calidad de la atención</v>
      </c>
      <c r="H314" s="194" t="str">
        <f t="shared" si="14"/>
        <v>MCI-00664Calidad de la atención</v>
      </c>
      <c r="I314" s="195" t="str">
        <f t="shared" si="15"/>
        <v>MCI-00798</v>
      </c>
      <c r="J314" s="194"/>
      <c r="K314" s="409" t="s">
        <v>2120</v>
      </c>
      <c r="L314" s="195" t="s">
        <v>2121</v>
      </c>
      <c r="M314" s="195" t="s">
        <v>2122</v>
      </c>
      <c r="N314" s="194" t="s">
        <v>663</v>
      </c>
    </row>
    <row r="315" spans="1:14">
      <c r="A315" s="194" t="s">
        <v>1391</v>
      </c>
      <c r="B315" s="194" t="s">
        <v>2123</v>
      </c>
      <c r="C315" s="194" t="str">
        <f>CHOOSE(Translations!$C$1+1,K315,L315,M315)</f>
        <v>Infraestructura de la prestación de servicios</v>
      </c>
      <c r="D315" s="194"/>
      <c r="E315" s="194" t="s">
        <v>2124</v>
      </c>
      <c r="F315" s="195" t="str">
        <f t="shared" si="12"/>
        <v>MCI-00800</v>
      </c>
      <c r="G315" s="194" t="str">
        <f t="shared" si="13"/>
        <v>MCI-00664Infraestructura de la prestación de servicios</v>
      </c>
      <c r="H315" s="194" t="str">
        <f t="shared" si="14"/>
        <v>MCI-00664Infraestructura de la prestación de servicios</v>
      </c>
      <c r="I315" s="195" t="str">
        <f t="shared" si="15"/>
        <v>MCI-00800</v>
      </c>
      <c r="J315" s="194"/>
      <c r="K315" s="409" t="s">
        <v>2125</v>
      </c>
      <c r="L315" s="195" t="s">
        <v>2126</v>
      </c>
      <c r="M315" s="195" t="s">
        <v>2127</v>
      </c>
      <c r="N315" s="194" t="s">
        <v>663</v>
      </c>
    </row>
    <row r="316" spans="1:14">
      <c r="A316" s="194" t="s">
        <v>1391</v>
      </c>
      <c r="B316" s="194" t="s">
        <v>2128</v>
      </c>
      <c r="C316" s="194" t="str">
        <f>CHOOSE(Translations!$C$1+1,K316,L316,M316)</f>
        <v>Organización de los servicios y gestión de establecimientos de salud</v>
      </c>
      <c r="D316" s="194"/>
      <c r="E316" s="194" t="s">
        <v>2129</v>
      </c>
      <c r="F316" s="195" t="str">
        <f t="shared" si="12"/>
        <v>MCI-00799</v>
      </c>
      <c r="G316" s="194" t="str">
        <f t="shared" si="13"/>
        <v>MCI-00664Organización de los servicios y gestión de establecimientos de salud</v>
      </c>
      <c r="H316" s="194" t="str">
        <f t="shared" si="14"/>
        <v>MCI-00664Organización de los servicios y gestión de establecimientos de salud</v>
      </c>
      <c r="I316" s="195" t="str">
        <f t="shared" si="15"/>
        <v>MCI-00799</v>
      </c>
      <c r="J316" s="194"/>
      <c r="K316" s="409" t="s">
        <v>2130</v>
      </c>
      <c r="L316" s="195" t="s">
        <v>2131</v>
      </c>
      <c r="M316" s="195" t="s">
        <v>2132</v>
      </c>
      <c r="N316" s="194" t="s">
        <v>663</v>
      </c>
    </row>
    <row r="317" spans="1:14">
      <c r="A317" s="194" t="s">
        <v>1415</v>
      </c>
      <c r="B317" s="194" t="s">
        <v>2133</v>
      </c>
      <c r="C317" s="194" t="str">
        <f>CHOOSE(Translations!$C$1+1,K317,L317,M317)</f>
        <v>Sistemas de gestión financiera pública (nacionales o armonizados de donantes)</v>
      </c>
      <c r="D317" s="194"/>
      <c r="E317" s="194" t="s">
        <v>2134</v>
      </c>
      <c r="F317" s="195" t="str">
        <f t="shared" si="12"/>
        <v>MCI-00801</v>
      </c>
      <c r="G317" s="194" t="str">
        <f t="shared" si="13"/>
        <v>MCI-00665Sistemas de gestión financiera pública (nacionales o armonizados de donantes)</v>
      </c>
      <c r="H317" s="194" t="str">
        <f t="shared" si="14"/>
        <v>MCI-00665Sistemas de gestión financiera pública (nacionales o armonizados de donantes)</v>
      </c>
      <c r="I317" s="195" t="str">
        <f t="shared" si="15"/>
        <v>MCI-00801</v>
      </c>
      <c r="J317" s="194"/>
      <c r="K317" s="409" t="s">
        <v>2135</v>
      </c>
      <c r="L317" s="195" t="s">
        <v>2136</v>
      </c>
      <c r="M317" s="195" t="s">
        <v>2137</v>
      </c>
      <c r="N317" s="194" t="s">
        <v>663</v>
      </c>
    </row>
    <row r="318" spans="1:14">
      <c r="A318" s="194" t="s">
        <v>1415</v>
      </c>
      <c r="B318" s="194" t="s">
        <v>2138</v>
      </c>
      <c r="C318" s="194" t="str">
        <f>CHOOSE(Translations!$C$1+1,K318,L318,M318)</f>
        <v>Gestión financiera ordinaria de las subvenciones</v>
      </c>
      <c r="D318" s="194"/>
      <c r="E318" s="194" t="s">
        <v>2139</v>
      </c>
      <c r="F318" s="195" t="str">
        <f t="shared" si="12"/>
        <v>MCI-00802</v>
      </c>
      <c r="G318" s="194" t="str">
        <f t="shared" si="13"/>
        <v>MCI-00665Gestión financiera ordinaria de las subvenciones</v>
      </c>
      <c r="H318" s="194" t="str">
        <f t="shared" si="14"/>
        <v>MCI-00665Gestión financiera ordinaria de las subvenciones</v>
      </c>
      <c r="I318" s="195" t="str">
        <f t="shared" si="15"/>
        <v>MCI-00802</v>
      </c>
      <c r="J318" s="194"/>
      <c r="K318" s="409" t="s">
        <v>2140</v>
      </c>
      <c r="L318" s="195" t="s">
        <v>2141</v>
      </c>
      <c r="M318" s="195" t="s">
        <v>2142</v>
      </c>
      <c r="N318" s="194" t="s">
        <v>663</v>
      </c>
    </row>
    <row r="319" spans="1:14">
      <c r="A319" s="194" t="s">
        <v>1421</v>
      </c>
      <c r="B319" s="194" t="s">
        <v>2143</v>
      </c>
      <c r="C319" s="194" t="str">
        <f>CHOOSE(Translations!$C$1+1,K319,L319,M319)</f>
        <v>Estrategias y financiamiento del sector nacional de la salud</v>
      </c>
      <c r="D319" s="194"/>
      <c r="E319" s="194" t="s">
        <v>2144</v>
      </c>
      <c r="F319" s="195" t="str">
        <f t="shared" si="12"/>
        <v>MCI-00803</v>
      </c>
      <c r="G319" s="194" t="str">
        <f t="shared" si="13"/>
        <v>MCI-00666Estrategias y financiamiento del sector nacional de la salud</v>
      </c>
      <c r="H319" s="194" t="str">
        <f t="shared" si="14"/>
        <v>MCI-00666Estrategias y financiamiento del sector nacional de la salud</v>
      </c>
      <c r="I319" s="195" t="str">
        <f t="shared" si="15"/>
        <v>MCI-00803</v>
      </c>
      <c r="J319" s="194"/>
      <c r="K319" s="409" t="s">
        <v>2145</v>
      </c>
      <c r="L319" s="195" t="s">
        <v>2146</v>
      </c>
      <c r="M319" s="195" t="s">
        <v>2147</v>
      </c>
      <c r="N319" s="194" t="s">
        <v>663</v>
      </c>
    </row>
    <row r="320" spans="1:14">
      <c r="A320" s="194" t="s">
        <v>1421</v>
      </c>
      <c r="B320" s="194" t="s">
        <v>2148</v>
      </c>
      <c r="C320" s="194" t="str">
        <f>CHOOSE(Translations!$C$1+1,K320,L320,M320)</f>
        <v>Política y planificación para los programas nacionales de control de enfermedades</v>
      </c>
      <c r="D320" s="194"/>
      <c r="E320" s="194" t="s">
        <v>2149</v>
      </c>
      <c r="F320" s="195" t="str">
        <f t="shared" si="12"/>
        <v>MCI-00804</v>
      </c>
      <c r="G320" s="194" t="str">
        <f t="shared" si="13"/>
        <v>MCI-00666Política y planificación para los programas nacionales de control de enfermedades</v>
      </c>
      <c r="H320" s="194" t="str">
        <f t="shared" si="14"/>
        <v>MCI-00666Política y planificación para los programas nacionales de control de enfermedades</v>
      </c>
      <c r="I320" s="195" t="str">
        <f t="shared" si="15"/>
        <v>MCI-00804</v>
      </c>
      <c r="J320" s="194"/>
      <c r="K320" s="409" t="s">
        <v>2150</v>
      </c>
      <c r="L320" s="195" t="s">
        <v>2151</v>
      </c>
      <c r="M320" s="195" t="s">
        <v>2152</v>
      </c>
      <c r="N320" s="194" t="s">
        <v>663</v>
      </c>
    </row>
    <row r="321" spans="1:14">
      <c r="A321" s="194" t="s">
        <v>1427</v>
      </c>
      <c r="B321" s="194" t="s">
        <v>2153</v>
      </c>
      <c r="C321" s="194" t="str">
        <f>CHOOSE(Translations!$C$1+1,K321,L321,M321)</f>
        <v>Monitoreo a nivel comunitario</v>
      </c>
      <c r="D321" s="194"/>
      <c r="E321" s="194" t="s">
        <v>2154</v>
      </c>
      <c r="F321" s="195" t="str">
        <f t="shared" si="12"/>
        <v>MCI-00805</v>
      </c>
      <c r="G321" s="194" t="str">
        <f t="shared" si="13"/>
        <v>MCI-00667Monitoreo a nivel comunitario</v>
      </c>
      <c r="H321" s="194" t="str">
        <f t="shared" si="14"/>
        <v>MCI-00667Monitoreo a nivel comunitario</v>
      </c>
      <c r="I321" s="195" t="str">
        <f t="shared" si="15"/>
        <v>MCI-00805</v>
      </c>
      <c r="J321" s="194"/>
      <c r="K321" s="409" t="s">
        <v>2155</v>
      </c>
      <c r="L321" s="195" t="s">
        <v>2156</v>
      </c>
      <c r="M321" s="195" t="s">
        <v>2157</v>
      </c>
      <c r="N321" s="194" t="s">
        <v>663</v>
      </c>
    </row>
    <row r="322" spans="1:14">
      <c r="A322" s="194" t="s">
        <v>1427</v>
      </c>
      <c r="B322" s="194" t="s">
        <v>2158</v>
      </c>
      <c r="C322" s="194" t="str">
        <f>CHOOSE(Translations!$C$1+1,K322,L322,M322)</f>
        <v>Sensibilización e investigación dirigidas por la comunidad</v>
      </c>
      <c r="D322" s="194"/>
      <c r="E322" s="194" t="s">
        <v>2159</v>
      </c>
      <c r="F322" s="195" t="str">
        <f t="shared" si="12"/>
        <v>MCI-00806</v>
      </c>
      <c r="G322" s="194" t="str">
        <f t="shared" si="13"/>
        <v>MCI-00667Sensibilización e investigación dirigidas por la comunidad</v>
      </c>
      <c r="H322" s="194" t="str">
        <f t="shared" si="14"/>
        <v>MCI-00667Sensibilización e investigación dirigidas por la comunidad</v>
      </c>
      <c r="I322" s="195" t="str">
        <f t="shared" si="15"/>
        <v>MCI-00806</v>
      </c>
      <c r="J322" s="194"/>
      <c r="K322" s="409" t="s">
        <v>2160</v>
      </c>
      <c r="L322" s="195" t="s">
        <v>2161</v>
      </c>
      <c r="M322" s="195" t="s">
        <v>2162</v>
      </c>
      <c r="N322" s="194" t="s">
        <v>663</v>
      </c>
    </row>
    <row r="323" spans="1:14">
      <c r="A323" s="194" t="s">
        <v>1427</v>
      </c>
      <c r="B323" s="194" t="s">
        <v>2163</v>
      </c>
      <c r="C323" s="194" t="str">
        <f>CHOOSE(Translations!$C$1+1,K323,L323,M323)</f>
        <v>Creación de capacidad institucional, planificación y desarrollo del liderazgo</v>
      </c>
      <c r="D323" s="194"/>
      <c r="E323" s="194" t="s">
        <v>2164</v>
      </c>
      <c r="F323" s="195" t="str">
        <f t="shared" si="12"/>
        <v>MCI-00808</v>
      </c>
      <c r="G323" s="194" t="str">
        <f t="shared" si="13"/>
        <v>MCI-00667Creación de capacidad institucional, planificación y desarrollo del liderazgo</v>
      </c>
      <c r="H323" s="194" t="str">
        <f t="shared" si="14"/>
        <v>MCI-00667Creación de capacidad institucional, planificación y desarrollo del liderazgo</v>
      </c>
      <c r="I323" s="195" t="str">
        <f t="shared" si="15"/>
        <v>MCI-00808</v>
      </c>
      <c r="J323" s="194"/>
      <c r="K323" s="409" t="s">
        <v>2165</v>
      </c>
      <c r="L323" s="195" t="s">
        <v>2166</v>
      </c>
      <c r="M323" s="195" t="s">
        <v>2167</v>
      </c>
      <c r="N323" s="194" t="s">
        <v>663</v>
      </c>
    </row>
    <row r="324" spans="1:14">
      <c r="A324" s="194" t="s">
        <v>1427</v>
      </c>
      <c r="B324" s="194" t="s">
        <v>2168</v>
      </c>
      <c r="C324" s="194" t="str">
        <f>CHOOSE(Translations!$C$1+1,K324,L324,M324)</f>
        <v>Movilización social, creación de vínculos comunitarios y coordinación</v>
      </c>
      <c r="D324" s="194"/>
      <c r="E324" s="194" t="s">
        <v>2169</v>
      </c>
      <c r="F324" s="195" t="str">
        <f t="shared" si="12"/>
        <v>MCI-00807</v>
      </c>
      <c r="G324" s="194" t="str">
        <f t="shared" si="13"/>
        <v>MCI-00667Movilización social, creación de vínculos comunitarios y coordinación</v>
      </c>
      <c r="H324" s="194" t="str">
        <f t="shared" si="14"/>
        <v>MCI-00667Movilización social, creación de vínculos comunitarios y coordinación</v>
      </c>
      <c r="I324" s="195" t="str">
        <f t="shared" si="15"/>
        <v>MCI-00807</v>
      </c>
      <c r="J324" s="194"/>
      <c r="K324" s="409" t="s">
        <v>2170</v>
      </c>
      <c r="L324" s="195" t="s">
        <v>2171</v>
      </c>
      <c r="M324" s="195" t="s">
        <v>2172</v>
      </c>
      <c r="N324" s="194" t="s">
        <v>663</v>
      </c>
    </row>
    <row r="325" spans="1:14">
      <c r="A325" s="194" t="s">
        <v>1438</v>
      </c>
      <c r="B325" s="194" t="s">
        <v>2173</v>
      </c>
      <c r="C325" s="194" t="str">
        <f>CHOOSE(Translations!$C$1+1,K325,L325,M325)</f>
        <v>Sistemas de información y redes de transporte de muestras integradas</v>
      </c>
      <c r="D325" s="194"/>
      <c r="E325" s="194" t="s">
        <v>2174</v>
      </c>
      <c r="F325" s="195" t="str">
        <f t="shared" si="12"/>
        <v>MCI-00812</v>
      </c>
      <c r="G325" s="194" t="str">
        <f t="shared" si="13"/>
        <v>MCI-00668Sistemas de información y redes de transporte de muestras integradas</v>
      </c>
      <c r="H325" s="194" t="str">
        <f t="shared" si="14"/>
        <v>MCI-00668Sistemas de información y redes de transporte de muestras integradas</v>
      </c>
      <c r="I325" s="195" t="str">
        <f t="shared" si="15"/>
        <v>MCI-00812</v>
      </c>
      <c r="J325" s="194"/>
      <c r="K325" s="409" t="s">
        <v>2175</v>
      </c>
      <c r="L325" s="195" t="s">
        <v>2176</v>
      </c>
      <c r="M325" s="195" t="s">
        <v>2177</v>
      </c>
      <c r="N325" s="194" t="s">
        <v>663</v>
      </c>
    </row>
    <row r="326" spans="1:14">
      <c r="A326" s="194" t="s">
        <v>1438</v>
      </c>
      <c r="B326" s="194" t="s">
        <v>2178</v>
      </c>
      <c r="C326" s="194" t="str">
        <f>CHOOSE(Translations!$C$1+1,K326,L326,M326)</f>
        <v>Sistemas de gestión de infraestructuras y equipos</v>
      </c>
      <c r="D326" s="194"/>
      <c r="E326" s="194" t="s">
        <v>2179</v>
      </c>
      <c r="F326" s="195" t="str">
        <f t="shared" si="12"/>
        <v>MCI-00810</v>
      </c>
      <c r="G326" s="194" t="str">
        <f t="shared" si="13"/>
        <v>MCI-00668Sistemas de gestión de infraestructuras y equipos</v>
      </c>
      <c r="H326" s="194" t="str">
        <f t="shared" si="14"/>
        <v>MCI-00668Sistemas de gestión de infraestructuras y equipos</v>
      </c>
      <c r="I326" s="195" t="str">
        <f t="shared" si="15"/>
        <v>MCI-00810</v>
      </c>
      <c r="J326" s="194"/>
      <c r="K326" s="409" t="s">
        <v>2180</v>
      </c>
      <c r="L326" s="195" t="s">
        <v>2181</v>
      </c>
      <c r="M326" s="195" t="s">
        <v>2182</v>
      </c>
      <c r="N326" s="194" t="s">
        <v>663</v>
      </c>
    </row>
    <row r="327" spans="1:14">
      <c r="A327" s="194" t="s">
        <v>1438</v>
      </c>
      <c r="B327" s="194" t="s">
        <v>2183</v>
      </c>
      <c r="C327" s="194" t="str">
        <f>CHOOSE(Translations!$C$1+1,K327,L327,M327)</f>
        <v>Sistemas de cadena de suministros para los laboratorios</v>
      </c>
      <c r="D327" s="194"/>
      <c r="E327" s="194" t="s">
        <v>2184</v>
      </c>
      <c r="F327" s="195" t="str">
        <f t="shared" si="12"/>
        <v>MCI-00813</v>
      </c>
      <c r="G327" s="194" t="str">
        <f t="shared" si="13"/>
        <v>MCI-00668Sistemas de cadena de suministros para los laboratorios</v>
      </c>
      <c r="H327" s="194" t="str">
        <f t="shared" si="14"/>
        <v>MCI-00668Sistemas de cadena de suministros para los laboratorios</v>
      </c>
      <c r="I327" s="195" t="str">
        <f t="shared" si="15"/>
        <v>MCI-00813</v>
      </c>
      <c r="J327" s="194"/>
      <c r="K327" s="409" t="s">
        <v>2185</v>
      </c>
      <c r="L327" s="195" t="s">
        <v>2186</v>
      </c>
      <c r="M327" s="195" t="s">
        <v>2187</v>
      </c>
      <c r="N327" s="194" t="s">
        <v>663</v>
      </c>
    </row>
    <row r="328" spans="1:14">
      <c r="A328" s="194" t="s">
        <v>1438</v>
      </c>
      <c r="B328" s="194" t="s">
        <v>2188</v>
      </c>
      <c r="C328" s="194" t="str">
        <f>CHOOSE(Translations!$C$1+1,K328,L328,M328)</f>
        <v>Estructuras de gestión y gobernanza de los laboratorios nacionales</v>
      </c>
      <c r="D328" s="194"/>
      <c r="E328" s="194" t="s">
        <v>2189</v>
      </c>
      <c r="F328" s="195" t="str">
        <f t="shared" si="12"/>
        <v>MCI-00809</v>
      </c>
      <c r="G328" s="194" t="str">
        <f t="shared" si="13"/>
        <v>MCI-00668Estructuras de gestión y gobernanza de los laboratorios nacionales</v>
      </c>
      <c r="H328" s="194" t="str">
        <f t="shared" si="14"/>
        <v>MCI-00668Estructuras de gestión y gobernanza de los laboratorios nacionales</v>
      </c>
      <c r="I328" s="195" t="str">
        <f t="shared" si="15"/>
        <v>MCI-00809</v>
      </c>
      <c r="J328" s="194"/>
      <c r="K328" s="409" t="s">
        <v>2190</v>
      </c>
      <c r="L328" s="195" t="s">
        <v>2191</v>
      </c>
      <c r="M328" s="195" t="s">
        <v>2192</v>
      </c>
      <c r="N328" s="194" t="s">
        <v>663</v>
      </c>
    </row>
    <row r="329" spans="1:14">
      <c r="A329" s="194" t="s">
        <v>1438</v>
      </c>
      <c r="B329" s="194" t="s">
        <v>2193</v>
      </c>
      <c r="C329" s="194" t="str">
        <f>CHOOSE(Translations!$C$1+1,K329,L329,M329)</f>
        <v>Sistemas de gestión de la calidad y acreditación</v>
      </c>
      <c r="D329" s="194"/>
      <c r="E329" s="194" t="s">
        <v>2194</v>
      </c>
      <c r="F329" s="195" t="str">
        <f t="shared" si="12"/>
        <v>MCI-00811</v>
      </c>
      <c r="G329" s="194" t="str">
        <f t="shared" si="13"/>
        <v>MCI-00668Sistemas de gestión de la calidad y acreditación</v>
      </c>
      <c r="H329" s="194" t="str">
        <f t="shared" si="14"/>
        <v>MCI-00668Sistemas de gestión de la calidad y acreditación</v>
      </c>
      <c r="I329" s="195" t="str">
        <f t="shared" si="15"/>
        <v>MCI-00811</v>
      </c>
      <c r="J329" s="194"/>
      <c r="K329" s="409" t="s">
        <v>2195</v>
      </c>
      <c r="L329" s="195" t="s">
        <v>2196</v>
      </c>
      <c r="M329" s="195" t="s">
        <v>2197</v>
      </c>
      <c r="N329" s="194" t="s">
        <v>663</v>
      </c>
    </row>
    <row r="330" spans="1:14">
      <c r="A330" s="194" t="s">
        <v>1475</v>
      </c>
      <c r="B330" s="194" t="s">
        <v>2198</v>
      </c>
      <c r="C330" s="194" t="str">
        <f>CHOOSE(Translations!$C$1+1,K330,L330,M330)</f>
        <v>Financiación basada en los resultados</v>
      </c>
      <c r="D330" s="194"/>
      <c r="E330" s="194" t="s">
        <v>2199</v>
      </c>
      <c r="F330" s="195" t="str">
        <f t="shared" si="12"/>
        <v>MCI-00814</v>
      </c>
      <c r="G330" s="194" t="str">
        <f t="shared" si="13"/>
        <v>MCI-00669Financiación basada en los resultados</v>
      </c>
      <c r="H330" s="194" t="str">
        <f t="shared" si="14"/>
        <v>MCI-00669Financiación basada en los resultados</v>
      </c>
      <c r="I330" s="195" t="str">
        <f t="shared" si="15"/>
        <v>MCI-00814</v>
      </c>
      <c r="J330" s="194"/>
      <c r="K330" s="409" t="s">
        <v>1474</v>
      </c>
      <c r="L330" s="195" t="s">
        <v>1479</v>
      </c>
      <c r="M330" s="195" t="s">
        <v>1480</v>
      </c>
      <c r="N330" s="194" t="s">
        <v>663</v>
      </c>
    </row>
    <row r="331" spans="1:14">
      <c r="A331" s="194" t="s">
        <v>1456</v>
      </c>
      <c r="B331" s="194" t="s">
        <v>2200</v>
      </c>
      <c r="C331" s="194" t="str">
        <f>CHOOSE(Translations!$C$1+1,K331,L331,M331)</f>
        <v>Gestión de casos, operaciones clínicas y tratamientos</v>
      </c>
      <c r="D331" s="194"/>
      <c r="E331" s="194" t="s">
        <v>2201</v>
      </c>
      <c r="F331" s="195" t="str">
        <f t="shared" si="12"/>
        <v>MCI-01268</v>
      </c>
      <c r="G331" s="194" t="str">
        <f t="shared" si="13"/>
        <v>MCI-01236Gestión de casos, operaciones clínicas y tratamientos</v>
      </c>
      <c r="H331" s="194" t="str">
        <f t="shared" si="14"/>
        <v>MCI-01236Gestión de casos, operaciones clínicas y tratamientos</v>
      </c>
      <c r="I331" s="195" t="str">
        <f t="shared" si="15"/>
        <v>MCI-01268</v>
      </c>
      <c r="J331" s="194"/>
      <c r="K331" s="409" t="s">
        <v>2202</v>
      </c>
      <c r="L331" s="195" t="s">
        <v>2203</v>
      </c>
      <c r="M331" s="195" t="s">
        <v>2204</v>
      </c>
      <c r="N331" s="194" t="s">
        <v>663</v>
      </c>
    </row>
    <row r="332" spans="1:14">
      <c r="A332" s="194" t="s">
        <v>1456</v>
      </c>
      <c r="B332" s="194" t="s">
        <v>2205</v>
      </c>
      <c r="C332" s="194" t="str">
        <f>CHOOSE(Translations!$C$1+1,K332,L332,M332)</f>
        <v>Coordinación y planificación nacionales</v>
      </c>
      <c r="D332" s="194"/>
      <c r="E332" s="194" t="s">
        <v>2206</v>
      </c>
      <c r="F332" s="195" t="str">
        <f t="shared" si="12"/>
        <v>MCI-01260</v>
      </c>
      <c r="G332" s="194" t="str">
        <f t="shared" si="13"/>
        <v>MCI-01236Coordinación y planificación nacionales</v>
      </c>
      <c r="H332" s="194" t="str">
        <f t="shared" si="14"/>
        <v>MCI-01236Coordinación y planificación nacionales</v>
      </c>
      <c r="I332" s="195" t="str">
        <f t="shared" si="15"/>
        <v>MCI-01260</v>
      </c>
      <c r="J332" s="194"/>
      <c r="K332" s="409" t="s">
        <v>2207</v>
      </c>
      <c r="L332" s="195" t="s">
        <v>2208</v>
      </c>
      <c r="M332" s="195" t="s">
        <v>2209</v>
      </c>
      <c r="N332" s="194" t="s">
        <v>663</v>
      </c>
    </row>
    <row r="333" spans="1:14">
      <c r="A333" s="194" t="s">
        <v>1456</v>
      </c>
      <c r="B333" s="194" t="s">
        <v>2210</v>
      </c>
      <c r="C333" s="194" t="str">
        <f>CHOOSE(Translations!$C$1+1,K333,L333,M333)</f>
        <v>Diagnósticos y pruebas de COVID</v>
      </c>
      <c r="D333" s="194"/>
      <c r="E333" s="194" t="s">
        <v>2211</v>
      </c>
      <c r="F333" s="195" t="str">
        <f t="shared" si="12"/>
        <v>MCI-01264</v>
      </c>
      <c r="G333" s="194" t="str">
        <f t="shared" si="13"/>
        <v>MCI-01236Diagnósticos y pruebas de COVID</v>
      </c>
      <c r="H333" s="194" t="str">
        <f t="shared" si="14"/>
        <v>MCI-01236Diagnósticos y pruebas de COVID</v>
      </c>
      <c r="I333" s="195" t="str">
        <f t="shared" si="15"/>
        <v>MCI-01264</v>
      </c>
      <c r="J333" s="194"/>
      <c r="K333" s="409" t="s">
        <v>2212</v>
      </c>
      <c r="L333" s="195" t="s">
        <v>2213</v>
      </c>
      <c r="M333" s="195" t="s">
        <v>2214</v>
      </c>
      <c r="N333" s="194" t="s">
        <v>663</v>
      </c>
    </row>
    <row r="334" spans="1:14">
      <c r="A334" s="194" t="s">
        <v>1456</v>
      </c>
      <c r="B334" s="194" t="s">
        <v>2215</v>
      </c>
      <c r="C334" s="194" t="str">
        <f>CHOOSE(Translations!$C$1+1,K334,L334,M334)</f>
        <v>Control y contención relacionada a COVID-19, incluyendo el fortalecimiento de los sistemas de salud</v>
      </c>
      <c r="D334" s="194"/>
      <c r="E334" s="194" t="s">
        <v>2216</v>
      </c>
      <c r="F334" s="195" t="str">
        <f t="shared" si="12"/>
        <v>MCI-01237</v>
      </c>
      <c r="G334" s="194" t="str">
        <f t="shared" si="13"/>
        <v>MCI-01236Control y contención relacionada a COVID-19, incluyendo el fortalecimiento de los sistemas de salud</v>
      </c>
      <c r="H334" s="194" t="str">
        <f t="shared" si="14"/>
        <v>MCI-01236Control y contención relacionada a COVID-19, incluyendo el fortalecimiento de los sistemas de salud</v>
      </c>
      <c r="I334" s="195" t="str">
        <f t="shared" si="15"/>
        <v>MCI-01237</v>
      </c>
      <c r="J334" s="194"/>
      <c r="K334" s="409" t="s">
        <v>2217</v>
      </c>
      <c r="L334" s="195" t="s">
        <v>2218</v>
      </c>
      <c r="M334" s="195" t="s">
        <v>2219</v>
      </c>
      <c r="N334" s="194" t="s">
        <v>663</v>
      </c>
    </row>
    <row r="335" spans="1:14">
      <c r="A335" s="194" t="s">
        <v>1456</v>
      </c>
      <c r="B335" s="194" t="s">
        <v>2220</v>
      </c>
      <c r="C335" s="194" t="str">
        <f>CHOOSE(Translations!$C$1+1,K335,L335,M335)</f>
        <v>FSC para la COVID-19: Creación de la capacidad institucional de las organizaciones comunitarias</v>
      </c>
      <c r="D335" s="194"/>
      <c r="E335" s="194" t="s">
        <v>2221</v>
      </c>
      <c r="F335" s="195" t="str">
        <f t="shared" si="12"/>
        <v>MCI-01277</v>
      </c>
      <c r="G335" s="194" t="str">
        <f t="shared" si="13"/>
        <v>MCI-01236FSC para la COVID-19: Creación de la capacidad institucional de las organizaciones comunitarias</v>
      </c>
      <c r="H335" s="194" t="str">
        <f t="shared" si="14"/>
        <v>MCI-01236FSC para la COVID-19: Creación de la capacidad institucional de las organizaciones comunitarias</v>
      </c>
      <c r="I335" s="195" t="str">
        <f t="shared" si="15"/>
        <v>MCI-01277</v>
      </c>
      <c r="J335" s="194"/>
      <c r="K335" s="409" t="s">
        <v>2222</v>
      </c>
      <c r="L335" s="195" t="s">
        <v>2223</v>
      </c>
      <c r="M335" s="195" t="s">
        <v>2224</v>
      </c>
      <c r="N335" s="194" t="s">
        <v>663</v>
      </c>
    </row>
    <row r="336" spans="1:14">
      <c r="A336" s="194" t="s">
        <v>1456</v>
      </c>
      <c r="B336" s="194" t="s">
        <v>2225</v>
      </c>
      <c r="C336" s="194" t="str">
        <f>CHOOSE(Translations!$C$1+1,K336,L336,M336)</f>
        <v>FSC para la COVID-19: Promoción e investigación dirigidas por la comunidad</v>
      </c>
      <c r="D336" s="194"/>
      <c r="E336" s="194" t="s">
        <v>2226</v>
      </c>
      <c r="F336" s="195" t="str">
        <f t="shared" si="12"/>
        <v>MCI-01275</v>
      </c>
      <c r="G336" s="194" t="str">
        <f t="shared" si="13"/>
        <v>MCI-01236FSC para la COVID-19: Promoción e investigación dirigidas por la comunidad</v>
      </c>
      <c r="H336" s="194" t="str">
        <f t="shared" si="14"/>
        <v>MCI-01236FSC para la COVID-19: Promoción e investigación dirigidas por la comunidad</v>
      </c>
      <c r="I336" s="195" t="str">
        <f t="shared" si="15"/>
        <v>MCI-01275</v>
      </c>
      <c r="J336" s="194"/>
      <c r="K336" s="409" t="s">
        <v>2227</v>
      </c>
      <c r="L336" s="195" t="s">
        <v>2228</v>
      </c>
      <c r="M336" s="195" t="s">
        <v>2229</v>
      </c>
      <c r="N336" s="194" t="s">
        <v>663</v>
      </c>
    </row>
    <row r="337" spans="1:14">
      <c r="A337" s="194" t="s">
        <v>1456</v>
      </c>
      <c r="B337" s="194" t="s">
        <v>2230</v>
      </c>
      <c r="C337" s="194" t="str">
        <f>CHOOSE(Translations!$C$1+1,K337,L337,M337)</f>
        <v>FSC para la COVID-19: Seguimiento dirigido por la comunidad</v>
      </c>
      <c r="D337" s="194"/>
      <c r="E337" s="194" t="s">
        <v>2231</v>
      </c>
      <c r="F337" s="195" t="str">
        <f t="shared" si="12"/>
        <v>MCI-01274</v>
      </c>
      <c r="G337" s="194" t="str">
        <f t="shared" si="13"/>
        <v>MCI-01236FSC para la COVID-19: Seguimiento dirigido por la comunidad</v>
      </c>
      <c r="H337" s="194" t="str">
        <f t="shared" si="14"/>
        <v>MCI-01236FSC para la COVID-19: Seguimiento dirigido por la comunidad</v>
      </c>
      <c r="I337" s="195" t="str">
        <f t="shared" si="15"/>
        <v>MCI-01274</v>
      </c>
      <c r="J337" s="194"/>
      <c r="K337" s="409" t="s">
        <v>2232</v>
      </c>
      <c r="L337" s="195" t="s">
        <v>2233</v>
      </c>
      <c r="M337" s="195" t="s">
        <v>2234</v>
      </c>
      <c r="N337" s="194" t="s">
        <v>663</v>
      </c>
    </row>
    <row r="338" spans="1:14">
      <c r="A338" s="194" t="s">
        <v>1456</v>
      </c>
      <c r="B338" s="194" t="s">
        <v>2235</v>
      </c>
      <c r="C338" s="194" t="str">
        <f>CHOOSE(Translations!$C$1+1,K338,L338,M338)</f>
        <v>FSC para la COVID-19: Movilización social</v>
      </c>
      <c r="D338" s="194"/>
      <c r="E338" s="194" t="s">
        <v>2236</v>
      </c>
      <c r="F338" s="195" t="str">
        <f t="shared" si="12"/>
        <v>MCI-01276</v>
      </c>
      <c r="G338" s="194" t="str">
        <f t="shared" si="13"/>
        <v>MCI-01236FSC para la COVID-19: Movilización social</v>
      </c>
      <c r="H338" s="194" t="str">
        <f t="shared" si="14"/>
        <v>MCI-01236FSC para la COVID-19: Movilización social</v>
      </c>
      <c r="I338" s="195" t="str">
        <f t="shared" si="15"/>
        <v>MCI-01276</v>
      </c>
      <c r="J338" s="194"/>
      <c r="K338" s="409" t="s">
        <v>2237</v>
      </c>
      <c r="L338" s="195" t="s">
        <v>2238</v>
      </c>
      <c r="M338" s="195" t="s">
        <v>2239</v>
      </c>
      <c r="N338" s="194" t="s">
        <v>663</v>
      </c>
    </row>
    <row r="339" spans="1:14">
      <c r="A339" s="194" t="s">
        <v>1456</v>
      </c>
      <c r="B339" s="194" t="s">
        <v>2240</v>
      </c>
      <c r="C339" s="194" t="str">
        <f>CHOOSE(Translations!$C$1+1,K339,L339,M339)</f>
        <v>Prevención de la violencia de género y atención tras episodios de violencia</v>
      </c>
      <c r="D339" s="194"/>
      <c r="E339" s="194" t="s">
        <v>2241</v>
      </c>
      <c r="F339" s="195" t="str">
        <f t="shared" si="12"/>
        <v>MCI-01272</v>
      </c>
      <c r="G339" s="194" t="str">
        <f t="shared" si="13"/>
        <v>MCI-01236Prevención de la violencia de género y atención tras episodios de violencia</v>
      </c>
      <c r="H339" s="194" t="str">
        <f t="shared" si="14"/>
        <v>MCI-01236Prevención de la violencia de género y atención tras episodios de violencia</v>
      </c>
      <c r="I339" s="195" t="str">
        <f t="shared" si="15"/>
        <v>MCI-01272</v>
      </c>
      <c r="J339" s="194"/>
      <c r="K339" s="409" t="s">
        <v>2242</v>
      </c>
      <c r="L339" s="195" t="s">
        <v>2243</v>
      </c>
      <c r="M339" s="195" t="s">
        <v>2244</v>
      </c>
      <c r="N339" s="194" t="s">
        <v>663</v>
      </c>
    </row>
    <row r="340" spans="1:14">
      <c r="A340" s="194" t="s">
        <v>1456</v>
      </c>
      <c r="B340" s="194" t="s">
        <v>2245</v>
      </c>
      <c r="C340" s="194" t="str">
        <f>CHOOSE(Translations!$C$1+1,K340,L340,M340)</f>
        <v>Productos sanitarios y sistemas de gestión de residuos</v>
      </c>
      <c r="D340" s="194"/>
      <c r="E340" s="194" t="s">
        <v>2246</v>
      </c>
      <c r="F340" s="195" t="str">
        <f t="shared" si="12"/>
        <v>MCI-01267</v>
      </c>
      <c r="G340" s="194" t="str">
        <f t="shared" si="13"/>
        <v>MCI-01236Productos sanitarios y sistemas de gestión de residuos</v>
      </c>
      <c r="H340" s="194" t="str">
        <f t="shared" si="14"/>
        <v>MCI-01236Productos sanitarios y sistemas de gestión de residuos</v>
      </c>
      <c r="I340" s="195" t="str">
        <f t="shared" si="15"/>
        <v>MCI-01267</v>
      </c>
      <c r="J340" s="194"/>
      <c r="K340" s="409" t="s">
        <v>2247</v>
      </c>
      <c r="L340" s="195" t="s">
        <v>2248</v>
      </c>
      <c r="M340" s="195" t="s">
        <v>2249</v>
      </c>
      <c r="N340" s="194" t="s">
        <v>663</v>
      </c>
    </row>
    <row r="341" spans="1:14">
      <c r="A341" s="194" t="s">
        <v>1456</v>
      </c>
      <c r="B341" s="194" t="s">
        <v>2250</v>
      </c>
      <c r="C341" s="194" t="str">
        <f>CHOOSE(Translations!$C$1+1,K341,L341,M341)</f>
        <v>Prevención y control de la infección y protección de los profesionales de salud</v>
      </c>
      <c r="D341" s="194"/>
      <c r="E341" s="194" t="s">
        <v>2251</v>
      </c>
      <c r="F341" s="195" t="str">
        <f t="shared" si="12"/>
        <v>MCI-01266</v>
      </c>
      <c r="G341" s="194" t="str">
        <f t="shared" si="13"/>
        <v>MCI-01236Prevención y control de la infección y protección de los profesionales de salud</v>
      </c>
      <c r="H341" s="194" t="str">
        <f t="shared" si="14"/>
        <v>MCI-01236Prevención y control de la infección y protección de los profesionales de salud</v>
      </c>
      <c r="I341" s="195" t="str">
        <f t="shared" si="15"/>
        <v>MCI-01266</v>
      </c>
      <c r="J341" s="194"/>
      <c r="K341" s="409" t="s">
        <v>2252</v>
      </c>
      <c r="L341" s="195" t="s">
        <v>2253</v>
      </c>
      <c r="M341" s="195" t="s">
        <v>2254</v>
      </c>
      <c r="N341" s="194" t="s">
        <v>663</v>
      </c>
    </row>
    <row r="342" spans="1:14">
      <c r="A342" s="194" t="s">
        <v>1456</v>
      </c>
      <c r="B342" s="194" t="s">
        <v>2255</v>
      </c>
      <c r="C342" s="194" t="str">
        <f>CHOOSE(Translations!$C$1+1,K342,L342,M342)</f>
        <v>Sistemas de laboratorio</v>
      </c>
      <c r="D342" s="194"/>
      <c r="E342" s="194" t="s">
        <v>2256</v>
      </c>
      <c r="F342" s="195" t="str">
        <f t="shared" ref="F342:F350" si="16">B342</f>
        <v>MCI-01265</v>
      </c>
      <c r="G342" s="194" t="str">
        <f t="shared" ref="G342:G350" si="17">A342&amp;C342</f>
        <v>MCI-01236Sistemas de laboratorio</v>
      </c>
      <c r="H342" s="194" t="str">
        <f t="shared" ref="H342:H350" si="18">A342&amp;C342</f>
        <v>MCI-01236Sistemas de laboratorio</v>
      </c>
      <c r="I342" s="195" t="str">
        <f t="shared" ref="I342:I350" si="19">F342</f>
        <v>MCI-01265</v>
      </c>
      <c r="J342" s="194"/>
      <c r="K342" s="409" t="s">
        <v>2257</v>
      </c>
      <c r="L342" s="195" t="s">
        <v>2258</v>
      </c>
      <c r="M342" s="195" t="s">
        <v>2259</v>
      </c>
      <c r="N342" s="194" t="s">
        <v>663</v>
      </c>
    </row>
    <row r="343" spans="1:14">
      <c r="A343" s="194" t="s">
        <v>1456</v>
      </c>
      <c r="B343" s="194" t="s">
        <v>2260</v>
      </c>
      <c r="C343" s="194" t="str">
        <f>CHOOSE(Translations!$C$1+1,K343,L343,M343)</f>
        <v>Medidas de mitigación para programas de VIH</v>
      </c>
      <c r="D343" s="194"/>
      <c r="E343" s="194" t="s">
        <v>2261</v>
      </c>
      <c r="F343" s="195" t="str">
        <f t="shared" si="16"/>
        <v>MCI-01269</v>
      </c>
      <c r="G343" s="194" t="str">
        <f t="shared" si="17"/>
        <v>MCI-01236Medidas de mitigación para programas de VIH</v>
      </c>
      <c r="H343" s="194" t="str">
        <f t="shared" si="18"/>
        <v>MCI-01236Medidas de mitigación para programas de VIH</v>
      </c>
      <c r="I343" s="195" t="str">
        <f t="shared" si="19"/>
        <v>MCI-01269</v>
      </c>
      <c r="J343" s="194"/>
      <c r="K343" s="409" t="s">
        <v>2262</v>
      </c>
      <c r="L343" s="195" t="s">
        <v>2263</v>
      </c>
      <c r="M343" s="195" t="s">
        <v>2264</v>
      </c>
      <c r="N343" s="194" t="s">
        <v>663</v>
      </c>
    </row>
    <row r="344" spans="1:14">
      <c r="A344" s="194" t="s">
        <v>1456</v>
      </c>
      <c r="B344" s="194" t="s">
        <v>2265</v>
      </c>
      <c r="C344" s="194" t="str">
        <f>CHOOSE(Translations!$C$1+1,K344,L344,M344)</f>
        <v>Medidas de mitigación para programas de malaria</v>
      </c>
      <c r="D344" s="194"/>
      <c r="E344" s="194" t="s">
        <v>2266</v>
      </c>
      <c r="F344" s="195" t="str">
        <f t="shared" si="16"/>
        <v>MCI-01271</v>
      </c>
      <c r="G344" s="194" t="str">
        <f t="shared" si="17"/>
        <v>MCI-01236Medidas de mitigación para programas de malaria</v>
      </c>
      <c r="H344" s="194" t="str">
        <f t="shared" si="18"/>
        <v>MCI-01236Medidas de mitigación para programas de malaria</v>
      </c>
      <c r="I344" s="195" t="str">
        <f t="shared" si="19"/>
        <v>MCI-01271</v>
      </c>
      <c r="J344" s="194"/>
      <c r="K344" s="409" t="s">
        <v>2267</v>
      </c>
      <c r="L344" s="195" t="s">
        <v>2268</v>
      </c>
      <c r="M344" s="195" t="s">
        <v>2269</v>
      </c>
      <c r="N344" s="194" t="s">
        <v>663</v>
      </c>
    </row>
    <row r="345" spans="1:14">
      <c r="A345" s="194" t="s">
        <v>1456</v>
      </c>
      <c r="B345" s="194" t="s">
        <v>2270</v>
      </c>
      <c r="C345" s="194" t="str">
        <f>CHOOSE(Translations!$C$1+1,K345,L345,M345)</f>
        <v>Medidas de mitigación para programas de tuberculosis</v>
      </c>
      <c r="D345" s="194"/>
      <c r="E345" s="194" t="s">
        <v>2271</v>
      </c>
      <c r="F345" s="195" t="str">
        <f t="shared" si="16"/>
        <v>MCI-01270</v>
      </c>
      <c r="G345" s="194" t="str">
        <f t="shared" si="17"/>
        <v>MCI-01236Medidas de mitigación para programas de tuberculosis</v>
      </c>
      <c r="H345" s="194" t="str">
        <f t="shared" si="18"/>
        <v>MCI-01236Medidas de mitigación para programas de tuberculosis</v>
      </c>
      <c r="I345" s="195" t="str">
        <f t="shared" si="19"/>
        <v>MCI-01270</v>
      </c>
      <c r="J345" s="194"/>
      <c r="K345" s="409" t="s">
        <v>2272</v>
      </c>
      <c r="L345" s="195" t="s">
        <v>2273</v>
      </c>
      <c r="M345" s="195" t="s">
        <v>2274</v>
      </c>
      <c r="N345" s="194" t="s">
        <v>663</v>
      </c>
    </row>
    <row r="346" spans="1:14">
      <c r="A346" s="194" t="s">
        <v>1456</v>
      </c>
      <c r="B346" s="194" t="s">
        <v>2275</v>
      </c>
      <c r="C346" s="194" t="str">
        <f>CHOOSE(Translations!$C$1+1,K346,L346,M346)</f>
        <v>Respuesta a los obstáculos relacionados con los derechos humanos y el género en los servicios</v>
      </c>
      <c r="D346" s="194"/>
      <c r="E346" s="194" t="s">
        <v>2276</v>
      </c>
      <c r="F346" s="195" t="str">
        <f t="shared" si="16"/>
        <v>MCI-01273</v>
      </c>
      <c r="G346" s="194" t="str">
        <f t="shared" si="17"/>
        <v>MCI-01236Respuesta a los obstáculos relacionados con los derechos humanos y el género en los servicios</v>
      </c>
      <c r="H346" s="194" t="str">
        <f t="shared" si="18"/>
        <v>MCI-01236Respuesta a los obstáculos relacionados con los derechos humanos y el género en los servicios</v>
      </c>
      <c r="I346" s="195" t="str">
        <f t="shared" si="19"/>
        <v>MCI-01273</v>
      </c>
      <c r="J346" s="194"/>
      <c r="K346" s="409" t="s">
        <v>2277</v>
      </c>
      <c r="L346" s="195" t="s">
        <v>2278</v>
      </c>
      <c r="M346" s="195" t="s">
        <v>2279</v>
      </c>
      <c r="N346" s="194" t="s">
        <v>663</v>
      </c>
    </row>
    <row r="347" spans="1:14">
      <c r="A347" s="194" t="s">
        <v>1456</v>
      </c>
      <c r="B347" s="194" t="s">
        <v>2280</v>
      </c>
      <c r="C347" s="194" t="str">
        <f>CHOOSE(Translations!$C$1+1,K347,L347,M347)</f>
        <v>Comunicación de riesgos</v>
      </c>
      <c r="D347" s="194"/>
      <c r="E347" s="194" t="s">
        <v>2281</v>
      </c>
      <c r="F347" s="195" t="str">
        <f t="shared" si="16"/>
        <v>MCI-01261</v>
      </c>
      <c r="G347" s="194" t="str">
        <f t="shared" si="17"/>
        <v>MCI-01236Comunicación de riesgos</v>
      </c>
      <c r="H347" s="194" t="str">
        <f t="shared" si="18"/>
        <v>MCI-01236Comunicación de riesgos</v>
      </c>
      <c r="I347" s="195" t="str">
        <f t="shared" si="19"/>
        <v>MCI-01261</v>
      </c>
      <c r="J347" s="194"/>
      <c r="K347" s="409" t="s">
        <v>2282</v>
      </c>
      <c r="L347" s="195" t="s">
        <v>2283</v>
      </c>
      <c r="M347" s="195" t="s">
        <v>2284</v>
      </c>
      <c r="N347" s="194" t="s">
        <v>663</v>
      </c>
    </row>
    <row r="348" spans="1:14">
      <c r="A348" s="194" t="s">
        <v>1456</v>
      </c>
      <c r="B348" s="194" t="s">
        <v>2285</v>
      </c>
      <c r="C348" s="194" t="str">
        <f>CHOOSE(Translations!$C$1+1,K348,L348,M348)</f>
        <v>Mitigación de riesgos para los programas de las enfermedades</v>
      </c>
      <c r="D348" s="194"/>
      <c r="E348" s="194" t="s">
        <v>2286</v>
      </c>
      <c r="F348" s="195" t="str">
        <f t="shared" si="16"/>
        <v>MCI-01238</v>
      </c>
      <c r="G348" s="194" t="str">
        <f t="shared" si="17"/>
        <v>MCI-01236Mitigación de riesgos para los programas de las enfermedades</v>
      </c>
      <c r="H348" s="194" t="str">
        <f t="shared" si="18"/>
        <v>MCI-01236Mitigación de riesgos para los programas de las enfermedades</v>
      </c>
      <c r="I348" s="195" t="str">
        <f t="shared" si="19"/>
        <v>MCI-01238</v>
      </c>
      <c r="J348" s="194"/>
      <c r="K348" s="409" t="s">
        <v>2287</v>
      </c>
      <c r="L348" s="195" t="s">
        <v>2288</v>
      </c>
      <c r="M348" s="195" t="s">
        <v>2289</v>
      </c>
      <c r="N348" s="194" t="s">
        <v>663</v>
      </c>
    </row>
    <row r="349" spans="1:14">
      <c r="A349" s="194" t="s">
        <v>1456</v>
      </c>
      <c r="B349" s="194" t="s">
        <v>2290</v>
      </c>
      <c r="C349" s="194" t="str">
        <f>CHOOSE(Translations!$C$1+1,K349,L349,M349)</f>
        <v>Sistemas de vigilancia</v>
      </c>
      <c r="D349" s="194"/>
      <c r="E349" s="194" t="s">
        <v>2291</v>
      </c>
      <c r="F349" s="195" t="str">
        <f t="shared" si="16"/>
        <v>MCI-01263</v>
      </c>
      <c r="G349" s="194" t="str">
        <f t="shared" si="17"/>
        <v>MCI-01236Sistemas de vigilancia</v>
      </c>
      <c r="H349" s="194" t="str">
        <f t="shared" si="18"/>
        <v>MCI-01236Sistemas de vigilancia</v>
      </c>
      <c r="I349" s="195" t="str">
        <f t="shared" si="19"/>
        <v>MCI-01263</v>
      </c>
      <c r="J349" s="194"/>
      <c r="K349" s="409" t="s">
        <v>2292</v>
      </c>
      <c r="L349" s="195" t="s">
        <v>2293</v>
      </c>
      <c r="M349" s="195" t="s">
        <v>2294</v>
      </c>
      <c r="N349" s="194" t="s">
        <v>663</v>
      </c>
    </row>
    <row r="350" spans="1:14">
      <c r="A350" s="194" t="s">
        <v>1456</v>
      </c>
      <c r="B350" s="194" t="s">
        <v>2295</v>
      </c>
      <c r="C350" s="194" t="str">
        <f>CHOOSE(Translations!$C$1+1,K350,L350,M350)</f>
        <v>Vigilancia: investigación epidemiológica y rastreo de contactos</v>
      </c>
      <c r="D350" s="194"/>
      <c r="E350" s="194" t="s">
        <v>2296</v>
      </c>
      <c r="F350" s="195" t="str">
        <f t="shared" si="16"/>
        <v>MCI-01262</v>
      </c>
      <c r="G350" s="194" t="str">
        <f t="shared" si="17"/>
        <v>MCI-01236Vigilancia: investigación epidemiológica y rastreo de contactos</v>
      </c>
      <c r="H350" s="194" t="str">
        <f t="shared" si="18"/>
        <v>MCI-01236Vigilancia: investigación epidemiológica y rastreo de contactos</v>
      </c>
      <c r="I350" s="195" t="str">
        <f t="shared" si="19"/>
        <v>MCI-01262</v>
      </c>
      <c r="J350" s="194"/>
      <c r="K350" s="409" t="s">
        <v>2297</v>
      </c>
      <c r="L350" s="195" t="s">
        <v>2298</v>
      </c>
      <c r="M350" s="195" t="s">
        <v>2299</v>
      </c>
      <c r="N350" s="194" t="s">
        <v>663</v>
      </c>
    </row>
    <row r="351" spans="1:14">
      <c r="B351" s="8"/>
    </row>
    <row r="352" spans="1:14" hidden="1">
      <c r="A352" s="8"/>
    </row>
    <row r="353" spans="1:3" hidden="1"/>
    <row r="354" spans="1:3" hidden="1"/>
    <row r="355" spans="1:3" hidden="1"/>
    <row r="356" spans="1:3" hidden="1"/>
    <row r="357" spans="1:3">
      <c r="A357" s="8" t="s">
        <v>325</v>
      </c>
    </row>
    <row r="358" spans="1:3">
      <c r="A358" s="412" t="s">
        <v>2300</v>
      </c>
      <c r="B358" s="197" t="s">
        <v>2301</v>
      </c>
    </row>
    <row r="359" spans="1:3">
      <c r="A359" s="3" t="s">
        <v>2302</v>
      </c>
      <c r="B359" s="197" t="s">
        <v>2303</v>
      </c>
      <c r="C359" s="3" t="s">
        <v>2304</v>
      </c>
    </row>
    <row r="360" spans="1:3">
      <c r="A360" s="3" t="s">
        <v>2305</v>
      </c>
      <c r="B360" s="197"/>
    </row>
    <row r="361" spans="1:3">
      <c r="A361" s="3" t="s">
        <v>332</v>
      </c>
    </row>
    <row r="362" spans="1:3">
      <c r="A362" s="8" t="s">
        <v>2306</v>
      </c>
    </row>
    <row r="363" spans="1:3">
      <c r="A363" s="3" t="s">
        <v>2307</v>
      </c>
      <c r="B363" s="197" t="s">
        <v>2301</v>
      </c>
    </row>
    <row r="364" spans="1:3">
      <c r="A364" s="3" t="s">
        <v>2308</v>
      </c>
      <c r="B364" s="197" t="s">
        <v>2303</v>
      </c>
      <c r="C364" s="3" t="s">
        <v>2304</v>
      </c>
    </row>
    <row r="366" spans="1:3" hidden="1"/>
    <row r="367" spans="1:3" hidden="1"/>
    <row r="368" spans="1:3" hidden="1"/>
    <row r="369" spans="1:3" hidden="1"/>
    <row r="370" spans="1:3">
      <c r="A370" s="8" t="s">
        <v>2309</v>
      </c>
    </row>
    <row r="371" spans="1:3">
      <c r="A371" s="4" t="s">
        <v>2308</v>
      </c>
      <c r="B371" s="4" t="s">
        <v>2310</v>
      </c>
      <c r="C371" s="4" t="s">
        <v>2311</v>
      </c>
    </row>
    <row r="372" spans="1:3" hidden="1">
      <c r="A372" s="4" t="s">
        <v>2312</v>
      </c>
      <c r="B372" s="4" t="s">
        <v>2313</v>
      </c>
      <c r="C372" s="4" t="s">
        <v>345</v>
      </c>
    </row>
    <row r="373" spans="1:3">
      <c r="A373" s="4"/>
      <c r="B373" s="4"/>
      <c r="C373" s="4"/>
    </row>
    <row r="374" spans="1:3">
      <c r="A374" s="4"/>
      <c r="B374" s="4"/>
      <c r="C374" s="4"/>
    </row>
    <row r="375" spans="1:3">
      <c r="A375" s="4"/>
      <c r="B375" s="4"/>
      <c r="C375" s="4"/>
    </row>
    <row r="376" spans="1:3">
      <c r="A376" s="4" t="s">
        <v>2314</v>
      </c>
      <c r="B376" s="4"/>
      <c r="C376" s="4" t="s">
        <v>2315</v>
      </c>
    </row>
    <row r="377" spans="1:3">
      <c r="A377" s="4" t="s">
        <v>2316</v>
      </c>
      <c r="B377" s="4"/>
      <c r="C377" s="4" t="s">
        <v>2317</v>
      </c>
    </row>
    <row r="378" spans="1:3">
      <c r="A378" s="4" t="s">
        <v>2318</v>
      </c>
      <c r="B378" s="4"/>
      <c r="C378" s="4" t="s">
        <v>2319</v>
      </c>
    </row>
    <row r="379" spans="1:3">
      <c r="A379" s="4" t="s">
        <v>2320</v>
      </c>
      <c r="B379" s="4"/>
      <c r="C379" s="4" t="s">
        <v>2321</v>
      </c>
    </row>
    <row r="380" spans="1:3">
      <c r="A380" s="4" t="s">
        <v>2322</v>
      </c>
      <c r="B380" s="4"/>
      <c r="C380" s="4" t="s">
        <v>2323</v>
      </c>
    </row>
    <row r="381" spans="1:3">
      <c r="A381" s="4" t="s">
        <v>2324</v>
      </c>
      <c r="B381" s="4"/>
      <c r="C381" s="4" t="s">
        <v>2325</v>
      </c>
    </row>
    <row r="382" spans="1:3">
      <c r="A382" s="4" t="s">
        <v>2326</v>
      </c>
      <c r="B382" s="4"/>
      <c r="C382" s="4" t="s">
        <v>2327</v>
      </c>
    </row>
    <row r="383" spans="1:3">
      <c r="A383" s="4" t="s">
        <v>2328</v>
      </c>
      <c r="B383" s="4"/>
      <c r="C383" s="4" t="s">
        <v>2329</v>
      </c>
    </row>
    <row r="384" spans="1:3">
      <c r="A384" s="4" t="s">
        <v>2330</v>
      </c>
      <c r="B384" s="4"/>
      <c r="C384" s="4" t="s">
        <v>2331</v>
      </c>
    </row>
    <row r="385" spans="1:3">
      <c r="A385" s="4" t="s">
        <v>2332</v>
      </c>
      <c r="B385" s="4"/>
      <c r="C385" s="4" t="s">
        <v>2333</v>
      </c>
    </row>
    <row r="386" spans="1:3">
      <c r="A386" s="4" t="s">
        <v>2334</v>
      </c>
      <c r="B386" s="4"/>
      <c r="C386" s="4" t="s">
        <v>2335</v>
      </c>
    </row>
    <row r="387" spans="1:3">
      <c r="A387" s="4" t="s">
        <v>2336</v>
      </c>
      <c r="B387" s="4"/>
      <c r="C387" s="4" t="s">
        <v>2337</v>
      </c>
    </row>
    <row r="388" spans="1:3">
      <c r="A388" s="4" t="s">
        <v>2338</v>
      </c>
      <c r="B388" s="4"/>
      <c r="C388" s="4" t="s">
        <v>2339</v>
      </c>
    </row>
    <row r="389" spans="1:3">
      <c r="A389" s="4" t="s">
        <v>2340</v>
      </c>
      <c r="B389" s="4"/>
      <c r="C389" s="4" t="s">
        <v>2341</v>
      </c>
    </row>
    <row r="390" spans="1:3">
      <c r="A390" s="4" t="s">
        <v>2342</v>
      </c>
      <c r="B390" s="4"/>
      <c r="C390" s="4" t="s">
        <v>2343</v>
      </c>
    </row>
    <row r="391" spans="1:3">
      <c r="A391" s="4" t="s">
        <v>2344</v>
      </c>
      <c r="B391" s="4"/>
      <c r="C391" s="4" t="s">
        <v>2345</v>
      </c>
    </row>
    <row r="392" spans="1:3">
      <c r="A392" s="4" t="s">
        <v>2346</v>
      </c>
      <c r="B392" s="4"/>
      <c r="C392" s="4" t="s">
        <v>2347</v>
      </c>
    </row>
    <row r="393" spans="1:3">
      <c r="A393" s="4" t="s">
        <v>2348</v>
      </c>
      <c r="B393" s="4"/>
      <c r="C393" s="4" t="s">
        <v>2349</v>
      </c>
    </row>
    <row r="394" spans="1:3">
      <c r="A394" s="4" t="s">
        <v>2350</v>
      </c>
      <c r="B394" s="4"/>
      <c r="C394" s="4" t="s">
        <v>2351</v>
      </c>
    </row>
    <row r="395" spans="1:3">
      <c r="A395" s="4"/>
      <c r="B395" s="4"/>
      <c r="C395" s="4"/>
    </row>
    <row r="396" spans="1:3">
      <c r="A396" s="4" t="s">
        <v>2352</v>
      </c>
      <c r="B396" s="4"/>
      <c r="C396" s="4" t="s">
        <v>2353</v>
      </c>
    </row>
    <row r="397" spans="1:3">
      <c r="A397" s="4" t="s">
        <v>2354</v>
      </c>
      <c r="B397" s="4"/>
      <c r="C397" s="4" t="s">
        <v>2355</v>
      </c>
    </row>
    <row r="398" spans="1:3">
      <c r="A398" s="4" t="s">
        <v>2356</v>
      </c>
      <c r="B398" s="4"/>
      <c r="C398" s="4" t="s">
        <v>2357</v>
      </c>
    </row>
    <row r="399" spans="1:3">
      <c r="A399" s="4" t="s">
        <v>2358</v>
      </c>
      <c r="B399" s="4"/>
      <c r="C399" s="4" t="s">
        <v>2359</v>
      </c>
    </row>
    <row r="400" spans="1:3">
      <c r="A400" s="4" t="s">
        <v>2360</v>
      </c>
      <c r="B400" s="4"/>
      <c r="C400" s="4" t="s">
        <v>2361</v>
      </c>
    </row>
    <row r="401" spans="1:3">
      <c r="A401" s="4" t="s">
        <v>2362</v>
      </c>
      <c r="B401" s="4"/>
      <c r="C401" s="4" t="s">
        <v>2363</v>
      </c>
    </row>
    <row r="402" spans="1:3">
      <c r="A402" s="4" t="s">
        <v>2362</v>
      </c>
      <c r="B402" s="4"/>
      <c r="C402" s="4" t="s">
        <v>2363</v>
      </c>
    </row>
    <row r="403" spans="1:3">
      <c r="A403" s="4"/>
      <c r="B403" s="4"/>
      <c r="C403" s="4"/>
    </row>
    <row r="404" spans="1:3">
      <c r="A404" s="4"/>
      <c r="B404" s="4"/>
      <c r="C404" s="4"/>
    </row>
    <row r="405" spans="1:3">
      <c r="A405" s="4"/>
      <c r="B405" s="4"/>
      <c r="C405" s="4"/>
    </row>
    <row r="406" spans="1:3">
      <c r="A406" s="4"/>
      <c r="B406" s="4"/>
      <c r="C406" s="4"/>
    </row>
    <row r="407" spans="1:3">
      <c r="A407" s="4"/>
      <c r="B407" s="4"/>
      <c r="C407" s="4"/>
    </row>
    <row r="408" spans="1:3">
      <c r="A408" s="4"/>
      <c r="B408" s="4"/>
      <c r="C408" s="4"/>
    </row>
    <row r="409" spans="1:3">
      <c r="A409" s="4"/>
      <c r="B409" s="4"/>
      <c r="C409" s="4"/>
    </row>
    <row r="410" spans="1:3">
      <c r="A410" s="4"/>
      <c r="B410" s="4"/>
      <c r="C410" s="4"/>
    </row>
    <row r="411" spans="1:3">
      <c r="A411" s="4"/>
      <c r="B411" s="4"/>
      <c r="C411" s="4"/>
    </row>
    <row r="412" spans="1:3">
      <c r="A412" s="4"/>
      <c r="B412" s="4"/>
      <c r="C412" s="4"/>
    </row>
    <row r="413" spans="1:3">
      <c r="A413" s="4"/>
      <c r="B413" s="4"/>
      <c r="C413" s="4"/>
    </row>
    <row r="414" spans="1:3">
      <c r="A414" s="4"/>
      <c r="B414" s="4"/>
      <c r="C414" s="4"/>
    </row>
    <row r="415" spans="1:3">
      <c r="A415" s="4"/>
      <c r="B415" s="4"/>
      <c r="C415" s="4"/>
    </row>
    <row r="416" spans="1:3">
      <c r="A416" s="4"/>
      <c r="B416" s="4"/>
      <c r="C416" s="4"/>
    </row>
    <row r="417" spans="1:13">
      <c r="A417" s="4"/>
      <c r="B417" s="4"/>
      <c r="C417" s="4"/>
    </row>
    <row r="418" spans="1:13">
      <c r="A418" s="3" t="s">
        <v>2364</v>
      </c>
    </row>
    <row r="419" spans="1:13">
      <c r="A419" s="8" t="s">
        <v>2365</v>
      </c>
    </row>
    <row r="420" spans="1:13">
      <c r="A420" s="3" t="s">
        <v>2302</v>
      </c>
      <c r="B420" s="3" t="s">
        <v>2366</v>
      </c>
      <c r="C420" s="3" t="s">
        <v>2311</v>
      </c>
    </row>
    <row r="421" spans="1:13" hidden="1">
      <c r="A421" s="3" t="s">
        <v>2367</v>
      </c>
      <c r="B421" s="3" t="s">
        <v>2368</v>
      </c>
      <c r="C421" s="3" t="s">
        <v>345</v>
      </c>
    </row>
    <row r="423" spans="1:13">
      <c r="A423" s="8" t="s">
        <v>2369</v>
      </c>
    </row>
    <row r="424" spans="1:13">
      <c r="A424" s="3" t="s">
        <v>329</v>
      </c>
      <c r="B424" s="197"/>
    </row>
    <row r="426" spans="1:13">
      <c r="A426" s="8" t="s">
        <v>2370</v>
      </c>
    </row>
    <row r="427" spans="1:13">
      <c r="A427" s="3" t="s">
        <v>2371</v>
      </c>
      <c r="B427" s="3" t="b">
        <f>IFERROR(TRUE,FALSE)</f>
        <v>1</v>
      </c>
    </row>
    <row r="429" spans="1:13">
      <c r="A429" s="8" t="s">
        <v>2372</v>
      </c>
    </row>
    <row r="430" spans="1:13">
      <c r="A430" s="4" t="s">
        <v>2373</v>
      </c>
      <c r="B430" s="4" t="s">
        <v>341</v>
      </c>
      <c r="C430" s="4" t="s">
        <v>636</v>
      </c>
      <c r="D430" s="4"/>
      <c r="E430" s="4" t="s">
        <v>1450</v>
      </c>
      <c r="F430" s="4" t="s">
        <v>988</v>
      </c>
      <c r="G430" s="4"/>
      <c r="H430" s="4"/>
      <c r="I430" s="4"/>
      <c r="J430" s="4" t="s">
        <v>645</v>
      </c>
      <c r="K430" s="4" t="s">
        <v>646</v>
      </c>
      <c r="L430" s="4" t="s">
        <v>647</v>
      </c>
      <c r="M430" s="4" t="s">
        <v>644</v>
      </c>
    </row>
    <row r="431" spans="1:13" hidden="1">
      <c r="A431" s="4" t="s">
        <v>2374</v>
      </c>
      <c r="B431" s="4" t="s">
        <v>345</v>
      </c>
      <c r="C431" s="4" t="str">
        <f>CHOOSE(Translations!$C$1+1,J431,K431,L431,)</f>
        <v>No  Applicate</v>
      </c>
      <c r="D431" s="4"/>
      <c r="E431" s="4" t="s">
        <v>995</v>
      </c>
      <c r="F431" s="6" t="s">
        <v>996</v>
      </c>
      <c r="G431" s="4" t="str">
        <f>E431&amp;"|"&amp;C431</f>
        <v>[Module (Name)]|No  Applicate</v>
      </c>
      <c r="H431" s="4" t="str">
        <f>E431&amp;"|"&amp;F431</f>
        <v>[Module (Name)]|[Name ID]</v>
      </c>
      <c r="I431" s="4" t="str">
        <f>B431</f>
        <v>[Record ID]</v>
      </c>
      <c r="J431" s="6" t="s">
        <v>2375</v>
      </c>
      <c r="K431" s="6" t="s">
        <v>2375</v>
      </c>
      <c r="L431" s="6" t="s">
        <v>2375</v>
      </c>
      <c r="M431" s="4" t="s">
        <v>654</v>
      </c>
    </row>
    <row r="432" spans="1:13">
      <c r="A432" s="4" t="s">
        <v>2376</v>
      </c>
      <c r="B432" s="4" t="s">
        <v>2377</v>
      </c>
      <c r="C432" s="4" t="str">
        <f>CHOOSE(Translations!$C$1+1,J432,K432,L432,)</f>
        <v>Hombres en entornos de alta prevalencia</v>
      </c>
      <c r="D432" s="4"/>
      <c r="E432" s="4" t="s">
        <v>1642</v>
      </c>
      <c r="F432" s="6" t="s">
        <v>2378</v>
      </c>
      <c r="G432" s="4" t="str">
        <f t="shared" ref="G432:G495" si="20">E432&amp;"|"&amp;C432</f>
        <v>MCI-00670|Hombres en entornos de alta prevalencia</v>
      </c>
      <c r="H432" s="4" t="str">
        <f t="shared" ref="H432:H495" si="21">E432&amp;"|"&amp;F432</f>
        <v>MCI-00670|MCI-00874</v>
      </c>
      <c r="I432" s="4" t="str">
        <f t="shared" ref="I432:I495" si="22">B432</f>
        <v>a1O1R000006c5kmUAA</v>
      </c>
      <c r="J432" s="6" t="s">
        <v>2379</v>
      </c>
      <c r="K432" s="6" t="s">
        <v>2380</v>
      </c>
      <c r="L432" s="6" t="s">
        <v>2381</v>
      </c>
      <c r="M432" s="4" t="s">
        <v>663</v>
      </c>
    </row>
    <row r="433" spans="1:13">
      <c r="A433" s="4" t="s">
        <v>2376</v>
      </c>
      <c r="B433" s="4" t="s">
        <v>2382</v>
      </c>
      <c r="C433" s="4" t="str">
        <f>CHOOSE(Translations!$C$1+1,J433,K433,L433,)</f>
        <v>HSH</v>
      </c>
      <c r="D433" s="4"/>
      <c r="E433" s="4" t="s">
        <v>1642</v>
      </c>
      <c r="F433" s="6" t="s">
        <v>2383</v>
      </c>
      <c r="G433" s="4" t="str">
        <f t="shared" si="20"/>
        <v>MCI-00670|HSH</v>
      </c>
      <c r="H433" s="4" t="str">
        <f t="shared" si="21"/>
        <v>MCI-00670|MCI-00815</v>
      </c>
      <c r="I433" s="4" t="str">
        <f t="shared" si="22"/>
        <v>a1O1R000006c5jpUAA</v>
      </c>
      <c r="J433" s="6" t="s">
        <v>2384</v>
      </c>
      <c r="K433" s="6" t="s">
        <v>2385</v>
      </c>
      <c r="L433" s="6" t="s">
        <v>505</v>
      </c>
      <c r="M433" s="4" t="s">
        <v>663</v>
      </c>
    </row>
    <row r="434" spans="1:13">
      <c r="A434" s="4" t="s">
        <v>2376</v>
      </c>
      <c r="B434" s="4" t="s">
        <v>2386</v>
      </c>
      <c r="C434" s="4" t="str">
        <f>CHOOSE(Translations!$C$1+1,J434,K434,L434,)</f>
        <v>Trabajadores sexuales y sus clientes</v>
      </c>
      <c r="D434" s="4"/>
      <c r="E434" s="4" t="s">
        <v>1642</v>
      </c>
      <c r="F434" s="6" t="s">
        <v>2387</v>
      </c>
      <c r="G434" s="4" t="str">
        <f t="shared" si="20"/>
        <v>MCI-00670|Trabajadores sexuales y sus clientes</v>
      </c>
      <c r="H434" s="4" t="str">
        <f t="shared" si="21"/>
        <v>MCI-00670|MCI-00824</v>
      </c>
      <c r="I434" s="4" t="str">
        <f t="shared" si="22"/>
        <v>a1O1R000006c5jyUAA</v>
      </c>
      <c r="J434" s="6" t="s">
        <v>2388</v>
      </c>
      <c r="K434" s="6" t="s">
        <v>2389</v>
      </c>
      <c r="L434" s="6" t="s">
        <v>2390</v>
      </c>
      <c r="M434" s="4" t="s">
        <v>663</v>
      </c>
    </row>
    <row r="435" spans="1:13">
      <c r="A435" s="4" t="s">
        <v>2376</v>
      </c>
      <c r="B435" s="4" t="s">
        <v>2391</v>
      </c>
      <c r="C435" s="4" t="str">
        <f>CHOOSE(Translations!$C$1+1,J435,K435,L435,)</f>
        <v>Personas transgénero</v>
      </c>
      <c r="D435" s="4"/>
      <c r="E435" s="4" t="s">
        <v>1642</v>
      </c>
      <c r="F435" s="6" t="s">
        <v>2392</v>
      </c>
      <c r="G435" s="4" t="str">
        <f t="shared" si="20"/>
        <v>MCI-00670|Personas transgénero</v>
      </c>
      <c r="H435" s="4" t="str">
        <f t="shared" si="21"/>
        <v>MCI-00670|MCI-00833</v>
      </c>
      <c r="I435" s="4" t="str">
        <f t="shared" si="22"/>
        <v>a1O1R000006c5k7UAA</v>
      </c>
      <c r="J435" s="6" t="s">
        <v>2393</v>
      </c>
      <c r="K435" s="6" t="s">
        <v>2394</v>
      </c>
      <c r="L435" s="6" t="s">
        <v>2395</v>
      </c>
      <c r="M435" s="4" t="s">
        <v>663</v>
      </c>
    </row>
    <row r="436" spans="1:13">
      <c r="A436" s="4" t="s">
        <v>2376</v>
      </c>
      <c r="B436" s="4" t="s">
        <v>2396</v>
      </c>
      <c r="C436" s="4" t="str">
        <f>CHOOSE(Translations!$C$1+1,J436,K436,L436,)</f>
        <v>Consumidores de drogas inyectables y sus parejas</v>
      </c>
      <c r="D436" s="4"/>
      <c r="E436" s="4" t="s">
        <v>1642</v>
      </c>
      <c r="F436" s="6" t="s">
        <v>2397</v>
      </c>
      <c r="G436" s="4" t="str">
        <f t="shared" si="20"/>
        <v>MCI-00670|Consumidores de drogas inyectables y sus parejas</v>
      </c>
      <c r="H436" s="4" t="str">
        <f t="shared" si="21"/>
        <v>MCI-00670|MCI-00845</v>
      </c>
      <c r="I436" s="4" t="str">
        <f t="shared" si="22"/>
        <v>a1O1R000006c5kJUAQ</v>
      </c>
      <c r="J436" s="6" t="s">
        <v>2398</v>
      </c>
      <c r="K436" s="6" t="s">
        <v>2399</v>
      </c>
      <c r="L436" s="6" t="s">
        <v>2400</v>
      </c>
      <c r="M436" s="4" t="s">
        <v>663</v>
      </c>
    </row>
    <row r="437" spans="1:13">
      <c r="A437" s="4" t="s">
        <v>2376</v>
      </c>
      <c r="B437" s="4" t="s">
        <v>2401</v>
      </c>
      <c r="C437" s="4" t="str">
        <f>CHOOSE(Translations!$C$1+1,J437,K437,L437,)</f>
        <v>Personas privadas de libertad en centros penitenciarios y otros lugares de reclusión</v>
      </c>
      <c r="D437" s="4"/>
      <c r="E437" s="4" t="s">
        <v>1642</v>
      </c>
      <c r="F437" s="6" t="s">
        <v>2402</v>
      </c>
      <c r="G437" s="4" t="str">
        <f t="shared" si="20"/>
        <v>MCI-00670|Personas privadas de libertad en centros penitenciarios y otros lugares de reclusión</v>
      </c>
      <c r="H437" s="4" t="str">
        <f t="shared" si="21"/>
        <v>MCI-00670|MCI-00853</v>
      </c>
      <c r="I437" s="4" t="str">
        <f t="shared" si="22"/>
        <v>a1O1R000006c5kRUAQ</v>
      </c>
      <c r="J437" s="6" t="s">
        <v>2403</v>
      </c>
      <c r="K437" s="6" t="s">
        <v>2404</v>
      </c>
      <c r="L437" s="6" t="s">
        <v>2405</v>
      </c>
      <c r="M437" s="4" t="s">
        <v>663</v>
      </c>
    </row>
    <row r="438" spans="1:13">
      <c r="A438" s="4" t="s">
        <v>2376</v>
      </c>
      <c r="B438" s="4" t="s">
        <v>2406</v>
      </c>
      <c r="C438" s="4" t="str">
        <f>CHOOSE(Translations!$C$1+1,J438,K438,L438,)</f>
        <v>Otras poblaciones vulnerables</v>
      </c>
      <c r="D438" s="4"/>
      <c r="E438" s="4" t="s">
        <v>1642</v>
      </c>
      <c r="F438" s="6" t="s">
        <v>2407</v>
      </c>
      <c r="G438" s="4" t="str">
        <f t="shared" si="20"/>
        <v>MCI-00670|Otras poblaciones vulnerables</v>
      </c>
      <c r="H438" s="4" t="str">
        <f t="shared" si="21"/>
        <v>MCI-00670|MCI-00861</v>
      </c>
      <c r="I438" s="4" t="str">
        <f t="shared" si="22"/>
        <v>a1O1R000006c5kZUAQ</v>
      </c>
      <c r="J438" s="6" t="s">
        <v>2408</v>
      </c>
      <c r="K438" s="6" t="s">
        <v>2409</v>
      </c>
      <c r="L438" s="6" t="s">
        <v>2410</v>
      </c>
      <c r="M438" s="4" t="s">
        <v>663</v>
      </c>
    </row>
    <row r="439" spans="1:13">
      <c r="A439" s="4" t="s">
        <v>2376</v>
      </c>
      <c r="B439" s="4" t="s">
        <v>2411</v>
      </c>
      <c r="C439" s="4" t="str">
        <f>CHOOSE(Translations!$C$1+1,J439,K439,L439,)</f>
        <v>Niñas adolescentes y mujeres jóvenes en entornos de alta prevalencia</v>
      </c>
      <c r="D439" s="4"/>
      <c r="E439" s="4" t="s">
        <v>1642</v>
      </c>
      <c r="F439" s="6" t="s">
        <v>2412</v>
      </c>
      <c r="G439" s="4" t="str">
        <f t="shared" si="20"/>
        <v>MCI-00670|Niñas adolescentes y mujeres jóvenes en entornos de alta prevalencia</v>
      </c>
      <c r="H439" s="4" t="str">
        <f t="shared" si="21"/>
        <v>MCI-00670|MCI-00864</v>
      </c>
      <c r="I439" s="4" t="str">
        <f t="shared" si="22"/>
        <v>a1O1R000006c5kcUAA</v>
      </c>
      <c r="J439" s="6" t="s">
        <v>2413</v>
      </c>
      <c r="K439" s="6" t="s">
        <v>2414</v>
      </c>
      <c r="L439" s="6" t="s">
        <v>2415</v>
      </c>
      <c r="M439" s="4" t="s">
        <v>663</v>
      </c>
    </row>
    <row r="440" spans="1:13">
      <c r="A440" s="4" t="s">
        <v>2376</v>
      </c>
      <c r="B440" s="4" t="s">
        <v>2416</v>
      </c>
      <c r="C440" s="4" t="str">
        <f>CHOOSE(Translations!$C$1+1,J440,K440,L440,)</f>
        <v>Hombres en entornos de alta prevalencia</v>
      </c>
      <c r="D440" s="4"/>
      <c r="E440" s="4" t="s">
        <v>1692</v>
      </c>
      <c r="F440" s="6" t="s">
        <v>2417</v>
      </c>
      <c r="G440" s="4" t="str">
        <f t="shared" si="20"/>
        <v>MCI-00671|Hombres en entornos de alta prevalencia</v>
      </c>
      <c r="H440" s="4" t="str">
        <f t="shared" si="21"/>
        <v>MCI-00671|MCI-00875</v>
      </c>
      <c r="I440" s="4" t="str">
        <f t="shared" si="22"/>
        <v>a1O1R000006c5knUAA</v>
      </c>
      <c r="J440" s="6" t="s">
        <v>2379</v>
      </c>
      <c r="K440" s="6" t="s">
        <v>2380</v>
      </c>
      <c r="L440" s="6" t="s">
        <v>2381</v>
      </c>
      <c r="M440" s="4" t="s">
        <v>663</v>
      </c>
    </row>
    <row r="441" spans="1:13">
      <c r="A441" s="4" t="s">
        <v>2376</v>
      </c>
      <c r="B441" s="4" t="s">
        <v>2418</v>
      </c>
      <c r="C441" s="4" t="str">
        <f>CHOOSE(Translations!$C$1+1,J441,K441,L441,)</f>
        <v>HSH</v>
      </c>
      <c r="D441" s="4"/>
      <c r="E441" s="4" t="s">
        <v>1692</v>
      </c>
      <c r="F441" s="6" t="s">
        <v>2419</v>
      </c>
      <c r="G441" s="4" t="str">
        <f t="shared" si="20"/>
        <v>MCI-00671|HSH</v>
      </c>
      <c r="H441" s="4" t="str">
        <f t="shared" si="21"/>
        <v>MCI-00671|MCI-00816</v>
      </c>
      <c r="I441" s="4" t="str">
        <f t="shared" si="22"/>
        <v>a1O1R000006c5jqUAA</v>
      </c>
      <c r="J441" s="6" t="s">
        <v>2384</v>
      </c>
      <c r="K441" s="6" t="s">
        <v>2385</v>
      </c>
      <c r="L441" s="6" t="s">
        <v>505</v>
      </c>
      <c r="M441" s="4" t="s">
        <v>663</v>
      </c>
    </row>
    <row r="442" spans="1:13">
      <c r="A442" s="4" t="s">
        <v>2376</v>
      </c>
      <c r="B442" s="4" t="s">
        <v>2420</v>
      </c>
      <c r="C442" s="4" t="str">
        <f>CHOOSE(Translations!$C$1+1,J442,K442,L442,)</f>
        <v>Trabajadores sexuales y sus clientes</v>
      </c>
      <c r="D442" s="4"/>
      <c r="E442" s="4" t="s">
        <v>1692</v>
      </c>
      <c r="F442" s="6" t="s">
        <v>2421</v>
      </c>
      <c r="G442" s="4" t="str">
        <f t="shared" si="20"/>
        <v>MCI-00671|Trabajadores sexuales y sus clientes</v>
      </c>
      <c r="H442" s="4" t="str">
        <f t="shared" si="21"/>
        <v>MCI-00671|MCI-00825</v>
      </c>
      <c r="I442" s="4" t="str">
        <f t="shared" si="22"/>
        <v>a1O1R000006c5jzUAA</v>
      </c>
      <c r="J442" s="6" t="s">
        <v>2388</v>
      </c>
      <c r="K442" s="6" t="s">
        <v>2389</v>
      </c>
      <c r="L442" s="6" t="s">
        <v>2390</v>
      </c>
      <c r="M442" s="4" t="s">
        <v>663</v>
      </c>
    </row>
    <row r="443" spans="1:13">
      <c r="A443" s="4" t="s">
        <v>2376</v>
      </c>
      <c r="B443" s="4" t="s">
        <v>2422</v>
      </c>
      <c r="C443" s="4" t="str">
        <f>CHOOSE(Translations!$C$1+1,J443,K443,L443,)</f>
        <v>Personas transgénero</v>
      </c>
      <c r="D443" s="4"/>
      <c r="E443" s="4" t="s">
        <v>1692</v>
      </c>
      <c r="F443" s="6" t="s">
        <v>2423</v>
      </c>
      <c r="G443" s="4" t="str">
        <f t="shared" si="20"/>
        <v>MCI-00671|Personas transgénero</v>
      </c>
      <c r="H443" s="4" t="str">
        <f t="shared" si="21"/>
        <v>MCI-00671|MCI-00834</v>
      </c>
      <c r="I443" s="4" t="str">
        <f t="shared" si="22"/>
        <v>a1O1R000006c5k8UAA</v>
      </c>
      <c r="J443" s="6" t="s">
        <v>2393</v>
      </c>
      <c r="K443" s="6" t="s">
        <v>2394</v>
      </c>
      <c r="L443" s="6" t="s">
        <v>2395</v>
      </c>
      <c r="M443" s="4" t="s">
        <v>663</v>
      </c>
    </row>
    <row r="444" spans="1:13">
      <c r="A444" s="4" t="s">
        <v>2376</v>
      </c>
      <c r="B444" s="4" t="s">
        <v>2424</v>
      </c>
      <c r="C444" s="4" t="str">
        <f>CHOOSE(Translations!$C$1+1,J444,K444,L444,)</f>
        <v>Consumidores de drogas inyectables y sus parejas</v>
      </c>
      <c r="D444" s="4"/>
      <c r="E444" s="4" t="s">
        <v>1692</v>
      </c>
      <c r="F444" s="6" t="s">
        <v>2425</v>
      </c>
      <c r="G444" s="4" t="str">
        <f t="shared" si="20"/>
        <v>MCI-00671|Consumidores de drogas inyectables y sus parejas</v>
      </c>
      <c r="H444" s="4" t="str">
        <f t="shared" si="21"/>
        <v>MCI-00671|MCI-00846</v>
      </c>
      <c r="I444" s="4" t="str">
        <f t="shared" si="22"/>
        <v>a1O1R000006c5kKUAQ</v>
      </c>
      <c r="J444" s="6" t="s">
        <v>2398</v>
      </c>
      <c r="K444" s="6" t="s">
        <v>2399</v>
      </c>
      <c r="L444" s="6" t="s">
        <v>2400</v>
      </c>
      <c r="M444" s="4" t="s">
        <v>663</v>
      </c>
    </row>
    <row r="445" spans="1:13">
      <c r="A445" s="4" t="s">
        <v>2376</v>
      </c>
      <c r="B445" s="4" t="s">
        <v>2426</v>
      </c>
      <c r="C445" s="4" t="str">
        <f>CHOOSE(Translations!$C$1+1,J445,K445,L445,)</f>
        <v>Personas privadas de libertad en centros penitenciarios y otros lugares de reclusión</v>
      </c>
      <c r="D445" s="4"/>
      <c r="E445" s="4" t="s">
        <v>1692</v>
      </c>
      <c r="F445" s="6" t="s">
        <v>2427</v>
      </c>
      <c r="G445" s="4" t="str">
        <f t="shared" si="20"/>
        <v>MCI-00671|Personas privadas de libertad en centros penitenciarios y otros lugares de reclusión</v>
      </c>
      <c r="H445" s="4" t="str">
        <f t="shared" si="21"/>
        <v>MCI-00671|MCI-00854</v>
      </c>
      <c r="I445" s="4" t="str">
        <f t="shared" si="22"/>
        <v>a1O1R000006c5kSUAQ</v>
      </c>
      <c r="J445" s="6" t="s">
        <v>2403</v>
      </c>
      <c r="K445" s="6" t="s">
        <v>2404</v>
      </c>
      <c r="L445" s="6" t="s">
        <v>2405</v>
      </c>
      <c r="M445" s="4" t="s">
        <v>663</v>
      </c>
    </row>
    <row r="446" spans="1:13">
      <c r="A446" s="4" t="s">
        <v>2376</v>
      </c>
      <c r="B446" s="4" t="s">
        <v>2428</v>
      </c>
      <c r="C446" s="4" t="str">
        <f>CHOOSE(Translations!$C$1+1,J446,K446,L446,)</f>
        <v>Niñas adolescentes y mujeres jóvenes en entornos de alta prevalencia</v>
      </c>
      <c r="D446" s="4"/>
      <c r="E446" s="4" t="s">
        <v>1692</v>
      </c>
      <c r="F446" s="6" t="s">
        <v>2429</v>
      </c>
      <c r="G446" s="4" t="str">
        <f t="shared" si="20"/>
        <v>MCI-00671|Niñas adolescentes y mujeres jóvenes en entornos de alta prevalencia</v>
      </c>
      <c r="H446" s="4" t="str">
        <f t="shared" si="21"/>
        <v>MCI-00671|MCI-00865</v>
      </c>
      <c r="I446" s="4" t="str">
        <f t="shared" si="22"/>
        <v>a1O1R000006c5kdUAA</v>
      </c>
      <c r="J446" s="6" t="s">
        <v>2413</v>
      </c>
      <c r="K446" s="6" t="s">
        <v>2414</v>
      </c>
      <c r="L446" s="6" t="s">
        <v>2415</v>
      </c>
      <c r="M446" s="4" t="s">
        <v>663</v>
      </c>
    </row>
    <row r="447" spans="1:13">
      <c r="A447" s="4" t="s">
        <v>2376</v>
      </c>
      <c r="B447" s="4" t="s">
        <v>2430</v>
      </c>
      <c r="C447" s="4" t="str">
        <f>CHOOSE(Translations!$C$1+1,J447,K447,L447,)</f>
        <v>Hombres en entornos de alta prevalencia</v>
      </c>
      <c r="D447" s="4"/>
      <c r="E447" s="4" t="s">
        <v>1627</v>
      </c>
      <c r="F447" s="6" t="s">
        <v>2431</v>
      </c>
      <c r="G447" s="4" t="str">
        <f t="shared" si="20"/>
        <v>MCI-00672|Hombres en entornos de alta prevalencia</v>
      </c>
      <c r="H447" s="4" t="str">
        <f t="shared" si="21"/>
        <v>MCI-00672|MCI-00876</v>
      </c>
      <c r="I447" s="4" t="str">
        <f t="shared" si="22"/>
        <v>a1O1R000006c5koUAA</v>
      </c>
      <c r="J447" s="6" t="s">
        <v>2379</v>
      </c>
      <c r="K447" s="6" t="s">
        <v>2380</v>
      </c>
      <c r="L447" s="6" t="s">
        <v>2381</v>
      </c>
      <c r="M447" s="4" t="s">
        <v>663</v>
      </c>
    </row>
    <row r="448" spans="1:13">
      <c r="A448" s="4" t="s">
        <v>2376</v>
      </c>
      <c r="B448" s="4" t="s">
        <v>2432</v>
      </c>
      <c r="C448" s="4" t="str">
        <f>CHOOSE(Translations!$C$1+1,J448,K448,L448,)</f>
        <v>HSH</v>
      </c>
      <c r="D448" s="4"/>
      <c r="E448" s="4" t="s">
        <v>1627</v>
      </c>
      <c r="F448" s="6" t="s">
        <v>2433</v>
      </c>
      <c r="G448" s="4" t="str">
        <f t="shared" si="20"/>
        <v>MCI-00672|HSH</v>
      </c>
      <c r="H448" s="4" t="str">
        <f t="shared" si="21"/>
        <v>MCI-00672|MCI-00817</v>
      </c>
      <c r="I448" s="4" t="str">
        <f t="shared" si="22"/>
        <v>a1O1R000006c5jrUAA</v>
      </c>
      <c r="J448" s="6" t="s">
        <v>2384</v>
      </c>
      <c r="K448" s="6" t="s">
        <v>2385</v>
      </c>
      <c r="L448" s="6" t="s">
        <v>505</v>
      </c>
      <c r="M448" s="4" t="s">
        <v>663</v>
      </c>
    </row>
    <row r="449" spans="1:13">
      <c r="A449" s="4" t="s">
        <v>2376</v>
      </c>
      <c r="B449" s="4" t="s">
        <v>2434</v>
      </c>
      <c r="C449" s="4" t="str">
        <f>CHOOSE(Translations!$C$1+1,J449,K449,L449,)</f>
        <v>Trabajadores sexuales y sus clientes</v>
      </c>
      <c r="D449" s="4"/>
      <c r="E449" s="4" t="s">
        <v>1627</v>
      </c>
      <c r="F449" s="6" t="s">
        <v>2435</v>
      </c>
      <c r="G449" s="4" t="str">
        <f t="shared" si="20"/>
        <v>MCI-00672|Trabajadores sexuales y sus clientes</v>
      </c>
      <c r="H449" s="4" t="str">
        <f t="shared" si="21"/>
        <v>MCI-00672|MCI-00826</v>
      </c>
      <c r="I449" s="4" t="str">
        <f t="shared" si="22"/>
        <v>a1O1R000006c5k0UAA</v>
      </c>
      <c r="J449" s="6" t="s">
        <v>2388</v>
      </c>
      <c r="K449" s="6" t="s">
        <v>2389</v>
      </c>
      <c r="L449" s="6" t="s">
        <v>2390</v>
      </c>
      <c r="M449" s="4" t="s">
        <v>663</v>
      </c>
    </row>
    <row r="450" spans="1:13">
      <c r="A450" s="4" t="s">
        <v>2376</v>
      </c>
      <c r="B450" s="4" t="s">
        <v>2436</v>
      </c>
      <c r="C450" s="4" t="str">
        <f>CHOOSE(Translations!$C$1+1,J450,K450,L450,)</f>
        <v>Personas transgénero</v>
      </c>
      <c r="D450" s="4"/>
      <c r="E450" s="4" t="s">
        <v>1627</v>
      </c>
      <c r="F450" s="6" t="s">
        <v>2437</v>
      </c>
      <c r="G450" s="4" t="str">
        <f t="shared" si="20"/>
        <v>MCI-00672|Personas transgénero</v>
      </c>
      <c r="H450" s="4" t="str">
        <f t="shared" si="21"/>
        <v>MCI-00672|MCI-00835</v>
      </c>
      <c r="I450" s="4" t="str">
        <f t="shared" si="22"/>
        <v>a1O1R000006c5k9UAA</v>
      </c>
      <c r="J450" s="6" t="s">
        <v>2393</v>
      </c>
      <c r="K450" s="6" t="s">
        <v>2394</v>
      </c>
      <c r="L450" s="6" t="s">
        <v>2395</v>
      </c>
      <c r="M450" s="4" t="s">
        <v>663</v>
      </c>
    </row>
    <row r="451" spans="1:13">
      <c r="A451" s="4" t="s">
        <v>2376</v>
      </c>
      <c r="B451" s="4" t="s">
        <v>2438</v>
      </c>
      <c r="C451" s="4" t="str">
        <f>CHOOSE(Translations!$C$1+1,J451,K451,L451,)</f>
        <v>Consumidores de drogas inyectables y sus parejas</v>
      </c>
      <c r="D451" s="4"/>
      <c r="E451" s="4" t="s">
        <v>1627</v>
      </c>
      <c r="F451" s="6" t="s">
        <v>2439</v>
      </c>
      <c r="G451" s="4" t="str">
        <f t="shared" si="20"/>
        <v>MCI-00672|Consumidores de drogas inyectables y sus parejas</v>
      </c>
      <c r="H451" s="4" t="str">
        <f t="shared" si="21"/>
        <v>MCI-00672|MCI-00847</v>
      </c>
      <c r="I451" s="4" t="str">
        <f t="shared" si="22"/>
        <v>a1O1R000006c5kLUAQ</v>
      </c>
      <c r="J451" s="6" t="s">
        <v>2398</v>
      </c>
      <c r="K451" s="6" t="s">
        <v>2399</v>
      </c>
      <c r="L451" s="6" t="s">
        <v>2400</v>
      </c>
      <c r="M451" s="4" t="s">
        <v>663</v>
      </c>
    </row>
    <row r="452" spans="1:13">
      <c r="A452" s="4" t="s">
        <v>2376</v>
      </c>
      <c r="B452" s="4" t="s">
        <v>2440</v>
      </c>
      <c r="C452" s="4" t="str">
        <f>CHOOSE(Translations!$C$1+1,J452,K452,L452,)</f>
        <v>Personas privadas de libertad en centros penitenciarios y otros lugares de reclusión</v>
      </c>
      <c r="D452" s="4"/>
      <c r="E452" s="4" t="s">
        <v>1627</v>
      </c>
      <c r="F452" s="6" t="s">
        <v>2441</v>
      </c>
      <c r="G452" s="4" t="str">
        <f t="shared" si="20"/>
        <v>MCI-00672|Personas privadas de libertad en centros penitenciarios y otros lugares de reclusión</v>
      </c>
      <c r="H452" s="4" t="str">
        <f t="shared" si="21"/>
        <v>MCI-00672|MCI-00855</v>
      </c>
      <c r="I452" s="4" t="str">
        <f t="shared" si="22"/>
        <v>a1O1R000006c5kTUAQ</v>
      </c>
      <c r="J452" s="6" t="s">
        <v>2403</v>
      </c>
      <c r="K452" s="6" t="s">
        <v>2404</v>
      </c>
      <c r="L452" s="6" t="s">
        <v>2405</v>
      </c>
      <c r="M452" s="4" t="s">
        <v>663</v>
      </c>
    </row>
    <row r="453" spans="1:13">
      <c r="A453" s="4" t="s">
        <v>2376</v>
      </c>
      <c r="B453" s="4" t="s">
        <v>2442</v>
      </c>
      <c r="C453" s="4" t="str">
        <f>CHOOSE(Translations!$C$1+1,J453,K453,L453,)</f>
        <v>Otras poblaciones vulnerables</v>
      </c>
      <c r="D453" s="4"/>
      <c r="E453" s="4" t="s">
        <v>1627</v>
      </c>
      <c r="F453" s="6" t="s">
        <v>2443</v>
      </c>
      <c r="G453" s="4" t="str">
        <f t="shared" si="20"/>
        <v>MCI-00672|Otras poblaciones vulnerables</v>
      </c>
      <c r="H453" s="4" t="str">
        <f t="shared" si="21"/>
        <v>MCI-00672|MCI-00862</v>
      </c>
      <c r="I453" s="4" t="str">
        <f t="shared" si="22"/>
        <v>a1O1R000006c5kaUAA</v>
      </c>
      <c r="J453" s="6" t="s">
        <v>2408</v>
      </c>
      <c r="K453" s="6" t="s">
        <v>2409</v>
      </c>
      <c r="L453" s="6" t="s">
        <v>2410</v>
      </c>
      <c r="M453" s="4" t="s">
        <v>663</v>
      </c>
    </row>
    <row r="454" spans="1:13">
      <c r="A454" s="4" t="s">
        <v>2376</v>
      </c>
      <c r="B454" s="4" t="s">
        <v>2444</v>
      </c>
      <c r="C454" s="4" t="str">
        <f>CHOOSE(Translations!$C$1+1,J454,K454,L454,)</f>
        <v>Niñas adolescentes y mujeres jóvenes en entornos de alta prevalencia</v>
      </c>
      <c r="D454" s="4"/>
      <c r="E454" s="4" t="s">
        <v>1627</v>
      </c>
      <c r="F454" s="6" t="s">
        <v>2445</v>
      </c>
      <c r="G454" s="4" t="str">
        <f t="shared" si="20"/>
        <v>MCI-00672|Niñas adolescentes y mujeres jóvenes en entornos de alta prevalencia</v>
      </c>
      <c r="H454" s="4" t="str">
        <f t="shared" si="21"/>
        <v>MCI-00672|MCI-00866</v>
      </c>
      <c r="I454" s="4" t="str">
        <f t="shared" si="22"/>
        <v>a1O1R000006c5keUAA</v>
      </c>
      <c r="J454" s="6" t="s">
        <v>2413</v>
      </c>
      <c r="K454" s="6" t="s">
        <v>2414</v>
      </c>
      <c r="L454" s="6" t="s">
        <v>2415</v>
      </c>
      <c r="M454" s="4" t="s">
        <v>663</v>
      </c>
    </row>
    <row r="455" spans="1:13">
      <c r="A455" s="4" t="s">
        <v>2376</v>
      </c>
      <c r="B455" s="4" t="s">
        <v>2446</v>
      </c>
      <c r="C455" s="4" t="str">
        <f>CHOOSE(Translations!$C$1+1,J455,K455,L455,)</f>
        <v>HSH</v>
      </c>
      <c r="D455" s="4"/>
      <c r="E455" s="4" t="s">
        <v>1632</v>
      </c>
      <c r="F455" s="6" t="s">
        <v>2447</v>
      </c>
      <c r="G455" s="4" t="str">
        <f t="shared" si="20"/>
        <v>MCI-00673|HSH</v>
      </c>
      <c r="H455" s="4" t="str">
        <f t="shared" si="21"/>
        <v>MCI-00673|MCI-00818</v>
      </c>
      <c r="I455" s="4" t="str">
        <f t="shared" si="22"/>
        <v>a1O1R000006c5jsUAA</v>
      </c>
      <c r="J455" s="6" t="s">
        <v>2384</v>
      </c>
      <c r="K455" s="6" t="s">
        <v>2385</v>
      </c>
      <c r="L455" s="6" t="s">
        <v>505</v>
      </c>
      <c r="M455" s="4" t="s">
        <v>663</v>
      </c>
    </row>
    <row r="456" spans="1:13">
      <c r="A456" s="4" t="s">
        <v>2376</v>
      </c>
      <c r="B456" s="4" t="s">
        <v>2448</v>
      </c>
      <c r="C456" s="4" t="str">
        <f>CHOOSE(Translations!$C$1+1,J456,K456,L456,)</f>
        <v>Trabajadores sexuales y sus clientes</v>
      </c>
      <c r="D456" s="4"/>
      <c r="E456" s="4" t="s">
        <v>1632</v>
      </c>
      <c r="F456" s="6" t="s">
        <v>2449</v>
      </c>
      <c r="G456" s="4" t="str">
        <f t="shared" si="20"/>
        <v>MCI-00673|Trabajadores sexuales y sus clientes</v>
      </c>
      <c r="H456" s="4" t="str">
        <f t="shared" si="21"/>
        <v>MCI-00673|MCI-00827</v>
      </c>
      <c r="I456" s="4" t="str">
        <f t="shared" si="22"/>
        <v>a1O1R000006c5k1UAA</v>
      </c>
      <c r="J456" s="6" t="s">
        <v>2388</v>
      </c>
      <c r="K456" s="6" t="s">
        <v>2389</v>
      </c>
      <c r="L456" s="6" t="s">
        <v>2390</v>
      </c>
      <c r="M456" s="4" t="s">
        <v>663</v>
      </c>
    </row>
    <row r="457" spans="1:13">
      <c r="A457" s="4" t="s">
        <v>2376</v>
      </c>
      <c r="B457" s="4" t="s">
        <v>2450</v>
      </c>
      <c r="C457" s="4" t="str">
        <f>CHOOSE(Translations!$C$1+1,J457,K457,L457,)</f>
        <v>Personas transgénero</v>
      </c>
      <c r="D457" s="4"/>
      <c r="E457" s="4" t="s">
        <v>1632</v>
      </c>
      <c r="F457" s="6" t="s">
        <v>2451</v>
      </c>
      <c r="G457" s="4" t="str">
        <f t="shared" si="20"/>
        <v>MCI-00673|Personas transgénero</v>
      </c>
      <c r="H457" s="4" t="str">
        <f t="shared" si="21"/>
        <v>MCI-00673|MCI-00836</v>
      </c>
      <c r="I457" s="4" t="str">
        <f t="shared" si="22"/>
        <v>a1O1R000006c5kAUAQ</v>
      </c>
      <c r="J457" s="6" t="s">
        <v>2393</v>
      </c>
      <c r="K457" s="6" t="s">
        <v>2394</v>
      </c>
      <c r="L457" s="6" t="s">
        <v>2395</v>
      </c>
      <c r="M457" s="4" t="s">
        <v>663</v>
      </c>
    </row>
    <row r="458" spans="1:13">
      <c r="A458" s="4" t="s">
        <v>2376</v>
      </c>
      <c r="B458" s="4" t="s">
        <v>2452</v>
      </c>
      <c r="C458" s="4" t="str">
        <f>CHOOSE(Translations!$C$1+1,J458,K458,L458,)</f>
        <v>Consumidores de drogas inyectables y sus parejas</v>
      </c>
      <c r="D458" s="4"/>
      <c r="E458" s="4" t="s">
        <v>1632</v>
      </c>
      <c r="F458" s="6" t="s">
        <v>2453</v>
      </c>
      <c r="G458" s="4" t="str">
        <f t="shared" si="20"/>
        <v>MCI-00673|Consumidores de drogas inyectables y sus parejas</v>
      </c>
      <c r="H458" s="4" t="str">
        <f t="shared" si="21"/>
        <v>MCI-00673|MCI-00848</v>
      </c>
      <c r="I458" s="4" t="str">
        <f t="shared" si="22"/>
        <v>a1O1R000006c5kMUAQ</v>
      </c>
      <c r="J458" s="6" t="s">
        <v>2398</v>
      </c>
      <c r="K458" s="6" t="s">
        <v>2399</v>
      </c>
      <c r="L458" s="6" t="s">
        <v>2400</v>
      </c>
      <c r="M458" s="4" t="s">
        <v>663</v>
      </c>
    </row>
    <row r="459" spans="1:13">
      <c r="A459" s="4" t="s">
        <v>2376</v>
      </c>
      <c r="B459" s="4" t="s">
        <v>2454</v>
      </c>
      <c r="C459" s="4" t="str">
        <f>CHOOSE(Translations!$C$1+1,J459,K459,L459,)</f>
        <v>Personas privadas de libertad en centros penitenciarios y otros lugares de reclusión</v>
      </c>
      <c r="D459" s="4"/>
      <c r="E459" s="4" t="s">
        <v>1632</v>
      </c>
      <c r="F459" s="6" t="s">
        <v>2455</v>
      </c>
      <c r="G459" s="4" t="str">
        <f t="shared" si="20"/>
        <v>MCI-00673|Personas privadas de libertad en centros penitenciarios y otros lugares de reclusión</v>
      </c>
      <c r="H459" s="4" t="str">
        <f t="shared" si="21"/>
        <v>MCI-00673|MCI-00856</v>
      </c>
      <c r="I459" s="4" t="str">
        <f t="shared" si="22"/>
        <v>a1O1R000006c5kUUAQ</v>
      </c>
      <c r="J459" s="6" t="s">
        <v>2403</v>
      </c>
      <c r="K459" s="6" t="s">
        <v>2404</v>
      </c>
      <c r="L459" s="6" t="s">
        <v>2405</v>
      </c>
      <c r="M459" s="4" t="s">
        <v>663</v>
      </c>
    </row>
    <row r="460" spans="1:13">
      <c r="A460" s="4" t="s">
        <v>2376</v>
      </c>
      <c r="B460" s="4" t="s">
        <v>2456</v>
      </c>
      <c r="C460" s="4" t="str">
        <f>CHOOSE(Translations!$C$1+1,J460,K460,L460,)</f>
        <v>Hombres en entornos de alta prevalencia</v>
      </c>
      <c r="D460" s="4"/>
      <c r="E460" s="4" t="s">
        <v>1701</v>
      </c>
      <c r="F460" s="6" t="s">
        <v>2457</v>
      </c>
      <c r="G460" s="4" t="str">
        <f t="shared" si="20"/>
        <v>MCI-00674|Hombres en entornos de alta prevalencia</v>
      </c>
      <c r="H460" s="4" t="str">
        <f t="shared" si="21"/>
        <v>MCI-00674|MCI-00877</v>
      </c>
      <c r="I460" s="4" t="str">
        <f t="shared" si="22"/>
        <v>a1O1R000006c5kpUAA</v>
      </c>
      <c r="J460" s="6" t="s">
        <v>2379</v>
      </c>
      <c r="K460" s="6" t="s">
        <v>2380</v>
      </c>
      <c r="L460" s="6" t="s">
        <v>2381</v>
      </c>
      <c r="M460" s="4" t="s">
        <v>663</v>
      </c>
    </row>
    <row r="461" spans="1:13">
      <c r="A461" s="4" t="s">
        <v>2376</v>
      </c>
      <c r="B461" s="4" t="s">
        <v>2458</v>
      </c>
      <c r="C461" s="4" t="str">
        <f>CHOOSE(Translations!$C$1+1,J461,K461,L461,)</f>
        <v>HSH</v>
      </c>
      <c r="D461" s="4"/>
      <c r="E461" s="4" t="s">
        <v>1701</v>
      </c>
      <c r="F461" s="6" t="s">
        <v>2459</v>
      </c>
      <c r="G461" s="4" t="str">
        <f t="shared" si="20"/>
        <v>MCI-00674|HSH</v>
      </c>
      <c r="H461" s="4" t="str">
        <f t="shared" si="21"/>
        <v>MCI-00674|MCI-00819</v>
      </c>
      <c r="I461" s="4" t="str">
        <f t="shared" si="22"/>
        <v>a1O1R000006c5jtUAA</v>
      </c>
      <c r="J461" s="6" t="s">
        <v>2384</v>
      </c>
      <c r="K461" s="6" t="s">
        <v>2385</v>
      </c>
      <c r="L461" s="6" t="s">
        <v>505</v>
      </c>
      <c r="M461" s="4" t="s">
        <v>663</v>
      </c>
    </row>
    <row r="462" spans="1:13">
      <c r="A462" s="4" t="s">
        <v>2376</v>
      </c>
      <c r="B462" s="4" t="s">
        <v>2460</v>
      </c>
      <c r="C462" s="4" t="str">
        <f>CHOOSE(Translations!$C$1+1,J462,K462,L462,)</f>
        <v>Trabajadores sexuales y sus clientes</v>
      </c>
      <c r="D462" s="4"/>
      <c r="E462" s="4" t="s">
        <v>1701</v>
      </c>
      <c r="F462" s="6" t="s">
        <v>2461</v>
      </c>
      <c r="G462" s="4" t="str">
        <f t="shared" si="20"/>
        <v>MCI-00674|Trabajadores sexuales y sus clientes</v>
      </c>
      <c r="H462" s="4" t="str">
        <f t="shared" si="21"/>
        <v>MCI-00674|MCI-00828</v>
      </c>
      <c r="I462" s="4" t="str">
        <f t="shared" si="22"/>
        <v>a1O1R000006c5k2UAA</v>
      </c>
      <c r="J462" s="6" t="s">
        <v>2388</v>
      </c>
      <c r="K462" s="6" t="s">
        <v>2389</v>
      </c>
      <c r="L462" s="6" t="s">
        <v>2390</v>
      </c>
      <c r="M462" s="4" t="s">
        <v>663</v>
      </c>
    </row>
    <row r="463" spans="1:13">
      <c r="A463" s="4" t="s">
        <v>2376</v>
      </c>
      <c r="B463" s="4" t="s">
        <v>2462</v>
      </c>
      <c r="C463" s="4" t="str">
        <f>CHOOSE(Translations!$C$1+1,J463,K463,L463,)</f>
        <v>Personas transgénero</v>
      </c>
      <c r="D463" s="4"/>
      <c r="E463" s="4" t="s">
        <v>1701</v>
      </c>
      <c r="F463" s="6" t="s">
        <v>2463</v>
      </c>
      <c r="G463" s="4" t="str">
        <f t="shared" si="20"/>
        <v>MCI-00674|Personas transgénero</v>
      </c>
      <c r="H463" s="4" t="str">
        <f t="shared" si="21"/>
        <v>MCI-00674|MCI-00837</v>
      </c>
      <c r="I463" s="4" t="str">
        <f t="shared" si="22"/>
        <v>a1O1R000006c5kBUAQ</v>
      </c>
      <c r="J463" s="6" t="s">
        <v>2393</v>
      </c>
      <c r="K463" s="6" t="s">
        <v>2394</v>
      </c>
      <c r="L463" s="6" t="s">
        <v>2395</v>
      </c>
      <c r="M463" s="4" t="s">
        <v>663</v>
      </c>
    </row>
    <row r="464" spans="1:13">
      <c r="A464" s="4" t="s">
        <v>2376</v>
      </c>
      <c r="B464" s="4" t="s">
        <v>2464</v>
      </c>
      <c r="C464" s="4" t="str">
        <f>CHOOSE(Translations!$C$1+1,J464,K464,L464,)</f>
        <v>Consumidores de drogas inyectables y sus parejas</v>
      </c>
      <c r="D464" s="4"/>
      <c r="E464" s="4" t="s">
        <v>1701</v>
      </c>
      <c r="F464" s="6" t="s">
        <v>2465</v>
      </c>
      <c r="G464" s="4" t="str">
        <f t="shared" si="20"/>
        <v>MCI-00674|Consumidores de drogas inyectables y sus parejas</v>
      </c>
      <c r="H464" s="4" t="str">
        <f t="shared" si="21"/>
        <v>MCI-00674|MCI-00849</v>
      </c>
      <c r="I464" s="4" t="str">
        <f t="shared" si="22"/>
        <v>a1O1R000006c5kNUAQ</v>
      </c>
      <c r="J464" s="6" t="s">
        <v>2398</v>
      </c>
      <c r="K464" s="6" t="s">
        <v>2399</v>
      </c>
      <c r="L464" s="6" t="s">
        <v>2400</v>
      </c>
      <c r="M464" s="4" t="s">
        <v>663</v>
      </c>
    </row>
    <row r="465" spans="1:13">
      <c r="A465" s="4" t="s">
        <v>2376</v>
      </c>
      <c r="B465" s="4" t="s">
        <v>2466</v>
      </c>
      <c r="C465" s="4" t="str">
        <f>CHOOSE(Translations!$C$1+1,J465,K465,L465,)</f>
        <v>Otras poblaciones vulnerables</v>
      </c>
      <c r="D465" s="4"/>
      <c r="E465" s="4" t="s">
        <v>1701</v>
      </c>
      <c r="F465" s="6" t="s">
        <v>2467</v>
      </c>
      <c r="G465" s="4" t="str">
        <f t="shared" si="20"/>
        <v>MCI-00674|Otras poblaciones vulnerables</v>
      </c>
      <c r="H465" s="4" t="str">
        <f t="shared" si="21"/>
        <v>MCI-00674|MCI-00863</v>
      </c>
      <c r="I465" s="4" t="str">
        <f t="shared" si="22"/>
        <v>a1O1R000006c5kbUAA</v>
      </c>
      <c r="J465" s="6" t="s">
        <v>2408</v>
      </c>
      <c r="K465" s="6" t="s">
        <v>2409</v>
      </c>
      <c r="L465" s="6" t="s">
        <v>2410</v>
      </c>
      <c r="M465" s="4" t="s">
        <v>663</v>
      </c>
    </row>
    <row r="466" spans="1:13">
      <c r="A466" s="4" t="s">
        <v>2376</v>
      </c>
      <c r="B466" s="4" t="s">
        <v>2468</v>
      </c>
      <c r="C466" s="4" t="str">
        <f>CHOOSE(Translations!$C$1+1,J466,K466,L466,)</f>
        <v>Niñas adolescentes y mujeres jóvenes en entornos de alta prevalencia</v>
      </c>
      <c r="D466" s="4"/>
      <c r="E466" s="4" t="s">
        <v>1701</v>
      </c>
      <c r="F466" s="6" t="s">
        <v>2469</v>
      </c>
      <c r="G466" s="4" t="str">
        <f t="shared" si="20"/>
        <v>MCI-00674|Niñas adolescentes y mujeres jóvenes en entornos de alta prevalencia</v>
      </c>
      <c r="H466" s="4" t="str">
        <f t="shared" si="21"/>
        <v>MCI-00674|MCI-00868</v>
      </c>
      <c r="I466" s="4" t="str">
        <f t="shared" si="22"/>
        <v>a1O1R000006c5kgUAA</v>
      </c>
      <c r="J466" s="6" t="s">
        <v>2413</v>
      </c>
      <c r="K466" s="6" t="s">
        <v>2414</v>
      </c>
      <c r="L466" s="6" t="s">
        <v>2415</v>
      </c>
      <c r="M466" s="4" t="s">
        <v>663</v>
      </c>
    </row>
    <row r="467" spans="1:13">
      <c r="A467" s="4" t="s">
        <v>2376</v>
      </c>
      <c r="B467" s="4" t="s">
        <v>2470</v>
      </c>
      <c r="C467" s="4" t="str">
        <f>CHOOSE(Translations!$C$1+1,J467,K467,L467,)</f>
        <v>Personas privadas de libertad en centros penitenciarios y otros lugares de reclusión</v>
      </c>
      <c r="D467" s="4"/>
      <c r="E467" s="4" t="s">
        <v>1701</v>
      </c>
      <c r="F467" s="6" t="s">
        <v>2471</v>
      </c>
      <c r="G467" s="4" t="str">
        <f t="shared" si="20"/>
        <v>MCI-00674|Personas privadas de libertad en centros penitenciarios y otros lugares de reclusión</v>
      </c>
      <c r="H467" s="4" t="str">
        <f t="shared" si="21"/>
        <v>MCI-00674|MCI-00857</v>
      </c>
      <c r="I467" s="4" t="str">
        <f t="shared" si="22"/>
        <v>a1O1R000006c5kVUAQ</v>
      </c>
      <c r="J467" s="6" t="s">
        <v>2403</v>
      </c>
      <c r="K467" s="6" t="s">
        <v>2404</v>
      </c>
      <c r="L467" s="6" t="s">
        <v>2405</v>
      </c>
      <c r="M467" s="4" t="s">
        <v>663</v>
      </c>
    </row>
    <row r="468" spans="1:13">
      <c r="A468" s="4" t="s">
        <v>2376</v>
      </c>
      <c r="B468" s="4" t="s">
        <v>2472</v>
      </c>
      <c r="C468" s="4" t="str">
        <f>CHOOSE(Translations!$C$1+1,J468,K468,L468,)</f>
        <v>HSH</v>
      </c>
      <c r="D468" s="4"/>
      <c r="E468" s="4" t="s">
        <v>1652</v>
      </c>
      <c r="F468" s="6" t="s">
        <v>2473</v>
      </c>
      <c r="G468" s="4" t="str">
        <f t="shared" si="20"/>
        <v>MCI-00675|HSH</v>
      </c>
      <c r="H468" s="4" t="str">
        <f t="shared" si="21"/>
        <v>MCI-00675|MCI-00820</v>
      </c>
      <c r="I468" s="4" t="str">
        <f t="shared" si="22"/>
        <v>a1O1R000006c5juUAA</v>
      </c>
      <c r="J468" s="6" t="s">
        <v>2384</v>
      </c>
      <c r="K468" s="6" t="s">
        <v>2385</v>
      </c>
      <c r="L468" s="6" t="s">
        <v>505</v>
      </c>
      <c r="M468" s="4" t="s">
        <v>663</v>
      </c>
    </row>
    <row r="469" spans="1:13">
      <c r="A469" s="4" t="s">
        <v>2376</v>
      </c>
      <c r="B469" s="4" t="s">
        <v>2474</v>
      </c>
      <c r="C469" s="4" t="str">
        <f>CHOOSE(Translations!$C$1+1,J469,K469,L469,)</f>
        <v>Trabajadores sexuales y sus clientes</v>
      </c>
      <c r="D469" s="4"/>
      <c r="E469" s="4" t="s">
        <v>1652</v>
      </c>
      <c r="F469" s="6" t="s">
        <v>2475</v>
      </c>
      <c r="G469" s="4" t="str">
        <f t="shared" si="20"/>
        <v>MCI-00675|Trabajadores sexuales y sus clientes</v>
      </c>
      <c r="H469" s="4" t="str">
        <f t="shared" si="21"/>
        <v>MCI-00675|MCI-00829</v>
      </c>
      <c r="I469" s="4" t="str">
        <f t="shared" si="22"/>
        <v>a1O1R000006c5k3UAA</v>
      </c>
      <c r="J469" s="6" t="s">
        <v>2388</v>
      </c>
      <c r="K469" s="6" t="s">
        <v>2389</v>
      </c>
      <c r="L469" s="6" t="s">
        <v>2390</v>
      </c>
      <c r="M469" s="4" t="s">
        <v>663</v>
      </c>
    </row>
    <row r="470" spans="1:13">
      <c r="A470" s="4" t="s">
        <v>2376</v>
      </c>
      <c r="B470" s="4" t="s">
        <v>2476</v>
      </c>
      <c r="C470" s="4" t="str">
        <f>CHOOSE(Translations!$C$1+1,J470,K470,L470,)</f>
        <v>Personas transgénero</v>
      </c>
      <c r="D470" s="4"/>
      <c r="E470" s="4" t="s">
        <v>1652</v>
      </c>
      <c r="F470" s="6" t="s">
        <v>2477</v>
      </c>
      <c r="G470" s="4" t="str">
        <f t="shared" si="20"/>
        <v>MCI-00675|Personas transgénero</v>
      </c>
      <c r="H470" s="4" t="str">
        <f t="shared" si="21"/>
        <v>MCI-00675|MCI-00838</v>
      </c>
      <c r="I470" s="4" t="str">
        <f t="shared" si="22"/>
        <v>a1O1R000006c5kCUAQ</v>
      </c>
      <c r="J470" s="6" t="s">
        <v>2393</v>
      </c>
      <c r="K470" s="6" t="s">
        <v>2394</v>
      </c>
      <c r="L470" s="6" t="s">
        <v>2395</v>
      </c>
      <c r="M470" s="4" t="s">
        <v>663</v>
      </c>
    </row>
    <row r="471" spans="1:13">
      <c r="A471" s="4" t="s">
        <v>2376</v>
      </c>
      <c r="B471" s="4" t="s">
        <v>2478</v>
      </c>
      <c r="C471" s="4" t="str">
        <f>CHOOSE(Translations!$C$1+1,J471,K471,L471,)</f>
        <v>Personas privadas de libertad en centros penitenciarios y otros lugares de reclusión</v>
      </c>
      <c r="D471" s="4"/>
      <c r="E471" s="4" t="s">
        <v>1652</v>
      </c>
      <c r="F471" s="6" t="s">
        <v>2479</v>
      </c>
      <c r="G471" s="4" t="str">
        <f t="shared" si="20"/>
        <v>MCI-00675|Personas privadas de libertad en centros penitenciarios y otros lugares de reclusión</v>
      </c>
      <c r="H471" s="4" t="str">
        <f t="shared" si="21"/>
        <v>MCI-00675|MCI-00858</v>
      </c>
      <c r="I471" s="4" t="str">
        <f t="shared" si="22"/>
        <v>a1O1R000006c5kWUAQ</v>
      </c>
      <c r="J471" s="6" t="s">
        <v>2403</v>
      </c>
      <c r="K471" s="6" t="s">
        <v>2404</v>
      </c>
      <c r="L471" s="6" t="s">
        <v>2405</v>
      </c>
      <c r="M471" s="4" t="s">
        <v>663</v>
      </c>
    </row>
    <row r="472" spans="1:13">
      <c r="A472" s="4" t="s">
        <v>2376</v>
      </c>
      <c r="B472" s="4" t="s">
        <v>2480</v>
      </c>
      <c r="C472" s="4" t="str">
        <f>CHOOSE(Translations!$C$1+1,J472,K472,L472,)</f>
        <v>HSH</v>
      </c>
      <c r="D472" s="4"/>
      <c r="E472" s="4" t="s">
        <v>1622</v>
      </c>
      <c r="F472" s="6" t="s">
        <v>2481</v>
      </c>
      <c r="G472" s="4" t="str">
        <f t="shared" si="20"/>
        <v>MCI-00676|HSH</v>
      </c>
      <c r="H472" s="4" t="str">
        <f t="shared" si="21"/>
        <v>MCI-00676|MCI-00821</v>
      </c>
      <c r="I472" s="4" t="str">
        <f t="shared" si="22"/>
        <v>a1O1R000006c5jvUAA</v>
      </c>
      <c r="J472" s="6" t="s">
        <v>2384</v>
      </c>
      <c r="K472" s="6" t="s">
        <v>2385</v>
      </c>
      <c r="L472" s="6" t="s">
        <v>505</v>
      </c>
      <c r="M472" s="4" t="s">
        <v>663</v>
      </c>
    </row>
    <row r="473" spans="1:13">
      <c r="A473" s="4" t="s">
        <v>2376</v>
      </c>
      <c r="B473" s="4" t="s">
        <v>2482</v>
      </c>
      <c r="C473" s="4" t="str">
        <f>CHOOSE(Translations!$C$1+1,J473,K473,L473,)</f>
        <v>Trabajadores sexuales y sus clientes</v>
      </c>
      <c r="D473" s="4"/>
      <c r="E473" s="4" t="s">
        <v>1622</v>
      </c>
      <c r="F473" s="6" t="s">
        <v>2483</v>
      </c>
      <c r="G473" s="4" t="str">
        <f t="shared" si="20"/>
        <v>MCI-00676|Trabajadores sexuales y sus clientes</v>
      </c>
      <c r="H473" s="4" t="str">
        <f t="shared" si="21"/>
        <v>MCI-00676|MCI-00830</v>
      </c>
      <c r="I473" s="4" t="str">
        <f t="shared" si="22"/>
        <v>a1O1R000006c5k4UAA</v>
      </c>
      <c r="J473" s="6" t="s">
        <v>2388</v>
      </c>
      <c r="K473" s="6" t="s">
        <v>2389</v>
      </c>
      <c r="L473" s="6" t="s">
        <v>2390</v>
      </c>
      <c r="M473" s="4" t="s">
        <v>663</v>
      </c>
    </row>
    <row r="474" spans="1:13">
      <c r="A474" s="4" t="s">
        <v>2376</v>
      </c>
      <c r="B474" s="4" t="s">
        <v>2484</v>
      </c>
      <c r="C474" s="4" t="str">
        <f>CHOOSE(Translations!$C$1+1,J474,K474,L474,)</f>
        <v>Personas transgénero</v>
      </c>
      <c r="D474" s="4"/>
      <c r="E474" s="4" t="s">
        <v>1622</v>
      </c>
      <c r="F474" s="6" t="s">
        <v>2485</v>
      </c>
      <c r="G474" s="4" t="str">
        <f t="shared" si="20"/>
        <v>MCI-00676|Personas transgénero</v>
      </c>
      <c r="H474" s="4" t="str">
        <f t="shared" si="21"/>
        <v>MCI-00676|MCI-00839</v>
      </c>
      <c r="I474" s="4" t="str">
        <f t="shared" si="22"/>
        <v>a1O1R000006c5kDUAQ</v>
      </c>
      <c r="J474" s="6" t="s">
        <v>2393</v>
      </c>
      <c r="K474" s="6" t="s">
        <v>2394</v>
      </c>
      <c r="L474" s="6" t="s">
        <v>2395</v>
      </c>
      <c r="M474" s="4" t="s">
        <v>663</v>
      </c>
    </row>
    <row r="475" spans="1:13">
      <c r="A475" s="4" t="s">
        <v>2376</v>
      </c>
      <c r="B475" s="4" t="s">
        <v>2486</v>
      </c>
      <c r="C475" s="4" t="str">
        <f>CHOOSE(Translations!$C$1+1,J475,K475,L475,)</f>
        <v>Consumidores de drogas inyectables y sus parejas</v>
      </c>
      <c r="D475" s="4"/>
      <c r="E475" s="4" t="s">
        <v>1622</v>
      </c>
      <c r="F475" s="6" t="s">
        <v>2487</v>
      </c>
      <c r="G475" s="4" t="str">
        <f t="shared" si="20"/>
        <v>MCI-00676|Consumidores de drogas inyectables y sus parejas</v>
      </c>
      <c r="H475" s="4" t="str">
        <f t="shared" si="21"/>
        <v>MCI-00676|MCI-00850</v>
      </c>
      <c r="I475" s="4" t="str">
        <f t="shared" si="22"/>
        <v>a1O1R000006c5kOUAQ</v>
      </c>
      <c r="J475" s="6" t="s">
        <v>2398</v>
      </c>
      <c r="K475" s="6" t="s">
        <v>2399</v>
      </c>
      <c r="L475" s="6" t="s">
        <v>2400</v>
      </c>
      <c r="M475" s="4" t="s">
        <v>663</v>
      </c>
    </row>
    <row r="476" spans="1:13">
      <c r="A476" s="4" t="s">
        <v>2376</v>
      </c>
      <c r="B476" s="4" t="s">
        <v>2488</v>
      </c>
      <c r="C476" s="4" t="str">
        <f>CHOOSE(Translations!$C$1+1,J476,K476,L476,)</f>
        <v>Personas privadas de libertad en centros penitenciarios y otros lugares de reclusión</v>
      </c>
      <c r="D476" s="4"/>
      <c r="E476" s="4" t="s">
        <v>1622</v>
      </c>
      <c r="F476" s="6" t="s">
        <v>2489</v>
      </c>
      <c r="G476" s="4" t="str">
        <f t="shared" si="20"/>
        <v>MCI-00676|Personas privadas de libertad en centros penitenciarios y otros lugares de reclusión</v>
      </c>
      <c r="H476" s="4" t="str">
        <f t="shared" si="21"/>
        <v>MCI-00676|MCI-00859</v>
      </c>
      <c r="I476" s="4" t="str">
        <f t="shared" si="22"/>
        <v>a1O1R000006c5kXUAQ</v>
      </c>
      <c r="J476" s="6" t="s">
        <v>2403</v>
      </c>
      <c r="K476" s="6" t="s">
        <v>2404</v>
      </c>
      <c r="L476" s="6" t="s">
        <v>2405</v>
      </c>
      <c r="M476" s="4" t="s">
        <v>663</v>
      </c>
    </row>
    <row r="477" spans="1:13">
      <c r="A477" s="4" t="s">
        <v>2376</v>
      </c>
      <c r="B477" s="4" t="s">
        <v>2490</v>
      </c>
      <c r="C477" s="4" t="str">
        <f>CHOOSE(Translations!$C$1+1,J477,K477,L477,)</f>
        <v>Niñas adolescentes y mujeres jóvenes en entornos de alta prevalencia</v>
      </c>
      <c r="D477" s="4"/>
      <c r="E477" s="4" t="s">
        <v>1622</v>
      </c>
      <c r="F477" s="6" t="s">
        <v>2491</v>
      </c>
      <c r="G477" s="4" t="str">
        <f t="shared" si="20"/>
        <v>MCI-00676|Niñas adolescentes y mujeres jóvenes en entornos de alta prevalencia</v>
      </c>
      <c r="H477" s="4" t="str">
        <f t="shared" si="21"/>
        <v>MCI-00676|MCI-00870</v>
      </c>
      <c r="I477" s="4" t="str">
        <f t="shared" si="22"/>
        <v>a1O1R000006c5kiUAA</v>
      </c>
      <c r="J477" s="6" t="s">
        <v>2413</v>
      </c>
      <c r="K477" s="6" t="s">
        <v>2414</v>
      </c>
      <c r="L477" s="6" t="s">
        <v>2415</v>
      </c>
      <c r="M477" s="4" t="s">
        <v>663</v>
      </c>
    </row>
    <row r="478" spans="1:13">
      <c r="A478" s="4" t="s">
        <v>2376</v>
      </c>
      <c r="B478" s="4" t="s">
        <v>2492</v>
      </c>
      <c r="C478" s="4" t="str">
        <f>CHOOSE(Translations!$C$1+1,J478,K478,L478,)</f>
        <v>HSH</v>
      </c>
      <c r="D478" s="4"/>
      <c r="E478" s="4" t="s">
        <v>1662</v>
      </c>
      <c r="F478" s="6" t="s">
        <v>2493</v>
      </c>
      <c r="G478" s="4" t="str">
        <f t="shared" si="20"/>
        <v>MCI-00677|HSH</v>
      </c>
      <c r="H478" s="4" t="str">
        <f t="shared" si="21"/>
        <v>MCI-00677|MCI-00822</v>
      </c>
      <c r="I478" s="4" t="str">
        <f t="shared" si="22"/>
        <v>a1O1R000006c5jwUAA</v>
      </c>
      <c r="J478" s="6" t="s">
        <v>2384</v>
      </c>
      <c r="K478" s="6" t="s">
        <v>2385</v>
      </c>
      <c r="L478" s="6" t="s">
        <v>505</v>
      </c>
      <c r="M478" s="4" t="s">
        <v>663</v>
      </c>
    </row>
    <row r="479" spans="1:13">
      <c r="A479" s="4" t="s">
        <v>2376</v>
      </c>
      <c r="B479" s="4" t="s">
        <v>2494</v>
      </c>
      <c r="C479" s="4" t="str">
        <f>CHOOSE(Translations!$C$1+1,J479,K479,L479,)</f>
        <v>Trabajadores sexuales y sus clientes</v>
      </c>
      <c r="D479" s="4"/>
      <c r="E479" s="4" t="s">
        <v>1662</v>
      </c>
      <c r="F479" s="6" t="s">
        <v>2495</v>
      </c>
      <c r="G479" s="4" t="str">
        <f t="shared" si="20"/>
        <v>MCI-00677|Trabajadores sexuales y sus clientes</v>
      </c>
      <c r="H479" s="4" t="str">
        <f t="shared" si="21"/>
        <v>MCI-00677|MCI-00831</v>
      </c>
      <c r="I479" s="4" t="str">
        <f t="shared" si="22"/>
        <v>a1O1R000006c5k5UAA</v>
      </c>
      <c r="J479" s="6" t="s">
        <v>2388</v>
      </c>
      <c r="K479" s="6" t="s">
        <v>2389</v>
      </c>
      <c r="L479" s="6" t="s">
        <v>2390</v>
      </c>
      <c r="M479" s="4" t="s">
        <v>663</v>
      </c>
    </row>
    <row r="480" spans="1:13">
      <c r="A480" s="4" t="s">
        <v>2376</v>
      </c>
      <c r="B480" s="4" t="s">
        <v>2496</v>
      </c>
      <c r="C480" s="4" t="str">
        <f>CHOOSE(Translations!$C$1+1,J480,K480,L480,)</f>
        <v>Personas transgénero</v>
      </c>
      <c r="D480" s="4"/>
      <c r="E480" s="4" t="s">
        <v>1662</v>
      </c>
      <c r="F480" s="6" t="s">
        <v>2497</v>
      </c>
      <c r="G480" s="4" t="str">
        <f t="shared" si="20"/>
        <v>MCI-00677|Personas transgénero</v>
      </c>
      <c r="H480" s="4" t="str">
        <f t="shared" si="21"/>
        <v>MCI-00677|MCI-00840</v>
      </c>
      <c r="I480" s="4" t="str">
        <f t="shared" si="22"/>
        <v>a1O1R000006c5kEUAQ</v>
      </c>
      <c r="J480" s="6" t="s">
        <v>2393</v>
      </c>
      <c r="K480" s="6" t="s">
        <v>2394</v>
      </c>
      <c r="L480" s="6" t="s">
        <v>2395</v>
      </c>
      <c r="M480" s="4" t="s">
        <v>663</v>
      </c>
    </row>
    <row r="481" spans="1:13">
      <c r="A481" s="4" t="s">
        <v>2376</v>
      </c>
      <c r="B481" s="4" t="s">
        <v>2498</v>
      </c>
      <c r="C481" s="4" t="str">
        <f>CHOOSE(Translations!$C$1+1,J481,K481,L481,)</f>
        <v>Consumidores de drogas inyectables y sus parejas</v>
      </c>
      <c r="D481" s="4"/>
      <c r="E481" s="4" t="s">
        <v>1662</v>
      </c>
      <c r="F481" s="6" t="s">
        <v>2499</v>
      </c>
      <c r="G481" s="4" t="str">
        <f t="shared" si="20"/>
        <v>MCI-00677|Consumidores de drogas inyectables y sus parejas</v>
      </c>
      <c r="H481" s="4" t="str">
        <f t="shared" si="21"/>
        <v>MCI-00677|MCI-00851</v>
      </c>
      <c r="I481" s="4" t="str">
        <f t="shared" si="22"/>
        <v>a1O1R000006c5kPUAQ</v>
      </c>
      <c r="J481" s="6" t="s">
        <v>2398</v>
      </c>
      <c r="K481" s="6" t="s">
        <v>2399</v>
      </c>
      <c r="L481" s="6" t="s">
        <v>2400</v>
      </c>
      <c r="M481" s="4" t="s">
        <v>663</v>
      </c>
    </row>
    <row r="482" spans="1:13">
      <c r="A482" s="4" t="s">
        <v>2376</v>
      </c>
      <c r="B482" s="4" t="s">
        <v>2500</v>
      </c>
      <c r="C482" s="4" t="str">
        <f>CHOOSE(Translations!$C$1+1,J482,K482,L482,)</f>
        <v>HSH</v>
      </c>
      <c r="D482" s="4"/>
      <c r="E482" s="4" t="s">
        <v>1696</v>
      </c>
      <c r="F482" s="6" t="s">
        <v>2501</v>
      </c>
      <c r="G482" s="4" t="str">
        <f t="shared" si="20"/>
        <v>MCI-00678|HSH</v>
      </c>
      <c r="H482" s="4" t="str">
        <f t="shared" si="21"/>
        <v>MCI-00678|MCI-00823</v>
      </c>
      <c r="I482" s="4" t="str">
        <f t="shared" si="22"/>
        <v>a1O1R000006c5jxUAA</v>
      </c>
      <c r="J482" s="6" t="s">
        <v>2384</v>
      </c>
      <c r="K482" s="6" t="s">
        <v>2385</v>
      </c>
      <c r="L482" s="6" t="s">
        <v>505</v>
      </c>
      <c r="M482" s="4" t="s">
        <v>663</v>
      </c>
    </row>
    <row r="483" spans="1:13">
      <c r="A483" s="4" t="s">
        <v>2376</v>
      </c>
      <c r="B483" s="4" t="s">
        <v>2502</v>
      </c>
      <c r="C483" s="4" t="str">
        <f>CHOOSE(Translations!$C$1+1,J483,K483,L483,)</f>
        <v>Trabajadores sexuales y sus clientes</v>
      </c>
      <c r="D483" s="4"/>
      <c r="E483" s="4" t="s">
        <v>1696</v>
      </c>
      <c r="F483" s="6" t="s">
        <v>2503</v>
      </c>
      <c r="G483" s="4" t="str">
        <f t="shared" si="20"/>
        <v>MCI-00678|Trabajadores sexuales y sus clientes</v>
      </c>
      <c r="H483" s="4" t="str">
        <f t="shared" si="21"/>
        <v>MCI-00678|MCI-00832</v>
      </c>
      <c r="I483" s="4" t="str">
        <f t="shared" si="22"/>
        <v>a1O1R000006c5k6UAA</v>
      </c>
      <c r="J483" s="6" t="s">
        <v>2388</v>
      </c>
      <c r="K483" s="6" t="s">
        <v>2389</v>
      </c>
      <c r="L483" s="6" t="s">
        <v>2390</v>
      </c>
      <c r="M483" s="4" t="s">
        <v>663</v>
      </c>
    </row>
    <row r="484" spans="1:13">
      <c r="A484" s="4" t="s">
        <v>2376</v>
      </c>
      <c r="B484" s="4" t="s">
        <v>2504</v>
      </c>
      <c r="C484" s="4" t="str">
        <f>CHOOSE(Translations!$C$1+1,J484,K484,L484,)</f>
        <v>Personas transgénero</v>
      </c>
      <c r="D484" s="4"/>
      <c r="E484" s="4" t="s">
        <v>1696</v>
      </c>
      <c r="F484" s="6" t="s">
        <v>2505</v>
      </c>
      <c r="G484" s="4" t="str">
        <f t="shared" si="20"/>
        <v>MCI-00678|Personas transgénero</v>
      </c>
      <c r="H484" s="4" t="str">
        <f t="shared" si="21"/>
        <v>MCI-00678|MCI-00841</v>
      </c>
      <c r="I484" s="4" t="str">
        <f t="shared" si="22"/>
        <v>a1O1R000006c5kFUAQ</v>
      </c>
      <c r="J484" s="6" t="s">
        <v>2393</v>
      </c>
      <c r="K484" s="6" t="s">
        <v>2394</v>
      </c>
      <c r="L484" s="6" t="s">
        <v>2395</v>
      </c>
      <c r="M484" s="4" t="s">
        <v>663</v>
      </c>
    </row>
    <row r="485" spans="1:13">
      <c r="A485" s="4" t="s">
        <v>2376</v>
      </c>
      <c r="B485" s="4" t="s">
        <v>2506</v>
      </c>
      <c r="C485" s="4" t="str">
        <f>CHOOSE(Translations!$C$1+1,J485,K485,L485,)</f>
        <v>Consumidores de drogas inyectables y sus parejas</v>
      </c>
      <c r="D485" s="4"/>
      <c r="E485" s="4" t="s">
        <v>1696</v>
      </c>
      <c r="F485" s="6" t="s">
        <v>2507</v>
      </c>
      <c r="G485" s="4" t="str">
        <f t="shared" si="20"/>
        <v>MCI-00678|Consumidores de drogas inyectables y sus parejas</v>
      </c>
      <c r="H485" s="4" t="str">
        <f t="shared" si="21"/>
        <v>MCI-00678|MCI-00852</v>
      </c>
      <c r="I485" s="4" t="str">
        <f t="shared" si="22"/>
        <v>a1O1R000006c5kQUAQ</v>
      </c>
      <c r="J485" s="6" t="s">
        <v>2398</v>
      </c>
      <c r="K485" s="6" t="s">
        <v>2399</v>
      </c>
      <c r="L485" s="6" t="s">
        <v>2400</v>
      </c>
      <c r="M485" s="4" t="s">
        <v>663</v>
      </c>
    </row>
    <row r="486" spans="1:13">
      <c r="A486" s="4" t="s">
        <v>2376</v>
      </c>
      <c r="B486" s="4" t="s">
        <v>2508</v>
      </c>
      <c r="C486" s="4" t="str">
        <f>CHOOSE(Translations!$C$1+1,J486,K486,L486,)</f>
        <v>Personas privadas de libertad en centros penitenciarios y otros lugares de reclusión</v>
      </c>
      <c r="D486" s="4"/>
      <c r="E486" s="4" t="s">
        <v>1696</v>
      </c>
      <c r="F486" s="6" t="s">
        <v>2509</v>
      </c>
      <c r="G486" s="4" t="str">
        <f t="shared" si="20"/>
        <v>MCI-00678|Personas privadas de libertad en centros penitenciarios y otros lugares de reclusión</v>
      </c>
      <c r="H486" s="4" t="str">
        <f t="shared" si="21"/>
        <v>MCI-00678|MCI-00860</v>
      </c>
      <c r="I486" s="4" t="str">
        <f t="shared" si="22"/>
        <v>a1O1R000006c5kYUAQ</v>
      </c>
      <c r="J486" s="6" t="s">
        <v>2403</v>
      </c>
      <c r="K486" s="6" t="s">
        <v>2404</v>
      </c>
      <c r="L486" s="6" t="s">
        <v>2405</v>
      </c>
      <c r="M486" s="4" t="s">
        <v>663</v>
      </c>
    </row>
    <row r="487" spans="1:13">
      <c r="A487" s="4" t="s">
        <v>2376</v>
      </c>
      <c r="B487" s="4" t="s">
        <v>2510</v>
      </c>
      <c r="C487" s="4" t="str">
        <f>CHOOSE(Translations!$C$1+1,J487,K487,L487,)</f>
        <v>Consumidores de drogas inyectables y sus parejas</v>
      </c>
      <c r="D487" s="4"/>
      <c r="E487" s="4" t="s">
        <v>1677</v>
      </c>
      <c r="F487" s="6" t="s">
        <v>2511</v>
      </c>
      <c r="G487" s="4" t="str">
        <f t="shared" si="20"/>
        <v>MCI-00679|Consumidores de drogas inyectables y sus parejas</v>
      </c>
      <c r="H487" s="4" t="str">
        <f t="shared" si="21"/>
        <v>MCI-00679|MCI-00842</v>
      </c>
      <c r="I487" s="4" t="str">
        <f t="shared" si="22"/>
        <v>a1O1R000006c5kGUAQ</v>
      </c>
      <c r="J487" s="6" t="s">
        <v>2398</v>
      </c>
      <c r="K487" s="6" t="s">
        <v>2399</v>
      </c>
      <c r="L487" s="6" t="s">
        <v>2400</v>
      </c>
      <c r="M487" s="4" t="s">
        <v>663</v>
      </c>
    </row>
    <row r="488" spans="1:13">
      <c r="A488" s="4" t="s">
        <v>2376</v>
      </c>
      <c r="B488" s="4" t="s">
        <v>2512</v>
      </c>
      <c r="C488" s="4" t="str">
        <f>CHOOSE(Translations!$C$1+1,J488,K488,L488,)</f>
        <v>Consumidores de drogas inyectables y sus parejas</v>
      </c>
      <c r="D488" s="4"/>
      <c r="E488" s="4" t="s">
        <v>1682</v>
      </c>
      <c r="F488" s="6" t="s">
        <v>2513</v>
      </c>
      <c r="G488" s="4" t="str">
        <f t="shared" si="20"/>
        <v>MCI-00680|Consumidores de drogas inyectables y sus parejas</v>
      </c>
      <c r="H488" s="4" t="str">
        <f t="shared" si="21"/>
        <v>MCI-00680|MCI-00843</v>
      </c>
      <c r="I488" s="4" t="str">
        <f t="shared" si="22"/>
        <v>a1O1R000006c5kHUAQ</v>
      </c>
      <c r="J488" s="6" t="s">
        <v>2398</v>
      </c>
      <c r="K488" s="6" t="s">
        <v>2399</v>
      </c>
      <c r="L488" s="6" t="s">
        <v>2400</v>
      </c>
      <c r="M488" s="4" t="s">
        <v>663</v>
      </c>
    </row>
    <row r="489" spans="1:13">
      <c r="A489" s="4" t="s">
        <v>2376</v>
      </c>
      <c r="B489" s="4" t="s">
        <v>2514</v>
      </c>
      <c r="C489" s="4" t="str">
        <f>CHOOSE(Translations!$C$1+1,J489,K489,L489,)</f>
        <v>Consumidores de drogas inyectables y sus parejas</v>
      </c>
      <c r="D489" s="4"/>
      <c r="E489" s="4" t="s">
        <v>1687</v>
      </c>
      <c r="F489" s="6" t="s">
        <v>2515</v>
      </c>
      <c r="G489" s="4" t="str">
        <f t="shared" si="20"/>
        <v>MCI-00681|Consumidores de drogas inyectables y sus parejas</v>
      </c>
      <c r="H489" s="4" t="str">
        <f t="shared" si="21"/>
        <v>MCI-00681|MCI-00844</v>
      </c>
      <c r="I489" s="4" t="str">
        <f t="shared" si="22"/>
        <v>a1O1R000006c5kIUAQ</v>
      </c>
      <c r="J489" s="6" t="s">
        <v>2398</v>
      </c>
      <c r="K489" s="6" t="s">
        <v>2399</v>
      </c>
      <c r="L489" s="6" t="s">
        <v>2400</v>
      </c>
      <c r="M489" s="4" t="s">
        <v>663</v>
      </c>
    </row>
    <row r="490" spans="1:13">
      <c r="A490" s="4" t="s">
        <v>2376</v>
      </c>
      <c r="B490" s="4" t="s">
        <v>2516</v>
      </c>
      <c r="C490" s="4" t="str">
        <f>CHOOSE(Translations!$C$1+1,J490,K490,L490,)</f>
        <v>Niñas adolescentes y mujeres jóvenes en entornos de alta prevalencia</v>
      </c>
      <c r="D490" s="4"/>
      <c r="E490" s="4" t="s">
        <v>1637</v>
      </c>
      <c r="F490" s="6" t="s">
        <v>2517</v>
      </c>
      <c r="G490" s="4" t="str">
        <f t="shared" si="20"/>
        <v>MCI-00682|Niñas adolescentes y mujeres jóvenes en entornos de alta prevalencia</v>
      </c>
      <c r="H490" s="4" t="str">
        <f t="shared" si="21"/>
        <v>MCI-00682|MCI-00867</v>
      </c>
      <c r="I490" s="4" t="str">
        <f t="shared" si="22"/>
        <v>a1O1R000006c5kfUAA</v>
      </c>
      <c r="J490" s="6" t="s">
        <v>2413</v>
      </c>
      <c r="K490" s="6" t="s">
        <v>2414</v>
      </c>
      <c r="L490" s="6" t="s">
        <v>2415</v>
      </c>
      <c r="M490" s="4" t="s">
        <v>663</v>
      </c>
    </row>
    <row r="491" spans="1:13">
      <c r="A491" s="4" t="s">
        <v>2376</v>
      </c>
      <c r="B491" s="4" t="s">
        <v>2518</v>
      </c>
      <c r="C491" s="4" t="str">
        <f>CHOOSE(Translations!$C$1+1,J491,K491,L491,)</f>
        <v>Niñas adolescentes y mujeres jóvenes en entornos de alta prevalencia</v>
      </c>
      <c r="D491" s="4"/>
      <c r="E491" s="4" t="s">
        <v>1647</v>
      </c>
      <c r="F491" s="6" t="s">
        <v>2519</v>
      </c>
      <c r="G491" s="4" t="str">
        <f t="shared" si="20"/>
        <v>MCI-00683|Niñas adolescentes y mujeres jóvenes en entornos de alta prevalencia</v>
      </c>
      <c r="H491" s="4" t="str">
        <f t="shared" si="21"/>
        <v>MCI-00683|MCI-00869</v>
      </c>
      <c r="I491" s="4" t="str">
        <f t="shared" si="22"/>
        <v>a1O1R000006c5khUAA</v>
      </c>
      <c r="J491" s="6" t="s">
        <v>2413</v>
      </c>
      <c r="K491" s="6" t="s">
        <v>2414</v>
      </c>
      <c r="L491" s="6" t="s">
        <v>2415</v>
      </c>
      <c r="M491" s="4" t="s">
        <v>663</v>
      </c>
    </row>
    <row r="492" spans="1:13">
      <c r="A492" s="4" t="s">
        <v>2376</v>
      </c>
      <c r="B492" s="4" t="s">
        <v>2520</v>
      </c>
      <c r="C492" s="4" t="str">
        <f>CHOOSE(Translations!$C$1+1,J492,K492,L492,)</f>
        <v>Niñas adolescentes y mujeres jóvenes en entornos de alta prevalencia</v>
      </c>
      <c r="D492" s="4"/>
      <c r="E492" s="4" t="s">
        <v>1706</v>
      </c>
      <c r="F492" s="6" t="s">
        <v>2521</v>
      </c>
      <c r="G492" s="4" t="str">
        <f t="shared" si="20"/>
        <v>MCI-00684|Niñas adolescentes y mujeres jóvenes en entornos de alta prevalencia</v>
      </c>
      <c r="H492" s="4" t="str">
        <f t="shared" si="21"/>
        <v>MCI-00684|MCI-00871</v>
      </c>
      <c r="I492" s="4" t="str">
        <f t="shared" si="22"/>
        <v>a1O1R000006c5kjUAA</v>
      </c>
      <c r="J492" s="6" t="s">
        <v>2413</v>
      </c>
      <c r="K492" s="6" t="s">
        <v>2414</v>
      </c>
      <c r="L492" s="6" t="s">
        <v>2415</v>
      </c>
      <c r="M492" s="4" t="s">
        <v>663</v>
      </c>
    </row>
    <row r="493" spans="1:13">
      <c r="A493" s="4" t="s">
        <v>2376</v>
      </c>
      <c r="B493" s="4" t="s">
        <v>2522</v>
      </c>
      <c r="C493" s="4" t="str">
        <f>CHOOSE(Translations!$C$1+1,J493,K493,L493,)</f>
        <v>Niñas adolescentes y mujeres jóvenes en entornos de alta prevalencia</v>
      </c>
      <c r="D493" s="4"/>
      <c r="E493" s="4" t="s">
        <v>1657</v>
      </c>
      <c r="F493" s="6" t="s">
        <v>2523</v>
      </c>
      <c r="G493" s="4" t="str">
        <f t="shared" si="20"/>
        <v>MCI-00685|Niñas adolescentes y mujeres jóvenes en entornos de alta prevalencia</v>
      </c>
      <c r="H493" s="4" t="str">
        <f t="shared" si="21"/>
        <v>MCI-00685|MCI-00872</v>
      </c>
      <c r="I493" s="4" t="str">
        <f t="shared" si="22"/>
        <v>a1O1R000006c5kkUAA</v>
      </c>
      <c r="J493" s="6" t="s">
        <v>2413</v>
      </c>
      <c r="K493" s="6" t="s">
        <v>2414</v>
      </c>
      <c r="L493" s="6" t="s">
        <v>2415</v>
      </c>
      <c r="M493" s="4" t="s">
        <v>663</v>
      </c>
    </row>
    <row r="494" spans="1:13">
      <c r="A494" s="4" t="s">
        <v>2376</v>
      </c>
      <c r="B494" s="4" t="s">
        <v>2524</v>
      </c>
      <c r="C494" s="4" t="str">
        <f>CHOOSE(Translations!$C$1+1,J494,K494,L494,)</f>
        <v>Hombres en entornos de alta prevalencia</v>
      </c>
      <c r="D494" s="4"/>
      <c r="E494" s="4" t="s">
        <v>1711</v>
      </c>
      <c r="F494" s="6" t="s">
        <v>2525</v>
      </c>
      <c r="G494" s="4" t="str">
        <f t="shared" si="20"/>
        <v>MCI-00686|Hombres en entornos de alta prevalencia</v>
      </c>
      <c r="H494" s="4" t="str">
        <f t="shared" si="21"/>
        <v>MCI-00686|MCI-00873</v>
      </c>
      <c r="I494" s="4" t="str">
        <f t="shared" si="22"/>
        <v>a1O1R000006c5klUAA</v>
      </c>
      <c r="J494" s="6" t="s">
        <v>2379</v>
      </c>
      <c r="K494" s="6" t="s">
        <v>2380</v>
      </c>
      <c r="L494" s="6" t="s">
        <v>2381</v>
      </c>
      <c r="M494" s="4" t="s">
        <v>663</v>
      </c>
    </row>
    <row r="495" spans="1:13">
      <c r="A495" s="4" t="s">
        <v>2376</v>
      </c>
      <c r="B495" s="4" t="s">
        <v>2526</v>
      </c>
      <c r="C495" s="4" t="str">
        <f>CHOOSE(Translations!$C$1+1,J495,K495,L495,)</f>
        <v>Grupos de población no específicos</v>
      </c>
      <c r="D495" s="4"/>
      <c r="E495" s="4" t="s">
        <v>1672</v>
      </c>
      <c r="F495" s="6" t="s">
        <v>2527</v>
      </c>
      <c r="G495" s="4" t="str">
        <f t="shared" si="20"/>
        <v>MCI-00687|Grupos de población no específicos</v>
      </c>
      <c r="H495" s="4" t="str">
        <f t="shared" si="21"/>
        <v>MCI-00687|MCI-00878</v>
      </c>
      <c r="I495" s="4" t="str">
        <f t="shared" si="22"/>
        <v>a1O1R000006c5kqUAA</v>
      </c>
      <c r="J495" s="6" t="s">
        <v>2528</v>
      </c>
      <c r="K495" s="6" t="s">
        <v>2529</v>
      </c>
      <c r="L495" s="6" t="s">
        <v>2530</v>
      </c>
      <c r="M495" s="4" t="s">
        <v>663</v>
      </c>
    </row>
    <row r="496" spans="1:13">
      <c r="A496" s="4" t="s">
        <v>2376</v>
      </c>
      <c r="B496" s="4" t="s">
        <v>2531</v>
      </c>
      <c r="C496" s="4" t="str">
        <f>CHOOSE(Translations!$C$1+1,J496,K496,L496,)</f>
        <v>Grupos de población no específicos</v>
      </c>
      <c r="D496" s="4"/>
      <c r="E496" s="4" t="s">
        <v>1667</v>
      </c>
      <c r="F496" s="6" t="s">
        <v>2532</v>
      </c>
      <c r="G496" s="4" t="str">
        <f t="shared" ref="G496:G559" si="23">E496&amp;"|"&amp;C496</f>
        <v>MCI-00688|Grupos de población no específicos</v>
      </c>
      <c r="H496" s="4" t="str">
        <f t="shared" ref="H496:H559" si="24">E496&amp;"|"&amp;F496</f>
        <v>MCI-00688|MCI-00879</v>
      </c>
      <c r="I496" s="4" t="str">
        <f t="shared" ref="I496:I559" si="25">B496</f>
        <v>a1O1R000006c5krUAA</v>
      </c>
      <c r="J496" s="6" t="s">
        <v>2528</v>
      </c>
      <c r="K496" s="6" t="s">
        <v>2529</v>
      </c>
      <c r="L496" s="6" t="s">
        <v>2530</v>
      </c>
      <c r="M496" s="4" t="s">
        <v>663</v>
      </c>
    </row>
    <row r="497" spans="1:13">
      <c r="A497" s="4" t="s">
        <v>2376</v>
      </c>
      <c r="B497" s="4" t="s">
        <v>2533</v>
      </c>
      <c r="C497" s="4" t="str">
        <f>CHOOSE(Translations!$C$1+1,J497,K497,L497,)</f>
        <v>No aplicable</v>
      </c>
      <c r="D497" s="4"/>
      <c r="E497" s="4" t="s">
        <v>1716</v>
      </c>
      <c r="F497" s="6" t="s">
        <v>2534</v>
      </c>
      <c r="G497" s="4" t="str">
        <f t="shared" si="23"/>
        <v>MCI-00689|No aplicable</v>
      </c>
      <c r="H497" s="4" t="str">
        <f t="shared" si="24"/>
        <v>MCI-00689|MCI-00880</v>
      </c>
      <c r="I497" s="4" t="str">
        <f t="shared" si="25"/>
        <v>a1O1R000006c5ksUAA</v>
      </c>
      <c r="J497" s="6" t="s">
        <v>2535</v>
      </c>
      <c r="K497" s="6" t="s">
        <v>2536</v>
      </c>
      <c r="L497" s="6" t="s">
        <v>512</v>
      </c>
      <c r="M497" s="4" t="s">
        <v>663</v>
      </c>
    </row>
    <row r="498" spans="1:13">
      <c r="A498" s="4" t="s">
        <v>2376</v>
      </c>
      <c r="B498" s="4" t="s">
        <v>2537</v>
      </c>
      <c r="C498" s="4" t="str">
        <f>CHOOSE(Translations!$C$1+1,J498,K498,L498,)</f>
        <v>No aplicable</v>
      </c>
      <c r="D498" s="4"/>
      <c r="E498" s="4" t="s">
        <v>1721</v>
      </c>
      <c r="F498" s="6" t="s">
        <v>2538</v>
      </c>
      <c r="G498" s="4" t="str">
        <f t="shared" si="23"/>
        <v>MCI-00690|No aplicable</v>
      </c>
      <c r="H498" s="4" t="str">
        <f t="shared" si="24"/>
        <v>MCI-00690|MCI-00881</v>
      </c>
      <c r="I498" s="4" t="str">
        <f t="shared" si="25"/>
        <v>a1O1R000006c5ktUAA</v>
      </c>
      <c r="J498" s="6" t="s">
        <v>2535</v>
      </c>
      <c r="K498" s="6" t="s">
        <v>2536</v>
      </c>
      <c r="L498" s="6" t="s">
        <v>512</v>
      </c>
      <c r="M498" s="4" t="s">
        <v>663</v>
      </c>
    </row>
    <row r="499" spans="1:13">
      <c r="A499" s="4" t="s">
        <v>2376</v>
      </c>
      <c r="B499" s="4" t="s">
        <v>2539</v>
      </c>
      <c r="C499" s="4" t="str">
        <f>CHOOSE(Translations!$C$1+1,J499,K499,L499,)</f>
        <v>No aplicable</v>
      </c>
      <c r="D499" s="4"/>
      <c r="E499" s="4" t="s">
        <v>1726</v>
      </c>
      <c r="F499" s="6" t="s">
        <v>2540</v>
      </c>
      <c r="G499" s="4" t="str">
        <f t="shared" si="23"/>
        <v>MCI-00691|No aplicable</v>
      </c>
      <c r="H499" s="4" t="str">
        <f t="shared" si="24"/>
        <v>MCI-00691|MCI-00882</v>
      </c>
      <c r="I499" s="4" t="str">
        <f t="shared" si="25"/>
        <v>a1O1R000006c5kuUAA</v>
      </c>
      <c r="J499" s="6" t="s">
        <v>2535</v>
      </c>
      <c r="K499" s="6" t="s">
        <v>2536</v>
      </c>
      <c r="L499" s="6" t="s">
        <v>512</v>
      </c>
      <c r="M499" s="4" t="s">
        <v>663</v>
      </c>
    </row>
    <row r="500" spans="1:13">
      <c r="A500" s="4" t="s">
        <v>2376</v>
      </c>
      <c r="B500" s="4" t="s">
        <v>2541</v>
      </c>
      <c r="C500" s="4" t="str">
        <f>CHOOSE(Translations!$C$1+1,J500,K500,L500,)</f>
        <v>No aplicable</v>
      </c>
      <c r="D500" s="4"/>
      <c r="E500" s="4" t="s">
        <v>1731</v>
      </c>
      <c r="F500" s="6" t="s">
        <v>2542</v>
      </c>
      <c r="G500" s="4" t="str">
        <f t="shared" si="23"/>
        <v>MCI-00692|No aplicable</v>
      </c>
      <c r="H500" s="4" t="str">
        <f t="shared" si="24"/>
        <v>MCI-00692|MCI-00883</v>
      </c>
      <c r="I500" s="4" t="str">
        <f t="shared" si="25"/>
        <v>a1O1R000006c5kvUAA</v>
      </c>
      <c r="J500" s="6" t="s">
        <v>2535</v>
      </c>
      <c r="K500" s="6" t="s">
        <v>2536</v>
      </c>
      <c r="L500" s="6" t="s">
        <v>512</v>
      </c>
      <c r="M500" s="4" t="s">
        <v>663</v>
      </c>
    </row>
    <row r="501" spans="1:13">
      <c r="A501" s="4" t="s">
        <v>2376</v>
      </c>
      <c r="B501" s="4" t="s">
        <v>2543</v>
      </c>
      <c r="C501" s="4" t="str">
        <f>CHOOSE(Translations!$C$1+1,J501,K501,L501,)</f>
        <v>Trabajadores sexuales y sus clientes</v>
      </c>
      <c r="D501" s="4"/>
      <c r="E501" s="4" t="s">
        <v>1740</v>
      </c>
      <c r="F501" s="6" t="s">
        <v>2544</v>
      </c>
      <c r="G501" s="4" t="str">
        <f t="shared" si="23"/>
        <v>MCI-00693|Trabajadores sexuales y sus clientes</v>
      </c>
      <c r="H501" s="4" t="str">
        <f t="shared" si="24"/>
        <v>MCI-00693|MCI-00887</v>
      </c>
      <c r="I501" s="4" t="str">
        <f t="shared" si="25"/>
        <v>a1O1R000006c5kzUAA</v>
      </c>
      <c r="J501" s="6" t="s">
        <v>2388</v>
      </c>
      <c r="K501" s="6" t="s">
        <v>2389</v>
      </c>
      <c r="L501" s="6" t="s">
        <v>2390</v>
      </c>
      <c r="M501" s="4" t="s">
        <v>663</v>
      </c>
    </row>
    <row r="502" spans="1:13">
      <c r="A502" s="4" t="s">
        <v>2376</v>
      </c>
      <c r="B502" s="4" t="s">
        <v>2545</v>
      </c>
      <c r="C502" s="4" t="str">
        <f>CHOOSE(Translations!$C$1+1,J502,K502,L502,)</f>
        <v>HSH</v>
      </c>
      <c r="D502" s="4"/>
      <c r="E502" s="4" t="s">
        <v>1740</v>
      </c>
      <c r="F502" s="6" t="s">
        <v>2546</v>
      </c>
      <c r="G502" s="4" t="str">
        <f t="shared" si="23"/>
        <v>MCI-00693|HSH</v>
      </c>
      <c r="H502" s="4" t="str">
        <f t="shared" si="24"/>
        <v>MCI-00693|MCI-00884</v>
      </c>
      <c r="I502" s="4" t="str">
        <f t="shared" si="25"/>
        <v>a1O1R000006c5kwUAA</v>
      </c>
      <c r="J502" s="6" t="s">
        <v>2384</v>
      </c>
      <c r="K502" s="6" t="s">
        <v>2385</v>
      </c>
      <c r="L502" s="6" t="s">
        <v>505</v>
      </c>
      <c r="M502" s="4" t="s">
        <v>663</v>
      </c>
    </row>
    <row r="503" spans="1:13">
      <c r="A503" s="4" t="s">
        <v>2376</v>
      </c>
      <c r="B503" s="4" t="s">
        <v>2547</v>
      </c>
      <c r="C503" s="4" t="str">
        <f>CHOOSE(Translations!$C$1+1,J503,K503,L503,)</f>
        <v>Personas transgénero</v>
      </c>
      <c r="D503" s="4"/>
      <c r="E503" s="4" t="s">
        <v>1740</v>
      </c>
      <c r="F503" s="6" t="s">
        <v>2548</v>
      </c>
      <c r="G503" s="4" t="str">
        <f t="shared" si="23"/>
        <v>MCI-00693|Personas transgénero</v>
      </c>
      <c r="H503" s="4" t="str">
        <f t="shared" si="24"/>
        <v>MCI-00693|MCI-00890</v>
      </c>
      <c r="I503" s="4" t="str">
        <f t="shared" si="25"/>
        <v>a1O1R000006c5l2UAA</v>
      </c>
      <c r="J503" s="6" t="s">
        <v>2393</v>
      </c>
      <c r="K503" s="6" t="s">
        <v>2394</v>
      </c>
      <c r="L503" s="6" t="s">
        <v>2395</v>
      </c>
      <c r="M503" s="4" t="s">
        <v>663</v>
      </c>
    </row>
    <row r="504" spans="1:13">
      <c r="A504" s="4" t="s">
        <v>2376</v>
      </c>
      <c r="B504" s="4" t="s">
        <v>2549</v>
      </c>
      <c r="C504" s="4" t="str">
        <f>CHOOSE(Translations!$C$1+1,J504,K504,L504,)</f>
        <v>Consumidores de drogas inyectables y sus parejas</v>
      </c>
      <c r="D504" s="4"/>
      <c r="E504" s="4" t="s">
        <v>1740</v>
      </c>
      <c r="F504" s="6" t="s">
        <v>2550</v>
      </c>
      <c r="G504" s="4" t="str">
        <f t="shared" si="23"/>
        <v>MCI-00693|Consumidores de drogas inyectables y sus parejas</v>
      </c>
      <c r="H504" s="4" t="str">
        <f t="shared" si="24"/>
        <v>MCI-00693|MCI-00893</v>
      </c>
      <c r="I504" s="4" t="str">
        <f t="shared" si="25"/>
        <v>a1O1R000006c5l5UAA</v>
      </c>
      <c r="J504" s="6" t="s">
        <v>2398</v>
      </c>
      <c r="K504" s="6" t="s">
        <v>2399</v>
      </c>
      <c r="L504" s="6" t="s">
        <v>2400</v>
      </c>
      <c r="M504" s="4" t="s">
        <v>663</v>
      </c>
    </row>
    <row r="505" spans="1:13">
      <c r="A505" s="4" t="s">
        <v>2376</v>
      </c>
      <c r="B505" s="4" t="s">
        <v>2551</v>
      </c>
      <c r="C505" s="4" t="str">
        <f>CHOOSE(Translations!$C$1+1,J505,K505,L505,)</f>
        <v>Otras poblaciones vulnerables</v>
      </c>
      <c r="D505" s="4"/>
      <c r="E505" s="4" t="s">
        <v>1740</v>
      </c>
      <c r="F505" s="6" t="s">
        <v>2552</v>
      </c>
      <c r="G505" s="4" t="str">
        <f t="shared" si="23"/>
        <v>MCI-00693|Otras poblaciones vulnerables</v>
      </c>
      <c r="H505" s="4" t="str">
        <f t="shared" si="24"/>
        <v>MCI-00693|MCI-00898</v>
      </c>
      <c r="I505" s="4" t="str">
        <f t="shared" si="25"/>
        <v>a1O1R000006c5lAUAQ</v>
      </c>
      <c r="J505" s="6" t="s">
        <v>2408</v>
      </c>
      <c r="K505" s="6" t="s">
        <v>2409</v>
      </c>
      <c r="L505" s="6" t="s">
        <v>2410</v>
      </c>
      <c r="M505" s="4" t="s">
        <v>663</v>
      </c>
    </row>
    <row r="506" spans="1:13">
      <c r="A506" s="4" t="s">
        <v>2376</v>
      </c>
      <c r="B506" s="4" t="s">
        <v>2553</v>
      </c>
      <c r="C506" s="4" t="str">
        <f>CHOOSE(Translations!$C$1+1,J506,K506,L506,)</f>
        <v>Niñas adolescentes y mujeres jóvenes en entornos de alta prevalencia</v>
      </c>
      <c r="D506" s="4"/>
      <c r="E506" s="4" t="s">
        <v>1740</v>
      </c>
      <c r="F506" s="6" t="s">
        <v>2554</v>
      </c>
      <c r="G506" s="4" t="str">
        <f t="shared" si="23"/>
        <v>MCI-00693|Niñas adolescentes y mujeres jóvenes en entornos de alta prevalencia</v>
      </c>
      <c r="H506" s="4" t="str">
        <f t="shared" si="24"/>
        <v>MCI-00693|MCI-00901</v>
      </c>
      <c r="I506" s="4" t="str">
        <f t="shared" si="25"/>
        <v>a1O1R000006c5lDUAQ</v>
      </c>
      <c r="J506" s="6" t="s">
        <v>2413</v>
      </c>
      <c r="K506" s="6" t="s">
        <v>2414</v>
      </c>
      <c r="L506" s="6" t="s">
        <v>2415</v>
      </c>
      <c r="M506" s="4" t="s">
        <v>663</v>
      </c>
    </row>
    <row r="507" spans="1:13">
      <c r="A507" s="4" t="s">
        <v>2376</v>
      </c>
      <c r="B507" s="4" t="s">
        <v>2555</v>
      </c>
      <c r="C507" s="4" t="str">
        <f>CHOOSE(Translations!$C$1+1,J507,K507,L507,)</f>
        <v>Hombres en entornos de alta prevalencia</v>
      </c>
      <c r="D507" s="4"/>
      <c r="E507" s="4" t="s">
        <v>1740</v>
      </c>
      <c r="F507" s="6" t="s">
        <v>2556</v>
      </c>
      <c r="G507" s="4" t="str">
        <f t="shared" si="23"/>
        <v>MCI-00693|Hombres en entornos de alta prevalencia</v>
      </c>
      <c r="H507" s="4" t="str">
        <f t="shared" si="24"/>
        <v>MCI-00693|MCI-00904</v>
      </c>
      <c r="I507" s="4" t="str">
        <f t="shared" si="25"/>
        <v>a1O1R000006c5lGUAQ</v>
      </c>
      <c r="J507" s="6" t="s">
        <v>2379</v>
      </c>
      <c r="K507" s="6" t="s">
        <v>2380</v>
      </c>
      <c r="L507" s="6" t="s">
        <v>2381</v>
      </c>
      <c r="M507" s="4" t="s">
        <v>663</v>
      </c>
    </row>
    <row r="508" spans="1:13">
      <c r="A508" s="4" t="s">
        <v>2376</v>
      </c>
      <c r="B508" s="4" t="s">
        <v>2557</v>
      </c>
      <c r="C508" s="4" t="str">
        <f>CHOOSE(Translations!$C$1+1,J508,K508,L508,)</f>
        <v>Grupos de población no específicos</v>
      </c>
      <c r="D508" s="4"/>
      <c r="E508" s="4" t="s">
        <v>1740</v>
      </c>
      <c r="F508" s="6" t="s">
        <v>2558</v>
      </c>
      <c r="G508" s="4" t="str">
        <f t="shared" si="23"/>
        <v>MCI-00693|Grupos de población no específicos</v>
      </c>
      <c r="H508" s="4" t="str">
        <f t="shared" si="24"/>
        <v>MCI-00693|MCI-00907</v>
      </c>
      <c r="I508" s="4" t="str">
        <f t="shared" si="25"/>
        <v>a1O1R000006c5lJUAQ</v>
      </c>
      <c r="J508" s="6" t="s">
        <v>2528</v>
      </c>
      <c r="K508" s="6" t="s">
        <v>2529</v>
      </c>
      <c r="L508" s="6" t="s">
        <v>2530</v>
      </c>
      <c r="M508" s="4" t="s">
        <v>663</v>
      </c>
    </row>
    <row r="509" spans="1:13">
      <c r="A509" s="4" t="s">
        <v>2376</v>
      </c>
      <c r="B509" s="4" t="s">
        <v>2559</v>
      </c>
      <c r="C509" s="4" t="str">
        <f>CHOOSE(Translations!$C$1+1,J509,K509,L509,)</f>
        <v>Parejas de personas que viven con el VIH</v>
      </c>
      <c r="D509" s="4"/>
      <c r="E509" s="4" t="s">
        <v>1740</v>
      </c>
      <c r="F509" s="6" t="s">
        <v>2560</v>
      </c>
      <c r="G509" s="4" t="str">
        <f t="shared" si="23"/>
        <v>MCI-00693|Parejas de personas que viven con el VIH</v>
      </c>
      <c r="H509" s="4" t="str">
        <f t="shared" si="24"/>
        <v>MCI-00693|MCI-00910</v>
      </c>
      <c r="I509" s="4" t="str">
        <f t="shared" si="25"/>
        <v>a1O1R000006c5lMUAQ</v>
      </c>
      <c r="J509" s="6" t="s">
        <v>2561</v>
      </c>
      <c r="K509" s="6" t="s">
        <v>2562</v>
      </c>
      <c r="L509" s="6" t="s">
        <v>2563</v>
      </c>
      <c r="M509" s="4" t="s">
        <v>663</v>
      </c>
    </row>
    <row r="510" spans="1:13">
      <c r="A510" s="4" t="s">
        <v>2376</v>
      </c>
      <c r="B510" s="4" t="s">
        <v>2564</v>
      </c>
      <c r="C510" s="4" t="str">
        <f>CHOOSE(Translations!$C$1+1,J510,K510,L510,)</f>
        <v>HSH</v>
      </c>
      <c r="D510" s="4"/>
      <c r="E510" s="4" t="s">
        <v>1736</v>
      </c>
      <c r="F510" s="6" t="s">
        <v>2565</v>
      </c>
      <c r="G510" s="4" t="str">
        <f t="shared" si="23"/>
        <v>MCI-00694|HSH</v>
      </c>
      <c r="H510" s="4" t="str">
        <f t="shared" si="24"/>
        <v>MCI-00694|MCI-00885</v>
      </c>
      <c r="I510" s="4" t="str">
        <f t="shared" si="25"/>
        <v>a1O1R000006c5kxUAA</v>
      </c>
      <c r="J510" s="6" t="s">
        <v>2384</v>
      </c>
      <c r="K510" s="6" t="s">
        <v>2385</v>
      </c>
      <c r="L510" s="6" t="s">
        <v>505</v>
      </c>
      <c r="M510" s="4" t="s">
        <v>663</v>
      </c>
    </row>
    <row r="511" spans="1:13">
      <c r="A511" s="4" t="s">
        <v>2376</v>
      </c>
      <c r="B511" s="4" t="s">
        <v>2566</v>
      </c>
      <c r="C511" s="4" t="str">
        <f>CHOOSE(Translations!$C$1+1,J511,K511,L511,)</f>
        <v>Trabajadores sexuales y sus clientes</v>
      </c>
      <c r="D511" s="4"/>
      <c r="E511" s="4" t="s">
        <v>1736</v>
      </c>
      <c r="F511" s="6" t="s">
        <v>2567</v>
      </c>
      <c r="G511" s="4" t="str">
        <f t="shared" si="23"/>
        <v>MCI-00694|Trabajadores sexuales y sus clientes</v>
      </c>
      <c r="H511" s="4" t="str">
        <f t="shared" si="24"/>
        <v>MCI-00694|MCI-00888</v>
      </c>
      <c r="I511" s="4" t="str">
        <f t="shared" si="25"/>
        <v>a1O1R000006c5l0UAA</v>
      </c>
      <c r="J511" s="6" t="s">
        <v>2388</v>
      </c>
      <c r="K511" s="6" t="s">
        <v>2389</v>
      </c>
      <c r="L511" s="6" t="s">
        <v>2390</v>
      </c>
      <c r="M511" s="4" t="s">
        <v>663</v>
      </c>
    </row>
    <row r="512" spans="1:13">
      <c r="A512" s="4" t="s">
        <v>2376</v>
      </c>
      <c r="B512" s="4" t="s">
        <v>2568</v>
      </c>
      <c r="C512" s="4" t="str">
        <f>CHOOSE(Translations!$C$1+1,J512,K512,L512,)</f>
        <v>Personas transgénero</v>
      </c>
      <c r="D512" s="4"/>
      <c r="E512" s="4" t="s">
        <v>1736</v>
      </c>
      <c r="F512" s="6" t="s">
        <v>2569</v>
      </c>
      <c r="G512" s="4" t="str">
        <f t="shared" si="23"/>
        <v>MCI-00694|Personas transgénero</v>
      </c>
      <c r="H512" s="4" t="str">
        <f t="shared" si="24"/>
        <v>MCI-00694|MCI-00891</v>
      </c>
      <c r="I512" s="4" t="str">
        <f t="shared" si="25"/>
        <v>a1O1R000006c5l3UAA</v>
      </c>
      <c r="J512" s="6" t="s">
        <v>2393</v>
      </c>
      <c r="K512" s="6" t="s">
        <v>2394</v>
      </c>
      <c r="L512" s="6" t="s">
        <v>2395</v>
      </c>
      <c r="M512" s="4" t="s">
        <v>663</v>
      </c>
    </row>
    <row r="513" spans="1:13">
      <c r="A513" s="4" t="s">
        <v>2376</v>
      </c>
      <c r="B513" s="4" t="s">
        <v>2570</v>
      </c>
      <c r="C513" s="4" t="str">
        <f>CHOOSE(Translations!$C$1+1,J513,K513,L513,)</f>
        <v>Consumidores de drogas inyectables y sus parejas</v>
      </c>
      <c r="D513" s="4"/>
      <c r="E513" s="4" t="s">
        <v>1736</v>
      </c>
      <c r="F513" s="6" t="s">
        <v>2571</v>
      </c>
      <c r="G513" s="4" t="str">
        <f t="shared" si="23"/>
        <v>MCI-00694|Consumidores de drogas inyectables y sus parejas</v>
      </c>
      <c r="H513" s="4" t="str">
        <f t="shared" si="24"/>
        <v>MCI-00694|MCI-00894</v>
      </c>
      <c r="I513" s="4" t="str">
        <f t="shared" si="25"/>
        <v>a1O1R000006c5l6UAA</v>
      </c>
      <c r="J513" s="6" t="s">
        <v>2398</v>
      </c>
      <c r="K513" s="6" t="s">
        <v>2399</v>
      </c>
      <c r="L513" s="6" t="s">
        <v>2400</v>
      </c>
      <c r="M513" s="4" t="s">
        <v>663</v>
      </c>
    </row>
    <row r="514" spans="1:13">
      <c r="A514" s="4" t="s">
        <v>2376</v>
      </c>
      <c r="B514" s="4" t="s">
        <v>2572</v>
      </c>
      <c r="C514" s="4" t="str">
        <f>CHOOSE(Translations!$C$1+1,J514,K514,L514,)</f>
        <v>Personas privadas de libertad en centros penitenciarios y otros lugares de reclusión</v>
      </c>
      <c r="D514" s="4"/>
      <c r="E514" s="4" t="s">
        <v>1736</v>
      </c>
      <c r="F514" s="6" t="s">
        <v>2573</v>
      </c>
      <c r="G514" s="4" t="str">
        <f t="shared" si="23"/>
        <v>MCI-00694|Personas privadas de libertad en centros penitenciarios y otros lugares de reclusión</v>
      </c>
      <c r="H514" s="4" t="str">
        <f t="shared" si="24"/>
        <v>MCI-00694|MCI-00896</v>
      </c>
      <c r="I514" s="4" t="str">
        <f t="shared" si="25"/>
        <v>a1O1R000006c5l8UAA</v>
      </c>
      <c r="J514" s="6" t="s">
        <v>2403</v>
      </c>
      <c r="K514" s="6" t="s">
        <v>2404</v>
      </c>
      <c r="L514" s="6" t="s">
        <v>2405</v>
      </c>
      <c r="M514" s="4" t="s">
        <v>663</v>
      </c>
    </row>
    <row r="515" spans="1:13">
      <c r="A515" s="4" t="s">
        <v>2376</v>
      </c>
      <c r="B515" s="4" t="s">
        <v>2574</v>
      </c>
      <c r="C515" s="4" t="str">
        <f>CHOOSE(Translations!$C$1+1,J515,K515,L515,)</f>
        <v>Otras poblaciones vulnerables</v>
      </c>
      <c r="D515" s="4"/>
      <c r="E515" s="4" t="s">
        <v>1736</v>
      </c>
      <c r="F515" s="6" t="s">
        <v>2575</v>
      </c>
      <c r="G515" s="4" t="str">
        <f t="shared" si="23"/>
        <v>MCI-00694|Otras poblaciones vulnerables</v>
      </c>
      <c r="H515" s="4" t="str">
        <f t="shared" si="24"/>
        <v>MCI-00694|MCI-00899</v>
      </c>
      <c r="I515" s="4" t="str">
        <f t="shared" si="25"/>
        <v>a1O1R000006c5lBUAQ</v>
      </c>
      <c r="J515" s="6" t="s">
        <v>2408</v>
      </c>
      <c r="K515" s="6" t="s">
        <v>2409</v>
      </c>
      <c r="L515" s="6" t="s">
        <v>2410</v>
      </c>
      <c r="M515" s="4" t="s">
        <v>663</v>
      </c>
    </row>
    <row r="516" spans="1:13">
      <c r="A516" s="4" t="s">
        <v>2376</v>
      </c>
      <c r="B516" s="4" t="s">
        <v>2576</v>
      </c>
      <c r="C516" s="4" t="str">
        <f>CHOOSE(Translations!$C$1+1,J516,K516,L516,)</f>
        <v>Niñas adolescentes y mujeres jóvenes en entornos de alta prevalencia</v>
      </c>
      <c r="D516" s="4"/>
      <c r="E516" s="4" t="s">
        <v>1736</v>
      </c>
      <c r="F516" s="6" t="s">
        <v>2577</v>
      </c>
      <c r="G516" s="4" t="str">
        <f t="shared" si="23"/>
        <v>MCI-00694|Niñas adolescentes y mujeres jóvenes en entornos de alta prevalencia</v>
      </c>
      <c r="H516" s="4" t="str">
        <f t="shared" si="24"/>
        <v>MCI-00694|MCI-00902</v>
      </c>
      <c r="I516" s="4" t="str">
        <f t="shared" si="25"/>
        <v>a1O1R000006c5lEUAQ</v>
      </c>
      <c r="J516" s="6" t="s">
        <v>2413</v>
      </c>
      <c r="K516" s="6" t="s">
        <v>2414</v>
      </c>
      <c r="L516" s="6" t="s">
        <v>2415</v>
      </c>
      <c r="M516" s="4" t="s">
        <v>663</v>
      </c>
    </row>
    <row r="517" spans="1:13">
      <c r="A517" s="4" t="s">
        <v>2376</v>
      </c>
      <c r="B517" s="4" t="s">
        <v>2578</v>
      </c>
      <c r="C517" s="4" t="str">
        <f>CHOOSE(Translations!$C$1+1,J517,K517,L517,)</f>
        <v>Hombres en entornos de alta prevalencia</v>
      </c>
      <c r="D517" s="4"/>
      <c r="E517" s="4" t="s">
        <v>1736</v>
      </c>
      <c r="F517" s="6" t="s">
        <v>2579</v>
      </c>
      <c r="G517" s="4" t="str">
        <f t="shared" si="23"/>
        <v>MCI-00694|Hombres en entornos de alta prevalencia</v>
      </c>
      <c r="H517" s="4" t="str">
        <f t="shared" si="24"/>
        <v>MCI-00694|MCI-00905</v>
      </c>
      <c r="I517" s="4" t="str">
        <f t="shared" si="25"/>
        <v>a1O1R000006c5lHUAQ</v>
      </c>
      <c r="J517" s="6" t="s">
        <v>2379</v>
      </c>
      <c r="K517" s="6" t="s">
        <v>2380</v>
      </c>
      <c r="L517" s="6" t="s">
        <v>2381</v>
      </c>
      <c r="M517" s="4" t="s">
        <v>663</v>
      </c>
    </row>
    <row r="518" spans="1:13">
      <c r="A518" s="4" t="s">
        <v>2376</v>
      </c>
      <c r="B518" s="4" t="s">
        <v>2580</v>
      </c>
      <c r="C518" s="4" t="str">
        <f>CHOOSE(Translations!$C$1+1,J518,K518,L518,)</f>
        <v>Grupos de población no específicos</v>
      </c>
      <c r="D518" s="4"/>
      <c r="E518" s="4" t="s">
        <v>1736</v>
      </c>
      <c r="F518" s="6" t="s">
        <v>2581</v>
      </c>
      <c r="G518" s="4" t="str">
        <f t="shared" si="23"/>
        <v>MCI-00694|Grupos de población no específicos</v>
      </c>
      <c r="H518" s="4" t="str">
        <f t="shared" si="24"/>
        <v>MCI-00694|MCI-00908</v>
      </c>
      <c r="I518" s="4" t="str">
        <f t="shared" si="25"/>
        <v>a1O1R000006c5lKUAQ</v>
      </c>
      <c r="J518" s="6" t="s">
        <v>2528</v>
      </c>
      <c r="K518" s="6" t="s">
        <v>2529</v>
      </c>
      <c r="L518" s="6" t="s">
        <v>2530</v>
      </c>
      <c r="M518" s="4" t="s">
        <v>663</v>
      </c>
    </row>
    <row r="519" spans="1:13">
      <c r="A519" s="4" t="s">
        <v>2376</v>
      </c>
      <c r="B519" s="4" t="s">
        <v>2582</v>
      </c>
      <c r="C519" s="4" t="str">
        <f>CHOOSE(Translations!$C$1+1,J519,K519,L519,)</f>
        <v>Parejas de personas que viven con el VIH</v>
      </c>
      <c r="D519" s="4"/>
      <c r="E519" s="4" t="s">
        <v>1736</v>
      </c>
      <c r="F519" s="6" t="s">
        <v>2583</v>
      </c>
      <c r="G519" s="4" t="str">
        <f t="shared" si="23"/>
        <v>MCI-00694|Parejas de personas que viven con el VIH</v>
      </c>
      <c r="H519" s="4" t="str">
        <f t="shared" si="24"/>
        <v>MCI-00694|MCI-00911</v>
      </c>
      <c r="I519" s="4" t="str">
        <f t="shared" si="25"/>
        <v>a1O1R000006c5lNUAQ</v>
      </c>
      <c r="J519" s="6" t="s">
        <v>2561</v>
      </c>
      <c r="K519" s="6" t="s">
        <v>2562</v>
      </c>
      <c r="L519" s="6" t="s">
        <v>2563</v>
      </c>
      <c r="M519" s="4" t="s">
        <v>663</v>
      </c>
    </row>
    <row r="520" spans="1:13">
      <c r="A520" s="4" t="s">
        <v>2376</v>
      </c>
      <c r="B520" s="4" t="s">
        <v>2584</v>
      </c>
      <c r="C520" s="4" t="str">
        <f>CHOOSE(Translations!$C$1+1,J520,K520,L520,)</f>
        <v>HSH</v>
      </c>
      <c r="D520" s="4"/>
      <c r="E520" s="4" t="s">
        <v>1745</v>
      </c>
      <c r="F520" s="6" t="s">
        <v>2585</v>
      </c>
      <c r="G520" s="4" t="str">
        <f t="shared" si="23"/>
        <v>MCI-00695|HSH</v>
      </c>
      <c r="H520" s="4" t="str">
        <f t="shared" si="24"/>
        <v>MCI-00695|MCI-00886</v>
      </c>
      <c r="I520" s="4" t="str">
        <f t="shared" si="25"/>
        <v>a1O1R000006c5kyUAA</v>
      </c>
      <c r="J520" s="6" t="s">
        <v>2384</v>
      </c>
      <c r="K520" s="6" t="s">
        <v>2385</v>
      </c>
      <c r="L520" s="6" t="s">
        <v>505</v>
      </c>
      <c r="M520" s="4" t="s">
        <v>663</v>
      </c>
    </row>
    <row r="521" spans="1:13">
      <c r="A521" s="4" t="s">
        <v>2376</v>
      </c>
      <c r="B521" s="4" t="s">
        <v>2586</v>
      </c>
      <c r="C521" s="4" t="str">
        <f>CHOOSE(Translations!$C$1+1,J521,K521,L521,)</f>
        <v>Trabajadores sexuales y sus clientes</v>
      </c>
      <c r="D521" s="4"/>
      <c r="E521" s="4" t="s">
        <v>1745</v>
      </c>
      <c r="F521" s="6" t="s">
        <v>2587</v>
      </c>
      <c r="G521" s="4" t="str">
        <f t="shared" si="23"/>
        <v>MCI-00695|Trabajadores sexuales y sus clientes</v>
      </c>
      <c r="H521" s="4" t="str">
        <f t="shared" si="24"/>
        <v>MCI-00695|MCI-00889</v>
      </c>
      <c r="I521" s="4" t="str">
        <f t="shared" si="25"/>
        <v>a1O1R000006c5l1UAA</v>
      </c>
      <c r="J521" s="6" t="s">
        <v>2388</v>
      </c>
      <c r="K521" s="6" t="s">
        <v>2389</v>
      </c>
      <c r="L521" s="6" t="s">
        <v>2390</v>
      </c>
      <c r="M521" s="4" t="s">
        <v>663</v>
      </c>
    </row>
    <row r="522" spans="1:13">
      <c r="A522" s="4" t="s">
        <v>2376</v>
      </c>
      <c r="B522" s="4" t="s">
        <v>2588</v>
      </c>
      <c r="C522" s="4" t="str">
        <f>CHOOSE(Translations!$C$1+1,J522,K522,L522,)</f>
        <v>Personas transgénero</v>
      </c>
      <c r="D522" s="4"/>
      <c r="E522" s="4" t="s">
        <v>1745</v>
      </c>
      <c r="F522" s="6" t="s">
        <v>2589</v>
      </c>
      <c r="G522" s="4" t="str">
        <f t="shared" si="23"/>
        <v>MCI-00695|Personas transgénero</v>
      </c>
      <c r="H522" s="4" t="str">
        <f t="shared" si="24"/>
        <v>MCI-00695|MCI-00892</v>
      </c>
      <c r="I522" s="4" t="str">
        <f t="shared" si="25"/>
        <v>a1O1R000006c5l4UAA</v>
      </c>
      <c r="J522" s="6" t="s">
        <v>2393</v>
      </c>
      <c r="K522" s="6" t="s">
        <v>2394</v>
      </c>
      <c r="L522" s="6" t="s">
        <v>2395</v>
      </c>
      <c r="M522" s="4" t="s">
        <v>663</v>
      </c>
    </row>
    <row r="523" spans="1:13">
      <c r="A523" s="4" t="s">
        <v>2376</v>
      </c>
      <c r="B523" s="4" t="s">
        <v>2590</v>
      </c>
      <c r="C523" s="4" t="str">
        <f>CHOOSE(Translations!$C$1+1,J523,K523,L523,)</f>
        <v>Consumidores de drogas inyectables y sus parejas</v>
      </c>
      <c r="D523" s="4"/>
      <c r="E523" s="4" t="s">
        <v>1745</v>
      </c>
      <c r="F523" s="6" t="s">
        <v>2591</v>
      </c>
      <c r="G523" s="4" t="str">
        <f t="shared" si="23"/>
        <v>MCI-00695|Consumidores de drogas inyectables y sus parejas</v>
      </c>
      <c r="H523" s="4" t="str">
        <f t="shared" si="24"/>
        <v>MCI-00695|MCI-00895</v>
      </c>
      <c r="I523" s="4" t="str">
        <f t="shared" si="25"/>
        <v>a1O1R000006c5l7UAA</v>
      </c>
      <c r="J523" s="6" t="s">
        <v>2398</v>
      </c>
      <c r="K523" s="6" t="s">
        <v>2399</v>
      </c>
      <c r="L523" s="6" t="s">
        <v>2400</v>
      </c>
      <c r="M523" s="4" t="s">
        <v>663</v>
      </c>
    </row>
    <row r="524" spans="1:13">
      <c r="A524" s="4" t="s">
        <v>2376</v>
      </c>
      <c r="B524" s="4" t="s">
        <v>2592</v>
      </c>
      <c r="C524" s="4" t="str">
        <f>CHOOSE(Translations!$C$1+1,J524,K524,L524,)</f>
        <v>Personas privadas de libertad en centros penitenciarios y otros lugares de reclusión</v>
      </c>
      <c r="D524" s="4"/>
      <c r="E524" s="4" t="s">
        <v>1745</v>
      </c>
      <c r="F524" s="6" t="s">
        <v>2593</v>
      </c>
      <c r="G524" s="4" t="str">
        <f t="shared" si="23"/>
        <v>MCI-00695|Personas privadas de libertad en centros penitenciarios y otros lugares de reclusión</v>
      </c>
      <c r="H524" s="4" t="str">
        <f t="shared" si="24"/>
        <v>MCI-00695|MCI-00897</v>
      </c>
      <c r="I524" s="4" t="str">
        <f t="shared" si="25"/>
        <v>a1O1R000006c5l9UAA</v>
      </c>
      <c r="J524" s="6" t="s">
        <v>2403</v>
      </c>
      <c r="K524" s="6" t="s">
        <v>2404</v>
      </c>
      <c r="L524" s="6" t="s">
        <v>2405</v>
      </c>
      <c r="M524" s="4" t="s">
        <v>663</v>
      </c>
    </row>
    <row r="525" spans="1:13">
      <c r="A525" s="4" t="s">
        <v>2376</v>
      </c>
      <c r="B525" s="4" t="s">
        <v>2594</v>
      </c>
      <c r="C525" s="4" t="str">
        <f>CHOOSE(Translations!$C$1+1,J525,K525,L525,)</f>
        <v>Otras poblaciones vulnerables</v>
      </c>
      <c r="D525" s="4"/>
      <c r="E525" s="4" t="s">
        <v>1745</v>
      </c>
      <c r="F525" s="6" t="s">
        <v>2595</v>
      </c>
      <c r="G525" s="4" t="str">
        <f t="shared" si="23"/>
        <v>MCI-00695|Otras poblaciones vulnerables</v>
      </c>
      <c r="H525" s="4" t="str">
        <f t="shared" si="24"/>
        <v>MCI-00695|MCI-00900</v>
      </c>
      <c r="I525" s="4" t="str">
        <f t="shared" si="25"/>
        <v>a1O1R000006c5lCUAQ</v>
      </c>
      <c r="J525" s="6" t="s">
        <v>2408</v>
      </c>
      <c r="K525" s="6" t="s">
        <v>2409</v>
      </c>
      <c r="L525" s="6" t="s">
        <v>2410</v>
      </c>
      <c r="M525" s="4" t="s">
        <v>663</v>
      </c>
    </row>
    <row r="526" spans="1:13">
      <c r="A526" s="4" t="s">
        <v>2376</v>
      </c>
      <c r="B526" s="4" t="s">
        <v>2596</v>
      </c>
      <c r="C526" s="4" t="str">
        <f>CHOOSE(Translations!$C$1+1,J526,K526,L526,)</f>
        <v>Niñas adolescentes y mujeres jóvenes en entornos de alta prevalencia</v>
      </c>
      <c r="D526" s="4"/>
      <c r="E526" s="4" t="s">
        <v>1745</v>
      </c>
      <c r="F526" s="6" t="s">
        <v>2597</v>
      </c>
      <c r="G526" s="4" t="str">
        <f t="shared" si="23"/>
        <v>MCI-00695|Niñas adolescentes y mujeres jóvenes en entornos de alta prevalencia</v>
      </c>
      <c r="H526" s="4" t="str">
        <f t="shared" si="24"/>
        <v>MCI-00695|MCI-00903</v>
      </c>
      <c r="I526" s="4" t="str">
        <f t="shared" si="25"/>
        <v>a1O1R000006c5lFUAQ</v>
      </c>
      <c r="J526" s="6" t="s">
        <v>2413</v>
      </c>
      <c r="K526" s="6" t="s">
        <v>2414</v>
      </c>
      <c r="L526" s="6" t="s">
        <v>2415</v>
      </c>
      <c r="M526" s="4" t="s">
        <v>663</v>
      </c>
    </row>
    <row r="527" spans="1:13">
      <c r="A527" s="4" t="s">
        <v>2376</v>
      </c>
      <c r="B527" s="4" t="s">
        <v>2598</v>
      </c>
      <c r="C527" s="4" t="str">
        <f>CHOOSE(Translations!$C$1+1,J527,K527,L527,)</f>
        <v>Hombres en entornos de alta prevalencia</v>
      </c>
      <c r="D527" s="4"/>
      <c r="E527" s="4" t="s">
        <v>1745</v>
      </c>
      <c r="F527" s="6" t="s">
        <v>2599</v>
      </c>
      <c r="G527" s="4" t="str">
        <f t="shared" si="23"/>
        <v>MCI-00695|Hombres en entornos de alta prevalencia</v>
      </c>
      <c r="H527" s="4" t="str">
        <f t="shared" si="24"/>
        <v>MCI-00695|MCI-00906</v>
      </c>
      <c r="I527" s="4" t="str">
        <f t="shared" si="25"/>
        <v>a1O1R000006c5lIUAQ</v>
      </c>
      <c r="J527" s="6" t="s">
        <v>2379</v>
      </c>
      <c r="K527" s="6" t="s">
        <v>2380</v>
      </c>
      <c r="L527" s="6" t="s">
        <v>2381</v>
      </c>
      <c r="M527" s="4" t="s">
        <v>663</v>
      </c>
    </row>
    <row r="528" spans="1:13">
      <c r="A528" s="4" t="s">
        <v>2376</v>
      </c>
      <c r="B528" s="4" t="s">
        <v>2600</v>
      </c>
      <c r="C528" s="4" t="str">
        <f>CHOOSE(Translations!$C$1+1,J528,K528,L528,)</f>
        <v>Grupos de población no específicos</v>
      </c>
      <c r="D528" s="4"/>
      <c r="E528" s="4" t="s">
        <v>1745</v>
      </c>
      <c r="F528" s="6" t="s">
        <v>2601</v>
      </c>
      <c r="G528" s="4" t="str">
        <f t="shared" si="23"/>
        <v>MCI-00695|Grupos de población no específicos</v>
      </c>
      <c r="H528" s="4" t="str">
        <f t="shared" si="24"/>
        <v>MCI-00695|MCI-00909</v>
      </c>
      <c r="I528" s="4" t="str">
        <f t="shared" si="25"/>
        <v>a1O1R000006c5lLUAQ</v>
      </c>
      <c r="J528" s="6" t="s">
        <v>2528</v>
      </c>
      <c r="K528" s="6" t="s">
        <v>2529</v>
      </c>
      <c r="L528" s="6" t="s">
        <v>2530</v>
      </c>
      <c r="M528" s="4" t="s">
        <v>663</v>
      </c>
    </row>
    <row r="529" spans="1:13">
      <c r="A529" s="4" t="s">
        <v>2376</v>
      </c>
      <c r="B529" s="4" t="s">
        <v>2602</v>
      </c>
      <c r="C529" s="4" t="str">
        <f>CHOOSE(Translations!$C$1+1,J529,K529,L529,)</f>
        <v>Parejas de personas que viven con el VIH</v>
      </c>
      <c r="D529" s="4"/>
      <c r="E529" s="4" t="s">
        <v>1745</v>
      </c>
      <c r="F529" s="6" t="s">
        <v>2603</v>
      </c>
      <c r="G529" s="4" t="str">
        <f t="shared" si="23"/>
        <v>MCI-00695|Parejas de personas que viven con el VIH</v>
      </c>
      <c r="H529" s="4" t="str">
        <f t="shared" si="24"/>
        <v>MCI-00695|MCI-00912</v>
      </c>
      <c r="I529" s="4" t="str">
        <f t="shared" si="25"/>
        <v>a1O1R000006c5lOUAQ</v>
      </c>
      <c r="J529" s="6" t="s">
        <v>2561</v>
      </c>
      <c r="K529" s="6" t="s">
        <v>2562</v>
      </c>
      <c r="L529" s="6" t="s">
        <v>2563</v>
      </c>
      <c r="M529" s="4" t="s">
        <v>663</v>
      </c>
    </row>
    <row r="530" spans="1:13">
      <c r="A530" s="4" t="s">
        <v>2376</v>
      </c>
      <c r="B530" s="4" t="s">
        <v>2604</v>
      </c>
      <c r="C530" s="4" t="str">
        <f>CHOOSE(Translations!$C$1+1,J530,K530,L530,)</f>
        <v>Todas las personas que viven con el VIH</v>
      </c>
      <c r="D530" s="4"/>
      <c r="E530" s="4" t="s">
        <v>1755</v>
      </c>
      <c r="F530" s="6" t="s">
        <v>2605</v>
      </c>
      <c r="G530" s="4" t="str">
        <f t="shared" si="23"/>
        <v>MCI-00696|Todas las personas que viven con el VIH</v>
      </c>
      <c r="H530" s="4" t="str">
        <f t="shared" si="24"/>
        <v>MCI-00696|MCI-00913</v>
      </c>
      <c r="I530" s="4" t="str">
        <f t="shared" si="25"/>
        <v>a1O1R000006c5lPUAQ</v>
      </c>
      <c r="J530" s="6" t="s">
        <v>2606</v>
      </c>
      <c r="K530" s="6" t="s">
        <v>2607</v>
      </c>
      <c r="L530" s="6" t="s">
        <v>2608</v>
      </c>
      <c r="M530" s="4" t="s">
        <v>663</v>
      </c>
    </row>
    <row r="531" spans="1:13">
      <c r="A531" s="4" t="s">
        <v>2376</v>
      </c>
      <c r="B531" s="4" t="s">
        <v>2609</v>
      </c>
      <c r="C531" s="4" t="str">
        <f>CHOOSE(Translations!$C$1+1,J531,K531,L531,)</f>
        <v>Personas adultas que viven con el VIH (15 años o más)</v>
      </c>
      <c r="D531" s="4"/>
      <c r="E531" s="4" t="s">
        <v>1755</v>
      </c>
      <c r="F531" s="6" t="s">
        <v>2610</v>
      </c>
      <c r="G531" s="4" t="str">
        <f t="shared" si="23"/>
        <v>MCI-00696|Personas adultas que viven con el VIH (15 años o más)</v>
      </c>
      <c r="H531" s="4" t="str">
        <f t="shared" si="24"/>
        <v>MCI-00696|MCI-00920</v>
      </c>
      <c r="I531" s="4" t="str">
        <f t="shared" si="25"/>
        <v>a1O1R000006c5lWUAQ</v>
      </c>
      <c r="J531" s="6" t="s">
        <v>2611</v>
      </c>
      <c r="K531" s="6" t="s">
        <v>2612</v>
      </c>
      <c r="L531" s="6" t="s">
        <v>2613</v>
      </c>
      <c r="M531" s="4" t="s">
        <v>663</v>
      </c>
    </row>
    <row r="532" spans="1:13">
      <c r="A532" s="4" t="s">
        <v>2376</v>
      </c>
      <c r="B532" s="4" t="s">
        <v>2614</v>
      </c>
      <c r="C532" s="4" t="str">
        <f>CHOOSE(Translations!$C$1+1,J532,K532,L532,)</f>
        <v>Niños y niñas que viven con el VIH (menores de 15 años)</v>
      </c>
      <c r="D532" s="4"/>
      <c r="E532" s="4" t="s">
        <v>1755</v>
      </c>
      <c r="F532" s="6" t="s">
        <v>2615</v>
      </c>
      <c r="G532" s="4" t="str">
        <f t="shared" si="23"/>
        <v>MCI-00696|Niños y niñas que viven con el VIH (menores de 15 años)</v>
      </c>
      <c r="H532" s="4" t="str">
        <f t="shared" si="24"/>
        <v>MCI-00696|MCI-00926</v>
      </c>
      <c r="I532" s="4" t="str">
        <f t="shared" si="25"/>
        <v>a1O1R000006c5lcUAA</v>
      </c>
      <c r="J532" s="6" t="s">
        <v>2616</v>
      </c>
      <c r="K532" s="6" t="s">
        <v>2617</v>
      </c>
      <c r="L532" s="6" t="s">
        <v>2618</v>
      </c>
      <c r="M532" s="4" t="s">
        <v>663</v>
      </c>
    </row>
    <row r="533" spans="1:13">
      <c r="A533" s="4" t="s">
        <v>2376</v>
      </c>
      <c r="B533" s="4" t="s">
        <v>2619</v>
      </c>
      <c r="C533" s="4" t="str">
        <f>CHOOSE(Translations!$C$1+1,J533,K533,L533,)</f>
        <v>Todas las personas que viven con el VIH</v>
      </c>
      <c r="D533" s="4"/>
      <c r="E533" s="4" t="s">
        <v>1775</v>
      </c>
      <c r="F533" s="6" t="s">
        <v>2620</v>
      </c>
      <c r="G533" s="4" t="str">
        <f t="shared" si="23"/>
        <v>MCI-00697|Todas las personas que viven con el VIH</v>
      </c>
      <c r="H533" s="4" t="str">
        <f t="shared" si="24"/>
        <v>MCI-00697|MCI-00914</v>
      </c>
      <c r="I533" s="4" t="str">
        <f t="shared" si="25"/>
        <v>a1O1R000006c5lQUAQ</v>
      </c>
      <c r="J533" s="6" t="s">
        <v>2606</v>
      </c>
      <c r="K533" s="6" t="s">
        <v>2607</v>
      </c>
      <c r="L533" s="6" t="s">
        <v>2608</v>
      </c>
      <c r="M533" s="4" t="s">
        <v>663</v>
      </c>
    </row>
    <row r="534" spans="1:13">
      <c r="A534" s="4" t="s">
        <v>2376</v>
      </c>
      <c r="B534" s="4" t="s">
        <v>2621</v>
      </c>
      <c r="C534" s="4" t="str">
        <f>CHOOSE(Translations!$C$1+1,J534,K534,L534,)</f>
        <v>Personas adultas que viven con el VIH (15 años o más)</v>
      </c>
      <c r="D534" s="4"/>
      <c r="E534" s="4" t="s">
        <v>1775</v>
      </c>
      <c r="F534" s="6" t="s">
        <v>2622</v>
      </c>
      <c r="G534" s="4" t="str">
        <f t="shared" si="23"/>
        <v>MCI-00697|Personas adultas que viven con el VIH (15 años o más)</v>
      </c>
      <c r="H534" s="4" t="str">
        <f t="shared" si="24"/>
        <v>MCI-00697|MCI-00921</v>
      </c>
      <c r="I534" s="4" t="str">
        <f t="shared" si="25"/>
        <v>a1O1R000006c5lXUAQ</v>
      </c>
      <c r="J534" s="6" t="s">
        <v>2611</v>
      </c>
      <c r="K534" s="6" t="s">
        <v>2612</v>
      </c>
      <c r="L534" s="6" t="s">
        <v>2613</v>
      </c>
      <c r="M534" s="4" t="s">
        <v>663</v>
      </c>
    </row>
    <row r="535" spans="1:13">
      <c r="A535" s="4" t="s">
        <v>2376</v>
      </c>
      <c r="B535" s="4" t="s">
        <v>2623</v>
      </c>
      <c r="C535" s="4" t="str">
        <f>CHOOSE(Translations!$C$1+1,J535,K535,L535,)</f>
        <v>Niños y niñas que viven con el VIH (menores de 15 años)</v>
      </c>
      <c r="D535" s="4"/>
      <c r="E535" s="4" t="s">
        <v>1775</v>
      </c>
      <c r="F535" s="6" t="s">
        <v>2624</v>
      </c>
      <c r="G535" s="4" t="str">
        <f t="shared" si="23"/>
        <v>MCI-00697|Niños y niñas que viven con el VIH (menores de 15 años)</v>
      </c>
      <c r="H535" s="4" t="str">
        <f t="shared" si="24"/>
        <v>MCI-00697|MCI-00927</v>
      </c>
      <c r="I535" s="4" t="str">
        <f t="shared" si="25"/>
        <v>a1O1R000006c5ldUAA</v>
      </c>
      <c r="J535" s="6" t="s">
        <v>2616</v>
      </c>
      <c r="K535" s="6" t="s">
        <v>2617</v>
      </c>
      <c r="L535" s="6" t="s">
        <v>2618</v>
      </c>
      <c r="M535" s="4" t="s">
        <v>663</v>
      </c>
    </row>
    <row r="536" spans="1:13">
      <c r="A536" s="4" t="s">
        <v>2376</v>
      </c>
      <c r="B536" s="4" t="s">
        <v>2625</v>
      </c>
      <c r="C536" s="4" t="str">
        <f>CHOOSE(Translations!$C$1+1,J536,K536,L536,)</f>
        <v>Todas las personas que viven con el VIH</v>
      </c>
      <c r="D536" s="4"/>
      <c r="E536" s="4" t="s">
        <v>1770</v>
      </c>
      <c r="F536" s="6" t="s">
        <v>2626</v>
      </c>
      <c r="G536" s="4" t="str">
        <f t="shared" si="23"/>
        <v>MCI-00698|Todas las personas que viven con el VIH</v>
      </c>
      <c r="H536" s="4" t="str">
        <f t="shared" si="24"/>
        <v>MCI-00698|MCI-00915</v>
      </c>
      <c r="I536" s="4" t="str">
        <f t="shared" si="25"/>
        <v>a1O1R000006c5lRUAQ</v>
      </c>
      <c r="J536" s="6" t="s">
        <v>2606</v>
      </c>
      <c r="K536" s="6" t="s">
        <v>2607</v>
      </c>
      <c r="L536" s="6" t="s">
        <v>2608</v>
      </c>
      <c r="M536" s="4" t="s">
        <v>663</v>
      </c>
    </row>
    <row r="537" spans="1:13">
      <c r="A537" s="4" t="s">
        <v>2376</v>
      </c>
      <c r="B537" s="4" t="s">
        <v>2627</v>
      </c>
      <c r="C537" s="4" t="str">
        <f>CHOOSE(Translations!$C$1+1,J537,K537,L537,)</f>
        <v>Personas adultas que viven con el VIH (15 años o más)</v>
      </c>
      <c r="D537" s="4"/>
      <c r="E537" s="4" t="s">
        <v>1770</v>
      </c>
      <c r="F537" s="6" t="s">
        <v>2628</v>
      </c>
      <c r="G537" s="4" t="str">
        <f t="shared" si="23"/>
        <v>MCI-00698|Personas adultas que viven con el VIH (15 años o más)</v>
      </c>
      <c r="H537" s="4" t="str">
        <f t="shared" si="24"/>
        <v>MCI-00698|MCI-00922</v>
      </c>
      <c r="I537" s="4" t="str">
        <f t="shared" si="25"/>
        <v>a1O1R000006c5lYUAQ</v>
      </c>
      <c r="J537" s="6" t="s">
        <v>2611</v>
      </c>
      <c r="K537" s="6" t="s">
        <v>2612</v>
      </c>
      <c r="L537" s="6" t="s">
        <v>2613</v>
      </c>
      <c r="M537" s="4" t="s">
        <v>663</v>
      </c>
    </row>
    <row r="538" spans="1:13">
      <c r="A538" s="4" t="s">
        <v>2376</v>
      </c>
      <c r="B538" s="4" t="s">
        <v>2629</v>
      </c>
      <c r="C538" s="4" t="str">
        <f>CHOOSE(Translations!$C$1+1,J538,K538,L538,)</f>
        <v>Niños y niñas que viven con el VIH (menores de 15 años)</v>
      </c>
      <c r="D538" s="4"/>
      <c r="E538" s="4" t="s">
        <v>1770</v>
      </c>
      <c r="F538" s="6" t="s">
        <v>2630</v>
      </c>
      <c r="G538" s="4" t="str">
        <f t="shared" si="23"/>
        <v>MCI-00698|Niños y niñas que viven con el VIH (menores de 15 años)</v>
      </c>
      <c r="H538" s="4" t="str">
        <f t="shared" si="24"/>
        <v>MCI-00698|MCI-00928</v>
      </c>
      <c r="I538" s="4" t="str">
        <f t="shared" si="25"/>
        <v>a1O1R000006c5leUAA</v>
      </c>
      <c r="J538" s="6" t="s">
        <v>2616</v>
      </c>
      <c r="K538" s="6" t="s">
        <v>2617</v>
      </c>
      <c r="L538" s="6" t="s">
        <v>2618</v>
      </c>
      <c r="M538" s="4" t="s">
        <v>663</v>
      </c>
    </row>
    <row r="539" spans="1:13">
      <c r="A539" s="4" t="s">
        <v>2376</v>
      </c>
      <c r="B539" s="4" t="s">
        <v>2631</v>
      </c>
      <c r="C539" s="4" t="str">
        <f>CHOOSE(Translations!$C$1+1,J539,K539,L539,)</f>
        <v>Todas las personas que viven con el VIH</v>
      </c>
      <c r="D539" s="4"/>
      <c r="E539" s="4" t="s">
        <v>1780</v>
      </c>
      <c r="F539" s="6" t="s">
        <v>2632</v>
      </c>
      <c r="G539" s="4" t="str">
        <f t="shared" si="23"/>
        <v>MCI-00699|Todas las personas que viven con el VIH</v>
      </c>
      <c r="H539" s="4" t="str">
        <f t="shared" si="24"/>
        <v>MCI-00699|MCI-00916</v>
      </c>
      <c r="I539" s="4" t="str">
        <f t="shared" si="25"/>
        <v>a1O1R000006c5lSUAQ</v>
      </c>
      <c r="J539" s="6" t="s">
        <v>2606</v>
      </c>
      <c r="K539" s="6" t="s">
        <v>2607</v>
      </c>
      <c r="L539" s="6" t="s">
        <v>2608</v>
      </c>
      <c r="M539" s="4" t="s">
        <v>663</v>
      </c>
    </row>
    <row r="540" spans="1:13">
      <c r="A540" s="4" t="s">
        <v>2376</v>
      </c>
      <c r="B540" s="4" t="s">
        <v>2633</v>
      </c>
      <c r="C540" s="4" t="str">
        <f>CHOOSE(Translations!$C$1+1,J540,K540,L540,)</f>
        <v>Personas adultas que viven con el VIH (15 años o más)</v>
      </c>
      <c r="D540" s="4"/>
      <c r="E540" s="4" t="s">
        <v>1780</v>
      </c>
      <c r="F540" s="6" t="s">
        <v>2634</v>
      </c>
      <c r="G540" s="4" t="str">
        <f t="shared" si="23"/>
        <v>MCI-00699|Personas adultas que viven con el VIH (15 años o más)</v>
      </c>
      <c r="H540" s="4" t="str">
        <f t="shared" si="24"/>
        <v>MCI-00699|MCI-00923</v>
      </c>
      <c r="I540" s="4" t="str">
        <f t="shared" si="25"/>
        <v>a1O1R000006c5lZUAQ</v>
      </c>
      <c r="J540" s="6" t="s">
        <v>2611</v>
      </c>
      <c r="K540" s="6" t="s">
        <v>2612</v>
      </c>
      <c r="L540" s="6" t="s">
        <v>2613</v>
      </c>
      <c r="M540" s="4" t="s">
        <v>663</v>
      </c>
    </row>
    <row r="541" spans="1:13">
      <c r="A541" s="4" t="s">
        <v>2376</v>
      </c>
      <c r="B541" s="4" t="s">
        <v>2635</v>
      </c>
      <c r="C541" s="4" t="str">
        <f>CHOOSE(Translations!$C$1+1,J541,K541,L541,)</f>
        <v>Niños y niñas que viven con el VIH (menores de 15 años)</v>
      </c>
      <c r="D541" s="4"/>
      <c r="E541" s="4" t="s">
        <v>1780</v>
      </c>
      <c r="F541" s="6" t="s">
        <v>2636</v>
      </c>
      <c r="G541" s="4" t="str">
        <f t="shared" si="23"/>
        <v>MCI-00699|Niños y niñas que viven con el VIH (menores de 15 años)</v>
      </c>
      <c r="H541" s="4" t="str">
        <f t="shared" si="24"/>
        <v>MCI-00699|MCI-00929</v>
      </c>
      <c r="I541" s="4" t="str">
        <f t="shared" si="25"/>
        <v>a1O1R000006c5lfUAA</v>
      </c>
      <c r="J541" s="6" t="s">
        <v>2616</v>
      </c>
      <c r="K541" s="6" t="s">
        <v>2617</v>
      </c>
      <c r="L541" s="6" t="s">
        <v>2618</v>
      </c>
      <c r="M541" s="4" t="s">
        <v>663</v>
      </c>
    </row>
    <row r="542" spans="1:13">
      <c r="A542" s="4" t="s">
        <v>2376</v>
      </c>
      <c r="B542" s="4" t="s">
        <v>2637</v>
      </c>
      <c r="C542" s="4" t="str">
        <f>CHOOSE(Translations!$C$1+1,J542,K542,L542,)</f>
        <v>Todas las personas que viven con el VIH</v>
      </c>
      <c r="D542" s="4"/>
      <c r="E542" s="4" t="s">
        <v>1765</v>
      </c>
      <c r="F542" s="6" t="s">
        <v>2638</v>
      </c>
      <c r="G542" s="4" t="str">
        <f t="shared" si="23"/>
        <v>MCI-00700|Todas las personas que viven con el VIH</v>
      </c>
      <c r="H542" s="4" t="str">
        <f t="shared" si="24"/>
        <v>MCI-00700|MCI-00917</v>
      </c>
      <c r="I542" s="4" t="str">
        <f t="shared" si="25"/>
        <v>a1O1R000006c5lTUAQ</v>
      </c>
      <c r="J542" s="6" t="s">
        <v>2606</v>
      </c>
      <c r="K542" s="6" t="s">
        <v>2607</v>
      </c>
      <c r="L542" s="6" t="s">
        <v>2608</v>
      </c>
      <c r="M542" s="4" t="s">
        <v>663</v>
      </c>
    </row>
    <row r="543" spans="1:13">
      <c r="A543" s="4" t="s">
        <v>2376</v>
      </c>
      <c r="B543" s="4" t="s">
        <v>2639</v>
      </c>
      <c r="C543" s="4" t="str">
        <f>CHOOSE(Translations!$C$1+1,J543,K543,L543,)</f>
        <v>Personas adultas que viven con el VIH (15 años o más)</v>
      </c>
      <c r="D543" s="4"/>
      <c r="E543" s="4" t="s">
        <v>1765</v>
      </c>
      <c r="F543" s="6" t="s">
        <v>2640</v>
      </c>
      <c r="G543" s="4" t="str">
        <f t="shared" si="23"/>
        <v>MCI-00700|Personas adultas que viven con el VIH (15 años o más)</v>
      </c>
      <c r="H543" s="4" t="str">
        <f t="shared" si="24"/>
        <v>MCI-00700|MCI-00924</v>
      </c>
      <c r="I543" s="4" t="str">
        <f t="shared" si="25"/>
        <v>a1O1R000006c5laUAA</v>
      </c>
      <c r="J543" s="6" t="s">
        <v>2611</v>
      </c>
      <c r="K543" s="6" t="s">
        <v>2612</v>
      </c>
      <c r="L543" s="6" t="s">
        <v>2613</v>
      </c>
      <c r="M543" s="4" t="s">
        <v>663</v>
      </c>
    </row>
    <row r="544" spans="1:13">
      <c r="A544" s="4" t="s">
        <v>2376</v>
      </c>
      <c r="B544" s="4" t="s">
        <v>2641</v>
      </c>
      <c r="C544" s="4" t="str">
        <f>CHOOSE(Translations!$C$1+1,J544,K544,L544,)</f>
        <v>Niños y niñas que viven con el VIH (menores de 15 años)</v>
      </c>
      <c r="D544" s="4"/>
      <c r="E544" s="4" t="s">
        <v>1765</v>
      </c>
      <c r="F544" s="6" t="s">
        <v>2642</v>
      </c>
      <c r="G544" s="4" t="str">
        <f t="shared" si="23"/>
        <v>MCI-00700|Niños y niñas que viven con el VIH (menores de 15 años)</v>
      </c>
      <c r="H544" s="4" t="str">
        <f t="shared" si="24"/>
        <v>MCI-00700|MCI-00930</v>
      </c>
      <c r="I544" s="4" t="str">
        <f t="shared" si="25"/>
        <v>a1O1R000006c5lgUAA</v>
      </c>
      <c r="J544" s="6" t="s">
        <v>2616</v>
      </c>
      <c r="K544" s="6" t="s">
        <v>2617</v>
      </c>
      <c r="L544" s="6" t="s">
        <v>2618</v>
      </c>
      <c r="M544" s="4" t="s">
        <v>663</v>
      </c>
    </row>
    <row r="545" spans="1:13">
      <c r="A545" s="4" t="s">
        <v>2376</v>
      </c>
      <c r="B545" s="4" t="s">
        <v>2643</v>
      </c>
      <c r="C545" s="4" t="str">
        <f>CHOOSE(Translations!$C$1+1,J545,K545,L545,)</f>
        <v>Personas adultas que viven con el VIH (15 años o más)</v>
      </c>
      <c r="D545" s="4"/>
      <c r="E545" s="4" t="s">
        <v>1750</v>
      </c>
      <c r="F545" s="6" t="s">
        <v>2644</v>
      </c>
      <c r="G545" s="4" t="str">
        <f t="shared" si="23"/>
        <v>MCI-00701|Personas adultas que viven con el VIH (15 años o más)</v>
      </c>
      <c r="H545" s="4" t="str">
        <f t="shared" si="24"/>
        <v>MCI-00701|MCI-00925</v>
      </c>
      <c r="I545" s="4" t="str">
        <f t="shared" si="25"/>
        <v>a1O1R000006c5lbUAA</v>
      </c>
      <c r="J545" s="6" t="s">
        <v>2611</v>
      </c>
      <c r="K545" s="6" t="s">
        <v>2612</v>
      </c>
      <c r="L545" s="6" t="s">
        <v>2613</v>
      </c>
      <c r="M545" s="4" t="s">
        <v>663</v>
      </c>
    </row>
    <row r="546" spans="1:13">
      <c r="A546" s="4" t="s">
        <v>2376</v>
      </c>
      <c r="B546" s="4" t="s">
        <v>2645</v>
      </c>
      <c r="C546" s="4" t="str">
        <f>CHOOSE(Translations!$C$1+1,J546,K546,L546,)</f>
        <v>Todas las personas que viven con el VIH</v>
      </c>
      <c r="D546" s="4"/>
      <c r="E546" s="4" t="s">
        <v>1750</v>
      </c>
      <c r="F546" s="6" t="s">
        <v>2646</v>
      </c>
      <c r="G546" s="4" t="str">
        <f t="shared" si="23"/>
        <v>MCI-00701|Todas las personas que viven con el VIH</v>
      </c>
      <c r="H546" s="4" t="str">
        <f t="shared" si="24"/>
        <v>MCI-00701|MCI-00918</v>
      </c>
      <c r="I546" s="4" t="str">
        <f t="shared" si="25"/>
        <v>a1O1R000006c5lUUAQ</v>
      </c>
      <c r="J546" s="6" t="s">
        <v>2606</v>
      </c>
      <c r="K546" s="6" t="s">
        <v>2607</v>
      </c>
      <c r="L546" s="6" t="s">
        <v>2608</v>
      </c>
      <c r="M546" s="4" t="s">
        <v>663</v>
      </c>
    </row>
    <row r="547" spans="1:13">
      <c r="A547" s="4" t="s">
        <v>2376</v>
      </c>
      <c r="B547" s="4" t="s">
        <v>2647</v>
      </c>
      <c r="C547" s="4" t="str">
        <f>CHOOSE(Translations!$C$1+1,J547,K547,L547,)</f>
        <v>Niños y niñas que viven con el VIH (menores de 15 años)</v>
      </c>
      <c r="D547" s="4"/>
      <c r="E547" s="4" t="s">
        <v>1750</v>
      </c>
      <c r="F547" s="6" t="s">
        <v>2648</v>
      </c>
      <c r="G547" s="4" t="str">
        <f t="shared" si="23"/>
        <v>MCI-00701|Niños y niñas que viven con el VIH (menores de 15 años)</v>
      </c>
      <c r="H547" s="4" t="str">
        <f t="shared" si="24"/>
        <v>MCI-00701|MCI-00931</v>
      </c>
      <c r="I547" s="4" t="str">
        <f t="shared" si="25"/>
        <v>a1O1R000006c5lhUAA</v>
      </c>
      <c r="J547" s="6" t="s">
        <v>2616</v>
      </c>
      <c r="K547" s="6" t="s">
        <v>2617</v>
      </c>
      <c r="L547" s="6" t="s">
        <v>2618</v>
      </c>
      <c r="M547" s="4" t="s">
        <v>663</v>
      </c>
    </row>
    <row r="548" spans="1:13">
      <c r="A548" s="4" t="s">
        <v>2376</v>
      </c>
      <c r="B548" s="4" t="s">
        <v>2649</v>
      </c>
      <c r="C548" s="4" t="str">
        <f>CHOOSE(Translations!$C$1+1,J548,K548,L548,)</f>
        <v>Todas las personas que viven con el VIH</v>
      </c>
      <c r="D548" s="4"/>
      <c r="E548" s="4" t="s">
        <v>1760</v>
      </c>
      <c r="F548" s="6" t="s">
        <v>2650</v>
      </c>
      <c r="G548" s="4" t="str">
        <f t="shared" si="23"/>
        <v>MCI-00702|Todas las personas que viven con el VIH</v>
      </c>
      <c r="H548" s="4" t="str">
        <f t="shared" si="24"/>
        <v>MCI-00702|MCI-00919</v>
      </c>
      <c r="I548" s="4" t="str">
        <f t="shared" si="25"/>
        <v>a1O1R000006c5lVUAQ</v>
      </c>
      <c r="J548" s="6" t="s">
        <v>2606</v>
      </c>
      <c r="K548" s="6" t="s">
        <v>2607</v>
      </c>
      <c r="L548" s="6" t="s">
        <v>2608</v>
      </c>
      <c r="M548" s="4" t="s">
        <v>663</v>
      </c>
    </row>
    <row r="549" spans="1:13">
      <c r="A549" s="4" t="s">
        <v>2376</v>
      </c>
      <c r="B549" s="4" t="s">
        <v>2651</v>
      </c>
      <c r="C549" s="4" t="str">
        <f>CHOOSE(Translations!$C$1+1,J549,K549,L549,)</f>
        <v>No aplicable</v>
      </c>
      <c r="D549" s="4"/>
      <c r="E549" s="4" t="s">
        <v>1820</v>
      </c>
      <c r="F549" s="6" t="s">
        <v>2652</v>
      </c>
      <c r="G549" s="4" t="str">
        <f t="shared" si="23"/>
        <v>MCI-00703|No aplicable</v>
      </c>
      <c r="H549" s="4" t="str">
        <f t="shared" si="24"/>
        <v>MCI-00703|MCI-00932</v>
      </c>
      <c r="I549" s="4" t="str">
        <f t="shared" si="25"/>
        <v>a1O1R000006c5liUAA</v>
      </c>
      <c r="J549" s="6" t="s">
        <v>2535</v>
      </c>
      <c r="K549" s="6" t="s">
        <v>2536</v>
      </c>
      <c r="L549" s="6" t="s">
        <v>512</v>
      </c>
      <c r="M549" s="4" t="s">
        <v>663</v>
      </c>
    </row>
    <row r="550" spans="1:13">
      <c r="A550" s="4" t="s">
        <v>2376</v>
      </c>
      <c r="B550" s="4" t="s">
        <v>2653</v>
      </c>
      <c r="C550" s="4" t="str">
        <f>CHOOSE(Translations!$C$1+1,J550,K550,L550,)</f>
        <v>No aplicable</v>
      </c>
      <c r="D550" s="4"/>
      <c r="E550" s="4" t="s">
        <v>1805</v>
      </c>
      <c r="F550" s="6" t="s">
        <v>2654</v>
      </c>
      <c r="G550" s="4" t="str">
        <f t="shared" si="23"/>
        <v>MCI-00704|No aplicable</v>
      </c>
      <c r="H550" s="4" t="str">
        <f t="shared" si="24"/>
        <v>MCI-00704|MCI-00933</v>
      </c>
      <c r="I550" s="4" t="str">
        <f t="shared" si="25"/>
        <v>a1O1R000006c5ljUAA</v>
      </c>
      <c r="J550" s="6" t="s">
        <v>2535</v>
      </c>
      <c r="K550" s="6" t="s">
        <v>2536</v>
      </c>
      <c r="L550" s="6" t="s">
        <v>512</v>
      </c>
      <c r="M550" s="4" t="s">
        <v>663</v>
      </c>
    </row>
    <row r="551" spans="1:13">
      <c r="A551" s="4" t="s">
        <v>2376</v>
      </c>
      <c r="B551" s="4" t="s">
        <v>2655</v>
      </c>
      <c r="C551" s="4" t="str">
        <f>CHOOSE(Translations!$C$1+1,J551,K551,L551,)</f>
        <v>No aplicable</v>
      </c>
      <c r="D551" s="4"/>
      <c r="E551" s="4" t="s">
        <v>1795</v>
      </c>
      <c r="F551" s="6" t="s">
        <v>2656</v>
      </c>
      <c r="G551" s="4" t="str">
        <f t="shared" si="23"/>
        <v>MCI-00705|No aplicable</v>
      </c>
      <c r="H551" s="4" t="str">
        <f t="shared" si="24"/>
        <v>MCI-00705|MCI-00934</v>
      </c>
      <c r="I551" s="4" t="str">
        <f t="shared" si="25"/>
        <v>a1O1R000006c5lkUAA</v>
      </c>
      <c r="J551" s="6" t="s">
        <v>2535</v>
      </c>
      <c r="K551" s="6" t="s">
        <v>2536</v>
      </c>
      <c r="L551" s="6" t="s">
        <v>512</v>
      </c>
      <c r="M551" s="4" t="s">
        <v>663</v>
      </c>
    </row>
    <row r="552" spans="1:13">
      <c r="A552" s="4" t="s">
        <v>2376</v>
      </c>
      <c r="B552" s="4" t="s">
        <v>2657</v>
      </c>
      <c r="C552" s="4" t="str">
        <f>CHOOSE(Translations!$C$1+1,J552,K552,L552,)</f>
        <v>No aplicable</v>
      </c>
      <c r="D552" s="4"/>
      <c r="E552" s="4" t="s">
        <v>1790</v>
      </c>
      <c r="F552" s="6" t="s">
        <v>2658</v>
      </c>
      <c r="G552" s="4" t="str">
        <f t="shared" si="23"/>
        <v>MCI-00706|No aplicable</v>
      </c>
      <c r="H552" s="4" t="str">
        <f t="shared" si="24"/>
        <v>MCI-00706|MCI-00935</v>
      </c>
      <c r="I552" s="4" t="str">
        <f t="shared" si="25"/>
        <v>a1O1R000006c5llUAA</v>
      </c>
      <c r="J552" s="6" t="s">
        <v>2535</v>
      </c>
      <c r="K552" s="6" t="s">
        <v>2536</v>
      </c>
      <c r="L552" s="6" t="s">
        <v>512</v>
      </c>
      <c r="M552" s="4" t="s">
        <v>663</v>
      </c>
    </row>
    <row r="553" spans="1:13">
      <c r="A553" s="4" t="s">
        <v>2376</v>
      </c>
      <c r="B553" s="4" t="s">
        <v>2659</v>
      </c>
      <c r="C553" s="4" t="str">
        <f>CHOOSE(Translations!$C$1+1,J553,K553,L553,)</f>
        <v>No aplicable</v>
      </c>
      <c r="D553" s="4"/>
      <c r="E553" s="4" t="s">
        <v>1815</v>
      </c>
      <c r="F553" s="6" t="s">
        <v>2660</v>
      </c>
      <c r="G553" s="4" t="str">
        <f t="shared" si="23"/>
        <v>MCI-00707|No aplicable</v>
      </c>
      <c r="H553" s="4" t="str">
        <f t="shared" si="24"/>
        <v>MCI-00707|MCI-00936</v>
      </c>
      <c r="I553" s="4" t="str">
        <f t="shared" si="25"/>
        <v>a1O1R000006c5lmUAA</v>
      </c>
      <c r="J553" s="6" t="s">
        <v>2535</v>
      </c>
      <c r="K553" s="6" t="s">
        <v>2536</v>
      </c>
      <c r="L553" s="6" t="s">
        <v>512</v>
      </c>
      <c r="M553" s="4" t="s">
        <v>663</v>
      </c>
    </row>
    <row r="554" spans="1:13">
      <c r="A554" s="4" t="s">
        <v>2376</v>
      </c>
      <c r="B554" s="4" t="s">
        <v>2661</v>
      </c>
      <c r="C554" s="4" t="str">
        <f>CHOOSE(Translations!$C$1+1,J554,K554,L554,)</f>
        <v>No aplicable</v>
      </c>
      <c r="D554" s="4"/>
      <c r="E554" s="4" t="s">
        <v>1800</v>
      </c>
      <c r="F554" s="6" t="s">
        <v>2662</v>
      </c>
      <c r="G554" s="4" t="str">
        <f t="shared" si="23"/>
        <v>MCI-00708|No aplicable</v>
      </c>
      <c r="H554" s="4" t="str">
        <f t="shared" si="24"/>
        <v>MCI-00708|MCI-00937</v>
      </c>
      <c r="I554" s="4" t="str">
        <f t="shared" si="25"/>
        <v>a1O1R000006c5lnUAA</v>
      </c>
      <c r="J554" s="6" t="s">
        <v>2535</v>
      </c>
      <c r="K554" s="6" t="s">
        <v>2536</v>
      </c>
      <c r="L554" s="6" t="s">
        <v>512</v>
      </c>
      <c r="M554" s="4" t="s">
        <v>663</v>
      </c>
    </row>
    <row r="555" spans="1:13">
      <c r="A555" s="4" t="s">
        <v>2376</v>
      </c>
      <c r="B555" s="4" t="s">
        <v>2663</v>
      </c>
      <c r="C555" s="4" t="str">
        <f>CHOOSE(Translations!$C$1+1,J555,K555,L555,)</f>
        <v>No aplicable</v>
      </c>
      <c r="D555" s="4"/>
      <c r="E555" s="4" t="s">
        <v>1810</v>
      </c>
      <c r="F555" s="6" t="s">
        <v>2664</v>
      </c>
      <c r="G555" s="4" t="str">
        <f t="shared" si="23"/>
        <v>MCI-00709|No aplicable</v>
      </c>
      <c r="H555" s="4" t="str">
        <f t="shared" si="24"/>
        <v>MCI-00709|MCI-00938</v>
      </c>
      <c r="I555" s="4" t="str">
        <f t="shared" si="25"/>
        <v>a1O1R000006c5loUAA</v>
      </c>
      <c r="J555" s="6" t="s">
        <v>2535</v>
      </c>
      <c r="K555" s="6" t="s">
        <v>2536</v>
      </c>
      <c r="L555" s="6" t="s">
        <v>512</v>
      </c>
      <c r="M555" s="4" t="s">
        <v>663</v>
      </c>
    </row>
    <row r="556" spans="1:13">
      <c r="A556" s="4" t="s">
        <v>2376</v>
      </c>
      <c r="B556" s="4" t="s">
        <v>2665</v>
      </c>
      <c r="C556" s="4" t="str">
        <f>CHOOSE(Translations!$C$1+1,J556,K556,L556,)</f>
        <v>No aplicable</v>
      </c>
      <c r="D556" s="4"/>
      <c r="E556" s="4" t="s">
        <v>1785</v>
      </c>
      <c r="F556" s="6" t="s">
        <v>2666</v>
      </c>
      <c r="G556" s="4" t="str">
        <f t="shared" si="23"/>
        <v>MCI-00710|No aplicable</v>
      </c>
      <c r="H556" s="4" t="str">
        <f t="shared" si="24"/>
        <v>MCI-00710|MCI-00939</v>
      </c>
      <c r="I556" s="4" t="str">
        <f t="shared" si="25"/>
        <v>a1O1R000006c5lpUAA</v>
      </c>
      <c r="J556" s="6" t="s">
        <v>2535</v>
      </c>
      <c r="K556" s="6" t="s">
        <v>2536</v>
      </c>
      <c r="L556" s="6" t="s">
        <v>512</v>
      </c>
      <c r="M556" s="4" t="s">
        <v>663</v>
      </c>
    </row>
    <row r="557" spans="1:13">
      <c r="A557" s="4" t="s">
        <v>2376</v>
      </c>
      <c r="B557" s="4" t="s">
        <v>2667</v>
      </c>
      <c r="C557" s="4" t="str">
        <f>CHOOSE(Translations!$C$1+1,J557,K557,L557,)</f>
        <v>No aplicable</v>
      </c>
      <c r="D557" s="4"/>
      <c r="E557" s="4" t="s">
        <v>1825</v>
      </c>
      <c r="F557" s="6" t="s">
        <v>2668</v>
      </c>
      <c r="G557" s="4" t="str">
        <f t="shared" si="23"/>
        <v>MCI-00711|No aplicable</v>
      </c>
      <c r="H557" s="4" t="str">
        <f t="shared" si="24"/>
        <v>MCI-00711|MCI-00940</v>
      </c>
      <c r="I557" s="4" t="str">
        <f t="shared" si="25"/>
        <v>a1O1R000006c5lqUAA</v>
      </c>
      <c r="J557" s="6" t="s">
        <v>2535</v>
      </c>
      <c r="K557" s="6" t="s">
        <v>2536</v>
      </c>
      <c r="L557" s="6" t="s">
        <v>512</v>
      </c>
      <c r="M557" s="4" t="s">
        <v>663</v>
      </c>
    </row>
    <row r="558" spans="1:13">
      <c r="A558" s="4" t="s">
        <v>2376</v>
      </c>
      <c r="B558" s="4" t="s">
        <v>2669</v>
      </c>
      <c r="C558" s="4" t="str">
        <f>CHOOSE(Translations!$C$1+1,J558,K558,L558,)</f>
        <v>No aplicable</v>
      </c>
      <c r="D558" s="4"/>
      <c r="E558" s="4" t="s">
        <v>1874</v>
      </c>
      <c r="F558" s="6" t="s">
        <v>2670</v>
      </c>
      <c r="G558" s="4" t="str">
        <f t="shared" si="23"/>
        <v>MCI-00712|No aplicable</v>
      </c>
      <c r="H558" s="4" t="str">
        <f t="shared" si="24"/>
        <v>MCI-00712|MCI-00941</v>
      </c>
      <c r="I558" s="4" t="str">
        <f t="shared" si="25"/>
        <v>a1O1R000006c5lrUAA</v>
      </c>
      <c r="J558" s="6" t="s">
        <v>2535</v>
      </c>
      <c r="K558" s="6" t="s">
        <v>2536</v>
      </c>
      <c r="L558" s="6" t="s">
        <v>512</v>
      </c>
      <c r="M558" s="4" t="s">
        <v>663</v>
      </c>
    </row>
    <row r="559" spans="1:13">
      <c r="A559" s="4" t="s">
        <v>2376</v>
      </c>
      <c r="B559" s="4" t="s">
        <v>2671</v>
      </c>
      <c r="C559" s="4" t="str">
        <f>CHOOSE(Translations!$C$1+1,J559,K559,L559,)</f>
        <v>No aplicable</v>
      </c>
      <c r="D559" s="4"/>
      <c r="E559" s="4" t="s">
        <v>1869</v>
      </c>
      <c r="F559" s="6" t="s">
        <v>2672</v>
      </c>
      <c r="G559" s="4" t="str">
        <f t="shared" si="23"/>
        <v>MCI-00713|No aplicable</v>
      </c>
      <c r="H559" s="4" t="str">
        <f t="shared" si="24"/>
        <v>MCI-00713|MCI-00942</v>
      </c>
      <c r="I559" s="4" t="str">
        <f t="shared" si="25"/>
        <v>a1O1R000006c5lsUAA</v>
      </c>
      <c r="J559" s="6" t="s">
        <v>2535</v>
      </c>
      <c r="K559" s="6" t="s">
        <v>2536</v>
      </c>
      <c r="L559" s="6" t="s">
        <v>512</v>
      </c>
      <c r="M559" s="4" t="s">
        <v>663</v>
      </c>
    </row>
    <row r="560" spans="1:13">
      <c r="A560" s="4" t="s">
        <v>2376</v>
      </c>
      <c r="B560" s="4" t="s">
        <v>2673</v>
      </c>
      <c r="C560" s="4" t="str">
        <f>CHOOSE(Translations!$C$1+1,J560,K560,L560,)</f>
        <v>No aplicable</v>
      </c>
      <c r="D560" s="4"/>
      <c r="E560" s="4" t="s">
        <v>1839</v>
      </c>
      <c r="F560" s="6" t="s">
        <v>2674</v>
      </c>
      <c r="G560" s="4" t="str">
        <f t="shared" ref="G560:G623" si="26">E560&amp;"|"&amp;C560</f>
        <v>MCI-00714|No aplicable</v>
      </c>
      <c r="H560" s="4" t="str">
        <f t="shared" ref="H560:H623" si="27">E560&amp;"|"&amp;F560</f>
        <v>MCI-00714|MCI-00943</v>
      </c>
      <c r="I560" s="4" t="str">
        <f t="shared" ref="I560:I623" si="28">B560</f>
        <v>a1O1R000006c5ltUAA</v>
      </c>
      <c r="J560" s="6" t="s">
        <v>2535</v>
      </c>
      <c r="K560" s="6" t="s">
        <v>2536</v>
      </c>
      <c r="L560" s="6" t="s">
        <v>512</v>
      </c>
      <c r="M560" s="4" t="s">
        <v>663</v>
      </c>
    </row>
    <row r="561" spans="1:13">
      <c r="A561" s="4" t="s">
        <v>2376</v>
      </c>
      <c r="B561" s="4" t="s">
        <v>2675</v>
      </c>
      <c r="C561" s="4" t="str">
        <f>CHOOSE(Translations!$C$1+1,J561,K561,L561,)</f>
        <v>No aplicable</v>
      </c>
      <c r="D561" s="4"/>
      <c r="E561" s="4" t="s">
        <v>1834</v>
      </c>
      <c r="F561" s="6" t="s">
        <v>2676</v>
      </c>
      <c r="G561" s="4" t="str">
        <f t="shared" si="26"/>
        <v>MCI-00715|No aplicable</v>
      </c>
      <c r="H561" s="4" t="str">
        <f t="shared" si="27"/>
        <v>MCI-00715|MCI-00944</v>
      </c>
      <c r="I561" s="4" t="str">
        <f t="shared" si="28"/>
        <v>a1O1R000006c5luUAA</v>
      </c>
      <c r="J561" s="6" t="s">
        <v>2535</v>
      </c>
      <c r="K561" s="6" t="s">
        <v>2536</v>
      </c>
      <c r="L561" s="6" t="s">
        <v>512</v>
      </c>
      <c r="M561" s="4" t="s">
        <v>663</v>
      </c>
    </row>
    <row r="562" spans="1:13">
      <c r="A562" s="4" t="s">
        <v>2376</v>
      </c>
      <c r="B562" s="4" t="s">
        <v>2677</v>
      </c>
      <c r="C562" s="4" t="str">
        <f>CHOOSE(Translations!$C$1+1,J562,K562,L562,)</f>
        <v>No aplicable</v>
      </c>
      <c r="D562" s="4"/>
      <c r="E562" s="4" t="s">
        <v>1844</v>
      </c>
      <c r="F562" s="6" t="s">
        <v>2678</v>
      </c>
      <c r="G562" s="4" t="str">
        <f t="shared" si="26"/>
        <v>MCI-00716|No aplicable</v>
      </c>
      <c r="H562" s="4" t="str">
        <f t="shared" si="27"/>
        <v>MCI-00716|MCI-00945</v>
      </c>
      <c r="I562" s="4" t="str">
        <f t="shared" si="28"/>
        <v>a1O1R000006c5lvUAA</v>
      </c>
      <c r="J562" s="6" t="s">
        <v>2535</v>
      </c>
      <c r="K562" s="6" t="s">
        <v>2536</v>
      </c>
      <c r="L562" s="6" t="s">
        <v>512</v>
      </c>
      <c r="M562" s="4" t="s">
        <v>663</v>
      </c>
    </row>
    <row r="563" spans="1:13">
      <c r="A563" s="4" t="s">
        <v>2376</v>
      </c>
      <c r="B563" s="4" t="s">
        <v>2679</v>
      </c>
      <c r="C563" s="4" t="str">
        <f>CHOOSE(Translations!$C$1+1,J563,K563,L563,)</f>
        <v>No aplicable</v>
      </c>
      <c r="D563" s="4"/>
      <c r="E563" s="4" t="s">
        <v>1864</v>
      </c>
      <c r="F563" s="6" t="s">
        <v>2680</v>
      </c>
      <c r="G563" s="4" t="str">
        <f t="shared" si="26"/>
        <v>MCI-00717|No aplicable</v>
      </c>
      <c r="H563" s="4" t="str">
        <f t="shared" si="27"/>
        <v>MCI-00717|MCI-00946</v>
      </c>
      <c r="I563" s="4" t="str">
        <f t="shared" si="28"/>
        <v>a1O1R000006c5lwUAA</v>
      </c>
      <c r="J563" s="6" t="s">
        <v>2535</v>
      </c>
      <c r="K563" s="6" t="s">
        <v>2536</v>
      </c>
      <c r="L563" s="6" t="s">
        <v>512</v>
      </c>
      <c r="M563" s="4" t="s">
        <v>663</v>
      </c>
    </row>
    <row r="564" spans="1:13">
      <c r="A564" s="4" t="s">
        <v>2376</v>
      </c>
      <c r="B564" s="4" t="s">
        <v>2681</v>
      </c>
      <c r="C564" s="4" t="str">
        <f>CHOOSE(Translations!$C$1+1,J564,K564,L564,)</f>
        <v>No aplicable</v>
      </c>
      <c r="D564" s="4"/>
      <c r="E564" s="4" t="s">
        <v>1854</v>
      </c>
      <c r="F564" s="6" t="s">
        <v>2682</v>
      </c>
      <c r="G564" s="4" t="str">
        <f t="shared" si="26"/>
        <v>MCI-00718|No aplicable</v>
      </c>
      <c r="H564" s="4" t="str">
        <f t="shared" si="27"/>
        <v>MCI-00718|MCI-00947</v>
      </c>
      <c r="I564" s="4" t="str">
        <f t="shared" si="28"/>
        <v>a1O1R000006c5lxUAA</v>
      </c>
      <c r="J564" s="6" t="s">
        <v>2535</v>
      </c>
      <c r="K564" s="6" t="s">
        <v>2536</v>
      </c>
      <c r="L564" s="6" t="s">
        <v>512</v>
      </c>
      <c r="M564" s="4" t="s">
        <v>663</v>
      </c>
    </row>
    <row r="565" spans="1:13">
      <c r="A565" s="4" t="s">
        <v>2376</v>
      </c>
      <c r="B565" s="4" t="s">
        <v>2683</v>
      </c>
      <c r="C565" s="4" t="str">
        <f>CHOOSE(Translations!$C$1+1,J565,K565,L565,)</f>
        <v>No aplicable</v>
      </c>
      <c r="D565" s="4"/>
      <c r="E565" s="4" t="s">
        <v>1849</v>
      </c>
      <c r="F565" s="6" t="s">
        <v>2684</v>
      </c>
      <c r="G565" s="4" t="str">
        <f t="shared" si="26"/>
        <v>MCI-00719|No aplicable</v>
      </c>
      <c r="H565" s="4" t="str">
        <f t="shared" si="27"/>
        <v>MCI-00719|MCI-00948</v>
      </c>
      <c r="I565" s="4" t="str">
        <f t="shared" si="28"/>
        <v>a1O1R000006c5lyUAA</v>
      </c>
      <c r="J565" s="6" t="s">
        <v>2535</v>
      </c>
      <c r="K565" s="6" t="s">
        <v>2536</v>
      </c>
      <c r="L565" s="6" t="s">
        <v>512</v>
      </c>
      <c r="M565" s="4" t="s">
        <v>663</v>
      </c>
    </row>
    <row r="566" spans="1:13">
      <c r="A566" s="4" t="s">
        <v>2376</v>
      </c>
      <c r="B566" s="4" t="s">
        <v>2685</v>
      </c>
      <c r="C566" s="4" t="str">
        <f>CHOOSE(Translations!$C$1+1,J566,K566,L566,)</f>
        <v>No aplicable</v>
      </c>
      <c r="D566" s="4"/>
      <c r="E566" s="4" t="s">
        <v>1859</v>
      </c>
      <c r="F566" s="6" t="s">
        <v>2686</v>
      </c>
      <c r="G566" s="4" t="str">
        <f t="shared" si="26"/>
        <v>MCI-00720|No aplicable</v>
      </c>
      <c r="H566" s="4" t="str">
        <f t="shared" si="27"/>
        <v>MCI-00720|MCI-00949</v>
      </c>
      <c r="I566" s="4" t="str">
        <f t="shared" si="28"/>
        <v>a1O1R000006c5lzUAA</v>
      </c>
      <c r="J566" s="6" t="s">
        <v>2535</v>
      </c>
      <c r="K566" s="6" t="s">
        <v>2536</v>
      </c>
      <c r="L566" s="6" t="s">
        <v>512</v>
      </c>
      <c r="M566" s="4" t="s">
        <v>663</v>
      </c>
    </row>
    <row r="567" spans="1:13">
      <c r="A567" s="4" t="s">
        <v>2376</v>
      </c>
      <c r="B567" s="4" t="s">
        <v>2687</v>
      </c>
      <c r="C567" s="4" t="str">
        <f>CHOOSE(Translations!$C$1+1,J567,K567,L567,)</f>
        <v>No aplicable</v>
      </c>
      <c r="D567" s="4"/>
      <c r="E567" s="4" t="s">
        <v>1829</v>
      </c>
      <c r="F567" s="6" t="s">
        <v>2688</v>
      </c>
      <c r="G567" s="4" t="str">
        <f t="shared" si="26"/>
        <v>MCI-00721|No aplicable</v>
      </c>
      <c r="H567" s="4" t="str">
        <f t="shared" si="27"/>
        <v>MCI-00721|MCI-00950</v>
      </c>
      <c r="I567" s="4" t="str">
        <f t="shared" si="28"/>
        <v>a1O1R000006c5m0UAA</v>
      </c>
      <c r="J567" s="6" t="s">
        <v>2535</v>
      </c>
      <c r="K567" s="6" t="s">
        <v>2536</v>
      </c>
      <c r="L567" s="6" t="s">
        <v>512</v>
      </c>
      <c r="M567" s="4" t="s">
        <v>663</v>
      </c>
    </row>
    <row r="568" spans="1:13">
      <c r="A568" s="4" t="s">
        <v>2376</v>
      </c>
      <c r="B568" s="4" t="s">
        <v>2689</v>
      </c>
      <c r="C568" s="4" t="str">
        <f>CHOOSE(Translations!$C$1+1,J568,K568,L568,)</f>
        <v>No aplicable</v>
      </c>
      <c r="D568" s="4"/>
      <c r="E568" s="4" t="s">
        <v>1879</v>
      </c>
      <c r="F568" s="6" t="s">
        <v>2690</v>
      </c>
      <c r="G568" s="4" t="str">
        <f t="shared" si="26"/>
        <v>MCI-00722|No aplicable</v>
      </c>
      <c r="H568" s="4" t="str">
        <f t="shared" si="27"/>
        <v>MCI-00722|MCI-00951</v>
      </c>
      <c r="I568" s="4" t="str">
        <f t="shared" si="28"/>
        <v>a1O1R000006c5m1UAA</v>
      </c>
      <c r="J568" s="6" t="s">
        <v>2535</v>
      </c>
      <c r="K568" s="6" t="s">
        <v>2536</v>
      </c>
      <c r="L568" s="6" t="s">
        <v>512</v>
      </c>
      <c r="M568" s="4" t="s">
        <v>663</v>
      </c>
    </row>
    <row r="569" spans="1:13">
      <c r="A569" s="4" t="s">
        <v>2376</v>
      </c>
      <c r="B569" s="4" t="s">
        <v>2691</v>
      </c>
      <c r="C569" s="4" t="str">
        <f>CHOOSE(Translations!$C$1+1,J569,K569,L569,)</f>
        <v>No aplicable</v>
      </c>
      <c r="D569" s="4"/>
      <c r="E569" s="4" t="s">
        <v>1929</v>
      </c>
      <c r="F569" s="6" t="s">
        <v>2692</v>
      </c>
      <c r="G569" s="4" t="str">
        <f t="shared" si="26"/>
        <v>MCI-00723|No aplicable</v>
      </c>
      <c r="H569" s="4" t="str">
        <f t="shared" si="27"/>
        <v>MCI-00723|MCI-00952</v>
      </c>
      <c r="I569" s="4" t="str">
        <f t="shared" si="28"/>
        <v>a1O1R000006c5m2UAA</v>
      </c>
      <c r="J569" s="6" t="s">
        <v>2535</v>
      </c>
      <c r="K569" s="6" t="s">
        <v>2536</v>
      </c>
      <c r="L569" s="6" t="s">
        <v>512</v>
      </c>
      <c r="M569" s="4" t="s">
        <v>663</v>
      </c>
    </row>
    <row r="570" spans="1:13">
      <c r="A570" s="4" t="s">
        <v>2376</v>
      </c>
      <c r="B570" s="4" t="s">
        <v>2693</v>
      </c>
      <c r="C570" s="4" t="str">
        <f>CHOOSE(Translations!$C$1+1,J570,K570,L570,)</f>
        <v>No aplicable</v>
      </c>
      <c r="D570" s="4"/>
      <c r="E570" s="4" t="s">
        <v>1924</v>
      </c>
      <c r="F570" s="6" t="s">
        <v>2694</v>
      </c>
      <c r="G570" s="4" t="str">
        <f t="shared" si="26"/>
        <v>MCI-00724|No aplicable</v>
      </c>
      <c r="H570" s="4" t="str">
        <f t="shared" si="27"/>
        <v>MCI-00724|MCI-00953</v>
      </c>
      <c r="I570" s="4" t="str">
        <f t="shared" si="28"/>
        <v>a1O1R000006c5m3UAA</v>
      </c>
      <c r="J570" s="6" t="s">
        <v>2535</v>
      </c>
      <c r="K570" s="6" t="s">
        <v>2536</v>
      </c>
      <c r="L570" s="6" t="s">
        <v>512</v>
      </c>
      <c r="M570" s="4" t="s">
        <v>663</v>
      </c>
    </row>
    <row r="571" spans="1:13">
      <c r="A571" s="4" t="s">
        <v>2376</v>
      </c>
      <c r="B571" s="4" t="s">
        <v>2695</v>
      </c>
      <c r="C571" s="4" t="str">
        <f>CHOOSE(Translations!$C$1+1,J571,K571,L571,)</f>
        <v>No aplicable</v>
      </c>
      <c r="D571" s="4"/>
      <c r="E571" s="4" t="s">
        <v>1894</v>
      </c>
      <c r="F571" s="6" t="s">
        <v>2696</v>
      </c>
      <c r="G571" s="4" t="str">
        <f t="shared" si="26"/>
        <v>MCI-00725|No aplicable</v>
      </c>
      <c r="H571" s="4" t="str">
        <f t="shared" si="27"/>
        <v>MCI-00725|MCI-00954</v>
      </c>
      <c r="I571" s="4" t="str">
        <f t="shared" si="28"/>
        <v>a1O1R000006c5m4UAA</v>
      </c>
      <c r="J571" s="6" t="s">
        <v>2535</v>
      </c>
      <c r="K571" s="6" t="s">
        <v>2536</v>
      </c>
      <c r="L571" s="6" t="s">
        <v>512</v>
      </c>
      <c r="M571" s="4" t="s">
        <v>663</v>
      </c>
    </row>
    <row r="572" spans="1:13">
      <c r="A572" s="4" t="s">
        <v>2376</v>
      </c>
      <c r="B572" s="4" t="s">
        <v>2697</v>
      </c>
      <c r="C572" s="4" t="str">
        <f>CHOOSE(Translations!$C$1+1,J572,K572,L572,)</f>
        <v>No aplicable</v>
      </c>
      <c r="D572" s="4"/>
      <c r="E572" s="4" t="s">
        <v>1889</v>
      </c>
      <c r="F572" s="6" t="s">
        <v>2698</v>
      </c>
      <c r="G572" s="4" t="str">
        <f t="shared" si="26"/>
        <v>MCI-00726|No aplicable</v>
      </c>
      <c r="H572" s="4" t="str">
        <f t="shared" si="27"/>
        <v>MCI-00726|MCI-00955</v>
      </c>
      <c r="I572" s="4" t="str">
        <f t="shared" si="28"/>
        <v>a1O1R000006c5m5UAA</v>
      </c>
      <c r="J572" s="6" t="s">
        <v>2535</v>
      </c>
      <c r="K572" s="6" t="s">
        <v>2536</v>
      </c>
      <c r="L572" s="6" t="s">
        <v>512</v>
      </c>
      <c r="M572" s="4" t="s">
        <v>663</v>
      </c>
    </row>
    <row r="573" spans="1:13">
      <c r="A573" s="4" t="s">
        <v>2376</v>
      </c>
      <c r="B573" s="4" t="s">
        <v>2699</v>
      </c>
      <c r="C573" s="4" t="str">
        <f>CHOOSE(Translations!$C$1+1,J573,K573,L573,)</f>
        <v>No aplicable</v>
      </c>
      <c r="D573" s="4"/>
      <c r="E573" s="4" t="s">
        <v>1899</v>
      </c>
      <c r="F573" s="6" t="s">
        <v>2700</v>
      </c>
      <c r="G573" s="4" t="str">
        <f t="shared" si="26"/>
        <v>MCI-00727|No aplicable</v>
      </c>
      <c r="H573" s="4" t="str">
        <f t="shared" si="27"/>
        <v>MCI-00727|MCI-00956</v>
      </c>
      <c r="I573" s="4" t="str">
        <f t="shared" si="28"/>
        <v>a1O1R000006c5m6UAA</v>
      </c>
      <c r="J573" s="6" t="s">
        <v>2535</v>
      </c>
      <c r="K573" s="6" t="s">
        <v>2536</v>
      </c>
      <c r="L573" s="6" t="s">
        <v>512</v>
      </c>
      <c r="M573" s="4" t="s">
        <v>663</v>
      </c>
    </row>
    <row r="574" spans="1:13">
      <c r="A574" s="4" t="s">
        <v>2376</v>
      </c>
      <c r="B574" s="4" t="s">
        <v>2701</v>
      </c>
      <c r="C574" s="4" t="str">
        <f>CHOOSE(Translations!$C$1+1,J574,K574,L574,)</f>
        <v>No aplicable</v>
      </c>
      <c r="D574" s="4"/>
      <c r="E574" s="4" t="s">
        <v>1919</v>
      </c>
      <c r="F574" s="6" t="s">
        <v>2702</v>
      </c>
      <c r="G574" s="4" t="str">
        <f t="shared" si="26"/>
        <v>MCI-00728|No aplicable</v>
      </c>
      <c r="H574" s="4" t="str">
        <f t="shared" si="27"/>
        <v>MCI-00728|MCI-00957</v>
      </c>
      <c r="I574" s="4" t="str">
        <f t="shared" si="28"/>
        <v>a1O1R000006c5m7UAA</v>
      </c>
      <c r="J574" s="6" t="s">
        <v>2535</v>
      </c>
      <c r="K574" s="6" t="s">
        <v>2536</v>
      </c>
      <c r="L574" s="6" t="s">
        <v>512</v>
      </c>
      <c r="M574" s="4" t="s">
        <v>663</v>
      </c>
    </row>
    <row r="575" spans="1:13">
      <c r="A575" s="4" t="s">
        <v>2376</v>
      </c>
      <c r="B575" s="4" t="s">
        <v>2703</v>
      </c>
      <c r="C575" s="4" t="str">
        <f>CHOOSE(Translations!$C$1+1,J575,K575,L575,)</f>
        <v>No aplicable</v>
      </c>
      <c r="D575" s="4"/>
      <c r="E575" s="4" t="s">
        <v>1909</v>
      </c>
      <c r="F575" s="6" t="s">
        <v>2704</v>
      </c>
      <c r="G575" s="4" t="str">
        <f t="shared" si="26"/>
        <v>MCI-00729|No aplicable</v>
      </c>
      <c r="H575" s="4" t="str">
        <f t="shared" si="27"/>
        <v>MCI-00729|MCI-00958</v>
      </c>
      <c r="I575" s="4" t="str">
        <f t="shared" si="28"/>
        <v>a1O1R000006c5m8UAA</v>
      </c>
      <c r="J575" s="6" t="s">
        <v>2535</v>
      </c>
      <c r="K575" s="6" t="s">
        <v>2536</v>
      </c>
      <c r="L575" s="6" t="s">
        <v>512</v>
      </c>
      <c r="M575" s="4" t="s">
        <v>663</v>
      </c>
    </row>
    <row r="576" spans="1:13">
      <c r="A576" s="4" t="s">
        <v>2376</v>
      </c>
      <c r="B576" s="4" t="s">
        <v>2705</v>
      </c>
      <c r="C576" s="4" t="str">
        <f>CHOOSE(Translations!$C$1+1,J576,K576,L576,)</f>
        <v>No aplicable</v>
      </c>
      <c r="D576" s="4"/>
      <c r="E576" s="4" t="s">
        <v>1904</v>
      </c>
      <c r="F576" s="6" t="s">
        <v>2706</v>
      </c>
      <c r="G576" s="4" t="str">
        <f t="shared" si="26"/>
        <v>MCI-00730|No aplicable</v>
      </c>
      <c r="H576" s="4" t="str">
        <f t="shared" si="27"/>
        <v>MCI-00730|MCI-00959</v>
      </c>
      <c r="I576" s="4" t="str">
        <f t="shared" si="28"/>
        <v>a1O1R000006c5m9UAA</v>
      </c>
      <c r="J576" s="6" t="s">
        <v>2535</v>
      </c>
      <c r="K576" s="6" t="s">
        <v>2536</v>
      </c>
      <c r="L576" s="6" t="s">
        <v>512</v>
      </c>
      <c r="M576" s="4" t="s">
        <v>663</v>
      </c>
    </row>
    <row r="577" spans="1:13">
      <c r="A577" s="4" t="s">
        <v>2376</v>
      </c>
      <c r="B577" s="4" t="s">
        <v>2707</v>
      </c>
      <c r="C577" s="4" t="str">
        <f>CHOOSE(Translations!$C$1+1,J577,K577,L577,)</f>
        <v>No aplicable</v>
      </c>
      <c r="D577" s="4"/>
      <c r="E577" s="4" t="s">
        <v>1914</v>
      </c>
      <c r="F577" s="6" t="s">
        <v>2708</v>
      </c>
      <c r="G577" s="4" t="str">
        <f t="shared" si="26"/>
        <v>MCI-00731|No aplicable</v>
      </c>
      <c r="H577" s="4" t="str">
        <f t="shared" si="27"/>
        <v>MCI-00731|MCI-00960</v>
      </c>
      <c r="I577" s="4" t="str">
        <f t="shared" si="28"/>
        <v>a1O1R000006c5mAUAQ</v>
      </c>
      <c r="J577" s="6" t="s">
        <v>2535</v>
      </c>
      <c r="K577" s="6" t="s">
        <v>2536</v>
      </c>
      <c r="L577" s="6" t="s">
        <v>512</v>
      </c>
      <c r="M577" s="4" t="s">
        <v>663</v>
      </c>
    </row>
    <row r="578" spans="1:13">
      <c r="A578" s="4" t="s">
        <v>2376</v>
      </c>
      <c r="B578" s="4" t="s">
        <v>2709</v>
      </c>
      <c r="C578" s="4" t="str">
        <f>CHOOSE(Translations!$C$1+1,J578,K578,L578,)</f>
        <v>No aplicable</v>
      </c>
      <c r="D578" s="4"/>
      <c r="E578" s="4" t="s">
        <v>1884</v>
      </c>
      <c r="F578" s="6" t="s">
        <v>2710</v>
      </c>
      <c r="G578" s="4" t="str">
        <f t="shared" si="26"/>
        <v>MCI-00732|No aplicable</v>
      </c>
      <c r="H578" s="4" t="str">
        <f t="shared" si="27"/>
        <v>MCI-00732|MCI-00961</v>
      </c>
      <c r="I578" s="4" t="str">
        <f t="shared" si="28"/>
        <v>a1O1R000006c5mBUAQ</v>
      </c>
      <c r="J578" s="6" t="s">
        <v>2535</v>
      </c>
      <c r="K578" s="6" t="s">
        <v>2536</v>
      </c>
      <c r="L578" s="6" t="s">
        <v>512</v>
      </c>
      <c r="M578" s="4" t="s">
        <v>663</v>
      </c>
    </row>
    <row r="579" spans="1:13">
      <c r="A579" s="4" t="s">
        <v>2376</v>
      </c>
      <c r="B579" s="4" t="s">
        <v>2711</v>
      </c>
      <c r="C579" s="4" t="str">
        <f>CHOOSE(Translations!$C$1+1,J579,K579,L579,)</f>
        <v>No aplicable</v>
      </c>
      <c r="D579" s="4"/>
      <c r="E579" s="4" t="s">
        <v>1953</v>
      </c>
      <c r="F579" s="6" t="s">
        <v>2712</v>
      </c>
      <c r="G579" s="4" t="str">
        <f t="shared" si="26"/>
        <v>MCI-00733|No aplicable</v>
      </c>
      <c r="H579" s="4" t="str">
        <f t="shared" si="27"/>
        <v>MCI-00733|MCI-00962</v>
      </c>
      <c r="I579" s="4" t="str">
        <f t="shared" si="28"/>
        <v>a1O1R000006c5mCUAQ</v>
      </c>
      <c r="J579" s="6" t="s">
        <v>2535</v>
      </c>
      <c r="K579" s="6" t="s">
        <v>2536</v>
      </c>
      <c r="L579" s="6" t="s">
        <v>512</v>
      </c>
      <c r="M579" s="4" t="s">
        <v>663</v>
      </c>
    </row>
    <row r="580" spans="1:13">
      <c r="A580" s="4" t="s">
        <v>2376</v>
      </c>
      <c r="B580" s="4" t="s">
        <v>2713</v>
      </c>
      <c r="C580" s="4" t="str">
        <f>CHOOSE(Translations!$C$1+1,J580,K580,L580,)</f>
        <v>No aplicable</v>
      </c>
      <c r="D580" s="4"/>
      <c r="E580" s="4" t="s">
        <v>1938</v>
      </c>
      <c r="F580" s="6" t="s">
        <v>2714</v>
      </c>
      <c r="G580" s="4" t="str">
        <f t="shared" si="26"/>
        <v>MCI-00734|No aplicable</v>
      </c>
      <c r="H580" s="4" t="str">
        <f t="shared" si="27"/>
        <v>MCI-00734|MCI-00963</v>
      </c>
      <c r="I580" s="4" t="str">
        <f t="shared" si="28"/>
        <v>a1O1R000006c5mDUAQ</v>
      </c>
      <c r="J580" s="6" t="s">
        <v>2535</v>
      </c>
      <c r="K580" s="6" t="s">
        <v>2536</v>
      </c>
      <c r="L580" s="6" t="s">
        <v>512</v>
      </c>
      <c r="M580" s="4" t="s">
        <v>663</v>
      </c>
    </row>
    <row r="581" spans="1:13">
      <c r="A581" s="4" t="s">
        <v>2376</v>
      </c>
      <c r="B581" s="4" t="s">
        <v>2715</v>
      </c>
      <c r="C581" s="4" t="str">
        <f>CHOOSE(Translations!$C$1+1,J581,K581,L581,)</f>
        <v>No aplicable</v>
      </c>
      <c r="D581" s="4"/>
      <c r="E581" s="4" t="s">
        <v>1943</v>
      </c>
      <c r="F581" s="6" t="s">
        <v>2716</v>
      </c>
      <c r="G581" s="4" t="str">
        <f t="shared" si="26"/>
        <v>MCI-00735|No aplicable</v>
      </c>
      <c r="H581" s="4" t="str">
        <f t="shared" si="27"/>
        <v>MCI-00735|MCI-00964</v>
      </c>
      <c r="I581" s="4" t="str">
        <f t="shared" si="28"/>
        <v>a1O1R000006c5mEUAQ</v>
      </c>
      <c r="J581" s="6" t="s">
        <v>2535</v>
      </c>
      <c r="K581" s="6" t="s">
        <v>2536</v>
      </c>
      <c r="L581" s="6" t="s">
        <v>512</v>
      </c>
      <c r="M581" s="4" t="s">
        <v>663</v>
      </c>
    </row>
    <row r="582" spans="1:13">
      <c r="A582" s="4" t="s">
        <v>2376</v>
      </c>
      <c r="B582" s="4" t="s">
        <v>2717</v>
      </c>
      <c r="C582" s="4" t="str">
        <f>CHOOSE(Translations!$C$1+1,J582,K582,L582,)</f>
        <v>No aplicable</v>
      </c>
      <c r="D582" s="4"/>
      <c r="E582" s="4" t="s">
        <v>1948</v>
      </c>
      <c r="F582" s="6" t="s">
        <v>2718</v>
      </c>
      <c r="G582" s="4" t="str">
        <f t="shared" si="26"/>
        <v>MCI-00736|No aplicable</v>
      </c>
      <c r="H582" s="4" t="str">
        <f t="shared" si="27"/>
        <v>MCI-00736|MCI-00965</v>
      </c>
      <c r="I582" s="4" t="str">
        <f t="shared" si="28"/>
        <v>a1O1R000006c5mFUAQ</v>
      </c>
      <c r="J582" s="6" t="s">
        <v>2535</v>
      </c>
      <c r="K582" s="6" t="s">
        <v>2536</v>
      </c>
      <c r="L582" s="6" t="s">
        <v>512</v>
      </c>
      <c r="M582" s="4" t="s">
        <v>663</v>
      </c>
    </row>
    <row r="583" spans="1:13">
      <c r="A583" s="4" t="s">
        <v>2376</v>
      </c>
      <c r="B583" s="4" t="s">
        <v>2719</v>
      </c>
      <c r="C583" s="4" t="str">
        <f>CHOOSE(Translations!$C$1+1,J583,K583,L583,)</f>
        <v>No aplicable</v>
      </c>
      <c r="D583" s="4"/>
      <c r="E583" s="4" t="s">
        <v>1933</v>
      </c>
      <c r="F583" s="6" t="s">
        <v>2720</v>
      </c>
      <c r="G583" s="4" t="str">
        <f t="shared" si="26"/>
        <v>MCI-00737|No aplicable</v>
      </c>
      <c r="H583" s="4" t="str">
        <f t="shared" si="27"/>
        <v>MCI-00737|MCI-00966</v>
      </c>
      <c r="I583" s="4" t="str">
        <f t="shared" si="28"/>
        <v>a1O1R000006c5mGUAQ</v>
      </c>
      <c r="J583" s="6" t="s">
        <v>2535</v>
      </c>
      <c r="K583" s="6" t="s">
        <v>2536</v>
      </c>
      <c r="L583" s="6" t="s">
        <v>512</v>
      </c>
      <c r="M583" s="4" t="s">
        <v>663</v>
      </c>
    </row>
    <row r="584" spans="1:13">
      <c r="A584" s="4" t="s">
        <v>2376</v>
      </c>
      <c r="B584" s="4" t="s">
        <v>2721</v>
      </c>
      <c r="C584" s="4" t="str">
        <f>CHOOSE(Translations!$C$1+1,J584,K584,L584,)</f>
        <v>No aplicable</v>
      </c>
      <c r="D584" s="4"/>
      <c r="E584" s="4" t="s">
        <v>2008</v>
      </c>
      <c r="F584" s="6" t="s">
        <v>2722</v>
      </c>
      <c r="G584" s="4" t="str">
        <f t="shared" si="26"/>
        <v>MCI-00738|No aplicable</v>
      </c>
      <c r="H584" s="4" t="str">
        <f t="shared" si="27"/>
        <v>MCI-00738|MCI-00967</v>
      </c>
      <c r="I584" s="4" t="str">
        <f t="shared" si="28"/>
        <v>a1O1R000006c5mHUAQ</v>
      </c>
      <c r="J584" s="6" t="s">
        <v>2535</v>
      </c>
      <c r="K584" s="6" t="s">
        <v>2536</v>
      </c>
      <c r="L584" s="6" t="s">
        <v>512</v>
      </c>
      <c r="M584" s="4" t="s">
        <v>663</v>
      </c>
    </row>
    <row r="585" spans="1:13">
      <c r="A585" s="4" t="s">
        <v>2376</v>
      </c>
      <c r="B585" s="4" t="s">
        <v>2723</v>
      </c>
      <c r="C585" s="4" t="str">
        <f>CHOOSE(Translations!$C$1+1,J585,K585,L585,)</f>
        <v>No aplicable</v>
      </c>
      <c r="D585" s="4"/>
      <c r="E585" s="4" t="s">
        <v>2003</v>
      </c>
      <c r="F585" s="6" t="s">
        <v>2724</v>
      </c>
      <c r="G585" s="4" t="str">
        <f t="shared" si="26"/>
        <v>MCI-00739|No aplicable</v>
      </c>
      <c r="H585" s="4" t="str">
        <f t="shared" si="27"/>
        <v>MCI-00739|MCI-00968</v>
      </c>
      <c r="I585" s="4" t="str">
        <f t="shared" si="28"/>
        <v>a1O1R000006c5mIUAQ</v>
      </c>
      <c r="J585" s="6" t="s">
        <v>2535</v>
      </c>
      <c r="K585" s="6" t="s">
        <v>2536</v>
      </c>
      <c r="L585" s="6" t="s">
        <v>512</v>
      </c>
      <c r="M585" s="4" t="s">
        <v>663</v>
      </c>
    </row>
    <row r="586" spans="1:13">
      <c r="A586" s="4" t="s">
        <v>2376</v>
      </c>
      <c r="B586" s="4" t="s">
        <v>2725</v>
      </c>
      <c r="C586" s="4" t="str">
        <f>CHOOSE(Translations!$C$1+1,J586,K586,L586,)</f>
        <v>No aplicable</v>
      </c>
      <c r="D586" s="4"/>
      <c r="E586" s="4" t="s">
        <v>2013</v>
      </c>
      <c r="F586" s="6" t="s">
        <v>2726</v>
      </c>
      <c r="G586" s="4" t="str">
        <f t="shared" si="26"/>
        <v>MCI-00740|No aplicable</v>
      </c>
      <c r="H586" s="4" t="str">
        <f t="shared" si="27"/>
        <v>MCI-00740|MCI-00969</v>
      </c>
      <c r="I586" s="4" t="str">
        <f t="shared" si="28"/>
        <v>a1O1R000006c5mJUAQ</v>
      </c>
      <c r="J586" s="6" t="s">
        <v>2535</v>
      </c>
      <c r="K586" s="6" t="s">
        <v>2536</v>
      </c>
      <c r="L586" s="6" t="s">
        <v>512</v>
      </c>
      <c r="M586" s="4" t="s">
        <v>663</v>
      </c>
    </row>
    <row r="587" spans="1:13">
      <c r="A587" s="4" t="s">
        <v>2376</v>
      </c>
      <c r="B587" s="4" t="s">
        <v>2727</v>
      </c>
      <c r="C587" s="4" t="str">
        <f>CHOOSE(Translations!$C$1+1,J587,K587,L587,)</f>
        <v>No aplicable</v>
      </c>
      <c r="D587" s="4"/>
      <c r="E587" s="4" t="s">
        <v>1998</v>
      </c>
      <c r="F587" s="6" t="s">
        <v>2728</v>
      </c>
      <c r="G587" s="4" t="str">
        <f t="shared" si="26"/>
        <v>MCI-00741|No aplicable</v>
      </c>
      <c r="H587" s="4" t="str">
        <f t="shared" si="27"/>
        <v>MCI-00741|MCI-00970</v>
      </c>
      <c r="I587" s="4" t="str">
        <f t="shared" si="28"/>
        <v>a1O1R000006c5mKUAQ</v>
      </c>
      <c r="J587" s="6" t="s">
        <v>2535</v>
      </c>
      <c r="K587" s="6" t="s">
        <v>2536</v>
      </c>
      <c r="L587" s="6" t="s">
        <v>512</v>
      </c>
      <c r="M587" s="4" t="s">
        <v>663</v>
      </c>
    </row>
    <row r="588" spans="1:13">
      <c r="A588" s="4" t="s">
        <v>2376</v>
      </c>
      <c r="B588" s="4" t="s">
        <v>2729</v>
      </c>
      <c r="C588" s="4" t="str">
        <f>CHOOSE(Translations!$C$1+1,J588,K588,L588,)</f>
        <v>No aplicable</v>
      </c>
      <c r="D588" s="4"/>
      <c r="E588" s="4" t="s">
        <v>1968</v>
      </c>
      <c r="F588" s="6" t="s">
        <v>2730</v>
      </c>
      <c r="G588" s="4" t="str">
        <f t="shared" si="26"/>
        <v>MCI-00742|No aplicable</v>
      </c>
      <c r="H588" s="4" t="str">
        <f t="shared" si="27"/>
        <v>MCI-00742|MCI-00971</v>
      </c>
      <c r="I588" s="4" t="str">
        <f t="shared" si="28"/>
        <v>a1O1R000006c5mLUAQ</v>
      </c>
      <c r="J588" s="6" t="s">
        <v>2535</v>
      </c>
      <c r="K588" s="6" t="s">
        <v>2536</v>
      </c>
      <c r="L588" s="6" t="s">
        <v>512</v>
      </c>
      <c r="M588" s="4" t="s">
        <v>663</v>
      </c>
    </row>
    <row r="589" spans="1:13">
      <c r="A589" s="4" t="s">
        <v>2376</v>
      </c>
      <c r="B589" s="4" t="s">
        <v>2731</v>
      </c>
      <c r="C589" s="4" t="str">
        <f>CHOOSE(Translations!$C$1+1,J589,K589,L589,)</f>
        <v>No aplicable</v>
      </c>
      <c r="D589" s="4"/>
      <c r="E589" s="4" t="s">
        <v>1963</v>
      </c>
      <c r="F589" s="6" t="s">
        <v>2732</v>
      </c>
      <c r="G589" s="4" t="str">
        <f t="shared" si="26"/>
        <v>MCI-00743|No aplicable</v>
      </c>
      <c r="H589" s="4" t="str">
        <f t="shared" si="27"/>
        <v>MCI-00743|MCI-00972</v>
      </c>
      <c r="I589" s="4" t="str">
        <f t="shared" si="28"/>
        <v>a1O1R000006c5mMUAQ</v>
      </c>
      <c r="J589" s="6" t="s">
        <v>2535</v>
      </c>
      <c r="K589" s="6" t="s">
        <v>2536</v>
      </c>
      <c r="L589" s="6" t="s">
        <v>512</v>
      </c>
      <c r="M589" s="4" t="s">
        <v>663</v>
      </c>
    </row>
    <row r="590" spans="1:13">
      <c r="A590" s="4" t="s">
        <v>2376</v>
      </c>
      <c r="B590" s="4" t="s">
        <v>2733</v>
      </c>
      <c r="C590" s="4" t="str">
        <f>CHOOSE(Translations!$C$1+1,J590,K590,L590,)</f>
        <v>No aplicable</v>
      </c>
      <c r="D590" s="4"/>
      <c r="E590" s="4" t="s">
        <v>1973</v>
      </c>
      <c r="F590" s="6" t="s">
        <v>2734</v>
      </c>
      <c r="G590" s="4" t="str">
        <f t="shared" si="26"/>
        <v>MCI-00744|No aplicable</v>
      </c>
      <c r="H590" s="4" t="str">
        <f t="shared" si="27"/>
        <v>MCI-00744|MCI-00973</v>
      </c>
      <c r="I590" s="4" t="str">
        <f t="shared" si="28"/>
        <v>a1O1R000006c5mNUAQ</v>
      </c>
      <c r="J590" s="6" t="s">
        <v>2535</v>
      </c>
      <c r="K590" s="6" t="s">
        <v>2536</v>
      </c>
      <c r="L590" s="6" t="s">
        <v>512</v>
      </c>
      <c r="M590" s="4" t="s">
        <v>663</v>
      </c>
    </row>
    <row r="591" spans="1:13">
      <c r="A591" s="4" t="s">
        <v>2376</v>
      </c>
      <c r="B591" s="4" t="s">
        <v>2735</v>
      </c>
      <c r="C591" s="4" t="str">
        <f>CHOOSE(Translations!$C$1+1,J591,K591,L591,)</f>
        <v>No aplicable</v>
      </c>
      <c r="D591" s="4"/>
      <c r="E591" s="4" t="s">
        <v>1993</v>
      </c>
      <c r="F591" s="6" t="s">
        <v>2736</v>
      </c>
      <c r="G591" s="4" t="str">
        <f t="shared" si="26"/>
        <v>MCI-00745|No aplicable</v>
      </c>
      <c r="H591" s="4" t="str">
        <f t="shared" si="27"/>
        <v>MCI-00745|MCI-00974</v>
      </c>
      <c r="I591" s="4" t="str">
        <f t="shared" si="28"/>
        <v>a1O1R000006c5mOUAQ</v>
      </c>
      <c r="J591" s="6" t="s">
        <v>2535</v>
      </c>
      <c r="K591" s="6" t="s">
        <v>2536</v>
      </c>
      <c r="L591" s="6" t="s">
        <v>512</v>
      </c>
      <c r="M591" s="4" t="s">
        <v>663</v>
      </c>
    </row>
    <row r="592" spans="1:13">
      <c r="A592" s="4" t="s">
        <v>2376</v>
      </c>
      <c r="B592" s="4" t="s">
        <v>2737</v>
      </c>
      <c r="C592" s="4" t="str">
        <f>CHOOSE(Translations!$C$1+1,J592,K592,L592,)</f>
        <v>No aplicable</v>
      </c>
      <c r="D592" s="4"/>
      <c r="E592" s="4" t="s">
        <v>1983</v>
      </c>
      <c r="F592" s="6" t="s">
        <v>2738</v>
      </c>
      <c r="G592" s="4" t="str">
        <f t="shared" si="26"/>
        <v>MCI-00746|No aplicable</v>
      </c>
      <c r="H592" s="4" t="str">
        <f t="shared" si="27"/>
        <v>MCI-00746|MCI-00975</v>
      </c>
      <c r="I592" s="4" t="str">
        <f t="shared" si="28"/>
        <v>a1O1R000006c5mPUAQ</v>
      </c>
      <c r="J592" s="6" t="s">
        <v>2535</v>
      </c>
      <c r="K592" s="6" t="s">
        <v>2536</v>
      </c>
      <c r="L592" s="6" t="s">
        <v>512</v>
      </c>
      <c r="M592" s="4" t="s">
        <v>663</v>
      </c>
    </row>
    <row r="593" spans="1:13">
      <c r="A593" s="4" t="s">
        <v>2376</v>
      </c>
      <c r="B593" s="4" t="s">
        <v>2739</v>
      </c>
      <c r="C593" s="4" t="str">
        <f>CHOOSE(Translations!$C$1+1,J593,K593,L593,)</f>
        <v>No aplicable</v>
      </c>
      <c r="D593" s="4"/>
      <c r="E593" s="4" t="s">
        <v>1978</v>
      </c>
      <c r="F593" s="6" t="s">
        <v>2740</v>
      </c>
      <c r="G593" s="4" t="str">
        <f t="shared" si="26"/>
        <v>MCI-00747|No aplicable</v>
      </c>
      <c r="H593" s="4" t="str">
        <f t="shared" si="27"/>
        <v>MCI-00747|MCI-00976</v>
      </c>
      <c r="I593" s="4" t="str">
        <f t="shared" si="28"/>
        <v>a1O1R000006c5mQUAQ</v>
      </c>
      <c r="J593" s="6" t="s">
        <v>2535</v>
      </c>
      <c r="K593" s="6" t="s">
        <v>2536</v>
      </c>
      <c r="L593" s="6" t="s">
        <v>512</v>
      </c>
      <c r="M593" s="4" t="s">
        <v>663</v>
      </c>
    </row>
    <row r="594" spans="1:13">
      <c r="A594" s="4" t="s">
        <v>2376</v>
      </c>
      <c r="B594" s="4" t="s">
        <v>2741</v>
      </c>
      <c r="C594" s="4" t="str">
        <f>CHOOSE(Translations!$C$1+1,J594,K594,L594,)</f>
        <v>No aplicable</v>
      </c>
      <c r="D594" s="4"/>
      <c r="E594" s="4" t="s">
        <v>1988</v>
      </c>
      <c r="F594" s="6" t="s">
        <v>2742</v>
      </c>
      <c r="G594" s="4" t="str">
        <f t="shared" si="26"/>
        <v>MCI-00748|No aplicable</v>
      </c>
      <c r="H594" s="4" t="str">
        <f t="shared" si="27"/>
        <v>MCI-00748|MCI-00977</v>
      </c>
      <c r="I594" s="4" t="str">
        <f t="shared" si="28"/>
        <v>a1O1R000006c5mRUAQ</v>
      </c>
      <c r="J594" s="6" t="s">
        <v>2535</v>
      </c>
      <c r="K594" s="6" t="s">
        <v>2536</v>
      </c>
      <c r="L594" s="6" t="s">
        <v>512</v>
      </c>
      <c r="M594" s="4" t="s">
        <v>663</v>
      </c>
    </row>
    <row r="595" spans="1:13">
      <c r="A595" s="4" t="s">
        <v>2376</v>
      </c>
      <c r="B595" s="4" t="s">
        <v>2743</v>
      </c>
      <c r="C595" s="4" t="str">
        <f>CHOOSE(Translations!$C$1+1,J595,K595,L595,)</f>
        <v>No aplicable</v>
      </c>
      <c r="D595" s="4"/>
      <c r="E595" s="4" t="s">
        <v>1958</v>
      </c>
      <c r="F595" s="6" t="s">
        <v>2744</v>
      </c>
      <c r="G595" s="4" t="str">
        <f t="shared" si="26"/>
        <v>MCI-00749|No aplicable</v>
      </c>
      <c r="H595" s="4" t="str">
        <f t="shared" si="27"/>
        <v>MCI-00749|MCI-00978</v>
      </c>
      <c r="I595" s="4" t="str">
        <f t="shared" si="28"/>
        <v>a1O1R000006c5mSUAQ</v>
      </c>
      <c r="J595" s="6" t="s">
        <v>2535</v>
      </c>
      <c r="K595" s="6" t="s">
        <v>2536</v>
      </c>
      <c r="L595" s="6" t="s">
        <v>512</v>
      </c>
      <c r="M595" s="4" t="s">
        <v>663</v>
      </c>
    </row>
    <row r="596" spans="1:13">
      <c r="A596" s="4" t="s">
        <v>2376</v>
      </c>
      <c r="B596" s="4" t="s">
        <v>2745</v>
      </c>
      <c r="C596" s="4" t="str">
        <f>CHOOSE(Translations!$C$1+1,J596,K596,L596,)</f>
        <v>No aplicable</v>
      </c>
      <c r="D596" s="4"/>
      <c r="E596" s="4" t="s">
        <v>2018</v>
      </c>
      <c r="F596" s="6" t="s">
        <v>2746</v>
      </c>
      <c r="G596" s="4" t="str">
        <f t="shared" si="26"/>
        <v>MCI-00778|No aplicable</v>
      </c>
      <c r="H596" s="4" t="str">
        <f t="shared" si="27"/>
        <v>MCI-00778|MCI-01007</v>
      </c>
      <c r="I596" s="4" t="str">
        <f t="shared" si="28"/>
        <v>a1O1R000006c5mvUAA</v>
      </c>
      <c r="J596" s="6" t="s">
        <v>2535</v>
      </c>
      <c r="K596" s="6" t="s">
        <v>2536</v>
      </c>
      <c r="L596" s="6" t="s">
        <v>512</v>
      </c>
      <c r="M596" s="4" t="s">
        <v>663</v>
      </c>
    </row>
    <row r="597" spans="1:13">
      <c r="A597" s="4" t="s">
        <v>2376</v>
      </c>
      <c r="B597" s="4" t="s">
        <v>2747</v>
      </c>
      <c r="C597" s="4" t="str">
        <f>CHOOSE(Translations!$C$1+1,J597,K597,L597,)</f>
        <v>No aplicable</v>
      </c>
      <c r="D597" s="4"/>
      <c r="E597" s="4" t="s">
        <v>2023</v>
      </c>
      <c r="F597" s="6" t="s">
        <v>2748</v>
      </c>
      <c r="G597" s="4" t="str">
        <f t="shared" si="26"/>
        <v>MCI-00779|No aplicable</v>
      </c>
      <c r="H597" s="4" t="str">
        <f t="shared" si="27"/>
        <v>MCI-00779|MCI-01008</v>
      </c>
      <c r="I597" s="4" t="str">
        <f t="shared" si="28"/>
        <v>a1O1R000006c5mwUAA</v>
      </c>
      <c r="J597" s="6" t="s">
        <v>2535</v>
      </c>
      <c r="K597" s="6" t="s">
        <v>2536</v>
      </c>
      <c r="L597" s="6" t="s">
        <v>512</v>
      </c>
      <c r="M597" s="4" t="s">
        <v>663</v>
      </c>
    </row>
    <row r="598" spans="1:13">
      <c r="A598" s="4" t="s">
        <v>2376</v>
      </c>
      <c r="B598" s="4" t="s">
        <v>2749</v>
      </c>
      <c r="C598" s="4" t="str">
        <f>CHOOSE(Translations!$C$1+1,J598,K598,L598,)</f>
        <v>No aplicable</v>
      </c>
      <c r="D598" s="4"/>
      <c r="E598" s="4" t="s">
        <v>2033</v>
      </c>
      <c r="F598" s="6" t="s">
        <v>2750</v>
      </c>
      <c r="G598" s="4" t="str">
        <f t="shared" si="26"/>
        <v>MCI-00780|No aplicable</v>
      </c>
      <c r="H598" s="4" t="str">
        <f t="shared" si="27"/>
        <v>MCI-00780|MCI-01009</v>
      </c>
      <c r="I598" s="4" t="str">
        <f t="shared" si="28"/>
        <v>a1O1R000006c5mxUAA</v>
      </c>
      <c r="J598" s="6" t="s">
        <v>2535</v>
      </c>
      <c r="K598" s="6" t="s">
        <v>2536</v>
      </c>
      <c r="L598" s="6" t="s">
        <v>512</v>
      </c>
      <c r="M598" s="4" t="s">
        <v>663</v>
      </c>
    </row>
    <row r="599" spans="1:13">
      <c r="A599" s="4" t="s">
        <v>2376</v>
      </c>
      <c r="B599" s="4" t="s">
        <v>2751</v>
      </c>
      <c r="C599" s="4" t="str">
        <f>CHOOSE(Translations!$C$1+1,J599,K599,L599,)</f>
        <v>No aplicable</v>
      </c>
      <c r="D599" s="4"/>
      <c r="E599" s="4" t="s">
        <v>2048</v>
      </c>
      <c r="F599" s="6" t="s">
        <v>2752</v>
      </c>
      <c r="G599" s="4" t="str">
        <f t="shared" si="26"/>
        <v>MCI-00781|No aplicable</v>
      </c>
      <c r="H599" s="4" t="str">
        <f t="shared" si="27"/>
        <v>MCI-00781|MCI-01010</v>
      </c>
      <c r="I599" s="4" t="str">
        <f t="shared" si="28"/>
        <v>a1O1R000006c5myUAA</v>
      </c>
      <c r="J599" s="6" t="s">
        <v>2535</v>
      </c>
      <c r="K599" s="6" t="s">
        <v>2536</v>
      </c>
      <c r="L599" s="6" t="s">
        <v>512</v>
      </c>
      <c r="M599" s="4" t="s">
        <v>663</v>
      </c>
    </row>
    <row r="600" spans="1:13">
      <c r="A600" s="4" t="s">
        <v>2376</v>
      </c>
      <c r="B600" s="4" t="s">
        <v>2753</v>
      </c>
      <c r="C600" s="4" t="str">
        <f>CHOOSE(Translations!$C$1+1,J600,K600,L600,)</f>
        <v>No aplicable</v>
      </c>
      <c r="D600" s="4"/>
      <c r="E600" s="4" t="s">
        <v>2038</v>
      </c>
      <c r="F600" s="6" t="s">
        <v>2754</v>
      </c>
      <c r="G600" s="4" t="str">
        <f t="shared" si="26"/>
        <v>MCI-00782|No aplicable</v>
      </c>
      <c r="H600" s="4" t="str">
        <f t="shared" si="27"/>
        <v>MCI-00782|MCI-01011</v>
      </c>
      <c r="I600" s="4" t="str">
        <f t="shared" si="28"/>
        <v>a1O1R000006c5mzUAA</v>
      </c>
      <c r="J600" s="6" t="s">
        <v>2535</v>
      </c>
      <c r="K600" s="6" t="s">
        <v>2536</v>
      </c>
      <c r="L600" s="6" t="s">
        <v>512</v>
      </c>
      <c r="M600" s="4" t="s">
        <v>663</v>
      </c>
    </row>
    <row r="601" spans="1:13">
      <c r="A601" s="4" t="s">
        <v>2376</v>
      </c>
      <c r="B601" s="4" t="s">
        <v>2755</v>
      </c>
      <c r="C601" s="4" t="str">
        <f>CHOOSE(Translations!$C$1+1,J601,K601,L601,)</f>
        <v>No aplicable</v>
      </c>
      <c r="D601" s="4"/>
      <c r="E601" s="4" t="s">
        <v>2043</v>
      </c>
      <c r="F601" s="6" t="s">
        <v>2756</v>
      </c>
      <c r="G601" s="4" t="str">
        <f t="shared" si="26"/>
        <v>MCI-00783|No aplicable</v>
      </c>
      <c r="H601" s="4" t="str">
        <f t="shared" si="27"/>
        <v>MCI-00783|MCI-01012</v>
      </c>
      <c r="I601" s="4" t="str">
        <f t="shared" si="28"/>
        <v>a1O1R000006c5n0UAA</v>
      </c>
      <c r="J601" s="6" t="s">
        <v>2535</v>
      </c>
      <c r="K601" s="6" t="s">
        <v>2536</v>
      </c>
      <c r="L601" s="6" t="s">
        <v>512</v>
      </c>
      <c r="M601" s="4" t="s">
        <v>663</v>
      </c>
    </row>
    <row r="602" spans="1:13">
      <c r="A602" s="4" t="s">
        <v>2376</v>
      </c>
      <c r="B602" s="4" t="s">
        <v>2757</v>
      </c>
      <c r="C602" s="4" t="str">
        <f>CHOOSE(Translations!$C$1+1,J602,K602,L602,)</f>
        <v>No aplicable</v>
      </c>
      <c r="D602" s="4"/>
      <c r="E602" s="4" t="s">
        <v>2028</v>
      </c>
      <c r="F602" s="6" t="s">
        <v>2758</v>
      </c>
      <c r="G602" s="4" t="str">
        <f t="shared" si="26"/>
        <v>MCI-00784|No aplicable</v>
      </c>
      <c r="H602" s="4" t="str">
        <f t="shared" si="27"/>
        <v>MCI-00784|MCI-01013</v>
      </c>
      <c r="I602" s="4" t="str">
        <f t="shared" si="28"/>
        <v>a1O1R000006c5n1UAA</v>
      </c>
      <c r="J602" s="6" t="s">
        <v>2535</v>
      </c>
      <c r="K602" s="6" t="s">
        <v>2536</v>
      </c>
      <c r="L602" s="6" t="s">
        <v>512</v>
      </c>
      <c r="M602" s="4" t="s">
        <v>663</v>
      </c>
    </row>
    <row r="603" spans="1:13">
      <c r="A603" s="4" t="s">
        <v>2376</v>
      </c>
      <c r="B603" s="4" t="s">
        <v>2759</v>
      </c>
      <c r="C603" s="4" t="str">
        <f>CHOOSE(Translations!$C$1+1,J603,K603,L603,)</f>
        <v>No aplicable</v>
      </c>
      <c r="D603" s="4"/>
      <c r="E603" s="4" t="s">
        <v>2073</v>
      </c>
      <c r="F603" s="6" t="s">
        <v>2760</v>
      </c>
      <c r="G603" s="4" t="str">
        <f t="shared" si="26"/>
        <v>MCI-00785|No aplicable</v>
      </c>
      <c r="H603" s="4" t="str">
        <f t="shared" si="27"/>
        <v>MCI-00785|MCI-01014</v>
      </c>
      <c r="I603" s="4" t="str">
        <f t="shared" si="28"/>
        <v>a1O1R000006c5n2UAA</v>
      </c>
      <c r="J603" s="6" t="s">
        <v>2535</v>
      </c>
      <c r="K603" s="6" t="s">
        <v>2536</v>
      </c>
      <c r="L603" s="6" t="s">
        <v>512</v>
      </c>
      <c r="M603" s="4" t="s">
        <v>663</v>
      </c>
    </row>
    <row r="604" spans="1:13">
      <c r="A604" s="4" t="s">
        <v>2376</v>
      </c>
      <c r="B604" s="4" t="s">
        <v>2761</v>
      </c>
      <c r="C604" s="4" t="str">
        <f>CHOOSE(Translations!$C$1+1,J604,K604,L604,)</f>
        <v>No aplicable</v>
      </c>
      <c r="D604" s="4"/>
      <c r="E604" s="4" t="s">
        <v>2068</v>
      </c>
      <c r="F604" s="6" t="s">
        <v>2762</v>
      </c>
      <c r="G604" s="4" t="str">
        <f t="shared" si="26"/>
        <v>MCI-00786|No aplicable</v>
      </c>
      <c r="H604" s="4" t="str">
        <f t="shared" si="27"/>
        <v>MCI-00786|MCI-01015</v>
      </c>
      <c r="I604" s="4" t="str">
        <f t="shared" si="28"/>
        <v>a1O1R000006c5n3UAA</v>
      </c>
      <c r="J604" s="6" t="s">
        <v>2535</v>
      </c>
      <c r="K604" s="6" t="s">
        <v>2536</v>
      </c>
      <c r="L604" s="6" t="s">
        <v>512</v>
      </c>
      <c r="M604" s="4" t="s">
        <v>663</v>
      </c>
    </row>
    <row r="605" spans="1:13">
      <c r="A605" s="4" t="s">
        <v>2376</v>
      </c>
      <c r="B605" s="4" t="s">
        <v>2763</v>
      </c>
      <c r="C605" s="4" t="str">
        <f>CHOOSE(Translations!$C$1+1,J605,K605,L605,)</f>
        <v>No aplicable</v>
      </c>
      <c r="D605" s="4"/>
      <c r="E605" s="4" t="s">
        <v>2058</v>
      </c>
      <c r="F605" s="6" t="s">
        <v>2764</v>
      </c>
      <c r="G605" s="4" t="str">
        <f t="shared" si="26"/>
        <v>MCI-00787|No aplicable</v>
      </c>
      <c r="H605" s="4" t="str">
        <f t="shared" si="27"/>
        <v>MCI-00787|MCI-01016</v>
      </c>
      <c r="I605" s="4" t="str">
        <f t="shared" si="28"/>
        <v>a1O1R000006c5n4UAA</v>
      </c>
      <c r="J605" s="6" t="s">
        <v>2535</v>
      </c>
      <c r="K605" s="6" t="s">
        <v>2536</v>
      </c>
      <c r="L605" s="6" t="s">
        <v>512</v>
      </c>
      <c r="M605" s="4" t="s">
        <v>663</v>
      </c>
    </row>
    <row r="606" spans="1:13">
      <c r="A606" s="4" t="s">
        <v>2376</v>
      </c>
      <c r="B606" s="4" t="s">
        <v>2765</v>
      </c>
      <c r="C606" s="4" t="str">
        <f>CHOOSE(Translations!$C$1+1,J606,K606,L606,)</f>
        <v>No aplicable</v>
      </c>
      <c r="D606" s="4"/>
      <c r="E606" s="4" t="s">
        <v>2078</v>
      </c>
      <c r="F606" s="6" t="s">
        <v>2766</v>
      </c>
      <c r="G606" s="4" t="str">
        <f t="shared" si="26"/>
        <v>MCI-00788|No aplicable</v>
      </c>
      <c r="H606" s="4" t="str">
        <f t="shared" si="27"/>
        <v>MCI-00788|MCI-01017</v>
      </c>
      <c r="I606" s="4" t="str">
        <f t="shared" si="28"/>
        <v>a1O1R000006c5n5UAA</v>
      </c>
      <c r="J606" s="6" t="s">
        <v>2535</v>
      </c>
      <c r="K606" s="6" t="s">
        <v>2536</v>
      </c>
      <c r="L606" s="6" t="s">
        <v>512</v>
      </c>
      <c r="M606" s="4" t="s">
        <v>663</v>
      </c>
    </row>
    <row r="607" spans="1:13">
      <c r="A607" s="4" t="s">
        <v>2376</v>
      </c>
      <c r="B607" s="4" t="s">
        <v>2767</v>
      </c>
      <c r="C607" s="4" t="str">
        <f>CHOOSE(Translations!$C$1+1,J607,K607,L607,)</f>
        <v>No aplicable</v>
      </c>
      <c r="D607" s="4"/>
      <c r="E607" s="4" t="s">
        <v>2053</v>
      </c>
      <c r="F607" s="6" t="s">
        <v>2768</v>
      </c>
      <c r="G607" s="4" t="str">
        <f t="shared" si="26"/>
        <v>MCI-00789|No aplicable</v>
      </c>
      <c r="H607" s="4" t="str">
        <f t="shared" si="27"/>
        <v>MCI-00789|MCI-01018</v>
      </c>
      <c r="I607" s="4" t="str">
        <f t="shared" si="28"/>
        <v>a1O1R000006c5n6UAA</v>
      </c>
      <c r="J607" s="6" t="s">
        <v>2535</v>
      </c>
      <c r="K607" s="6" t="s">
        <v>2536</v>
      </c>
      <c r="L607" s="6" t="s">
        <v>512</v>
      </c>
      <c r="M607" s="4" t="s">
        <v>663</v>
      </c>
    </row>
    <row r="608" spans="1:13">
      <c r="A608" s="4" t="s">
        <v>2376</v>
      </c>
      <c r="B608" s="4" t="s">
        <v>2769</v>
      </c>
      <c r="C608" s="4" t="str">
        <f>CHOOSE(Translations!$C$1+1,J608,K608,L608,)</f>
        <v>No aplicable</v>
      </c>
      <c r="D608" s="4"/>
      <c r="E608" s="4" t="s">
        <v>2063</v>
      </c>
      <c r="F608" s="6" t="s">
        <v>2770</v>
      </c>
      <c r="G608" s="4" t="str">
        <f t="shared" si="26"/>
        <v>MCI-00790|No aplicable</v>
      </c>
      <c r="H608" s="4" t="str">
        <f t="shared" si="27"/>
        <v>MCI-00790|MCI-01019</v>
      </c>
      <c r="I608" s="4" t="str">
        <f t="shared" si="28"/>
        <v>a1O1R000006c5n7UAA</v>
      </c>
      <c r="J608" s="6" t="s">
        <v>2535</v>
      </c>
      <c r="K608" s="6" t="s">
        <v>2536</v>
      </c>
      <c r="L608" s="6" t="s">
        <v>512</v>
      </c>
      <c r="M608" s="4" t="s">
        <v>663</v>
      </c>
    </row>
    <row r="609" spans="1:13">
      <c r="A609" s="4" t="s">
        <v>2376</v>
      </c>
      <c r="B609" s="4" t="s">
        <v>2771</v>
      </c>
      <c r="C609" s="4" t="str">
        <f>CHOOSE(Translations!$C$1+1,J609,K609,L609,)</f>
        <v>No aplicable</v>
      </c>
      <c r="D609" s="4"/>
      <c r="E609" s="4" t="s">
        <v>2098</v>
      </c>
      <c r="F609" s="6" t="s">
        <v>2772</v>
      </c>
      <c r="G609" s="4" t="str">
        <f t="shared" si="26"/>
        <v>MCI-00791|No aplicable</v>
      </c>
      <c r="H609" s="4" t="str">
        <f t="shared" si="27"/>
        <v>MCI-00791|MCI-01020</v>
      </c>
      <c r="I609" s="4" t="str">
        <f t="shared" si="28"/>
        <v>a1O1R000006c5n8UAA</v>
      </c>
      <c r="J609" s="6" t="s">
        <v>2535</v>
      </c>
      <c r="K609" s="6" t="s">
        <v>2536</v>
      </c>
      <c r="L609" s="6" t="s">
        <v>512</v>
      </c>
      <c r="M609" s="4" t="s">
        <v>663</v>
      </c>
    </row>
    <row r="610" spans="1:13">
      <c r="A610" s="4" t="s">
        <v>2376</v>
      </c>
      <c r="B610" s="4" t="s">
        <v>2773</v>
      </c>
      <c r="C610" s="4" t="str">
        <f>CHOOSE(Translations!$C$1+1,J610,K610,L610,)</f>
        <v>No aplicable</v>
      </c>
      <c r="D610" s="4"/>
      <c r="E610" s="4" t="s">
        <v>2113</v>
      </c>
      <c r="F610" s="6" t="s">
        <v>2774</v>
      </c>
      <c r="G610" s="4" t="str">
        <f t="shared" si="26"/>
        <v>MCI-00792|No aplicable</v>
      </c>
      <c r="H610" s="4" t="str">
        <f t="shared" si="27"/>
        <v>MCI-00792|MCI-01021</v>
      </c>
      <c r="I610" s="4" t="str">
        <f t="shared" si="28"/>
        <v>a1O1R000006c5n9UAA</v>
      </c>
      <c r="J610" s="6" t="s">
        <v>2535</v>
      </c>
      <c r="K610" s="6" t="s">
        <v>2536</v>
      </c>
      <c r="L610" s="6" t="s">
        <v>512</v>
      </c>
      <c r="M610" s="4" t="s">
        <v>663</v>
      </c>
    </row>
    <row r="611" spans="1:13">
      <c r="A611" s="4" t="s">
        <v>2376</v>
      </c>
      <c r="B611" s="4" t="s">
        <v>2775</v>
      </c>
      <c r="C611" s="4" t="str">
        <f>CHOOSE(Translations!$C$1+1,J611,K611,L611,)</f>
        <v>No aplicable</v>
      </c>
      <c r="D611" s="4"/>
      <c r="E611" s="4" t="s">
        <v>2108</v>
      </c>
      <c r="F611" s="6" t="s">
        <v>2776</v>
      </c>
      <c r="G611" s="4" t="str">
        <f t="shared" si="26"/>
        <v>MCI-00793|No aplicable</v>
      </c>
      <c r="H611" s="4" t="str">
        <f t="shared" si="27"/>
        <v>MCI-00793|MCI-01022</v>
      </c>
      <c r="I611" s="4" t="str">
        <f t="shared" si="28"/>
        <v>a1O1R000006c5nAUAQ</v>
      </c>
      <c r="J611" s="6" t="s">
        <v>2535</v>
      </c>
      <c r="K611" s="6" t="s">
        <v>2536</v>
      </c>
      <c r="L611" s="6" t="s">
        <v>512</v>
      </c>
      <c r="M611" s="4" t="s">
        <v>663</v>
      </c>
    </row>
    <row r="612" spans="1:13">
      <c r="A612" s="4" t="s">
        <v>2376</v>
      </c>
      <c r="B612" s="4" t="s">
        <v>2777</v>
      </c>
      <c r="C612" s="4" t="str">
        <f>CHOOSE(Translations!$C$1+1,J612,K612,L612,)</f>
        <v>No aplicable</v>
      </c>
      <c r="D612" s="4"/>
      <c r="E612" s="4" t="s">
        <v>2103</v>
      </c>
      <c r="F612" s="6" t="s">
        <v>2778</v>
      </c>
      <c r="G612" s="4" t="str">
        <f t="shared" si="26"/>
        <v>MCI-00794|No aplicable</v>
      </c>
      <c r="H612" s="4" t="str">
        <f t="shared" si="27"/>
        <v>MCI-00794|MCI-01023</v>
      </c>
      <c r="I612" s="4" t="str">
        <f t="shared" si="28"/>
        <v>a1O1R000006c5nBUAQ</v>
      </c>
      <c r="J612" s="6" t="s">
        <v>2535</v>
      </c>
      <c r="K612" s="6" t="s">
        <v>2536</v>
      </c>
      <c r="L612" s="6" t="s">
        <v>512</v>
      </c>
      <c r="M612" s="4" t="s">
        <v>663</v>
      </c>
    </row>
    <row r="613" spans="1:13">
      <c r="A613" s="4" t="s">
        <v>2376</v>
      </c>
      <c r="B613" s="4" t="s">
        <v>2779</v>
      </c>
      <c r="C613" s="4" t="str">
        <f>CHOOSE(Translations!$C$1+1,J613,K613,L613,)</f>
        <v>No aplicable</v>
      </c>
      <c r="D613" s="4"/>
      <c r="E613" s="4" t="s">
        <v>2083</v>
      </c>
      <c r="F613" s="6" t="s">
        <v>2780</v>
      </c>
      <c r="G613" s="4" t="str">
        <f t="shared" si="26"/>
        <v>MCI-00795|No aplicable</v>
      </c>
      <c r="H613" s="4" t="str">
        <f t="shared" si="27"/>
        <v>MCI-00795|MCI-01024</v>
      </c>
      <c r="I613" s="4" t="str">
        <f t="shared" si="28"/>
        <v>a1O1R000006c5nCUAQ</v>
      </c>
      <c r="J613" s="6" t="s">
        <v>2535</v>
      </c>
      <c r="K613" s="6" t="s">
        <v>2536</v>
      </c>
      <c r="L613" s="6" t="s">
        <v>512</v>
      </c>
      <c r="M613" s="4" t="s">
        <v>663</v>
      </c>
    </row>
    <row r="614" spans="1:13">
      <c r="A614" s="4" t="s">
        <v>2376</v>
      </c>
      <c r="B614" s="4" t="s">
        <v>2781</v>
      </c>
      <c r="C614" s="4" t="str">
        <f>CHOOSE(Translations!$C$1+1,J614,K614,L614,)</f>
        <v>No aplicable</v>
      </c>
      <c r="D614" s="4"/>
      <c r="E614" s="4" t="s">
        <v>2093</v>
      </c>
      <c r="F614" s="6" t="s">
        <v>2782</v>
      </c>
      <c r="G614" s="4" t="str">
        <f t="shared" si="26"/>
        <v>MCI-00796|No aplicable</v>
      </c>
      <c r="H614" s="4" t="str">
        <f t="shared" si="27"/>
        <v>MCI-00796|MCI-01025</v>
      </c>
      <c r="I614" s="4" t="str">
        <f t="shared" si="28"/>
        <v>a1O1R000006c5nDUAQ</v>
      </c>
      <c r="J614" s="6" t="s">
        <v>2535</v>
      </c>
      <c r="K614" s="6" t="s">
        <v>2536</v>
      </c>
      <c r="L614" s="6" t="s">
        <v>512</v>
      </c>
      <c r="M614" s="4" t="s">
        <v>663</v>
      </c>
    </row>
    <row r="615" spans="1:13">
      <c r="A615" s="4" t="s">
        <v>2376</v>
      </c>
      <c r="B615" s="4" t="s">
        <v>2783</v>
      </c>
      <c r="C615" s="4" t="str">
        <f>CHOOSE(Translations!$C$1+1,J615,K615,L615,)</f>
        <v>No aplicable</v>
      </c>
      <c r="D615" s="4"/>
      <c r="E615" s="4" t="s">
        <v>2088</v>
      </c>
      <c r="F615" s="6" t="s">
        <v>2784</v>
      </c>
      <c r="G615" s="4" t="str">
        <f t="shared" si="26"/>
        <v>MCI-00797|No aplicable</v>
      </c>
      <c r="H615" s="4" t="str">
        <f t="shared" si="27"/>
        <v>MCI-00797|MCI-01026</v>
      </c>
      <c r="I615" s="4" t="str">
        <f t="shared" si="28"/>
        <v>a1O1R000006c5nEUAQ</v>
      </c>
      <c r="J615" s="6" t="s">
        <v>2535</v>
      </c>
      <c r="K615" s="6" t="s">
        <v>2536</v>
      </c>
      <c r="L615" s="6" t="s">
        <v>512</v>
      </c>
      <c r="M615" s="4" t="s">
        <v>663</v>
      </c>
    </row>
    <row r="616" spans="1:13">
      <c r="A616" s="4" t="s">
        <v>2376</v>
      </c>
      <c r="B616" s="4" t="s">
        <v>2785</v>
      </c>
      <c r="C616" s="4" t="str">
        <f>CHOOSE(Translations!$C$1+1,J616,K616,L616,)</f>
        <v>No aplicable</v>
      </c>
      <c r="D616" s="4"/>
      <c r="E616" s="4" t="s">
        <v>2118</v>
      </c>
      <c r="F616" s="6" t="s">
        <v>2786</v>
      </c>
      <c r="G616" s="4" t="str">
        <f t="shared" si="26"/>
        <v>MCI-00798|No aplicable</v>
      </c>
      <c r="H616" s="4" t="str">
        <f t="shared" si="27"/>
        <v>MCI-00798|MCI-01027</v>
      </c>
      <c r="I616" s="4" t="str">
        <f t="shared" si="28"/>
        <v>a1O1R000006c5nFUAQ</v>
      </c>
      <c r="J616" s="6" t="s">
        <v>2535</v>
      </c>
      <c r="K616" s="6" t="s">
        <v>2536</v>
      </c>
      <c r="L616" s="6" t="s">
        <v>512</v>
      </c>
      <c r="M616" s="4" t="s">
        <v>663</v>
      </c>
    </row>
    <row r="617" spans="1:13">
      <c r="A617" s="4" t="s">
        <v>2376</v>
      </c>
      <c r="B617" s="4" t="s">
        <v>2787</v>
      </c>
      <c r="C617" s="4" t="str">
        <f>CHOOSE(Translations!$C$1+1,J617,K617,L617,)</f>
        <v>No aplicable</v>
      </c>
      <c r="D617" s="4"/>
      <c r="E617" s="4" t="s">
        <v>2128</v>
      </c>
      <c r="F617" s="6" t="s">
        <v>2788</v>
      </c>
      <c r="G617" s="4" t="str">
        <f t="shared" si="26"/>
        <v>MCI-00799|No aplicable</v>
      </c>
      <c r="H617" s="4" t="str">
        <f t="shared" si="27"/>
        <v>MCI-00799|MCI-01028</v>
      </c>
      <c r="I617" s="4" t="str">
        <f t="shared" si="28"/>
        <v>a1O1R000006c5nGUAQ</v>
      </c>
      <c r="J617" s="6" t="s">
        <v>2535</v>
      </c>
      <c r="K617" s="6" t="s">
        <v>2536</v>
      </c>
      <c r="L617" s="6" t="s">
        <v>512</v>
      </c>
      <c r="M617" s="4" t="s">
        <v>663</v>
      </c>
    </row>
    <row r="618" spans="1:13">
      <c r="A618" s="4" t="s">
        <v>2376</v>
      </c>
      <c r="B618" s="4" t="s">
        <v>2789</v>
      </c>
      <c r="C618" s="4" t="str">
        <f>CHOOSE(Translations!$C$1+1,J618,K618,L618,)</f>
        <v>No aplicable</v>
      </c>
      <c r="D618" s="4"/>
      <c r="E618" s="4" t="s">
        <v>2123</v>
      </c>
      <c r="F618" s="6" t="s">
        <v>2790</v>
      </c>
      <c r="G618" s="4" t="str">
        <f t="shared" si="26"/>
        <v>MCI-00800|No aplicable</v>
      </c>
      <c r="H618" s="4" t="str">
        <f t="shared" si="27"/>
        <v>MCI-00800|MCI-01029</v>
      </c>
      <c r="I618" s="4" t="str">
        <f t="shared" si="28"/>
        <v>a1O1R000006c5nHUAQ</v>
      </c>
      <c r="J618" s="6" t="s">
        <v>2535</v>
      </c>
      <c r="K618" s="6" t="s">
        <v>2536</v>
      </c>
      <c r="L618" s="6" t="s">
        <v>512</v>
      </c>
      <c r="M618" s="4" t="s">
        <v>663</v>
      </c>
    </row>
    <row r="619" spans="1:13">
      <c r="A619" s="4" t="s">
        <v>2376</v>
      </c>
      <c r="B619" s="4" t="s">
        <v>2791</v>
      </c>
      <c r="C619" s="4" t="str">
        <f>CHOOSE(Translations!$C$1+1,J619,K619,L619,)</f>
        <v>No aplicable</v>
      </c>
      <c r="D619" s="4"/>
      <c r="E619" s="4" t="s">
        <v>2133</v>
      </c>
      <c r="F619" s="6" t="s">
        <v>2792</v>
      </c>
      <c r="G619" s="4" t="str">
        <f t="shared" si="26"/>
        <v>MCI-00801|No aplicable</v>
      </c>
      <c r="H619" s="4" t="str">
        <f t="shared" si="27"/>
        <v>MCI-00801|MCI-01030</v>
      </c>
      <c r="I619" s="4" t="str">
        <f t="shared" si="28"/>
        <v>a1O1R000006c5nIUAQ</v>
      </c>
      <c r="J619" s="6" t="s">
        <v>2535</v>
      </c>
      <c r="K619" s="6" t="s">
        <v>2536</v>
      </c>
      <c r="L619" s="6" t="s">
        <v>512</v>
      </c>
      <c r="M619" s="4" t="s">
        <v>663</v>
      </c>
    </row>
    <row r="620" spans="1:13">
      <c r="A620" s="4" t="s">
        <v>2376</v>
      </c>
      <c r="B620" s="4" t="s">
        <v>2793</v>
      </c>
      <c r="C620" s="4" t="str">
        <f>CHOOSE(Translations!$C$1+1,J620,K620,L620,)</f>
        <v>No aplicable</v>
      </c>
      <c r="D620" s="4"/>
      <c r="E620" s="4" t="s">
        <v>2138</v>
      </c>
      <c r="F620" s="6" t="s">
        <v>2794</v>
      </c>
      <c r="G620" s="4" t="str">
        <f t="shared" si="26"/>
        <v>MCI-00802|No aplicable</v>
      </c>
      <c r="H620" s="4" t="str">
        <f t="shared" si="27"/>
        <v>MCI-00802|MCI-01031</v>
      </c>
      <c r="I620" s="4" t="str">
        <f t="shared" si="28"/>
        <v>a1O1R000006c5nJUAQ</v>
      </c>
      <c r="J620" s="6" t="s">
        <v>2535</v>
      </c>
      <c r="K620" s="6" t="s">
        <v>2536</v>
      </c>
      <c r="L620" s="6" t="s">
        <v>512</v>
      </c>
      <c r="M620" s="4" t="s">
        <v>663</v>
      </c>
    </row>
    <row r="621" spans="1:13">
      <c r="A621" s="4" t="s">
        <v>2376</v>
      </c>
      <c r="B621" s="4" t="s">
        <v>2795</v>
      </c>
      <c r="C621" s="4" t="str">
        <f>CHOOSE(Translations!$C$1+1,J621,K621,L621,)</f>
        <v>No aplicable</v>
      </c>
      <c r="D621" s="4"/>
      <c r="E621" s="4" t="s">
        <v>2143</v>
      </c>
      <c r="F621" s="6" t="s">
        <v>2796</v>
      </c>
      <c r="G621" s="4" t="str">
        <f t="shared" si="26"/>
        <v>MCI-00803|No aplicable</v>
      </c>
      <c r="H621" s="4" t="str">
        <f t="shared" si="27"/>
        <v>MCI-00803|MCI-01032</v>
      </c>
      <c r="I621" s="4" t="str">
        <f t="shared" si="28"/>
        <v>a1O1R000006c5nKUAQ</v>
      </c>
      <c r="J621" s="6" t="s">
        <v>2535</v>
      </c>
      <c r="K621" s="6" t="s">
        <v>2536</v>
      </c>
      <c r="L621" s="6" t="s">
        <v>512</v>
      </c>
      <c r="M621" s="4" t="s">
        <v>663</v>
      </c>
    </row>
    <row r="622" spans="1:13">
      <c r="A622" s="4" t="s">
        <v>2376</v>
      </c>
      <c r="B622" s="4" t="s">
        <v>2797</v>
      </c>
      <c r="C622" s="4" t="str">
        <f>CHOOSE(Translations!$C$1+1,J622,K622,L622,)</f>
        <v>No aplicable</v>
      </c>
      <c r="D622" s="4"/>
      <c r="E622" s="4" t="s">
        <v>2148</v>
      </c>
      <c r="F622" s="6" t="s">
        <v>2798</v>
      </c>
      <c r="G622" s="4" t="str">
        <f t="shared" si="26"/>
        <v>MCI-00804|No aplicable</v>
      </c>
      <c r="H622" s="4" t="str">
        <f t="shared" si="27"/>
        <v>MCI-00804|MCI-01033</v>
      </c>
      <c r="I622" s="4" t="str">
        <f t="shared" si="28"/>
        <v>a1O1R000006c5nLUAQ</v>
      </c>
      <c r="J622" s="6" t="s">
        <v>2535</v>
      </c>
      <c r="K622" s="6" t="s">
        <v>2536</v>
      </c>
      <c r="L622" s="6" t="s">
        <v>512</v>
      </c>
      <c r="M622" s="4" t="s">
        <v>663</v>
      </c>
    </row>
    <row r="623" spans="1:13">
      <c r="A623" s="4" t="s">
        <v>2376</v>
      </c>
      <c r="B623" s="4" t="s">
        <v>2799</v>
      </c>
      <c r="C623" s="4" t="str">
        <f>CHOOSE(Translations!$C$1+1,J623,K623,L623,)</f>
        <v>No aplicable</v>
      </c>
      <c r="D623" s="4"/>
      <c r="E623" s="4" t="s">
        <v>2153</v>
      </c>
      <c r="F623" s="6" t="s">
        <v>2800</v>
      </c>
      <c r="G623" s="4" t="str">
        <f t="shared" si="26"/>
        <v>MCI-00805|No aplicable</v>
      </c>
      <c r="H623" s="4" t="str">
        <f t="shared" si="27"/>
        <v>MCI-00805|MCI-01034</v>
      </c>
      <c r="I623" s="4" t="str">
        <f t="shared" si="28"/>
        <v>a1O1R000006c5nMUAQ</v>
      </c>
      <c r="J623" s="6" t="s">
        <v>2535</v>
      </c>
      <c r="K623" s="6" t="s">
        <v>2536</v>
      </c>
      <c r="L623" s="6" t="s">
        <v>512</v>
      </c>
      <c r="M623" s="4" t="s">
        <v>663</v>
      </c>
    </row>
    <row r="624" spans="1:13">
      <c r="A624" s="4" t="s">
        <v>2376</v>
      </c>
      <c r="B624" s="4" t="s">
        <v>2801</v>
      </c>
      <c r="C624" s="4" t="str">
        <f>CHOOSE(Translations!$C$1+1,J624,K624,L624,)</f>
        <v>No aplicable</v>
      </c>
      <c r="D624" s="4"/>
      <c r="E624" s="4" t="s">
        <v>2158</v>
      </c>
      <c r="F624" s="6" t="s">
        <v>2802</v>
      </c>
      <c r="G624" s="4" t="str">
        <f t="shared" ref="G624:G652" si="29">E624&amp;"|"&amp;C624</f>
        <v>MCI-00806|No aplicable</v>
      </c>
      <c r="H624" s="4" t="str">
        <f t="shared" ref="H624:H652" si="30">E624&amp;"|"&amp;F624</f>
        <v>MCI-00806|MCI-01035</v>
      </c>
      <c r="I624" s="4" t="str">
        <f t="shared" ref="I624:I652" si="31">B624</f>
        <v>a1O1R000006c5nNUAQ</v>
      </c>
      <c r="J624" s="6" t="s">
        <v>2535</v>
      </c>
      <c r="K624" s="6" t="s">
        <v>2536</v>
      </c>
      <c r="L624" s="6" t="s">
        <v>512</v>
      </c>
      <c r="M624" s="4" t="s">
        <v>663</v>
      </c>
    </row>
    <row r="625" spans="1:13">
      <c r="A625" s="4" t="s">
        <v>2376</v>
      </c>
      <c r="B625" s="4" t="s">
        <v>2803</v>
      </c>
      <c r="C625" s="4" t="str">
        <f>CHOOSE(Translations!$C$1+1,J625,K625,L625,)</f>
        <v>No aplicable</v>
      </c>
      <c r="D625" s="4"/>
      <c r="E625" s="4" t="s">
        <v>2168</v>
      </c>
      <c r="F625" s="6" t="s">
        <v>2804</v>
      </c>
      <c r="G625" s="4" t="str">
        <f t="shared" si="29"/>
        <v>MCI-00807|No aplicable</v>
      </c>
      <c r="H625" s="4" t="str">
        <f t="shared" si="30"/>
        <v>MCI-00807|MCI-01036</v>
      </c>
      <c r="I625" s="4" t="str">
        <f t="shared" si="31"/>
        <v>a1O1R000006c5nOUAQ</v>
      </c>
      <c r="J625" s="6" t="s">
        <v>2535</v>
      </c>
      <c r="K625" s="6" t="s">
        <v>2536</v>
      </c>
      <c r="L625" s="6" t="s">
        <v>512</v>
      </c>
      <c r="M625" s="4" t="s">
        <v>663</v>
      </c>
    </row>
    <row r="626" spans="1:13">
      <c r="A626" s="4" t="s">
        <v>2376</v>
      </c>
      <c r="B626" s="4" t="s">
        <v>2805</v>
      </c>
      <c r="C626" s="4" t="str">
        <f>CHOOSE(Translations!$C$1+1,J626,K626,L626,)</f>
        <v>No aplicable</v>
      </c>
      <c r="D626" s="4"/>
      <c r="E626" s="4" t="s">
        <v>2163</v>
      </c>
      <c r="F626" s="6" t="s">
        <v>2806</v>
      </c>
      <c r="G626" s="4" t="str">
        <f t="shared" si="29"/>
        <v>MCI-00808|No aplicable</v>
      </c>
      <c r="H626" s="4" t="str">
        <f t="shared" si="30"/>
        <v>MCI-00808|MCI-01037</v>
      </c>
      <c r="I626" s="4" t="str">
        <f t="shared" si="31"/>
        <v>a1O1R000006c5nPUAQ</v>
      </c>
      <c r="J626" s="6" t="s">
        <v>2535</v>
      </c>
      <c r="K626" s="6" t="s">
        <v>2536</v>
      </c>
      <c r="L626" s="6" t="s">
        <v>512</v>
      </c>
      <c r="M626" s="4" t="s">
        <v>663</v>
      </c>
    </row>
    <row r="627" spans="1:13">
      <c r="A627" s="4" t="s">
        <v>2376</v>
      </c>
      <c r="B627" s="4" t="s">
        <v>2807</v>
      </c>
      <c r="C627" s="4" t="str">
        <f>CHOOSE(Translations!$C$1+1,J627,K627,L627,)</f>
        <v>No aplicable</v>
      </c>
      <c r="D627" s="4"/>
      <c r="E627" s="4" t="s">
        <v>2188</v>
      </c>
      <c r="F627" s="6" t="s">
        <v>2808</v>
      </c>
      <c r="G627" s="4" t="str">
        <f t="shared" si="29"/>
        <v>MCI-00809|No aplicable</v>
      </c>
      <c r="H627" s="4" t="str">
        <f t="shared" si="30"/>
        <v>MCI-00809|MCI-01038</v>
      </c>
      <c r="I627" s="4" t="str">
        <f t="shared" si="31"/>
        <v>a1O1R000006c5nQUAQ</v>
      </c>
      <c r="J627" s="6" t="s">
        <v>2535</v>
      </c>
      <c r="K627" s="6" t="s">
        <v>2536</v>
      </c>
      <c r="L627" s="6" t="s">
        <v>512</v>
      </c>
      <c r="M627" s="4" t="s">
        <v>663</v>
      </c>
    </row>
    <row r="628" spans="1:13">
      <c r="A628" s="4" t="s">
        <v>2376</v>
      </c>
      <c r="B628" s="4" t="s">
        <v>2809</v>
      </c>
      <c r="C628" s="4" t="str">
        <f>CHOOSE(Translations!$C$1+1,J628,K628,L628,)</f>
        <v>No aplicable</v>
      </c>
      <c r="D628" s="4"/>
      <c r="E628" s="4" t="s">
        <v>2178</v>
      </c>
      <c r="F628" s="6" t="s">
        <v>2810</v>
      </c>
      <c r="G628" s="4" t="str">
        <f t="shared" si="29"/>
        <v>MCI-00810|No aplicable</v>
      </c>
      <c r="H628" s="4" t="str">
        <f t="shared" si="30"/>
        <v>MCI-00810|MCI-01039</v>
      </c>
      <c r="I628" s="4" t="str">
        <f t="shared" si="31"/>
        <v>a1O1R000006c5nRUAQ</v>
      </c>
      <c r="J628" s="6" t="s">
        <v>2535</v>
      </c>
      <c r="K628" s="6" t="s">
        <v>2536</v>
      </c>
      <c r="L628" s="6" t="s">
        <v>512</v>
      </c>
      <c r="M628" s="4" t="s">
        <v>663</v>
      </c>
    </row>
    <row r="629" spans="1:13">
      <c r="A629" s="4" t="s">
        <v>2376</v>
      </c>
      <c r="B629" s="4" t="s">
        <v>2811</v>
      </c>
      <c r="C629" s="4" t="str">
        <f>CHOOSE(Translations!$C$1+1,J629,K629,L629,)</f>
        <v>No aplicable</v>
      </c>
      <c r="D629" s="4"/>
      <c r="E629" s="4" t="s">
        <v>2193</v>
      </c>
      <c r="F629" s="6" t="s">
        <v>2812</v>
      </c>
      <c r="G629" s="4" t="str">
        <f t="shared" si="29"/>
        <v>MCI-00811|No aplicable</v>
      </c>
      <c r="H629" s="4" t="str">
        <f t="shared" si="30"/>
        <v>MCI-00811|MCI-01040</v>
      </c>
      <c r="I629" s="4" t="str">
        <f t="shared" si="31"/>
        <v>a1O1R000006c5nSUAQ</v>
      </c>
      <c r="J629" s="6" t="s">
        <v>2535</v>
      </c>
      <c r="K629" s="6" t="s">
        <v>2536</v>
      </c>
      <c r="L629" s="6" t="s">
        <v>512</v>
      </c>
      <c r="M629" s="4" t="s">
        <v>663</v>
      </c>
    </row>
    <row r="630" spans="1:13">
      <c r="A630" s="4" t="s">
        <v>2376</v>
      </c>
      <c r="B630" s="4" t="s">
        <v>2813</v>
      </c>
      <c r="C630" s="4" t="str">
        <f>CHOOSE(Translations!$C$1+1,J630,K630,L630,)</f>
        <v>No aplicable</v>
      </c>
      <c r="D630" s="4"/>
      <c r="E630" s="4" t="s">
        <v>2173</v>
      </c>
      <c r="F630" s="6" t="s">
        <v>2814</v>
      </c>
      <c r="G630" s="4" t="str">
        <f t="shared" si="29"/>
        <v>MCI-00812|No aplicable</v>
      </c>
      <c r="H630" s="4" t="str">
        <f t="shared" si="30"/>
        <v>MCI-00812|MCI-01041</v>
      </c>
      <c r="I630" s="4" t="str">
        <f t="shared" si="31"/>
        <v>a1O1R000006c5nTUAQ</v>
      </c>
      <c r="J630" s="6" t="s">
        <v>2535</v>
      </c>
      <c r="K630" s="6" t="s">
        <v>2536</v>
      </c>
      <c r="L630" s="6" t="s">
        <v>512</v>
      </c>
      <c r="M630" s="4" t="s">
        <v>663</v>
      </c>
    </row>
    <row r="631" spans="1:13">
      <c r="A631" s="4" t="s">
        <v>2376</v>
      </c>
      <c r="B631" s="4" t="s">
        <v>2815</v>
      </c>
      <c r="C631" s="4" t="str">
        <f>CHOOSE(Translations!$C$1+1,J631,K631,L631,)</f>
        <v>No aplicable</v>
      </c>
      <c r="D631" s="4"/>
      <c r="E631" s="4" t="s">
        <v>2183</v>
      </c>
      <c r="F631" s="6" t="s">
        <v>2816</v>
      </c>
      <c r="G631" s="4" t="str">
        <f t="shared" si="29"/>
        <v>MCI-00813|No aplicable</v>
      </c>
      <c r="H631" s="4" t="str">
        <f t="shared" si="30"/>
        <v>MCI-00813|MCI-01042</v>
      </c>
      <c r="I631" s="4" t="str">
        <f t="shared" si="31"/>
        <v>a1O1R000006c5nUUAQ</v>
      </c>
      <c r="J631" s="6" t="s">
        <v>2535</v>
      </c>
      <c r="K631" s="6" t="s">
        <v>2536</v>
      </c>
      <c r="L631" s="6" t="s">
        <v>512</v>
      </c>
      <c r="M631" s="4" t="s">
        <v>663</v>
      </c>
    </row>
    <row r="632" spans="1:13">
      <c r="A632" s="4" t="s">
        <v>2376</v>
      </c>
      <c r="B632" s="4" t="s">
        <v>2817</v>
      </c>
      <c r="C632" s="4" t="str">
        <f>CHOOSE(Translations!$C$1+1,J632,K632,L632,)</f>
        <v>No aplicable</v>
      </c>
      <c r="D632" s="4"/>
      <c r="E632" s="4" t="s">
        <v>2198</v>
      </c>
      <c r="F632" s="6" t="s">
        <v>2818</v>
      </c>
      <c r="G632" s="4" t="str">
        <f t="shared" si="29"/>
        <v>MCI-00814|No aplicable</v>
      </c>
      <c r="H632" s="4" t="str">
        <f t="shared" si="30"/>
        <v>MCI-00814|MCI-01043</v>
      </c>
      <c r="I632" s="4" t="str">
        <f t="shared" si="31"/>
        <v>a1O1R000006c5nVUAQ</v>
      </c>
      <c r="J632" s="6" t="s">
        <v>2535</v>
      </c>
      <c r="K632" s="6" t="s">
        <v>2536</v>
      </c>
      <c r="L632" s="6" t="s">
        <v>512</v>
      </c>
      <c r="M632" s="4" t="s">
        <v>663</v>
      </c>
    </row>
    <row r="633" spans="1:13">
      <c r="A633" s="4" t="s">
        <v>2376</v>
      </c>
      <c r="B633" s="4" t="s">
        <v>2819</v>
      </c>
      <c r="C633" s="4" t="str">
        <f>CHOOSE(Translations!$C$1+1,J633,K633,L633,)</f>
        <v>No aplicable</v>
      </c>
      <c r="D633" s="4"/>
      <c r="E633" s="4" t="s">
        <v>2215</v>
      </c>
      <c r="F633" s="6" t="s">
        <v>2820</v>
      </c>
      <c r="G633" s="4" t="str">
        <f t="shared" si="29"/>
        <v>MCI-01237|No aplicable</v>
      </c>
      <c r="H633" s="4" t="str">
        <f t="shared" si="30"/>
        <v>MCI-01237|MCI-01240</v>
      </c>
      <c r="I633" s="4" t="str">
        <f t="shared" si="31"/>
        <v>a1O3p000003OASxEAO</v>
      </c>
      <c r="J633" s="6" t="s">
        <v>2535</v>
      </c>
      <c r="K633" s="6" t="s">
        <v>2536</v>
      </c>
      <c r="L633" s="6" t="s">
        <v>512</v>
      </c>
      <c r="M633" s="4" t="s">
        <v>663</v>
      </c>
    </row>
    <row r="634" spans="1:13">
      <c r="A634" s="4" t="s">
        <v>2376</v>
      </c>
      <c r="B634" s="4" t="s">
        <v>2821</v>
      </c>
      <c r="C634" s="4" t="str">
        <f>CHOOSE(Translations!$C$1+1,J634,K634,L634,)</f>
        <v>No aplicable</v>
      </c>
      <c r="D634" s="4"/>
      <c r="E634" s="4" t="s">
        <v>2285</v>
      </c>
      <c r="F634" s="6" t="s">
        <v>2822</v>
      </c>
      <c r="G634" s="4" t="str">
        <f t="shared" si="29"/>
        <v>MCI-01238|No aplicable</v>
      </c>
      <c r="H634" s="4" t="str">
        <f t="shared" si="30"/>
        <v>MCI-01238|MCI-01239</v>
      </c>
      <c r="I634" s="4" t="str">
        <f t="shared" si="31"/>
        <v>a1O3p000003OASsEAO</v>
      </c>
      <c r="J634" s="6" t="s">
        <v>2535</v>
      </c>
      <c r="K634" s="6" t="s">
        <v>2536</v>
      </c>
      <c r="L634" s="6" t="s">
        <v>512</v>
      </c>
      <c r="M634" s="4" t="s">
        <v>663</v>
      </c>
    </row>
    <row r="635" spans="1:13">
      <c r="A635" s="4" t="s">
        <v>2376</v>
      </c>
      <c r="B635" s="4" t="s">
        <v>2823</v>
      </c>
      <c r="C635" s="4" t="str">
        <f>CHOOSE(Translations!$C$1+1,J635,K635,L635,)</f>
        <v>No aplicable</v>
      </c>
      <c r="D635" s="4"/>
      <c r="E635" s="4" t="s">
        <v>2205</v>
      </c>
      <c r="F635" s="6" t="s">
        <v>2824</v>
      </c>
      <c r="G635" s="4" t="str">
        <f t="shared" si="29"/>
        <v>MCI-01260|No aplicable</v>
      </c>
      <c r="H635" s="4" t="str">
        <f t="shared" si="30"/>
        <v>MCI-01260|MCI-01278</v>
      </c>
      <c r="I635" s="4" t="str">
        <f t="shared" si="31"/>
        <v>a1O3p000003UpXFEA0</v>
      </c>
      <c r="J635" s="6" t="s">
        <v>2535</v>
      </c>
      <c r="K635" s="6" t="s">
        <v>2536</v>
      </c>
      <c r="L635" s="6" t="s">
        <v>512</v>
      </c>
      <c r="M635" s="4" t="s">
        <v>663</v>
      </c>
    </row>
    <row r="636" spans="1:13">
      <c r="A636" s="4" t="s">
        <v>2376</v>
      </c>
      <c r="B636" s="4" t="s">
        <v>2825</v>
      </c>
      <c r="C636" s="4" t="str">
        <f>CHOOSE(Translations!$C$1+1,J636,K636,L636,)</f>
        <v>No aplicable</v>
      </c>
      <c r="D636" s="4"/>
      <c r="E636" s="4" t="s">
        <v>2280</v>
      </c>
      <c r="F636" s="6" t="s">
        <v>2826</v>
      </c>
      <c r="G636" s="4" t="str">
        <f t="shared" si="29"/>
        <v>MCI-01261|No aplicable</v>
      </c>
      <c r="H636" s="4" t="str">
        <f t="shared" si="30"/>
        <v>MCI-01261|MCI-01279</v>
      </c>
      <c r="I636" s="4" t="str">
        <f t="shared" si="31"/>
        <v>a1O3p000003UpVPEA0</v>
      </c>
      <c r="J636" s="6" t="s">
        <v>2535</v>
      </c>
      <c r="K636" s="6" t="s">
        <v>2536</v>
      </c>
      <c r="L636" s="6" t="s">
        <v>512</v>
      </c>
      <c r="M636" s="4" t="s">
        <v>663</v>
      </c>
    </row>
    <row r="637" spans="1:13">
      <c r="A637" s="4" t="s">
        <v>2376</v>
      </c>
      <c r="B637" s="4" t="s">
        <v>2827</v>
      </c>
      <c r="C637" s="4" t="str">
        <f>CHOOSE(Translations!$C$1+1,J637,K637,L637,)</f>
        <v>No aplicable</v>
      </c>
      <c r="D637" s="4"/>
      <c r="E637" s="4" t="s">
        <v>2295</v>
      </c>
      <c r="F637" s="6" t="s">
        <v>2828</v>
      </c>
      <c r="G637" s="4" t="str">
        <f t="shared" si="29"/>
        <v>MCI-01262|No aplicable</v>
      </c>
      <c r="H637" s="4" t="str">
        <f t="shared" si="30"/>
        <v>MCI-01262|MCI-01280</v>
      </c>
      <c r="I637" s="4" t="str">
        <f t="shared" si="31"/>
        <v>a1O3p000003UpXKEA0</v>
      </c>
      <c r="J637" s="6" t="s">
        <v>2535</v>
      </c>
      <c r="K637" s="6" t="s">
        <v>2536</v>
      </c>
      <c r="L637" s="6" t="s">
        <v>512</v>
      </c>
      <c r="M637" s="4" t="s">
        <v>663</v>
      </c>
    </row>
    <row r="638" spans="1:13">
      <c r="A638" s="4" t="s">
        <v>2376</v>
      </c>
      <c r="B638" s="4" t="s">
        <v>2829</v>
      </c>
      <c r="C638" s="4" t="str">
        <f>CHOOSE(Translations!$C$1+1,J638,K638,L638,)</f>
        <v>No aplicable</v>
      </c>
      <c r="D638" s="4"/>
      <c r="E638" s="4" t="s">
        <v>2290</v>
      </c>
      <c r="F638" s="6" t="s">
        <v>2830</v>
      </c>
      <c r="G638" s="4" t="str">
        <f t="shared" si="29"/>
        <v>MCI-01263|No aplicable</v>
      </c>
      <c r="H638" s="4" t="str">
        <f t="shared" si="30"/>
        <v>MCI-01263|MCI-01281</v>
      </c>
      <c r="I638" s="4" t="str">
        <f t="shared" si="31"/>
        <v>a1O3p000003UpXPEA0</v>
      </c>
      <c r="J638" s="6" t="s">
        <v>2535</v>
      </c>
      <c r="K638" s="6" t="s">
        <v>2536</v>
      </c>
      <c r="L638" s="6" t="s">
        <v>512</v>
      </c>
      <c r="M638" s="4" t="s">
        <v>663</v>
      </c>
    </row>
    <row r="639" spans="1:13">
      <c r="A639" s="4" t="s">
        <v>2376</v>
      </c>
      <c r="B639" s="4" t="s">
        <v>2831</v>
      </c>
      <c r="C639" s="4" t="str">
        <f>CHOOSE(Translations!$C$1+1,J639,K639,L639,)</f>
        <v>No aplicable</v>
      </c>
      <c r="D639" s="4"/>
      <c r="E639" s="4" t="s">
        <v>2210</v>
      </c>
      <c r="F639" s="6" t="s">
        <v>2832</v>
      </c>
      <c r="G639" s="4" t="str">
        <f t="shared" si="29"/>
        <v>MCI-01264|No aplicable</v>
      </c>
      <c r="H639" s="4" t="str">
        <f t="shared" si="30"/>
        <v>MCI-01264|MCI-01282</v>
      </c>
      <c r="I639" s="4" t="str">
        <f t="shared" si="31"/>
        <v>a1O3p000003UpXUEA0</v>
      </c>
      <c r="J639" s="6" t="s">
        <v>2535</v>
      </c>
      <c r="K639" s="6" t="s">
        <v>2536</v>
      </c>
      <c r="L639" s="6" t="s">
        <v>512</v>
      </c>
      <c r="M639" s="4" t="s">
        <v>663</v>
      </c>
    </row>
    <row r="640" spans="1:13">
      <c r="A640" s="4" t="s">
        <v>2376</v>
      </c>
      <c r="B640" s="4" t="s">
        <v>2833</v>
      </c>
      <c r="C640" s="4" t="str">
        <f>CHOOSE(Translations!$C$1+1,J640,K640,L640,)</f>
        <v>No aplicable</v>
      </c>
      <c r="D640" s="4"/>
      <c r="E640" s="4" t="s">
        <v>2255</v>
      </c>
      <c r="F640" s="6" t="s">
        <v>2834</v>
      </c>
      <c r="G640" s="4" t="str">
        <f t="shared" si="29"/>
        <v>MCI-01265|No aplicable</v>
      </c>
      <c r="H640" s="4" t="str">
        <f t="shared" si="30"/>
        <v>MCI-01265|MCI-01283</v>
      </c>
      <c r="I640" s="4" t="str">
        <f t="shared" si="31"/>
        <v>a1O3p000003UpV6EAK</v>
      </c>
      <c r="J640" s="6" t="s">
        <v>2535</v>
      </c>
      <c r="K640" s="6" t="s">
        <v>2536</v>
      </c>
      <c r="L640" s="6" t="s">
        <v>512</v>
      </c>
      <c r="M640" s="4" t="s">
        <v>663</v>
      </c>
    </row>
    <row r="641" spans="1:13">
      <c r="A641" s="4" t="s">
        <v>2376</v>
      </c>
      <c r="B641" s="4" t="s">
        <v>2835</v>
      </c>
      <c r="C641" s="4" t="str">
        <f>CHOOSE(Translations!$C$1+1,J641,K641,L641,)</f>
        <v>No aplicable</v>
      </c>
      <c r="D641" s="4"/>
      <c r="E641" s="4" t="s">
        <v>2250</v>
      </c>
      <c r="F641" s="6" t="s">
        <v>2836</v>
      </c>
      <c r="G641" s="4" t="str">
        <f t="shared" si="29"/>
        <v>MCI-01266|No aplicable</v>
      </c>
      <c r="H641" s="4" t="str">
        <f t="shared" si="30"/>
        <v>MCI-01266|MCI-01284</v>
      </c>
      <c r="I641" s="4" t="str">
        <f t="shared" si="31"/>
        <v>a1O3p000003UpXZEA0</v>
      </c>
      <c r="J641" s="6" t="s">
        <v>2535</v>
      </c>
      <c r="K641" s="6" t="s">
        <v>2536</v>
      </c>
      <c r="L641" s="6" t="s">
        <v>512</v>
      </c>
      <c r="M641" s="4" t="s">
        <v>663</v>
      </c>
    </row>
    <row r="642" spans="1:13">
      <c r="A642" s="4" t="s">
        <v>2376</v>
      </c>
      <c r="B642" s="4" t="s">
        <v>2837</v>
      </c>
      <c r="C642" s="4" t="str">
        <f>CHOOSE(Translations!$C$1+1,J642,K642,L642,)</f>
        <v>No aplicable</v>
      </c>
      <c r="D642" s="4"/>
      <c r="E642" s="4" t="s">
        <v>2245</v>
      </c>
      <c r="F642" s="6" t="s">
        <v>2838</v>
      </c>
      <c r="G642" s="4" t="str">
        <f t="shared" si="29"/>
        <v>MCI-01267|No aplicable</v>
      </c>
      <c r="H642" s="4" t="str">
        <f t="shared" si="30"/>
        <v>MCI-01267|MCI-01285</v>
      </c>
      <c r="I642" s="4" t="str">
        <f t="shared" si="31"/>
        <v>a1O3p000003UpXeEAK</v>
      </c>
      <c r="J642" s="6" t="s">
        <v>2535</v>
      </c>
      <c r="K642" s="6" t="s">
        <v>2536</v>
      </c>
      <c r="L642" s="6" t="s">
        <v>512</v>
      </c>
      <c r="M642" s="4" t="s">
        <v>663</v>
      </c>
    </row>
    <row r="643" spans="1:13">
      <c r="A643" s="4" t="s">
        <v>2376</v>
      </c>
      <c r="B643" s="4" t="s">
        <v>2839</v>
      </c>
      <c r="C643" s="4" t="str">
        <f>CHOOSE(Translations!$C$1+1,J643,K643,L643,)</f>
        <v>No aplicable</v>
      </c>
      <c r="D643" s="4"/>
      <c r="E643" s="4" t="s">
        <v>2200</v>
      </c>
      <c r="F643" s="6" t="s">
        <v>2840</v>
      </c>
      <c r="G643" s="4" t="str">
        <f t="shared" si="29"/>
        <v>MCI-01268|No aplicable</v>
      </c>
      <c r="H643" s="4" t="str">
        <f t="shared" si="30"/>
        <v>MCI-01268|MCI-01286</v>
      </c>
      <c r="I643" s="4" t="str">
        <f t="shared" si="31"/>
        <v>a1O3p000003UpXjEAK</v>
      </c>
      <c r="J643" s="6" t="s">
        <v>2535</v>
      </c>
      <c r="K643" s="6" t="s">
        <v>2536</v>
      </c>
      <c r="L643" s="6" t="s">
        <v>512</v>
      </c>
      <c r="M643" s="4" t="s">
        <v>663</v>
      </c>
    </row>
    <row r="644" spans="1:13">
      <c r="A644" s="4" t="s">
        <v>2376</v>
      </c>
      <c r="B644" s="4" t="s">
        <v>2841</v>
      </c>
      <c r="C644" s="4" t="str">
        <f>CHOOSE(Translations!$C$1+1,J644,K644,L644,)</f>
        <v>No aplicable</v>
      </c>
      <c r="D644" s="4"/>
      <c r="E644" s="4" t="s">
        <v>2260</v>
      </c>
      <c r="F644" s="6" t="s">
        <v>2842</v>
      </c>
      <c r="G644" s="4" t="str">
        <f t="shared" si="29"/>
        <v>MCI-01269|No aplicable</v>
      </c>
      <c r="H644" s="4" t="str">
        <f t="shared" si="30"/>
        <v>MCI-01269|MCI-01287</v>
      </c>
      <c r="I644" s="4" t="str">
        <f t="shared" si="31"/>
        <v>a1O3p000003UpXoEAK</v>
      </c>
      <c r="J644" s="6" t="s">
        <v>2535</v>
      </c>
      <c r="K644" s="6" t="s">
        <v>2536</v>
      </c>
      <c r="L644" s="6" t="s">
        <v>512</v>
      </c>
      <c r="M644" s="4" t="s">
        <v>663</v>
      </c>
    </row>
    <row r="645" spans="1:13">
      <c r="A645" s="4" t="s">
        <v>2376</v>
      </c>
      <c r="B645" s="4" t="s">
        <v>2843</v>
      </c>
      <c r="C645" s="4" t="str">
        <f>CHOOSE(Translations!$C$1+1,J645,K645,L645,)</f>
        <v>No aplicable</v>
      </c>
      <c r="D645" s="4"/>
      <c r="E645" s="4" t="s">
        <v>2270</v>
      </c>
      <c r="F645" s="6" t="s">
        <v>2844</v>
      </c>
      <c r="G645" s="4" t="str">
        <f t="shared" si="29"/>
        <v>MCI-01270|No aplicable</v>
      </c>
      <c r="H645" s="4" t="str">
        <f t="shared" si="30"/>
        <v>MCI-01270|MCI-01288</v>
      </c>
      <c r="I645" s="4" t="str">
        <f t="shared" si="31"/>
        <v>a1O3p000003UpXtEAK</v>
      </c>
      <c r="J645" s="6" t="s">
        <v>2535</v>
      </c>
      <c r="K645" s="6" t="s">
        <v>2536</v>
      </c>
      <c r="L645" s="6" t="s">
        <v>512</v>
      </c>
      <c r="M645" s="4" t="s">
        <v>663</v>
      </c>
    </row>
    <row r="646" spans="1:13">
      <c r="A646" s="4" t="s">
        <v>2376</v>
      </c>
      <c r="B646" s="4" t="s">
        <v>2845</v>
      </c>
      <c r="C646" s="4" t="str">
        <f>CHOOSE(Translations!$C$1+1,J646,K646,L646,)</f>
        <v>No aplicable</v>
      </c>
      <c r="D646" s="4"/>
      <c r="E646" s="4" t="s">
        <v>2265</v>
      </c>
      <c r="F646" s="6" t="s">
        <v>2846</v>
      </c>
      <c r="G646" s="4" t="str">
        <f t="shared" si="29"/>
        <v>MCI-01271|No aplicable</v>
      </c>
      <c r="H646" s="4" t="str">
        <f t="shared" si="30"/>
        <v>MCI-01271|MCI-01289</v>
      </c>
      <c r="I646" s="4" t="str">
        <f t="shared" si="31"/>
        <v>a1O3p000003UpXyEAK</v>
      </c>
      <c r="J646" s="6" t="s">
        <v>2535</v>
      </c>
      <c r="K646" s="6" t="s">
        <v>2536</v>
      </c>
      <c r="L646" s="6" t="s">
        <v>512</v>
      </c>
      <c r="M646" s="4" t="s">
        <v>663</v>
      </c>
    </row>
    <row r="647" spans="1:13">
      <c r="A647" s="4" t="s">
        <v>2376</v>
      </c>
      <c r="B647" s="4" t="s">
        <v>2847</v>
      </c>
      <c r="C647" s="4" t="str">
        <f>CHOOSE(Translations!$C$1+1,J647,K647,L647,)</f>
        <v>No aplicable</v>
      </c>
      <c r="D647" s="4"/>
      <c r="E647" s="4" t="s">
        <v>2240</v>
      </c>
      <c r="F647" s="6" t="s">
        <v>2848</v>
      </c>
      <c r="G647" s="4" t="str">
        <f t="shared" si="29"/>
        <v>MCI-01272|No aplicable</v>
      </c>
      <c r="H647" s="4" t="str">
        <f t="shared" si="30"/>
        <v>MCI-01272|MCI-01290</v>
      </c>
      <c r="I647" s="4" t="str">
        <f t="shared" si="31"/>
        <v>a1O3p000003UpY3EAK</v>
      </c>
      <c r="J647" s="6" t="s">
        <v>2535</v>
      </c>
      <c r="K647" s="6" t="s">
        <v>2536</v>
      </c>
      <c r="L647" s="6" t="s">
        <v>512</v>
      </c>
      <c r="M647" s="4" t="s">
        <v>663</v>
      </c>
    </row>
    <row r="648" spans="1:13">
      <c r="A648" s="4" t="s">
        <v>2376</v>
      </c>
      <c r="B648" s="4" t="s">
        <v>2849</v>
      </c>
      <c r="C648" s="4" t="str">
        <f>CHOOSE(Translations!$C$1+1,J648,K648,L648,)</f>
        <v>No aplicable</v>
      </c>
      <c r="D648" s="4"/>
      <c r="E648" s="4" t="s">
        <v>2275</v>
      </c>
      <c r="F648" s="6" t="s">
        <v>2850</v>
      </c>
      <c r="G648" s="4" t="str">
        <f t="shared" si="29"/>
        <v>MCI-01273|No aplicable</v>
      </c>
      <c r="H648" s="4" t="str">
        <f t="shared" si="30"/>
        <v>MCI-01273|MCI-01291</v>
      </c>
      <c r="I648" s="4" t="str">
        <f t="shared" si="31"/>
        <v>a1O3p000003UpVyEAK</v>
      </c>
      <c r="J648" s="6" t="s">
        <v>2535</v>
      </c>
      <c r="K648" s="6" t="s">
        <v>2536</v>
      </c>
      <c r="L648" s="6" t="s">
        <v>512</v>
      </c>
      <c r="M648" s="4" t="s">
        <v>663</v>
      </c>
    </row>
    <row r="649" spans="1:13">
      <c r="A649" s="4" t="s">
        <v>2376</v>
      </c>
      <c r="B649" s="4" t="s">
        <v>2851</v>
      </c>
      <c r="C649" s="4" t="str">
        <f>CHOOSE(Translations!$C$1+1,J649,K649,L649,)</f>
        <v>No aplicable</v>
      </c>
      <c r="D649" s="4"/>
      <c r="E649" s="4" t="s">
        <v>2230</v>
      </c>
      <c r="F649" s="6" t="s">
        <v>2852</v>
      </c>
      <c r="G649" s="4" t="str">
        <f t="shared" si="29"/>
        <v>MCI-01274|No aplicable</v>
      </c>
      <c r="H649" s="4" t="str">
        <f t="shared" si="30"/>
        <v>MCI-01274|MCI-01292</v>
      </c>
      <c r="I649" s="4" t="str">
        <f t="shared" si="31"/>
        <v>a1O3p000003UpY8EAK</v>
      </c>
      <c r="J649" s="6" t="s">
        <v>2535</v>
      </c>
      <c r="K649" s="6" t="s">
        <v>2536</v>
      </c>
      <c r="L649" s="6" t="s">
        <v>512</v>
      </c>
      <c r="M649" s="4" t="s">
        <v>663</v>
      </c>
    </row>
    <row r="650" spans="1:13">
      <c r="A650" s="4" t="s">
        <v>2376</v>
      </c>
      <c r="B650" s="4" t="s">
        <v>2853</v>
      </c>
      <c r="C650" s="4" t="str">
        <f>CHOOSE(Translations!$C$1+1,J650,K650,L650,)</f>
        <v>No aplicable</v>
      </c>
      <c r="D650" s="4"/>
      <c r="E650" s="4" t="s">
        <v>2225</v>
      </c>
      <c r="F650" s="6" t="s">
        <v>2854</v>
      </c>
      <c r="G650" s="4" t="str">
        <f t="shared" si="29"/>
        <v>MCI-01275|No aplicable</v>
      </c>
      <c r="H650" s="4" t="str">
        <f t="shared" si="30"/>
        <v>MCI-01275|MCI-01293</v>
      </c>
      <c r="I650" s="4" t="str">
        <f t="shared" si="31"/>
        <v>a1O3p000003UpYDEA0</v>
      </c>
      <c r="J650" s="6" t="s">
        <v>2535</v>
      </c>
      <c r="K650" s="6" t="s">
        <v>2536</v>
      </c>
      <c r="L650" s="6" t="s">
        <v>512</v>
      </c>
      <c r="M650" s="4" t="s">
        <v>663</v>
      </c>
    </row>
    <row r="651" spans="1:13">
      <c r="A651" s="4" t="s">
        <v>2376</v>
      </c>
      <c r="B651" s="4" t="s">
        <v>2855</v>
      </c>
      <c r="C651" s="4" t="str">
        <f>CHOOSE(Translations!$C$1+1,J651,K651,L651,)</f>
        <v>No aplicable</v>
      </c>
      <c r="D651" s="4"/>
      <c r="E651" s="4" t="s">
        <v>2235</v>
      </c>
      <c r="F651" s="6" t="s">
        <v>2856</v>
      </c>
      <c r="G651" s="4" t="str">
        <f t="shared" si="29"/>
        <v>MCI-01276|No aplicable</v>
      </c>
      <c r="H651" s="4" t="str">
        <f t="shared" si="30"/>
        <v>MCI-01276|MCI-01294</v>
      </c>
      <c r="I651" s="4" t="str">
        <f t="shared" si="31"/>
        <v>a1O3p000003UpVeEAK</v>
      </c>
      <c r="J651" s="6" t="s">
        <v>2535</v>
      </c>
      <c r="K651" s="6" t="s">
        <v>2536</v>
      </c>
      <c r="L651" s="6" t="s">
        <v>512</v>
      </c>
      <c r="M651" s="4" t="s">
        <v>663</v>
      </c>
    </row>
    <row r="652" spans="1:13">
      <c r="A652" s="4" t="s">
        <v>2376</v>
      </c>
      <c r="B652" s="4" t="s">
        <v>2857</v>
      </c>
      <c r="C652" s="4" t="str">
        <f>CHOOSE(Translations!$C$1+1,J652,K652,L652,)</f>
        <v>No aplicable</v>
      </c>
      <c r="D652" s="4"/>
      <c r="E652" s="4" t="s">
        <v>2220</v>
      </c>
      <c r="F652" s="6" t="s">
        <v>2858</v>
      </c>
      <c r="G652" s="4" t="str">
        <f t="shared" si="29"/>
        <v>MCI-01277|No aplicable</v>
      </c>
      <c r="H652" s="4" t="str">
        <f t="shared" si="30"/>
        <v>MCI-01277|MCI-01295</v>
      </c>
      <c r="I652" s="4" t="str">
        <f t="shared" si="31"/>
        <v>a1O3p000003UpYIEA0</v>
      </c>
      <c r="J652" s="6" t="s">
        <v>2535</v>
      </c>
      <c r="K652" s="6" t="s">
        <v>2536</v>
      </c>
      <c r="L652" s="6" t="s">
        <v>512</v>
      </c>
      <c r="M652" s="4" t="s">
        <v>663</v>
      </c>
    </row>
    <row r="655" spans="1:13">
      <c r="A655" s="8" t="s">
        <v>2859</v>
      </c>
    </row>
    <row r="656" spans="1:13">
      <c r="A656" s="4" t="s">
        <v>2373</v>
      </c>
      <c r="B656" s="4" t="s">
        <v>341</v>
      </c>
      <c r="C656" s="4" t="s">
        <v>636</v>
      </c>
      <c r="D656" s="4" t="s">
        <v>644</v>
      </c>
      <c r="E656" s="4" t="s">
        <v>988</v>
      </c>
      <c r="F656" s="4" t="s">
        <v>1450</v>
      </c>
      <c r="G656" s="4" t="s">
        <v>645</v>
      </c>
      <c r="H656" s="4" t="s">
        <v>646</v>
      </c>
      <c r="I656" s="4" t="s">
        <v>647</v>
      </c>
    </row>
    <row r="657" spans="1:9" hidden="1">
      <c r="A657" s="4" t="s">
        <v>2374</v>
      </c>
      <c r="B657" s="4" t="s">
        <v>345</v>
      </c>
      <c r="C657" s="4" t="str">
        <f>CHOOSE(Translations!$C$1+1,G657,H657,I657)</f>
        <v>[Name - ES]</v>
      </c>
      <c r="D657" s="4" t="s">
        <v>654</v>
      </c>
      <c r="E657" s="6" t="s">
        <v>996</v>
      </c>
      <c r="F657" s="4" t="s">
        <v>995</v>
      </c>
      <c r="G657" s="6" t="s">
        <v>2860</v>
      </c>
      <c r="H657" s="6" t="s">
        <v>1453</v>
      </c>
      <c r="I657" s="6" t="s">
        <v>1454</v>
      </c>
    </row>
    <row r="658" spans="1:9">
      <c r="A658" s="4" t="s">
        <v>2376</v>
      </c>
      <c r="B658" s="4" t="s">
        <v>2861</v>
      </c>
      <c r="C658" s="4" t="str">
        <f>CHOOSE(Translations!$C$1+1,G658,H658,I658)</f>
        <v>Hombres en entornos de alta prevalencia</v>
      </c>
      <c r="D658" s="4" t="s">
        <v>663</v>
      </c>
      <c r="E658" s="6" t="s">
        <v>2862</v>
      </c>
      <c r="F658" s="4" t="s">
        <v>1060</v>
      </c>
      <c r="G658" s="6" t="s">
        <v>2379</v>
      </c>
      <c r="H658" s="6" t="s">
        <v>2380</v>
      </c>
      <c r="I658" s="6" t="s">
        <v>2381</v>
      </c>
    </row>
    <row r="659" spans="1:9">
      <c r="A659" s="4" t="s">
        <v>2376</v>
      </c>
      <c r="B659" s="4" t="s">
        <v>2863</v>
      </c>
      <c r="C659" s="4" t="str">
        <f>CHOOSE(Translations!$C$1+1,G659,H659,I659)</f>
        <v>HSH</v>
      </c>
      <c r="D659" s="4" t="s">
        <v>663</v>
      </c>
      <c r="E659" s="6" t="s">
        <v>2864</v>
      </c>
      <c r="F659" s="4" t="s">
        <v>1000</v>
      </c>
      <c r="G659" s="6" t="s">
        <v>2384</v>
      </c>
      <c r="H659" s="6" t="s">
        <v>2385</v>
      </c>
      <c r="I659" s="6" t="s">
        <v>505</v>
      </c>
    </row>
    <row r="660" spans="1:9">
      <c r="A660" s="4" t="s">
        <v>2376</v>
      </c>
      <c r="B660" s="4" t="s">
        <v>2865</v>
      </c>
      <c r="C660" s="4" t="str">
        <f>CHOOSE(Translations!$C$1+1,G660,H660,I660)</f>
        <v>Personas transgénero</v>
      </c>
      <c r="D660" s="4" t="s">
        <v>663</v>
      </c>
      <c r="E660" s="6" t="s">
        <v>2866</v>
      </c>
      <c r="F660" s="4" t="s">
        <v>1007</v>
      </c>
      <c r="G660" s="6" t="s">
        <v>2393</v>
      </c>
      <c r="H660" s="6" t="s">
        <v>2394</v>
      </c>
      <c r="I660" s="6" t="s">
        <v>2395</v>
      </c>
    </row>
    <row r="661" spans="1:9">
      <c r="A661" s="4" t="s">
        <v>2376</v>
      </c>
      <c r="B661" s="4" t="s">
        <v>2867</v>
      </c>
      <c r="C661" s="4" t="str">
        <f>CHOOSE(Translations!$C$1+1,G661,H661,I661)</f>
        <v>Trabajadores sexuales y sus clientes</v>
      </c>
      <c r="D661" s="4" t="s">
        <v>663</v>
      </c>
      <c r="E661" s="6" t="s">
        <v>2868</v>
      </c>
      <c r="F661" s="4" t="s">
        <v>1012</v>
      </c>
      <c r="G661" s="6" t="s">
        <v>2388</v>
      </c>
      <c r="H661" s="6" t="s">
        <v>2389</v>
      </c>
      <c r="I661" s="6" t="s">
        <v>2390</v>
      </c>
    </row>
    <row r="662" spans="1:9">
      <c r="A662" s="4" t="s">
        <v>2376</v>
      </c>
      <c r="B662" s="4" t="s">
        <v>2869</v>
      </c>
      <c r="C662" s="4" t="str">
        <f>CHOOSE(Translations!$C$1+1,G662,H662,I662)</f>
        <v>Consumidores de drogas inyectables y sus parejas</v>
      </c>
      <c r="D662" s="4" t="s">
        <v>663</v>
      </c>
      <c r="E662" s="6" t="s">
        <v>2870</v>
      </c>
      <c r="F662" s="4" t="s">
        <v>1017</v>
      </c>
      <c r="G662" s="6" t="s">
        <v>2398</v>
      </c>
      <c r="H662" s="6" t="s">
        <v>2399</v>
      </c>
      <c r="I662" s="6" t="s">
        <v>2400</v>
      </c>
    </row>
    <row r="663" spans="1:9">
      <c r="A663" s="4" t="s">
        <v>2376</v>
      </c>
      <c r="B663" s="4" t="s">
        <v>2871</v>
      </c>
      <c r="C663" s="4" t="str">
        <f>CHOOSE(Translations!$C$1+1,G663,H663,I663)</f>
        <v>Otras poblaciones vulnerables</v>
      </c>
      <c r="D663" s="4" t="s">
        <v>663</v>
      </c>
      <c r="E663" s="6" t="s">
        <v>2872</v>
      </c>
      <c r="F663" s="4" t="s">
        <v>1023</v>
      </c>
      <c r="G663" s="6" t="s">
        <v>2408</v>
      </c>
      <c r="H663" s="6" t="s">
        <v>2409</v>
      </c>
      <c r="I663" s="6" t="s">
        <v>2410</v>
      </c>
    </row>
    <row r="664" spans="1:9">
      <c r="A664" s="4" t="s">
        <v>2376</v>
      </c>
      <c r="B664" s="4" t="s">
        <v>2873</v>
      </c>
      <c r="C664" s="4" t="str">
        <f>CHOOSE(Translations!$C$1+1,G664,H664,I664)</f>
        <v>Personas privadas de libertad en centros penitenciarios y otros lugares de reclusión</v>
      </c>
      <c r="D664" s="4" t="s">
        <v>663</v>
      </c>
      <c r="E664" s="6" t="s">
        <v>2874</v>
      </c>
      <c r="F664" s="4" t="s">
        <v>1028</v>
      </c>
      <c r="G664" s="6" t="s">
        <v>2403</v>
      </c>
      <c r="H664" s="6" t="s">
        <v>2404</v>
      </c>
      <c r="I664" s="6" t="s">
        <v>2405</v>
      </c>
    </row>
    <row r="665" spans="1:9">
      <c r="A665" s="4" t="s">
        <v>2376</v>
      </c>
      <c r="B665" s="4" t="s">
        <v>2875</v>
      </c>
      <c r="C665" s="4" t="str">
        <f>CHOOSE(Translations!$C$1+1,G665,H665,I665)</f>
        <v>Consumidores de drogas inyectables y sus parejas</v>
      </c>
      <c r="D665" s="4" t="s">
        <v>663</v>
      </c>
      <c r="E665" s="6" t="s">
        <v>2876</v>
      </c>
      <c r="F665" s="4" t="s">
        <v>1033</v>
      </c>
      <c r="G665" s="6" t="s">
        <v>2398</v>
      </c>
      <c r="H665" s="6" t="s">
        <v>2399</v>
      </c>
      <c r="I665" s="6" t="s">
        <v>2400</v>
      </c>
    </row>
    <row r="666" spans="1:9">
      <c r="A666" s="4" t="s">
        <v>2376</v>
      </c>
      <c r="B666" s="4" t="s">
        <v>2877</v>
      </c>
      <c r="C666" s="4" t="str">
        <f>CHOOSE(Translations!$C$1+1,G666,H666,I666)</f>
        <v>Consumidores de drogas inyectables y sus parejas</v>
      </c>
      <c r="D666" s="4" t="s">
        <v>663</v>
      </c>
      <c r="E666" s="6" t="s">
        <v>2878</v>
      </c>
      <c r="F666" s="4" t="s">
        <v>1039</v>
      </c>
      <c r="G666" s="6" t="s">
        <v>2398</v>
      </c>
      <c r="H666" s="6" t="s">
        <v>2399</v>
      </c>
      <c r="I666" s="6" t="s">
        <v>2400</v>
      </c>
    </row>
    <row r="667" spans="1:9">
      <c r="A667" s="4" t="s">
        <v>2376</v>
      </c>
      <c r="B667" s="4" t="s">
        <v>2879</v>
      </c>
      <c r="C667" s="4" t="str">
        <f>CHOOSE(Translations!$C$1+1,G667,H667,I667)</f>
        <v>HSH</v>
      </c>
      <c r="D667" s="4" t="s">
        <v>663</v>
      </c>
      <c r="E667" s="6" t="s">
        <v>2880</v>
      </c>
      <c r="F667" s="4" t="s">
        <v>1045</v>
      </c>
      <c r="G667" s="6" t="s">
        <v>2384</v>
      </c>
      <c r="H667" s="6" t="s">
        <v>2385</v>
      </c>
      <c r="I667" s="6" t="s">
        <v>505</v>
      </c>
    </row>
    <row r="668" spans="1:9">
      <c r="A668" s="4" t="s">
        <v>2376</v>
      </c>
      <c r="B668" s="4" t="s">
        <v>2881</v>
      </c>
      <c r="C668" s="4" t="str">
        <f>CHOOSE(Translations!$C$1+1,G668,H668,I668)</f>
        <v>Personas transgénero</v>
      </c>
      <c r="D668" s="4" t="s">
        <v>663</v>
      </c>
      <c r="E668" s="6" t="s">
        <v>2882</v>
      </c>
      <c r="F668" s="4" t="s">
        <v>1050</v>
      </c>
      <c r="G668" s="6" t="s">
        <v>2393</v>
      </c>
      <c r="H668" s="6" t="s">
        <v>2394</v>
      </c>
      <c r="I668" s="6" t="s">
        <v>2395</v>
      </c>
    </row>
    <row r="669" spans="1:9">
      <c r="A669" s="4" t="s">
        <v>2376</v>
      </c>
      <c r="B669" s="4" t="s">
        <v>2883</v>
      </c>
      <c r="C669" s="4" t="str">
        <f>CHOOSE(Translations!$C$1+1,G669,H669,I669)</f>
        <v>Trabajadores sexuales y sus clientes</v>
      </c>
      <c r="D669" s="4" t="s">
        <v>663</v>
      </c>
      <c r="E669" s="6" t="s">
        <v>2884</v>
      </c>
      <c r="F669" s="4" t="s">
        <v>1055</v>
      </c>
      <c r="G669" s="6" t="s">
        <v>2388</v>
      </c>
      <c r="H669" s="6" t="s">
        <v>2389</v>
      </c>
      <c r="I669" s="6" t="s">
        <v>2390</v>
      </c>
    </row>
    <row r="670" spans="1:9">
      <c r="A670" s="4" t="s">
        <v>2376</v>
      </c>
      <c r="B670" s="4" t="s">
        <v>2885</v>
      </c>
      <c r="C670" s="4" t="str">
        <f>CHOOSE(Translations!$C$1+1,G670,H670,I670)</f>
        <v>Niñas adolescentes y mujeres jóvenes en entornos de alta prevalencia</v>
      </c>
      <c r="D670" s="4" t="s">
        <v>663</v>
      </c>
      <c r="E670" s="6" t="s">
        <v>2886</v>
      </c>
      <c r="F670" s="4" t="s">
        <v>1065</v>
      </c>
      <c r="G670" s="6" t="s">
        <v>2413</v>
      </c>
      <c r="H670" s="6" t="s">
        <v>2414</v>
      </c>
      <c r="I670" s="6" t="s">
        <v>2415</v>
      </c>
    </row>
    <row r="671" spans="1:9">
      <c r="A671" s="4" t="s">
        <v>2376</v>
      </c>
      <c r="B671" s="4" t="s">
        <v>2887</v>
      </c>
      <c r="C671" s="4" t="str">
        <f>CHOOSE(Translations!$C$1+1,G671,H671,I671)</f>
        <v>Niñas adolescentes y mujeres jóvenes en entornos de alta prevalencia</v>
      </c>
      <c r="D671" s="4" t="s">
        <v>663</v>
      </c>
      <c r="E671" s="6" t="s">
        <v>2888</v>
      </c>
      <c r="F671" s="4" t="s">
        <v>1070</v>
      </c>
      <c r="G671" s="6" t="s">
        <v>2413</v>
      </c>
      <c r="H671" s="6" t="s">
        <v>2414</v>
      </c>
      <c r="I671" s="6" t="s">
        <v>2415</v>
      </c>
    </row>
    <row r="672" spans="1:9">
      <c r="A672" s="4" t="s">
        <v>2376</v>
      </c>
      <c r="B672" s="4" t="s">
        <v>2889</v>
      </c>
      <c r="C672" s="4" t="str">
        <f>CHOOSE(Translations!$C$1+1,G672,H672,I672)</f>
        <v>Niñas adolescentes y mujeres jóvenes en entornos de alta prevalencia</v>
      </c>
      <c r="D672" s="4" t="s">
        <v>663</v>
      </c>
      <c r="E672" s="6" t="s">
        <v>2890</v>
      </c>
      <c r="F672" s="4" t="s">
        <v>1075</v>
      </c>
      <c r="G672" s="6" t="s">
        <v>2413</v>
      </c>
      <c r="H672" s="6" t="s">
        <v>2414</v>
      </c>
      <c r="I672" s="6" t="s">
        <v>2415</v>
      </c>
    </row>
    <row r="673" spans="1:9">
      <c r="A673" s="4" t="s">
        <v>2376</v>
      </c>
      <c r="B673" s="4" t="s">
        <v>2891</v>
      </c>
      <c r="C673" s="4" t="str">
        <f>CHOOSE(Translations!$C$1+1,G673,H673,I673)</f>
        <v>Niñas adolescentes y mujeres jóvenes en entornos de alta prevalencia</v>
      </c>
      <c r="D673" s="4" t="s">
        <v>663</v>
      </c>
      <c r="E673" s="6" t="s">
        <v>2892</v>
      </c>
      <c r="F673" s="4" t="s">
        <v>1080</v>
      </c>
      <c r="G673" s="6" t="s">
        <v>2413</v>
      </c>
      <c r="H673" s="6" t="s">
        <v>2414</v>
      </c>
      <c r="I673" s="6" t="s">
        <v>2415</v>
      </c>
    </row>
    <row r="674" spans="1:9">
      <c r="A674" s="4" t="s">
        <v>2376</v>
      </c>
      <c r="B674" s="4" t="s">
        <v>2893</v>
      </c>
      <c r="C674" s="4" t="str">
        <f>CHOOSE(Translations!$C$1+1,G674,H674,I674)</f>
        <v>No aplicable</v>
      </c>
      <c r="D674" s="4" t="s">
        <v>663</v>
      </c>
      <c r="E674" s="6" t="s">
        <v>2894</v>
      </c>
      <c r="F674" s="4" t="s">
        <v>1086</v>
      </c>
      <c r="G674" s="6" t="s">
        <v>2535</v>
      </c>
      <c r="H674" s="6" t="s">
        <v>2536</v>
      </c>
      <c r="I674" s="6" t="s">
        <v>512</v>
      </c>
    </row>
    <row r="675" spans="1:9">
      <c r="A675" s="4" t="s">
        <v>2376</v>
      </c>
      <c r="B675" s="4" t="s">
        <v>2895</v>
      </c>
      <c r="C675" s="4" t="str">
        <f>CHOOSE(Translations!$C$1+1,G675,H675,I675)</f>
        <v>No aplicable</v>
      </c>
      <c r="D675" s="4" t="s">
        <v>663</v>
      </c>
      <c r="E675" s="6" t="s">
        <v>2896</v>
      </c>
      <c r="F675" s="4" t="s">
        <v>1095</v>
      </c>
      <c r="G675" s="6" t="s">
        <v>2535</v>
      </c>
      <c r="H675" s="6" t="s">
        <v>2536</v>
      </c>
      <c r="I675" s="6" t="s">
        <v>512</v>
      </c>
    </row>
    <row r="676" spans="1:9">
      <c r="A676" s="4" t="s">
        <v>2376</v>
      </c>
      <c r="B676" s="4" t="s">
        <v>2897</v>
      </c>
      <c r="C676" s="4" t="str">
        <f>CHOOSE(Translations!$C$1+1,G676,H676,I676)</f>
        <v>No aplicable</v>
      </c>
      <c r="D676" s="4" t="s">
        <v>663</v>
      </c>
      <c r="E676" s="6" t="s">
        <v>2898</v>
      </c>
      <c r="F676" s="4" t="s">
        <v>1101</v>
      </c>
      <c r="G676" s="6" t="s">
        <v>2535</v>
      </c>
      <c r="H676" s="6" t="s">
        <v>2536</v>
      </c>
      <c r="I676" s="6" t="s">
        <v>512</v>
      </c>
    </row>
    <row r="677" spans="1:9">
      <c r="A677" s="4" t="s">
        <v>2376</v>
      </c>
      <c r="B677" s="4" t="s">
        <v>2899</v>
      </c>
      <c r="C677" s="4" t="str">
        <f>CHOOSE(Translations!$C$1+1,G677,H677,I677)</f>
        <v>No aplicable</v>
      </c>
      <c r="D677" s="4" t="s">
        <v>663</v>
      </c>
      <c r="E677" s="6" t="s">
        <v>2900</v>
      </c>
      <c r="F677" s="4" t="s">
        <v>1106</v>
      </c>
      <c r="G677" s="6" t="s">
        <v>2535</v>
      </c>
      <c r="H677" s="6" t="s">
        <v>2536</v>
      </c>
      <c r="I677" s="6" t="s">
        <v>512</v>
      </c>
    </row>
    <row r="678" spans="1:9">
      <c r="A678" s="4" t="s">
        <v>2376</v>
      </c>
      <c r="B678" s="4" t="s">
        <v>2901</v>
      </c>
      <c r="C678" s="4" t="str">
        <f>CHOOSE(Translations!$C$1+1,G678,H678,I678)</f>
        <v>Niñas adolescentes y mujeres jóvenes en entornos de alta prevalencia</v>
      </c>
      <c r="D678" s="4" t="s">
        <v>663</v>
      </c>
      <c r="E678" s="6" t="s">
        <v>2902</v>
      </c>
      <c r="F678" s="4" t="s">
        <v>1112</v>
      </c>
      <c r="G678" s="6" t="s">
        <v>2413</v>
      </c>
      <c r="H678" s="6" t="s">
        <v>2414</v>
      </c>
      <c r="I678" s="6" t="s">
        <v>2415</v>
      </c>
    </row>
    <row r="679" spans="1:9">
      <c r="A679" s="4" t="s">
        <v>2376</v>
      </c>
      <c r="B679" s="4" t="s">
        <v>2903</v>
      </c>
      <c r="C679" s="4" t="str">
        <f>CHOOSE(Translations!$C$1+1,G679,H679,I679)</f>
        <v>HSH</v>
      </c>
      <c r="D679" s="4" t="s">
        <v>663</v>
      </c>
      <c r="E679" s="6" t="s">
        <v>2904</v>
      </c>
      <c r="F679" s="4" t="s">
        <v>1120</v>
      </c>
      <c r="G679" s="6" t="s">
        <v>2384</v>
      </c>
      <c r="H679" s="6" t="s">
        <v>2385</v>
      </c>
      <c r="I679" s="6" t="s">
        <v>505</v>
      </c>
    </row>
    <row r="680" spans="1:9">
      <c r="A680" s="4" t="s">
        <v>2376</v>
      </c>
      <c r="B680" s="4" t="s">
        <v>2905</v>
      </c>
      <c r="C680" s="4" t="str">
        <f>CHOOSE(Translations!$C$1+1,G680,H680,I680)</f>
        <v>Personas transgénero</v>
      </c>
      <c r="D680" s="4" t="s">
        <v>663</v>
      </c>
      <c r="E680" s="6" t="s">
        <v>2906</v>
      </c>
      <c r="F680" s="4" t="s">
        <v>1125</v>
      </c>
      <c r="G680" s="6" t="s">
        <v>2393</v>
      </c>
      <c r="H680" s="6" t="s">
        <v>2394</v>
      </c>
      <c r="I680" s="6" t="s">
        <v>2395</v>
      </c>
    </row>
    <row r="681" spans="1:9">
      <c r="A681" s="4" t="s">
        <v>2376</v>
      </c>
      <c r="B681" s="4" t="s">
        <v>2907</v>
      </c>
      <c r="C681" s="4" t="str">
        <f>CHOOSE(Translations!$C$1+1,G681,H681,I681)</f>
        <v>Trabajadores sexuales y sus clientes</v>
      </c>
      <c r="D681" s="4" t="s">
        <v>663</v>
      </c>
      <c r="E681" s="6" t="s">
        <v>2908</v>
      </c>
      <c r="F681" s="4" t="s">
        <v>1130</v>
      </c>
      <c r="G681" s="6" t="s">
        <v>2388</v>
      </c>
      <c r="H681" s="6" t="s">
        <v>2389</v>
      </c>
      <c r="I681" s="6" t="s">
        <v>2390</v>
      </c>
    </row>
    <row r="682" spans="1:9">
      <c r="A682" s="4" t="s">
        <v>2376</v>
      </c>
      <c r="B682" s="4" t="s">
        <v>2909</v>
      </c>
      <c r="C682" s="4" t="str">
        <f>CHOOSE(Translations!$C$1+1,G682,H682,I682)</f>
        <v>Consumidores de drogas inyectables y sus parejas</v>
      </c>
      <c r="D682" s="4" t="s">
        <v>663</v>
      </c>
      <c r="E682" s="6" t="s">
        <v>2910</v>
      </c>
      <c r="F682" s="4" t="s">
        <v>1138</v>
      </c>
      <c r="G682" s="6" t="s">
        <v>2398</v>
      </c>
      <c r="H682" s="6" t="s">
        <v>2399</v>
      </c>
      <c r="I682" s="6" t="s">
        <v>2400</v>
      </c>
    </row>
    <row r="683" spans="1:9">
      <c r="A683" s="4" t="s">
        <v>2376</v>
      </c>
      <c r="B683" s="4" t="s">
        <v>2911</v>
      </c>
      <c r="C683" s="4" t="str">
        <f>CHOOSE(Translations!$C$1+1,G683,H683,I683)</f>
        <v>Otras poblaciones vulnerables</v>
      </c>
      <c r="D683" s="4" t="s">
        <v>663</v>
      </c>
      <c r="E683" s="6" t="s">
        <v>2912</v>
      </c>
      <c r="F683" s="4" t="s">
        <v>1143</v>
      </c>
      <c r="G683" s="6" t="s">
        <v>2408</v>
      </c>
      <c r="H683" s="6" t="s">
        <v>2409</v>
      </c>
      <c r="I683" s="6" t="s">
        <v>2410</v>
      </c>
    </row>
    <row r="684" spans="1:9">
      <c r="A684" s="4" t="s">
        <v>2376</v>
      </c>
      <c r="B684" s="4" t="s">
        <v>2913</v>
      </c>
      <c r="C684" s="4" t="str">
        <f>CHOOSE(Translations!$C$1+1,G684,H684,I684)</f>
        <v>Personas privadas de libertad en centros penitenciarios y otros lugares de reclusión</v>
      </c>
      <c r="D684" s="4" t="s">
        <v>663</v>
      </c>
      <c r="E684" s="6" t="s">
        <v>2914</v>
      </c>
      <c r="F684" s="4" t="s">
        <v>1148</v>
      </c>
      <c r="G684" s="6" t="s">
        <v>2403</v>
      </c>
      <c r="H684" s="6" t="s">
        <v>2404</v>
      </c>
      <c r="I684" s="6" t="s">
        <v>2405</v>
      </c>
    </row>
    <row r="685" spans="1:9">
      <c r="A685" s="4" t="s">
        <v>2376</v>
      </c>
      <c r="B685" s="4" t="s">
        <v>2915</v>
      </c>
      <c r="C685" s="4" t="str">
        <f>CHOOSE(Translations!$C$1+1,G685,H685,I685)</f>
        <v>Grupos de población no específicos</v>
      </c>
      <c r="D685" s="4" t="s">
        <v>663</v>
      </c>
      <c r="E685" s="6" t="s">
        <v>2916</v>
      </c>
      <c r="F685" s="4" t="s">
        <v>1153</v>
      </c>
      <c r="G685" s="6" t="s">
        <v>2528</v>
      </c>
      <c r="H685" s="6" t="s">
        <v>2529</v>
      </c>
      <c r="I685" s="6" t="s">
        <v>2530</v>
      </c>
    </row>
    <row r="686" spans="1:9">
      <c r="A686" s="4" t="s">
        <v>2376</v>
      </c>
      <c r="B686" s="4" t="s">
        <v>2917</v>
      </c>
      <c r="C686" s="4" t="str">
        <f>CHOOSE(Translations!$C$1+1,G686,H686,I686)</f>
        <v>Grupos de población no específicos</v>
      </c>
      <c r="D686" s="4" t="s">
        <v>663</v>
      </c>
      <c r="E686" s="6" t="s">
        <v>2918</v>
      </c>
      <c r="F686" s="4" t="s">
        <v>1161</v>
      </c>
      <c r="G686" s="6" t="s">
        <v>2528</v>
      </c>
      <c r="H686" s="6" t="s">
        <v>2529</v>
      </c>
      <c r="I686" s="6" t="s">
        <v>2530</v>
      </c>
    </row>
    <row r="687" spans="1:9">
      <c r="A687" s="4" t="s">
        <v>2376</v>
      </c>
      <c r="B687" s="4" t="s">
        <v>2919</v>
      </c>
      <c r="C687" s="4" t="str">
        <f>CHOOSE(Translations!$C$1+1,G687,H687,I687)</f>
        <v>Todas las personas que viven con el VIH</v>
      </c>
      <c r="D687" s="4" t="s">
        <v>663</v>
      </c>
      <c r="E687" s="6" t="s">
        <v>2920</v>
      </c>
      <c r="F687" s="4" t="s">
        <v>1170</v>
      </c>
      <c r="G687" s="6" t="s">
        <v>2606</v>
      </c>
      <c r="H687" s="6" t="s">
        <v>2607</v>
      </c>
      <c r="I687" s="6" t="s">
        <v>2608</v>
      </c>
    </row>
    <row r="688" spans="1:9">
      <c r="A688" s="4" t="s">
        <v>2376</v>
      </c>
      <c r="B688" s="4" t="s">
        <v>2921</v>
      </c>
      <c r="C688" s="4" t="str">
        <f>CHOOSE(Translations!$C$1+1,G688,H688,I688)</f>
        <v>Personas adultas que viven con el VIH (15 años o más)</v>
      </c>
      <c r="D688" s="4" t="s">
        <v>663</v>
      </c>
      <c r="E688" s="6" t="s">
        <v>2922</v>
      </c>
      <c r="F688" s="4" t="s">
        <v>1178</v>
      </c>
      <c r="G688" s="6" t="s">
        <v>2611</v>
      </c>
      <c r="H688" s="6" t="s">
        <v>2612</v>
      </c>
      <c r="I688" s="6" t="s">
        <v>2613</v>
      </c>
    </row>
    <row r="689" spans="1:9">
      <c r="A689" s="4" t="s">
        <v>2376</v>
      </c>
      <c r="B689" s="4" t="s">
        <v>2923</v>
      </c>
      <c r="C689" s="4" t="str">
        <f>CHOOSE(Translations!$C$1+1,G689,H689,I689)</f>
        <v>Niños y niñas que viven con el VIH (menores de 15 años)</v>
      </c>
      <c r="D689" s="4" t="s">
        <v>663</v>
      </c>
      <c r="E689" s="6" t="s">
        <v>2924</v>
      </c>
      <c r="F689" s="4" t="s">
        <v>1186</v>
      </c>
      <c r="G689" s="6" t="s">
        <v>2616</v>
      </c>
      <c r="H689" s="6" t="s">
        <v>2617</v>
      </c>
      <c r="I689" s="6" t="s">
        <v>2618</v>
      </c>
    </row>
    <row r="690" spans="1:9">
      <c r="A690" s="4" t="s">
        <v>2376</v>
      </c>
      <c r="B690" s="4" t="s">
        <v>2925</v>
      </c>
      <c r="C690" s="4" t="str">
        <f>CHOOSE(Translations!$C$1+1,G690,H690,I690)</f>
        <v>No aplicable</v>
      </c>
      <c r="D690" s="4" t="s">
        <v>663</v>
      </c>
      <c r="E690" s="6" t="s">
        <v>2926</v>
      </c>
      <c r="F690" s="4" t="s">
        <v>1195</v>
      </c>
      <c r="G690" s="6" t="s">
        <v>2535</v>
      </c>
      <c r="H690" s="6" t="s">
        <v>2536</v>
      </c>
      <c r="I690" s="6" t="s">
        <v>512</v>
      </c>
    </row>
    <row r="691" spans="1:9">
      <c r="A691" s="4" t="s">
        <v>2376</v>
      </c>
      <c r="B691" s="4" t="s">
        <v>2927</v>
      </c>
      <c r="C691" s="4" t="str">
        <f>CHOOSE(Translations!$C$1+1,G691,H691,I691)</f>
        <v>No aplicable</v>
      </c>
      <c r="D691" s="4" t="s">
        <v>663</v>
      </c>
      <c r="E691" s="6" t="s">
        <v>2928</v>
      </c>
      <c r="F691" s="4" t="s">
        <v>1203</v>
      </c>
      <c r="G691" s="6" t="s">
        <v>2535</v>
      </c>
      <c r="H691" s="6" t="s">
        <v>2536</v>
      </c>
      <c r="I691" s="6" t="s">
        <v>512</v>
      </c>
    </row>
    <row r="692" spans="1:9">
      <c r="A692" s="4" t="s">
        <v>2376</v>
      </c>
      <c r="B692" s="4" t="s">
        <v>2929</v>
      </c>
      <c r="C692" s="4" t="str">
        <f>CHOOSE(Translations!$C$1+1,G692,H692,I692)</f>
        <v>No aplicable</v>
      </c>
      <c r="D692" s="4" t="s">
        <v>663</v>
      </c>
      <c r="E692" s="6" t="s">
        <v>2930</v>
      </c>
      <c r="F692" s="4" t="s">
        <v>1208</v>
      </c>
      <c r="G692" s="6" t="s">
        <v>2535</v>
      </c>
      <c r="H692" s="6" t="s">
        <v>2536</v>
      </c>
      <c r="I692" s="6" t="s">
        <v>512</v>
      </c>
    </row>
    <row r="693" spans="1:9">
      <c r="A693" s="4" t="s">
        <v>2376</v>
      </c>
      <c r="B693" s="4" t="s">
        <v>2931</v>
      </c>
      <c r="C693" s="4" t="str">
        <f>CHOOSE(Translations!$C$1+1,G693,H693,I693)</f>
        <v>No aplicable</v>
      </c>
      <c r="D693" s="4" t="s">
        <v>663</v>
      </c>
      <c r="E693" s="6" t="s">
        <v>2932</v>
      </c>
      <c r="F693" s="4" t="s">
        <v>1214</v>
      </c>
      <c r="G693" s="6" t="s">
        <v>2535</v>
      </c>
      <c r="H693" s="6" t="s">
        <v>2536</v>
      </c>
      <c r="I693" s="6" t="s">
        <v>512</v>
      </c>
    </row>
    <row r="694" spans="1:9">
      <c r="A694" s="4" t="s">
        <v>2376</v>
      </c>
      <c r="B694" s="4" t="s">
        <v>2933</v>
      </c>
      <c r="C694" s="4" t="str">
        <f>CHOOSE(Translations!$C$1+1,G694,H694,I694)</f>
        <v>No aplicable</v>
      </c>
      <c r="D694" s="4" t="s">
        <v>663</v>
      </c>
      <c r="E694" s="6" t="s">
        <v>2934</v>
      </c>
      <c r="F694" s="4" t="s">
        <v>1219</v>
      </c>
      <c r="G694" s="6" t="s">
        <v>2535</v>
      </c>
      <c r="H694" s="6" t="s">
        <v>2536</v>
      </c>
      <c r="I694" s="6" t="s">
        <v>512</v>
      </c>
    </row>
    <row r="695" spans="1:9">
      <c r="A695" s="4" t="s">
        <v>2376</v>
      </c>
      <c r="B695" s="4" t="s">
        <v>2935</v>
      </c>
      <c r="C695" s="4" t="str">
        <f>CHOOSE(Translations!$C$1+1,G695,H695,I695)</f>
        <v>No aplicable</v>
      </c>
      <c r="D695" s="4" t="s">
        <v>663</v>
      </c>
      <c r="E695" s="6" t="s">
        <v>2936</v>
      </c>
      <c r="F695" s="4" t="s">
        <v>1224</v>
      </c>
      <c r="G695" s="6" t="s">
        <v>2535</v>
      </c>
      <c r="H695" s="6" t="s">
        <v>2536</v>
      </c>
      <c r="I695" s="6" t="s">
        <v>512</v>
      </c>
    </row>
    <row r="696" spans="1:9">
      <c r="A696" s="4" t="s">
        <v>2376</v>
      </c>
      <c r="B696" s="4" t="s">
        <v>2937</v>
      </c>
      <c r="C696" s="4" t="str">
        <f>CHOOSE(Translations!$C$1+1,G696,H696,I696)</f>
        <v>No aplicable</v>
      </c>
      <c r="D696" s="4" t="s">
        <v>663</v>
      </c>
      <c r="E696" s="6" t="s">
        <v>2938</v>
      </c>
      <c r="F696" s="4" t="s">
        <v>1232</v>
      </c>
      <c r="G696" s="6" t="s">
        <v>2535</v>
      </c>
      <c r="H696" s="6" t="s">
        <v>2536</v>
      </c>
      <c r="I696" s="6" t="s">
        <v>512</v>
      </c>
    </row>
    <row r="697" spans="1:9">
      <c r="A697" s="4" t="s">
        <v>2376</v>
      </c>
      <c r="B697" s="4" t="s">
        <v>2939</v>
      </c>
      <c r="C697" s="4" t="str">
        <f>CHOOSE(Translations!$C$1+1,G697,H697,I697)</f>
        <v>No aplicable</v>
      </c>
      <c r="D697" s="4" t="s">
        <v>663</v>
      </c>
      <c r="E697" s="6" t="s">
        <v>2940</v>
      </c>
      <c r="F697" s="4" t="s">
        <v>1237</v>
      </c>
      <c r="G697" s="6" t="s">
        <v>2535</v>
      </c>
      <c r="H697" s="6" t="s">
        <v>2536</v>
      </c>
      <c r="I697" s="6" t="s">
        <v>512</v>
      </c>
    </row>
    <row r="698" spans="1:9">
      <c r="A698" s="4" t="s">
        <v>2376</v>
      </c>
      <c r="B698" s="4" t="s">
        <v>2941</v>
      </c>
      <c r="C698" s="4" t="str">
        <f>CHOOSE(Translations!$C$1+1,G698,H698,I698)</f>
        <v>No aplicable</v>
      </c>
      <c r="D698" s="4" t="s">
        <v>663</v>
      </c>
      <c r="E698" s="6" t="s">
        <v>2942</v>
      </c>
      <c r="F698" s="4" t="s">
        <v>1242</v>
      </c>
      <c r="G698" s="6" t="s">
        <v>2535</v>
      </c>
      <c r="H698" s="6" t="s">
        <v>2536</v>
      </c>
      <c r="I698" s="6" t="s">
        <v>512</v>
      </c>
    </row>
    <row r="699" spans="1:9">
      <c r="A699" s="4" t="s">
        <v>2376</v>
      </c>
      <c r="B699" s="4" t="s">
        <v>2943</v>
      </c>
      <c r="C699" s="4" t="str">
        <f>CHOOSE(Translations!$C$1+1,G699,H699,I699)</f>
        <v>No aplicable</v>
      </c>
      <c r="D699" s="4" t="s">
        <v>663</v>
      </c>
      <c r="E699" s="6" t="s">
        <v>2944</v>
      </c>
      <c r="F699" s="4" t="s">
        <v>1247</v>
      </c>
      <c r="G699" s="6" t="s">
        <v>2535</v>
      </c>
      <c r="H699" s="6" t="s">
        <v>2536</v>
      </c>
      <c r="I699" s="6" t="s">
        <v>512</v>
      </c>
    </row>
    <row r="700" spans="1:9">
      <c r="A700" s="4" t="s">
        <v>2376</v>
      </c>
      <c r="B700" s="4" t="s">
        <v>2945</v>
      </c>
      <c r="C700" s="4" t="str">
        <f>CHOOSE(Translations!$C$1+1,G700,H700,I700)</f>
        <v>No aplicable</v>
      </c>
      <c r="D700" s="4" t="s">
        <v>663</v>
      </c>
      <c r="E700" s="6" t="s">
        <v>2946</v>
      </c>
      <c r="F700" s="4" t="s">
        <v>1253</v>
      </c>
      <c r="G700" s="6" t="s">
        <v>2535</v>
      </c>
      <c r="H700" s="6" t="s">
        <v>2536</v>
      </c>
      <c r="I700" s="6" t="s">
        <v>512</v>
      </c>
    </row>
    <row r="701" spans="1:9">
      <c r="A701" s="4" t="s">
        <v>2376</v>
      </c>
      <c r="B701" s="4" t="s">
        <v>2947</v>
      </c>
      <c r="C701" s="4" t="str">
        <f>CHOOSE(Translations!$C$1+1,G701,H701,I701)</f>
        <v>No aplicable</v>
      </c>
      <c r="D701" s="4" t="s">
        <v>663</v>
      </c>
      <c r="E701" s="6" t="s">
        <v>2948</v>
      </c>
      <c r="F701" s="4" t="s">
        <v>1258</v>
      </c>
      <c r="G701" s="6" t="s">
        <v>2535</v>
      </c>
      <c r="H701" s="6" t="s">
        <v>2536</v>
      </c>
      <c r="I701" s="6" t="s">
        <v>512</v>
      </c>
    </row>
    <row r="702" spans="1:9">
      <c r="A702" s="4" t="s">
        <v>2376</v>
      </c>
      <c r="B702" s="4" t="s">
        <v>2949</v>
      </c>
      <c r="C702" s="4" t="str">
        <f>CHOOSE(Translations!$C$1+1,G702,H702,I702)</f>
        <v>No aplicable</v>
      </c>
      <c r="D702" s="4" t="s">
        <v>663</v>
      </c>
      <c r="E702" s="6" t="s">
        <v>2950</v>
      </c>
      <c r="F702" s="4" t="s">
        <v>1266</v>
      </c>
      <c r="G702" s="6" t="s">
        <v>2535</v>
      </c>
      <c r="H702" s="6" t="s">
        <v>2536</v>
      </c>
      <c r="I702" s="6" t="s">
        <v>512</v>
      </c>
    </row>
    <row r="703" spans="1:9">
      <c r="A703" s="4" t="s">
        <v>2376</v>
      </c>
      <c r="B703" s="4" t="s">
        <v>2951</v>
      </c>
      <c r="C703" s="4" t="str">
        <f>CHOOSE(Translations!$C$1+1,G703,H703,I703)</f>
        <v>No aplicable</v>
      </c>
      <c r="D703" s="4" t="s">
        <v>663</v>
      </c>
      <c r="E703" s="6" t="s">
        <v>2952</v>
      </c>
      <c r="F703" s="4" t="s">
        <v>1271</v>
      </c>
      <c r="G703" s="6" t="s">
        <v>2535</v>
      </c>
      <c r="H703" s="6" t="s">
        <v>2536</v>
      </c>
      <c r="I703" s="6" t="s">
        <v>512</v>
      </c>
    </row>
    <row r="704" spans="1:9">
      <c r="A704" s="4" t="s">
        <v>2376</v>
      </c>
      <c r="B704" s="4" t="s">
        <v>2953</v>
      </c>
      <c r="C704" s="4" t="str">
        <f>CHOOSE(Translations!$C$1+1,G704,H704,I704)</f>
        <v>No aplicable</v>
      </c>
      <c r="D704" s="4" t="s">
        <v>663</v>
      </c>
      <c r="E704" s="6" t="s">
        <v>2954</v>
      </c>
      <c r="F704" s="4" t="s">
        <v>1276</v>
      </c>
      <c r="G704" s="6" t="s">
        <v>2535</v>
      </c>
      <c r="H704" s="6" t="s">
        <v>2536</v>
      </c>
      <c r="I704" s="6" t="s">
        <v>512</v>
      </c>
    </row>
    <row r="705" spans="1:9">
      <c r="A705" s="4" t="s">
        <v>2376</v>
      </c>
      <c r="B705" s="4" t="s">
        <v>2955</v>
      </c>
      <c r="C705" s="4" t="str">
        <f>CHOOSE(Translations!$C$1+1,G705,H705,I705)</f>
        <v>No aplicable</v>
      </c>
      <c r="D705" s="4" t="s">
        <v>663</v>
      </c>
      <c r="E705" s="6" t="s">
        <v>2956</v>
      </c>
      <c r="F705" s="4" t="s">
        <v>1281</v>
      </c>
      <c r="G705" s="6" t="s">
        <v>2535</v>
      </c>
      <c r="H705" s="6" t="s">
        <v>2536</v>
      </c>
      <c r="I705" s="6" t="s">
        <v>512</v>
      </c>
    </row>
    <row r="706" spans="1:9">
      <c r="A706" s="4" t="s">
        <v>2376</v>
      </c>
      <c r="B706" s="4" t="s">
        <v>2957</v>
      </c>
      <c r="C706" s="4" t="str">
        <f>CHOOSE(Translations!$C$1+1,G706,H706,I706)</f>
        <v>No aplicable</v>
      </c>
      <c r="D706" s="4" t="s">
        <v>663</v>
      </c>
      <c r="E706" s="6" t="s">
        <v>2958</v>
      </c>
      <c r="F706" s="4" t="s">
        <v>1286</v>
      </c>
      <c r="G706" s="6" t="s">
        <v>2535</v>
      </c>
      <c r="H706" s="6" t="s">
        <v>2536</v>
      </c>
      <c r="I706" s="6" t="s">
        <v>512</v>
      </c>
    </row>
    <row r="707" spans="1:9">
      <c r="A707" s="4" t="s">
        <v>2376</v>
      </c>
      <c r="B707" s="4" t="s">
        <v>2959</v>
      </c>
      <c r="C707" s="4" t="str">
        <f>CHOOSE(Translations!$C$1+1,G707,H707,I707)</f>
        <v>No aplicable</v>
      </c>
      <c r="D707" s="4" t="s">
        <v>663</v>
      </c>
      <c r="E707" s="6" t="s">
        <v>2960</v>
      </c>
      <c r="F707" s="4" t="s">
        <v>1291</v>
      </c>
      <c r="G707" s="6" t="s">
        <v>2535</v>
      </c>
      <c r="H707" s="6" t="s">
        <v>2536</v>
      </c>
      <c r="I707" s="6" t="s">
        <v>512</v>
      </c>
    </row>
    <row r="708" spans="1:9">
      <c r="A708" s="4" t="s">
        <v>2376</v>
      </c>
      <c r="B708" s="4" t="s">
        <v>2961</v>
      </c>
      <c r="C708" s="4" t="str">
        <f>CHOOSE(Translations!$C$1+1,G708,H708,I708)</f>
        <v>No aplicable</v>
      </c>
      <c r="D708" s="4" t="s">
        <v>663</v>
      </c>
      <c r="E708" s="6" t="s">
        <v>2962</v>
      </c>
      <c r="F708" s="4" t="s">
        <v>1302</v>
      </c>
      <c r="G708" s="6" t="s">
        <v>2535</v>
      </c>
      <c r="H708" s="6" t="s">
        <v>2536</v>
      </c>
      <c r="I708" s="6" t="s">
        <v>512</v>
      </c>
    </row>
    <row r="709" spans="1:9">
      <c r="A709" s="4" t="s">
        <v>2376</v>
      </c>
      <c r="B709" s="4" t="s">
        <v>2963</v>
      </c>
      <c r="C709" s="4" t="str">
        <f>CHOOSE(Translations!$C$1+1,G709,H709,I709)</f>
        <v>No aplicable</v>
      </c>
      <c r="D709" s="4" t="s">
        <v>663</v>
      </c>
      <c r="E709" s="6" t="s">
        <v>2964</v>
      </c>
      <c r="F709" s="4" t="s">
        <v>1307</v>
      </c>
      <c r="G709" s="6" t="s">
        <v>2535</v>
      </c>
      <c r="H709" s="6" t="s">
        <v>2536</v>
      </c>
      <c r="I709" s="6" t="s">
        <v>512</v>
      </c>
    </row>
    <row r="710" spans="1:9">
      <c r="A710" s="4" t="s">
        <v>2376</v>
      </c>
      <c r="B710" s="4" t="s">
        <v>2965</v>
      </c>
      <c r="C710" s="4" t="str">
        <f>CHOOSE(Translations!$C$1+1,G710,H710,I710)</f>
        <v>No aplicable</v>
      </c>
      <c r="D710" s="4" t="s">
        <v>663</v>
      </c>
      <c r="E710" s="6" t="s">
        <v>2966</v>
      </c>
      <c r="F710" s="4" t="s">
        <v>1312</v>
      </c>
      <c r="G710" s="6" t="s">
        <v>2535</v>
      </c>
      <c r="H710" s="6" t="s">
        <v>2536</v>
      </c>
      <c r="I710" s="6" t="s">
        <v>512</v>
      </c>
    </row>
    <row r="711" spans="1:9">
      <c r="A711" s="4" t="s">
        <v>2376</v>
      </c>
      <c r="B711" s="4" t="s">
        <v>2967</v>
      </c>
      <c r="C711" s="4" t="str">
        <f>CHOOSE(Translations!$C$1+1,G711,H711,I711)</f>
        <v>No aplicable</v>
      </c>
      <c r="D711" s="4" t="s">
        <v>663</v>
      </c>
      <c r="E711" s="6" t="s">
        <v>2968</v>
      </c>
      <c r="F711" s="4" t="s">
        <v>1321</v>
      </c>
      <c r="G711" s="6" t="s">
        <v>2535</v>
      </c>
      <c r="H711" s="6" t="s">
        <v>2536</v>
      </c>
      <c r="I711" s="6" t="s">
        <v>512</v>
      </c>
    </row>
    <row r="712" spans="1:9">
      <c r="A712" s="4" t="s">
        <v>2376</v>
      </c>
      <c r="B712" s="4" t="s">
        <v>2969</v>
      </c>
      <c r="C712" s="4" t="str">
        <f>CHOOSE(Translations!$C$1+1,G712,H712,I712)</f>
        <v>No aplicable</v>
      </c>
      <c r="D712" s="4" t="s">
        <v>663</v>
      </c>
      <c r="E712" s="6" t="s">
        <v>2970</v>
      </c>
      <c r="F712" s="4" t="s">
        <v>1326</v>
      </c>
      <c r="G712" s="6" t="s">
        <v>2535</v>
      </c>
      <c r="H712" s="6" t="s">
        <v>2536</v>
      </c>
      <c r="I712" s="6" t="s">
        <v>512</v>
      </c>
    </row>
    <row r="713" spans="1:9">
      <c r="A713" s="4" t="s">
        <v>2376</v>
      </c>
      <c r="B713" s="4" t="s">
        <v>2971</v>
      </c>
      <c r="C713" s="4" t="str">
        <f>CHOOSE(Translations!$C$1+1,G713,H713,I713)</f>
        <v>No aplicable</v>
      </c>
      <c r="D713" s="4" t="s">
        <v>663</v>
      </c>
      <c r="E713" s="6" t="s">
        <v>2972</v>
      </c>
      <c r="F713" s="4" t="s">
        <v>1331</v>
      </c>
      <c r="G713" s="6" t="s">
        <v>2535</v>
      </c>
      <c r="H713" s="6" t="s">
        <v>2536</v>
      </c>
      <c r="I713" s="6" t="s">
        <v>512</v>
      </c>
    </row>
    <row r="714" spans="1:9">
      <c r="A714" s="4" t="s">
        <v>2376</v>
      </c>
      <c r="B714" s="4" t="s">
        <v>2973</v>
      </c>
      <c r="C714" s="4" t="str">
        <f>CHOOSE(Translations!$C$1+1,G714,H714,I714)</f>
        <v>No aplicable</v>
      </c>
      <c r="D714" s="4" t="s">
        <v>663</v>
      </c>
      <c r="E714" s="6" t="s">
        <v>2974</v>
      </c>
      <c r="F714" s="4" t="s">
        <v>1336</v>
      </c>
      <c r="G714" s="6" t="s">
        <v>2535</v>
      </c>
      <c r="H714" s="6" t="s">
        <v>2536</v>
      </c>
      <c r="I714" s="6" t="s">
        <v>512</v>
      </c>
    </row>
    <row r="715" spans="1:9">
      <c r="A715" s="4" t="s">
        <v>2376</v>
      </c>
      <c r="B715" s="4" t="s">
        <v>2975</v>
      </c>
      <c r="C715" s="4" t="str">
        <f>CHOOSE(Translations!$C$1+1,G715,H715,I715)</f>
        <v>No aplicable</v>
      </c>
      <c r="D715" s="4" t="s">
        <v>663</v>
      </c>
      <c r="E715" s="6" t="s">
        <v>2976</v>
      </c>
      <c r="F715" s="4" t="s">
        <v>1341</v>
      </c>
      <c r="G715" s="6" t="s">
        <v>2535</v>
      </c>
      <c r="H715" s="6" t="s">
        <v>2536</v>
      </c>
      <c r="I715" s="6" t="s">
        <v>512</v>
      </c>
    </row>
    <row r="716" spans="1:9">
      <c r="A716" s="4" t="s">
        <v>2376</v>
      </c>
      <c r="B716" s="4" t="s">
        <v>2977</v>
      </c>
      <c r="C716" s="4" t="str">
        <f>CHOOSE(Translations!$C$1+1,G716,H716,I716)</f>
        <v>No aplicable</v>
      </c>
      <c r="D716" s="4" t="s">
        <v>663</v>
      </c>
      <c r="E716" s="6" t="s">
        <v>2978</v>
      </c>
      <c r="F716" s="4" t="s">
        <v>1347</v>
      </c>
      <c r="G716" s="6" t="s">
        <v>2535</v>
      </c>
      <c r="H716" s="6" t="s">
        <v>2536</v>
      </c>
      <c r="I716" s="6" t="s">
        <v>512</v>
      </c>
    </row>
    <row r="717" spans="1:9">
      <c r="A717" s="4" t="s">
        <v>2376</v>
      </c>
      <c r="B717" s="4" t="s">
        <v>2979</v>
      </c>
      <c r="C717" s="4" t="str">
        <f>CHOOSE(Translations!$C$1+1,G717,H717,I717)</f>
        <v>No aplicable</v>
      </c>
      <c r="D717" s="4" t="s">
        <v>663</v>
      </c>
      <c r="E717" s="6" t="s">
        <v>2980</v>
      </c>
      <c r="F717" s="4" t="s">
        <v>1355</v>
      </c>
      <c r="G717" s="6" t="s">
        <v>2535</v>
      </c>
      <c r="H717" s="6" t="s">
        <v>2536</v>
      </c>
      <c r="I717" s="6" t="s">
        <v>512</v>
      </c>
    </row>
    <row r="718" spans="1:9">
      <c r="A718" s="4" t="s">
        <v>2376</v>
      </c>
      <c r="B718" s="4" t="s">
        <v>2981</v>
      </c>
      <c r="C718" s="4" t="str">
        <f>CHOOSE(Translations!$C$1+1,G718,H718,I718)</f>
        <v>No aplicable</v>
      </c>
      <c r="D718" s="4" t="s">
        <v>663</v>
      </c>
      <c r="E718" s="6" t="s">
        <v>2982</v>
      </c>
      <c r="F718" s="4" t="s">
        <v>1360</v>
      </c>
      <c r="G718" s="6" t="s">
        <v>2535</v>
      </c>
      <c r="H718" s="6" t="s">
        <v>2536</v>
      </c>
      <c r="I718" s="6" t="s">
        <v>512</v>
      </c>
    </row>
    <row r="719" spans="1:9">
      <c r="A719" s="4" t="s">
        <v>2376</v>
      </c>
      <c r="B719" s="4" t="s">
        <v>2983</v>
      </c>
      <c r="C719" s="4" t="str">
        <f>CHOOSE(Translations!$C$1+1,G719,H719,I719)</f>
        <v>No aplicable</v>
      </c>
      <c r="D719" s="4" t="s">
        <v>663</v>
      </c>
      <c r="E719" s="6" t="s">
        <v>2984</v>
      </c>
      <c r="F719" s="4" t="s">
        <v>1365</v>
      </c>
      <c r="G719" s="6" t="s">
        <v>2535</v>
      </c>
      <c r="H719" s="6" t="s">
        <v>2536</v>
      </c>
      <c r="I719" s="6" t="s">
        <v>512</v>
      </c>
    </row>
    <row r="720" spans="1:9">
      <c r="A720" s="4" t="s">
        <v>2376</v>
      </c>
      <c r="B720" s="4" t="s">
        <v>2985</v>
      </c>
      <c r="C720" s="4" t="str">
        <f>CHOOSE(Translations!$C$1+1,G720,H720,I720)</f>
        <v>No aplicable</v>
      </c>
      <c r="D720" s="4" t="s">
        <v>663</v>
      </c>
      <c r="E720" s="6" t="s">
        <v>2986</v>
      </c>
      <c r="F720" s="4" t="s">
        <v>1370</v>
      </c>
      <c r="G720" s="6" t="s">
        <v>2535</v>
      </c>
      <c r="H720" s="6" t="s">
        <v>2536</v>
      </c>
      <c r="I720" s="6" t="s">
        <v>512</v>
      </c>
    </row>
    <row r="721" spans="1:9">
      <c r="A721" s="4" t="s">
        <v>2376</v>
      </c>
      <c r="B721" s="4" t="s">
        <v>2987</v>
      </c>
      <c r="C721" s="4" t="str">
        <f>CHOOSE(Translations!$C$1+1,G721,H721,I721)</f>
        <v>No aplicable</v>
      </c>
      <c r="D721" s="4" t="s">
        <v>663</v>
      </c>
      <c r="E721" s="6" t="s">
        <v>2988</v>
      </c>
      <c r="F721" s="4" t="s">
        <v>1376</v>
      </c>
      <c r="G721" s="6" t="s">
        <v>2535</v>
      </c>
      <c r="H721" s="6" t="s">
        <v>2536</v>
      </c>
      <c r="I721" s="6" t="s">
        <v>512</v>
      </c>
    </row>
    <row r="722" spans="1:9">
      <c r="A722" s="4" t="s">
        <v>2376</v>
      </c>
      <c r="B722" s="4" t="s">
        <v>2989</v>
      </c>
      <c r="C722" s="4" t="str">
        <f>CHOOSE(Translations!$C$1+1,G722,H722,I722)</f>
        <v>No aplicable</v>
      </c>
      <c r="D722" s="4" t="s">
        <v>663</v>
      </c>
      <c r="E722" s="6" t="s">
        <v>2990</v>
      </c>
      <c r="F722" s="4" t="s">
        <v>1381</v>
      </c>
      <c r="G722" s="6" t="s">
        <v>2535</v>
      </c>
      <c r="H722" s="6" t="s">
        <v>2536</v>
      </c>
      <c r="I722" s="6" t="s">
        <v>512</v>
      </c>
    </row>
    <row r="723" spans="1:9">
      <c r="A723" s="4" t="s">
        <v>2376</v>
      </c>
      <c r="B723" s="4" t="s">
        <v>2991</v>
      </c>
      <c r="C723" s="4" t="str">
        <f>CHOOSE(Translations!$C$1+1,G723,H723,I723)</f>
        <v>No aplicable</v>
      </c>
      <c r="D723" s="4" t="s">
        <v>663</v>
      </c>
      <c r="E723" s="6" t="s">
        <v>2992</v>
      </c>
      <c r="F723" s="4" t="s">
        <v>1386</v>
      </c>
      <c r="G723" s="6" t="s">
        <v>2535</v>
      </c>
      <c r="H723" s="6" t="s">
        <v>2536</v>
      </c>
      <c r="I723" s="6" t="s">
        <v>512</v>
      </c>
    </row>
    <row r="724" spans="1:9">
      <c r="A724" s="4" t="s">
        <v>2376</v>
      </c>
      <c r="B724" s="4" t="s">
        <v>2993</v>
      </c>
      <c r="C724" s="4" t="str">
        <f>CHOOSE(Translations!$C$1+1,G724,H724,I724)</f>
        <v>No aplicable</v>
      </c>
      <c r="D724" s="4" t="s">
        <v>663</v>
      </c>
      <c r="E724" s="6" t="s">
        <v>2994</v>
      </c>
      <c r="F724" s="4" t="s">
        <v>1392</v>
      </c>
      <c r="G724" s="6" t="s">
        <v>2535</v>
      </c>
      <c r="H724" s="6" t="s">
        <v>2536</v>
      </c>
      <c r="I724" s="6" t="s">
        <v>512</v>
      </c>
    </row>
    <row r="725" spans="1:9">
      <c r="A725" s="4" t="s">
        <v>2376</v>
      </c>
      <c r="B725" s="4" t="s">
        <v>2995</v>
      </c>
      <c r="C725" s="4" t="str">
        <f>CHOOSE(Translations!$C$1+1,G725,H725,I725)</f>
        <v>No aplicable</v>
      </c>
      <c r="D725" s="4" t="s">
        <v>663</v>
      </c>
      <c r="E725" s="6" t="s">
        <v>2996</v>
      </c>
      <c r="F725" s="4" t="s">
        <v>1397</v>
      </c>
      <c r="G725" s="6" t="s">
        <v>2535</v>
      </c>
      <c r="H725" s="6" t="s">
        <v>2536</v>
      </c>
      <c r="I725" s="6" t="s">
        <v>512</v>
      </c>
    </row>
    <row r="726" spans="1:9">
      <c r="A726" s="4" t="s">
        <v>2376</v>
      </c>
      <c r="B726" s="4" t="s">
        <v>2997</v>
      </c>
      <c r="C726" s="4" t="str">
        <f>CHOOSE(Translations!$C$1+1,G726,H726,I726)</f>
        <v>No aplicable</v>
      </c>
      <c r="D726" s="4" t="s">
        <v>663</v>
      </c>
      <c r="E726" s="6" t="s">
        <v>2998</v>
      </c>
      <c r="F726" s="4" t="s">
        <v>1402</v>
      </c>
      <c r="G726" s="6" t="s">
        <v>2535</v>
      </c>
      <c r="H726" s="6" t="s">
        <v>2536</v>
      </c>
      <c r="I726" s="6" t="s">
        <v>512</v>
      </c>
    </row>
    <row r="727" spans="1:9">
      <c r="A727" s="4" t="s">
        <v>2376</v>
      </c>
      <c r="B727" s="4" t="s">
        <v>2999</v>
      </c>
      <c r="C727" s="4" t="str">
        <f>CHOOSE(Translations!$C$1+1,G727,H727,I727)</f>
        <v>No aplicable</v>
      </c>
      <c r="D727" s="4" t="s">
        <v>663</v>
      </c>
      <c r="E727" s="6" t="s">
        <v>3000</v>
      </c>
      <c r="F727" s="4" t="s">
        <v>1407</v>
      </c>
      <c r="G727" s="6" t="s">
        <v>2535</v>
      </c>
      <c r="H727" s="6" t="s">
        <v>2536</v>
      </c>
      <c r="I727" s="6" t="s">
        <v>512</v>
      </c>
    </row>
    <row r="728" spans="1:9">
      <c r="A728" s="4" t="s">
        <v>2376</v>
      </c>
      <c r="B728" s="4" t="s">
        <v>3001</v>
      </c>
      <c r="C728" s="4" t="str">
        <f>CHOOSE(Translations!$C$1+1,G728,H728,I728)</f>
        <v>No aplicable</v>
      </c>
      <c r="D728" s="4" t="s">
        <v>663</v>
      </c>
      <c r="E728" s="6" t="s">
        <v>3002</v>
      </c>
      <c r="F728" s="4" t="s">
        <v>1416</v>
      </c>
      <c r="G728" s="6" t="s">
        <v>2535</v>
      </c>
      <c r="H728" s="6" t="s">
        <v>2536</v>
      </c>
      <c r="I728" s="6" t="s">
        <v>512</v>
      </c>
    </row>
    <row r="729" spans="1:9">
      <c r="A729" s="4" t="s">
        <v>2376</v>
      </c>
      <c r="B729" s="4" t="s">
        <v>3003</v>
      </c>
      <c r="C729" s="4" t="str">
        <f>CHOOSE(Translations!$C$1+1,G729,H729,I729)</f>
        <v>No aplicable</v>
      </c>
      <c r="D729" s="4" t="s">
        <v>663</v>
      </c>
      <c r="E729" s="6" t="s">
        <v>3004</v>
      </c>
      <c r="F729" s="4" t="s">
        <v>1422</v>
      </c>
      <c r="G729" s="6" t="s">
        <v>2535</v>
      </c>
      <c r="H729" s="6" t="s">
        <v>2536</v>
      </c>
      <c r="I729" s="6" t="s">
        <v>512</v>
      </c>
    </row>
    <row r="730" spans="1:9">
      <c r="A730" s="4" t="s">
        <v>2376</v>
      </c>
      <c r="B730" s="4" t="s">
        <v>3005</v>
      </c>
      <c r="C730" s="4" t="str">
        <f>CHOOSE(Translations!$C$1+1,G730,H730,I730)</f>
        <v>No aplicable</v>
      </c>
      <c r="D730" s="4" t="s">
        <v>663</v>
      </c>
      <c r="E730" s="6" t="s">
        <v>3006</v>
      </c>
      <c r="F730" s="4" t="s">
        <v>1428</v>
      </c>
      <c r="G730" s="6" t="s">
        <v>2535</v>
      </c>
      <c r="H730" s="6" t="s">
        <v>2536</v>
      </c>
      <c r="I730" s="6" t="s">
        <v>512</v>
      </c>
    </row>
    <row r="731" spans="1:9">
      <c r="A731" s="4" t="s">
        <v>2376</v>
      </c>
      <c r="B731" s="4" t="s">
        <v>3007</v>
      </c>
      <c r="C731" s="4" t="str">
        <f>CHOOSE(Translations!$C$1+1,G731,H731,I731)</f>
        <v>No aplicable</v>
      </c>
      <c r="D731" s="4" t="s">
        <v>663</v>
      </c>
      <c r="E731" s="6" t="s">
        <v>3008</v>
      </c>
      <c r="F731" s="4" t="s">
        <v>1433</v>
      </c>
      <c r="G731" s="6" t="s">
        <v>2535</v>
      </c>
      <c r="H731" s="6" t="s">
        <v>2536</v>
      </c>
      <c r="I731" s="6" t="s">
        <v>512</v>
      </c>
    </row>
    <row r="732" spans="1:9">
      <c r="A732" s="4" t="s">
        <v>2376</v>
      </c>
      <c r="B732" s="4" t="s">
        <v>3009</v>
      </c>
      <c r="C732" s="4" t="str">
        <f>CHOOSE(Translations!$C$1+1,G732,H732,I732)</f>
        <v>No aplicable</v>
      </c>
      <c r="D732" s="4" t="s">
        <v>663</v>
      </c>
      <c r="E732" s="6" t="s">
        <v>3010</v>
      </c>
      <c r="F732" s="4" t="s">
        <v>1439</v>
      </c>
      <c r="G732" s="6" t="s">
        <v>2535</v>
      </c>
      <c r="H732" s="6" t="s">
        <v>2536</v>
      </c>
      <c r="I732" s="6" t="s">
        <v>512</v>
      </c>
    </row>
    <row r="733" spans="1:9">
      <c r="A733" s="4" t="s">
        <v>2376</v>
      </c>
      <c r="B733" s="4" t="s">
        <v>3011</v>
      </c>
      <c r="C733" s="4" t="str">
        <f>CHOOSE(Translations!$C$1+1,G733,H733,I733)</f>
        <v>No aplicable</v>
      </c>
      <c r="D733" s="4" t="s">
        <v>663</v>
      </c>
      <c r="E733" s="6" t="s">
        <v>3012</v>
      </c>
      <c r="F733" s="4" t="s">
        <v>1297</v>
      </c>
      <c r="G733" s="6" t="s">
        <v>2535</v>
      </c>
      <c r="H733" s="6" t="s">
        <v>2536</v>
      </c>
      <c r="I733" s="6" t="s">
        <v>512</v>
      </c>
    </row>
  </sheetData>
  <dataValidations count="4">
    <dataValidation type="custom" allowBlank="1" showInputMessage="1" showErrorMessage="1" errorTitle="X-Author for Excel" error="Id and Lookup fields are not editable." promptTitle="X-Author for Excel" sqref="A361 C364 C359:C360 C372:C417 E213:E350 G4:G21 G25:G75 G79:G155 G159:H209 A657:B733 A431:B652" xr:uid="{00000000-0002-0000-0300-000000000000}">
      <formula1>""</formula1>
    </dataValidation>
    <dataValidation type="list" allowBlank="1" showInputMessage="1" showErrorMessage="1" errorTitle="X-Author for Excel" error="Please select a value from the drop-down." promptTitle="X-Author for Excel" sqref="B424" xr:uid="{00000000-0002-0000-0300-000001000000}">
      <formula1>IF(IFERROR(ROWS(INDIRECT(SUBSTITUTE("AIM_Grant_Revision__c.aim_revision_type__c"," ","_"))),-1)&lt;0,XAuthorInvalidPicklistData,INDIRECT(SUBSTITUTE("AIM_Grant_Revision__c.aim_revision_type__c"," ","_")))</formula1>
    </dataValidation>
    <dataValidation type="list" allowBlank="1" showInputMessage="1" showErrorMessage="1" errorTitle="X-Author for Excel" error="Please select a value from the drop-down." promptTitle="X-Author for Excel" sqref="K79:K155 P159:P202" xr:uid="{00000000-0002-0000-0300-000002000000}">
      <formula1>IF(IFERROR(ROWS(INDIRECT(SUBSTITUTE("AIM_Module_Coverage_Interventio_Comp_Ref__c.L1FR_Cumulation_Type__c"," ","_"))),-1)&lt;0,XAuthorInvalidPicklistData,INDIRECT(SUBSTITUTE("AIM_Module_Coverage_Interventio_Comp_Ref__c.L1FR_Cumulation_Type__c"," ","_")))</formula1>
    </dataValidation>
    <dataValidation type="list" allowBlank="1" showInputMessage="1" showErrorMessage="1" errorTitle="X-Author for Excel" error="Please select either TRUE or FALSE from the dropdown." promptTitle="X-Author for Excel" sqref="B427 J79:J155" xr:uid="{00000000-0002-0000-0300-000003000000}">
      <formula1>"TRUE,FALSE"</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Q307"/>
  <sheetViews>
    <sheetView showGridLines="0" zoomScale="93" zoomScaleNormal="93" zoomScaleSheetLayoutView="100" workbookViewId="0">
      <pane xSplit="3" ySplit="8" topLeftCell="R12" activePane="bottomRight" state="frozen"/>
      <selection pane="bottomRight" activeCell="AA13" sqref="AA13:AA14"/>
      <selection pane="bottomLeft" activeCell="A9" sqref="A9"/>
      <selection pane="topRight" activeCell="D1" sqref="D1"/>
    </sheetView>
  </sheetViews>
  <sheetFormatPr defaultColWidth="8.75" defaultRowHeight="15.75"/>
  <cols>
    <col min="1" max="1" width="18.625" customWidth="1"/>
    <col min="2" max="3" width="30.625" customWidth="1"/>
    <col min="4" max="4" width="16.625" customWidth="1"/>
    <col min="5" max="5" width="20.125" customWidth="1"/>
    <col min="6" max="6" width="16.125" customWidth="1"/>
    <col min="7" max="7" width="30.625" customWidth="1"/>
    <col min="8" max="8" width="40.625" customWidth="1"/>
    <col min="9" max="9" width="30.625" customWidth="1"/>
    <col min="10" max="10" width="20.625" customWidth="1"/>
    <col min="11" max="11" width="16.125" customWidth="1"/>
    <col min="12" max="12" width="20.125" customWidth="1"/>
    <col min="13" max="13" width="21.5" customWidth="1"/>
    <col min="14" max="14" width="16.125" customWidth="1"/>
    <col min="15" max="15" width="15.625" customWidth="1"/>
    <col min="16" max="16" width="19.625" customWidth="1"/>
    <col min="17" max="17" width="20.625" customWidth="1"/>
    <col min="18" max="18" width="15.125" customWidth="1"/>
    <col min="19" max="19" width="14.5" customWidth="1"/>
    <col min="20" max="20" width="13" customWidth="1"/>
    <col min="21" max="21" width="14.125" customWidth="1"/>
    <col min="22" max="22" width="16.125" customWidth="1"/>
    <col min="23" max="23" width="11.625" hidden="1" customWidth="1"/>
    <col min="24" max="25" width="13.125" hidden="1" customWidth="1"/>
    <col min="26" max="26" width="15.125" hidden="1" customWidth="1"/>
    <col min="27" max="27" width="88.875" customWidth="1"/>
    <col min="28" max="28" width="30.625" customWidth="1"/>
    <col min="29" max="29" width="30.625" style="438" customWidth="1"/>
    <col min="30" max="30" width="52.625" customWidth="1"/>
    <col min="31" max="31" width="14.625" hidden="1" customWidth="1"/>
    <col min="32" max="32" width="12.625" hidden="1" customWidth="1"/>
    <col min="33" max="33" width="12.75" hidden="1" customWidth="1"/>
    <col min="34" max="34" width="31.25" hidden="1" customWidth="1"/>
    <col min="35" max="35" width="28" hidden="1" customWidth="1"/>
    <col min="36" max="36" width="25.625" hidden="1" customWidth="1"/>
    <col min="37" max="37" width="12.5" hidden="1" customWidth="1"/>
    <col min="38" max="38" width="12.25" hidden="1" customWidth="1"/>
  </cols>
  <sheetData>
    <row r="1" spans="1:43" ht="15.6" customHeight="1">
      <c r="A1" s="505" t="str">
        <f ca="1">Translations!A36</f>
        <v>Marco de desempeño - Indicadores de Impacto- Sección B</v>
      </c>
      <c r="B1" s="506"/>
      <c r="C1" s="506"/>
      <c r="D1" s="506"/>
      <c r="E1" s="506"/>
      <c r="F1" s="506"/>
      <c r="G1" s="506"/>
      <c r="H1" s="506"/>
      <c r="I1" s="506"/>
      <c r="J1" s="506"/>
      <c r="K1" s="506"/>
      <c r="L1" s="506"/>
      <c r="M1" s="506"/>
      <c r="N1" s="506"/>
      <c r="O1" s="506"/>
      <c r="P1" s="506"/>
      <c r="Q1" s="506"/>
      <c r="R1" s="506"/>
      <c r="S1" s="506"/>
      <c r="T1" s="506"/>
      <c r="U1" s="506"/>
      <c r="V1" s="506"/>
      <c r="W1" s="506"/>
      <c r="X1" s="506"/>
      <c r="Y1" s="506"/>
      <c r="Z1" s="506"/>
      <c r="AA1" s="506"/>
    </row>
    <row r="2" spans="1:43" ht="15.6" customHeight="1">
      <c r="A2" s="507"/>
      <c r="B2" s="508"/>
      <c r="C2" s="508"/>
      <c r="D2" s="508"/>
      <c r="E2" s="508"/>
      <c r="F2" s="508"/>
      <c r="G2" s="508"/>
      <c r="H2" s="508"/>
      <c r="I2" s="508"/>
      <c r="J2" s="508"/>
      <c r="K2" s="508"/>
      <c r="L2" s="508"/>
      <c r="M2" s="508"/>
      <c r="N2" s="508"/>
      <c r="O2" s="508"/>
      <c r="P2" s="508"/>
      <c r="Q2" s="508"/>
      <c r="R2" s="508"/>
      <c r="S2" s="508"/>
      <c r="T2" s="508"/>
      <c r="U2" s="508"/>
      <c r="V2" s="508"/>
      <c r="W2" s="508"/>
      <c r="X2" s="508"/>
      <c r="Y2" s="508"/>
      <c r="Z2" s="508"/>
      <c r="AA2" s="508"/>
    </row>
    <row r="3" spans="1:43" s="181" customFormat="1">
      <c r="A3" s="183"/>
      <c r="B3" s="183"/>
      <c r="C3" s="183"/>
      <c r="D3" s="183"/>
      <c r="E3" s="183"/>
      <c r="F3" s="183"/>
      <c r="G3" s="183"/>
      <c r="H3" s="184"/>
      <c r="I3" s="190"/>
      <c r="J3" s="190"/>
      <c r="K3" s="190"/>
      <c r="L3" s="190"/>
      <c r="M3" s="190"/>
      <c r="N3" s="190"/>
      <c r="O3" s="190"/>
      <c r="P3" s="190"/>
      <c r="Q3" s="190"/>
      <c r="R3" s="190"/>
      <c r="S3" s="190"/>
      <c r="T3" s="190"/>
      <c r="U3" s="190"/>
      <c r="V3" s="190"/>
      <c r="W3" s="190"/>
      <c r="X3" s="190"/>
      <c r="Y3" s="190"/>
      <c r="Z3" s="190"/>
      <c r="AA3" s="192"/>
      <c r="AC3" s="439"/>
    </row>
    <row r="4" spans="1:43">
      <c r="A4" s="183"/>
      <c r="B4" s="183"/>
      <c r="C4" s="183"/>
      <c r="D4" s="183"/>
      <c r="E4" s="183"/>
      <c r="F4" s="183"/>
      <c r="G4" s="185" t="s">
        <v>3013</v>
      </c>
      <c r="H4" s="184"/>
      <c r="I4" s="190"/>
      <c r="J4" s="190"/>
      <c r="K4" s="190"/>
      <c r="L4" s="190"/>
      <c r="M4" s="190"/>
      <c r="N4" s="190"/>
      <c r="O4" s="190"/>
      <c r="P4" s="190"/>
      <c r="Q4" s="190"/>
      <c r="R4" s="190"/>
      <c r="S4" s="190"/>
      <c r="T4" s="190"/>
      <c r="U4" s="190"/>
      <c r="V4" s="190"/>
      <c r="W4" s="190"/>
      <c r="X4" s="190"/>
      <c r="Y4" s="190"/>
      <c r="Z4" s="190"/>
      <c r="AA4" s="192"/>
    </row>
    <row r="5" spans="1:43">
      <c r="A5" s="186" t="str">
        <f ca="1">Translations!A12</f>
        <v>Navegación de la página</v>
      </c>
      <c r="B5" s="117" t="str">
        <f ca="1">Translations!A48</f>
        <v>Instrucciones</v>
      </c>
      <c r="C5" s="183"/>
      <c r="D5" s="183"/>
      <c r="E5" s="183"/>
      <c r="F5" s="183"/>
      <c r="G5" s="183"/>
      <c r="H5" s="184"/>
      <c r="I5" s="190"/>
      <c r="J5" s="190"/>
      <c r="K5" s="190"/>
      <c r="L5" s="190"/>
      <c r="M5" s="190"/>
      <c r="N5" s="190"/>
      <c r="O5" s="190"/>
      <c r="P5" s="190"/>
      <c r="Q5" s="190"/>
      <c r="R5" s="190"/>
      <c r="S5" s="190"/>
      <c r="T5" s="190"/>
      <c r="U5" s="190"/>
      <c r="V5" s="190"/>
      <c r="W5" s="190"/>
      <c r="X5" s="190"/>
      <c r="Y5" s="190"/>
      <c r="Z5" s="190"/>
      <c r="AA5" s="192"/>
    </row>
    <row r="6" spans="1:43" s="182" customFormat="1">
      <c r="A6" s="183"/>
      <c r="B6" s="183"/>
      <c r="C6" s="183"/>
      <c r="D6" s="183"/>
      <c r="E6" s="183"/>
      <c r="F6" s="183"/>
      <c r="G6" s="183"/>
      <c r="H6" s="184"/>
      <c r="I6" s="190"/>
      <c r="J6" s="190"/>
      <c r="K6" s="191">
        <v>2</v>
      </c>
      <c r="L6" s="190"/>
      <c r="M6" s="190"/>
      <c r="N6" s="190"/>
      <c r="O6" s="191">
        <v>3</v>
      </c>
      <c r="P6" s="190"/>
      <c r="Q6" s="190"/>
      <c r="R6" s="190"/>
      <c r="S6" s="191">
        <v>4</v>
      </c>
      <c r="T6" s="190"/>
      <c r="U6" s="190"/>
      <c r="V6" s="190"/>
      <c r="W6" s="191">
        <v>5</v>
      </c>
      <c r="X6" s="190"/>
      <c r="Y6" s="190"/>
      <c r="Z6" s="190"/>
      <c r="AA6" s="192"/>
      <c r="AC6" s="440"/>
    </row>
    <row r="7" spans="1:43">
      <c r="A7" s="514"/>
      <c r="B7" s="515"/>
      <c r="C7" s="515"/>
      <c r="D7" s="515"/>
      <c r="E7" s="515"/>
      <c r="F7" s="515"/>
      <c r="G7" s="515"/>
      <c r="H7" s="515"/>
      <c r="I7" s="515"/>
      <c r="J7" s="516"/>
      <c r="K7" s="517">
        <f ca="1">IFERROR(IF(YEAR(INDEX('Overview - Section A'!$A$47:$A$54,MATCH(K6,'Overview - Section A'!$B$47:$B$54,0)))&lt;=YEAR('Overview - Section A'!$E$11),YEAR(INDEX('Overview - Section A'!$A$47:$A$54,MATCH($K$6,'Overview - Section A'!$B$47:$B$54,0))),""),"")</f>
        <v>2023</v>
      </c>
      <c r="L7" s="518"/>
      <c r="M7" s="518"/>
      <c r="N7" s="519"/>
      <c r="O7" s="514">
        <f ca="1">IFERROR(IF(K7+1&lt;=YEAR('Overview - Section A'!$E$11),K7+1,""),"")</f>
        <v>2024</v>
      </c>
      <c r="P7" s="515"/>
      <c r="Q7" s="515"/>
      <c r="R7" s="516"/>
      <c r="S7" s="514">
        <f ca="1">IFERROR(IF(O7+1&lt;=YEAR('Overview - Section A'!$E$11),O7+1,""),"")</f>
        <v>2025</v>
      </c>
      <c r="T7" s="515"/>
      <c r="U7" s="515"/>
      <c r="V7" s="516"/>
      <c r="W7" s="514" t="str">
        <f ca="1">IFERROR(IF(S7+1&lt;=YEAR('Overview - Section A'!$E$11),S7+1,""),"")</f>
        <v/>
      </c>
      <c r="X7" s="515"/>
      <c r="Y7" s="515"/>
      <c r="Z7" s="516"/>
      <c r="AA7" s="193"/>
      <c r="AB7" s="193"/>
      <c r="AC7" s="441"/>
      <c r="AD7" s="193"/>
      <c r="AK7" s="19"/>
      <c r="AL7" s="19">
        <v>2021</v>
      </c>
      <c r="AM7" s="19">
        <v>2022</v>
      </c>
      <c r="AN7" s="19">
        <v>2023</v>
      </c>
      <c r="AO7" s="19">
        <v>2024</v>
      </c>
      <c r="AP7" s="19">
        <v>2025</v>
      </c>
      <c r="AQ7" s="19">
        <v>2026</v>
      </c>
    </row>
    <row r="8" spans="1:43" ht="59.1" customHeight="1">
      <c r="A8" s="119" t="str">
        <f ca="1">Translations!A37</f>
        <v xml:space="preserve">Indicador de impacto número </v>
      </c>
      <c r="B8" s="119" t="str">
        <f ca="1">Translations!A38</f>
        <v xml:space="preserve">Indicador estándar </v>
      </c>
      <c r="C8" s="119" t="str">
        <f ca="1">Translations!A39</f>
        <v>Indicador personalizado</v>
      </c>
      <c r="D8" s="739" t="str">
        <f ca="1">Translations!A40</f>
        <v>Línea de base #N
Línea de base #D</v>
      </c>
      <c r="E8" s="119" t="str">
        <f ca="1">Translations!A41</f>
        <v>Línea de base %</v>
      </c>
      <c r="F8" s="119" t="s">
        <v>3014</v>
      </c>
      <c r="G8" s="119" t="s">
        <v>3015</v>
      </c>
      <c r="H8" s="119" t="str">
        <f ca="1">Translations!A51</f>
        <v>Desagregación requerida</v>
      </c>
      <c r="I8" s="119" t="s">
        <v>300</v>
      </c>
      <c r="J8" s="119" t="s">
        <v>131</v>
      </c>
      <c r="K8" s="119" t="s">
        <v>3016</v>
      </c>
      <c r="L8" s="119" t="str">
        <f ca="1">Translations!$A$63</f>
        <v>Meta %</v>
      </c>
      <c r="M8" s="119" t="str">
        <f ca="1">Translations!$A$56</f>
        <v>Fecha de envío del reporte</v>
      </c>
      <c r="N8" s="119" t="str">
        <f ca="1">Translations!$A$57</f>
        <v>Marque si la meta es "TBD"</v>
      </c>
      <c r="O8" s="119" t="str">
        <f ca="1">Translations!$A$54&amp;CHAR(10)&amp;Translations!$A$55</f>
        <v>Meta N#
Meta D#</v>
      </c>
      <c r="P8" s="119" t="str">
        <f ca="1">Translations!$A$63</f>
        <v>Meta %</v>
      </c>
      <c r="Q8" s="119" t="s">
        <v>3017</v>
      </c>
      <c r="R8" s="119" t="s">
        <v>3018</v>
      </c>
      <c r="S8" s="119" t="s">
        <v>3016</v>
      </c>
      <c r="T8" s="119" t="str">
        <f ca="1">Translations!$A$63</f>
        <v>Meta %</v>
      </c>
      <c r="U8" s="119" t="str">
        <f ca="1">Translations!$A$56</f>
        <v>Fecha de envío del reporte</v>
      </c>
      <c r="V8" s="119" t="str">
        <f ca="1">Translations!$A$57</f>
        <v>Marque si la meta es "TBD"</v>
      </c>
      <c r="W8" s="119" t="str">
        <f ca="1">Translations!$A$54&amp;CHAR(10)&amp;Translations!$A$55</f>
        <v>Meta N#
Meta D#</v>
      </c>
      <c r="X8" s="119" t="str">
        <f ca="1">Translations!$A$63</f>
        <v>Meta %</v>
      </c>
      <c r="Y8" s="119" t="str">
        <f ca="1">Translations!$A$56</f>
        <v>Fecha de envío del reporte</v>
      </c>
      <c r="Z8" s="119" t="str">
        <f ca="1">Translations!$A$57</f>
        <v>Marque si la meta es "TBD"</v>
      </c>
      <c r="AA8" s="119" t="str">
        <f ca="1">Translations!$A$58</f>
        <v>Comentarios</v>
      </c>
      <c r="AB8" s="119" t="str">
        <f ca="1">Translations!A39&amp;" (EN)"</f>
        <v>Indicador personalizado (EN)</v>
      </c>
      <c r="AC8" s="442" t="str">
        <f ca="1">Translations!A43&amp;" (EN)"</f>
        <v>Línea de base año fuente (EN)</v>
      </c>
      <c r="AD8" s="119" t="str">
        <f ca="1">Translations!$A$58&amp;" (EN)"</f>
        <v>Comentarios (EN)</v>
      </c>
      <c r="AH8" t="s">
        <v>3019</v>
      </c>
      <c r="AI8" t="s">
        <v>3020</v>
      </c>
      <c r="AJ8" t="s">
        <v>3021</v>
      </c>
    </row>
    <row r="9" spans="1:43" ht="59.45" customHeight="1">
      <c r="A9" s="740">
        <v>1</v>
      </c>
      <c r="B9" s="741" t="s">
        <v>696</v>
      </c>
      <c r="C9" s="741"/>
      <c r="D9" s="188"/>
      <c r="E9" s="512">
        <v>0.25700000000000001</v>
      </c>
      <c r="F9" s="742">
        <v>2021</v>
      </c>
      <c r="G9" s="741" t="s">
        <v>3022</v>
      </c>
      <c r="H9" s="509" t="str">
        <f>AE9</f>
        <v>Edad</v>
      </c>
      <c r="I9" s="742" t="s">
        <v>356</v>
      </c>
      <c r="J9" s="742" t="s">
        <v>2303</v>
      </c>
      <c r="K9" s="187"/>
      <c r="L9" s="743" t="str">
        <f ca="1">IF(OR(INDIRECT("'update Helper'!K"&amp;AI9)="",K9&lt;&gt;0,K10&lt;&gt;0),IF(IFERROR((K9/K10),"")="","",(K9/K10)),INDIRECT("'update Helper'!K"&amp;AI9)/100)</f>
        <v/>
      </c>
      <c r="M9" s="744"/>
      <c r="N9" s="741"/>
      <c r="O9" s="187"/>
      <c r="P9" s="743" t="str">
        <f ca="1">IF(OR(INDIRECT("'update Helper'!K"&amp;AI9+1)="",O9&lt;&gt;0,O10&lt;&gt;0),IF(IFERROR((O9/O10),"")="","",(O9/O10)),INDIRECT("'update Helper'!K"&amp;AI9+1)/100)</f>
        <v/>
      </c>
      <c r="Q9" s="744"/>
      <c r="R9" s="741"/>
      <c r="S9" s="188">
        <v>492</v>
      </c>
      <c r="T9" s="743">
        <f ca="1">IF(OR(INDIRECT("'update Helper'!K"&amp;AI9+2)="",S9&lt;&gt;0,S10&lt;&gt;0),IF(IFERROR((S9/S10),"")="","",(S9/S10)),INDIRECT("'update Helper'!K"&amp;AI9+2)/100)</f>
        <v>0.29818181818181816</v>
      </c>
      <c r="U9" s="745">
        <v>46022</v>
      </c>
      <c r="V9" s="741"/>
      <c r="W9" s="187"/>
      <c r="X9" s="743" t="str">
        <f ca="1">IF(OR(INDIRECT("'update Helper'!K"&amp;AI9+3)="",W9&lt;&gt;0,W10&lt;&gt;0),IF(IFERROR((W9/W10),"")="","",(W9/W10)),INDIRECT("'update Helper'!K"&amp;AI9+3)/100)</f>
        <v/>
      </c>
      <c r="Y9" s="744"/>
      <c r="Z9" s="741"/>
      <c r="AA9" s="741" t="s">
        <v>3023</v>
      </c>
      <c r="AB9" s="742"/>
      <c r="AC9" s="741" t="s">
        <v>3024</v>
      </c>
      <c r="AD9" s="746" t="s">
        <v>3025</v>
      </c>
      <c r="AE9" t="str">
        <f t="array" ref="AE9">IFERROR(IF(INDEX('Reference Records'!$D$4:$D$22,MATCH(LEFT(B9,255),LEFT('Reference Records'!$C$4:$C$22,255),0))=0,"",INDEX('Reference Records'!$D$4:$D$22,MATCH(LEFT(B9,255),LEFT('Reference Records'!$C$4:$C$22,255),0))),"")</f>
        <v>Edad</v>
      </c>
      <c r="AF9" s="504" t="str">
        <f>IF(H9&lt;&gt;"",B9&amp;C9,"")</f>
        <v>HIV I-9a⁽ᴹ⁾ Porcentaje de HSH y viven con el VIH</v>
      </c>
      <c r="AG9" s="504" t="b">
        <f>IF(OR(B9&lt;&gt;"",C9&lt;&gt;""),TRUE,FALSE)</f>
        <v>1</v>
      </c>
      <c r="AH9" t="str">
        <f t="array" ref="AH9">IFERROR(IF(INDEX('Reference Records'!$G$4:$G$22,MATCH(LEFT(B9,255),LEFT('Reference Records'!$C$4:$C$22,255),0))=0,"",INDEX('Reference Records'!$G$4:$G$22,MATCH(LEFT(B9,255),LEFT('Reference Records'!$C$4:$C$22,255),0))),"")</f>
        <v>a1J1R000008lToOUAU</v>
      </c>
      <c r="AI9">
        <f>ROW(Impact_indicator_targets___section_B)+3</f>
        <v>44</v>
      </c>
      <c r="AJ9">
        <f>ROW(Impact_indicator___section_B)+3</f>
        <v>4</v>
      </c>
      <c r="AK9" t="str">
        <f ca="1">IF(INDIRECT("'update Helper'!O"&amp;AJ9)=0,"",IFERROR(VLOOKUP(INDIRECT("'update Helper'!O"&amp;AJ9),'Account Role'!A$1:B$14,2,0),IFERROR(VLOOKUP(INDIRECT("'update Helper'!N"&amp;AJ9),'Overview - Section A'!J$26:K91,3,0),"")))</f>
        <v/>
      </c>
      <c r="AL9" t="str">
        <f ca="1">IFERROR(IF(INDIRECT("'update Helper'!O"&amp;AJ9)=0,"",IFERROR(VLOOKUP(INDIRECT("'update Helper'!O"&amp;AJ9),'Account Role'!A$1:B$14,2,0),IFERROR(VLOOKUP(INDIRECT("'update Helper'!N"&amp;AJ9),'Overview - Section A'!J$26:P91,7,0),""))),"")</f>
        <v/>
      </c>
    </row>
    <row r="10" spans="1:43" ht="59.45" customHeight="1">
      <c r="A10" s="747"/>
      <c r="B10" s="748"/>
      <c r="C10" s="748"/>
      <c r="D10" s="421"/>
      <c r="E10" s="749"/>
      <c r="F10" s="750"/>
      <c r="G10" s="748"/>
      <c r="H10" s="510"/>
      <c r="I10" s="750"/>
      <c r="J10" s="750"/>
      <c r="K10" s="188"/>
      <c r="L10" s="751"/>
      <c r="M10" s="752"/>
      <c r="N10" s="748"/>
      <c r="O10" s="188"/>
      <c r="P10" s="751"/>
      <c r="Q10" s="752"/>
      <c r="R10" s="748"/>
      <c r="S10" s="188">
        <v>1650</v>
      </c>
      <c r="T10" s="751"/>
      <c r="U10" s="753"/>
      <c r="V10" s="748"/>
      <c r="W10" s="188"/>
      <c r="X10" s="751"/>
      <c r="Y10" s="752"/>
      <c r="Z10" s="748"/>
      <c r="AA10" s="748"/>
      <c r="AB10" s="750"/>
      <c r="AC10" s="748"/>
      <c r="AD10" s="754"/>
      <c r="AF10" s="504"/>
      <c r="AG10" s="504"/>
    </row>
    <row r="11" spans="1:43" ht="65.45" customHeight="1">
      <c r="A11" s="740">
        <v>2</v>
      </c>
      <c r="B11" s="741" t="s">
        <v>704</v>
      </c>
      <c r="C11" s="741"/>
      <c r="D11" s="188">
        <v>30.8</v>
      </c>
      <c r="E11" s="512">
        <v>0.308</v>
      </c>
      <c r="F11" s="742">
        <v>2021</v>
      </c>
      <c r="G11" s="741" t="s">
        <v>3026</v>
      </c>
      <c r="H11" s="509" t="str">
        <f>AE11</f>
        <v>Edad</v>
      </c>
      <c r="I11" s="742" t="s">
        <v>356</v>
      </c>
      <c r="J11" s="742" t="s">
        <v>2303</v>
      </c>
      <c r="K11" s="187"/>
      <c r="L11" s="743" t="str">
        <f t="shared" ref="L11" ca="1" si="0">IF(OR(INDIRECT("'update Helper'!K"&amp;AI11)="",K11&lt;&gt;0,K12&lt;&gt;0),IF(IFERROR((K11/K12),"")="","",(K11/K12)),INDIRECT("'update Helper'!K"&amp;AI11)/100)</f>
        <v/>
      </c>
      <c r="M11" s="744"/>
      <c r="N11" s="741"/>
      <c r="O11" s="187"/>
      <c r="P11" s="743" t="str">
        <f t="shared" ref="P11" ca="1" si="1">IF(OR(INDIRECT("'update Helper'!K"&amp;AI11+1)="",O11&lt;&gt;0,O12&lt;&gt;0),IF(IFERROR((O11/O12),"")="","",(O11/O12)),INDIRECT("'update Helper'!K"&amp;AI11+1)/100)</f>
        <v/>
      </c>
      <c r="Q11" s="744"/>
      <c r="R11" s="741"/>
      <c r="S11" s="188">
        <v>180</v>
      </c>
      <c r="T11" s="743">
        <f ca="1">IF(OR(INDIRECT("'update Helper'!K"&amp;AI11+2)="",S11&lt;&gt;0,S12&lt;&gt;0),IF(IFERROR((S11/S12),"")="","",(S11/S12)),INDIRECT("'update Helper'!K"&amp;AI11+2)/100)</f>
        <v>0.34615384615384615</v>
      </c>
      <c r="U11" s="745">
        <v>46022</v>
      </c>
      <c r="V11" s="741"/>
      <c r="W11" s="187"/>
      <c r="X11" s="743" t="str">
        <f ca="1">IF(OR(INDIRECT("'update Helper'!K"&amp;AI11+3)="",W11&lt;&gt;0,W12&lt;&gt;0),IF(IFERROR((W11/W12),"")="","",(W11/W12)),INDIRECT("'update Helper'!K"&amp;AI11+3)/100)</f>
        <v/>
      </c>
      <c r="Y11" s="744"/>
      <c r="Z11" s="741"/>
      <c r="AA11" s="741" t="s">
        <v>3027</v>
      </c>
      <c r="AB11" s="742"/>
      <c r="AC11" s="741" t="s">
        <v>3028</v>
      </c>
      <c r="AD11" s="741" t="s">
        <v>3029</v>
      </c>
      <c r="AE11" t="str">
        <f t="array" ref="AE11">IFERROR(IF(INDEX('Reference Records'!$D$4:$D$22,MATCH(LEFT(B11,255),LEFT('Reference Records'!$C$4:$C$22,255),0))=0,"",INDEX('Reference Records'!$D$4:$D$22,MATCH(LEFT(B11,255),LEFT('Reference Records'!$C$4:$C$22,255),0))),"")</f>
        <v>Edad</v>
      </c>
      <c r="AF11" s="504" t="str">
        <f>IF(H11&lt;&gt;"",B11&amp;C11,"")</f>
        <v>HIV I-9b⁽ᴹ⁾ Porcentaje de personas transgénero que viven con el VIH</v>
      </c>
      <c r="AG11" s="504" t="b">
        <f>IF(OR(B11&lt;&gt;"",C11&lt;&gt;""),TRUE,FALSE)</f>
        <v>1</v>
      </c>
      <c r="AH11" t="str">
        <f t="array" ref="AH11">IFERROR(IF(INDEX('Reference Records'!$G$4:$G$22,MATCH(LEFT(B11,255),LEFT('Reference Records'!$C$4:$C$22,255),0))=0,"",INDEX('Reference Records'!$G$4:$G$22,MATCH(LEFT(B11,255),LEFT('Reference Records'!$C$4:$C$22,255),0))),"")</f>
        <v>a1J1R000008lToPUAU</v>
      </c>
      <c r="AI11" s="189">
        <f>AI9+'update Helper'!$U$2</f>
        <v>50</v>
      </c>
      <c r="AJ11">
        <f>AJ9+1</f>
        <v>5</v>
      </c>
      <c r="AL11" t="str">
        <f ca="1">IFERROR(IF(INDIRECT("'update Helper'!O"&amp;AJ11)=0,"",IFERROR(VLOOKUP(INDIRECT("'update Helper'!O"&amp;AJ11),'Account Role'!A$1:B$14,2,0),IFERROR(VLOOKUP(INDIRECT("'update Helper'!N"&amp;AJ11),'Overview - Section A'!J$26:P93,7,0),""))),"")</f>
        <v/>
      </c>
    </row>
    <row r="12" spans="1:43" ht="188.25" customHeight="1">
      <c r="A12" s="747"/>
      <c r="B12" s="748"/>
      <c r="C12" s="748"/>
      <c r="D12" s="421"/>
      <c r="E12" s="749"/>
      <c r="F12" s="750"/>
      <c r="G12" s="748"/>
      <c r="H12" s="510"/>
      <c r="I12" s="750"/>
      <c r="J12" s="750"/>
      <c r="K12" s="188"/>
      <c r="L12" s="751"/>
      <c r="M12" s="752"/>
      <c r="N12" s="748"/>
      <c r="O12" s="188"/>
      <c r="P12" s="751"/>
      <c r="Q12" s="752"/>
      <c r="R12" s="748"/>
      <c r="S12" s="421">
        <v>520</v>
      </c>
      <c r="T12" s="751"/>
      <c r="U12" s="753"/>
      <c r="V12" s="748"/>
      <c r="W12" s="188"/>
      <c r="X12" s="751"/>
      <c r="Y12" s="752"/>
      <c r="Z12" s="748"/>
      <c r="AA12" s="748"/>
      <c r="AB12" s="750"/>
      <c r="AC12" s="748"/>
      <c r="AD12" s="748"/>
      <c r="AF12" s="504"/>
      <c r="AG12" s="504"/>
    </row>
    <row r="13" spans="1:43" ht="30" customHeight="1">
      <c r="A13" s="740">
        <v>3</v>
      </c>
      <c r="B13" s="741" t="s">
        <v>729</v>
      </c>
      <c r="C13" s="741"/>
      <c r="D13" s="421">
        <v>7071</v>
      </c>
      <c r="E13" s="513">
        <f>D13/D14*100000</f>
        <v>59.711424338295487</v>
      </c>
      <c r="F13" s="742">
        <v>2021</v>
      </c>
      <c r="G13" s="741" t="s">
        <v>3030</v>
      </c>
      <c r="H13" s="509" t="str">
        <f>AE13</f>
        <v/>
      </c>
      <c r="I13" s="742" t="s">
        <v>356</v>
      </c>
      <c r="J13" s="742" t="s">
        <v>2303</v>
      </c>
      <c r="K13" s="431">
        <v>7800</v>
      </c>
      <c r="L13" s="755">
        <f>+K13/K14*100000</f>
        <v>64.099924879818801</v>
      </c>
      <c r="M13" s="745">
        <v>45352</v>
      </c>
      <c r="N13" s="756"/>
      <c r="O13" s="431">
        <v>8400</v>
      </c>
      <c r="P13" s="755">
        <f>+O13/O14*100000</f>
        <v>68.11408005610005</v>
      </c>
      <c r="Q13" s="745">
        <v>45717</v>
      </c>
      <c r="R13" s="756"/>
      <c r="S13" s="431">
        <v>9000</v>
      </c>
      <c r="T13" s="755">
        <f>+S13/S14*100000</f>
        <v>72.033475396686342</v>
      </c>
      <c r="U13" s="745">
        <v>46082</v>
      </c>
      <c r="V13" s="741"/>
      <c r="W13" s="187"/>
      <c r="X13" s="743" t="str">
        <f ca="1">IF(OR(INDIRECT("'update Helper'!K"&amp;AI13+3)="",W13&lt;&gt;0,W14&lt;&gt;0),IF(IFERROR((W13/W14),"")="","",(W13/W14)),INDIRECT("'update Helper'!K"&amp;AI13+3)/100)</f>
        <v/>
      </c>
      <c r="Y13" s="744"/>
      <c r="Z13" s="741"/>
      <c r="AA13" s="757" t="s">
        <v>3031</v>
      </c>
      <c r="AB13" s="742"/>
      <c r="AC13" s="741" t="s">
        <v>3032</v>
      </c>
      <c r="AD13" s="741" t="s">
        <v>3033</v>
      </c>
      <c r="AE13" t="str">
        <f t="array" ref="AE13">IFERROR(IF(INDEX('Reference Records'!$D$4:$D$22,MATCH(LEFT(B13,255),LEFT('Reference Records'!$C$4:$C$22,255),0))=0,"",INDEX('Reference Records'!$D$4:$D$22,MATCH(LEFT(B13,255),LEFT('Reference Records'!$C$4:$C$22,255),0))),"")</f>
        <v/>
      </c>
      <c r="AF13" s="504" t="str">
        <f>IF(H13&lt;&gt;"",B13&amp;C13,"")</f>
        <v/>
      </c>
      <c r="AG13" s="504" t="b">
        <f>IF(OR(B13&lt;&gt;"",C13&lt;&gt;""),TRUE,FALSE)</f>
        <v>1</v>
      </c>
      <c r="AH13" t="str">
        <f t="array" ref="AH13">IFERROR(IF(INDEX('Reference Records'!$G$4:$G$22,MATCH(LEFT(B13,255),LEFT('Reference Records'!$C$4:$C$22,255),0))=0,"",INDEX('Reference Records'!$G$4:$G$22,MATCH(LEFT(B13,255),LEFT('Reference Records'!$C$4:$C$22,255),0))),"")</f>
        <v>a1J1R000008lToTUAU</v>
      </c>
      <c r="AI13" s="189">
        <f>AI11+'update Helper'!$U$2</f>
        <v>56</v>
      </c>
      <c r="AJ13">
        <f>AJ11+1</f>
        <v>6</v>
      </c>
      <c r="AL13" t="str">
        <f ca="1">IFERROR(IF(INDIRECT("'update Helper'!O"&amp;AJ13)=0,"",IFERROR(VLOOKUP(INDIRECT("'update Helper'!O"&amp;AJ13),'Account Role'!A$1:B$14,2,0),IFERROR(VLOOKUP(INDIRECT("'update Helper'!N"&amp;AJ13),'Overview - Section A'!J$26:P95,7,0),""))),"")</f>
        <v/>
      </c>
    </row>
    <row r="14" spans="1:43" ht="409.5" customHeight="1">
      <c r="A14" s="747"/>
      <c r="B14" s="748"/>
      <c r="C14" s="748"/>
      <c r="D14" s="421">
        <v>11841955</v>
      </c>
      <c r="E14" s="758"/>
      <c r="F14" s="750"/>
      <c r="G14" s="748"/>
      <c r="H14" s="510"/>
      <c r="I14" s="750"/>
      <c r="J14" s="750"/>
      <c r="K14" s="431">
        <v>12168501</v>
      </c>
      <c r="L14" s="758"/>
      <c r="M14" s="753"/>
      <c r="N14" s="759"/>
      <c r="O14" s="431">
        <v>12332252</v>
      </c>
      <c r="P14" s="758"/>
      <c r="Q14" s="753"/>
      <c r="R14" s="759"/>
      <c r="S14" s="431">
        <v>12494191</v>
      </c>
      <c r="T14" s="758"/>
      <c r="U14" s="753"/>
      <c r="V14" s="748"/>
      <c r="W14" s="188"/>
      <c r="X14" s="751"/>
      <c r="Y14" s="752"/>
      <c r="Z14" s="748"/>
      <c r="AA14" s="760"/>
      <c r="AB14" s="750"/>
      <c r="AC14" s="748"/>
      <c r="AD14" s="748"/>
      <c r="AF14" s="504"/>
      <c r="AG14" s="504"/>
    </row>
    <row r="15" spans="1:43" ht="30" customHeight="1">
      <c r="A15" s="740">
        <v>4</v>
      </c>
      <c r="B15" s="741" t="s">
        <v>710</v>
      </c>
      <c r="C15" s="741"/>
      <c r="D15" s="188"/>
      <c r="E15" s="743">
        <v>5.5999999999999999E-3</v>
      </c>
      <c r="F15" s="742">
        <v>2010</v>
      </c>
      <c r="G15" s="520" t="s">
        <v>3034</v>
      </c>
      <c r="H15" s="509" t="str">
        <f>AE15</f>
        <v>Género,Edad</v>
      </c>
      <c r="I15" s="742" t="s">
        <v>356</v>
      </c>
      <c r="J15" s="742" t="s">
        <v>2303</v>
      </c>
      <c r="K15" s="421">
        <v>20</v>
      </c>
      <c r="L15" s="761">
        <f>+K15/K16</f>
        <v>0.01</v>
      </c>
      <c r="M15" s="745">
        <v>45352</v>
      </c>
      <c r="N15" s="741"/>
      <c r="O15" s="187"/>
      <c r="P15" s="743" t="str">
        <f ca="1">IF(OR(INDIRECT("'update Helper'!K"&amp;AI15+1)="",O15&lt;&gt;0,O16&lt;&gt;0),IF(IFERROR((O15/O16),"")="","",(O15/O16)),INDIRECT("'update Helper'!K"&amp;AI15+1)/100)</f>
        <v/>
      </c>
      <c r="Q15" s="744"/>
      <c r="R15" s="741"/>
      <c r="S15" s="431"/>
      <c r="T15" s="761" t="str">
        <f ca="1">IF(OR(INDIRECT("'update Helper'!K"&amp;AI15+2)="",S15&lt;&gt;0,S16&lt;&gt;0),IF(IFERROR((S15/S16),"")="","",(S15/S16)),INDIRECT("'update Helper'!K"&amp;AI15+2)/100)</f>
        <v/>
      </c>
      <c r="U15" s="745"/>
      <c r="V15" s="741"/>
      <c r="W15" s="187"/>
      <c r="X15" s="743" t="str">
        <f ca="1">IF(OR(INDIRECT("'update Helper'!K"&amp;AI15+3)="",W15&lt;&gt;0,W16&lt;&gt;0),IF(IFERROR((W15/W16),"")="","",(W15/W16)),INDIRECT("'update Helper'!K"&amp;AI15+3)/100)</f>
        <v/>
      </c>
      <c r="Y15" s="744"/>
      <c r="Z15" s="741"/>
      <c r="AA15" s="741" t="s">
        <v>3035</v>
      </c>
      <c r="AB15" s="742"/>
      <c r="AC15" s="741" t="s">
        <v>3036</v>
      </c>
      <c r="AD15" s="741" t="s">
        <v>3037</v>
      </c>
      <c r="AE15" t="str">
        <f t="array" ref="AE15">IFERROR(IF(INDEX('Reference Records'!$D$4:$D$22,MATCH(LEFT(B15,255),LEFT('Reference Records'!$C$4:$C$22,255),0))=0,"",INDEX('Reference Records'!$D$4:$D$22,MATCH(LEFT(B15,255),LEFT('Reference Records'!$C$4:$C$22,255),0))),"")</f>
        <v>Género,Edad</v>
      </c>
      <c r="AF15" s="504" t="str">
        <f>IF(H15&lt;&gt;"",B15&amp;C15,"")</f>
        <v>HIV I-10⁽ᴹ⁾ Porcentaje de trabajadores sexuales que viven con el VIH</v>
      </c>
      <c r="AG15" s="504" t="b">
        <f>IF(OR(B15&lt;&gt;"",C15&lt;&gt;""),TRUE,FALSE)</f>
        <v>1</v>
      </c>
      <c r="AH15" t="str">
        <f t="array" ref="AH15">IFERROR(IF(INDEX('Reference Records'!$G$4:$G$22,MATCH(LEFT(B15,255),LEFT('Reference Records'!$C$4:$C$22,255),0))=0,"",INDEX('Reference Records'!$G$4:$G$22,MATCH(LEFT(B15,255),LEFT('Reference Records'!$C$4:$C$22,255),0))),"")</f>
        <v>a1J1R000008lToQUAU</v>
      </c>
      <c r="AI15" s="189">
        <f>AI13+'update Helper'!$U$2</f>
        <v>62</v>
      </c>
      <c r="AJ15">
        <f>AJ13+1</f>
        <v>7</v>
      </c>
      <c r="AL15" t="str">
        <f ca="1">IFERROR(IF(INDIRECT("'update Helper'!O"&amp;AJ15)=0,"",IFERROR(VLOOKUP(INDIRECT("'update Helper'!O"&amp;AJ15),'Account Role'!A$1:B$14,2,0),IFERROR(VLOOKUP(INDIRECT("'update Helper'!N"&amp;AJ15),'Overview - Section A'!J$26:P97,7,0),""))),"")</f>
        <v/>
      </c>
    </row>
    <row r="16" spans="1:43" ht="93.6" customHeight="1">
      <c r="A16" s="747"/>
      <c r="B16" s="748"/>
      <c r="C16" s="748"/>
      <c r="D16" s="188"/>
      <c r="E16" s="751"/>
      <c r="F16" s="750"/>
      <c r="G16" s="521"/>
      <c r="H16" s="510"/>
      <c r="I16" s="750"/>
      <c r="J16" s="750"/>
      <c r="K16" s="421">
        <v>2000</v>
      </c>
      <c r="L16" s="762"/>
      <c r="M16" s="753"/>
      <c r="N16" s="748"/>
      <c r="O16" s="188"/>
      <c r="P16" s="751"/>
      <c r="Q16" s="752"/>
      <c r="R16" s="748"/>
      <c r="S16" s="437"/>
      <c r="T16" s="762"/>
      <c r="U16" s="753"/>
      <c r="V16" s="748"/>
      <c r="W16" s="188"/>
      <c r="X16" s="751"/>
      <c r="Y16" s="752"/>
      <c r="Z16" s="748"/>
      <c r="AA16" s="748"/>
      <c r="AB16" s="750"/>
      <c r="AC16" s="748"/>
      <c r="AD16" s="748"/>
      <c r="AF16" s="504"/>
      <c r="AG16" s="504"/>
    </row>
    <row r="17" spans="1:38" ht="30" customHeight="1">
      <c r="A17" s="740">
        <v>5</v>
      </c>
      <c r="B17" s="741"/>
      <c r="C17" s="741"/>
      <c r="D17" s="187"/>
      <c r="E17" s="743" t="str">
        <f ca="1">IF(OR(INDIRECT("'update Helper'!D"&amp;AJ17)="",D17&lt;&gt;0,D18&lt;&gt;0),IF(IFERROR((D17/D18),"")="","",(D17/D18)),INDIRECT("'update Helper'!D"&amp;AJ17)/100)</f>
        <v/>
      </c>
      <c r="F17" s="742"/>
      <c r="G17" s="520"/>
      <c r="H17" s="509" t="str">
        <f>AE17</f>
        <v/>
      </c>
      <c r="I17" s="742"/>
      <c r="J17" s="742"/>
      <c r="K17" s="187"/>
      <c r="L17" s="743" t="str">
        <f ca="1">IF(OR(INDIRECT("'update Helper'!K"&amp;AI17)="",K17&lt;&gt;0,K18&lt;&gt;0),IF(IFERROR((K17/K18),"")="","",(K17/K18)),INDIRECT("'update Helper'!K"&amp;AI17)/100)</f>
        <v/>
      </c>
      <c r="M17" s="744"/>
      <c r="N17" s="741"/>
      <c r="O17" s="187"/>
      <c r="P17" s="743" t="str">
        <f ca="1">IF(OR(INDIRECT("'update Helper'!K"&amp;AI17+1)="",O17&lt;&gt;0,O18&lt;&gt;0),IF(IFERROR((O17/O18),"")="","",(O17/O18)),INDIRECT("'update Helper'!K"&amp;AI17+1)/100)</f>
        <v/>
      </c>
      <c r="Q17" s="744"/>
      <c r="R17" s="741"/>
      <c r="S17" s="187"/>
      <c r="T17" s="743" t="str">
        <f ca="1">IF(OR(INDIRECT("'update Helper'!K"&amp;AI17+2)="",S17&lt;&gt;0,S18&lt;&gt;0),IF(IFERROR((S17/S18),"")="","",(S17/S18)),INDIRECT("'update Helper'!K"&amp;AI17+2)/100)</f>
        <v/>
      </c>
      <c r="U17" s="744"/>
      <c r="V17" s="741"/>
      <c r="W17" s="187"/>
      <c r="X17" s="743" t="str">
        <f ca="1">IF(OR(INDIRECT("'update Helper'!K"&amp;AI17+3)="",W17&lt;&gt;0,W18&lt;&gt;0),IF(IFERROR((W17/W18),"")="","",(W17/W18)),INDIRECT("'update Helper'!K"&amp;AI17+3)/100)</f>
        <v/>
      </c>
      <c r="Y17" s="744"/>
      <c r="Z17" s="741"/>
      <c r="AA17" s="741"/>
      <c r="AB17" s="742"/>
      <c r="AC17" s="741"/>
      <c r="AD17" s="742"/>
      <c r="AE17" t="str">
        <f t="array" ref="AE17">IFERROR(IF(INDEX('Reference Records'!$D$4:$D$22,MATCH(LEFT(B17,255),LEFT('Reference Records'!$C$4:$C$22,255),0))=0,"",INDEX('Reference Records'!$D$4:$D$22,MATCH(LEFT(B17,255),LEFT('Reference Records'!$C$4:$C$22,255),0))),"")</f>
        <v/>
      </c>
      <c r="AF17" s="504" t="str">
        <f>IF(H17&lt;&gt;"",B17&amp;C17,"")</f>
        <v/>
      </c>
      <c r="AG17" s="504" t="b">
        <f>IF(OR(B17&lt;&gt;"",C17&lt;&gt;""),TRUE,FALSE)</f>
        <v>0</v>
      </c>
      <c r="AH17" t="str">
        <f t="array" ref="AH17">IFERROR(IF(INDEX('Reference Records'!$G$4:$G$22,MATCH(LEFT(B17,255),LEFT('Reference Records'!$C$4:$C$22,255),0))=0,"",INDEX('Reference Records'!$G$4:$G$22,MATCH(LEFT(B17,255),LEFT('Reference Records'!$C$4:$C$22,255),0))),"")</f>
        <v/>
      </c>
      <c r="AI17" s="189">
        <f>AI15+'update Helper'!$U$2</f>
        <v>68</v>
      </c>
      <c r="AJ17">
        <f>AJ15+1</f>
        <v>8</v>
      </c>
      <c r="AL17" t="str">
        <f ca="1">IFERROR(IF(INDIRECT("'update Helper'!O"&amp;AJ17)=0,"",IFERROR(VLOOKUP(INDIRECT("'update Helper'!O"&amp;AJ17),'Account Role'!A$1:B$14,2,0),IFERROR(VLOOKUP(INDIRECT("'update Helper'!N"&amp;AJ17),'Overview - Section A'!J$26:P99,7,0),""))),"")</f>
        <v/>
      </c>
    </row>
    <row r="18" spans="1:38" ht="30" customHeight="1">
      <c r="A18" s="747"/>
      <c r="B18" s="748"/>
      <c r="C18" s="748"/>
      <c r="D18" s="188"/>
      <c r="E18" s="751"/>
      <c r="F18" s="750"/>
      <c r="G18" s="521"/>
      <c r="H18" s="510"/>
      <c r="I18" s="750"/>
      <c r="J18" s="750"/>
      <c r="K18" s="188"/>
      <c r="L18" s="751"/>
      <c r="M18" s="752"/>
      <c r="N18" s="748"/>
      <c r="O18" s="188"/>
      <c r="P18" s="751"/>
      <c r="Q18" s="752"/>
      <c r="R18" s="748"/>
      <c r="S18" s="188"/>
      <c r="T18" s="751"/>
      <c r="U18" s="752"/>
      <c r="V18" s="748"/>
      <c r="W18" s="188"/>
      <c r="X18" s="751"/>
      <c r="Y18" s="752"/>
      <c r="Z18" s="748"/>
      <c r="AA18" s="748"/>
      <c r="AB18" s="750"/>
      <c r="AC18" s="748"/>
      <c r="AD18" s="750"/>
      <c r="AF18" s="504"/>
      <c r="AG18" s="504"/>
    </row>
    <row r="19" spans="1:38" ht="30" customHeight="1">
      <c r="A19" s="740">
        <v>6</v>
      </c>
      <c r="B19" s="741"/>
      <c r="C19" s="741"/>
      <c r="D19" s="187"/>
      <c r="E19" s="511" t="str">
        <f ca="1">IF(OR(INDIRECT("'update Helper'!D"&amp;AJ19)="",D19&lt;&gt;0,D20&lt;&gt;0),IF(IFERROR((D19/D20),"")="","",(D19/D20)),INDIRECT("'update Helper'!D"&amp;AJ19)/100)</f>
        <v/>
      </c>
      <c r="F19" s="742"/>
      <c r="G19" s="741"/>
      <c r="H19" s="509" t="str">
        <f>AE19</f>
        <v/>
      </c>
      <c r="I19" s="742"/>
      <c r="J19" s="742"/>
      <c r="K19" s="187"/>
      <c r="L19" s="743" t="str">
        <f ca="1">IF(OR(INDIRECT("'update Helper'!K"&amp;AI19)="",K19&lt;&gt;0,K20&lt;&gt;0),IF(IFERROR((K19/K20),"")="","",(K19/K20)),INDIRECT("'update Helper'!K"&amp;AI19)/100)</f>
        <v/>
      </c>
      <c r="M19" s="744"/>
      <c r="N19" s="741"/>
      <c r="O19" s="187"/>
      <c r="P19" s="743" t="str">
        <f ca="1">IF(OR(INDIRECT("'update Helper'!K"&amp;AI19+1)="",O19&lt;&gt;0,O20&lt;&gt;0),IF(IFERROR((O19/O20),"")="","",(O19/O20)),INDIRECT("'update Helper'!K"&amp;AI19+1)/100)</f>
        <v/>
      </c>
      <c r="Q19" s="744"/>
      <c r="R19" s="741"/>
      <c r="S19" s="187"/>
      <c r="T19" s="743" t="str">
        <f ca="1">IF(OR(INDIRECT("'update Helper'!K"&amp;AI19+2)="",S19&lt;&gt;0,S20&lt;&gt;0),IF(IFERROR((S19/S20),"")="","",(S19/S20)),INDIRECT("'update Helper'!K"&amp;AI19+2)/100)</f>
        <v/>
      </c>
      <c r="U19" s="744"/>
      <c r="V19" s="741"/>
      <c r="W19" s="187"/>
      <c r="X19" s="743" t="str">
        <f ca="1">IF(OR(INDIRECT("'update Helper'!K"&amp;AI19+3)="",W19&lt;&gt;0,W20&lt;&gt;0),IF(IFERROR((W19/W20),"")="","",(W19/W20)),INDIRECT("'update Helper'!K"&amp;AI19+3)/100)</f>
        <v/>
      </c>
      <c r="Y19" s="744"/>
      <c r="Z19" s="741"/>
      <c r="AA19" s="741"/>
      <c r="AB19" s="742"/>
      <c r="AC19" s="741"/>
      <c r="AD19" s="742"/>
      <c r="AE19" t="str">
        <f t="array" ref="AE19">IFERROR(IF(INDEX('Reference Records'!$D$4:$D$22,MATCH(LEFT(B19,255),LEFT('Reference Records'!$C$4:$C$22,255),0))=0,"",INDEX('Reference Records'!$D$4:$D$22,MATCH(LEFT(B19,255),LEFT('Reference Records'!$C$4:$C$22,255),0))),"")</f>
        <v/>
      </c>
      <c r="AF19" s="504" t="str">
        <f>IF(H19&lt;&gt;"",B19&amp;C19,"")</f>
        <v/>
      </c>
      <c r="AG19" s="504" t="b">
        <f>IF(OR(B19&lt;&gt;"",C19&lt;&gt;""),TRUE,FALSE)</f>
        <v>0</v>
      </c>
      <c r="AH19" t="str">
        <f t="array" ref="AH19">IFERROR(IF(INDEX('Reference Records'!$G$4:$G$22,MATCH(LEFT(B19,255),LEFT('Reference Records'!$C$4:$C$22,255),0))=0,"",INDEX('Reference Records'!$G$4:$G$22,MATCH(LEFT(B19,255),LEFT('Reference Records'!$C$4:$C$22,255),0))),"")</f>
        <v/>
      </c>
      <c r="AI19" s="189">
        <f>AI17+'update Helper'!$U$2</f>
        <v>74</v>
      </c>
      <c r="AJ19">
        <f>AJ17+1</f>
        <v>9</v>
      </c>
      <c r="AL19" t="str">
        <f ca="1">IFERROR(IF(INDIRECT("'update Helper'!O"&amp;AJ19)=0,"",IFERROR(VLOOKUP(INDIRECT("'update Helper'!O"&amp;AJ19),'Account Role'!A$1:B$14,2,0),IFERROR(VLOOKUP(INDIRECT("'update Helper'!N"&amp;AJ19),'Overview - Section A'!J$26:P101,7,0),""))),"")</f>
        <v/>
      </c>
    </row>
    <row r="20" spans="1:38" ht="30" customHeight="1">
      <c r="A20" s="747"/>
      <c r="B20" s="748"/>
      <c r="C20" s="748"/>
      <c r="D20" s="188"/>
      <c r="E20" s="751"/>
      <c r="F20" s="750"/>
      <c r="G20" s="748"/>
      <c r="H20" s="510"/>
      <c r="I20" s="750"/>
      <c r="J20" s="750"/>
      <c r="K20" s="188"/>
      <c r="L20" s="751"/>
      <c r="M20" s="752"/>
      <c r="N20" s="748"/>
      <c r="O20" s="188"/>
      <c r="P20" s="751"/>
      <c r="Q20" s="752"/>
      <c r="R20" s="748"/>
      <c r="S20" s="188"/>
      <c r="T20" s="751"/>
      <c r="U20" s="752"/>
      <c r="V20" s="748"/>
      <c r="W20" s="188"/>
      <c r="X20" s="751"/>
      <c r="Y20" s="752"/>
      <c r="Z20" s="748"/>
      <c r="AA20" s="748"/>
      <c r="AB20" s="750"/>
      <c r="AC20" s="748"/>
      <c r="AD20" s="750"/>
      <c r="AF20" s="504"/>
      <c r="AG20" s="504"/>
    </row>
    <row r="21" spans="1:38" ht="30" customHeight="1">
      <c r="A21" s="740">
        <v>7</v>
      </c>
      <c r="B21" s="741"/>
      <c r="C21" s="741"/>
      <c r="D21" s="187"/>
      <c r="E21" s="511" t="str">
        <f ca="1">IF(OR(INDIRECT("'update Helper'!D"&amp;AJ21)="",D21&lt;&gt;0,D22&lt;&gt;0),IF(IFERROR((D21/D22),"")="","",(D21/D22)),INDIRECT("'update Helper'!D"&amp;AJ21)/100)</f>
        <v/>
      </c>
      <c r="F21" s="742"/>
      <c r="G21" s="741"/>
      <c r="H21" s="509" t="str">
        <f>AE21</f>
        <v/>
      </c>
      <c r="I21" s="742"/>
      <c r="J21" s="742"/>
      <c r="K21" s="187"/>
      <c r="L21" s="743" t="str">
        <f ca="1">IF(OR(INDIRECT("'update Helper'!K"&amp;AI21)="",K21&lt;&gt;0,K22&lt;&gt;0),IF(IFERROR((K21/K22),"")="","",(K21/K22)),INDIRECT("'update Helper'!K"&amp;AI21)/100)</f>
        <v/>
      </c>
      <c r="M21" s="744"/>
      <c r="N21" s="741"/>
      <c r="O21" s="187"/>
      <c r="P21" s="743" t="str">
        <f ca="1">IF(OR(INDIRECT("'update Helper'!K"&amp;AI21+1)="",O21&lt;&gt;0,O22&lt;&gt;0),IF(IFERROR((O21/O22),"")="","",(O21/O22)),INDIRECT("'update Helper'!K"&amp;AI21+1)/100)</f>
        <v/>
      </c>
      <c r="Q21" s="744"/>
      <c r="R21" s="741"/>
      <c r="S21" s="187"/>
      <c r="T21" s="743" t="str">
        <f ca="1">IF(OR(INDIRECT("'update Helper'!K"&amp;AI21+2)="",S21&lt;&gt;0,S22&lt;&gt;0),IF(IFERROR((S21/S22),"")="","",(S21/S22)),INDIRECT("'update Helper'!K"&amp;AI21+2)/100)</f>
        <v/>
      </c>
      <c r="U21" s="744"/>
      <c r="V21" s="741"/>
      <c r="W21" s="187"/>
      <c r="X21" s="743" t="str">
        <f ca="1">IF(OR(INDIRECT("'update Helper'!K"&amp;AI21+3)="",W21&lt;&gt;0,W22&lt;&gt;0),IF(IFERROR((W21/W22),"")="","",(W21/W22)),INDIRECT("'update Helper'!K"&amp;AI21+3)/100)</f>
        <v/>
      </c>
      <c r="Y21" s="744"/>
      <c r="Z21" s="741"/>
      <c r="AA21" s="741"/>
      <c r="AB21" s="742"/>
      <c r="AC21" s="741"/>
      <c r="AD21" s="742"/>
      <c r="AE21" t="str">
        <f t="array" ref="AE21">IFERROR(IF(INDEX('Reference Records'!$D$4:$D$22,MATCH(LEFT(B21,255),LEFT('Reference Records'!$C$4:$C$22,255),0))=0,"",INDEX('Reference Records'!$D$4:$D$22,MATCH(LEFT(B21,255),LEFT('Reference Records'!$C$4:$C$22,255),0))),"")</f>
        <v/>
      </c>
      <c r="AF21" s="504" t="str">
        <f>IF(H21&lt;&gt;"",B21&amp;C21,"")</f>
        <v/>
      </c>
      <c r="AG21" s="504" t="b">
        <f>IF(OR(B21&lt;&gt;"",C21&lt;&gt;""),TRUE,FALSE)</f>
        <v>0</v>
      </c>
      <c r="AH21" t="str">
        <f t="array" ref="AH21">IFERROR(IF(INDEX('Reference Records'!$G$4:$G$22,MATCH(LEFT(B21,255),LEFT('Reference Records'!$C$4:$C$22,255),0))=0,"",INDEX('Reference Records'!$G$4:$G$22,MATCH(LEFT(B21,255),LEFT('Reference Records'!$C$4:$C$22,255),0))),"")</f>
        <v/>
      </c>
      <c r="AI21" s="189">
        <f>AI19+'update Helper'!$U$2</f>
        <v>80</v>
      </c>
      <c r="AJ21">
        <f>AJ19+1</f>
        <v>10</v>
      </c>
      <c r="AL21" t="str">
        <f ca="1">IFERROR(IF(INDIRECT("'update Helper'!O"&amp;AJ21)=0,"",IFERROR(VLOOKUP(INDIRECT("'update Helper'!O"&amp;AJ21),'Account Role'!A$1:B$14,2,0),IFERROR(VLOOKUP(INDIRECT("'update Helper'!N"&amp;AJ21),'Overview - Section A'!J$26:P118,7,0),""))),"")</f>
        <v/>
      </c>
    </row>
    <row r="22" spans="1:38" ht="30" customHeight="1">
      <c r="A22" s="747"/>
      <c r="B22" s="748"/>
      <c r="C22" s="748"/>
      <c r="D22" s="188"/>
      <c r="E22" s="751"/>
      <c r="F22" s="750"/>
      <c r="G22" s="748"/>
      <c r="H22" s="510"/>
      <c r="I22" s="750"/>
      <c r="J22" s="750"/>
      <c r="K22" s="188"/>
      <c r="L22" s="751"/>
      <c r="M22" s="752"/>
      <c r="N22" s="748"/>
      <c r="O22" s="188"/>
      <c r="P22" s="751"/>
      <c r="Q22" s="752"/>
      <c r="R22" s="748"/>
      <c r="S22" s="188"/>
      <c r="T22" s="751"/>
      <c r="U22" s="752"/>
      <c r="V22" s="748"/>
      <c r="W22" s="188"/>
      <c r="X22" s="751"/>
      <c r="Y22" s="752"/>
      <c r="Z22" s="748"/>
      <c r="AA22" s="748"/>
      <c r="AB22" s="750"/>
      <c r="AC22" s="748"/>
      <c r="AD22" s="750"/>
      <c r="AF22" s="504"/>
      <c r="AG22" s="504"/>
    </row>
    <row r="23" spans="1:38" ht="30" customHeight="1">
      <c r="A23" s="740">
        <v>8</v>
      </c>
      <c r="B23" s="741"/>
      <c r="C23" s="741"/>
      <c r="D23" s="187"/>
      <c r="E23" s="511" t="str">
        <f ca="1">IF(OR(INDIRECT("'update Helper'!D"&amp;AJ23)="",D23&lt;&gt;0,D24&lt;&gt;0),IF(IFERROR((D23/D24),"")="","",(D23/D24)),INDIRECT("'update Helper'!D"&amp;AJ23)/100)</f>
        <v/>
      </c>
      <c r="F23" s="742"/>
      <c r="G23" s="741"/>
      <c r="H23" s="509" t="str">
        <f>AE23</f>
        <v/>
      </c>
      <c r="I23" s="742"/>
      <c r="J23" s="742"/>
      <c r="K23" s="187"/>
      <c r="L23" s="743" t="str">
        <f ca="1">IF(OR(INDIRECT("'update Helper'!K"&amp;AI23)="",K23&lt;&gt;0,K24&lt;&gt;0),IF(IFERROR((K23/K24),"")="","",(K23/K24)),INDIRECT("'update Helper'!K"&amp;AI23)/100)</f>
        <v/>
      </c>
      <c r="M23" s="744"/>
      <c r="N23" s="741"/>
      <c r="O23" s="187"/>
      <c r="P23" s="743" t="str">
        <f ca="1">IF(OR(INDIRECT("'update Helper'!K"&amp;AI23+1)="",O23&lt;&gt;0,O24&lt;&gt;0),IF(IFERROR((O23/O24),"")="","",(O23/O24)),INDIRECT("'update Helper'!K"&amp;AI23+1)/100)</f>
        <v/>
      </c>
      <c r="Q23" s="744"/>
      <c r="R23" s="741"/>
      <c r="S23" s="187"/>
      <c r="T23" s="743" t="str">
        <f ca="1">IF(OR(INDIRECT("'update Helper'!K"&amp;AI23+2)="",S23&lt;&gt;0,S24&lt;&gt;0),IF(IFERROR((S23/S24),"")="","",(S23/S24)),INDIRECT("'update Helper'!K"&amp;AI23+2)/100)</f>
        <v/>
      </c>
      <c r="U23" s="744"/>
      <c r="V23" s="741"/>
      <c r="W23" s="187"/>
      <c r="X23" s="743" t="str">
        <f ca="1">IF(OR(INDIRECT("'update Helper'!K"&amp;AI23+3)="",W23&lt;&gt;0,W24&lt;&gt;0),IF(IFERROR((W23/W24),"")="","",(W23/W24)),INDIRECT("'update Helper'!K"&amp;AI23+3)/100)</f>
        <v/>
      </c>
      <c r="Y23" s="744"/>
      <c r="Z23" s="741"/>
      <c r="AA23" s="741"/>
      <c r="AB23" s="742"/>
      <c r="AC23" s="741"/>
      <c r="AD23" s="742"/>
      <c r="AE23" t="str">
        <f t="array" ref="AE23">IFERROR(IF(INDEX('Reference Records'!$D$4:$D$22,MATCH(LEFT(B23,255),LEFT('Reference Records'!$C$4:$C$22,255),0))=0,"",INDEX('Reference Records'!$D$4:$D$22,MATCH(LEFT(B23,255),LEFT('Reference Records'!$C$4:$C$22,255),0))),"")</f>
        <v/>
      </c>
      <c r="AF23" s="504" t="str">
        <f>IF(H23&lt;&gt;"",B23&amp;C23,"")</f>
        <v/>
      </c>
      <c r="AG23" s="504" t="b">
        <f>IF(OR(B23&lt;&gt;"",C23&lt;&gt;""),TRUE,FALSE)</f>
        <v>0</v>
      </c>
      <c r="AH23" t="str">
        <f t="array" ref="AH23">IFERROR(IF(INDEX('Reference Records'!$G$4:$G$22,MATCH(LEFT(B23,255),LEFT('Reference Records'!$C$4:$C$22,255),0))=0,"",INDEX('Reference Records'!$G$4:$G$22,MATCH(LEFT(B23,255),LEFT('Reference Records'!$C$4:$C$22,255),0))),"")</f>
        <v/>
      </c>
      <c r="AI23" s="189">
        <f>AI21+'update Helper'!$U$2</f>
        <v>86</v>
      </c>
      <c r="AJ23">
        <f>AJ21+1</f>
        <v>11</v>
      </c>
      <c r="AL23" t="str">
        <f ca="1">IFERROR(IF(INDIRECT("'update Helper'!O"&amp;AJ23)=0,"",IFERROR(VLOOKUP(INDIRECT("'update Helper'!O"&amp;AJ23),'Account Role'!A$1:B$14,2,0),IFERROR(VLOOKUP(INDIRECT("'update Helper'!N"&amp;AJ23),'Overview - Section A'!J$26:P120,7,0),""))),"")</f>
        <v/>
      </c>
    </row>
    <row r="24" spans="1:38" ht="30" customHeight="1">
      <c r="A24" s="747"/>
      <c r="B24" s="748"/>
      <c r="C24" s="748"/>
      <c r="D24" s="188"/>
      <c r="E24" s="751"/>
      <c r="F24" s="750"/>
      <c r="G24" s="748"/>
      <c r="H24" s="510"/>
      <c r="I24" s="750"/>
      <c r="J24" s="750"/>
      <c r="K24" s="188"/>
      <c r="L24" s="751"/>
      <c r="M24" s="752"/>
      <c r="N24" s="748"/>
      <c r="O24" s="188"/>
      <c r="P24" s="751"/>
      <c r="Q24" s="752"/>
      <c r="R24" s="748"/>
      <c r="S24" s="188"/>
      <c r="T24" s="751"/>
      <c r="U24" s="752"/>
      <c r="V24" s="748"/>
      <c r="W24" s="188"/>
      <c r="X24" s="751"/>
      <c r="Y24" s="752"/>
      <c r="Z24" s="748"/>
      <c r="AA24" s="748"/>
      <c r="AB24" s="750"/>
      <c r="AC24" s="748"/>
      <c r="AD24" s="750"/>
      <c r="AF24" s="504"/>
      <c r="AG24" s="504"/>
    </row>
    <row r="25" spans="1:38" ht="30" customHeight="1">
      <c r="A25" s="740">
        <v>9</v>
      </c>
      <c r="B25" s="741"/>
      <c r="C25" s="741"/>
      <c r="D25" s="187"/>
      <c r="E25" s="511" t="str">
        <f ca="1">IF(OR(INDIRECT("'update Helper'!D"&amp;AJ25)="",D25&lt;&gt;0,D26&lt;&gt;0),IF(IFERROR((D25/D26),"")="","",(D25/D26)),INDIRECT("'update Helper'!D"&amp;AJ25)/100)</f>
        <v/>
      </c>
      <c r="F25" s="742"/>
      <c r="G25" s="741"/>
      <c r="H25" s="509" t="str">
        <f>AE25</f>
        <v/>
      </c>
      <c r="I25" s="742"/>
      <c r="J25" s="742"/>
      <c r="K25" s="187"/>
      <c r="L25" s="743" t="str">
        <f ca="1">IF(OR(INDIRECT("'update Helper'!K"&amp;AI25)="",K25&lt;&gt;0,K26&lt;&gt;0),IF(IFERROR((K25/K26),"")="","",(K25/K26)),INDIRECT("'update Helper'!K"&amp;AI25)/100)</f>
        <v/>
      </c>
      <c r="M25" s="744"/>
      <c r="N25" s="741"/>
      <c r="O25" s="187"/>
      <c r="P25" s="743" t="str">
        <f ca="1">IF(OR(INDIRECT("'update Helper'!K"&amp;AI25+1)="",O25&lt;&gt;0,O26&lt;&gt;0),IF(IFERROR((O25/O26),"")="","",(O25/O26)),INDIRECT("'update Helper'!K"&amp;AI25+1)/100)</f>
        <v/>
      </c>
      <c r="Q25" s="744"/>
      <c r="R25" s="741"/>
      <c r="S25" s="187"/>
      <c r="T25" s="743" t="str">
        <f ca="1">IF(OR(INDIRECT("'update Helper'!K"&amp;AI25+2)="",S25&lt;&gt;0,S26&lt;&gt;0),IF(IFERROR((S25/S26),"")="","",(S25/S26)),INDIRECT("'update Helper'!K"&amp;AI25+2)/100)</f>
        <v/>
      </c>
      <c r="U25" s="744"/>
      <c r="V25" s="741"/>
      <c r="W25" s="187"/>
      <c r="X25" s="743" t="str">
        <f ca="1">IF(OR(INDIRECT("'update Helper'!K"&amp;AI25+3)="",W25&lt;&gt;0,W26&lt;&gt;0),IF(IFERROR((W25/W26),"")="","",(W25/W26)),INDIRECT("'update Helper'!K"&amp;AI25+3)/100)</f>
        <v/>
      </c>
      <c r="Y25" s="744"/>
      <c r="Z25" s="741"/>
      <c r="AA25" s="741"/>
      <c r="AB25" s="742"/>
      <c r="AC25" s="741"/>
      <c r="AD25" s="742"/>
      <c r="AE25" t="str">
        <f t="array" ref="AE25">IFERROR(IF(INDEX('Reference Records'!$D$4:$D$22,MATCH(LEFT(B25,255),LEFT('Reference Records'!$C$4:$C$22,255),0))=0,"",INDEX('Reference Records'!$D$4:$D$22,MATCH(LEFT(B25,255),LEFT('Reference Records'!$C$4:$C$22,255),0))),"")</f>
        <v/>
      </c>
      <c r="AF25" s="504" t="str">
        <f>IF(H25&lt;&gt;"",B25&amp;C25,"")</f>
        <v/>
      </c>
      <c r="AG25" s="504" t="b">
        <f>IF(OR(B25&lt;&gt;"",C25&lt;&gt;""),TRUE,FALSE)</f>
        <v>0</v>
      </c>
      <c r="AH25" t="str">
        <f t="array" ref="AH25">IFERROR(IF(INDEX('Reference Records'!$G$4:$G$22,MATCH(LEFT(B25,255),LEFT('Reference Records'!$C$4:$C$22,255),0))=0,"",INDEX('Reference Records'!$G$4:$G$22,MATCH(LEFT(B25,255),LEFT('Reference Records'!$C$4:$C$22,255),0))),"")</f>
        <v/>
      </c>
      <c r="AI25" s="189">
        <f>AI23+'update Helper'!$U$2</f>
        <v>92</v>
      </c>
      <c r="AJ25">
        <f>AJ23+1</f>
        <v>12</v>
      </c>
      <c r="AL25" t="str">
        <f ca="1">IFERROR(IF(INDIRECT("'update Helper'!O"&amp;AJ25)=0,"",IFERROR(VLOOKUP(INDIRECT("'update Helper'!O"&amp;AJ25),'Account Role'!A$1:B$14,2,0),IFERROR(VLOOKUP(INDIRECT("'update Helper'!N"&amp;AJ25),'Overview - Section A'!J$26:P122,7,0),""))),"")</f>
        <v/>
      </c>
    </row>
    <row r="26" spans="1:38" ht="30" customHeight="1">
      <c r="A26" s="747"/>
      <c r="B26" s="748"/>
      <c r="C26" s="748"/>
      <c r="D26" s="188"/>
      <c r="E26" s="751"/>
      <c r="F26" s="750"/>
      <c r="G26" s="748"/>
      <c r="H26" s="510"/>
      <c r="I26" s="750"/>
      <c r="J26" s="750"/>
      <c r="K26" s="188"/>
      <c r="L26" s="751"/>
      <c r="M26" s="752"/>
      <c r="N26" s="748"/>
      <c r="O26" s="188"/>
      <c r="P26" s="751"/>
      <c r="Q26" s="752"/>
      <c r="R26" s="748"/>
      <c r="S26" s="188"/>
      <c r="T26" s="751"/>
      <c r="U26" s="752"/>
      <c r="V26" s="748"/>
      <c r="W26" s="188"/>
      <c r="X26" s="751"/>
      <c r="Y26" s="752"/>
      <c r="Z26" s="748"/>
      <c r="AA26" s="748"/>
      <c r="AB26" s="750"/>
      <c r="AC26" s="748"/>
      <c r="AD26" s="750"/>
      <c r="AF26" s="504"/>
      <c r="AG26" s="504"/>
    </row>
    <row r="27" spans="1:38" ht="30" customHeight="1">
      <c r="A27" s="740">
        <v>10</v>
      </c>
      <c r="B27" s="741"/>
      <c r="C27" s="741"/>
      <c r="D27" s="187"/>
      <c r="E27" s="511" t="str">
        <f ca="1">IF(OR(INDIRECT("'update Helper'!D"&amp;AJ27)="",D27&lt;&gt;0,D28&lt;&gt;0),IF(IFERROR((D27/D28),"")="","",(D27/D28)),INDIRECT("'update Helper'!D"&amp;AJ27)/100)</f>
        <v/>
      </c>
      <c r="F27" s="742"/>
      <c r="G27" s="741"/>
      <c r="H27" s="509" t="str">
        <f>AE27</f>
        <v/>
      </c>
      <c r="I27" s="742"/>
      <c r="J27" s="742"/>
      <c r="K27" s="187"/>
      <c r="L27" s="743" t="str">
        <f ca="1">IF(OR(INDIRECT("'update Helper'!K"&amp;AI27)="",K27&lt;&gt;0,K28&lt;&gt;0),IF(IFERROR((K27/K28),"")="","",(K27/K28)),INDIRECT("'update Helper'!K"&amp;AI27)/100)</f>
        <v/>
      </c>
      <c r="M27" s="744"/>
      <c r="N27" s="741"/>
      <c r="O27" s="187"/>
      <c r="P27" s="743" t="str">
        <f ca="1">IF(OR(INDIRECT("'update Helper'!K"&amp;AI27+1)="",O27&lt;&gt;0,O28&lt;&gt;0),IF(IFERROR((O27/O28),"")="","",(O27/O28)),INDIRECT("'update Helper'!K"&amp;AI27+1)/100)</f>
        <v/>
      </c>
      <c r="Q27" s="744"/>
      <c r="R27" s="741"/>
      <c r="S27" s="187"/>
      <c r="T27" s="743" t="str">
        <f ca="1">IF(OR(INDIRECT("'update Helper'!K"&amp;AI27+2)="",S27&lt;&gt;0,S28&lt;&gt;0),IF(IFERROR((S27/S28),"")="","",(S27/S28)),INDIRECT("'update Helper'!K"&amp;AI27+2)/100)</f>
        <v/>
      </c>
      <c r="U27" s="744"/>
      <c r="V27" s="741"/>
      <c r="W27" s="187"/>
      <c r="X27" s="743" t="str">
        <f ca="1">IF(OR(INDIRECT("'update Helper'!K"&amp;AI27+3)="",W27&lt;&gt;0,W28&lt;&gt;0),IF(IFERROR((W27/W28),"")="","",(W27/W28)),INDIRECT("'update Helper'!K"&amp;AI27+3)/100)</f>
        <v/>
      </c>
      <c r="Y27" s="744"/>
      <c r="Z27" s="741"/>
      <c r="AA27" s="741"/>
      <c r="AB27" s="742"/>
      <c r="AC27" s="741"/>
      <c r="AD27" s="742"/>
      <c r="AE27" t="str">
        <f t="array" ref="AE27">IFERROR(IF(INDEX('Reference Records'!$D$4:$D$22,MATCH(LEFT(B27,255),LEFT('Reference Records'!$C$4:$C$22,255),0))=0,"",INDEX('Reference Records'!$D$4:$D$22,MATCH(LEFT(B27,255),LEFT('Reference Records'!$C$4:$C$22,255),0))),"")</f>
        <v/>
      </c>
      <c r="AF27" s="504" t="str">
        <f>IF(H27&lt;&gt;"",B27&amp;C27,"")</f>
        <v/>
      </c>
      <c r="AG27" s="504" t="b">
        <f>IF(OR(B27&lt;&gt;"",C27&lt;&gt;""),TRUE,FALSE)</f>
        <v>0</v>
      </c>
      <c r="AH27" t="str">
        <f t="array" ref="AH27">IFERROR(IF(INDEX('Reference Records'!$G$4:$G$22,MATCH(LEFT(B27,255),LEFT('Reference Records'!$C$4:$C$22,255),0))=0,"",INDEX('Reference Records'!$G$4:$G$22,MATCH(LEFT(B27,255),LEFT('Reference Records'!$C$4:$C$22,255),0))),"")</f>
        <v/>
      </c>
      <c r="AI27" s="189">
        <f>AI25+'update Helper'!$U$2</f>
        <v>98</v>
      </c>
      <c r="AJ27">
        <f>AJ25+1</f>
        <v>13</v>
      </c>
      <c r="AL27" t="str">
        <f ca="1">IFERROR(IF(INDIRECT("'update Helper'!O"&amp;AJ27)=0,"",IFERROR(VLOOKUP(INDIRECT("'update Helper'!O"&amp;AJ27),'Account Role'!A$1:B$14,2,0),IFERROR(VLOOKUP(INDIRECT("'update Helper'!N"&amp;AJ27),'Overview - Section A'!J$26:P124,7,0),""))),"")</f>
        <v/>
      </c>
    </row>
    <row r="28" spans="1:38" ht="30" customHeight="1">
      <c r="A28" s="747"/>
      <c r="B28" s="748"/>
      <c r="C28" s="748"/>
      <c r="D28" s="188"/>
      <c r="E28" s="751"/>
      <c r="F28" s="750"/>
      <c r="G28" s="748"/>
      <c r="H28" s="510"/>
      <c r="I28" s="750"/>
      <c r="J28" s="750"/>
      <c r="K28" s="188"/>
      <c r="L28" s="751"/>
      <c r="M28" s="752"/>
      <c r="N28" s="748"/>
      <c r="O28" s="188"/>
      <c r="P28" s="751"/>
      <c r="Q28" s="752"/>
      <c r="R28" s="748"/>
      <c r="S28" s="188"/>
      <c r="T28" s="751"/>
      <c r="U28" s="752"/>
      <c r="V28" s="748"/>
      <c r="W28" s="188"/>
      <c r="X28" s="751"/>
      <c r="Y28" s="752"/>
      <c r="Z28" s="748"/>
      <c r="AA28" s="748"/>
      <c r="AB28" s="750"/>
      <c r="AC28" s="748"/>
      <c r="AD28" s="750"/>
      <c r="AF28" s="504"/>
      <c r="AG28" s="504"/>
    </row>
    <row r="29" spans="1:38" ht="30" customHeight="1">
      <c r="A29" s="740">
        <v>11</v>
      </c>
      <c r="B29" s="741"/>
      <c r="C29" s="741"/>
      <c r="D29" s="187"/>
      <c r="E29" s="511" t="str">
        <f ca="1">IF(OR(INDIRECT("'update Helper'!D"&amp;AJ29)="",D29&lt;&gt;0,D30&lt;&gt;0),IF(IFERROR((D29/D30),"")="","",(D29/D30)),INDIRECT("'update Helper'!D"&amp;AJ29)/100)</f>
        <v/>
      </c>
      <c r="F29" s="742"/>
      <c r="G29" s="741"/>
      <c r="H29" s="509" t="str">
        <f>AE29</f>
        <v/>
      </c>
      <c r="I29" s="742"/>
      <c r="J29" s="742"/>
      <c r="K29" s="187"/>
      <c r="L29" s="743" t="str">
        <f ca="1">IF(OR(INDIRECT("'update Helper'!K"&amp;AI29)="",K29&lt;&gt;0,K30&lt;&gt;0),IF(IFERROR((K29/K30),"")="","",(K29/K30)),INDIRECT("'update Helper'!K"&amp;AI29)/100)</f>
        <v/>
      </c>
      <c r="M29" s="744"/>
      <c r="N29" s="741"/>
      <c r="O29" s="187"/>
      <c r="P29" s="743" t="str">
        <f ca="1">IF(OR(INDIRECT("'update Helper'!K"&amp;AI29+1)="",O29&lt;&gt;0,O30&lt;&gt;0),IF(IFERROR((O29/O30),"")="","",(O29/O30)),INDIRECT("'update Helper'!K"&amp;AI29+1)/100)</f>
        <v/>
      </c>
      <c r="Q29" s="744"/>
      <c r="R29" s="741"/>
      <c r="S29" s="187"/>
      <c r="T29" s="743" t="str">
        <f ca="1">IF(OR(INDIRECT("'update Helper'!K"&amp;AI29+2)="",S29&lt;&gt;0,S30&lt;&gt;0),IF(IFERROR((S29/S30),"")="","",(S29/S30)),INDIRECT("'update Helper'!K"&amp;AI29+2)/100)</f>
        <v/>
      </c>
      <c r="U29" s="744"/>
      <c r="V29" s="741"/>
      <c r="W29" s="187"/>
      <c r="X29" s="743" t="str">
        <f ca="1">IF(OR(INDIRECT("'update Helper'!K"&amp;AI29+3)="",W29&lt;&gt;0,W30&lt;&gt;0),IF(IFERROR((W29/W30),"")="","",(W29/W30)),INDIRECT("'update Helper'!K"&amp;AI29+3)/100)</f>
        <v/>
      </c>
      <c r="Y29" s="744"/>
      <c r="Z29" s="741"/>
      <c r="AA29" s="741"/>
      <c r="AB29" s="742"/>
      <c r="AC29" s="741"/>
      <c r="AD29" s="742"/>
      <c r="AE29" t="str">
        <f t="array" ref="AE29">IFERROR(IF(INDEX('Reference Records'!$D$4:$D$22,MATCH(LEFT(B29,255),LEFT('Reference Records'!$C$4:$C$22,255),0))=0,"",INDEX('Reference Records'!$D$4:$D$22,MATCH(LEFT(B29,255),LEFT('Reference Records'!$C$4:$C$22,255),0))),"")</f>
        <v/>
      </c>
      <c r="AF29" s="504" t="str">
        <f>IF(H29&lt;&gt;"",B29&amp;C29,"")</f>
        <v/>
      </c>
      <c r="AG29" s="504" t="b">
        <f>IF(OR(B29&lt;&gt;"",C29&lt;&gt;""),TRUE,FALSE)</f>
        <v>0</v>
      </c>
      <c r="AH29" t="str">
        <f t="array" ref="AH29">IFERROR(IF(INDEX('Reference Records'!$G$4:$G$22,MATCH(LEFT(B29,255),LEFT('Reference Records'!$C$4:$C$22,255),0))=0,"",INDEX('Reference Records'!$G$4:$G$22,MATCH(LEFT(B29,255),LEFT('Reference Records'!$C$4:$C$22,255),0))),"")</f>
        <v/>
      </c>
      <c r="AI29" s="189">
        <f>AI27+'update Helper'!$U$2</f>
        <v>104</v>
      </c>
      <c r="AJ29">
        <f>AJ27+1</f>
        <v>14</v>
      </c>
      <c r="AL29" t="str">
        <f ca="1">IFERROR(IF(INDIRECT("'update Helper'!O"&amp;AJ29)=0,"",IFERROR(VLOOKUP(INDIRECT("'update Helper'!O"&amp;AJ29),'Account Role'!A$1:B$14,2,0),IFERROR(VLOOKUP(INDIRECT("'update Helper'!N"&amp;AJ29),'Overview - Section A'!J$26:P176,7,0),""))),"")</f>
        <v/>
      </c>
    </row>
    <row r="30" spans="1:38" ht="30" customHeight="1">
      <c r="A30" s="747"/>
      <c r="B30" s="748"/>
      <c r="C30" s="748"/>
      <c r="D30" s="188"/>
      <c r="E30" s="751"/>
      <c r="F30" s="750"/>
      <c r="G30" s="748"/>
      <c r="H30" s="510"/>
      <c r="I30" s="750"/>
      <c r="J30" s="750"/>
      <c r="K30" s="188"/>
      <c r="L30" s="751"/>
      <c r="M30" s="752"/>
      <c r="N30" s="748"/>
      <c r="O30" s="188"/>
      <c r="P30" s="751"/>
      <c r="Q30" s="752"/>
      <c r="R30" s="748"/>
      <c r="S30" s="188"/>
      <c r="T30" s="751"/>
      <c r="U30" s="752"/>
      <c r="V30" s="748"/>
      <c r="W30" s="188"/>
      <c r="X30" s="751"/>
      <c r="Y30" s="752"/>
      <c r="Z30" s="748"/>
      <c r="AA30" s="748"/>
      <c r="AB30" s="750"/>
      <c r="AC30" s="748"/>
      <c r="AD30" s="750"/>
      <c r="AF30" s="504"/>
      <c r="AG30" s="504"/>
    </row>
    <row r="31" spans="1:38" ht="30" customHeight="1">
      <c r="A31" s="740">
        <v>12</v>
      </c>
      <c r="B31" s="741"/>
      <c r="C31" s="741"/>
      <c r="D31" s="187"/>
      <c r="E31" s="511" t="str">
        <f ca="1">IF(OR(INDIRECT("'update Helper'!D"&amp;AJ31)="",D31&lt;&gt;0,D32&lt;&gt;0),IF(IFERROR((D31/D32),"")="","",(D31/D32)),INDIRECT("'update Helper'!D"&amp;AJ31)/100)</f>
        <v/>
      </c>
      <c r="F31" s="742"/>
      <c r="G31" s="741"/>
      <c r="H31" s="509" t="str">
        <f>AE31</f>
        <v/>
      </c>
      <c r="I31" s="742"/>
      <c r="J31" s="742"/>
      <c r="K31" s="187"/>
      <c r="L31" s="743" t="str">
        <f ca="1">IF(OR(INDIRECT("'update Helper'!K"&amp;AI31)="",K31&lt;&gt;0,K32&lt;&gt;0),IF(IFERROR((K31/K32),"")="","",(K31/K32)),INDIRECT("'update Helper'!K"&amp;AI31)/100)</f>
        <v/>
      </c>
      <c r="M31" s="744"/>
      <c r="N31" s="741"/>
      <c r="O31" s="187"/>
      <c r="P31" s="743" t="str">
        <f ca="1">IF(OR(INDIRECT("'update Helper'!K"&amp;AI31+1)="",O31&lt;&gt;0,O32&lt;&gt;0),IF(IFERROR((O31/O32),"")="","",(O31/O32)),INDIRECT("'update Helper'!K"&amp;AI31+1)/100)</f>
        <v/>
      </c>
      <c r="Q31" s="744"/>
      <c r="R31" s="741"/>
      <c r="S31" s="187"/>
      <c r="T31" s="743" t="str">
        <f ca="1">IF(OR(INDIRECT("'update Helper'!K"&amp;AI31+2)="",S31&lt;&gt;0,S32&lt;&gt;0),IF(IFERROR((S31/S32),"")="","",(S31/S32)),INDIRECT("'update Helper'!K"&amp;AI31+2)/100)</f>
        <v/>
      </c>
      <c r="U31" s="744"/>
      <c r="V31" s="741"/>
      <c r="W31" s="187"/>
      <c r="X31" s="743" t="str">
        <f ca="1">IF(OR(INDIRECT("'update Helper'!K"&amp;AI31+3)="",W31&lt;&gt;0,W32&lt;&gt;0),IF(IFERROR((W31/W32),"")="","",(W31/W32)),INDIRECT("'update Helper'!K"&amp;AI31+3)/100)</f>
        <v/>
      </c>
      <c r="Y31" s="744"/>
      <c r="Z31" s="741"/>
      <c r="AA31" s="741"/>
      <c r="AB31" s="742"/>
      <c r="AC31" s="741"/>
      <c r="AD31" s="742"/>
      <c r="AE31" t="str">
        <f t="array" ref="AE31">IFERROR(IF(INDEX('Reference Records'!$D$4:$D$22,MATCH(LEFT(B31,255),LEFT('Reference Records'!$C$4:$C$22,255),0))=0,"",INDEX('Reference Records'!$D$4:$D$22,MATCH(LEFT(B31,255),LEFT('Reference Records'!$C$4:$C$22,255),0))),"")</f>
        <v/>
      </c>
      <c r="AF31" s="504" t="str">
        <f>IF(H31&lt;&gt;"",B31&amp;C31,"")</f>
        <v/>
      </c>
      <c r="AG31" s="504" t="b">
        <f>IF(OR(B31&lt;&gt;"",C31&lt;&gt;""),TRUE,FALSE)</f>
        <v>0</v>
      </c>
      <c r="AH31" t="str">
        <f t="array" ref="AH31">IFERROR(IF(INDEX('Reference Records'!$G$4:$G$22,MATCH(LEFT(B31,255),LEFT('Reference Records'!$C$4:$C$22,255),0))=0,"",INDEX('Reference Records'!$G$4:$G$22,MATCH(LEFT(B31,255),LEFT('Reference Records'!$C$4:$C$22,255),0))),"")</f>
        <v/>
      </c>
      <c r="AI31" s="189">
        <f>AI29+'update Helper'!$U$2</f>
        <v>110</v>
      </c>
      <c r="AJ31">
        <f>AJ29+1</f>
        <v>15</v>
      </c>
      <c r="AL31" t="str">
        <f ca="1">IFERROR(IF(INDIRECT("'update Helper'!O"&amp;AJ31)=0,"",IFERROR(VLOOKUP(INDIRECT("'update Helper'!O"&amp;AJ31),'Account Role'!A$1:B$14,2,0),IFERROR(VLOOKUP(INDIRECT("'update Helper'!N"&amp;AJ31),'Overview - Section A'!J$26:P178,7,0),""))),"")</f>
        <v/>
      </c>
    </row>
    <row r="32" spans="1:38" ht="30" customHeight="1">
      <c r="A32" s="747"/>
      <c r="B32" s="748"/>
      <c r="C32" s="748"/>
      <c r="D32" s="188"/>
      <c r="E32" s="751"/>
      <c r="F32" s="750"/>
      <c r="G32" s="748"/>
      <c r="H32" s="510"/>
      <c r="I32" s="750"/>
      <c r="J32" s="750"/>
      <c r="K32" s="188"/>
      <c r="L32" s="751"/>
      <c r="M32" s="752"/>
      <c r="N32" s="748"/>
      <c r="O32" s="188"/>
      <c r="P32" s="751"/>
      <c r="Q32" s="752"/>
      <c r="R32" s="748"/>
      <c r="S32" s="188"/>
      <c r="T32" s="751"/>
      <c r="U32" s="752"/>
      <c r="V32" s="748"/>
      <c r="W32" s="188"/>
      <c r="X32" s="751"/>
      <c r="Y32" s="752"/>
      <c r="Z32" s="748"/>
      <c r="AA32" s="748"/>
      <c r="AB32" s="750"/>
      <c r="AC32" s="748"/>
      <c r="AD32" s="750"/>
      <c r="AF32" s="504"/>
      <c r="AG32" s="504"/>
    </row>
    <row r="33" spans="1:38" ht="30" customHeight="1">
      <c r="A33" s="740">
        <v>13</v>
      </c>
      <c r="B33" s="741"/>
      <c r="C33" s="741"/>
      <c r="D33" s="187"/>
      <c r="E33" s="511" t="str">
        <f ca="1">IF(OR(INDIRECT("'update Helper'!D"&amp;AJ33)="",D33&lt;&gt;0,D34&lt;&gt;0),IF(IFERROR((D33/D34),"")="","",(D33/D34)),INDIRECT("'update Helper'!D"&amp;AJ33)/100)</f>
        <v/>
      </c>
      <c r="F33" s="742"/>
      <c r="G33" s="741"/>
      <c r="H33" s="509" t="str">
        <f>AE33</f>
        <v/>
      </c>
      <c r="I33" s="742"/>
      <c r="J33" s="742"/>
      <c r="K33" s="187"/>
      <c r="L33" s="743" t="str">
        <f ca="1">IF(OR(INDIRECT("'update Helper'!K"&amp;AI33)="",K33&lt;&gt;0,K34&lt;&gt;0),IF(IFERROR((K33/K34),"")="","",(K33/K34)),INDIRECT("'update Helper'!K"&amp;AI33)/100)</f>
        <v/>
      </c>
      <c r="M33" s="744"/>
      <c r="N33" s="741"/>
      <c r="O33" s="187"/>
      <c r="P33" s="743" t="str">
        <f ca="1">IF(OR(INDIRECT("'update Helper'!K"&amp;AI33+1)="",O33&lt;&gt;0,O34&lt;&gt;0),IF(IFERROR((O33/O34),"")="","",(O33/O34)),INDIRECT("'update Helper'!K"&amp;AI33+1)/100)</f>
        <v/>
      </c>
      <c r="Q33" s="744"/>
      <c r="R33" s="741"/>
      <c r="S33" s="187"/>
      <c r="T33" s="743" t="str">
        <f ca="1">IF(OR(INDIRECT("'update Helper'!K"&amp;AI33+2)="",S33&lt;&gt;0,S34&lt;&gt;0),IF(IFERROR((S33/S34),"")="","",(S33/S34)),INDIRECT("'update Helper'!K"&amp;AI33+2)/100)</f>
        <v/>
      </c>
      <c r="U33" s="744"/>
      <c r="V33" s="741"/>
      <c r="W33" s="187"/>
      <c r="X33" s="743" t="str">
        <f ca="1">IF(OR(INDIRECT("'update Helper'!K"&amp;AI33+3)="",W33&lt;&gt;0,W34&lt;&gt;0),IF(IFERROR((W33/W34),"")="","",(W33/W34)),INDIRECT("'update Helper'!K"&amp;AI33+3)/100)</f>
        <v/>
      </c>
      <c r="Y33" s="744"/>
      <c r="Z33" s="741"/>
      <c r="AA33" s="741"/>
      <c r="AB33" s="742"/>
      <c r="AC33" s="741"/>
      <c r="AD33" s="742"/>
      <c r="AE33" t="str">
        <f t="array" ref="AE33">IFERROR(IF(INDEX('Reference Records'!$D$4:$D$22,MATCH(LEFT(B33,255),LEFT('Reference Records'!$C$4:$C$22,255),0))=0,"",INDEX('Reference Records'!$D$4:$D$22,MATCH(LEFT(B33,255),LEFT('Reference Records'!$C$4:$C$22,255),0))),"")</f>
        <v/>
      </c>
      <c r="AF33" s="504" t="str">
        <f>IF(H33&lt;&gt;"",B33&amp;C33,"")</f>
        <v/>
      </c>
      <c r="AG33" s="504" t="b">
        <f>IF(OR(B33&lt;&gt;"",C33&lt;&gt;""),TRUE,FALSE)</f>
        <v>0</v>
      </c>
      <c r="AH33" t="str">
        <f t="array" ref="AH33">IFERROR(IF(INDEX('Reference Records'!$G$4:$G$22,MATCH(LEFT(B33,255),LEFT('Reference Records'!$C$4:$C$22,255),0))=0,"",INDEX('Reference Records'!$G$4:$G$22,MATCH(LEFT(B33,255),LEFT('Reference Records'!$C$4:$C$22,255),0))),"")</f>
        <v/>
      </c>
      <c r="AI33" s="189">
        <f>AI31+'update Helper'!$U$2</f>
        <v>116</v>
      </c>
      <c r="AJ33">
        <f>AJ31+1</f>
        <v>16</v>
      </c>
      <c r="AL33" t="str">
        <f ca="1">IFERROR(IF(INDIRECT("'update Helper'!O"&amp;AJ33)=0,"",IFERROR(VLOOKUP(INDIRECT("'update Helper'!O"&amp;AJ33),'Account Role'!A$1:B$14,2,0),IFERROR(VLOOKUP(INDIRECT("'update Helper'!N"&amp;AJ33),'Overview - Section A'!J$26:P180,7,0),""))),"")</f>
        <v/>
      </c>
    </row>
    <row r="34" spans="1:38" ht="30" customHeight="1">
      <c r="A34" s="747"/>
      <c r="B34" s="748"/>
      <c r="C34" s="748"/>
      <c r="D34" s="188"/>
      <c r="E34" s="751"/>
      <c r="F34" s="750"/>
      <c r="G34" s="748"/>
      <c r="H34" s="510"/>
      <c r="I34" s="750"/>
      <c r="J34" s="750"/>
      <c r="K34" s="188"/>
      <c r="L34" s="751"/>
      <c r="M34" s="752"/>
      <c r="N34" s="748"/>
      <c r="O34" s="188"/>
      <c r="P34" s="751"/>
      <c r="Q34" s="752"/>
      <c r="R34" s="748"/>
      <c r="S34" s="188"/>
      <c r="T34" s="751"/>
      <c r="U34" s="752"/>
      <c r="V34" s="748"/>
      <c r="W34" s="188"/>
      <c r="X34" s="751"/>
      <c r="Y34" s="752"/>
      <c r="Z34" s="748"/>
      <c r="AA34" s="748"/>
      <c r="AB34" s="750"/>
      <c r="AC34" s="748"/>
      <c r="AD34" s="750"/>
      <c r="AF34" s="504"/>
      <c r="AG34" s="504"/>
    </row>
    <row r="35" spans="1:38" ht="30" customHeight="1">
      <c r="A35" s="740">
        <v>14</v>
      </c>
      <c r="B35" s="741"/>
      <c r="C35" s="741"/>
      <c r="D35" s="187"/>
      <c r="E35" s="511" t="str">
        <f ca="1">IF(OR(INDIRECT("'update Helper'!D"&amp;AJ35)="",D35&lt;&gt;0,D36&lt;&gt;0),IF(IFERROR((D35/D36),"")="","",(D35/D36)),INDIRECT("'update Helper'!D"&amp;AJ35)/100)</f>
        <v/>
      </c>
      <c r="F35" s="742"/>
      <c r="G35" s="741"/>
      <c r="H35" s="509" t="str">
        <f>AE35</f>
        <v/>
      </c>
      <c r="I35" s="742"/>
      <c r="J35" s="742"/>
      <c r="K35" s="187"/>
      <c r="L35" s="743" t="str">
        <f ca="1">IF(OR(INDIRECT("'update Helper'!K"&amp;AI35)="",K35&lt;&gt;0,K36&lt;&gt;0),IF(IFERROR((K35/K36),"")="","",(K35/K36)),INDIRECT("'update Helper'!K"&amp;AI35)/100)</f>
        <v/>
      </c>
      <c r="M35" s="744"/>
      <c r="N35" s="741"/>
      <c r="O35" s="187"/>
      <c r="P35" s="743" t="str">
        <f ca="1">IF(OR(INDIRECT("'update Helper'!K"&amp;AI35+1)="",O35&lt;&gt;0,O36&lt;&gt;0),IF(IFERROR((O35/O36),"")="","",(O35/O36)),INDIRECT("'update Helper'!K"&amp;AI35+1)/100)</f>
        <v/>
      </c>
      <c r="Q35" s="744"/>
      <c r="R35" s="741"/>
      <c r="S35" s="187"/>
      <c r="T35" s="743" t="str">
        <f ca="1">IF(OR(INDIRECT("'update Helper'!K"&amp;AI35+2)="",S35&lt;&gt;0,S36&lt;&gt;0),IF(IFERROR((S35/S36),"")="","",(S35/S36)),INDIRECT("'update Helper'!K"&amp;AI35+2)/100)</f>
        <v/>
      </c>
      <c r="U35" s="744"/>
      <c r="V35" s="741"/>
      <c r="W35" s="187"/>
      <c r="X35" s="743" t="str">
        <f ca="1">IF(OR(INDIRECT("'update Helper'!K"&amp;AI35+3)="",W35&lt;&gt;0,W36&lt;&gt;0),IF(IFERROR((W35/W36),"")="","",(W35/W36)),INDIRECT("'update Helper'!K"&amp;AI35+3)/100)</f>
        <v/>
      </c>
      <c r="Y35" s="744"/>
      <c r="Z35" s="741"/>
      <c r="AA35" s="741"/>
      <c r="AB35" s="742"/>
      <c r="AC35" s="741"/>
      <c r="AD35" s="742"/>
      <c r="AE35" t="str">
        <f t="array" ref="AE35">IFERROR(IF(INDEX('Reference Records'!$D$4:$D$22,MATCH(LEFT(B35,255),LEFT('Reference Records'!$C$4:$C$22,255),0))=0,"",INDEX('Reference Records'!$D$4:$D$22,MATCH(LEFT(B35,255),LEFT('Reference Records'!$C$4:$C$22,255),0))),"")</f>
        <v/>
      </c>
      <c r="AF35" s="504" t="str">
        <f>IF(H35&lt;&gt;"",B35&amp;C35,"")</f>
        <v/>
      </c>
      <c r="AG35" s="504" t="b">
        <f>IF(OR(B35&lt;&gt;"",C35&lt;&gt;""),TRUE,FALSE)</f>
        <v>0</v>
      </c>
      <c r="AH35" t="str">
        <f t="array" ref="AH35">IFERROR(IF(INDEX('Reference Records'!$G$4:$G$22,MATCH(LEFT(B35,255),LEFT('Reference Records'!$C$4:$C$22,255),0))=0,"",INDEX('Reference Records'!$G$4:$G$22,MATCH(LEFT(B35,255),LEFT('Reference Records'!$C$4:$C$22,255),0))),"")</f>
        <v/>
      </c>
      <c r="AI35" s="189">
        <f>AI33+'update Helper'!$U$2</f>
        <v>122</v>
      </c>
      <c r="AJ35">
        <f>AJ33+1</f>
        <v>17</v>
      </c>
      <c r="AL35" t="str">
        <f ca="1">IFERROR(IF(INDIRECT("'update Helper'!O"&amp;AJ35)=0,"",IFERROR(VLOOKUP(INDIRECT("'update Helper'!O"&amp;AJ35),'Account Role'!A$1:B$14,2,0),IFERROR(VLOOKUP(INDIRECT("'update Helper'!N"&amp;AJ35),'Overview - Section A'!J$26:P182,7,0),""))),"")</f>
        <v/>
      </c>
    </row>
    <row r="36" spans="1:38" ht="30" customHeight="1">
      <c r="A36" s="747"/>
      <c r="B36" s="748"/>
      <c r="C36" s="748"/>
      <c r="D36" s="188"/>
      <c r="E36" s="751"/>
      <c r="F36" s="750"/>
      <c r="G36" s="748"/>
      <c r="H36" s="510"/>
      <c r="I36" s="750"/>
      <c r="J36" s="750"/>
      <c r="K36" s="188"/>
      <c r="L36" s="751"/>
      <c r="M36" s="752"/>
      <c r="N36" s="748"/>
      <c r="O36" s="188"/>
      <c r="P36" s="751"/>
      <c r="Q36" s="752"/>
      <c r="R36" s="748"/>
      <c r="S36" s="188"/>
      <c r="T36" s="751"/>
      <c r="U36" s="752"/>
      <c r="V36" s="748"/>
      <c r="W36" s="188"/>
      <c r="X36" s="751"/>
      <c r="Y36" s="752"/>
      <c r="Z36" s="748"/>
      <c r="AA36" s="748"/>
      <c r="AB36" s="750"/>
      <c r="AC36" s="748"/>
      <c r="AD36" s="750"/>
      <c r="AF36" s="504"/>
      <c r="AG36" s="504"/>
    </row>
    <row r="37" spans="1:38" ht="30" customHeight="1">
      <c r="A37" s="740">
        <v>15</v>
      </c>
      <c r="B37" s="741"/>
      <c r="C37" s="741"/>
      <c r="D37" s="187"/>
      <c r="E37" s="511" t="str">
        <f ca="1">IF(OR(INDIRECT("'update Helper'!D"&amp;AJ37)="",D37&lt;&gt;0,D38&lt;&gt;0),IF(IFERROR((D37/D38),"")="","",(D37/D38)),INDIRECT("'update Helper'!D"&amp;AJ37)/100)</f>
        <v/>
      </c>
      <c r="F37" s="742"/>
      <c r="G37" s="741"/>
      <c r="H37" s="509" t="str">
        <f>AE37</f>
        <v/>
      </c>
      <c r="I37" s="742"/>
      <c r="J37" s="742"/>
      <c r="K37" s="187"/>
      <c r="L37" s="743" t="str">
        <f ca="1">IF(OR(INDIRECT("'update Helper'!K"&amp;AI37)="",K37&lt;&gt;0,K38&lt;&gt;0),IF(IFERROR((K37/K38),"")="","",(K37/K38)),INDIRECT("'update Helper'!K"&amp;AI37)/100)</f>
        <v/>
      </c>
      <c r="M37" s="744"/>
      <c r="N37" s="741"/>
      <c r="O37" s="187"/>
      <c r="P37" s="743" t="str">
        <f ca="1">IF(OR(INDIRECT("'update Helper'!K"&amp;AI37+1)="",O37&lt;&gt;0,O38&lt;&gt;0),IF(IFERROR((O37/O38),"")="","",(O37/O38)),INDIRECT("'update Helper'!K"&amp;AI37+1)/100)</f>
        <v/>
      </c>
      <c r="Q37" s="744"/>
      <c r="R37" s="741"/>
      <c r="S37" s="187"/>
      <c r="T37" s="743" t="str">
        <f ca="1">IF(OR(INDIRECT("'update Helper'!K"&amp;AI37+2)="",S37&lt;&gt;0,S38&lt;&gt;0),IF(IFERROR((S37/S38),"")="","",(S37/S38)),INDIRECT("'update Helper'!K"&amp;AI37+2)/100)</f>
        <v/>
      </c>
      <c r="U37" s="744"/>
      <c r="V37" s="741"/>
      <c r="W37" s="187"/>
      <c r="X37" s="743" t="str">
        <f ca="1">IF(OR(INDIRECT("'update Helper'!K"&amp;AI37+3)="",W37&lt;&gt;0,W38&lt;&gt;0),IF(IFERROR((W37/W38),"")="","",(W37/W38)),INDIRECT("'update Helper'!K"&amp;AI37+3)/100)</f>
        <v/>
      </c>
      <c r="Y37" s="744"/>
      <c r="Z37" s="741"/>
      <c r="AA37" s="741"/>
      <c r="AB37" s="742"/>
      <c r="AC37" s="741"/>
      <c r="AD37" s="742"/>
      <c r="AE37" t="str">
        <f t="array" ref="AE37">IFERROR(IF(INDEX('Reference Records'!$D$4:$D$22,MATCH(LEFT(B37,255),LEFT('Reference Records'!$C$4:$C$22,255),0))=0,"",INDEX('Reference Records'!$D$4:$D$22,MATCH(LEFT(B37,255),LEFT('Reference Records'!$C$4:$C$22,255),0))),"")</f>
        <v/>
      </c>
      <c r="AF37" s="504" t="str">
        <f>IF(H37&lt;&gt;"",B37&amp;C37,"")</f>
        <v/>
      </c>
      <c r="AG37" s="504" t="b">
        <f>IF(OR(B37&lt;&gt;"",C37&lt;&gt;""),TRUE,FALSE)</f>
        <v>0</v>
      </c>
      <c r="AH37" t="str">
        <f t="array" ref="AH37">IFERROR(IF(INDEX('Reference Records'!$G$4:$G$22,MATCH(LEFT(B37,255),LEFT('Reference Records'!$C$4:$C$22,255),0))=0,"",INDEX('Reference Records'!$G$4:$G$22,MATCH(LEFT(B37,255),LEFT('Reference Records'!$C$4:$C$22,255),0))),"")</f>
        <v/>
      </c>
      <c r="AI37" s="189">
        <f>AI35+'update Helper'!$U$2</f>
        <v>128</v>
      </c>
      <c r="AJ37">
        <f>AJ35+1</f>
        <v>18</v>
      </c>
      <c r="AL37" t="str">
        <f ca="1">IFERROR(IF(INDIRECT("'update Helper'!O"&amp;AJ37)=0,"",IFERROR(VLOOKUP(INDIRECT("'update Helper'!O"&amp;AJ37),'Account Role'!A$1:B$14,2,0),IFERROR(VLOOKUP(INDIRECT("'update Helper'!N"&amp;AJ37),'Overview - Section A'!J$26:P184,7,0),""))),"")</f>
        <v/>
      </c>
    </row>
    <row r="38" spans="1:38" ht="30" customHeight="1">
      <c r="A38" s="747"/>
      <c r="B38" s="748"/>
      <c r="C38" s="748"/>
      <c r="D38" s="188"/>
      <c r="E38" s="751"/>
      <c r="F38" s="750"/>
      <c r="G38" s="748"/>
      <c r="H38" s="510"/>
      <c r="I38" s="750"/>
      <c r="J38" s="750"/>
      <c r="K38" s="188"/>
      <c r="L38" s="751"/>
      <c r="M38" s="752"/>
      <c r="N38" s="748"/>
      <c r="O38" s="188"/>
      <c r="P38" s="751"/>
      <c r="Q38" s="752"/>
      <c r="R38" s="748"/>
      <c r="S38" s="188"/>
      <c r="T38" s="751"/>
      <c r="U38" s="752"/>
      <c r="V38" s="748"/>
      <c r="W38" s="188"/>
      <c r="X38" s="751"/>
      <c r="Y38" s="752"/>
      <c r="Z38" s="748"/>
      <c r="AA38" s="748"/>
      <c r="AB38" s="750"/>
      <c r="AC38" s="748"/>
      <c r="AD38" s="750"/>
      <c r="AF38" s="504"/>
      <c r="AG38" s="504"/>
    </row>
    <row r="39" spans="1:38" ht="30" customHeight="1">
      <c r="D39" s="189"/>
    </row>
    <row r="40" spans="1:38" ht="30" customHeight="1">
      <c r="D40" s="189"/>
    </row>
    <row r="41" spans="1:38" ht="30" customHeight="1">
      <c r="D41" s="189"/>
    </row>
    <row r="42" spans="1:38" ht="30" customHeight="1">
      <c r="D42" s="189"/>
    </row>
    <row r="43" spans="1:38" ht="30" customHeight="1">
      <c r="D43" s="189"/>
    </row>
    <row r="44" spans="1:38" ht="30" customHeight="1">
      <c r="D44" s="189"/>
    </row>
    <row r="45" spans="1:38" ht="30" customHeight="1">
      <c r="D45" s="189"/>
    </row>
    <row r="46" spans="1:38" ht="30" customHeight="1">
      <c r="D46" s="189"/>
    </row>
    <row r="47" spans="1:38" ht="30" customHeight="1">
      <c r="D47" s="189"/>
    </row>
    <row r="48" spans="1:38" ht="30" customHeight="1">
      <c r="D48" s="189"/>
    </row>
    <row r="49" spans="4:4" ht="30" customHeight="1">
      <c r="D49" s="189"/>
    </row>
    <row r="50" spans="4:4" ht="30" customHeight="1">
      <c r="D50" s="189"/>
    </row>
    <row r="51" spans="4:4" ht="30" customHeight="1">
      <c r="D51" s="189"/>
    </row>
    <row r="52" spans="4:4" ht="30" customHeight="1">
      <c r="D52" s="189"/>
    </row>
    <row r="53" spans="4:4" ht="30" customHeight="1">
      <c r="D53" s="189"/>
    </row>
    <row r="54" spans="4:4" ht="30" customHeight="1">
      <c r="D54" s="189"/>
    </row>
    <row r="55" spans="4:4" ht="30" customHeight="1">
      <c r="D55" s="189"/>
    </row>
    <row r="56" spans="4:4" ht="30" customHeight="1">
      <c r="D56" s="189"/>
    </row>
    <row r="57" spans="4:4" ht="30" customHeight="1">
      <c r="D57" s="189"/>
    </row>
    <row r="58" spans="4:4" ht="30" customHeight="1">
      <c r="D58" s="189"/>
    </row>
    <row r="59" spans="4:4" ht="30" customHeight="1">
      <c r="D59" s="189"/>
    </row>
    <row r="60" spans="4:4" ht="30" customHeight="1">
      <c r="D60" s="189"/>
    </row>
    <row r="61" spans="4:4" ht="30" customHeight="1">
      <c r="D61" s="189"/>
    </row>
    <row r="62" spans="4:4" ht="30" customHeight="1">
      <c r="D62" s="189"/>
    </row>
    <row r="63" spans="4:4" ht="30" customHeight="1">
      <c r="D63" s="189"/>
    </row>
    <row r="64" spans="4:4" ht="30" customHeight="1">
      <c r="D64" s="189"/>
    </row>
    <row r="65" spans="4:4" ht="30" customHeight="1">
      <c r="D65" s="189"/>
    </row>
    <row r="66" spans="4:4" ht="30" customHeight="1">
      <c r="D66" s="189"/>
    </row>
    <row r="67" spans="4:4" ht="30" customHeight="1">
      <c r="D67" s="189"/>
    </row>
    <row r="68" spans="4:4" ht="30" customHeight="1">
      <c r="D68" s="189"/>
    </row>
    <row r="69" spans="4:4" ht="30" customHeight="1">
      <c r="D69" s="189"/>
    </row>
    <row r="70" spans="4:4" ht="30" customHeight="1">
      <c r="D70" s="189"/>
    </row>
    <row r="71" spans="4:4" ht="30" customHeight="1">
      <c r="D71" s="189"/>
    </row>
    <row r="72" spans="4:4" ht="30" customHeight="1">
      <c r="D72" s="189"/>
    </row>
    <row r="73" spans="4:4" ht="30" customHeight="1">
      <c r="D73" s="189"/>
    </row>
    <row r="74" spans="4:4" ht="30" customHeight="1">
      <c r="D74" s="189"/>
    </row>
    <row r="75" spans="4:4" ht="30" customHeight="1">
      <c r="D75" s="189"/>
    </row>
    <row r="76" spans="4:4" ht="30" customHeight="1">
      <c r="D76" s="189"/>
    </row>
    <row r="77" spans="4:4" ht="30" customHeight="1">
      <c r="D77" s="189"/>
    </row>
    <row r="78" spans="4:4" ht="30" customHeight="1">
      <c r="D78" s="189"/>
    </row>
    <row r="79" spans="4:4" ht="30" customHeight="1">
      <c r="D79" s="189"/>
    </row>
    <row r="80" spans="4:4" ht="30" customHeight="1">
      <c r="D80" s="189"/>
    </row>
    <row r="81" spans="4:4" ht="30" customHeight="1">
      <c r="D81" s="189"/>
    </row>
    <row r="82" spans="4:4" ht="30" customHeight="1">
      <c r="D82" s="189"/>
    </row>
    <row r="83" spans="4:4" ht="30" customHeight="1">
      <c r="D83" s="189"/>
    </row>
    <row r="84" spans="4:4" ht="30" customHeight="1">
      <c r="D84" s="189"/>
    </row>
    <row r="85" spans="4:4" ht="30" customHeight="1">
      <c r="D85" s="189"/>
    </row>
    <row r="86" spans="4:4" ht="30" customHeight="1">
      <c r="D86" s="189"/>
    </row>
    <row r="87" spans="4:4" ht="30" customHeight="1">
      <c r="D87" s="189"/>
    </row>
    <row r="88" spans="4:4" ht="30" customHeight="1">
      <c r="D88" s="189"/>
    </row>
    <row r="89" spans="4:4" ht="30" customHeight="1">
      <c r="D89" s="189"/>
    </row>
    <row r="90" spans="4:4" ht="30" customHeight="1">
      <c r="D90" s="189"/>
    </row>
    <row r="91" spans="4:4" ht="30" customHeight="1">
      <c r="D91" s="189"/>
    </row>
    <row r="92" spans="4:4" ht="30" customHeight="1">
      <c r="D92" s="189"/>
    </row>
    <row r="93" spans="4:4" ht="30" customHeight="1">
      <c r="D93" s="189"/>
    </row>
    <row r="94" spans="4:4" ht="30" customHeight="1">
      <c r="D94" s="189"/>
    </row>
    <row r="95" spans="4:4" ht="30" customHeight="1">
      <c r="D95" s="189"/>
    </row>
    <row r="96" spans="4:4" ht="30" customHeight="1">
      <c r="D96" s="189"/>
    </row>
    <row r="97" spans="4:4" ht="30" customHeight="1">
      <c r="D97" s="189"/>
    </row>
    <row r="98" spans="4:4" ht="30" customHeight="1">
      <c r="D98" s="189"/>
    </row>
    <row r="99" spans="4:4" ht="30" customHeight="1">
      <c r="D99" s="189"/>
    </row>
    <row r="100" spans="4:4" ht="30" customHeight="1">
      <c r="D100" s="189"/>
    </row>
    <row r="101" spans="4:4">
      <c r="D101" s="189"/>
    </row>
    <row r="102" spans="4:4">
      <c r="D102" s="189"/>
    </row>
    <row r="103" spans="4:4">
      <c r="D103" s="189"/>
    </row>
    <row r="104" spans="4:4">
      <c r="D104" s="189"/>
    </row>
    <row r="105" spans="4:4">
      <c r="D105" s="189"/>
    </row>
    <row r="106" spans="4:4">
      <c r="D106" s="189"/>
    </row>
    <row r="107" spans="4:4">
      <c r="D107" s="189"/>
    </row>
    <row r="108" spans="4:4">
      <c r="D108" s="189"/>
    </row>
    <row r="109" spans="4:4">
      <c r="D109" s="189"/>
    </row>
    <row r="110" spans="4:4">
      <c r="D110" s="189"/>
    </row>
    <row r="111" spans="4:4">
      <c r="D111" s="189"/>
    </row>
    <row r="112" spans="4:4">
      <c r="D112" s="189"/>
    </row>
    <row r="113" spans="4:4">
      <c r="D113" s="189"/>
    </row>
    <row r="114" spans="4:4">
      <c r="D114" s="189"/>
    </row>
    <row r="115" spans="4:4">
      <c r="D115" s="189"/>
    </row>
    <row r="116" spans="4:4">
      <c r="D116" s="189"/>
    </row>
    <row r="117" spans="4:4">
      <c r="D117" s="189"/>
    </row>
    <row r="118" spans="4:4">
      <c r="D118" s="189"/>
    </row>
    <row r="119" spans="4:4">
      <c r="D119" s="189"/>
    </row>
    <row r="120" spans="4:4">
      <c r="D120" s="189"/>
    </row>
    <row r="121" spans="4:4">
      <c r="D121" s="189"/>
    </row>
    <row r="122" spans="4:4">
      <c r="D122" s="189"/>
    </row>
    <row r="123" spans="4:4">
      <c r="D123" s="189"/>
    </row>
    <row r="124" spans="4:4">
      <c r="D124" s="189"/>
    </row>
    <row r="125" spans="4:4">
      <c r="D125" s="189"/>
    </row>
    <row r="126" spans="4:4">
      <c r="D126" s="189"/>
    </row>
    <row r="127" spans="4:4">
      <c r="D127" s="189"/>
    </row>
    <row r="128" spans="4:4">
      <c r="D128" s="189"/>
    </row>
    <row r="129" spans="4:4">
      <c r="D129" s="189"/>
    </row>
    <row r="130" spans="4:4">
      <c r="D130" s="189"/>
    </row>
    <row r="131" spans="4:4">
      <c r="D131" s="189"/>
    </row>
    <row r="132" spans="4:4">
      <c r="D132" s="189"/>
    </row>
    <row r="133" spans="4:4">
      <c r="D133" s="189"/>
    </row>
    <row r="134" spans="4:4">
      <c r="D134" s="189"/>
    </row>
    <row r="135" spans="4:4">
      <c r="D135" s="189"/>
    </row>
    <row r="136" spans="4:4">
      <c r="D136" s="189"/>
    </row>
    <row r="137" spans="4:4">
      <c r="D137" s="189"/>
    </row>
    <row r="138" spans="4:4">
      <c r="D138" s="189"/>
    </row>
    <row r="139" spans="4:4">
      <c r="D139" s="189"/>
    </row>
    <row r="140" spans="4:4">
      <c r="D140" s="189"/>
    </row>
    <row r="141" spans="4:4">
      <c r="D141" s="189"/>
    </row>
    <row r="142" spans="4:4">
      <c r="D142" s="189"/>
    </row>
    <row r="143" spans="4:4">
      <c r="D143" s="189"/>
    </row>
    <row r="144" spans="4:4">
      <c r="D144" s="189"/>
    </row>
    <row r="145" spans="4:4">
      <c r="D145" s="189"/>
    </row>
    <row r="146" spans="4:4">
      <c r="D146" s="189"/>
    </row>
    <row r="147" spans="4:4">
      <c r="D147" s="189"/>
    </row>
    <row r="148" spans="4:4">
      <c r="D148" s="189"/>
    </row>
    <row r="149" spans="4:4">
      <c r="D149" s="189"/>
    </row>
    <row r="150" spans="4:4">
      <c r="D150" s="189"/>
    </row>
    <row r="151" spans="4:4">
      <c r="D151" s="189"/>
    </row>
    <row r="152" spans="4:4">
      <c r="D152" s="189"/>
    </row>
    <row r="153" spans="4:4">
      <c r="D153" s="189"/>
    </row>
    <row r="154" spans="4:4">
      <c r="D154" s="189"/>
    </row>
    <row r="155" spans="4:4">
      <c r="D155" s="189"/>
    </row>
    <row r="156" spans="4:4">
      <c r="D156" s="189"/>
    </row>
    <row r="157" spans="4:4">
      <c r="D157" s="189"/>
    </row>
    <row r="158" spans="4:4">
      <c r="D158" s="189"/>
    </row>
    <row r="159" spans="4:4">
      <c r="D159" s="189"/>
    </row>
    <row r="160" spans="4:4">
      <c r="D160" s="189"/>
    </row>
    <row r="161" spans="4:4">
      <c r="D161" s="189"/>
    </row>
    <row r="162" spans="4:4">
      <c r="D162" s="189"/>
    </row>
    <row r="163" spans="4:4">
      <c r="D163" s="189"/>
    </row>
    <row r="164" spans="4:4">
      <c r="D164" s="189"/>
    </row>
    <row r="165" spans="4:4">
      <c r="D165" s="189"/>
    </row>
    <row r="166" spans="4:4">
      <c r="D166" s="189"/>
    </row>
    <row r="167" spans="4:4">
      <c r="D167" s="189"/>
    </row>
    <row r="168" spans="4:4">
      <c r="D168" s="189"/>
    </row>
    <row r="169" spans="4:4">
      <c r="D169" s="189"/>
    </row>
    <row r="170" spans="4:4">
      <c r="D170" s="189"/>
    </row>
    <row r="171" spans="4:4">
      <c r="D171" s="189"/>
    </row>
    <row r="172" spans="4:4">
      <c r="D172" s="189"/>
    </row>
    <row r="173" spans="4:4">
      <c r="D173" s="189"/>
    </row>
    <row r="174" spans="4:4">
      <c r="D174" s="189"/>
    </row>
    <row r="175" spans="4:4">
      <c r="D175" s="189"/>
    </row>
    <row r="176" spans="4:4">
      <c r="D176" s="189"/>
    </row>
    <row r="177" spans="4:4">
      <c r="D177" s="189"/>
    </row>
    <row r="178" spans="4:4">
      <c r="D178" s="189"/>
    </row>
    <row r="179" spans="4:4">
      <c r="D179" s="189"/>
    </row>
    <row r="180" spans="4:4">
      <c r="D180" s="189"/>
    </row>
    <row r="181" spans="4:4">
      <c r="D181" s="189"/>
    </row>
    <row r="182" spans="4:4">
      <c r="D182" s="189"/>
    </row>
    <row r="183" spans="4:4">
      <c r="D183" s="189"/>
    </row>
    <row r="184" spans="4:4">
      <c r="D184" s="189"/>
    </row>
    <row r="185" spans="4:4">
      <c r="D185" s="189"/>
    </row>
    <row r="186" spans="4:4">
      <c r="D186" s="189"/>
    </row>
    <row r="187" spans="4:4">
      <c r="D187" s="189"/>
    </row>
    <row r="188" spans="4:4">
      <c r="D188" s="189"/>
    </row>
    <row r="189" spans="4:4">
      <c r="D189" s="189"/>
    </row>
    <row r="190" spans="4:4">
      <c r="D190" s="189"/>
    </row>
    <row r="191" spans="4:4">
      <c r="D191" s="189"/>
    </row>
    <row r="192" spans="4:4">
      <c r="D192" s="189"/>
    </row>
    <row r="193" spans="4:4">
      <c r="D193" s="189"/>
    </row>
    <row r="194" spans="4:4">
      <c r="D194" s="189"/>
    </row>
    <row r="195" spans="4:4">
      <c r="D195" s="189"/>
    </row>
    <row r="196" spans="4:4">
      <c r="D196" s="189"/>
    </row>
    <row r="197" spans="4:4">
      <c r="D197" s="189"/>
    </row>
    <row r="198" spans="4:4">
      <c r="D198" s="189"/>
    </row>
    <row r="199" spans="4:4">
      <c r="D199" s="189"/>
    </row>
    <row r="200" spans="4:4">
      <c r="D200" s="189"/>
    </row>
    <row r="201" spans="4:4">
      <c r="D201" s="189"/>
    </row>
    <row r="202" spans="4:4">
      <c r="D202" s="189"/>
    </row>
    <row r="203" spans="4:4">
      <c r="D203" s="189"/>
    </row>
    <row r="204" spans="4:4">
      <c r="D204" s="189"/>
    </row>
    <row r="205" spans="4:4">
      <c r="D205" s="189"/>
    </row>
    <row r="206" spans="4:4">
      <c r="D206" s="189"/>
    </row>
    <row r="207" spans="4:4">
      <c r="D207" s="189"/>
    </row>
    <row r="208" spans="4:4">
      <c r="D208" s="189"/>
    </row>
    <row r="209" spans="4:4">
      <c r="D209" s="189"/>
    </row>
    <row r="210" spans="4:4">
      <c r="D210" s="189"/>
    </row>
    <row r="211" spans="4:4">
      <c r="D211" s="189"/>
    </row>
    <row r="212" spans="4:4">
      <c r="D212" s="189"/>
    </row>
    <row r="213" spans="4:4">
      <c r="D213" s="189"/>
    </row>
    <row r="214" spans="4:4">
      <c r="D214" s="189"/>
    </row>
    <row r="215" spans="4:4">
      <c r="D215" s="189"/>
    </row>
    <row r="216" spans="4:4">
      <c r="D216" s="189"/>
    </row>
    <row r="217" spans="4:4">
      <c r="D217" s="189"/>
    </row>
    <row r="218" spans="4:4">
      <c r="D218" s="189"/>
    </row>
    <row r="219" spans="4:4">
      <c r="D219" s="189"/>
    </row>
    <row r="220" spans="4:4">
      <c r="D220" s="189"/>
    </row>
    <row r="221" spans="4:4">
      <c r="D221" s="189"/>
    </row>
    <row r="222" spans="4:4">
      <c r="D222" s="189"/>
    </row>
    <row r="223" spans="4:4">
      <c r="D223" s="189"/>
    </row>
    <row r="224" spans="4:4">
      <c r="D224" s="189"/>
    </row>
    <row r="225" spans="4:4">
      <c r="D225" s="189"/>
    </row>
    <row r="226" spans="4:4">
      <c r="D226" s="189"/>
    </row>
    <row r="227" spans="4:4">
      <c r="D227" s="189"/>
    </row>
    <row r="228" spans="4:4">
      <c r="D228" s="189"/>
    </row>
    <row r="229" spans="4:4">
      <c r="D229" s="189"/>
    </row>
    <row r="230" spans="4:4">
      <c r="D230" s="189"/>
    </row>
    <row r="231" spans="4:4">
      <c r="D231" s="189"/>
    </row>
    <row r="232" spans="4:4">
      <c r="D232" s="189"/>
    </row>
    <row r="233" spans="4:4">
      <c r="D233" s="189"/>
    </row>
    <row r="234" spans="4:4">
      <c r="D234" s="189"/>
    </row>
    <row r="235" spans="4:4">
      <c r="D235" s="189"/>
    </row>
    <row r="236" spans="4:4">
      <c r="D236" s="189"/>
    </row>
    <row r="237" spans="4:4">
      <c r="D237" s="189"/>
    </row>
    <row r="238" spans="4:4">
      <c r="D238" s="189"/>
    </row>
    <row r="239" spans="4:4">
      <c r="D239" s="189"/>
    </row>
    <row r="240" spans="4:4">
      <c r="D240" s="189"/>
    </row>
    <row r="241" spans="4:4">
      <c r="D241" s="189"/>
    </row>
    <row r="242" spans="4:4">
      <c r="D242" s="189"/>
    </row>
    <row r="243" spans="4:4">
      <c r="D243" s="189"/>
    </row>
    <row r="244" spans="4:4">
      <c r="D244" s="189"/>
    </row>
    <row r="245" spans="4:4">
      <c r="D245" s="189"/>
    </row>
    <row r="246" spans="4:4">
      <c r="D246" s="189"/>
    </row>
    <row r="247" spans="4:4">
      <c r="D247" s="189"/>
    </row>
    <row r="248" spans="4:4">
      <c r="D248" s="189"/>
    </row>
    <row r="249" spans="4:4">
      <c r="D249" s="189"/>
    </row>
    <row r="250" spans="4:4">
      <c r="D250" s="189"/>
    </row>
    <row r="251" spans="4:4">
      <c r="D251" s="189"/>
    </row>
    <row r="252" spans="4:4">
      <c r="D252" s="189"/>
    </row>
    <row r="253" spans="4:4">
      <c r="D253" s="189"/>
    </row>
    <row r="254" spans="4:4">
      <c r="D254" s="189"/>
    </row>
    <row r="255" spans="4:4">
      <c r="D255" s="189"/>
    </row>
    <row r="256" spans="4:4">
      <c r="D256" s="189"/>
    </row>
    <row r="257" spans="4:4">
      <c r="D257" s="189"/>
    </row>
    <row r="258" spans="4:4">
      <c r="D258" s="189"/>
    </row>
    <row r="259" spans="4:4">
      <c r="D259" s="189"/>
    </row>
    <row r="260" spans="4:4">
      <c r="D260" s="189"/>
    </row>
    <row r="261" spans="4:4">
      <c r="D261" s="189"/>
    </row>
    <row r="262" spans="4:4">
      <c r="D262" s="189"/>
    </row>
    <row r="263" spans="4:4">
      <c r="D263" s="189"/>
    </row>
    <row r="264" spans="4:4">
      <c r="D264" s="189"/>
    </row>
    <row r="265" spans="4:4">
      <c r="D265" s="189"/>
    </row>
    <row r="266" spans="4:4">
      <c r="D266" s="189"/>
    </row>
    <row r="267" spans="4:4">
      <c r="D267" s="189"/>
    </row>
    <row r="268" spans="4:4">
      <c r="D268" s="189"/>
    </row>
    <row r="269" spans="4:4">
      <c r="D269" s="189"/>
    </row>
    <row r="270" spans="4:4">
      <c r="D270" s="189"/>
    </row>
    <row r="271" spans="4:4">
      <c r="D271" s="189"/>
    </row>
    <row r="272" spans="4:4">
      <c r="D272" s="189"/>
    </row>
    <row r="273" spans="4:4">
      <c r="D273" s="189"/>
    </row>
    <row r="274" spans="4:4">
      <c r="D274" s="189"/>
    </row>
    <row r="275" spans="4:4">
      <c r="D275" s="189"/>
    </row>
    <row r="276" spans="4:4">
      <c r="D276" s="189"/>
    </row>
    <row r="277" spans="4:4">
      <c r="D277" s="189"/>
    </row>
    <row r="278" spans="4:4">
      <c r="D278" s="189"/>
    </row>
    <row r="279" spans="4:4">
      <c r="D279" s="189"/>
    </row>
    <row r="280" spans="4:4">
      <c r="D280" s="189"/>
    </row>
    <row r="281" spans="4:4">
      <c r="D281" s="189"/>
    </row>
    <row r="282" spans="4:4">
      <c r="D282" s="189"/>
    </row>
    <row r="283" spans="4:4">
      <c r="D283" s="189"/>
    </row>
    <row r="284" spans="4:4">
      <c r="D284" s="189"/>
    </row>
    <row r="285" spans="4:4">
      <c r="D285" s="189"/>
    </row>
    <row r="286" spans="4:4">
      <c r="D286" s="189"/>
    </row>
    <row r="287" spans="4:4">
      <c r="D287" s="189"/>
    </row>
    <row r="288" spans="4:4">
      <c r="D288" s="189"/>
    </row>
    <row r="289" spans="4:4">
      <c r="D289" s="189"/>
    </row>
    <row r="290" spans="4:4">
      <c r="D290" s="189"/>
    </row>
    <row r="291" spans="4:4">
      <c r="D291" s="189"/>
    </row>
    <row r="292" spans="4:4">
      <c r="D292" s="189"/>
    </row>
    <row r="293" spans="4:4">
      <c r="D293" s="189"/>
    </row>
    <row r="294" spans="4:4">
      <c r="D294" s="189"/>
    </row>
    <row r="295" spans="4:4">
      <c r="D295" s="189"/>
    </row>
    <row r="296" spans="4:4">
      <c r="D296" s="189"/>
    </row>
    <row r="297" spans="4:4">
      <c r="D297" s="189"/>
    </row>
    <row r="298" spans="4:4">
      <c r="D298" s="189"/>
    </row>
    <row r="299" spans="4:4">
      <c r="D299" s="189"/>
    </row>
    <row r="300" spans="4:4">
      <c r="D300" s="189"/>
    </row>
    <row r="301" spans="4:4">
      <c r="D301" s="189"/>
    </row>
    <row r="302" spans="4:4">
      <c r="D302" s="189"/>
    </row>
    <row r="303" spans="4:4">
      <c r="D303" s="189"/>
    </row>
    <row r="304" spans="4:4">
      <c r="D304" s="189"/>
    </row>
    <row r="305" spans="4:4">
      <c r="D305" s="189"/>
    </row>
    <row r="306" spans="4:4">
      <c r="D306" s="189"/>
    </row>
    <row r="307" spans="4:4">
      <c r="D307" s="189"/>
    </row>
  </sheetData>
  <sheetProtection sheet="1" objects="1" scenarios="1" formatCells="0" formatColumns="0" formatRows="0"/>
  <mergeCells count="412">
    <mergeCell ref="W7:Z7"/>
    <mergeCell ref="A9:A10"/>
    <mergeCell ref="E9:E10"/>
    <mergeCell ref="H9:H10"/>
    <mergeCell ref="L9:L10"/>
    <mergeCell ref="P9:P10"/>
    <mergeCell ref="C9:C10"/>
    <mergeCell ref="F9:F10"/>
    <mergeCell ref="J9:J10"/>
    <mergeCell ref="M9:M10"/>
    <mergeCell ref="R9:R10"/>
    <mergeCell ref="U9:U10"/>
    <mergeCell ref="X9:X10"/>
    <mergeCell ref="Z9:Z10"/>
    <mergeCell ref="I9:I10"/>
    <mergeCell ref="A19:A20"/>
    <mergeCell ref="A21:A22"/>
    <mergeCell ref="A23:A24"/>
    <mergeCell ref="A25:A26"/>
    <mergeCell ref="A27:A28"/>
    <mergeCell ref="A7:J7"/>
    <mergeCell ref="K7:N7"/>
    <mergeCell ref="O7:R7"/>
    <mergeCell ref="S7:V7"/>
    <mergeCell ref="F19:F20"/>
    <mergeCell ref="F21:F22"/>
    <mergeCell ref="F23:F24"/>
    <mergeCell ref="F25:F26"/>
    <mergeCell ref="F27:F28"/>
    <mergeCell ref="G9:G10"/>
    <mergeCell ref="G11:G12"/>
    <mergeCell ref="G13:G14"/>
    <mergeCell ref="G15:G16"/>
    <mergeCell ref="G17:G18"/>
    <mergeCell ref="G19:G20"/>
    <mergeCell ref="G21:G22"/>
    <mergeCell ref="G23:G24"/>
    <mergeCell ref="G25:G26"/>
    <mergeCell ref="G27:G28"/>
    <mergeCell ref="A29:A30"/>
    <mergeCell ref="A31:A32"/>
    <mergeCell ref="A33:A34"/>
    <mergeCell ref="A35:A36"/>
    <mergeCell ref="A37:A38"/>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B37:B38"/>
    <mergeCell ref="A11:A12"/>
    <mergeCell ref="A13:A14"/>
    <mergeCell ref="A15:A16"/>
    <mergeCell ref="A17:A18"/>
    <mergeCell ref="C11:C12"/>
    <mergeCell ref="C13:C14"/>
    <mergeCell ref="C15:C16"/>
    <mergeCell ref="C17:C18"/>
    <mergeCell ref="C19:C20"/>
    <mergeCell ref="C21:C22"/>
    <mergeCell ref="C23:C24"/>
    <mergeCell ref="C25:C26"/>
    <mergeCell ref="C27:C28"/>
    <mergeCell ref="E11:E12"/>
    <mergeCell ref="E13:E14"/>
    <mergeCell ref="E15:E16"/>
    <mergeCell ref="E17:E18"/>
    <mergeCell ref="E19:E20"/>
    <mergeCell ref="E21:E22"/>
    <mergeCell ref="E23:E24"/>
    <mergeCell ref="E25:E26"/>
    <mergeCell ref="E27:E28"/>
    <mergeCell ref="C29:C30"/>
    <mergeCell ref="C31:C32"/>
    <mergeCell ref="C33:C34"/>
    <mergeCell ref="C35:C36"/>
    <mergeCell ref="F29:F30"/>
    <mergeCell ref="F31:F32"/>
    <mergeCell ref="F33:F34"/>
    <mergeCell ref="F35:F36"/>
    <mergeCell ref="F37:F38"/>
    <mergeCell ref="C37:C38"/>
    <mergeCell ref="E29:E30"/>
    <mergeCell ref="E31:E32"/>
    <mergeCell ref="E33:E34"/>
    <mergeCell ref="E35:E36"/>
    <mergeCell ref="E37:E38"/>
    <mergeCell ref="G29:G30"/>
    <mergeCell ref="G31:G32"/>
    <mergeCell ref="G33:G34"/>
    <mergeCell ref="G35:G36"/>
    <mergeCell ref="G37:G38"/>
    <mergeCell ref="F11:F12"/>
    <mergeCell ref="F13:F14"/>
    <mergeCell ref="F15:F16"/>
    <mergeCell ref="F17:F18"/>
    <mergeCell ref="H11:H12"/>
    <mergeCell ref="H13:H14"/>
    <mergeCell ref="H15:H16"/>
    <mergeCell ref="H17:H18"/>
    <mergeCell ref="H19:H20"/>
    <mergeCell ref="H21:H22"/>
    <mergeCell ref="H23:H24"/>
    <mergeCell ref="H25:H26"/>
    <mergeCell ref="H27:H28"/>
    <mergeCell ref="J37:J38"/>
    <mergeCell ref="I11:I12"/>
    <mergeCell ref="I13:I14"/>
    <mergeCell ref="I15:I16"/>
    <mergeCell ref="I17:I18"/>
    <mergeCell ref="I19:I20"/>
    <mergeCell ref="I21:I22"/>
    <mergeCell ref="I23:I24"/>
    <mergeCell ref="I25:I26"/>
    <mergeCell ref="J21:J22"/>
    <mergeCell ref="J23:J24"/>
    <mergeCell ref="J25:J26"/>
    <mergeCell ref="H29:H30"/>
    <mergeCell ref="H31:H32"/>
    <mergeCell ref="H33:H34"/>
    <mergeCell ref="H35:H36"/>
    <mergeCell ref="H37:H38"/>
    <mergeCell ref="I27:I28"/>
    <mergeCell ref="I29:I30"/>
    <mergeCell ref="I31:I32"/>
    <mergeCell ref="I33:I34"/>
    <mergeCell ref="I35:I36"/>
    <mergeCell ref="I37:I38"/>
    <mergeCell ref="L29:L30"/>
    <mergeCell ref="L31:L32"/>
    <mergeCell ref="L33:L34"/>
    <mergeCell ref="L35:L36"/>
    <mergeCell ref="L37:L38"/>
    <mergeCell ref="J11:J12"/>
    <mergeCell ref="J13:J14"/>
    <mergeCell ref="J15:J16"/>
    <mergeCell ref="J17:J18"/>
    <mergeCell ref="J19:J20"/>
    <mergeCell ref="L11:L12"/>
    <mergeCell ref="L13:L14"/>
    <mergeCell ref="L15:L16"/>
    <mergeCell ref="L17:L18"/>
    <mergeCell ref="L19:L20"/>
    <mergeCell ref="L21:L22"/>
    <mergeCell ref="L23:L24"/>
    <mergeCell ref="L25:L26"/>
    <mergeCell ref="L27:L28"/>
    <mergeCell ref="J27:J28"/>
    <mergeCell ref="J29:J30"/>
    <mergeCell ref="J31:J32"/>
    <mergeCell ref="J33:J34"/>
    <mergeCell ref="J35:J36"/>
    <mergeCell ref="M37:M38"/>
    <mergeCell ref="N9:N10"/>
    <mergeCell ref="N11:N12"/>
    <mergeCell ref="N13:N14"/>
    <mergeCell ref="N15:N16"/>
    <mergeCell ref="N17:N18"/>
    <mergeCell ref="N19:N20"/>
    <mergeCell ref="N21:N22"/>
    <mergeCell ref="N23:N24"/>
    <mergeCell ref="N25:N26"/>
    <mergeCell ref="N27:N28"/>
    <mergeCell ref="N29:N30"/>
    <mergeCell ref="N31:N32"/>
    <mergeCell ref="N33:N34"/>
    <mergeCell ref="N35:N36"/>
    <mergeCell ref="N37:N38"/>
    <mergeCell ref="M11:M12"/>
    <mergeCell ref="M13:M14"/>
    <mergeCell ref="M15:M16"/>
    <mergeCell ref="M17:M18"/>
    <mergeCell ref="M19:M20"/>
    <mergeCell ref="M21:M22"/>
    <mergeCell ref="M23:M24"/>
    <mergeCell ref="M25:M26"/>
    <mergeCell ref="P27:P28"/>
    <mergeCell ref="M29:M30"/>
    <mergeCell ref="M31:M32"/>
    <mergeCell ref="M33:M34"/>
    <mergeCell ref="M35:M36"/>
    <mergeCell ref="M27:M28"/>
    <mergeCell ref="P29:P30"/>
    <mergeCell ref="P31:P32"/>
    <mergeCell ref="P33:P34"/>
    <mergeCell ref="P35:P36"/>
    <mergeCell ref="P37:P38"/>
    <mergeCell ref="Q9:Q10"/>
    <mergeCell ref="Q11:Q12"/>
    <mergeCell ref="Q13:Q14"/>
    <mergeCell ref="Q15:Q16"/>
    <mergeCell ref="Q17:Q18"/>
    <mergeCell ref="Q19:Q20"/>
    <mergeCell ref="Q21:Q22"/>
    <mergeCell ref="Q23:Q24"/>
    <mergeCell ref="Q25:Q26"/>
    <mergeCell ref="Q27:Q28"/>
    <mergeCell ref="Q29:Q30"/>
    <mergeCell ref="Q31:Q32"/>
    <mergeCell ref="Q33:Q34"/>
    <mergeCell ref="Q35:Q36"/>
    <mergeCell ref="Q37:Q38"/>
    <mergeCell ref="P11:P12"/>
    <mergeCell ref="P13:P14"/>
    <mergeCell ref="P15:P16"/>
    <mergeCell ref="P17:P18"/>
    <mergeCell ref="P19:P20"/>
    <mergeCell ref="P21:P22"/>
    <mergeCell ref="P23:P24"/>
    <mergeCell ref="P25:P26"/>
    <mergeCell ref="R37:R38"/>
    <mergeCell ref="T9:T10"/>
    <mergeCell ref="T11:T12"/>
    <mergeCell ref="T13:T14"/>
    <mergeCell ref="T15:T16"/>
    <mergeCell ref="T17:T18"/>
    <mergeCell ref="T19:T20"/>
    <mergeCell ref="T21:T22"/>
    <mergeCell ref="T23:T24"/>
    <mergeCell ref="T25:T26"/>
    <mergeCell ref="T27:T28"/>
    <mergeCell ref="T29:T30"/>
    <mergeCell ref="T31:T32"/>
    <mergeCell ref="T33:T34"/>
    <mergeCell ref="T35:T36"/>
    <mergeCell ref="T37:T38"/>
    <mergeCell ref="R11:R12"/>
    <mergeCell ref="R13:R14"/>
    <mergeCell ref="R15:R16"/>
    <mergeCell ref="R17:R18"/>
    <mergeCell ref="R19:R20"/>
    <mergeCell ref="R21:R22"/>
    <mergeCell ref="R23:R24"/>
    <mergeCell ref="R25:R26"/>
    <mergeCell ref="U27:U28"/>
    <mergeCell ref="R29:R30"/>
    <mergeCell ref="R31:R32"/>
    <mergeCell ref="R33:R34"/>
    <mergeCell ref="R35:R36"/>
    <mergeCell ref="R27:R28"/>
    <mergeCell ref="U29:U30"/>
    <mergeCell ref="U31:U32"/>
    <mergeCell ref="U33:U34"/>
    <mergeCell ref="U35:U36"/>
    <mergeCell ref="U37:U38"/>
    <mergeCell ref="V9:V10"/>
    <mergeCell ref="V11:V12"/>
    <mergeCell ref="V13:V14"/>
    <mergeCell ref="V15:V16"/>
    <mergeCell ref="V17:V18"/>
    <mergeCell ref="V19:V20"/>
    <mergeCell ref="V21:V22"/>
    <mergeCell ref="V23:V24"/>
    <mergeCell ref="V25:V26"/>
    <mergeCell ref="V27:V28"/>
    <mergeCell ref="V29:V30"/>
    <mergeCell ref="V31:V32"/>
    <mergeCell ref="V33:V34"/>
    <mergeCell ref="V35:V36"/>
    <mergeCell ref="V37:V38"/>
    <mergeCell ref="U11:U12"/>
    <mergeCell ref="U13:U14"/>
    <mergeCell ref="U15:U16"/>
    <mergeCell ref="U17:U18"/>
    <mergeCell ref="U19:U20"/>
    <mergeCell ref="U21:U22"/>
    <mergeCell ref="U23:U24"/>
    <mergeCell ref="U25:U26"/>
    <mergeCell ref="X37:X38"/>
    <mergeCell ref="Y9:Y10"/>
    <mergeCell ref="Y11:Y12"/>
    <mergeCell ref="Y13:Y14"/>
    <mergeCell ref="Y15:Y16"/>
    <mergeCell ref="Y17:Y18"/>
    <mergeCell ref="Y19:Y20"/>
    <mergeCell ref="Y21:Y22"/>
    <mergeCell ref="Y23:Y24"/>
    <mergeCell ref="Y25:Y26"/>
    <mergeCell ref="Y27:Y28"/>
    <mergeCell ref="Y29:Y30"/>
    <mergeCell ref="Y31:Y32"/>
    <mergeCell ref="Y33:Y34"/>
    <mergeCell ref="Y35:Y36"/>
    <mergeCell ref="Y37:Y38"/>
    <mergeCell ref="X11:X12"/>
    <mergeCell ref="X13:X14"/>
    <mergeCell ref="X15:X16"/>
    <mergeCell ref="X17:X18"/>
    <mergeCell ref="X19:X20"/>
    <mergeCell ref="X21:X22"/>
    <mergeCell ref="X23:X24"/>
    <mergeCell ref="X25:X26"/>
    <mergeCell ref="Z27:Z28"/>
    <mergeCell ref="X29:X30"/>
    <mergeCell ref="X31:X32"/>
    <mergeCell ref="X33:X34"/>
    <mergeCell ref="X35:X36"/>
    <mergeCell ref="X27:X28"/>
    <mergeCell ref="Z29:Z30"/>
    <mergeCell ref="Z31:Z32"/>
    <mergeCell ref="Z33:Z34"/>
    <mergeCell ref="Z35:Z36"/>
    <mergeCell ref="Z37:Z38"/>
    <mergeCell ref="AA9:AA10"/>
    <mergeCell ref="AA11:AA12"/>
    <mergeCell ref="AA13:AA14"/>
    <mergeCell ref="AA15:AA16"/>
    <mergeCell ref="AA17:AA18"/>
    <mergeCell ref="AA19:AA20"/>
    <mergeCell ref="AA21:AA22"/>
    <mergeCell ref="AA23:AA24"/>
    <mergeCell ref="AA25:AA26"/>
    <mergeCell ref="AA27:AA28"/>
    <mergeCell ref="AA29:AA30"/>
    <mergeCell ref="AA31:AA32"/>
    <mergeCell ref="AA33:AA34"/>
    <mergeCell ref="AA35:AA36"/>
    <mergeCell ref="AA37:AA38"/>
    <mergeCell ref="Z11:Z12"/>
    <mergeCell ref="Z13:Z14"/>
    <mergeCell ref="Z15:Z16"/>
    <mergeCell ref="Z17:Z18"/>
    <mergeCell ref="Z19:Z20"/>
    <mergeCell ref="Z21:Z22"/>
    <mergeCell ref="Z23:Z24"/>
    <mergeCell ref="Z25:Z26"/>
    <mergeCell ref="AC27:AC28"/>
    <mergeCell ref="AC29:AC30"/>
    <mergeCell ref="AC31:AC32"/>
    <mergeCell ref="AC33:AC34"/>
    <mergeCell ref="AC35:AC36"/>
    <mergeCell ref="AC37:AC38"/>
    <mergeCell ref="AB9:AB10"/>
    <mergeCell ref="AB11:AB12"/>
    <mergeCell ref="AB13:AB14"/>
    <mergeCell ref="AB15:AB16"/>
    <mergeCell ref="AB17:AB18"/>
    <mergeCell ref="AB19:AB20"/>
    <mergeCell ref="AB21:AB22"/>
    <mergeCell ref="AB23:AB24"/>
    <mergeCell ref="AB25:AB26"/>
    <mergeCell ref="AG35:AG36"/>
    <mergeCell ref="AG37:AG38"/>
    <mergeCell ref="AF37:AF38"/>
    <mergeCell ref="AD25:AD26"/>
    <mergeCell ref="AD27:AD28"/>
    <mergeCell ref="AD29:AD30"/>
    <mergeCell ref="AF9:AF10"/>
    <mergeCell ref="AF11:AF12"/>
    <mergeCell ref="AF13:AF14"/>
    <mergeCell ref="AF15:AF16"/>
    <mergeCell ref="AF17:AF18"/>
    <mergeCell ref="AF19:AF20"/>
    <mergeCell ref="AF29:AF30"/>
    <mergeCell ref="AD9:AD10"/>
    <mergeCell ref="AD11:AD12"/>
    <mergeCell ref="AD13:AD14"/>
    <mergeCell ref="AD15:AD16"/>
    <mergeCell ref="AD17:AD18"/>
    <mergeCell ref="AD19:AD20"/>
    <mergeCell ref="AD21:AD22"/>
    <mergeCell ref="AF21:AF22"/>
    <mergeCell ref="AF23:AF24"/>
    <mergeCell ref="AD23:AD24"/>
    <mergeCell ref="AG27:AG28"/>
    <mergeCell ref="A1:I2"/>
    <mergeCell ref="J1:AA2"/>
    <mergeCell ref="AF31:AF32"/>
    <mergeCell ref="AF33:AF34"/>
    <mergeCell ref="AF35:AF36"/>
    <mergeCell ref="AD35:AD36"/>
    <mergeCell ref="AD37:AD38"/>
    <mergeCell ref="AD31:AD32"/>
    <mergeCell ref="AD33:AD34"/>
    <mergeCell ref="AB27:AB28"/>
    <mergeCell ref="AB29:AB30"/>
    <mergeCell ref="AB31:AB32"/>
    <mergeCell ref="AB33:AB34"/>
    <mergeCell ref="AB35:AB36"/>
    <mergeCell ref="AB37:AB38"/>
    <mergeCell ref="AC9:AC10"/>
    <mergeCell ref="AC11:AC12"/>
    <mergeCell ref="AC13:AC14"/>
    <mergeCell ref="AC15:AC16"/>
    <mergeCell ref="AC17:AC18"/>
    <mergeCell ref="AC19:AC20"/>
    <mergeCell ref="AC21:AC22"/>
    <mergeCell ref="AC23:AC24"/>
    <mergeCell ref="AC25:AC26"/>
    <mergeCell ref="AG29:AG30"/>
    <mergeCell ref="AG31:AG32"/>
    <mergeCell ref="AG33:AG34"/>
    <mergeCell ref="AG23:AG24"/>
    <mergeCell ref="AG25:AG26"/>
    <mergeCell ref="AF25:AF26"/>
    <mergeCell ref="AF27:AF28"/>
    <mergeCell ref="AG9:AG10"/>
    <mergeCell ref="AG11:AG12"/>
    <mergeCell ref="AG13:AG14"/>
    <mergeCell ref="AG15:AG16"/>
    <mergeCell ref="AG17:AG18"/>
    <mergeCell ref="AG19:AG20"/>
    <mergeCell ref="AG21:AG22"/>
  </mergeCells>
  <conditionalFormatting sqref="A7 O7 S7 W7 A13 A15 A17 A19 A21 A23 A25 A27 A29 A31 A33 A35 A37 H9">
    <cfRule type="expression" dxfId="471" priority="1031">
      <formula>#REF!="Yes"</formula>
    </cfRule>
  </conditionalFormatting>
  <conditionalFormatting sqref="A7 O7 S7 W7">
    <cfRule type="expression" dxfId="470" priority="1030">
      <formula>$AE7:$AE9="[Record ID]"</formula>
    </cfRule>
  </conditionalFormatting>
  <conditionalFormatting sqref="A9">
    <cfRule type="expression" dxfId="469" priority="26">
      <formula>$AE9:$AE10="[Record ID]"</formula>
    </cfRule>
  </conditionalFormatting>
  <conditionalFormatting sqref="A11 A9">
    <cfRule type="expression" dxfId="468" priority="25">
      <formula>#REF!="Yes"</formula>
    </cfRule>
  </conditionalFormatting>
  <conditionalFormatting sqref="A11">
    <cfRule type="expression" dxfId="467" priority="23">
      <formula>$AE11:$AE12="[Record ID]"</formula>
    </cfRule>
  </conditionalFormatting>
  <conditionalFormatting sqref="A13">
    <cfRule type="expression" dxfId="466" priority="307">
      <formula>$AE13:$AE14="[Record ID]"</formula>
    </cfRule>
  </conditionalFormatting>
  <conditionalFormatting sqref="A15">
    <cfRule type="expression" dxfId="465" priority="295">
      <formula>$AE15:$AE16="[Record ID]"</formula>
    </cfRule>
  </conditionalFormatting>
  <conditionalFormatting sqref="A17">
    <cfRule type="expression" dxfId="464" priority="283">
      <formula>$AE17:$AE18="[Record ID]"</formula>
    </cfRule>
  </conditionalFormatting>
  <conditionalFormatting sqref="A19">
    <cfRule type="expression" dxfId="463" priority="271">
      <formula>$AE19:$AE20="[Record ID]"</formula>
    </cfRule>
  </conditionalFormatting>
  <conditionalFormatting sqref="A21">
    <cfRule type="expression" dxfId="462" priority="259">
      <formula>$AE21:$AE22="[Record ID]"</formula>
    </cfRule>
  </conditionalFormatting>
  <conditionalFormatting sqref="A23">
    <cfRule type="expression" dxfId="461" priority="247">
      <formula>$AE23:$AE24="[Record ID]"</formula>
    </cfRule>
  </conditionalFormatting>
  <conditionalFormatting sqref="A25">
    <cfRule type="expression" dxfId="460" priority="235">
      <formula>$AE25:$AE26="[Record ID]"</formula>
    </cfRule>
  </conditionalFormatting>
  <conditionalFormatting sqref="A27">
    <cfRule type="expression" dxfId="459" priority="223">
      <formula>$AE27:$AE28="[Record ID]"</formula>
    </cfRule>
  </conditionalFormatting>
  <conditionalFormatting sqref="A29">
    <cfRule type="expression" dxfId="458" priority="211">
      <formula>$AE29:$AE30="[Record ID]"</formula>
    </cfRule>
  </conditionalFormatting>
  <conditionalFormatting sqref="A31">
    <cfRule type="expression" dxfId="457" priority="199">
      <formula>$AE31:$AE32="[Record ID]"</formula>
    </cfRule>
  </conditionalFormatting>
  <conditionalFormatting sqref="A33">
    <cfRule type="expression" dxfId="456" priority="187">
      <formula>$AE33:$AE34="[Record ID]"</formula>
    </cfRule>
  </conditionalFormatting>
  <conditionalFormatting sqref="A35">
    <cfRule type="expression" dxfId="455" priority="175">
      <formula>$AE35:$AE36="[Record ID]"</formula>
    </cfRule>
  </conditionalFormatting>
  <conditionalFormatting sqref="A37">
    <cfRule type="expression" dxfId="454" priority="163">
      <formula>$AE37:$AE38="[Record ID]"</formula>
    </cfRule>
  </conditionalFormatting>
  <conditionalFormatting sqref="B8:C8">
    <cfRule type="expression" dxfId="453" priority="346">
      <formula>AND(#REF!&lt;&gt;"",#REF!&lt;&gt;"")</formula>
    </cfRule>
  </conditionalFormatting>
  <conditionalFormatting sqref="B9:C12">
    <cfRule type="expression" dxfId="452" priority="24">
      <formula>AND($B9&lt;&gt;"",$C9&lt;&gt;"")</formula>
    </cfRule>
  </conditionalFormatting>
  <conditionalFormatting sqref="B13:C14">
    <cfRule type="expression" dxfId="451" priority="41">
      <formula>AND($B13&lt;&gt;"",$C13&lt;&gt;"")</formula>
    </cfRule>
  </conditionalFormatting>
  <conditionalFormatting sqref="B15:C38">
    <cfRule type="expression" dxfId="450" priority="345">
      <formula>AND($B15&lt;&gt;"",$C15&lt;&gt;"")</formula>
    </cfRule>
  </conditionalFormatting>
  <conditionalFormatting sqref="H9 H11 H13 H15 H17 H19 H21 H23 H25 H27 H29 H31 H33 H35 H37">
    <cfRule type="expression" dxfId="449" priority="1175">
      <formula>$AE9:$AE10="[Record ID]"</formula>
    </cfRule>
  </conditionalFormatting>
  <conditionalFormatting sqref="H11">
    <cfRule type="expression" dxfId="448" priority="317">
      <formula>#REF!="Yes"</formula>
    </cfRule>
  </conditionalFormatting>
  <conditionalFormatting sqref="H13">
    <cfRule type="expression" dxfId="447" priority="305">
      <formula>#REF!="Yes"</formula>
    </cfRule>
  </conditionalFormatting>
  <conditionalFormatting sqref="H15">
    <cfRule type="expression" dxfId="446" priority="293">
      <formula>#REF!="Yes"</formula>
    </cfRule>
  </conditionalFormatting>
  <conditionalFormatting sqref="H17">
    <cfRule type="expression" dxfId="445" priority="281">
      <formula>#REF!="Yes"</formula>
    </cfRule>
  </conditionalFormatting>
  <conditionalFormatting sqref="H19">
    <cfRule type="expression" dxfId="444" priority="269">
      <formula>#REF!="Yes"</formula>
    </cfRule>
  </conditionalFormatting>
  <conditionalFormatting sqref="H21">
    <cfRule type="expression" dxfId="443" priority="257">
      <formula>#REF!="Yes"</formula>
    </cfRule>
  </conditionalFormatting>
  <conditionalFormatting sqref="H23">
    <cfRule type="expression" dxfId="442" priority="245">
      <formula>#REF!="Yes"</formula>
    </cfRule>
  </conditionalFormatting>
  <conditionalFormatting sqref="H25">
    <cfRule type="expression" dxfId="441" priority="233">
      <formula>#REF!="Yes"</formula>
    </cfRule>
  </conditionalFormatting>
  <conditionalFormatting sqref="H27">
    <cfRule type="expression" dxfId="440" priority="221">
      <formula>#REF!="Yes"</formula>
    </cfRule>
  </conditionalFormatting>
  <conditionalFormatting sqref="H29">
    <cfRule type="expression" dxfId="439" priority="209">
      <formula>#REF!="Yes"</formula>
    </cfRule>
  </conditionalFormatting>
  <conditionalFormatting sqref="H31">
    <cfRule type="expression" dxfId="438" priority="197">
      <formula>#REF!="Yes"</formula>
    </cfRule>
  </conditionalFormatting>
  <conditionalFormatting sqref="H33">
    <cfRule type="expression" dxfId="437" priority="185">
      <formula>#REF!="Yes"</formula>
    </cfRule>
  </conditionalFormatting>
  <conditionalFormatting sqref="H35">
    <cfRule type="expression" dxfId="436" priority="173">
      <formula>#REF!="Yes"</formula>
    </cfRule>
  </conditionalFormatting>
  <conditionalFormatting sqref="H37">
    <cfRule type="expression" dxfId="435" priority="161">
      <formula>#REF!="Yes"</formula>
    </cfRule>
  </conditionalFormatting>
  <conditionalFormatting sqref="K7">
    <cfRule type="expression" dxfId="434" priority="1027">
      <formula>#REF!="Yes"</formula>
    </cfRule>
    <cfRule type="expression" dxfId="433" priority="1028">
      <formula>$AE7:$AE9="[Record ID]"</formula>
    </cfRule>
  </conditionalFormatting>
  <conditionalFormatting sqref="K13:K14">
    <cfRule type="expression" dxfId="432" priority="39">
      <formula>AND(OR($K13&lt;&gt;"",$K14&lt;&gt;"",$L13&lt;&gt;""),$N13="TBD")</formula>
    </cfRule>
  </conditionalFormatting>
  <conditionalFormatting sqref="K16 K18 K20 K22 K24 K26 K28 K30 K32 K34 K36 K38">
    <cfRule type="expression" dxfId="431" priority="327">
      <formula>AND(OR($K16&lt;&gt;"",$K17&lt;&gt;"",$L16&lt;&gt;""),$N16="TBD")</formula>
    </cfRule>
  </conditionalFormatting>
  <conditionalFormatting sqref="K15:L16 N15:N16 K17:N38">
    <cfRule type="expression" dxfId="430" priority="326">
      <formula>AND(OR($K15&lt;&gt;"",$K16&lt;&gt;"",$L15&lt;&gt;""),$N15="TBD")</formula>
    </cfRule>
  </conditionalFormatting>
  <conditionalFormatting sqref="K9:N10 K10:K12 M11:N12 L11:L14">
    <cfRule type="expression" dxfId="429" priority="21">
      <formula>AND(OR($K9&lt;&gt;"",$K10&lt;&gt;"",$L9&lt;&gt;""),$N9="TBD")</formula>
    </cfRule>
  </conditionalFormatting>
  <conditionalFormatting sqref="M15:M16">
    <cfRule type="expression" dxfId="428" priority="2">
      <formula>AND(OR($K15&lt;&gt;"",$K16&lt;&gt;"",$L15&lt;&gt;""),$N15="TBD")</formula>
    </cfRule>
  </conditionalFormatting>
  <conditionalFormatting sqref="M13:O14">
    <cfRule type="expression" dxfId="427" priority="5">
      <formula>AND(OR($K13&lt;&gt;"",$K14&lt;&gt;"",$L13&lt;&gt;""),$N13="TBD")</formula>
    </cfRule>
  </conditionalFormatting>
  <conditionalFormatting sqref="O10 O12">
    <cfRule type="expression" dxfId="426" priority="20">
      <formula>AND(OR($O9&lt;&gt;"",$O10&lt;&gt;"",$P9&lt;&gt;""),$R9="TBD")</formula>
    </cfRule>
  </conditionalFormatting>
  <conditionalFormatting sqref="O16 O18 O20 O22 O24 O26 O28 O30 O32 O34 O36 O38">
    <cfRule type="expression" dxfId="425" priority="325">
      <formula>AND(OR($O15&lt;&gt;"",$O16&lt;&gt;"",$P15&lt;&gt;""),$R15="TBD")</formula>
    </cfRule>
  </conditionalFormatting>
  <conditionalFormatting sqref="O9:R10 O11:O12 Q11:R12 P11:P14">
    <cfRule type="expression" dxfId="424" priority="19">
      <formula>AND(OR($O9&lt;&gt;"",$O10&lt;&gt;"",$P9&lt;&gt;""),$R9="TBD")</formula>
    </cfRule>
  </conditionalFormatting>
  <conditionalFormatting sqref="O15:R38">
    <cfRule type="expression" dxfId="423" priority="324">
      <formula>AND(OR($O15&lt;&gt;"",$O16&lt;&gt;"",$P15&lt;&gt;""),$R15="TBD")</formula>
    </cfRule>
  </conditionalFormatting>
  <conditionalFormatting sqref="Q13:Q14">
    <cfRule type="expression" dxfId="422" priority="30">
      <formula>AND(OR($K13&lt;&gt;"",$K14&lt;&gt;"",$L13&lt;&gt;""),$N13="TBD")</formula>
    </cfRule>
  </conditionalFormatting>
  <conditionalFormatting sqref="R13:R14">
    <cfRule type="expression" dxfId="421" priority="37">
      <formula>AND(OR($O13&lt;&gt;"",$O14&lt;&gt;"",$P13&lt;&gt;""),$R13="TBD")</formula>
    </cfRule>
  </conditionalFormatting>
  <conditionalFormatting sqref="S10 S12">
    <cfRule type="expression" dxfId="420" priority="18">
      <formula>AND(OR($S9&lt;&gt;"",$S10&lt;&gt;"",$T9&lt;&gt;""),$V9="TBD")</formula>
    </cfRule>
  </conditionalFormatting>
  <conditionalFormatting sqref="S13:S15">
    <cfRule type="expression" dxfId="419" priority="3">
      <formula>AND(OR($K13&lt;&gt;"",$K14&lt;&gt;"",$L13&lt;&gt;""),$N13="TBD")</formula>
    </cfRule>
  </conditionalFormatting>
  <conditionalFormatting sqref="S16 S18 S20 S22 S24 S26 S28 S30 S32 S34 S36 S38">
    <cfRule type="expression" dxfId="418" priority="323">
      <formula>AND(OR($S15&lt;&gt;"",$S16&lt;&gt;"",$T15&lt;&gt;""),$V15="TBD")</formula>
    </cfRule>
  </conditionalFormatting>
  <conditionalFormatting sqref="S9:T12 V9:V12 T13:T15">
    <cfRule type="expression" dxfId="417" priority="17">
      <formula>AND(OR($S9&lt;&gt;"",$S10&lt;&gt;"",$T9&lt;&gt;""),$V9="TBD")</formula>
    </cfRule>
  </conditionalFormatting>
  <conditionalFormatting sqref="U9:U16">
    <cfRule type="expression" dxfId="416" priority="1">
      <formula>AND(OR($K9&lt;&gt;"",$K10&lt;&gt;"",$L9&lt;&gt;""),$N9="TBD")</formula>
    </cfRule>
  </conditionalFormatting>
  <conditionalFormatting sqref="V13:V14">
    <cfRule type="expression" dxfId="415" priority="35">
      <formula>AND(OR($S13&lt;&gt;"",$S14&lt;&gt;"",$T13&lt;&gt;""),$V13="TBD")</formula>
    </cfRule>
  </conditionalFormatting>
  <conditionalFormatting sqref="V15:V16 S16:T16 S17:V38">
    <cfRule type="expression" dxfId="414" priority="322">
      <formula>AND(OR($S15&lt;&gt;"",$S16&lt;&gt;"",$T15&lt;&gt;""),$V15="TBD")</formula>
    </cfRule>
  </conditionalFormatting>
  <conditionalFormatting sqref="W10 W12">
    <cfRule type="expression" dxfId="413" priority="16">
      <formula>AND(OR($W9&lt;&gt;"",$W10&lt;&gt;"",$X9&lt;&gt;""),$Z9="TBD")</formula>
    </cfRule>
  </conditionalFormatting>
  <conditionalFormatting sqref="W14">
    <cfRule type="expression" dxfId="412" priority="34">
      <formula>AND(OR($W13&lt;&gt;"",$W14&lt;&gt;"",$X13&lt;&gt;""),$Z13="TBD")</formula>
    </cfRule>
  </conditionalFormatting>
  <conditionalFormatting sqref="W16 W18 W20 W22 W24 W26 W28 W30 W32 W34 W36 W38">
    <cfRule type="expression" dxfId="411" priority="321">
      <formula>AND(OR($W15&lt;&gt;"",$W16&lt;&gt;"",$X15&lt;&gt;""),$Z15="TBD")</formula>
    </cfRule>
  </conditionalFormatting>
  <conditionalFormatting sqref="W9:Z12">
    <cfRule type="expression" dxfId="410" priority="15">
      <formula>AND(OR($W9&lt;&gt;"",$W10&lt;&gt;"",$X9&lt;&gt;""),$Z9="TBD")</formula>
    </cfRule>
  </conditionalFormatting>
  <conditionalFormatting sqref="W13:Z14">
    <cfRule type="expression" dxfId="409" priority="33">
      <formula>AND(OR($W13&lt;&gt;"",$W14&lt;&gt;"",$X13&lt;&gt;""),$Z13="TBD")</formula>
    </cfRule>
  </conditionalFormatting>
  <conditionalFormatting sqref="W15:Z38">
    <cfRule type="expression" dxfId="408" priority="320">
      <formula>AND(OR($W15&lt;&gt;"",$W16&lt;&gt;"",$X15&lt;&gt;""),$Z15="TBD")</formula>
    </cfRule>
  </conditionalFormatting>
  <conditionalFormatting sqref="AA7:AD7">
    <cfRule type="expression" dxfId="407" priority="347">
      <formula>#REF!="Yes"</formula>
    </cfRule>
    <cfRule type="expression" dxfId="406" priority="348">
      <formula>$AE7:$AE9="[Record ID]"</formula>
    </cfRule>
  </conditionalFormatting>
  <dataValidations count="11">
    <dataValidation type="list" allowBlank="1" showInputMessage="1" showErrorMessage="1" sqref="B9:B38" xr:uid="{00000000-0002-0000-0400-000000000000}">
      <formula1>ImpactIndicator</formula1>
    </dataValidation>
    <dataValidation type="custom" allowBlank="1" showErrorMessage="1" errorTitle="Indicator" error="Cannot enter both Standard and Custom indicators on the same line" sqref="C9:C38" xr:uid="{00000000-0002-0000-0400-000001000000}">
      <formula1>B9=""</formula1>
    </dataValidation>
    <dataValidation type="date" operator="greaterThan" allowBlank="1" showInputMessage="1" showErrorMessage="1" sqref="M9:M38 Q9:Q38 Y9:Y38" xr:uid="{00000000-0002-0000-0400-000002000000}">
      <formula1>36526</formula1>
    </dataValidation>
    <dataValidation type="textLength" allowBlank="1" showInputMessage="1" showErrorMessage="1" sqref="G9:G38" xr:uid="{00000000-0002-0000-0400-000003000000}">
      <formula1>0</formula1>
      <formula2>4000</formula2>
    </dataValidation>
    <dataValidation type="decimal" operator="greaterThanOrEqual" allowBlank="1" showInputMessage="1" showErrorMessage="1" sqref="D9:D307 E9:E38 K9:L38 O9:P38 S9:T38 W9:X38" xr:uid="{00000000-0002-0000-0400-000004000000}">
      <formula1>0</formula1>
    </dataValidation>
    <dataValidation type="list" allowBlank="1" showInputMessage="1" showErrorMessage="1" sqref="F9:F38" xr:uid="{00000000-0002-0000-0400-000005000000}">
      <formula1>baseline_validation</formula1>
    </dataValidation>
    <dataValidation type="date" errorStyle="information" operator="greaterThan" allowBlank="1" showInputMessage="1" showErrorMessage="1" sqref="U9:U38" xr:uid="{00000000-0002-0000-0400-000006000000}">
      <formula1>36526</formula1>
    </dataValidation>
    <dataValidation type="list" allowBlank="1" showInputMessage="1" showErrorMessage="1" sqref="J9:J38" xr:uid="{00000000-0002-0000-0400-000007000000}">
      <formula1>Country</formula1>
    </dataValidation>
    <dataValidation type="list" allowBlank="1" showInputMessage="1" showErrorMessage="1" sqref="I9:I38" xr:uid="{00000000-0002-0000-0400-000008000000}">
      <formula1>MergedAndDistinctPR</formula1>
    </dataValidation>
    <dataValidation type="textLength" allowBlank="1" showInputMessage="1" showErrorMessage="1" sqref="AA9:AA38 AC9:AD38" xr:uid="{00000000-0002-0000-0400-000009000000}">
      <formula1>0</formula1>
      <formula2>32768</formula2>
    </dataValidation>
    <dataValidation type="custom" allowBlank="1" showInputMessage="1" showErrorMessage="1" errorTitle="Indicator" error="Cannot enter both Standard and Custom indicators on the same line" sqref="AB9:AB38" xr:uid="{00000000-0002-0000-0400-00000A000000}">
      <formula1>B9=""</formula1>
    </dataValidation>
  </dataValidations>
  <hyperlinks>
    <hyperlink ref="B5" location="'Instructions-FR'!InstructionB" display="=Translations!A48"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3920"/>
  <sheetViews>
    <sheetView topLeftCell="V1" zoomScale="71" zoomScaleSheetLayoutView="100" workbookViewId="0">
      <selection activeCell="A2850" sqref="A2850"/>
    </sheetView>
  </sheetViews>
  <sheetFormatPr defaultColWidth="8.75" defaultRowHeight="15.75"/>
  <cols>
    <col min="1" max="1" width="33.25" style="164" customWidth="1"/>
    <col min="2" max="2" width="14.5" style="164" customWidth="1"/>
    <col min="3" max="3" width="27" style="164" customWidth="1"/>
    <col min="4" max="4" width="42" style="164" customWidth="1"/>
    <col min="5" max="5" width="27.75" style="164" customWidth="1"/>
    <col min="6" max="6" width="23.625" style="164" customWidth="1"/>
    <col min="7" max="7" width="33.625" style="164" customWidth="1"/>
    <col min="8" max="8" width="24.5" style="164" customWidth="1"/>
    <col min="9" max="9" width="42.625" style="164" customWidth="1"/>
    <col min="10" max="10" width="47.75" style="164" customWidth="1"/>
    <col min="11" max="11" width="31.125" style="164" customWidth="1"/>
    <col min="12" max="12" width="26.625" style="164" customWidth="1"/>
    <col min="13" max="13" width="33.75" style="164" customWidth="1"/>
    <col min="14" max="14" width="35" style="164" customWidth="1"/>
    <col min="15" max="15" width="21.125" style="164" customWidth="1"/>
    <col min="16" max="16" width="47.25" style="164" customWidth="1"/>
    <col min="17" max="17" width="29" style="164" customWidth="1"/>
    <col min="18" max="18" width="32.625" style="164" customWidth="1"/>
    <col min="19" max="19" width="33.25" style="164" customWidth="1"/>
    <col min="20" max="20" width="37.625" style="164" customWidth="1"/>
    <col min="21" max="21" width="30.625" style="164" customWidth="1"/>
    <col min="22" max="22" width="34.125" style="164" customWidth="1"/>
    <col min="23" max="23" width="35.625" style="164" customWidth="1"/>
    <col min="24" max="26" width="8.75" style="164"/>
    <col min="27" max="27" width="34.25" style="164" customWidth="1"/>
    <col min="28" max="28" width="31.25" style="164" customWidth="1"/>
    <col min="29" max="16384" width="8.75" style="164"/>
  </cols>
  <sheetData>
    <row r="1" spans="1:29">
      <c r="A1" s="165" t="s">
        <v>3038</v>
      </c>
      <c r="U1" s="164" t="s">
        <v>3039</v>
      </c>
      <c r="V1" s="164" t="s">
        <v>3040</v>
      </c>
      <c r="W1" s="164" t="s">
        <v>3041</v>
      </c>
      <c r="X1" s="164" t="s">
        <v>3042</v>
      </c>
      <c r="AA1" s="164" t="s">
        <v>3043</v>
      </c>
      <c r="AB1" s="164" t="s">
        <v>3044</v>
      </c>
      <c r="AC1" s="164" t="s">
        <v>3045</v>
      </c>
    </row>
    <row r="2" spans="1:29">
      <c r="A2" s="166"/>
      <c r="B2" s="167">
        <v>-14</v>
      </c>
      <c r="C2" s="166" t="s">
        <v>341</v>
      </c>
      <c r="D2" s="166" t="s">
        <v>3046</v>
      </c>
      <c r="E2" s="166" t="s">
        <v>3047</v>
      </c>
      <c r="F2" s="166" t="s">
        <v>3048</v>
      </c>
      <c r="G2" s="166" t="s">
        <v>3049</v>
      </c>
      <c r="H2" s="166" t="s">
        <v>3050</v>
      </c>
      <c r="I2" s="166">
        <v>-25</v>
      </c>
      <c r="J2" s="167" t="s">
        <v>3051</v>
      </c>
      <c r="K2" s="166" t="s">
        <v>3052</v>
      </c>
      <c r="L2" s="166" t="s">
        <v>3053</v>
      </c>
      <c r="M2" s="166" t="s">
        <v>3054</v>
      </c>
      <c r="N2" s="166" t="s">
        <v>3055</v>
      </c>
      <c r="O2" s="166" t="s">
        <v>3056</v>
      </c>
      <c r="P2" s="166" t="s">
        <v>3057</v>
      </c>
      <c r="Q2" s="166" t="s">
        <v>3058</v>
      </c>
      <c r="R2" s="166" t="s">
        <v>3059</v>
      </c>
      <c r="S2" s="166" t="s">
        <v>3060</v>
      </c>
      <c r="T2" s="166" t="s">
        <v>3061</v>
      </c>
      <c r="U2" s="174">
        <f>MAX('Overview - Section A'!B$47:B55)-1</f>
        <v>6</v>
      </c>
      <c r="V2" s="174">
        <f>MAX('Overview - Section A'!B$47:B55)-1</f>
        <v>6</v>
      </c>
      <c r="W2" s="174">
        <f ca="1">MAX(P$519:P880)/MAX(F$519:F880)</f>
        <v>6</v>
      </c>
      <c r="X2" s="164">
        <f ca="1">MAX(P$2370:P3331)/MAX(C$2370:C3331)</f>
        <v>6</v>
      </c>
      <c r="AA2" s="164">
        <f>COUNTA(D266:D448)-1</f>
        <v>90</v>
      </c>
      <c r="AB2" s="164">
        <f ca="1">IFERROR((MAX(P$518:P880))/AC2,0)</f>
        <v>6</v>
      </c>
      <c r="AC2" s="164">
        <f ca="1">(COUNTA(C452:C514)-2)/2</f>
        <v>30</v>
      </c>
    </row>
    <row r="3" spans="1:29" hidden="1">
      <c r="A3" s="166" t="b">
        <f ca="1">IF(OR(P3&lt;&gt;"",M3&lt;&gt;""),TRUE,FALSE)</f>
        <v>0</v>
      </c>
      <c r="B3" s="167">
        <f>B2+1</f>
        <v>-13</v>
      </c>
      <c r="C3" s="166" t="str">
        <f>IFERROR(INDEX(C$2:C3,B3,1),"")</f>
        <v/>
      </c>
      <c r="D3" s="168" t="str">
        <f ca="1">IFERROR(IF(INDIRECT("'Impact Indicators - Section B '!E"&amp;$I3)="","",INDIRECT("'Impact Indicators - Section B '!E"&amp;$I3)*100),"")</f>
        <v/>
      </c>
      <c r="E3" s="169" t="str">
        <f ca="1">IFERROR(IF(INDIRECT("'Impact Indicators - Section B '!D"&amp;$I3+1)="","",INDIRECT("'Impact Indicators - Section B '!D"&amp;$I3+1)),"")</f>
        <v/>
      </c>
      <c r="F3" s="170" t="str">
        <f ca="1">IFERROR(IF(INDIRECT("'Impact Indicators - Section B '!D"&amp;$I3)="","",INDIRECT("'Impact Indicators - Section B '!D"&amp;$I3)),"")</f>
        <v/>
      </c>
      <c r="G3" s="171" t="str">
        <f ca="1">IFERROR(IF(INDIRECT("'Impact Indicators - Section B '!AC"&amp;$I3)=0,"",INDIRECT("'Impact Indicators - Section B '!AC"&amp;$I3)),"")</f>
        <v/>
      </c>
      <c r="H3" s="171" t="str">
        <f ca="1">IFERROR(IF(INDIRECT("'Impact Indicators - Section B '!F"&amp;$I3)=0,"",INDIRECT("'Impact Indicators - Section B '!F"&amp;$I3)),"")</f>
        <v/>
      </c>
      <c r="I3" s="167">
        <f>I2+2</f>
        <v>-23</v>
      </c>
      <c r="J3" s="171" t="str">
        <f ca="1">IFERROR(IF(INDIRECT("'Impact Indicators - Section B '!AD"&amp;$I3)=0,"",INDIRECT("'Impact Indicators - Section B '!AD"&amp;$I3)),"")</f>
        <v/>
      </c>
      <c r="K3" s="166" t="str">
        <f ca="1">IFERROR(IF(INDIRECT("'Impact Indicators - Section B '!J"&amp;$I3)=0,"",INDIRECT("'Impact Indicators - Section B '!J"&amp;$I3)),"")</f>
        <v/>
      </c>
      <c r="L3" s="171" t="str">
        <f ca="1">IFERROR(IF(INDIRECT("'Impact Indicators - Section B '!AB"&amp;$I3)=0,"",INDIRECT("'Impact Indicators - Section B '!AB"&amp;$I3)),"")</f>
        <v/>
      </c>
      <c r="M3" s="166" t="str">
        <f t="array" aca="1" ref="M3" ca="1">IFERROR(VLOOKUP(LEFT(INDIRECT("'Impact Indicators - Section B '!AH"&amp;$I3),255),LEFT('Reference Records'!$G$4:$H$20,255),2,0),"")</f>
        <v/>
      </c>
      <c r="N3" s="166" t="s">
        <v>3062</v>
      </c>
      <c r="O3" s="171" t="str">
        <f ca="1">IFERROR(VLOOKUP(INDIRECT("'Impact Indicators - Section B '!I"&amp;$I3),'Overview - Section A'!M$30:P41,4,0),IFERROR(VLOOKUP(INDIRECT("'Impact Indicators - Section B '!I"&amp;$I3),'Overview - Section A'!E$27:I29,5,0),""))</f>
        <v/>
      </c>
      <c r="P3" s="171" t="str">
        <f ca="1">IFERROR(IF(INDIRECT("'Impact Indicators - Section B '!C"&amp;$I3)=0,"",INDIRECT("'Impact Indicators - Section B '!C"&amp;$I3)),"")</f>
        <v/>
      </c>
      <c r="Q3" s="171" t="str">
        <f ca="1">IFERROR(IF(INDIRECT("'Impact Indicators - Section B '!G"&amp;$I3)=0,"",INDIRECT("'Impact Indicators - Section B '!G"&amp;$I3)),"")</f>
        <v/>
      </c>
      <c r="R3" s="180" t="str">
        <f ca="1">IFERROR(IF(INDIRECT("'Impact Indicators - Section B '!AA"&amp;$I3)=0,"",INDIRECT("'Impact Indicators - Section B '!AA"&amp;$I3)),"")</f>
        <v/>
      </c>
      <c r="S3" s="171" t="s">
        <v>3063</v>
      </c>
      <c r="T3" s="171" t="s">
        <v>3064</v>
      </c>
    </row>
    <row r="4" spans="1:29">
      <c r="A4" s="166" t="b">
        <v>0</v>
      </c>
      <c r="B4" s="167">
        <f t="shared" ref="B4:B33" si="0">B3+1</f>
        <v>-12</v>
      </c>
      <c r="C4" s="166" t="s">
        <v>3065</v>
      </c>
      <c r="D4" s="168"/>
      <c r="E4" s="169"/>
      <c r="F4" s="170"/>
      <c r="G4" s="171"/>
      <c r="H4" s="171"/>
      <c r="I4" s="167">
        <f t="shared" ref="I4:I33" si="1">I3+2</f>
        <v>-21</v>
      </c>
      <c r="J4" s="171"/>
      <c r="K4" s="166"/>
      <c r="L4" s="171"/>
      <c r="M4" s="166"/>
      <c r="N4" s="166"/>
      <c r="O4" s="171"/>
      <c r="P4" s="171"/>
      <c r="Q4" s="171"/>
      <c r="R4" s="180"/>
      <c r="S4" s="171"/>
      <c r="T4" s="171"/>
    </row>
    <row r="5" spans="1:29">
      <c r="A5" s="166" t="b">
        <v>0</v>
      </c>
      <c r="B5" s="167">
        <f t="shared" si="0"/>
        <v>-11</v>
      </c>
      <c r="C5" s="166" t="s">
        <v>3066</v>
      </c>
      <c r="D5" s="168"/>
      <c r="E5" s="169"/>
      <c r="F5" s="170"/>
      <c r="G5" s="171"/>
      <c r="H5" s="171"/>
      <c r="I5" s="167">
        <f t="shared" si="1"/>
        <v>-19</v>
      </c>
      <c r="J5" s="171"/>
      <c r="K5" s="166"/>
      <c r="L5" s="171"/>
      <c r="M5" s="166"/>
      <c r="N5" s="166"/>
      <c r="O5" s="171"/>
      <c r="P5" s="171"/>
      <c r="Q5" s="171"/>
      <c r="R5" s="180"/>
      <c r="S5" s="171"/>
      <c r="T5" s="171"/>
    </row>
    <row r="6" spans="1:29">
      <c r="A6" s="166" t="b">
        <v>0</v>
      </c>
      <c r="B6" s="167">
        <f t="shared" si="0"/>
        <v>-10</v>
      </c>
      <c r="C6" s="166" t="s">
        <v>3067</v>
      </c>
      <c r="D6" s="168"/>
      <c r="E6" s="169"/>
      <c r="F6" s="170"/>
      <c r="G6" s="171"/>
      <c r="H6" s="171"/>
      <c r="I6" s="167">
        <f t="shared" si="1"/>
        <v>-17</v>
      </c>
      <c r="J6" s="171"/>
      <c r="K6" s="166"/>
      <c r="L6" s="171"/>
      <c r="M6" s="166"/>
      <c r="N6" s="166"/>
      <c r="O6" s="171"/>
      <c r="P6" s="171"/>
      <c r="Q6" s="171"/>
      <c r="R6" s="180"/>
      <c r="S6" s="171"/>
      <c r="T6" s="171"/>
    </row>
    <row r="7" spans="1:29">
      <c r="A7" s="166" t="b">
        <v>0</v>
      </c>
      <c r="B7" s="167">
        <f t="shared" si="0"/>
        <v>-9</v>
      </c>
      <c r="C7" s="166" t="s">
        <v>3068</v>
      </c>
      <c r="D7" s="168"/>
      <c r="E7" s="169"/>
      <c r="F7" s="170"/>
      <c r="G7" s="171"/>
      <c r="H7" s="171"/>
      <c r="I7" s="167">
        <f t="shared" si="1"/>
        <v>-15</v>
      </c>
      <c r="J7" s="171"/>
      <c r="K7" s="166"/>
      <c r="L7" s="171"/>
      <c r="M7" s="166"/>
      <c r="N7" s="166"/>
      <c r="O7" s="171"/>
      <c r="P7" s="171"/>
      <c r="Q7" s="171"/>
      <c r="R7" s="180"/>
      <c r="S7" s="171"/>
      <c r="T7" s="171"/>
    </row>
    <row r="8" spans="1:29">
      <c r="A8" s="166" t="b">
        <v>0</v>
      </c>
      <c r="B8" s="167">
        <f t="shared" si="0"/>
        <v>-8</v>
      </c>
      <c r="C8" s="166" t="s">
        <v>3069</v>
      </c>
      <c r="D8" s="168"/>
      <c r="E8" s="169"/>
      <c r="F8" s="170"/>
      <c r="G8" s="171"/>
      <c r="H8" s="171"/>
      <c r="I8" s="167">
        <f t="shared" si="1"/>
        <v>-13</v>
      </c>
      <c r="J8" s="171"/>
      <c r="K8" s="166"/>
      <c r="L8" s="171"/>
      <c r="M8" s="166"/>
      <c r="N8" s="166"/>
      <c r="O8" s="171"/>
      <c r="P8" s="171"/>
      <c r="Q8" s="171"/>
      <c r="R8" s="180"/>
      <c r="S8" s="171"/>
      <c r="T8" s="171"/>
    </row>
    <row r="9" spans="1:29">
      <c r="A9" s="166" t="b">
        <v>0</v>
      </c>
      <c r="B9" s="167">
        <f t="shared" si="0"/>
        <v>-7</v>
      </c>
      <c r="C9" s="166" t="s">
        <v>3070</v>
      </c>
      <c r="D9" s="168"/>
      <c r="E9" s="169"/>
      <c r="F9" s="170"/>
      <c r="G9" s="171"/>
      <c r="H9" s="171"/>
      <c r="I9" s="167">
        <f t="shared" si="1"/>
        <v>-11</v>
      </c>
      <c r="J9" s="171"/>
      <c r="K9" s="166"/>
      <c r="L9" s="171"/>
      <c r="M9" s="166"/>
      <c r="N9" s="166"/>
      <c r="O9" s="171"/>
      <c r="P9" s="171"/>
      <c r="Q9" s="171"/>
      <c r="R9" s="180"/>
      <c r="S9" s="171"/>
      <c r="T9" s="171"/>
    </row>
    <row r="10" spans="1:29">
      <c r="A10" s="166" t="b">
        <v>0</v>
      </c>
      <c r="B10" s="167">
        <f t="shared" si="0"/>
        <v>-6</v>
      </c>
      <c r="C10" s="166" t="s">
        <v>3071</v>
      </c>
      <c r="D10" s="168"/>
      <c r="E10" s="169"/>
      <c r="F10" s="170"/>
      <c r="G10" s="171"/>
      <c r="H10" s="171"/>
      <c r="I10" s="167">
        <f t="shared" si="1"/>
        <v>-9</v>
      </c>
      <c r="J10" s="171"/>
      <c r="K10" s="166"/>
      <c r="L10" s="171"/>
      <c r="M10" s="166"/>
      <c r="N10" s="166"/>
      <c r="O10" s="171"/>
      <c r="P10" s="171"/>
      <c r="Q10" s="171"/>
      <c r="R10" s="180"/>
      <c r="S10" s="171"/>
      <c r="T10" s="171"/>
    </row>
    <row r="11" spans="1:29">
      <c r="A11" s="166" t="b">
        <v>0</v>
      </c>
      <c r="B11" s="167">
        <f t="shared" si="0"/>
        <v>-5</v>
      </c>
      <c r="C11" s="166" t="s">
        <v>3072</v>
      </c>
      <c r="D11" s="168"/>
      <c r="E11" s="169"/>
      <c r="F11" s="170"/>
      <c r="G11" s="171"/>
      <c r="H11" s="171"/>
      <c r="I11" s="167">
        <f t="shared" si="1"/>
        <v>-7</v>
      </c>
      <c r="J11" s="171"/>
      <c r="K11" s="166"/>
      <c r="L11" s="171"/>
      <c r="M11" s="166"/>
      <c r="N11" s="166"/>
      <c r="O11" s="171"/>
      <c r="P11" s="171"/>
      <c r="Q11" s="171"/>
      <c r="R11" s="180"/>
      <c r="S11" s="171"/>
      <c r="T11" s="171"/>
    </row>
    <row r="12" spans="1:29">
      <c r="A12" s="166" t="b">
        <v>0</v>
      </c>
      <c r="B12" s="167">
        <f t="shared" si="0"/>
        <v>-4</v>
      </c>
      <c r="C12" s="166" t="s">
        <v>3073</v>
      </c>
      <c r="D12" s="168"/>
      <c r="E12" s="169"/>
      <c r="F12" s="170"/>
      <c r="G12" s="171"/>
      <c r="H12" s="171"/>
      <c r="I12" s="167">
        <f t="shared" si="1"/>
        <v>-5</v>
      </c>
      <c r="J12" s="171"/>
      <c r="K12" s="166"/>
      <c r="L12" s="171"/>
      <c r="M12" s="166"/>
      <c r="N12" s="166"/>
      <c r="O12" s="171"/>
      <c r="P12" s="171"/>
      <c r="Q12" s="171"/>
      <c r="R12" s="180"/>
      <c r="S12" s="171"/>
      <c r="T12" s="171"/>
    </row>
    <row r="13" spans="1:29">
      <c r="A13" s="166" t="b">
        <v>0</v>
      </c>
      <c r="B13" s="167">
        <f t="shared" si="0"/>
        <v>-3</v>
      </c>
      <c r="C13" s="166" t="s">
        <v>3074</v>
      </c>
      <c r="D13" s="168"/>
      <c r="E13" s="169"/>
      <c r="F13" s="170"/>
      <c r="G13" s="171"/>
      <c r="H13" s="171"/>
      <c r="I13" s="167">
        <f t="shared" si="1"/>
        <v>-3</v>
      </c>
      <c r="J13" s="171"/>
      <c r="K13" s="166"/>
      <c r="L13" s="171"/>
      <c r="M13" s="166"/>
      <c r="N13" s="166"/>
      <c r="O13" s="171"/>
      <c r="P13" s="171"/>
      <c r="Q13" s="171"/>
      <c r="R13" s="180"/>
      <c r="S13" s="171"/>
      <c r="T13" s="171"/>
    </row>
    <row r="14" spans="1:29">
      <c r="A14" s="166" t="b">
        <v>0</v>
      </c>
      <c r="B14" s="167">
        <f t="shared" si="0"/>
        <v>-2</v>
      </c>
      <c r="C14" s="166" t="s">
        <v>3075</v>
      </c>
      <c r="D14" s="168"/>
      <c r="E14" s="169"/>
      <c r="F14" s="170"/>
      <c r="G14" s="171"/>
      <c r="H14" s="171"/>
      <c r="I14" s="167">
        <f t="shared" si="1"/>
        <v>-1</v>
      </c>
      <c r="J14" s="171"/>
      <c r="K14" s="166"/>
      <c r="L14" s="171"/>
      <c r="M14" s="166"/>
      <c r="N14" s="166"/>
      <c r="O14" s="171"/>
      <c r="P14" s="171"/>
      <c r="Q14" s="171"/>
      <c r="R14" s="180"/>
      <c r="S14" s="171"/>
      <c r="T14" s="171"/>
    </row>
    <row r="15" spans="1:29">
      <c r="A15" s="166" t="b">
        <v>0</v>
      </c>
      <c r="B15" s="167">
        <f t="shared" si="0"/>
        <v>-1</v>
      </c>
      <c r="C15" s="166" t="s">
        <v>3076</v>
      </c>
      <c r="D15" s="168"/>
      <c r="E15" s="169"/>
      <c r="F15" s="170"/>
      <c r="G15" s="171"/>
      <c r="H15" s="171"/>
      <c r="I15" s="167">
        <f t="shared" si="1"/>
        <v>1</v>
      </c>
      <c r="J15" s="171"/>
      <c r="K15" s="166"/>
      <c r="L15" s="171"/>
      <c r="M15" s="166"/>
      <c r="N15" s="166"/>
      <c r="O15" s="171"/>
      <c r="P15" s="171"/>
      <c r="Q15" s="171"/>
      <c r="R15" s="180"/>
      <c r="S15" s="171"/>
      <c r="T15" s="171"/>
    </row>
    <row r="16" spans="1:29">
      <c r="A16" s="166" t="b">
        <v>0</v>
      </c>
      <c r="B16" s="167">
        <f t="shared" si="0"/>
        <v>0</v>
      </c>
      <c r="C16" s="166" t="s">
        <v>3077</v>
      </c>
      <c r="D16" s="168"/>
      <c r="E16" s="169"/>
      <c r="F16" s="170"/>
      <c r="G16" s="171"/>
      <c r="H16" s="171"/>
      <c r="I16" s="167">
        <f t="shared" si="1"/>
        <v>3</v>
      </c>
      <c r="J16" s="171"/>
      <c r="K16" s="166"/>
      <c r="L16" s="171"/>
      <c r="M16" s="166"/>
      <c r="N16" s="166"/>
      <c r="O16" s="171"/>
      <c r="P16" s="171"/>
      <c r="Q16" s="171"/>
      <c r="R16" s="180"/>
      <c r="S16" s="171"/>
      <c r="T16" s="171"/>
    </row>
    <row r="17" spans="1:20">
      <c r="A17" s="166" t="b">
        <v>0</v>
      </c>
      <c r="B17" s="167">
        <f t="shared" si="0"/>
        <v>1</v>
      </c>
      <c r="C17" s="166" t="s">
        <v>3078</v>
      </c>
      <c r="D17" s="168"/>
      <c r="E17" s="169"/>
      <c r="F17" s="170"/>
      <c r="G17" s="171"/>
      <c r="H17" s="171"/>
      <c r="I17" s="167">
        <f t="shared" si="1"/>
        <v>5</v>
      </c>
      <c r="J17" s="171"/>
      <c r="K17" s="166"/>
      <c r="L17" s="171"/>
      <c r="M17" s="166"/>
      <c r="N17" s="166"/>
      <c r="O17" s="171"/>
      <c r="P17" s="171"/>
      <c r="Q17" s="171"/>
      <c r="R17" s="180"/>
      <c r="S17" s="171"/>
      <c r="T17" s="171"/>
    </row>
    <row r="18" spans="1:20">
      <c r="A18" s="166" t="b">
        <v>0</v>
      </c>
      <c r="B18" s="167">
        <f t="shared" si="0"/>
        <v>2</v>
      </c>
      <c r="C18" s="166" t="s">
        <v>3079</v>
      </c>
      <c r="D18" s="168"/>
      <c r="E18" s="169"/>
      <c r="F18" s="170"/>
      <c r="G18" s="171"/>
      <c r="H18" s="171"/>
      <c r="I18" s="167">
        <f t="shared" si="1"/>
        <v>7</v>
      </c>
      <c r="J18" s="171"/>
      <c r="K18" s="166"/>
      <c r="L18" s="171"/>
      <c r="M18" s="166"/>
      <c r="N18" s="166"/>
      <c r="O18" s="171"/>
      <c r="P18" s="171"/>
      <c r="Q18" s="171"/>
      <c r="R18" s="180"/>
      <c r="S18" s="171"/>
      <c r="T18" s="171"/>
    </row>
    <row r="19" spans="1:20" ht="378">
      <c r="A19" s="166" t="b">
        <f t="shared" ref="A19:A33" ca="1" si="2">IF(OR(P19&lt;&gt;"",M19&lt;&gt;""),TRUE,FALSE)</f>
        <v>1</v>
      </c>
      <c r="B19" s="167">
        <f t="shared" si="0"/>
        <v>3</v>
      </c>
      <c r="C19" s="172" t="str">
        <f>IFERROR(INDEX(C$2:C19,B19,1),"")</f>
        <v>a1I3p00000KJpeLEAT</v>
      </c>
      <c r="D19" s="168">
        <f t="shared" ref="D19:D33" ca="1" si="3">IFERROR(IF(INDIRECT("'Impact Indicators - Section B '!E"&amp;$I19)="","",INDIRECT("'Impact Indicators - Section B '!E"&amp;$I19)*100),"")</f>
        <v>25.7</v>
      </c>
      <c r="E19" s="169" t="str">
        <f t="shared" ref="E19:E33" ca="1" si="4">IFERROR(IF(INDIRECT("'Impact Indicators - Section B '!D"&amp;$I19+1)="","",INDIRECT("'Impact Indicators - Section B '!D"&amp;$I19+1)),"")</f>
        <v/>
      </c>
      <c r="F19" s="170" t="str">
        <f t="shared" ref="F19:F33" ca="1" si="5">IFERROR(IF(INDIRECT("'Impact Indicators - Section B '!D"&amp;$I19)="","",INDIRECT("'Impact Indicators - Section B '!D"&amp;$I19)),"")</f>
        <v/>
      </c>
      <c r="G19" s="171" t="str">
        <f t="shared" ref="G19:G33" ca="1" si="6">IFERROR(IF(INDIRECT("'Impact Indicators - Section B '!AC"&amp;$I19)=0,"",INDIRECT("'Impact Indicators - Section B '!AC"&amp;$I19)),"")</f>
        <v>Biobehavioral study in MSM in 2021</v>
      </c>
      <c r="H19" s="171">
        <f t="shared" ref="H19:H33" ca="1" si="7">IFERROR(IF(INDIRECT("'Impact Indicators - Section B '!F"&amp;$I19)=0,"",INDIRECT("'Impact Indicators - Section B '!F"&amp;$I19)),"")</f>
        <v>2021</v>
      </c>
      <c r="I19" s="167">
        <f t="shared" si="1"/>
        <v>9</v>
      </c>
      <c r="J19" s="171" t="str">
        <f t="shared" ref="J19:J33" ca="1" si="8">IFERROR(IF(INDIRECT("'Impact Indicators - Section B '!AD"&amp;$I19)=0,"",INDIRECT("'Impact Indicators - Section B '!AD"&amp;$I19)),"")</f>
        <v>Baseline. Results of the bio-behavioral study in MSM population in 2021 in Bolivia (25.7%).
Source of information: Report on the results of the bio-behavioral study on MSM population to be conducted in 2025.
Numerator: Number of MSM who tested positive for HIV.
Denominator: number of MSM tested for HIV.
Method of measurement: Biobehavioral study in MSM population to be conducted management 2025.  
Comment. The prevalence estimate has been made by extrapolating the trend observed between the years 2008, 2014, 2017 and 2021. Preplanned target 29.82%, the study was considered to reach 1,650 MSM in the bio-behavioral study. This indicator will be reported once the study is completed in 2025</v>
      </c>
      <c r="K19" s="166" t="str">
        <f t="shared" ref="K19:K33" ca="1" si="9">IFERROR(IF(INDIRECT("'Impact Indicators - Section B '!J"&amp;$I19)=0,"",INDIRECT("'Impact Indicators - Section B '!J"&amp;$I19)),"")</f>
        <v>Bolivia (Plurinational State)</v>
      </c>
      <c r="L19" s="171" t="str">
        <f t="shared" ref="L19:L33" ca="1" si="10">IFERROR(IF(INDIRECT("'Impact Indicators - Section B '!AB"&amp;$I19)=0,"",INDIRECT("'Impact Indicators - Section B '!AB"&amp;$I19)),"")</f>
        <v/>
      </c>
      <c r="M19" s="166" t="str">
        <f t="array" aca="1" ref="M19" ca="1">IFERROR(VLOOKUP(LEFT(INDIRECT("'Impact Indicators - Section B '!AH"&amp;$I19),255),LEFT('Reference Records'!$G$4:$H$20,255),2,0),"")</f>
        <v>IOR-00083</v>
      </c>
      <c r="N19" s="166"/>
      <c r="O19" s="171" t="str">
        <f ca="1">IFERROR(VLOOKUP(INDIRECT("'Impact Indicators - Section B '!I"&amp;$I19),'Overview - Section A'!M$30:P57,4,0),IFERROR(VLOOKUP(INDIRECT("'Impact Indicators - Section B '!I"&amp;$I19),'Overview - Section A'!E$27:I45,5,0),""))</f>
        <v>a123p000006a3ZEAAY</v>
      </c>
      <c r="P19" s="171" t="str">
        <f t="shared" ref="P19:P33" ca="1" si="11">IFERROR(IF(INDIRECT("'Impact Indicators - Section B '!C"&amp;$I19)=0,"",INDIRECT("'Impact Indicators - Section B '!C"&amp;$I19)),"")</f>
        <v/>
      </c>
      <c r="Q19" s="171" t="str">
        <f t="shared" ref="Q19:Q33" ca="1" si="12">IFERROR(IF(INDIRECT("'Impact Indicators - Section B '!G"&amp;$I19)=0,"",INDIRECT("'Impact Indicators - Section B '!G"&amp;$I19)),"")</f>
        <v>Resultados del Estudio bioconductual en población HSH en 2021</v>
      </c>
      <c r="R19" s="180" t="str">
        <f t="shared" ref="R19:R33" ca="1" si="13">IFERROR(IF(INDIRECT("'Impact Indicators - Section B '!AA"&amp;$I19)=0,"",INDIRECT("'Impact Indicators - Section B '!AA"&amp;$I19)),"")</f>
        <v>Línea de Base. Resultados del estudio bio conductual en población HSH en 2021 en Bolivia. (25,7%)
Fuente de información: Informe resultados del estudio bio conductual en población HSH que se realizara la gestión 2025.
Numerador: Número de HSH que dieron positivo en la prueba del VIH.
Denominador: Número de HSH examinados para el VIH.
Método de medición: Estudio bio conductual en población HSH a realizarse la gestión 2025.  
Comentario. La estimación de prevalencia se ha realizado extrapolando la tendencia observada entre los años 2008, 2014, 2017 y 2021. Meta prepuesta 29,82%, se consideró que el estudio alcanzar a 1,650 HSH en el estudio bio conductual. Se reportará este indicador una vez se concluya el mencionado estudio la gestión 2025.</v>
      </c>
      <c r="S19" s="171"/>
      <c r="T19" s="171"/>
    </row>
    <row r="20" spans="1:20" ht="362.25">
      <c r="A20" s="166" t="b">
        <f t="shared" ca="1" si="2"/>
        <v>1</v>
      </c>
      <c r="B20" s="167">
        <f t="shared" si="0"/>
        <v>4</v>
      </c>
      <c r="C20" s="172" t="str">
        <f>IFERROR(INDEX(C$2:C20,B20,1),"")</f>
        <v>a1I3p00000KJpeMEAT</v>
      </c>
      <c r="D20" s="168">
        <f t="shared" ca="1" si="3"/>
        <v>30.8</v>
      </c>
      <c r="E20" s="169" t="str">
        <f t="shared" ca="1" si="4"/>
        <v/>
      </c>
      <c r="F20" s="170">
        <f t="shared" ca="1" si="5"/>
        <v>30.8</v>
      </c>
      <c r="G20" s="171" t="str">
        <f t="shared" ca="1" si="6"/>
        <v>Biobehavioral study in transgender women in 2021</v>
      </c>
      <c r="H20" s="171">
        <f t="shared" ca="1" si="7"/>
        <v>2021</v>
      </c>
      <c r="I20" s="167">
        <f t="shared" si="1"/>
        <v>11</v>
      </c>
      <c r="J20" s="171" t="str">
        <f t="shared" ca="1" si="8"/>
        <v>Baseline. Results of the bio-behavioral study on the Trans population in Bolivia in 2021 (30.8%).
Source of information: Report on the results of the bio-behavioral study on the Trans population to be carried out in 2025.
Measurement method: Bio-behavioral study on trans population to be conducted in 2025.  
Numerator: Number of transgender people who tested positive for HIV.
Denominator: Number of transgender people tested for HIV.
Comment. The prevalence estimate has been made by extrapolating the trend observed between the years 2012, 2017 and 2021. Proposed target 34.62 %. It was considered that the study will reach 520 Trans in the biobehavioral study. It is expected to report the data once the aforementioned study is concluded.</v>
      </c>
      <c r="K20" s="166" t="str">
        <f t="shared" ca="1" si="9"/>
        <v>Bolivia (Plurinational State)</v>
      </c>
      <c r="L20" s="171" t="str">
        <f t="shared" ca="1" si="10"/>
        <v/>
      </c>
      <c r="M20" s="166" t="str">
        <f t="array" aca="1" ref="M20" ca="1">IFERROR(VLOOKUP(LEFT(INDIRECT("'Impact Indicators - Section B '!AH"&amp;$I20),255),LEFT('Reference Records'!$G$4:$H$20,255),2,0),"")</f>
        <v>IOR-00084</v>
      </c>
      <c r="N20" s="166"/>
      <c r="O20" s="171" t="str">
        <f ca="1">IFERROR(VLOOKUP(INDIRECT("'Impact Indicators - Section B '!I"&amp;$I20),'Overview - Section A'!M$30:P58,4,0),IFERROR(VLOOKUP(INDIRECT("'Impact Indicators - Section B '!I"&amp;$I20),'Overview - Section A'!E$27:I46,5,0),""))</f>
        <v>a123p000006a3ZEAAY</v>
      </c>
      <c r="P20" s="171" t="str">
        <f t="shared" ca="1" si="11"/>
        <v/>
      </c>
      <c r="Q20" s="171" t="str">
        <f t="shared" ca="1" si="12"/>
        <v>Resultados del Estudio bioconductual en población TRANS en 2021</v>
      </c>
      <c r="R20" s="180" t="str">
        <f t="shared" ca="1" si="13"/>
        <v>Línea de Base. Resultados del estudio bio conductual en población Trans en 2021 en Bolivia. (30,8%)
Fuente de información: Informe resultados del estudio bio conductual en población Trans que se realizará la gestión 2025.
Método de medición: Estudio bio conductual en población trans realizarse la gestión 2025.  
Numerador: Número de Trans que dieron positivo en la prueba del VIH.
Denominador: Número de Trans examinados para el VIH.
Comentario. La estimación de prevalencia se ha realizado extrapolando la tendencia observada entre los años 2012, 2017 y 2021. Meta propuesta 34.62 %. Se consideró que el estudio alcanzará a 520 Trans en el estudio bio conductual. Se espera reportar el dato una vez se concluya el mencionado estudio.</v>
      </c>
      <c r="S20" s="171"/>
      <c r="T20" s="171"/>
    </row>
    <row r="21" spans="1:20" ht="409.5">
      <c r="A21" s="166" t="b">
        <f t="shared" ca="1" si="2"/>
        <v>1</v>
      </c>
      <c r="B21" s="167">
        <f t="shared" si="0"/>
        <v>5</v>
      </c>
      <c r="C21" s="172" t="str">
        <f>IFERROR(INDEX(C$2:C21,B21,1),"")</f>
        <v>a1I3p00000KJpeNEAT</v>
      </c>
      <c r="D21" s="168">
        <f t="shared" ca="1" si="3"/>
        <v>5971.1424338295483</v>
      </c>
      <c r="E21" s="169">
        <f t="shared" ca="1" si="4"/>
        <v>11841955</v>
      </c>
      <c r="F21" s="170">
        <f t="shared" ca="1" si="5"/>
        <v>7071</v>
      </c>
      <c r="G21" s="171" t="str">
        <f t="shared" ca="1" si="6"/>
        <v>Report of the Epidemiological Surveillance Unit - Tuberculosis Component - TB R&amp;R System - Ministry of Health and Sports.</v>
      </c>
      <c r="H21" s="171">
        <f t="shared" ca="1" si="7"/>
        <v>2021</v>
      </c>
      <c r="I21" s="167">
        <f t="shared" si="1"/>
        <v>13</v>
      </c>
      <c r="J21" s="171" t="str">
        <f t="shared" ca="1" si="8"/>
        <v>Baseline. Management 2021 Incidence Rate 60 x 100,000 inhabitants (7,071/11,841.955x 100,000) 
Source of information: Epidemiological Surveillance Unit Report - Tuberculosis Component - TB R&amp;R System - Ministry of Health and Sports.
Method of measurement: The construction of this indicator is in relation to new cases and relapses for each management:
Numerator: Number of new TB cases and relapses that occurred during the year.
Denominator: Number of people in the population x 100.000 
Population Data INE (National Institute of Statistics)
Targets: Expected incidence rate according to the National Strategy. 
Year 2023: 64 x 100,000: 7,800 / 12,169,501 inhab x 100,000 
Year 2024: 68 x 100,000: 8,400 / 12,332,252 inhab. x 100,000  
Year 2025: 72 x 100,000: 9,000/ 12,494,181 inh. x 100,000                                                                                                                                                 
Comment: The targets are based on the actions that will be carried out, such as the gradual universalization of GeneXpert MTB/RIF diagnosis to all SR cases or cases with presumptive TB, the use of GeneXpert MTB/RIF Ultra cartridges nationwide, as well as the incorporation of new GeneXpert MTB/RIF equipment in prioritized intermediate cities. Attached is an auxiliary file of the incidence estimate for 2023 - 2025. The country considers maintaining the projection of cases estimated by the country since the WHO estimates are not realistic to the country's historical uptake. This indicator was excluded from the Performance Framework by the GF in consensus with UNDP and MSyD since the source of verification is the WHO report issued in September of the following year and in previous grants it could never be reported in the PUDR dates. For this reason, we consider keeping this TB I-2 incidence indicator and not including the mortality indicator (TB I-3(M)), even though it is mandatory in principle.</v>
      </c>
      <c r="K21" s="166" t="str">
        <f t="shared" ca="1" si="9"/>
        <v>Bolivia (Plurinational State)</v>
      </c>
      <c r="L21" s="171" t="str">
        <f t="shared" ca="1" si="10"/>
        <v/>
      </c>
      <c r="M21" s="166" t="str">
        <f t="array" aca="1" ref="M21" ca="1">IFERROR(VLOOKUP(LEFT(INDIRECT("'Impact Indicators - Section B '!AH"&amp;$I21),255),LEFT('Reference Records'!$G$4:$H$20,255),2,0),"")</f>
        <v>IOR-00088</v>
      </c>
      <c r="N21" s="166"/>
      <c r="O21" s="171" t="str">
        <f ca="1">IFERROR(VLOOKUP(INDIRECT("'Impact Indicators - Section B '!I"&amp;$I21),'Overview - Section A'!M$30:P59,4,0),IFERROR(VLOOKUP(INDIRECT("'Impact Indicators - Section B '!I"&amp;$I21),'Overview - Section A'!E$27:I47,5,0),""))</f>
        <v>a123p000006a3ZEAAY</v>
      </c>
      <c r="P21" s="171" t="str">
        <f t="shared" ca="1" si="11"/>
        <v/>
      </c>
      <c r="Q21" s="171" t="str">
        <f t="shared" ca="1" si="12"/>
        <v>Reporte de la Unidad de Vigilancia Epidemiológica - Componente de Tuberculosis - Sistema de R&amp;R TB - Ministerio de Salud y Deportes.</v>
      </c>
      <c r="R21" s="180" t="str">
        <f t="shared" ca="1" si="13"/>
        <v>Línea de Base. Gestión 2021 Tasa de Incidencia 60 x 100,000 habitantes (7,071/11,841.955x 100,000) 
Fuente de información: Reporte de la Unidad de Vigilancia Epidemiológica - Componente de Tuberculosis - Sistema de R&amp;R TB - Ministerio de Salud y Deportes.
Método de medición: La construcción de este indicador esta con relación a los casos nuevos y recaídas de cada gestión:
Numerador: Número de casos de TB nuevos y recaídas ocurridos durante el año
Denominador: Número de personas en la población x 100.000 
Dato de Población INE (Instituto Nacional de Estadistica)
Metas: Tasa de Incidencia esperada de acuerdo a la Estrategia Nacional 
Año 2023:  64 x 100,000: 7,800 / 12.169.501 hab x 100,000 
Año 2024: 68 x 100,000:  8,400 / 12.332.252 hab. X 100,000  
Año 2025: 72 x 100,000: 9,000/ 12.494.181 hab x 100,000                                                                                                                                                 
Comentario: Las metas estan basadas en las acciones que se llevaran adelante como la universalizacion gradual del diagnostico por GeneXpert MTB/RIF a todo caso SR o  con TB presuntiva, la utilizacion de cartuchos de GeneXpert MTB/RIF Ultra a nivel nacional, asi como la incorporación de nuevos equipos de GeneXpert MTB/RIF en ciudades intermedias priorizadas. Se adjunta un archivo auxiliar de la estimacion de incidencia para el 2023 - 2025. El país considera mantener la proyección de casos estimada por el País ya que las estimaciones de la OMS no son reales al histórico de captación del país. Este indicador fue excluido del Marco de Desempeño por el FM en consenso con PNUD y MSyD ya que la fuente de verificación es el reporte de la OMS emitido en septiembre del siguiente año y en subvenciones anteriores nunca se pudo reportar en las fechas del PUDR. Por esta razón consideramos mantener este indicador de incidencia TB I-2 y no incluir el de mortalidad (TB I-3(M)), aun siendo éste en principio obligatorio.</v>
      </c>
      <c r="S21" s="171"/>
      <c r="T21" s="171"/>
    </row>
    <row r="22" spans="1:20" ht="409.5">
      <c r="A22" s="166" t="b">
        <f t="shared" ca="1" si="2"/>
        <v>1</v>
      </c>
      <c r="B22" s="167">
        <f t="shared" si="0"/>
        <v>6</v>
      </c>
      <c r="C22" s="172" t="str">
        <f>IFERROR(INDEX(C$2:C22,B22,1),"")</f>
        <v>a1I3p00000KJpeOEAT</v>
      </c>
      <c r="D22" s="168">
        <f t="shared" ca="1" si="3"/>
        <v>0.55999999999999994</v>
      </c>
      <c r="E22" s="169" t="str">
        <f t="shared" ca="1" si="4"/>
        <v/>
      </c>
      <c r="F22" s="170" t="str">
        <f t="shared" ca="1" si="5"/>
        <v/>
      </c>
      <c r="G22" s="171" t="str">
        <f t="shared" ca="1" si="6"/>
        <v xml:space="preserve">Results of the last study of female sex workers. Bolivia 2010 </v>
      </c>
      <c r="H22" s="171">
        <f t="shared" ca="1" si="7"/>
        <v>2010</v>
      </c>
      <c r="I22" s="167">
        <f t="shared" si="1"/>
        <v>15</v>
      </c>
      <c r="J22" s="171" t="str">
        <f t="shared" ca="1" si="8"/>
        <v>Baseline. Results of the last study conducted on female sex workers in Bolivia 2010 (0.56%).
Source of information: Report on the results of the bio-behavioral study of commercial sex workers to be conducted in 2023.
Numerator: Number of CSWs who tested positive for HIV.
Denominator: Number of CSWs tested for HIV.
Method of measurement: Biobehavioral study in population of commercial sex workers to be carried out management 2023. include both registered (with health card) and unregistered (without health card) sex workers.   
Commentary. According to estimates, the estimated prevalence is less than 1%, so the goal is to remain at that level. It was considered that the study will reach 2,000 CCTs in the biobehavioral study. It is expected to report the data once the study is concluded.</v>
      </c>
      <c r="K22" s="166" t="str">
        <f t="shared" ca="1" si="9"/>
        <v>Bolivia (Plurinational State)</v>
      </c>
      <c r="L22" s="171" t="str">
        <f t="shared" ca="1" si="10"/>
        <v/>
      </c>
      <c r="M22" s="166" t="str">
        <f t="array" aca="1" ref="M22" ca="1">IFERROR(VLOOKUP(LEFT(INDIRECT("'Impact Indicators - Section B '!AH"&amp;$I22),255),LEFT('Reference Records'!$G$4:$H$20,255),2,0),"")</f>
        <v>IOR-00085</v>
      </c>
      <c r="N22" s="166"/>
      <c r="O22" s="171" t="str">
        <f ca="1">IFERROR(VLOOKUP(INDIRECT("'Impact Indicators - Section B '!I"&amp;$I22),'Overview - Section A'!M$30:P60,4,0),IFERROR(VLOOKUP(INDIRECT("'Impact Indicators - Section B '!I"&amp;$I22),'Overview - Section A'!E$27:I48,5,0),""))</f>
        <v>a123p000006a3ZEAAY</v>
      </c>
      <c r="P22" s="171" t="str">
        <f t="shared" ca="1" si="11"/>
        <v/>
      </c>
      <c r="Q22" s="171" t="str">
        <f t="shared" ca="1" si="12"/>
        <v xml:space="preserve">Resultados del último estudio realizado en mujeres trabajadorase sexuales. Bolivia 2010 </v>
      </c>
      <c r="R22" s="180" t="str">
        <f t="shared" ca="1" si="13"/>
        <v>Línea de Base. Resultados del último estudio realizado en mujeres trabajadora se sexuales en Bolivia 2010 (0,56%).
Fuente de información: Informe resultados del estudio bio conductual en población de Trabajadoras Sexuales Comerciales que se realizara la gestión 2023.
Numerador: Número de TSC que dieron positivo en la prueba del VIH.
Denominador: Número de TSC examinadas para el VIH.
Método de medición: Estudio bio conductual en población de trabajadoras sexuales comerciales a realizarse la gestión 2023. incluyen tanto trabajadoras sexuales registradas (con carnet sanitario) como las no registradas (sin carnet sanitario).   
Comentario. Según las estimaciones la prevalencia estimada es inferior al 1% por lo que la meta es mantenerse en ese nivel. Se consideró que el estudio alcanzará a 2,000 TSC en el estudio bio conductual. Se espera reportar el dato una vez se concluya el mencionado estudio.</v>
      </c>
      <c r="S22" s="171"/>
      <c r="T22" s="171"/>
    </row>
    <row r="23" spans="1:20">
      <c r="A23" s="166" t="b">
        <f t="shared" ca="1" si="2"/>
        <v>0</v>
      </c>
      <c r="B23" s="167">
        <f t="shared" si="0"/>
        <v>7</v>
      </c>
      <c r="C23" s="172" t="str">
        <f>IFERROR(INDEX(C$2:C23,B23,1),"")</f>
        <v>a1I3p00000KJpePEAT</v>
      </c>
      <c r="D23" s="168" t="str">
        <f t="shared" ca="1" si="3"/>
        <v/>
      </c>
      <c r="E23" s="169" t="str">
        <f t="shared" ca="1" si="4"/>
        <v/>
      </c>
      <c r="F23" s="170" t="str">
        <f t="shared" ca="1" si="5"/>
        <v/>
      </c>
      <c r="G23" s="171" t="str">
        <f t="shared" ca="1" si="6"/>
        <v/>
      </c>
      <c r="H23" s="171" t="str">
        <f t="shared" ca="1" si="7"/>
        <v/>
      </c>
      <c r="I23" s="167">
        <f t="shared" si="1"/>
        <v>17</v>
      </c>
      <c r="J23" s="171" t="str">
        <f t="shared" ca="1" si="8"/>
        <v/>
      </c>
      <c r="K23" s="166" t="str">
        <f t="shared" ca="1" si="9"/>
        <v/>
      </c>
      <c r="L23" s="171" t="str">
        <f t="shared" ca="1" si="10"/>
        <v/>
      </c>
      <c r="M23" s="166" t="str">
        <f t="array" aca="1" ref="M23" ca="1">IFERROR(VLOOKUP(LEFT(INDIRECT("'Impact Indicators - Section B '!AH"&amp;$I23),255),LEFT('Reference Records'!$G$4:$H$20,255),2,0),"")</f>
        <v/>
      </c>
      <c r="N23" s="166"/>
      <c r="O23" s="171" t="str">
        <f ca="1">IFERROR(VLOOKUP(INDIRECT("'Impact Indicators - Section B '!I"&amp;$I23),'Overview - Section A'!M$30:P61,4,0),IFERROR(VLOOKUP(INDIRECT("'Impact Indicators - Section B '!I"&amp;$I23),'Overview - Section A'!E$27:I49,5,0),""))</f>
        <v/>
      </c>
      <c r="P23" s="171" t="str">
        <f t="shared" ca="1" si="11"/>
        <v/>
      </c>
      <c r="Q23" s="171" t="str">
        <f t="shared" ca="1" si="12"/>
        <v/>
      </c>
      <c r="R23" s="180" t="str">
        <f t="shared" ca="1" si="13"/>
        <v/>
      </c>
      <c r="S23" s="171"/>
      <c r="T23" s="171"/>
    </row>
    <row r="24" spans="1:20">
      <c r="A24" s="166" t="b">
        <f t="shared" ca="1" si="2"/>
        <v>0</v>
      </c>
      <c r="B24" s="167">
        <f t="shared" si="0"/>
        <v>8</v>
      </c>
      <c r="C24" s="172" t="str">
        <f>IFERROR(INDEX(C$2:C24,B24,1),"")</f>
        <v>a1I3p00000KJpeQEAT</v>
      </c>
      <c r="D24" s="168" t="str">
        <f t="shared" ca="1" si="3"/>
        <v/>
      </c>
      <c r="E24" s="169" t="str">
        <f t="shared" ca="1" si="4"/>
        <v/>
      </c>
      <c r="F24" s="170" t="str">
        <f t="shared" ca="1" si="5"/>
        <v/>
      </c>
      <c r="G24" s="171" t="str">
        <f t="shared" ca="1" si="6"/>
        <v/>
      </c>
      <c r="H24" s="171" t="str">
        <f t="shared" ca="1" si="7"/>
        <v/>
      </c>
      <c r="I24" s="167">
        <f t="shared" si="1"/>
        <v>19</v>
      </c>
      <c r="J24" s="171" t="str">
        <f t="shared" ca="1" si="8"/>
        <v/>
      </c>
      <c r="K24" s="166" t="str">
        <f t="shared" ca="1" si="9"/>
        <v/>
      </c>
      <c r="L24" s="171" t="str">
        <f t="shared" ca="1" si="10"/>
        <v/>
      </c>
      <c r="M24" s="166" t="str">
        <f t="array" aca="1" ref="M24" ca="1">IFERROR(VLOOKUP(LEFT(INDIRECT("'Impact Indicators - Section B '!AH"&amp;$I24),255),LEFT('Reference Records'!$G$4:$H$20,255),2,0),"")</f>
        <v/>
      </c>
      <c r="N24" s="166"/>
      <c r="O24" s="171" t="str">
        <f ca="1">IFERROR(VLOOKUP(INDIRECT("'Impact Indicators - Section B '!I"&amp;$I24),'Overview - Section A'!M$30:P62,4,0),IFERROR(VLOOKUP(INDIRECT("'Impact Indicators - Section B '!I"&amp;$I24),'Overview - Section A'!E$27:I50,5,0),""))</f>
        <v/>
      </c>
      <c r="P24" s="171" t="str">
        <f t="shared" ca="1" si="11"/>
        <v/>
      </c>
      <c r="Q24" s="171" t="str">
        <f t="shared" ca="1" si="12"/>
        <v/>
      </c>
      <c r="R24" s="180" t="str">
        <f t="shared" ca="1" si="13"/>
        <v/>
      </c>
      <c r="S24" s="171"/>
      <c r="T24" s="171"/>
    </row>
    <row r="25" spans="1:20">
      <c r="A25" s="166" t="b">
        <f t="shared" ca="1" si="2"/>
        <v>0</v>
      </c>
      <c r="B25" s="167">
        <f t="shared" si="0"/>
        <v>9</v>
      </c>
      <c r="C25" s="172" t="str">
        <f>IFERROR(INDEX(C$2:C25,B25,1),"")</f>
        <v>a1I3p00000KJpeREAT</v>
      </c>
      <c r="D25" s="168" t="str">
        <f t="shared" ca="1" si="3"/>
        <v/>
      </c>
      <c r="E25" s="169" t="str">
        <f t="shared" ca="1" si="4"/>
        <v/>
      </c>
      <c r="F25" s="170" t="str">
        <f t="shared" ca="1" si="5"/>
        <v/>
      </c>
      <c r="G25" s="171" t="str">
        <f t="shared" ca="1" si="6"/>
        <v/>
      </c>
      <c r="H25" s="171" t="str">
        <f t="shared" ca="1" si="7"/>
        <v/>
      </c>
      <c r="I25" s="167">
        <f t="shared" si="1"/>
        <v>21</v>
      </c>
      <c r="J25" s="171" t="str">
        <f t="shared" ca="1" si="8"/>
        <v/>
      </c>
      <c r="K25" s="166" t="str">
        <f t="shared" ca="1" si="9"/>
        <v/>
      </c>
      <c r="L25" s="171" t="str">
        <f t="shared" ca="1" si="10"/>
        <v/>
      </c>
      <c r="M25" s="166" t="str">
        <f t="array" aca="1" ref="M25" ca="1">IFERROR(VLOOKUP(LEFT(INDIRECT("'Impact Indicators - Section B '!AH"&amp;$I25),255),LEFT('Reference Records'!$G$4:$H$20,255),2,0),"")</f>
        <v/>
      </c>
      <c r="N25" s="166"/>
      <c r="O25" s="171" t="str">
        <f ca="1">IFERROR(VLOOKUP(INDIRECT("'Impact Indicators - Section B '!I"&amp;$I25),'Overview - Section A'!M$30:P63,4,0),IFERROR(VLOOKUP(INDIRECT("'Impact Indicators - Section B '!I"&amp;$I25),'Overview - Section A'!E$27:I51,5,0),""))</f>
        <v/>
      </c>
      <c r="P25" s="171" t="str">
        <f t="shared" ca="1" si="11"/>
        <v/>
      </c>
      <c r="Q25" s="171" t="str">
        <f t="shared" ca="1" si="12"/>
        <v/>
      </c>
      <c r="R25" s="180" t="str">
        <f t="shared" ca="1" si="13"/>
        <v/>
      </c>
      <c r="S25" s="171"/>
      <c r="T25" s="171"/>
    </row>
    <row r="26" spans="1:20">
      <c r="A26" s="166" t="b">
        <f t="shared" ca="1" si="2"/>
        <v>0</v>
      </c>
      <c r="B26" s="167">
        <f t="shared" si="0"/>
        <v>10</v>
      </c>
      <c r="C26" s="172" t="str">
        <f>IFERROR(INDEX(C$2:C26,B26,1),"")</f>
        <v>a1I3p00000KJpeSEAT</v>
      </c>
      <c r="D26" s="168" t="str">
        <f t="shared" ca="1" si="3"/>
        <v/>
      </c>
      <c r="E26" s="169" t="str">
        <f t="shared" ca="1" si="4"/>
        <v/>
      </c>
      <c r="F26" s="170" t="str">
        <f t="shared" ca="1" si="5"/>
        <v/>
      </c>
      <c r="G26" s="171" t="str">
        <f t="shared" ca="1" si="6"/>
        <v/>
      </c>
      <c r="H26" s="171" t="str">
        <f t="shared" ca="1" si="7"/>
        <v/>
      </c>
      <c r="I26" s="167">
        <f t="shared" si="1"/>
        <v>23</v>
      </c>
      <c r="J26" s="171" t="str">
        <f t="shared" ca="1" si="8"/>
        <v/>
      </c>
      <c r="K26" s="166" t="str">
        <f t="shared" ca="1" si="9"/>
        <v/>
      </c>
      <c r="L26" s="171" t="str">
        <f t="shared" ca="1" si="10"/>
        <v/>
      </c>
      <c r="M26" s="166" t="str">
        <f t="array" aca="1" ref="M26" ca="1">IFERROR(VLOOKUP(LEFT(INDIRECT("'Impact Indicators - Section B '!AH"&amp;$I26),255),LEFT('Reference Records'!$G$4:$H$20,255),2,0),"")</f>
        <v/>
      </c>
      <c r="N26" s="166"/>
      <c r="O26" s="171" t="str">
        <f ca="1">IFERROR(VLOOKUP(INDIRECT("'Impact Indicators - Section B '!I"&amp;$I26),'Overview - Section A'!M$30:P64,4,0),IFERROR(VLOOKUP(INDIRECT("'Impact Indicators - Section B '!I"&amp;$I26),'Overview - Section A'!E$27:I52,5,0),""))</f>
        <v/>
      </c>
      <c r="P26" s="171" t="str">
        <f t="shared" ca="1" si="11"/>
        <v/>
      </c>
      <c r="Q26" s="171" t="str">
        <f t="shared" ca="1" si="12"/>
        <v/>
      </c>
      <c r="R26" s="180" t="str">
        <f t="shared" ca="1" si="13"/>
        <v/>
      </c>
      <c r="S26" s="171"/>
      <c r="T26" s="171"/>
    </row>
    <row r="27" spans="1:20">
      <c r="A27" s="166" t="b">
        <f t="shared" ca="1" si="2"/>
        <v>0</v>
      </c>
      <c r="B27" s="167">
        <f t="shared" si="0"/>
        <v>11</v>
      </c>
      <c r="C27" s="172" t="str">
        <f>IFERROR(INDEX(C$2:C27,B27,1),"")</f>
        <v>a1I3p00000KJpeTEAT</v>
      </c>
      <c r="D27" s="168" t="str">
        <f t="shared" ca="1" si="3"/>
        <v/>
      </c>
      <c r="E27" s="169" t="str">
        <f t="shared" ca="1" si="4"/>
        <v/>
      </c>
      <c r="F27" s="170" t="str">
        <f t="shared" ca="1" si="5"/>
        <v/>
      </c>
      <c r="G27" s="171" t="str">
        <f t="shared" ca="1" si="6"/>
        <v/>
      </c>
      <c r="H27" s="171" t="str">
        <f t="shared" ca="1" si="7"/>
        <v/>
      </c>
      <c r="I27" s="167">
        <f t="shared" si="1"/>
        <v>25</v>
      </c>
      <c r="J27" s="171" t="str">
        <f t="shared" ca="1" si="8"/>
        <v/>
      </c>
      <c r="K27" s="166" t="str">
        <f t="shared" ca="1" si="9"/>
        <v/>
      </c>
      <c r="L27" s="171" t="str">
        <f t="shared" ca="1" si="10"/>
        <v/>
      </c>
      <c r="M27" s="166" t="str">
        <f t="array" aca="1" ref="M27" ca="1">IFERROR(VLOOKUP(LEFT(INDIRECT("'Impact Indicators - Section B '!AH"&amp;$I27),255),LEFT('Reference Records'!$G$4:$H$20,255),2,0),"")</f>
        <v/>
      </c>
      <c r="N27" s="166"/>
      <c r="O27" s="171" t="str">
        <f ca="1">IFERROR(VLOOKUP(INDIRECT("'Impact Indicators - Section B '!I"&amp;$I27),'Overview - Section A'!M$30:P65,4,0),IFERROR(VLOOKUP(INDIRECT("'Impact Indicators - Section B '!I"&amp;$I27),'Overview - Section A'!E$27:I53,5,0),""))</f>
        <v/>
      </c>
      <c r="P27" s="171" t="str">
        <f t="shared" ca="1" si="11"/>
        <v/>
      </c>
      <c r="Q27" s="171" t="str">
        <f t="shared" ca="1" si="12"/>
        <v/>
      </c>
      <c r="R27" s="180" t="str">
        <f t="shared" ca="1" si="13"/>
        <v/>
      </c>
      <c r="S27" s="171"/>
      <c r="T27" s="171"/>
    </row>
    <row r="28" spans="1:20">
      <c r="A28" s="166" t="b">
        <f t="shared" ca="1" si="2"/>
        <v>0</v>
      </c>
      <c r="B28" s="167">
        <f t="shared" si="0"/>
        <v>12</v>
      </c>
      <c r="C28" s="172" t="str">
        <f>IFERROR(INDEX(C$2:C28,B28,1),"")</f>
        <v>a1I3p00000KJpeUEAT</v>
      </c>
      <c r="D28" s="168" t="str">
        <f t="shared" ca="1" si="3"/>
        <v/>
      </c>
      <c r="E28" s="169" t="str">
        <f t="shared" ca="1" si="4"/>
        <v/>
      </c>
      <c r="F28" s="170" t="str">
        <f t="shared" ca="1" si="5"/>
        <v/>
      </c>
      <c r="G28" s="171" t="str">
        <f t="shared" ca="1" si="6"/>
        <v/>
      </c>
      <c r="H28" s="171" t="str">
        <f t="shared" ca="1" si="7"/>
        <v/>
      </c>
      <c r="I28" s="167">
        <f t="shared" si="1"/>
        <v>27</v>
      </c>
      <c r="J28" s="171" t="str">
        <f t="shared" ca="1" si="8"/>
        <v/>
      </c>
      <c r="K28" s="166" t="str">
        <f t="shared" ca="1" si="9"/>
        <v/>
      </c>
      <c r="L28" s="171" t="str">
        <f t="shared" ca="1" si="10"/>
        <v/>
      </c>
      <c r="M28" s="166" t="str">
        <f t="array" aca="1" ref="M28" ca="1">IFERROR(VLOOKUP(LEFT(INDIRECT("'Impact Indicators - Section B '!AH"&amp;$I28),255),LEFT('Reference Records'!$G$4:$H$20,255),2,0),"")</f>
        <v/>
      </c>
      <c r="N28" s="166"/>
      <c r="O28" s="171" t="str">
        <f ca="1">IFERROR(VLOOKUP(INDIRECT("'Impact Indicators - Section B '!I"&amp;$I28),'Overview - Section A'!M$30:P66,4,0),IFERROR(VLOOKUP(INDIRECT("'Impact Indicators - Section B '!I"&amp;$I28),'Overview - Section A'!E$27:I54,5,0),""))</f>
        <v/>
      </c>
      <c r="P28" s="171" t="str">
        <f t="shared" ca="1" si="11"/>
        <v/>
      </c>
      <c r="Q28" s="171" t="str">
        <f t="shared" ca="1" si="12"/>
        <v/>
      </c>
      <c r="R28" s="180" t="str">
        <f t="shared" ca="1" si="13"/>
        <v/>
      </c>
      <c r="S28" s="171"/>
      <c r="T28" s="171"/>
    </row>
    <row r="29" spans="1:20">
      <c r="A29" s="166" t="b">
        <f t="shared" ca="1" si="2"/>
        <v>0</v>
      </c>
      <c r="B29" s="167">
        <f t="shared" si="0"/>
        <v>13</v>
      </c>
      <c r="C29" s="172" t="str">
        <f>IFERROR(INDEX(C$2:C29,B29,1),"")</f>
        <v>a1I3p00000KJpeVEAT</v>
      </c>
      <c r="D29" s="168" t="str">
        <f t="shared" ca="1" si="3"/>
        <v/>
      </c>
      <c r="E29" s="169" t="str">
        <f t="shared" ca="1" si="4"/>
        <v/>
      </c>
      <c r="F29" s="170" t="str">
        <f t="shared" ca="1" si="5"/>
        <v/>
      </c>
      <c r="G29" s="171" t="str">
        <f t="shared" ca="1" si="6"/>
        <v/>
      </c>
      <c r="H29" s="171" t="str">
        <f t="shared" ca="1" si="7"/>
        <v/>
      </c>
      <c r="I29" s="167">
        <f t="shared" si="1"/>
        <v>29</v>
      </c>
      <c r="J29" s="171" t="str">
        <f t="shared" ca="1" si="8"/>
        <v/>
      </c>
      <c r="K29" s="166" t="str">
        <f t="shared" ca="1" si="9"/>
        <v/>
      </c>
      <c r="L29" s="171" t="str">
        <f t="shared" ca="1" si="10"/>
        <v/>
      </c>
      <c r="M29" s="166" t="str">
        <f t="array" aca="1" ref="M29" ca="1">IFERROR(VLOOKUP(LEFT(INDIRECT("'Impact Indicators - Section B '!AH"&amp;$I29),255),LEFT('Reference Records'!$G$4:$H$20,255),2,0),"")</f>
        <v/>
      </c>
      <c r="N29" s="166"/>
      <c r="O29" s="171" t="str">
        <f ca="1">IFERROR(VLOOKUP(INDIRECT("'Impact Indicators - Section B '!I"&amp;$I29),'Overview - Section A'!M$30:P67,4,0),IFERROR(VLOOKUP(INDIRECT("'Impact Indicators - Section B '!I"&amp;$I29),'Overview - Section A'!E$27:I55,5,0),""))</f>
        <v/>
      </c>
      <c r="P29" s="171" t="str">
        <f t="shared" ca="1" si="11"/>
        <v/>
      </c>
      <c r="Q29" s="171" t="str">
        <f t="shared" ca="1" si="12"/>
        <v/>
      </c>
      <c r="R29" s="180" t="str">
        <f t="shared" ca="1" si="13"/>
        <v/>
      </c>
      <c r="S29" s="171"/>
      <c r="T29" s="171"/>
    </row>
    <row r="30" spans="1:20">
      <c r="A30" s="166" t="b">
        <f t="shared" ca="1" si="2"/>
        <v>0</v>
      </c>
      <c r="B30" s="167">
        <f t="shared" si="0"/>
        <v>14</v>
      </c>
      <c r="C30" s="172" t="str">
        <f>IFERROR(INDEX(C$2:C30,B30,1),"")</f>
        <v>a1I3p00000KJpeWEAT</v>
      </c>
      <c r="D30" s="168" t="str">
        <f t="shared" ca="1" si="3"/>
        <v/>
      </c>
      <c r="E30" s="169" t="str">
        <f t="shared" ca="1" si="4"/>
        <v/>
      </c>
      <c r="F30" s="170" t="str">
        <f t="shared" ca="1" si="5"/>
        <v/>
      </c>
      <c r="G30" s="171" t="str">
        <f t="shared" ca="1" si="6"/>
        <v/>
      </c>
      <c r="H30" s="171" t="str">
        <f t="shared" ca="1" si="7"/>
        <v/>
      </c>
      <c r="I30" s="167">
        <f t="shared" si="1"/>
        <v>31</v>
      </c>
      <c r="J30" s="171" t="str">
        <f t="shared" ca="1" si="8"/>
        <v/>
      </c>
      <c r="K30" s="166" t="str">
        <f t="shared" ca="1" si="9"/>
        <v/>
      </c>
      <c r="L30" s="171" t="str">
        <f t="shared" ca="1" si="10"/>
        <v/>
      </c>
      <c r="M30" s="166" t="str">
        <f t="array" aca="1" ref="M30" ca="1">IFERROR(VLOOKUP(LEFT(INDIRECT("'Impact Indicators - Section B '!AH"&amp;$I30),255),LEFT('Reference Records'!$G$4:$H$20,255),2,0),"")</f>
        <v/>
      </c>
      <c r="N30" s="166"/>
      <c r="O30" s="171" t="str">
        <f ca="1">IFERROR(VLOOKUP(INDIRECT("'Impact Indicators - Section B '!I"&amp;$I30),'Overview - Section A'!M$30:P68,4,0),IFERROR(VLOOKUP(INDIRECT("'Impact Indicators - Section B '!I"&amp;$I30),'Overview - Section A'!E$27:I56,5,0),""))</f>
        <v/>
      </c>
      <c r="P30" s="171" t="str">
        <f t="shared" ca="1" si="11"/>
        <v/>
      </c>
      <c r="Q30" s="171" t="str">
        <f t="shared" ca="1" si="12"/>
        <v/>
      </c>
      <c r="R30" s="180" t="str">
        <f t="shared" ca="1" si="13"/>
        <v/>
      </c>
      <c r="S30" s="171"/>
      <c r="T30" s="171"/>
    </row>
    <row r="31" spans="1:20">
      <c r="A31" s="166" t="b">
        <f t="shared" ca="1" si="2"/>
        <v>0</v>
      </c>
      <c r="B31" s="167">
        <f t="shared" si="0"/>
        <v>15</v>
      </c>
      <c r="C31" s="172" t="str">
        <f>IFERROR(INDEX(C$2:C31,B31,1),"")</f>
        <v>a1I3p00000KJpeXEAT</v>
      </c>
      <c r="D31" s="168" t="str">
        <f t="shared" ca="1" si="3"/>
        <v/>
      </c>
      <c r="E31" s="169" t="str">
        <f t="shared" ca="1" si="4"/>
        <v/>
      </c>
      <c r="F31" s="170" t="str">
        <f t="shared" ca="1" si="5"/>
        <v/>
      </c>
      <c r="G31" s="171" t="str">
        <f t="shared" ca="1" si="6"/>
        <v/>
      </c>
      <c r="H31" s="171" t="str">
        <f t="shared" ca="1" si="7"/>
        <v/>
      </c>
      <c r="I31" s="167">
        <f t="shared" si="1"/>
        <v>33</v>
      </c>
      <c r="J31" s="171" t="str">
        <f t="shared" ca="1" si="8"/>
        <v/>
      </c>
      <c r="K31" s="166" t="str">
        <f t="shared" ca="1" si="9"/>
        <v/>
      </c>
      <c r="L31" s="171" t="str">
        <f t="shared" ca="1" si="10"/>
        <v/>
      </c>
      <c r="M31" s="166" t="str">
        <f t="array" aca="1" ref="M31" ca="1">IFERROR(VLOOKUP(LEFT(INDIRECT("'Impact Indicators - Section B '!AH"&amp;$I31),255),LEFT('Reference Records'!$G$4:$H$20,255),2,0),"")</f>
        <v/>
      </c>
      <c r="N31" s="166"/>
      <c r="O31" s="171" t="str">
        <f ca="1">IFERROR(VLOOKUP(INDIRECT("'Impact Indicators - Section B '!I"&amp;$I31),'Overview - Section A'!M$30:P69,4,0),IFERROR(VLOOKUP(INDIRECT("'Impact Indicators - Section B '!I"&amp;$I31),'Overview - Section A'!E$27:I57,5,0),""))</f>
        <v/>
      </c>
      <c r="P31" s="171" t="str">
        <f t="shared" ca="1" si="11"/>
        <v/>
      </c>
      <c r="Q31" s="171" t="str">
        <f t="shared" ca="1" si="12"/>
        <v/>
      </c>
      <c r="R31" s="180" t="str">
        <f t="shared" ca="1" si="13"/>
        <v/>
      </c>
      <c r="S31" s="171"/>
      <c r="T31" s="171"/>
    </row>
    <row r="32" spans="1:20">
      <c r="A32" s="166" t="b">
        <f t="shared" ca="1" si="2"/>
        <v>0</v>
      </c>
      <c r="B32" s="167">
        <f t="shared" si="0"/>
        <v>16</v>
      </c>
      <c r="C32" s="172" t="str">
        <f>IFERROR(INDEX(C$2:C32,B32,1),"")</f>
        <v>a1I3p00000KJpeYEAT</v>
      </c>
      <c r="D32" s="168" t="str">
        <f t="shared" ca="1" si="3"/>
        <v/>
      </c>
      <c r="E32" s="169" t="str">
        <f t="shared" ca="1" si="4"/>
        <v/>
      </c>
      <c r="F32" s="170" t="str">
        <f t="shared" ca="1" si="5"/>
        <v/>
      </c>
      <c r="G32" s="171" t="str">
        <f t="shared" ca="1" si="6"/>
        <v/>
      </c>
      <c r="H32" s="171" t="str">
        <f t="shared" ca="1" si="7"/>
        <v/>
      </c>
      <c r="I32" s="167">
        <f t="shared" si="1"/>
        <v>35</v>
      </c>
      <c r="J32" s="171" t="str">
        <f t="shared" ca="1" si="8"/>
        <v/>
      </c>
      <c r="K32" s="166" t="str">
        <f t="shared" ca="1" si="9"/>
        <v/>
      </c>
      <c r="L32" s="171" t="str">
        <f t="shared" ca="1" si="10"/>
        <v/>
      </c>
      <c r="M32" s="166" t="str">
        <f t="array" aca="1" ref="M32" ca="1">IFERROR(VLOOKUP(LEFT(INDIRECT("'Impact Indicators - Section B '!AH"&amp;$I32),255),LEFT('Reference Records'!$G$4:$H$20,255),2,0),"")</f>
        <v/>
      </c>
      <c r="N32" s="166"/>
      <c r="O32" s="171" t="str">
        <f ca="1">IFERROR(VLOOKUP(INDIRECT("'Impact Indicators - Section B '!I"&amp;$I32),'Overview - Section A'!M$30:P70,4,0),IFERROR(VLOOKUP(INDIRECT("'Impact Indicators - Section B '!I"&amp;$I32),'Overview - Section A'!E$27:I58,5,0),""))</f>
        <v/>
      </c>
      <c r="P32" s="171" t="str">
        <f t="shared" ca="1" si="11"/>
        <v/>
      </c>
      <c r="Q32" s="171" t="str">
        <f t="shared" ca="1" si="12"/>
        <v/>
      </c>
      <c r="R32" s="180" t="str">
        <f t="shared" ca="1" si="13"/>
        <v/>
      </c>
      <c r="S32" s="171"/>
      <c r="T32" s="171"/>
    </row>
    <row r="33" spans="1:20">
      <c r="A33" s="166" t="b">
        <f t="shared" ca="1" si="2"/>
        <v>0</v>
      </c>
      <c r="B33" s="167">
        <f t="shared" si="0"/>
        <v>17</v>
      </c>
      <c r="C33" s="172" t="str">
        <f>IFERROR(INDEX(C$2:C33,B33,1),"")</f>
        <v>a1I3p00000KJpeZEAT</v>
      </c>
      <c r="D33" s="168" t="str">
        <f t="shared" ca="1" si="3"/>
        <v/>
      </c>
      <c r="E33" s="169" t="str">
        <f t="shared" ca="1" si="4"/>
        <v/>
      </c>
      <c r="F33" s="170" t="str">
        <f t="shared" ca="1" si="5"/>
        <v/>
      </c>
      <c r="G33" s="171" t="str">
        <f t="shared" ca="1" si="6"/>
        <v/>
      </c>
      <c r="H33" s="171" t="str">
        <f t="shared" ca="1" si="7"/>
        <v/>
      </c>
      <c r="I33" s="167">
        <f t="shared" si="1"/>
        <v>37</v>
      </c>
      <c r="J33" s="171" t="str">
        <f t="shared" ca="1" si="8"/>
        <v/>
      </c>
      <c r="K33" s="166" t="str">
        <f t="shared" ca="1" si="9"/>
        <v/>
      </c>
      <c r="L33" s="171" t="str">
        <f t="shared" ca="1" si="10"/>
        <v/>
      </c>
      <c r="M33" s="166" t="str">
        <f t="array" aca="1" ref="M33" ca="1">IFERROR(VLOOKUP(LEFT(INDIRECT("'Impact Indicators - Section B '!AH"&amp;$I33),255),LEFT('Reference Records'!$G$4:$H$20,255),2,0),"")</f>
        <v/>
      </c>
      <c r="N33" s="166"/>
      <c r="O33" s="171" t="str">
        <f ca="1">IFERROR(VLOOKUP(INDIRECT("'Impact Indicators - Section B '!I"&amp;$I33),'Overview - Section A'!M$30:P71,4,0),IFERROR(VLOOKUP(INDIRECT("'Impact Indicators - Section B '!I"&amp;$I33),'Overview - Section A'!E$27:I59,5,0),""))</f>
        <v/>
      </c>
      <c r="P33" s="171" t="str">
        <f t="shared" ca="1" si="11"/>
        <v/>
      </c>
      <c r="Q33" s="171" t="str">
        <f t="shared" ca="1" si="12"/>
        <v/>
      </c>
      <c r="R33" s="180" t="str">
        <f t="shared" ca="1" si="13"/>
        <v/>
      </c>
      <c r="S33" s="171"/>
      <c r="T33" s="171"/>
    </row>
    <row r="34" spans="1:20">
      <c r="B34" s="173"/>
      <c r="C34" s="174"/>
      <c r="D34" s="174"/>
      <c r="E34" s="174"/>
    </row>
    <row r="35" spans="1:20">
      <c r="B35" s="173"/>
      <c r="C35" s="174"/>
      <c r="D35" s="174"/>
      <c r="E35" s="174"/>
    </row>
    <row r="36" spans="1:20">
      <c r="B36" s="173"/>
      <c r="C36" s="174"/>
      <c r="D36" s="174"/>
      <c r="E36" s="174"/>
    </row>
    <row r="37" spans="1:20">
      <c r="B37" s="173"/>
      <c r="C37" s="174"/>
      <c r="D37" s="174"/>
      <c r="E37" s="174"/>
    </row>
    <row r="38" spans="1:20">
      <c r="B38" s="173"/>
      <c r="C38" s="174"/>
      <c r="D38" s="174"/>
      <c r="E38" s="174"/>
    </row>
    <row r="41" spans="1:20">
      <c r="A41" s="165" t="s">
        <v>3080</v>
      </c>
      <c r="D41" s="175"/>
    </row>
    <row r="42" spans="1:20">
      <c r="A42" s="166" t="s">
        <v>348</v>
      </c>
      <c r="B42" s="176"/>
      <c r="C42" s="166" t="s">
        <v>341</v>
      </c>
      <c r="D42" s="166" t="s">
        <v>3081</v>
      </c>
      <c r="E42" s="166" t="s">
        <v>3082</v>
      </c>
      <c r="F42" s="166" t="s">
        <v>3083</v>
      </c>
      <c r="G42" s="166"/>
      <c r="H42" s="166" t="s">
        <v>3084</v>
      </c>
      <c r="I42" s="166" t="s">
        <v>3085</v>
      </c>
      <c r="J42" s="166" t="s">
        <v>3086</v>
      </c>
      <c r="K42" s="166" t="s">
        <v>3087</v>
      </c>
      <c r="L42" s="166" t="s">
        <v>3088</v>
      </c>
      <c r="M42" s="166" t="s">
        <v>3089</v>
      </c>
      <c r="N42" s="166" t="s">
        <v>3090</v>
      </c>
      <c r="O42" s="166" t="s">
        <v>3091</v>
      </c>
      <c r="P42" s="166">
        <v>-1</v>
      </c>
      <c r="Q42" s="166"/>
      <c r="R42" s="166"/>
      <c r="S42" s="166"/>
      <c r="T42" s="166" t="s">
        <v>486</v>
      </c>
    </row>
    <row r="43" spans="1:20" hidden="1">
      <c r="A43" s="166" t="b">
        <f ca="1">IF(OR(I43&lt;&gt;"",J43&lt;&gt;"",K43&lt;&gt;"",M43&lt;&gt;"",N43&lt;&gt;""),TRUE,FALSE)</f>
        <v>0</v>
      </c>
      <c r="B43" s="176"/>
      <c r="C43" s="166" t="str">
        <f ca="1">O43</f>
        <v/>
      </c>
      <c r="D43" s="166"/>
      <c r="E43" s="166">
        <f ca="1">COUNTIF(F34:F43,F43)</f>
        <v>9</v>
      </c>
      <c r="F43" s="177" t="str">
        <f ca="1">IFERROR(IF(COUNTA($D$41:$D43)=1,"",OFFSET($F41,-COUNTA($D$41:$D43)+3,0)),"")</f>
        <v/>
      </c>
      <c r="G43" s="166"/>
      <c r="H43" s="166" t="str">
        <f ca="1">IF(F43=1,9,IF(E42=MAX(E41:E43),H41+2,H42))</f>
        <v>row number</v>
      </c>
      <c r="I43" s="178" t="str">
        <f ca="1">IFERROR(CHOOSE(E43,IFERROR(IF(INDIRECT("'Impact Indicators - Section B '!K"&amp;H43+1)="","",INDIRECT("'Impact Indicators - Section B '!K"&amp;H43+1)),""),IFERROR(IF(INDIRECT("'Impact Indicators - Section B '!O"&amp;H43+1)="","",INDIRECT("'Impact Indicators - Section B '!O"&amp;H43+1)),""),IFERROR(IF(INDIRECT("'Impact Indicators - Section B '!S"&amp;H43+1)="","",INDIRECT("'Impact Indicators - Section B '!S"&amp;H43+1)),""),IFERROR(IF(INDIRECT("'Impact Indicators - Section B '!W"&amp;H43+1)="","",INDIRECT("'Impact Indicators - Section B '!W"&amp;H43+1)),"")),"")</f>
        <v/>
      </c>
      <c r="J43" s="178" t="str">
        <f ca="1">IFERROR(CHOOSE(E43,IFERROR(IF(INDIRECT("'Impact Indicators - Section B '!K"&amp;H43)="","",INDIRECT("'Impact Indicators - Section B '!K"&amp;H43)),""),IFERROR(IF(INDIRECT("'Impact Indicators - Section B '!O"&amp;H43)="","",INDIRECT("'Impact Indicators - Section B '!O"&amp;H43)),""),IFERROR(IF(INDIRECT("'Impact Indicators - Section B '!S"&amp;H43)="","",INDIRECT("'Impact Indicators - Section B '!S"&amp;H43)),""),IFERROR(IF(INDIRECT("'Impact Indicators - Section B '!W"&amp;H43)="","",INDIRECT("'Impact Indicators - Section B '!W"&amp;H43)),"")),"")</f>
        <v/>
      </c>
      <c r="K43" s="168" t="str">
        <f ca="1">IFERROR(CHOOSE(E43,IFERROR(IF(INDIRECT("'Impact Indicators - Section B '!L"&amp;H43)="","",INDIRECT("'Impact Indicators - Section B '!L"&amp;H43)*100),""),IFERROR(IF(INDIRECT("'Impact Indicators - Section B '!P"&amp;H43)="","",INDIRECT("'Impact Indicators - Section B '!P"&amp;H43)*100),""),IFERROR(IF(INDIRECT("'Impact Indicators - Section B '!T"&amp;H43)="","",INDIRECT("'Impact Indicators - Section B '!T"&amp;H43)*100),""),IFERROR(IF(INDIRECT("'Impact Indicators - Section B '!X"&amp;H43)="","",INDIRECT("'Impact Indicators - Section B '!X"&amp;H43)*100),"")),"")</f>
        <v/>
      </c>
      <c r="L43" s="171" t="str">
        <f ca="1">IFERROR(CHOOSE(E43,'Impact Indicators - Section B '!$K$7,'Impact Indicators - Section B '!$O$7,'Impact Indicators - Section B '!$S$7,'Impact Indicators - Section B '!$W$7),"")</f>
        <v/>
      </c>
      <c r="M43" s="179" t="str">
        <f ca="1">IFERROR(CHOOSE(E43,IFERROR(IF(INDIRECT("'Impact Indicators - Section B '!M"&amp;H43)="","",INDIRECT("'Impact Indicators - Section B '!M"&amp;H43)),""),IFERROR(IF(INDIRECT("'Impact Indicators - Section B '!Q"&amp;H43)="","",INDIRECT("'Impact Indicators - Section B '!Q"&amp;H43)),""),IFERROR(IF(INDIRECT("'Impact Indicators - Section B '!U"&amp;H43)="","",INDIRECT("'Impact Indicators - Section B '!U"&amp;H43)),""),IFERROR(IF(INDIRECT("'Impact Indicators - Section B '!Y"&amp;H43)="","",INDIRECT("'Impact Indicators - Section B '!Y"&amp;H43)),"")),"")</f>
        <v/>
      </c>
      <c r="N43" s="171" t="str">
        <f ca="1">IFERROR(CHOOSE(E43,IFERROR(IF(INDIRECT("'Impact Indicators - Section B '!N"&amp;H43)=0,"",INDIRECT("'Impact Indicators - Section B '!N"&amp;H43)),""),IFERROR(IF(INDIRECT("'Impact Indicators - Section B '!R"&amp;H43)=0,"",INDIRECT("'Impact Indicators - Section B '!R"&amp;H43)),""),IFERROR(IF(INDIRECT("'Impact Indicators - Section B '!V"&amp;H43)=0,"",INDIRECT("'Impact Indicators - Section B '!V"&amp;H43)),""),IFERROR(IF(INDIRECT("'Impact Indicators - Section B '!Z"&amp;H43)=0,"",INDIRECT("'Impact Indicators - Section B '!Z"&amp;H43)),"")),"")</f>
        <v/>
      </c>
      <c r="O43" s="166" t="str">
        <f ca="1">IFERROR(IF(COUNTA($D$41:$D43)=1,"",OFFSET($C41,-COUNTA($D$41:$D43)+3,0)),"")</f>
        <v/>
      </c>
      <c r="P43" s="166">
        <f ca="1">IF(NOT(_xlfn.ISFORMULA(I43)),P42+1,0)</f>
        <v>0</v>
      </c>
      <c r="Q43" s="166"/>
      <c r="R43" s="166"/>
      <c r="S43" s="166"/>
      <c r="T43" s="166" t="b">
        <f ca="1">IF(A43=TRUE,TRUE,FALSE)</f>
        <v>0</v>
      </c>
    </row>
    <row r="44" spans="1:20">
      <c r="A44" s="166" t="b">
        <v>0</v>
      </c>
      <c r="B44" s="176"/>
      <c r="C44" s="166" t="s">
        <v>3092</v>
      </c>
      <c r="D44" s="166" t="s">
        <v>3093</v>
      </c>
      <c r="E44" s="166">
        <f t="shared" ref="E44:E107" ca="1" si="14">COUNTIF(F35:F44,F44)</f>
        <v>1</v>
      </c>
      <c r="F44" s="177">
        <v>1</v>
      </c>
      <c r="G44" s="166"/>
      <c r="H44" s="166">
        <f t="shared" ref="H44:H107" ca="1" si="15">IF(F44=1,9,IF(E43=MAX(E42:E44),H42+2,H43))</f>
        <v>9</v>
      </c>
      <c r="I44" s="178"/>
      <c r="J44" s="178"/>
      <c r="K44" s="168"/>
      <c r="L44" s="171"/>
      <c r="M44" s="179"/>
      <c r="N44" s="171"/>
      <c r="O44" s="166" t="str">
        <f ca="1">IFERROR(IF(COUNTA($D$41:$D44)=1,"",OFFSET($C42,-COUNTA($D$41:$D44)+3,0)),"")</f>
        <v/>
      </c>
      <c r="P44" s="166">
        <f t="shared" ref="P44:P107" ca="1" si="16">IF(NOT(_xlfn.ISFORMULA(I44)),P43+1,0)</f>
        <v>1</v>
      </c>
      <c r="Q44" s="166"/>
      <c r="R44" s="166"/>
      <c r="S44" s="166"/>
      <c r="T44" s="166" t="b">
        <v>0</v>
      </c>
    </row>
    <row r="45" spans="1:20">
      <c r="A45" s="166" t="b">
        <v>0</v>
      </c>
      <c r="B45" s="176"/>
      <c r="C45" s="166" t="s">
        <v>3094</v>
      </c>
      <c r="D45" s="166" t="s">
        <v>3093</v>
      </c>
      <c r="E45" s="166">
        <f t="shared" ca="1" si="14"/>
        <v>2</v>
      </c>
      <c r="F45" s="177">
        <v>1</v>
      </c>
      <c r="G45" s="166"/>
      <c r="H45" s="166">
        <f t="shared" ca="1" si="15"/>
        <v>9</v>
      </c>
      <c r="I45" s="178"/>
      <c r="J45" s="178"/>
      <c r="K45" s="168"/>
      <c r="L45" s="171"/>
      <c r="M45" s="179"/>
      <c r="N45" s="171"/>
      <c r="O45" s="166" t="str">
        <f ca="1">IFERROR(IF(COUNTA($D$41:$D45)=1,"",OFFSET($C43,-COUNTA($D$41:$D45)+3,0)),"")</f>
        <v/>
      </c>
      <c r="P45" s="166">
        <f t="shared" ca="1" si="16"/>
        <v>2</v>
      </c>
      <c r="Q45" s="166"/>
      <c r="R45" s="166"/>
      <c r="S45" s="166"/>
      <c r="T45" s="166" t="b">
        <v>0</v>
      </c>
    </row>
    <row r="46" spans="1:20">
      <c r="A46" s="166" t="b">
        <v>0</v>
      </c>
      <c r="B46" s="176"/>
      <c r="C46" s="166" t="s">
        <v>3095</v>
      </c>
      <c r="D46" s="166" t="s">
        <v>3093</v>
      </c>
      <c r="E46" s="166">
        <f t="shared" ca="1" si="14"/>
        <v>3</v>
      </c>
      <c r="F46" s="177">
        <v>1</v>
      </c>
      <c r="G46" s="166"/>
      <c r="H46" s="166">
        <f t="shared" ca="1" si="15"/>
        <v>9</v>
      </c>
      <c r="I46" s="178"/>
      <c r="J46" s="178"/>
      <c r="K46" s="168"/>
      <c r="L46" s="171"/>
      <c r="M46" s="179"/>
      <c r="N46" s="171"/>
      <c r="O46" s="166" t="str">
        <f ca="1">IFERROR(IF(COUNTA($D$41:$D46)=1,"",OFFSET($C44,-COUNTA($D$41:$D46)+3,0)),"")</f>
        <v/>
      </c>
      <c r="P46" s="166">
        <f t="shared" ca="1" si="16"/>
        <v>3</v>
      </c>
      <c r="Q46" s="166"/>
      <c r="R46" s="166"/>
      <c r="S46" s="166"/>
      <c r="T46" s="166" t="b">
        <v>0</v>
      </c>
    </row>
    <row r="47" spans="1:20">
      <c r="A47" s="166" t="b">
        <v>0</v>
      </c>
      <c r="B47" s="176"/>
      <c r="C47" s="166" t="s">
        <v>3096</v>
      </c>
      <c r="D47" s="166" t="s">
        <v>3093</v>
      </c>
      <c r="E47" s="166">
        <f t="shared" ca="1" si="14"/>
        <v>4</v>
      </c>
      <c r="F47" s="177">
        <v>1</v>
      </c>
      <c r="G47" s="166"/>
      <c r="H47" s="166">
        <f t="shared" ca="1" si="15"/>
        <v>9</v>
      </c>
      <c r="I47" s="178"/>
      <c r="J47" s="178"/>
      <c r="K47" s="168"/>
      <c r="L47" s="171"/>
      <c r="M47" s="179"/>
      <c r="N47" s="171"/>
      <c r="O47" s="166" t="str">
        <f ca="1">IFERROR(IF(COUNTA($D$41:$D47)=1,"",OFFSET($C45,-COUNTA($D$41:$D47)+3,0)),"")</f>
        <v/>
      </c>
      <c r="P47" s="166">
        <f t="shared" ca="1" si="16"/>
        <v>4</v>
      </c>
      <c r="Q47" s="166"/>
      <c r="R47" s="166"/>
      <c r="S47" s="166"/>
      <c r="T47" s="166" t="b">
        <v>0</v>
      </c>
    </row>
    <row r="48" spans="1:20">
      <c r="A48" s="166" t="b">
        <v>0</v>
      </c>
      <c r="B48" s="176"/>
      <c r="C48" s="166" t="s">
        <v>3097</v>
      </c>
      <c r="D48" s="166" t="s">
        <v>3093</v>
      </c>
      <c r="E48" s="166">
        <f t="shared" ca="1" si="14"/>
        <v>5</v>
      </c>
      <c r="F48" s="177">
        <v>1</v>
      </c>
      <c r="G48" s="166"/>
      <c r="H48" s="166">
        <f t="shared" ca="1" si="15"/>
        <v>9</v>
      </c>
      <c r="I48" s="178"/>
      <c r="J48" s="178"/>
      <c r="K48" s="168"/>
      <c r="L48" s="171"/>
      <c r="M48" s="179"/>
      <c r="N48" s="171"/>
      <c r="O48" s="166" t="str">
        <f ca="1">IFERROR(IF(COUNTA($D$41:$D48)=1,"",OFFSET($C46,-COUNTA($D$41:$D48)+3,0)),"")</f>
        <v/>
      </c>
      <c r="P48" s="166">
        <f t="shared" ca="1" si="16"/>
        <v>5</v>
      </c>
      <c r="Q48" s="166"/>
      <c r="R48" s="166"/>
      <c r="S48" s="166"/>
      <c r="T48" s="166" t="b">
        <v>0</v>
      </c>
    </row>
    <row r="49" spans="1:20">
      <c r="A49" s="166" t="b">
        <v>0</v>
      </c>
      <c r="B49" s="176"/>
      <c r="C49" s="166" t="s">
        <v>3098</v>
      </c>
      <c r="D49" s="166" t="s">
        <v>3093</v>
      </c>
      <c r="E49" s="166">
        <f t="shared" ca="1" si="14"/>
        <v>6</v>
      </c>
      <c r="F49" s="177">
        <v>1</v>
      </c>
      <c r="G49" s="166"/>
      <c r="H49" s="166">
        <f t="shared" ca="1" si="15"/>
        <v>9</v>
      </c>
      <c r="I49" s="178"/>
      <c r="J49" s="178"/>
      <c r="K49" s="168"/>
      <c r="L49" s="171"/>
      <c r="M49" s="179"/>
      <c r="N49" s="171"/>
      <c r="O49" s="166" t="str">
        <f ca="1">IFERROR(IF(COUNTA($D$41:$D49)=1,"",OFFSET($C47,-COUNTA($D$41:$D49)+3,0)),"")</f>
        <v/>
      </c>
      <c r="P49" s="166">
        <f t="shared" ca="1" si="16"/>
        <v>6</v>
      </c>
      <c r="Q49" s="166"/>
      <c r="R49" s="166"/>
      <c r="S49" s="166"/>
      <c r="T49" s="166" t="b">
        <v>0</v>
      </c>
    </row>
    <row r="50" spans="1:20">
      <c r="A50" s="166" t="b">
        <v>0</v>
      </c>
      <c r="B50" s="176"/>
      <c r="C50" s="166" t="s">
        <v>3099</v>
      </c>
      <c r="D50" s="166" t="s">
        <v>3100</v>
      </c>
      <c r="E50" s="166">
        <f t="shared" ca="1" si="14"/>
        <v>1</v>
      </c>
      <c r="F50" s="177">
        <v>2</v>
      </c>
      <c r="G50" s="166"/>
      <c r="H50" s="166">
        <f t="shared" ca="1" si="15"/>
        <v>11</v>
      </c>
      <c r="I50" s="178"/>
      <c r="J50" s="178"/>
      <c r="K50" s="168"/>
      <c r="L50" s="171"/>
      <c r="M50" s="179"/>
      <c r="N50" s="171"/>
      <c r="O50" s="166" t="str">
        <f ca="1">IFERROR(IF(COUNTA($D$41:$D50)=1,"",OFFSET($C48,-COUNTA($D$41:$D50)+3,0)),"")</f>
        <v/>
      </c>
      <c r="P50" s="166">
        <f t="shared" ca="1" si="16"/>
        <v>7</v>
      </c>
      <c r="Q50" s="166"/>
      <c r="R50" s="166"/>
      <c r="S50" s="166"/>
      <c r="T50" s="166" t="b">
        <v>0</v>
      </c>
    </row>
    <row r="51" spans="1:20">
      <c r="A51" s="166" t="b">
        <v>0</v>
      </c>
      <c r="B51" s="176"/>
      <c r="C51" s="166" t="s">
        <v>3101</v>
      </c>
      <c r="D51" s="166" t="s">
        <v>3100</v>
      </c>
      <c r="E51" s="166">
        <f t="shared" ca="1" si="14"/>
        <v>2</v>
      </c>
      <c r="F51" s="177">
        <v>2</v>
      </c>
      <c r="G51" s="166"/>
      <c r="H51" s="166">
        <f t="shared" ca="1" si="15"/>
        <v>11</v>
      </c>
      <c r="I51" s="178"/>
      <c r="J51" s="178"/>
      <c r="K51" s="168"/>
      <c r="L51" s="171"/>
      <c r="M51" s="179"/>
      <c r="N51" s="171"/>
      <c r="O51" s="166" t="str">
        <f ca="1">IFERROR(IF(COUNTA($D$41:$D51)=1,"",OFFSET($C49,-COUNTA($D$41:$D51)+3,0)),"")</f>
        <v/>
      </c>
      <c r="P51" s="166">
        <f t="shared" ca="1" si="16"/>
        <v>8</v>
      </c>
      <c r="Q51" s="166"/>
      <c r="R51" s="166"/>
      <c r="S51" s="166"/>
      <c r="T51" s="166" t="b">
        <v>0</v>
      </c>
    </row>
    <row r="52" spans="1:20">
      <c r="A52" s="166" t="b">
        <v>0</v>
      </c>
      <c r="B52" s="176"/>
      <c r="C52" s="166" t="s">
        <v>3102</v>
      </c>
      <c r="D52" s="166" t="s">
        <v>3100</v>
      </c>
      <c r="E52" s="166">
        <f t="shared" ca="1" si="14"/>
        <v>3</v>
      </c>
      <c r="F52" s="177">
        <v>2</v>
      </c>
      <c r="G52" s="166"/>
      <c r="H52" s="166">
        <f t="shared" ca="1" si="15"/>
        <v>11</v>
      </c>
      <c r="I52" s="178"/>
      <c r="J52" s="178"/>
      <c r="K52" s="168"/>
      <c r="L52" s="171"/>
      <c r="M52" s="179"/>
      <c r="N52" s="171"/>
      <c r="O52" s="166" t="str">
        <f ca="1">IFERROR(IF(COUNTA($D$41:$D52)=1,"",OFFSET($C50,-COUNTA($D$41:$D52)+3,0)),"")</f>
        <v/>
      </c>
      <c r="P52" s="166">
        <f t="shared" ca="1" si="16"/>
        <v>9</v>
      </c>
      <c r="Q52" s="166"/>
      <c r="R52" s="166"/>
      <c r="S52" s="166"/>
      <c r="T52" s="166" t="b">
        <v>0</v>
      </c>
    </row>
    <row r="53" spans="1:20">
      <c r="A53" s="166" t="b">
        <v>0</v>
      </c>
      <c r="B53" s="176"/>
      <c r="C53" s="166" t="s">
        <v>3103</v>
      </c>
      <c r="D53" s="166" t="s">
        <v>3100</v>
      </c>
      <c r="E53" s="166">
        <f t="shared" si="14"/>
        <v>4</v>
      </c>
      <c r="F53" s="177">
        <v>2</v>
      </c>
      <c r="G53" s="166"/>
      <c r="H53" s="166">
        <f t="shared" ca="1" si="15"/>
        <v>11</v>
      </c>
      <c r="I53" s="178"/>
      <c r="J53" s="178"/>
      <c r="K53" s="168"/>
      <c r="L53" s="171"/>
      <c r="M53" s="179"/>
      <c r="N53" s="171"/>
      <c r="O53" s="166" t="str">
        <f ca="1">IFERROR(IF(COUNTA($D$41:$D53)=1,"",OFFSET($C51,-COUNTA($D$41:$D53)+3,0)),"")</f>
        <v/>
      </c>
      <c r="P53" s="166">
        <f t="shared" ca="1" si="16"/>
        <v>10</v>
      </c>
      <c r="Q53" s="166"/>
      <c r="R53" s="166"/>
      <c r="S53" s="166"/>
      <c r="T53" s="166" t="b">
        <v>0</v>
      </c>
    </row>
    <row r="54" spans="1:20">
      <c r="A54" s="166" t="b">
        <v>0</v>
      </c>
      <c r="B54" s="176"/>
      <c r="C54" s="166" t="s">
        <v>3104</v>
      </c>
      <c r="D54" s="166" t="s">
        <v>3100</v>
      </c>
      <c r="E54" s="166">
        <f t="shared" si="14"/>
        <v>5</v>
      </c>
      <c r="F54" s="177">
        <v>2</v>
      </c>
      <c r="G54" s="166"/>
      <c r="H54" s="166">
        <f t="shared" ca="1" si="15"/>
        <v>11</v>
      </c>
      <c r="I54" s="178"/>
      <c r="J54" s="178"/>
      <c r="K54" s="168"/>
      <c r="L54" s="171"/>
      <c r="M54" s="179"/>
      <c r="N54" s="171"/>
      <c r="O54" s="166" t="str">
        <f ca="1">IFERROR(IF(COUNTA($D$41:$D54)=1,"",OFFSET($C52,-COUNTA($D$41:$D54)+3,0)),"")</f>
        <v/>
      </c>
      <c r="P54" s="166">
        <f t="shared" ca="1" si="16"/>
        <v>11</v>
      </c>
      <c r="Q54" s="166"/>
      <c r="R54" s="166"/>
      <c r="S54" s="166"/>
      <c r="T54" s="166" t="b">
        <v>0</v>
      </c>
    </row>
    <row r="55" spans="1:20">
      <c r="A55" s="166" t="b">
        <v>0</v>
      </c>
      <c r="B55" s="176"/>
      <c r="C55" s="166" t="s">
        <v>3105</v>
      </c>
      <c r="D55" s="166" t="s">
        <v>3100</v>
      </c>
      <c r="E55" s="166">
        <f t="shared" si="14"/>
        <v>6</v>
      </c>
      <c r="F55" s="177">
        <v>2</v>
      </c>
      <c r="G55" s="166"/>
      <c r="H55" s="166">
        <f t="shared" ca="1" si="15"/>
        <v>11</v>
      </c>
      <c r="I55" s="178"/>
      <c r="J55" s="178"/>
      <c r="K55" s="168"/>
      <c r="L55" s="171"/>
      <c r="M55" s="179"/>
      <c r="N55" s="171"/>
      <c r="O55" s="166" t="str">
        <f ca="1">IFERROR(IF(COUNTA($D$41:$D55)=1,"",OFFSET($C53,-COUNTA($D$41:$D55)+3,0)),"")</f>
        <v/>
      </c>
      <c r="P55" s="166">
        <f t="shared" ca="1" si="16"/>
        <v>12</v>
      </c>
      <c r="Q55" s="166"/>
      <c r="R55" s="166"/>
      <c r="S55" s="166"/>
      <c r="T55" s="166" t="b">
        <v>0</v>
      </c>
    </row>
    <row r="56" spans="1:20">
      <c r="A56" s="166" t="b">
        <v>0</v>
      </c>
      <c r="B56" s="176"/>
      <c r="C56" s="166" t="s">
        <v>3106</v>
      </c>
      <c r="D56" s="166" t="s">
        <v>3107</v>
      </c>
      <c r="E56" s="166">
        <f t="shared" si="14"/>
        <v>1</v>
      </c>
      <c r="F56" s="177">
        <v>3</v>
      </c>
      <c r="G56" s="166"/>
      <c r="H56" s="166">
        <f t="shared" ca="1" si="15"/>
        <v>13</v>
      </c>
      <c r="I56" s="178"/>
      <c r="J56" s="178"/>
      <c r="K56" s="168"/>
      <c r="L56" s="171"/>
      <c r="M56" s="179"/>
      <c r="N56" s="171"/>
      <c r="O56" s="166" t="str">
        <f ca="1">IFERROR(IF(COUNTA($D$41:$D56)=1,"",OFFSET($C54,-COUNTA($D$41:$D56)+3,0)),"")</f>
        <v/>
      </c>
      <c r="P56" s="166">
        <f t="shared" ca="1" si="16"/>
        <v>13</v>
      </c>
      <c r="Q56" s="166"/>
      <c r="R56" s="166"/>
      <c r="S56" s="166"/>
      <c r="T56" s="166" t="b">
        <v>0</v>
      </c>
    </row>
    <row r="57" spans="1:20">
      <c r="A57" s="166" t="b">
        <v>0</v>
      </c>
      <c r="B57" s="176"/>
      <c r="C57" s="166" t="s">
        <v>3108</v>
      </c>
      <c r="D57" s="166" t="s">
        <v>3107</v>
      </c>
      <c r="E57" s="166">
        <f t="shared" si="14"/>
        <v>2</v>
      </c>
      <c r="F57" s="177">
        <v>3</v>
      </c>
      <c r="G57" s="166"/>
      <c r="H57" s="166">
        <f t="shared" ca="1" si="15"/>
        <v>13</v>
      </c>
      <c r="I57" s="178"/>
      <c r="J57" s="178"/>
      <c r="K57" s="168"/>
      <c r="L57" s="171"/>
      <c r="M57" s="179"/>
      <c r="N57" s="171"/>
      <c r="O57" s="166" t="str">
        <f ca="1">IFERROR(IF(COUNTA($D$41:$D57)=1,"",OFFSET($C55,-COUNTA($D$41:$D57)+3,0)),"")</f>
        <v/>
      </c>
      <c r="P57" s="166">
        <f t="shared" ca="1" si="16"/>
        <v>14</v>
      </c>
      <c r="Q57" s="166"/>
      <c r="R57" s="166"/>
      <c r="S57" s="166"/>
      <c r="T57" s="166" t="b">
        <v>0</v>
      </c>
    </row>
    <row r="58" spans="1:20">
      <c r="A58" s="166" t="b">
        <v>0</v>
      </c>
      <c r="B58" s="176"/>
      <c r="C58" s="166" t="s">
        <v>3109</v>
      </c>
      <c r="D58" s="166" t="s">
        <v>3107</v>
      </c>
      <c r="E58" s="166">
        <f t="shared" si="14"/>
        <v>3</v>
      </c>
      <c r="F58" s="177">
        <v>3</v>
      </c>
      <c r="G58" s="166"/>
      <c r="H58" s="166">
        <f t="shared" ca="1" si="15"/>
        <v>13</v>
      </c>
      <c r="I58" s="178"/>
      <c r="J58" s="178"/>
      <c r="K58" s="168"/>
      <c r="L58" s="171"/>
      <c r="M58" s="179"/>
      <c r="N58" s="171"/>
      <c r="O58" s="166" t="str">
        <f ca="1">IFERROR(IF(COUNTA($D$41:$D58)=1,"",OFFSET($C56,-COUNTA($D$41:$D58)+3,0)),"")</f>
        <v/>
      </c>
      <c r="P58" s="166">
        <f t="shared" ca="1" si="16"/>
        <v>15</v>
      </c>
      <c r="Q58" s="166"/>
      <c r="R58" s="166"/>
      <c r="S58" s="166"/>
      <c r="T58" s="166" t="b">
        <v>0</v>
      </c>
    </row>
    <row r="59" spans="1:20">
      <c r="A59" s="166" t="b">
        <v>0</v>
      </c>
      <c r="B59" s="176"/>
      <c r="C59" s="166" t="s">
        <v>3110</v>
      </c>
      <c r="D59" s="166" t="s">
        <v>3107</v>
      </c>
      <c r="E59" s="166">
        <f t="shared" si="14"/>
        <v>4</v>
      </c>
      <c r="F59" s="177">
        <v>3</v>
      </c>
      <c r="G59" s="166"/>
      <c r="H59" s="166">
        <f t="shared" ca="1" si="15"/>
        <v>13</v>
      </c>
      <c r="I59" s="178"/>
      <c r="J59" s="178"/>
      <c r="K59" s="168"/>
      <c r="L59" s="171"/>
      <c r="M59" s="179"/>
      <c r="N59" s="171"/>
      <c r="O59" s="166" t="str">
        <f ca="1">IFERROR(IF(COUNTA($D$41:$D59)=1,"",OFFSET($C57,-COUNTA($D$41:$D59)+3,0)),"")</f>
        <v/>
      </c>
      <c r="P59" s="166">
        <f t="shared" ca="1" si="16"/>
        <v>16</v>
      </c>
      <c r="Q59" s="166"/>
      <c r="R59" s="166"/>
      <c r="S59" s="166"/>
      <c r="T59" s="166" t="b">
        <v>0</v>
      </c>
    </row>
    <row r="60" spans="1:20">
      <c r="A60" s="166" t="b">
        <v>0</v>
      </c>
      <c r="B60" s="176"/>
      <c r="C60" s="166" t="s">
        <v>3111</v>
      </c>
      <c r="D60" s="166" t="s">
        <v>3107</v>
      </c>
      <c r="E60" s="166">
        <f t="shared" si="14"/>
        <v>5</v>
      </c>
      <c r="F60" s="177">
        <v>3</v>
      </c>
      <c r="G60" s="166"/>
      <c r="H60" s="166">
        <f t="shared" ca="1" si="15"/>
        <v>13</v>
      </c>
      <c r="I60" s="178"/>
      <c r="J60" s="178"/>
      <c r="K60" s="168"/>
      <c r="L60" s="171"/>
      <c r="M60" s="179"/>
      <c r="N60" s="171"/>
      <c r="O60" s="166" t="str">
        <f ca="1">IFERROR(IF(COUNTA($D$41:$D60)=1,"",OFFSET($C58,-COUNTA($D$41:$D60)+3,0)),"")</f>
        <v/>
      </c>
      <c r="P60" s="166">
        <f t="shared" ca="1" si="16"/>
        <v>17</v>
      </c>
      <c r="Q60" s="166"/>
      <c r="R60" s="166"/>
      <c r="S60" s="166"/>
      <c r="T60" s="166" t="b">
        <v>0</v>
      </c>
    </row>
    <row r="61" spans="1:20">
      <c r="A61" s="166" t="b">
        <v>0</v>
      </c>
      <c r="B61" s="176"/>
      <c r="C61" s="166" t="s">
        <v>3112</v>
      </c>
      <c r="D61" s="166" t="s">
        <v>3107</v>
      </c>
      <c r="E61" s="166">
        <f t="shared" si="14"/>
        <v>6</v>
      </c>
      <c r="F61" s="177">
        <v>3</v>
      </c>
      <c r="G61" s="166"/>
      <c r="H61" s="166">
        <f t="shared" ca="1" si="15"/>
        <v>13</v>
      </c>
      <c r="I61" s="178"/>
      <c r="J61" s="178"/>
      <c r="K61" s="168"/>
      <c r="L61" s="171"/>
      <c r="M61" s="179"/>
      <c r="N61" s="171"/>
      <c r="O61" s="166" t="str">
        <f ca="1">IFERROR(IF(COUNTA($D$41:$D61)=1,"",OFFSET($C59,-COUNTA($D$41:$D61)+3,0)),"")</f>
        <v/>
      </c>
      <c r="P61" s="166">
        <f t="shared" ca="1" si="16"/>
        <v>18</v>
      </c>
      <c r="Q61" s="166"/>
      <c r="R61" s="166"/>
      <c r="S61" s="166"/>
      <c r="T61" s="166" t="b">
        <v>0</v>
      </c>
    </row>
    <row r="62" spans="1:20">
      <c r="A62" s="166" t="b">
        <v>0</v>
      </c>
      <c r="B62" s="176"/>
      <c r="C62" s="166" t="s">
        <v>3113</v>
      </c>
      <c r="D62" s="166" t="s">
        <v>3114</v>
      </c>
      <c r="E62" s="166">
        <f t="shared" si="14"/>
        <v>1</v>
      </c>
      <c r="F62" s="177">
        <v>4</v>
      </c>
      <c r="G62" s="166"/>
      <c r="H62" s="166">
        <f t="shared" ca="1" si="15"/>
        <v>15</v>
      </c>
      <c r="I62" s="178"/>
      <c r="J62" s="178"/>
      <c r="K62" s="168"/>
      <c r="L62" s="171"/>
      <c r="M62" s="179"/>
      <c r="N62" s="171"/>
      <c r="O62" s="166" t="str">
        <f ca="1">IFERROR(IF(COUNTA($D$41:$D62)=1,"",OFFSET($C60,-COUNTA($D$41:$D62)+3,0)),"")</f>
        <v/>
      </c>
      <c r="P62" s="166">
        <f t="shared" ca="1" si="16"/>
        <v>19</v>
      </c>
      <c r="Q62" s="166"/>
      <c r="R62" s="166"/>
      <c r="S62" s="166"/>
      <c r="T62" s="166" t="b">
        <v>0</v>
      </c>
    </row>
    <row r="63" spans="1:20">
      <c r="A63" s="166" t="b">
        <v>0</v>
      </c>
      <c r="B63" s="176"/>
      <c r="C63" s="166" t="s">
        <v>3115</v>
      </c>
      <c r="D63" s="166" t="s">
        <v>3114</v>
      </c>
      <c r="E63" s="166">
        <f t="shared" si="14"/>
        <v>2</v>
      </c>
      <c r="F63" s="177">
        <v>4</v>
      </c>
      <c r="G63" s="166"/>
      <c r="H63" s="166">
        <f t="shared" ca="1" si="15"/>
        <v>15</v>
      </c>
      <c r="I63" s="178"/>
      <c r="J63" s="178"/>
      <c r="K63" s="168"/>
      <c r="L63" s="171"/>
      <c r="M63" s="179"/>
      <c r="N63" s="171"/>
      <c r="O63" s="166" t="str">
        <f ca="1">IFERROR(IF(COUNTA($D$41:$D63)=1,"",OFFSET($C61,-COUNTA($D$41:$D63)+3,0)),"")</f>
        <v/>
      </c>
      <c r="P63" s="166">
        <f t="shared" ca="1" si="16"/>
        <v>20</v>
      </c>
      <c r="Q63" s="166"/>
      <c r="R63" s="166"/>
      <c r="S63" s="166"/>
      <c r="T63" s="166" t="b">
        <v>0</v>
      </c>
    </row>
    <row r="64" spans="1:20">
      <c r="A64" s="166" t="b">
        <v>0</v>
      </c>
      <c r="B64" s="176"/>
      <c r="C64" s="166" t="s">
        <v>3116</v>
      </c>
      <c r="D64" s="166" t="s">
        <v>3114</v>
      </c>
      <c r="E64" s="166">
        <f t="shared" si="14"/>
        <v>3</v>
      </c>
      <c r="F64" s="177">
        <v>4</v>
      </c>
      <c r="G64" s="166"/>
      <c r="H64" s="166">
        <f t="shared" ca="1" si="15"/>
        <v>15</v>
      </c>
      <c r="I64" s="178"/>
      <c r="J64" s="178"/>
      <c r="K64" s="168"/>
      <c r="L64" s="171"/>
      <c r="M64" s="179"/>
      <c r="N64" s="171"/>
      <c r="O64" s="166" t="str">
        <f ca="1">IFERROR(IF(COUNTA($D$41:$D64)=1,"",OFFSET($C62,-COUNTA($D$41:$D64)+3,0)),"")</f>
        <v/>
      </c>
      <c r="P64" s="166">
        <f t="shared" ca="1" si="16"/>
        <v>21</v>
      </c>
      <c r="Q64" s="166"/>
      <c r="R64" s="166"/>
      <c r="S64" s="166"/>
      <c r="T64" s="166" t="b">
        <v>0</v>
      </c>
    </row>
    <row r="65" spans="1:20">
      <c r="A65" s="166" t="b">
        <v>0</v>
      </c>
      <c r="B65" s="176"/>
      <c r="C65" s="166" t="s">
        <v>3117</v>
      </c>
      <c r="D65" s="166" t="s">
        <v>3114</v>
      </c>
      <c r="E65" s="166">
        <f t="shared" si="14"/>
        <v>4</v>
      </c>
      <c r="F65" s="177">
        <v>4</v>
      </c>
      <c r="G65" s="166"/>
      <c r="H65" s="166">
        <f t="shared" ca="1" si="15"/>
        <v>15</v>
      </c>
      <c r="I65" s="178"/>
      <c r="J65" s="178"/>
      <c r="K65" s="168"/>
      <c r="L65" s="171"/>
      <c r="M65" s="179"/>
      <c r="N65" s="171"/>
      <c r="O65" s="166" t="str">
        <f ca="1">IFERROR(IF(COUNTA($D$41:$D65)=1,"",OFFSET($C63,-COUNTA($D$41:$D65)+3,0)),"")</f>
        <v/>
      </c>
      <c r="P65" s="166">
        <f t="shared" ca="1" si="16"/>
        <v>22</v>
      </c>
      <c r="Q65" s="166"/>
      <c r="R65" s="166"/>
      <c r="S65" s="166"/>
      <c r="T65" s="166" t="b">
        <v>0</v>
      </c>
    </row>
    <row r="66" spans="1:20">
      <c r="A66" s="166" t="b">
        <v>0</v>
      </c>
      <c r="B66" s="176"/>
      <c r="C66" s="166" t="s">
        <v>3118</v>
      </c>
      <c r="D66" s="166" t="s">
        <v>3114</v>
      </c>
      <c r="E66" s="166">
        <f t="shared" si="14"/>
        <v>5</v>
      </c>
      <c r="F66" s="177">
        <v>4</v>
      </c>
      <c r="G66" s="166"/>
      <c r="H66" s="166">
        <f t="shared" ca="1" si="15"/>
        <v>15</v>
      </c>
      <c r="I66" s="178"/>
      <c r="J66" s="178"/>
      <c r="K66" s="168"/>
      <c r="L66" s="171"/>
      <c r="M66" s="179"/>
      <c r="N66" s="171"/>
      <c r="O66" s="166" t="str">
        <f ca="1">IFERROR(IF(COUNTA($D$41:$D66)=1,"",OFFSET($C64,-COUNTA($D$41:$D66)+3,0)),"")</f>
        <v/>
      </c>
      <c r="P66" s="166">
        <f t="shared" ca="1" si="16"/>
        <v>23</v>
      </c>
      <c r="Q66" s="166"/>
      <c r="R66" s="166"/>
      <c r="S66" s="166"/>
      <c r="T66" s="166" t="b">
        <v>0</v>
      </c>
    </row>
    <row r="67" spans="1:20">
      <c r="A67" s="166" t="b">
        <v>0</v>
      </c>
      <c r="B67" s="176"/>
      <c r="C67" s="166" t="s">
        <v>3119</v>
      </c>
      <c r="D67" s="166" t="s">
        <v>3114</v>
      </c>
      <c r="E67" s="166">
        <f t="shared" si="14"/>
        <v>6</v>
      </c>
      <c r="F67" s="177">
        <v>4</v>
      </c>
      <c r="G67" s="166"/>
      <c r="H67" s="166">
        <f t="shared" ca="1" si="15"/>
        <v>15</v>
      </c>
      <c r="I67" s="178"/>
      <c r="J67" s="178"/>
      <c r="K67" s="168"/>
      <c r="L67" s="171"/>
      <c r="M67" s="179"/>
      <c r="N67" s="171"/>
      <c r="O67" s="166" t="str">
        <f ca="1">IFERROR(IF(COUNTA($D$41:$D67)=1,"",OFFSET($C65,-COUNTA($D$41:$D67)+3,0)),"")</f>
        <v/>
      </c>
      <c r="P67" s="166">
        <f t="shared" ca="1" si="16"/>
        <v>24</v>
      </c>
      <c r="Q67" s="166"/>
      <c r="R67" s="166"/>
      <c r="S67" s="166"/>
      <c r="T67" s="166" t="b">
        <v>0</v>
      </c>
    </row>
    <row r="68" spans="1:20">
      <c r="A68" s="166" t="b">
        <v>0</v>
      </c>
      <c r="B68" s="176"/>
      <c r="C68" s="166" t="s">
        <v>3120</v>
      </c>
      <c r="D68" s="166" t="s">
        <v>3121</v>
      </c>
      <c r="E68" s="166">
        <f t="shared" si="14"/>
        <v>1</v>
      </c>
      <c r="F68" s="177">
        <v>5</v>
      </c>
      <c r="G68" s="166"/>
      <c r="H68" s="166">
        <f t="shared" ca="1" si="15"/>
        <v>17</v>
      </c>
      <c r="I68" s="178"/>
      <c r="J68" s="178"/>
      <c r="K68" s="168"/>
      <c r="L68" s="171"/>
      <c r="M68" s="179"/>
      <c r="N68" s="171"/>
      <c r="O68" s="166" t="str">
        <f ca="1">IFERROR(IF(COUNTA($D$41:$D68)=1,"",OFFSET($C66,-COUNTA($D$41:$D68)+3,0)),"")</f>
        <v/>
      </c>
      <c r="P68" s="166">
        <f t="shared" ca="1" si="16"/>
        <v>25</v>
      </c>
      <c r="Q68" s="166"/>
      <c r="R68" s="166"/>
      <c r="S68" s="166"/>
      <c r="T68" s="166" t="b">
        <v>0</v>
      </c>
    </row>
    <row r="69" spans="1:20">
      <c r="A69" s="166" t="b">
        <v>0</v>
      </c>
      <c r="B69" s="176"/>
      <c r="C69" s="166" t="s">
        <v>3122</v>
      </c>
      <c r="D69" s="166" t="s">
        <v>3121</v>
      </c>
      <c r="E69" s="166">
        <f t="shared" si="14"/>
        <v>2</v>
      </c>
      <c r="F69" s="177">
        <v>5</v>
      </c>
      <c r="G69" s="166"/>
      <c r="H69" s="166">
        <f t="shared" ca="1" si="15"/>
        <v>17</v>
      </c>
      <c r="I69" s="178"/>
      <c r="J69" s="178"/>
      <c r="K69" s="168"/>
      <c r="L69" s="171"/>
      <c r="M69" s="179"/>
      <c r="N69" s="171"/>
      <c r="O69" s="166" t="str">
        <f ca="1">IFERROR(IF(COUNTA($D$41:$D69)=1,"",OFFSET($C67,-COUNTA($D$41:$D69)+3,0)),"")</f>
        <v/>
      </c>
      <c r="P69" s="166">
        <f t="shared" ca="1" si="16"/>
        <v>26</v>
      </c>
      <c r="Q69" s="166"/>
      <c r="R69" s="166"/>
      <c r="S69" s="166"/>
      <c r="T69" s="166" t="b">
        <v>0</v>
      </c>
    </row>
    <row r="70" spans="1:20">
      <c r="A70" s="166" t="b">
        <v>0</v>
      </c>
      <c r="B70" s="176"/>
      <c r="C70" s="166" t="s">
        <v>3123</v>
      </c>
      <c r="D70" s="166" t="s">
        <v>3121</v>
      </c>
      <c r="E70" s="166">
        <f t="shared" si="14"/>
        <v>3</v>
      </c>
      <c r="F70" s="177">
        <v>5</v>
      </c>
      <c r="G70" s="166"/>
      <c r="H70" s="166">
        <f t="shared" ca="1" si="15"/>
        <v>17</v>
      </c>
      <c r="I70" s="178"/>
      <c r="J70" s="178"/>
      <c r="K70" s="168"/>
      <c r="L70" s="171"/>
      <c r="M70" s="179"/>
      <c r="N70" s="171"/>
      <c r="O70" s="166" t="str">
        <f ca="1">IFERROR(IF(COUNTA($D$41:$D70)=1,"",OFFSET($C68,-COUNTA($D$41:$D70)+3,0)),"")</f>
        <v/>
      </c>
      <c r="P70" s="166">
        <f t="shared" ca="1" si="16"/>
        <v>27</v>
      </c>
      <c r="Q70" s="166"/>
      <c r="R70" s="166"/>
      <c r="S70" s="166"/>
      <c r="T70" s="166" t="b">
        <v>0</v>
      </c>
    </row>
    <row r="71" spans="1:20">
      <c r="A71" s="166" t="b">
        <v>0</v>
      </c>
      <c r="B71" s="176"/>
      <c r="C71" s="166" t="s">
        <v>3124</v>
      </c>
      <c r="D71" s="166" t="s">
        <v>3121</v>
      </c>
      <c r="E71" s="166">
        <f t="shared" si="14"/>
        <v>4</v>
      </c>
      <c r="F71" s="177">
        <v>5</v>
      </c>
      <c r="G71" s="166"/>
      <c r="H71" s="166">
        <f t="shared" ca="1" si="15"/>
        <v>17</v>
      </c>
      <c r="I71" s="178"/>
      <c r="J71" s="178"/>
      <c r="K71" s="168"/>
      <c r="L71" s="171"/>
      <c r="M71" s="179"/>
      <c r="N71" s="171"/>
      <c r="O71" s="166" t="str">
        <f ca="1">IFERROR(IF(COUNTA($D$41:$D71)=1,"",OFFSET($C69,-COUNTA($D$41:$D71)+3,0)),"")</f>
        <v/>
      </c>
      <c r="P71" s="166">
        <f t="shared" ca="1" si="16"/>
        <v>28</v>
      </c>
      <c r="Q71" s="166"/>
      <c r="R71" s="166"/>
      <c r="S71" s="166"/>
      <c r="T71" s="166" t="b">
        <v>0</v>
      </c>
    </row>
    <row r="72" spans="1:20">
      <c r="A72" s="166" t="b">
        <v>0</v>
      </c>
      <c r="B72" s="176"/>
      <c r="C72" s="166" t="s">
        <v>3125</v>
      </c>
      <c r="D72" s="166" t="s">
        <v>3121</v>
      </c>
      <c r="E72" s="166">
        <f t="shared" si="14"/>
        <v>5</v>
      </c>
      <c r="F72" s="177">
        <v>5</v>
      </c>
      <c r="G72" s="166"/>
      <c r="H72" s="166">
        <f t="shared" ca="1" si="15"/>
        <v>17</v>
      </c>
      <c r="I72" s="178"/>
      <c r="J72" s="178"/>
      <c r="K72" s="168"/>
      <c r="L72" s="171"/>
      <c r="M72" s="179"/>
      <c r="N72" s="171"/>
      <c r="O72" s="166" t="str">
        <f ca="1">IFERROR(IF(COUNTA($D$41:$D72)=1,"",OFFSET($C70,-COUNTA($D$41:$D72)+3,0)),"")</f>
        <v/>
      </c>
      <c r="P72" s="166">
        <f t="shared" ca="1" si="16"/>
        <v>29</v>
      </c>
      <c r="Q72" s="166"/>
      <c r="R72" s="166"/>
      <c r="S72" s="166"/>
      <c r="T72" s="166" t="b">
        <v>0</v>
      </c>
    </row>
    <row r="73" spans="1:20">
      <c r="A73" s="166" t="b">
        <v>0</v>
      </c>
      <c r="B73" s="176"/>
      <c r="C73" s="166" t="s">
        <v>3126</v>
      </c>
      <c r="D73" s="166" t="s">
        <v>3121</v>
      </c>
      <c r="E73" s="166">
        <f t="shared" si="14"/>
        <v>6</v>
      </c>
      <c r="F73" s="177">
        <v>5</v>
      </c>
      <c r="G73" s="166"/>
      <c r="H73" s="166">
        <f t="shared" ca="1" si="15"/>
        <v>17</v>
      </c>
      <c r="I73" s="178"/>
      <c r="J73" s="178"/>
      <c r="K73" s="168"/>
      <c r="L73" s="171"/>
      <c r="M73" s="179"/>
      <c r="N73" s="171"/>
      <c r="O73" s="166" t="str">
        <f ca="1">IFERROR(IF(COUNTA($D$41:$D73)=1,"",OFFSET($C71,-COUNTA($D$41:$D73)+3,0)),"")</f>
        <v/>
      </c>
      <c r="P73" s="166">
        <f t="shared" ca="1" si="16"/>
        <v>30</v>
      </c>
      <c r="Q73" s="166"/>
      <c r="R73" s="166"/>
      <c r="S73" s="166"/>
      <c r="T73" s="166" t="b">
        <v>0</v>
      </c>
    </row>
    <row r="74" spans="1:20">
      <c r="A74" s="166" t="b">
        <v>0</v>
      </c>
      <c r="B74" s="176"/>
      <c r="C74" s="166" t="s">
        <v>3127</v>
      </c>
      <c r="D74" s="166" t="s">
        <v>3128</v>
      </c>
      <c r="E74" s="166">
        <f t="shared" si="14"/>
        <v>1</v>
      </c>
      <c r="F74" s="177">
        <v>6</v>
      </c>
      <c r="G74" s="166"/>
      <c r="H74" s="166">
        <f t="shared" ca="1" si="15"/>
        <v>19</v>
      </c>
      <c r="I74" s="178"/>
      <c r="J74" s="178"/>
      <c r="K74" s="168"/>
      <c r="L74" s="171"/>
      <c r="M74" s="179"/>
      <c r="N74" s="171"/>
      <c r="O74" s="166" t="str">
        <f ca="1">IFERROR(IF(COUNTA($D$41:$D74)=1,"",OFFSET($C72,-COUNTA($D$41:$D74)+3,0)),"")</f>
        <v/>
      </c>
      <c r="P74" s="166">
        <f t="shared" ca="1" si="16"/>
        <v>31</v>
      </c>
      <c r="Q74" s="166"/>
      <c r="R74" s="166"/>
      <c r="S74" s="166"/>
      <c r="T74" s="166" t="b">
        <v>0</v>
      </c>
    </row>
    <row r="75" spans="1:20">
      <c r="A75" s="166" t="b">
        <v>0</v>
      </c>
      <c r="B75" s="176"/>
      <c r="C75" s="166" t="s">
        <v>3129</v>
      </c>
      <c r="D75" s="166" t="s">
        <v>3128</v>
      </c>
      <c r="E75" s="166">
        <f t="shared" si="14"/>
        <v>2</v>
      </c>
      <c r="F75" s="177">
        <v>6</v>
      </c>
      <c r="G75" s="166"/>
      <c r="H75" s="166">
        <f t="shared" ca="1" si="15"/>
        <v>19</v>
      </c>
      <c r="I75" s="178"/>
      <c r="J75" s="178"/>
      <c r="K75" s="168"/>
      <c r="L75" s="171"/>
      <c r="M75" s="179"/>
      <c r="N75" s="171"/>
      <c r="O75" s="166" t="str">
        <f ca="1">IFERROR(IF(COUNTA($D$41:$D75)=1,"",OFFSET($C73,-COUNTA($D$41:$D75)+3,0)),"")</f>
        <v/>
      </c>
      <c r="P75" s="166">
        <f t="shared" ca="1" si="16"/>
        <v>32</v>
      </c>
      <c r="Q75" s="166"/>
      <c r="R75" s="166"/>
      <c r="S75" s="166"/>
      <c r="T75" s="166" t="b">
        <v>0</v>
      </c>
    </row>
    <row r="76" spans="1:20">
      <c r="A76" s="166" t="b">
        <v>0</v>
      </c>
      <c r="B76" s="176"/>
      <c r="C76" s="166" t="s">
        <v>3130</v>
      </c>
      <c r="D76" s="166" t="s">
        <v>3128</v>
      </c>
      <c r="E76" s="166">
        <f t="shared" si="14"/>
        <v>3</v>
      </c>
      <c r="F76" s="177">
        <v>6</v>
      </c>
      <c r="G76" s="166"/>
      <c r="H76" s="166">
        <f t="shared" ca="1" si="15"/>
        <v>19</v>
      </c>
      <c r="I76" s="178"/>
      <c r="J76" s="178"/>
      <c r="K76" s="168"/>
      <c r="L76" s="171"/>
      <c r="M76" s="179"/>
      <c r="N76" s="171"/>
      <c r="O76" s="166" t="str">
        <f ca="1">IFERROR(IF(COUNTA($D$41:$D76)=1,"",OFFSET($C74,-COUNTA($D$41:$D76)+3,0)),"")</f>
        <v/>
      </c>
      <c r="P76" s="166">
        <f t="shared" ca="1" si="16"/>
        <v>33</v>
      </c>
      <c r="Q76" s="166"/>
      <c r="R76" s="166"/>
      <c r="S76" s="166"/>
      <c r="T76" s="166" t="b">
        <v>0</v>
      </c>
    </row>
    <row r="77" spans="1:20">
      <c r="A77" s="166" t="b">
        <v>0</v>
      </c>
      <c r="B77" s="176"/>
      <c r="C77" s="166" t="s">
        <v>3131</v>
      </c>
      <c r="D77" s="166" t="s">
        <v>3128</v>
      </c>
      <c r="E77" s="166">
        <f t="shared" si="14"/>
        <v>4</v>
      </c>
      <c r="F77" s="177">
        <v>6</v>
      </c>
      <c r="G77" s="166"/>
      <c r="H77" s="166">
        <f t="shared" ca="1" si="15"/>
        <v>19</v>
      </c>
      <c r="I77" s="178"/>
      <c r="J77" s="178"/>
      <c r="K77" s="168"/>
      <c r="L77" s="171"/>
      <c r="M77" s="179"/>
      <c r="N77" s="171"/>
      <c r="O77" s="166" t="str">
        <f ca="1">IFERROR(IF(COUNTA($D$41:$D77)=1,"",OFFSET($C75,-COUNTA($D$41:$D77)+3,0)),"")</f>
        <v/>
      </c>
      <c r="P77" s="166">
        <f t="shared" ca="1" si="16"/>
        <v>34</v>
      </c>
      <c r="Q77" s="166"/>
      <c r="R77" s="166"/>
      <c r="S77" s="166"/>
      <c r="T77" s="166" t="b">
        <v>0</v>
      </c>
    </row>
    <row r="78" spans="1:20">
      <c r="A78" s="166" t="b">
        <v>0</v>
      </c>
      <c r="B78" s="176"/>
      <c r="C78" s="166" t="s">
        <v>3132</v>
      </c>
      <c r="D78" s="166" t="s">
        <v>3128</v>
      </c>
      <c r="E78" s="166">
        <f t="shared" si="14"/>
        <v>5</v>
      </c>
      <c r="F78" s="177">
        <v>6</v>
      </c>
      <c r="G78" s="166"/>
      <c r="H78" s="166">
        <f t="shared" ca="1" si="15"/>
        <v>19</v>
      </c>
      <c r="I78" s="178"/>
      <c r="J78" s="178"/>
      <c r="K78" s="168"/>
      <c r="L78" s="171"/>
      <c r="M78" s="179"/>
      <c r="N78" s="171"/>
      <c r="O78" s="166" t="str">
        <f ca="1">IFERROR(IF(COUNTA($D$41:$D78)=1,"",OFFSET($C76,-COUNTA($D$41:$D78)+3,0)),"")</f>
        <v/>
      </c>
      <c r="P78" s="166">
        <f t="shared" ca="1" si="16"/>
        <v>35</v>
      </c>
      <c r="Q78" s="166"/>
      <c r="R78" s="166"/>
      <c r="S78" s="166"/>
      <c r="T78" s="166" t="b">
        <v>0</v>
      </c>
    </row>
    <row r="79" spans="1:20">
      <c r="A79" s="166" t="b">
        <v>0</v>
      </c>
      <c r="B79" s="176"/>
      <c r="C79" s="166" t="s">
        <v>3133</v>
      </c>
      <c r="D79" s="166" t="s">
        <v>3128</v>
      </c>
      <c r="E79" s="166">
        <f t="shared" si="14"/>
        <v>6</v>
      </c>
      <c r="F79" s="177">
        <v>6</v>
      </c>
      <c r="G79" s="166"/>
      <c r="H79" s="166">
        <f t="shared" ca="1" si="15"/>
        <v>19</v>
      </c>
      <c r="I79" s="178"/>
      <c r="J79" s="178"/>
      <c r="K79" s="168"/>
      <c r="L79" s="171"/>
      <c r="M79" s="179"/>
      <c r="N79" s="171"/>
      <c r="O79" s="166" t="str">
        <f ca="1">IFERROR(IF(COUNTA($D$41:$D79)=1,"",OFFSET($C77,-COUNTA($D$41:$D79)+3,0)),"")</f>
        <v/>
      </c>
      <c r="P79" s="166">
        <f t="shared" ca="1" si="16"/>
        <v>36</v>
      </c>
      <c r="Q79" s="166"/>
      <c r="R79" s="166"/>
      <c r="S79" s="166"/>
      <c r="T79" s="166" t="b">
        <v>0</v>
      </c>
    </row>
    <row r="80" spans="1:20">
      <c r="A80" s="166" t="b">
        <v>0</v>
      </c>
      <c r="B80" s="176"/>
      <c r="C80" s="166" t="s">
        <v>3134</v>
      </c>
      <c r="D80" s="166" t="s">
        <v>3135</v>
      </c>
      <c r="E80" s="166">
        <f t="shared" si="14"/>
        <v>1</v>
      </c>
      <c r="F80" s="177">
        <v>7</v>
      </c>
      <c r="G80" s="166"/>
      <c r="H80" s="166">
        <f t="shared" ca="1" si="15"/>
        <v>21</v>
      </c>
      <c r="I80" s="178"/>
      <c r="J80" s="178"/>
      <c r="K80" s="168"/>
      <c r="L80" s="171"/>
      <c r="M80" s="179"/>
      <c r="N80" s="171"/>
      <c r="O80" s="166" t="str">
        <f ca="1">IFERROR(IF(COUNTA($D$41:$D80)=1,"",OFFSET($C78,-COUNTA($D$41:$D80)+3,0)),"")</f>
        <v/>
      </c>
      <c r="P80" s="166">
        <f t="shared" ca="1" si="16"/>
        <v>37</v>
      </c>
      <c r="Q80" s="166"/>
      <c r="R80" s="166"/>
      <c r="S80" s="166"/>
      <c r="T80" s="166" t="b">
        <v>0</v>
      </c>
    </row>
    <row r="81" spans="1:20">
      <c r="A81" s="166" t="b">
        <v>0</v>
      </c>
      <c r="B81" s="176"/>
      <c r="C81" s="166" t="s">
        <v>3136</v>
      </c>
      <c r="D81" s="166" t="s">
        <v>3135</v>
      </c>
      <c r="E81" s="166">
        <f t="shared" si="14"/>
        <v>2</v>
      </c>
      <c r="F81" s="177">
        <v>7</v>
      </c>
      <c r="G81" s="166"/>
      <c r="H81" s="166">
        <f t="shared" ca="1" si="15"/>
        <v>21</v>
      </c>
      <c r="I81" s="178"/>
      <c r="J81" s="178"/>
      <c r="K81" s="168"/>
      <c r="L81" s="171"/>
      <c r="M81" s="179"/>
      <c r="N81" s="171"/>
      <c r="O81" s="166" t="str">
        <f ca="1">IFERROR(IF(COUNTA($D$41:$D81)=1,"",OFFSET($C79,-COUNTA($D$41:$D81)+3,0)),"")</f>
        <v/>
      </c>
      <c r="P81" s="166">
        <f t="shared" ca="1" si="16"/>
        <v>38</v>
      </c>
      <c r="Q81" s="166"/>
      <c r="R81" s="166"/>
      <c r="S81" s="166"/>
      <c r="T81" s="166" t="b">
        <v>0</v>
      </c>
    </row>
    <row r="82" spans="1:20">
      <c r="A82" s="166" t="b">
        <v>0</v>
      </c>
      <c r="B82" s="176"/>
      <c r="C82" s="166" t="s">
        <v>3137</v>
      </c>
      <c r="D82" s="166" t="s">
        <v>3135</v>
      </c>
      <c r="E82" s="166">
        <f t="shared" si="14"/>
        <v>3</v>
      </c>
      <c r="F82" s="177">
        <v>7</v>
      </c>
      <c r="G82" s="166"/>
      <c r="H82" s="166">
        <f t="shared" ca="1" si="15"/>
        <v>21</v>
      </c>
      <c r="I82" s="178"/>
      <c r="J82" s="178"/>
      <c r="K82" s="168"/>
      <c r="L82" s="171"/>
      <c r="M82" s="179"/>
      <c r="N82" s="171"/>
      <c r="O82" s="166" t="str">
        <f ca="1">IFERROR(IF(COUNTA($D$41:$D82)=1,"",OFFSET($C80,-COUNTA($D$41:$D82)+3,0)),"")</f>
        <v/>
      </c>
      <c r="P82" s="166">
        <f t="shared" ca="1" si="16"/>
        <v>39</v>
      </c>
      <c r="Q82" s="166"/>
      <c r="R82" s="166"/>
      <c r="S82" s="166"/>
      <c r="T82" s="166" t="b">
        <v>0</v>
      </c>
    </row>
    <row r="83" spans="1:20">
      <c r="A83" s="166" t="b">
        <v>0</v>
      </c>
      <c r="B83" s="176"/>
      <c r="C83" s="166" t="s">
        <v>3138</v>
      </c>
      <c r="D83" s="166" t="s">
        <v>3135</v>
      </c>
      <c r="E83" s="166">
        <f t="shared" si="14"/>
        <v>4</v>
      </c>
      <c r="F83" s="177">
        <v>7</v>
      </c>
      <c r="G83" s="166"/>
      <c r="H83" s="166">
        <f t="shared" ca="1" si="15"/>
        <v>21</v>
      </c>
      <c r="I83" s="178"/>
      <c r="J83" s="178"/>
      <c r="K83" s="168"/>
      <c r="L83" s="171"/>
      <c r="M83" s="179"/>
      <c r="N83" s="171"/>
      <c r="O83" s="166" t="str">
        <f ca="1">IFERROR(IF(COUNTA($D$41:$D83)=1,"",OFFSET($C81,-COUNTA($D$41:$D83)+3,0)),"")</f>
        <v/>
      </c>
      <c r="P83" s="166">
        <f t="shared" ca="1" si="16"/>
        <v>40</v>
      </c>
      <c r="Q83" s="166"/>
      <c r="R83" s="166"/>
      <c r="S83" s="166"/>
      <c r="T83" s="166" t="b">
        <v>0</v>
      </c>
    </row>
    <row r="84" spans="1:20">
      <c r="A84" s="166" t="b">
        <v>0</v>
      </c>
      <c r="B84" s="176"/>
      <c r="C84" s="166" t="s">
        <v>3139</v>
      </c>
      <c r="D84" s="166" t="s">
        <v>3135</v>
      </c>
      <c r="E84" s="166">
        <f t="shared" si="14"/>
        <v>5</v>
      </c>
      <c r="F84" s="177">
        <v>7</v>
      </c>
      <c r="G84" s="166"/>
      <c r="H84" s="166">
        <f t="shared" ca="1" si="15"/>
        <v>21</v>
      </c>
      <c r="I84" s="178"/>
      <c r="J84" s="178"/>
      <c r="K84" s="168"/>
      <c r="L84" s="171"/>
      <c r="M84" s="179"/>
      <c r="N84" s="171"/>
      <c r="O84" s="166" t="str">
        <f ca="1">IFERROR(IF(COUNTA($D$41:$D84)=1,"",OFFSET($C82,-COUNTA($D$41:$D84)+3,0)),"")</f>
        <v/>
      </c>
      <c r="P84" s="166">
        <f t="shared" ca="1" si="16"/>
        <v>41</v>
      </c>
      <c r="Q84" s="166"/>
      <c r="R84" s="166"/>
      <c r="S84" s="166"/>
      <c r="T84" s="166" t="b">
        <v>0</v>
      </c>
    </row>
    <row r="85" spans="1:20">
      <c r="A85" s="166" t="b">
        <v>0</v>
      </c>
      <c r="B85" s="176"/>
      <c r="C85" s="166" t="s">
        <v>3140</v>
      </c>
      <c r="D85" s="166" t="s">
        <v>3135</v>
      </c>
      <c r="E85" s="166">
        <f t="shared" si="14"/>
        <v>6</v>
      </c>
      <c r="F85" s="177">
        <v>7</v>
      </c>
      <c r="G85" s="166"/>
      <c r="H85" s="166">
        <f t="shared" ca="1" si="15"/>
        <v>21</v>
      </c>
      <c r="I85" s="178"/>
      <c r="J85" s="178"/>
      <c r="K85" s="168"/>
      <c r="L85" s="171"/>
      <c r="M85" s="179"/>
      <c r="N85" s="171"/>
      <c r="O85" s="166" t="str">
        <f ca="1">IFERROR(IF(COUNTA($D$41:$D85)=1,"",OFFSET($C83,-COUNTA($D$41:$D85)+3,0)),"")</f>
        <v/>
      </c>
      <c r="P85" s="166">
        <f t="shared" ca="1" si="16"/>
        <v>42</v>
      </c>
      <c r="Q85" s="166"/>
      <c r="R85" s="166"/>
      <c r="S85" s="166"/>
      <c r="T85" s="166" t="b">
        <v>0</v>
      </c>
    </row>
    <row r="86" spans="1:20">
      <c r="A86" s="166" t="b">
        <v>0</v>
      </c>
      <c r="B86" s="176"/>
      <c r="C86" s="166" t="s">
        <v>3141</v>
      </c>
      <c r="D86" s="166" t="s">
        <v>3142</v>
      </c>
      <c r="E86" s="166">
        <f t="shared" si="14"/>
        <v>1</v>
      </c>
      <c r="F86" s="177">
        <v>8</v>
      </c>
      <c r="G86" s="166"/>
      <c r="H86" s="166">
        <f t="shared" ca="1" si="15"/>
        <v>23</v>
      </c>
      <c r="I86" s="178"/>
      <c r="J86" s="178"/>
      <c r="K86" s="168"/>
      <c r="L86" s="171"/>
      <c r="M86" s="179"/>
      <c r="N86" s="171"/>
      <c r="O86" s="166" t="str">
        <f ca="1">IFERROR(IF(COUNTA($D$41:$D86)=1,"",OFFSET($C84,-COUNTA($D$41:$D86)+3,0)),"")</f>
        <v/>
      </c>
      <c r="P86" s="166">
        <f t="shared" ca="1" si="16"/>
        <v>43</v>
      </c>
      <c r="Q86" s="166"/>
      <c r="R86" s="166"/>
      <c r="S86" s="166"/>
      <c r="T86" s="166" t="b">
        <v>0</v>
      </c>
    </row>
    <row r="87" spans="1:20">
      <c r="A87" s="166" t="b">
        <v>0</v>
      </c>
      <c r="B87" s="176"/>
      <c r="C87" s="166" t="s">
        <v>3143</v>
      </c>
      <c r="D87" s="166" t="s">
        <v>3142</v>
      </c>
      <c r="E87" s="166">
        <f t="shared" si="14"/>
        <v>2</v>
      </c>
      <c r="F87" s="177">
        <v>8</v>
      </c>
      <c r="G87" s="166"/>
      <c r="H87" s="166">
        <f t="shared" ca="1" si="15"/>
        <v>23</v>
      </c>
      <c r="I87" s="178"/>
      <c r="J87" s="178"/>
      <c r="K87" s="168"/>
      <c r="L87" s="171"/>
      <c r="M87" s="179"/>
      <c r="N87" s="171"/>
      <c r="O87" s="166" t="str">
        <f ca="1">IFERROR(IF(COUNTA($D$41:$D87)=1,"",OFFSET($C85,-COUNTA($D$41:$D87)+3,0)),"")</f>
        <v/>
      </c>
      <c r="P87" s="166">
        <f t="shared" ca="1" si="16"/>
        <v>44</v>
      </c>
      <c r="Q87" s="166"/>
      <c r="R87" s="166"/>
      <c r="S87" s="166"/>
      <c r="T87" s="166" t="b">
        <v>0</v>
      </c>
    </row>
    <row r="88" spans="1:20">
      <c r="A88" s="166" t="b">
        <v>0</v>
      </c>
      <c r="B88" s="176"/>
      <c r="C88" s="166" t="s">
        <v>3144</v>
      </c>
      <c r="D88" s="166" t="s">
        <v>3142</v>
      </c>
      <c r="E88" s="166">
        <f t="shared" si="14"/>
        <v>3</v>
      </c>
      <c r="F88" s="177">
        <v>8</v>
      </c>
      <c r="G88" s="166"/>
      <c r="H88" s="166">
        <f t="shared" ca="1" si="15"/>
        <v>23</v>
      </c>
      <c r="I88" s="178"/>
      <c r="J88" s="178"/>
      <c r="K88" s="168"/>
      <c r="L88" s="171"/>
      <c r="M88" s="179"/>
      <c r="N88" s="171"/>
      <c r="O88" s="166" t="str">
        <f ca="1">IFERROR(IF(COUNTA($D$41:$D88)=1,"",OFFSET($C86,-COUNTA($D$41:$D88)+3,0)),"")</f>
        <v/>
      </c>
      <c r="P88" s="166">
        <f t="shared" ca="1" si="16"/>
        <v>45</v>
      </c>
      <c r="Q88" s="166"/>
      <c r="R88" s="166"/>
      <c r="S88" s="166"/>
      <c r="T88" s="166" t="b">
        <v>0</v>
      </c>
    </row>
    <row r="89" spans="1:20">
      <c r="A89" s="166" t="b">
        <v>0</v>
      </c>
      <c r="B89" s="176"/>
      <c r="C89" s="166" t="s">
        <v>3145</v>
      </c>
      <c r="D89" s="166" t="s">
        <v>3142</v>
      </c>
      <c r="E89" s="166">
        <f t="shared" si="14"/>
        <v>4</v>
      </c>
      <c r="F89" s="177">
        <v>8</v>
      </c>
      <c r="G89" s="166"/>
      <c r="H89" s="166">
        <f t="shared" ca="1" si="15"/>
        <v>23</v>
      </c>
      <c r="I89" s="178"/>
      <c r="J89" s="178"/>
      <c r="K89" s="168"/>
      <c r="L89" s="171"/>
      <c r="M89" s="179"/>
      <c r="N89" s="171"/>
      <c r="O89" s="166" t="str">
        <f ca="1">IFERROR(IF(COUNTA($D$41:$D89)=1,"",OFFSET($C87,-COUNTA($D$41:$D89)+3,0)),"")</f>
        <v/>
      </c>
      <c r="P89" s="166">
        <f t="shared" ca="1" si="16"/>
        <v>46</v>
      </c>
      <c r="Q89" s="166"/>
      <c r="R89" s="166"/>
      <c r="S89" s="166"/>
      <c r="T89" s="166" t="b">
        <v>0</v>
      </c>
    </row>
    <row r="90" spans="1:20">
      <c r="A90" s="166" t="b">
        <v>0</v>
      </c>
      <c r="B90" s="176"/>
      <c r="C90" s="166" t="s">
        <v>3146</v>
      </c>
      <c r="D90" s="166" t="s">
        <v>3142</v>
      </c>
      <c r="E90" s="166">
        <f t="shared" si="14"/>
        <v>5</v>
      </c>
      <c r="F90" s="177">
        <v>8</v>
      </c>
      <c r="G90" s="166"/>
      <c r="H90" s="166">
        <f t="shared" ca="1" si="15"/>
        <v>23</v>
      </c>
      <c r="I90" s="178"/>
      <c r="J90" s="178"/>
      <c r="K90" s="168"/>
      <c r="L90" s="171"/>
      <c r="M90" s="179"/>
      <c r="N90" s="171"/>
      <c r="O90" s="166" t="str">
        <f ca="1">IFERROR(IF(COUNTA($D$41:$D90)=1,"",OFFSET($C88,-COUNTA($D$41:$D90)+3,0)),"")</f>
        <v/>
      </c>
      <c r="P90" s="166">
        <f t="shared" ca="1" si="16"/>
        <v>47</v>
      </c>
      <c r="Q90" s="166"/>
      <c r="R90" s="166"/>
      <c r="S90" s="166"/>
      <c r="T90" s="166" t="b">
        <v>0</v>
      </c>
    </row>
    <row r="91" spans="1:20">
      <c r="A91" s="166" t="b">
        <v>0</v>
      </c>
      <c r="B91" s="176"/>
      <c r="C91" s="166" t="s">
        <v>3147</v>
      </c>
      <c r="D91" s="166" t="s">
        <v>3142</v>
      </c>
      <c r="E91" s="166">
        <f t="shared" si="14"/>
        <v>6</v>
      </c>
      <c r="F91" s="177">
        <v>8</v>
      </c>
      <c r="G91" s="166"/>
      <c r="H91" s="166">
        <f t="shared" ca="1" si="15"/>
        <v>23</v>
      </c>
      <c r="I91" s="178"/>
      <c r="J91" s="178"/>
      <c r="K91" s="168"/>
      <c r="L91" s="171"/>
      <c r="M91" s="179"/>
      <c r="N91" s="171"/>
      <c r="O91" s="166" t="str">
        <f ca="1">IFERROR(IF(COUNTA($D$41:$D91)=1,"",OFFSET($C89,-COUNTA($D$41:$D91)+3,0)),"")</f>
        <v/>
      </c>
      <c r="P91" s="166">
        <f t="shared" ca="1" si="16"/>
        <v>48</v>
      </c>
      <c r="Q91" s="166"/>
      <c r="R91" s="166"/>
      <c r="S91" s="166"/>
      <c r="T91" s="166" t="b">
        <v>0</v>
      </c>
    </row>
    <row r="92" spans="1:20">
      <c r="A92" s="166" t="b">
        <v>0</v>
      </c>
      <c r="B92" s="176"/>
      <c r="C92" s="166" t="s">
        <v>3148</v>
      </c>
      <c r="D92" s="166" t="s">
        <v>3149</v>
      </c>
      <c r="E92" s="166">
        <f t="shared" si="14"/>
        <v>1</v>
      </c>
      <c r="F92" s="177">
        <v>9</v>
      </c>
      <c r="G92" s="166"/>
      <c r="H92" s="166">
        <f t="shared" ca="1" si="15"/>
        <v>25</v>
      </c>
      <c r="I92" s="178"/>
      <c r="J92" s="178"/>
      <c r="K92" s="168"/>
      <c r="L92" s="171"/>
      <c r="M92" s="179"/>
      <c r="N92" s="171"/>
      <c r="O92" s="166" t="str">
        <f ca="1">IFERROR(IF(COUNTA($D$41:$D92)=1,"",OFFSET($C90,-COUNTA($D$41:$D92)+3,0)),"")</f>
        <v/>
      </c>
      <c r="P92" s="166">
        <f t="shared" ca="1" si="16"/>
        <v>49</v>
      </c>
      <c r="Q92" s="166"/>
      <c r="R92" s="166"/>
      <c r="S92" s="166"/>
      <c r="T92" s="166" t="b">
        <v>0</v>
      </c>
    </row>
    <row r="93" spans="1:20">
      <c r="A93" s="166" t="b">
        <v>0</v>
      </c>
      <c r="B93" s="176"/>
      <c r="C93" s="166" t="s">
        <v>3150</v>
      </c>
      <c r="D93" s="166" t="s">
        <v>3149</v>
      </c>
      <c r="E93" s="166">
        <f t="shared" si="14"/>
        <v>2</v>
      </c>
      <c r="F93" s="177">
        <v>9</v>
      </c>
      <c r="G93" s="166"/>
      <c r="H93" s="166">
        <f t="shared" ca="1" si="15"/>
        <v>25</v>
      </c>
      <c r="I93" s="178"/>
      <c r="J93" s="178"/>
      <c r="K93" s="168"/>
      <c r="L93" s="171"/>
      <c r="M93" s="179"/>
      <c r="N93" s="171"/>
      <c r="O93" s="166" t="str">
        <f ca="1">IFERROR(IF(COUNTA($D$41:$D93)=1,"",OFFSET($C91,-COUNTA($D$41:$D93)+3,0)),"")</f>
        <v/>
      </c>
      <c r="P93" s="166">
        <f t="shared" ca="1" si="16"/>
        <v>50</v>
      </c>
      <c r="Q93" s="166"/>
      <c r="R93" s="166"/>
      <c r="S93" s="166"/>
      <c r="T93" s="166" t="b">
        <v>0</v>
      </c>
    </row>
    <row r="94" spans="1:20">
      <c r="A94" s="166" t="b">
        <v>0</v>
      </c>
      <c r="B94" s="176"/>
      <c r="C94" s="166" t="s">
        <v>3151</v>
      </c>
      <c r="D94" s="166" t="s">
        <v>3149</v>
      </c>
      <c r="E94" s="166">
        <f t="shared" si="14"/>
        <v>3</v>
      </c>
      <c r="F94" s="177">
        <v>9</v>
      </c>
      <c r="G94" s="166"/>
      <c r="H94" s="166">
        <f t="shared" ca="1" si="15"/>
        <v>25</v>
      </c>
      <c r="I94" s="178"/>
      <c r="J94" s="178"/>
      <c r="K94" s="168"/>
      <c r="L94" s="171"/>
      <c r="M94" s="179"/>
      <c r="N94" s="171"/>
      <c r="O94" s="166" t="str">
        <f ca="1">IFERROR(IF(COUNTA($D$41:$D94)=1,"",OFFSET($C92,-COUNTA($D$41:$D94)+3,0)),"")</f>
        <v/>
      </c>
      <c r="P94" s="166">
        <f t="shared" ca="1" si="16"/>
        <v>51</v>
      </c>
      <c r="Q94" s="166"/>
      <c r="R94" s="166"/>
      <c r="S94" s="166"/>
      <c r="T94" s="166" t="b">
        <v>0</v>
      </c>
    </row>
    <row r="95" spans="1:20">
      <c r="A95" s="166" t="b">
        <v>0</v>
      </c>
      <c r="B95" s="176"/>
      <c r="C95" s="166" t="s">
        <v>3152</v>
      </c>
      <c r="D95" s="166" t="s">
        <v>3149</v>
      </c>
      <c r="E95" s="166">
        <f t="shared" si="14"/>
        <v>4</v>
      </c>
      <c r="F95" s="177">
        <v>9</v>
      </c>
      <c r="G95" s="166"/>
      <c r="H95" s="166">
        <f t="shared" ca="1" si="15"/>
        <v>25</v>
      </c>
      <c r="I95" s="178"/>
      <c r="J95" s="178"/>
      <c r="K95" s="168"/>
      <c r="L95" s="171"/>
      <c r="M95" s="179"/>
      <c r="N95" s="171"/>
      <c r="O95" s="166" t="str">
        <f ca="1">IFERROR(IF(COUNTA($D$41:$D95)=1,"",OFFSET($C93,-COUNTA($D$41:$D95)+3,0)),"")</f>
        <v/>
      </c>
      <c r="P95" s="166">
        <f t="shared" ca="1" si="16"/>
        <v>52</v>
      </c>
      <c r="Q95" s="166"/>
      <c r="R95" s="166"/>
      <c r="S95" s="166"/>
      <c r="T95" s="166" t="b">
        <v>0</v>
      </c>
    </row>
    <row r="96" spans="1:20">
      <c r="A96" s="166" t="b">
        <v>0</v>
      </c>
      <c r="B96" s="176"/>
      <c r="C96" s="166" t="s">
        <v>3153</v>
      </c>
      <c r="D96" s="166" t="s">
        <v>3149</v>
      </c>
      <c r="E96" s="166">
        <f t="shared" si="14"/>
        <v>5</v>
      </c>
      <c r="F96" s="177">
        <v>9</v>
      </c>
      <c r="G96" s="166"/>
      <c r="H96" s="166">
        <f t="shared" ca="1" si="15"/>
        <v>25</v>
      </c>
      <c r="I96" s="178"/>
      <c r="J96" s="178"/>
      <c r="K96" s="168"/>
      <c r="L96" s="171"/>
      <c r="M96" s="179"/>
      <c r="N96" s="171"/>
      <c r="O96" s="166" t="str">
        <f ca="1">IFERROR(IF(COUNTA($D$41:$D96)=1,"",OFFSET($C94,-COUNTA($D$41:$D96)+3,0)),"")</f>
        <v/>
      </c>
      <c r="P96" s="166">
        <f t="shared" ca="1" si="16"/>
        <v>53</v>
      </c>
      <c r="Q96" s="166"/>
      <c r="R96" s="166"/>
      <c r="S96" s="166"/>
      <c r="T96" s="166" t="b">
        <v>0</v>
      </c>
    </row>
    <row r="97" spans="1:20">
      <c r="A97" s="166" t="b">
        <v>0</v>
      </c>
      <c r="B97" s="176"/>
      <c r="C97" s="166" t="s">
        <v>3154</v>
      </c>
      <c r="D97" s="166" t="s">
        <v>3149</v>
      </c>
      <c r="E97" s="166">
        <f t="shared" si="14"/>
        <v>6</v>
      </c>
      <c r="F97" s="177">
        <v>9</v>
      </c>
      <c r="G97" s="166"/>
      <c r="H97" s="166">
        <f t="shared" ca="1" si="15"/>
        <v>25</v>
      </c>
      <c r="I97" s="178"/>
      <c r="J97" s="178"/>
      <c r="K97" s="168"/>
      <c r="L97" s="171"/>
      <c r="M97" s="179"/>
      <c r="N97" s="171"/>
      <c r="O97" s="166" t="str">
        <f ca="1">IFERROR(IF(COUNTA($D$41:$D97)=1,"",OFFSET($C95,-COUNTA($D$41:$D97)+3,0)),"")</f>
        <v/>
      </c>
      <c r="P97" s="166">
        <f t="shared" ca="1" si="16"/>
        <v>54</v>
      </c>
      <c r="Q97" s="166"/>
      <c r="R97" s="166"/>
      <c r="S97" s="166"/>
      <c r="T97" s="166" t="b">
        <v>0</v>
      </c>
    </row>
    <row r="98" spans="1:20">
      <c r="A98" s="166" t="b">
        <v>0</v>
      </c>
      <c r="B98" s="176"/>
      <c r="C98" s="166" t="s">
        <v>3155</v>
      </c>
      <c r="D98" s="166" t="s">
        <v>3156</v>
      </c>
      <c r="E98" s="166">
        <f t="shared" si="14"/>
        <v>1</v>
      </c>
      <c r="F98" s="177">
        <v>10</v>
      </c>
      <c r="G98" s="166"/>
      <c r="H98" s="166">
        <f t="shared" ca="1" si="15"/>
        <v>27</v>
      </c>
      <c r="I98" s="178"/>
      <c r="J98" s="178"/>
      <c r="K98" s="168"/>
      <c r="L98" s="171"/>
      <c r="M98" s="179"/>
      <c r="N98" s="171"/>
      <c r="O98" s="166" t="str">
        <f ca="1">IFERROR(IF(COUNTA($D$41:$D98)=1,"",OFFSET($C96,-COUNTA($D$41:$D98)+3,0)),"")</f>
        <v/>
      </c>
      <c r="P98" s="166">
        <f t="shared" ca="1" si="16"/>
        <v>55</v>
      </c>
      <c r="Q98" s="166"/>
      <c r="R98" s="166"/>
      <c r="S98" s="166"/>
      <c r="T98" s="166" t="b">
        <v>0</v>
      </c>
    </row>
    <row r="99" spans="1:20">
      <c r="A99" s="166" t="b">
        <v>0</v>
      </c>
      <c r="B99" s="176"/>
      <c r="C99" s="166" t="s">
        <v>3157</v>
      </c>
      <c r="D99" s="166" t="s">
        <v>3156</v>
      </c>
      <c r="E99" s="166">
        <f t="shared" si="14"/>
        <v>2</v>
      </c>
      <c r="F99" s="177">
        <v>10</v>
      </c>
      <c r="G99" s="166"/>
      <c r="H99" s="166">
        <f t="shared" ca="1" si="15"/>
        <v>27</v>
      </c>
      <c r="I99" s="178"/>
      <c r="J99" s="178"/>
      <c r="K99" s="168"/>
      <c r="L99" s="171"/>
      <c r="M99" s="179"/>
      <c r="N99" s="171"/>
      <c r="O99" s="166" t="str">
        <f ca="1">IFERROR(IF(COUNTA($D$41:$D99)=1,"",OFFSET($C97,-COUNTA($D$41:$D99)+3,0)),"")</f>
        <v/>
      </c>
      <c r="P99" s="166">
        <f t="shared" ca="1" si="16"/>
        <v>56</v>
      </c>
      <c r="Q99" s="166"/>
      <c r="R99" s="166"/>
      <c r="S99" s="166"/>
      <c r="T99" s="166" t="b">
        <v>0</v>
      </c>
    </row>
    <row r="100" spans="1:20">
      <c r="A100" s="166" t="b">
        <v>0</v>
      </c>
      <c r="B100" s="176"/>
      <c r="C100" s="166" t="s">
        <v>3158</v>
      </c>
      <c r="D100" s="166" t="s">
        <v>3156</v>
      </c>
      <c r="E100" s="166">
        <f t="shared" si="14"/>
        <v>3</v>
      </c>
      <c r="F100" s="177">
        <v>10</v>
      </c>
      <c r="G100" s="166"/>
      <c r="H100" s="166">
        <f t="shared" ca="1" si="15"/>
        <v>27</v>
      </c>
      <c r="I100" s="178"/>
      <c r="J100" s="178"/>
      <c r="K100" s="168"/>
      <c r="L100" s="171"/>
      <c r="M100" s="179"/>
      <c r="N100" s="171"/>
      <c r="O100" s="166" t="str">
        <f ca="1">IFERROR(IF(COUNTA($D$41:$D100)=1,"",OFFSET($C98,-COUNTA($D$41:$D100)+3,0)),"")</f>
        <v/>
      </c>
      <c r="P100" s="166">
        <f t="shared" ca="1" si="16"/>
        <v>57</v>
      </c>
      <c r="Q100" s="166"/>
      <c r="R100" s="166"/>
      <c r="S100" s="166"/>
      <c r="T100" s="166" t="b">
        <v>0</v>
      </c>
    </row>
    <row r="101" spans="1:20">
      <c r="A101" s="166" t="b">
        <v>0</v>
      </c>
      <c r="B101" s="176"/>
      <c r="C101" s="166" t="s">
        <v>3159</v>
      </c>
      <c r="D101" s="166" t="s">
        <v>3156</v>
      </c>
      <c r="E101" s="166">
        <f t="shared" si="14"/>
        <v>4</v>
      </c>
      <c r="F101" s="177">
        <v>10</v>
      </c>
      <c r="G101" s="166"/>
      <c r="H101" s="166">
        <f t="shared" ca="1" si="15"/>
        <v>27</v>
      </c>
      <c r="I101" s="178"/>
      <c r="J101" s="178"/>
      <c r="K101" s="168"/>
      <c r="L101" s="171"/>
      <c r="M101" s="179"/>
      <c r="N101" s="171"/>
      <c r="O101" s="166" t="str">
        <f ca="1">IFERROR(IF(COUNTA($D$41:$D101)=1,"",OFFSET($C99,-COUNTA($D$41:$D101)+3,0)),"")</f>
        <v/>
      </c>
      <c r="P101" s="166">
        <f t="shared" ca="1" si="16"/>
        <v>58</v>
      </c>
      <c r="Q101" s="166"/>
      <c r="R101" s="166"/>
      <c r="S101" s="166"/>
      <c r="T101" s="166" t="b">
        <v>0</v>
      </c>
    </row>
    <row r="102" spans="1:20">
      <c r="A102" s="166" t="b">
        <v>0</v>
      </c>
      <c r="B102" s="176"/>
      <c r="C102" s="166" t="s">
        <v>3160</v>
      </c>
      <c r="D102" s="166" t="s">
        <v>3156</v>
      </c>
      <c r="E102" s="166">
        <f t="shared" si="14"/>
        <v>5</v>
      </c>
      <c r="F102" s="177">
        <v>10</v>
      </c>
      <c r="G102" s="166"/>
      <c r="H102" s="166">
        <f t="shared" ca="1" si="15"/>
        <v>27</v>
      </c>
      <c r="I102" s="178"/>
      <c r="J102" s="178"/>
      <c r="K102" s="168"/>
      <c r="L102" s="171"/>
      <c r="M102" s="179"/>
      <c r="N102" s="171"/>
      <c r="O102" s="166" t="str">
        <f ca="1">IFERROR(IF(COUNTA($D$41:$D102)=1,"",OFFSET($C100,-COUNTA($D$41:$D102)+3,0)),"")</f>
        <v/>
      </c>
      <c r="P102" s="166">
        <f t="shared" ca="1" si="16"/>
        <v>59</v>
      </c>
      <c r="Q102" s="166"/>
      <c r="R102" s="166"/>
      <c r="S102" s="166"/>
      <c r="T102" s="166" t="b">
        <v>0</v>
      </c>
    </row>
    <row r="103" spans="1:20">
      <c r="A103" s="166" t="b">
        <v>0</v>
      </c>
      <c r="B103" s="176"/>
      <c r="C103" s="166" t="s">
        <v>3161</v>
      </c>
      <c r="D103" s="166" t="s">
        <v>3156</v>
      </c>
      <c r="E103" s="166">
        <f t="shared" si="14"/>
        <v>6</v>
      </c>
      <c r="F103" s="177">
        <v>10</v>
      </c>
      <c r="G103" s="166"/>
      <c r="H103" s="166">
        <f t="shared" ca="1" si="15"/>
        <v>27</v>
      </c>
      <c r="I103" s="178"/>
      <c r="J103" s="178"/>
      <c r="K103" s="168"/>
      <c r="L103" s="171"/>
      <c r="M103" s="179"/>
      <c r="N103" s="171"/>
      <c r="O103" s="166" t="str">
        <f ca="1">IFERROR(IF(COUNTA($D$41:$D103)=1,"",OFFSET($C101,-COUNTA($D$41:$D103)+3,0)),"")</f>
        <v/>
      </c>
      <c r="P103" s="166">
        <f t="shared" ca="1" si="16"/>
        <v>60</v>
      </c>
      <c r="Q103" s="166"/>
      <c r="R103" s="166"/>
      <c r="S103" s="166"/>
      <c r="T103" s="166" t="b">
        <v>0</v>
      </c>
    </row>
    <row r="104" spans="1:20">
      <c r="A104" s="166" t="b">
        <v>0</v>
      </c>
      <c r="B104" s="176"/>
      <c r="C104" s="166" t="s">
        <v>3162</v>
      </c>
      <c r="D104" s="166" t="s">
        <v>3163</v>
      </c>
      <c r="E104" s="166">
        <f t="shared" si="14"/>
        <v>1</v>
      </c>
      <c r="F104" s="177">
        <v>11</v>
      </c>
      <c r="G104" s="166"/>
      <c r="H104" s="166">
        <f t="shared" ca="1" si="15"/>
        <v>29</v>
      </c>
      <c r="I104" s="178"/>
      <c r="J104" s="178"/>
      <c r="K104" s="168"/>
      <c r="L104" s="171"/>
      <c r="M104" s="179"/>
      <c r="N104" s="171"/>
      <c r="O104" s="166" t="str">
        <f ca="1">IFERROR(IF(COUNTA($D$41:$D104)=1,"",OFFSET($C102,-COUNTA($D$41:$D104)+3,0)),"")</f>
        <v/>
      </c>
      <c r="P104" s="166">
        <f t="shared" ca="1" si="16"/>
        <v>61</v>
      </c>
      <c r="Q104" s="166"/>
      <c r="R104" s="166"/>
      <c r="S104" s="166"/>
      <c r="T104" s="166" t="b">
        <v>0</v>
      </c>
    </row>
    <row r="105" spans="1:20">
      <c r="A105" s="166" t="b">
        <v>0</v>
      </c>
      <c r="B105" s="176"/>
      <c r="C105" s="166" t="s">
        <v>3164</v>
      </c>
      <c r="D105" s="166" t="s">
        <v>3163</v>
      </c>
      <c r="E105" s="166">
        <f t="shared" si="14"/>
        <v>2</v>
      </c>
      <c r="F105" s="177">
        <v>11</v>
      </c>
      <c r="G105" s="166"/>
      <c r="H105" s="166">
        <f t="shared" ca="1" si="15"/>
        <v>29</v>
      </c>
      <c r="I105" s="178"/>
      <c r="J105" s="178"/>
      <c r="K105" s="168"/>
      <c r="L105" s="171"/>
      <c r="M105" s="179"/>
      <c r="N105" s="171"/>
      <c r="O105" s="166" t="str">
        <f ca="1">IFERROR(IF(COUNTA($D$41:$D105)=1,"",OFFSET($C103,-COUNTA($D$41:$D105)+3,0)),"")</f>
        <v/>
      </c>
      <c r="P105" s="166">
        <f t="shared" ca="1" si="16"/>
        <v>62</v>
      </c>
      <c r="Q105" s="166"/>
      <c r="R105" s="166"/>
      <c r="S105" s="166"/>
      <c r="T105" s="166" t="b">
        <v>0</v>
      </c>
    </row>
    <row r="106" spans="1:20">
      <c r="A106" s="166" t="b">
        <v>0</v>
      </c>
      <c r="B106" s="176"/>
      <c r="C106" s="166" t="s">
        <v>3165</v>
      </c>
      <c r="D106" s="166" t="s">
        <v>3163</v>
      </c>
      <c r="E106" s="166">
        <f t="shared" si="14"/>
        <v>3</v>
      </c>
      <c r="F106" s="177">
        <v>11</v>
      </c>
      <c r="G106" s="166"/>
      <c r="H106" s="166">
        <f t="shared" ca="1" si="15"/>
        <v>29</v>
      </c>
      <c r="I106" s="178"/>
      <c r="J106" s="178"/>
      <c r="K106" s="168"/>
      <c r="L106" s="171"/>
      <c r="M106" s="179"/>
      <c r="N106" s="171"/>
      <c r="O106" s="166" t="str">
        <f ca="1">IFERROR(IF(COUNTA($D$41:$D106)=1,"",OFFSET($C104,-COUNTA($D$41:$D106)+3,0)),"")</f>
        <v/>
      </c>
      <c r="P106" s="166">
        <f t="shared" ca="1" si="16"/>
        <v>63</v>
      </c>
      <c r="Q106" s="166"/>
      <c r="R106" s="166"/>
      <c r="S106" s="166"/>
      <c r="T106" s="166" t="b">
        <v>0</v>
      </c>
    </row>
    <row r="107" spans="1:20">
      <c r="A107" s="166" t="b">
        <v>0</v>
      </c>
      <c r="B107" s="176"/>
      <c r="C107" s="166" t="s">
        <v>3166</v>
      </c>
      <c r="D107" s="166" t="s">
        <v>3163</v>
      </c>
      <c r="E107" s="166">
        <f t="shared" si="14"/>
        <v>4</v>
      </c>
      <c r="F107" s="177">
        <v>11</v>
      </c>
      <c r="G107" s="166"/>
      <c r="H107" s="166">
        <f t="shared" ca="1" si="15"/>
        <v>29</v>
      </c>
      <c r="I107" s="178"/>
      <c r="J107" s="178"/>
      <c r="K107" s="168"/>
      <c r="L107" s="171"/>
      <c r="M107" s="179"/>
      <c r="N107" s="171"/>
      <c r="O107" s="166" t="str">
        <f ca="1">IFERROR(IF(COUNTA($D$41:$D107)=1,"",OFFSET($C105,-COUNTA($D$41:$D107)+3,0)),"")</f>
        <v/>
      </c>
      <c r="P107" s="166">
        <f t="shared" ca="1" si="16"/>
        <v>64</v>
      </c>
      <c r="Q107" s="166"/>
      <c r="R107" s="166"/>
      <c r="S107" s="166"/>
      <c r="T107" s="166" t="b">
        <v>0</v>
      </c>
    </row>
    <row r="108" spans="1:20">
      <c r="A108" s="166" t="b">
        <v>0</v>
      </c>
      <c r="B108" s="176"/>
      <c r="C108" s="166" t="s">
        <v>3167</v>
      </c>
      <c r="D108" s="166" t="s">
        <v>3163</v>
      </c>
      <c r="E108" s="166">
        <f t="shared" ref="E108:E171" si="17">COUNTIF(F99:F108,F108)</f>
        <v>5</v>
      </c>
      <c r="F108" s="177">
        <v>11</v>
      </c>
      <c r="G108" s="166"/>
      <c r="H108" s="166">
        <f t="shared" ref="H108:H171" ca="1" si="18">IF(F108=1,9,IF(E107=MAX(E106:E108),H106+2,H107))</f>
        <v>29</v>
      </c>
      <c r="I108" s="178"/>
      <c r="J108" s="178"/>
      <c r="K108" s="168"/>
      <c r="L108" s="171"/>
      <c r="M108" s="179"/>
      <c r="N108" s="171"/>
      <c r="O108" s="166" t="str">
        <f ca="1">IFERROR(IF(COUNTA($D$41:$D108)=1,"",OFFSET($C106,-COUNTA($D$41:$D108)+3,0)),"")</f>
        <v/>
      </c>
      <c r="P108" s="166">
        <f t="shared" ref="P108:P171" ca="1" si="19">IF(NOT(_xlfn.ISFORMULA(I108)),P107+1,0)</f>
        <v>65</v>
      </c>
      <c r="Q108" s="166"/>
      <c r="R108" s="166"/>
      <c r="S108" s="166"/>
      <c r="T108" s="166" t="b">
        <v>0</v>
      </c>
    </row>
    <row r="109" spans="1:20">
      <c r="A109" s="166" t="b">
        <v>0</v>
      </c>
      <c r="B109" s="176"/>
      <c r="C109" s="166" t="s">
        <v>3168</v>
      </c>
      <c r="D109" s="166" t="s">
        <v>3163</v>
      </c>
      <c r="E109" s="166">
        <f t="shared" si="17"/>
        <v>6</v>
      </c>
      <c r="F109" s="177">
        <v>11</v>
      </c>
      <c r="G109" s="166"/>
      <c r="H109" s="166">
        <f t="shared" ca="1" si="18"/>
        <v>29</v>
      </c>
      <c r="I109" s="178"/>
      <c r="J109" s="178"/>
      <c r="K109" s="168"/>
      <c r="L109" s="171"/>
      <c r="M109" s="179"/>
      <c r="N109" s="171"/>
      <c r="O109" s="166" t="str">
        <f ca="1">IFERROR(IF(COUNTA($D$41:$D109)=1,"",OFFSET($C107,-COUNTA($D$41:$D109)+3,0)),"")</f>
        <v/>
      </c>
      <c r="P109" s="166">
        <f t="shared" ca="1" si="19"/>
        <v>66</v>
      </c>
      <c r="Q109" s="166"/>
      <c r="R109" s="166"/>
      <c r="S109" s="166"/>
      <c r="T109" s="166" t="b">
        <v>0</v>
      </c>
    </row>
    <row r="110" spans="1:20">
      <c r="A110" s="166" t="b">
        <v>0</v>
      </c>
      <c r="B110" s="176"/>
      <c r="C110" s="166" t="s">
        <v>3169</v>
      </c>
      <c r="D110" s="166" t="s">
        <v>3170</v>
      </c>
      <c r="E110" s="166">
        <f t="shared" si="17"/>
        <v>1</v>
      </c>
      <c r="F110" s="177">
        <v>12</v>
      </c>
      <c r="G110" s="166"/>
      <c r="H110" s="166">
        <f t="shared" ca="1" si="18"/>
        <v>31</v>
      </c>
      <c r="I110" s="178"/>
      <c r="J110" s="178"/>
      <c r="K110" s="168"/>
      <c r="L110" s="171"/>
      <c r="M110" s="179"/>
      <c r="N110" s="171"/>
      <c r="O110" s="166" t="str">
        <f ca="1">IFERROR(IF(COUNTA($D$41:$D110)=1,"",OFFSET($C108,-COUNTA($D$41:$D110)+3,0)),"")</f>
        <v/>
      </c>
      <c r="P110" s="166">
        <f t="shared" ca="1" si="19"/>
        <v>67</v>
      </c>
      <c r="Q110" s="166"/>
      <c r="R110" s="166"/>
      <c r="S110" s="166"/>
      <c r="T110" s="166" t="b">
        <v>0</v>
      </c>
    </row>
    <row r="111" spans="1:20">
      <c r="A111" s="166" t="b">
        <v>0</v>
      </c>
      <c r="B111" s="176"/>
      <c r="C111" s="166" t="s">
        <v>3171</v>
      </c>
      <c r="D111" s="166" t="s">
        <v>3170</v>
      </c>
      <c r="E111" s="166">
        <f t="shared" si="17"/>
        <v>2</v>
      </c>
      <c r="F111" s="177">
        <v>12</v>
      </c>
      <c r="G111" s="166"/>
      <c r="H111" s="166">
        <f t="shared" ca="1" si="18"/>
        <v>31</v>
      </c>
      <c r="I111" s="178"/>
      <c r="J111" s="178"/>
      <c r="K111" s="168"/>
      <c r="L111" s="171"/>
      <c r="M111" s="179"/>
      <c r="N111" s="171"/>
      <c r="O111" s="166" t="str">
        <f ca="1">IFERROR(IF(COUNTA($D$41:$D111)=1,"",OFFSET($C109,-COUNTA($D$41:$D111)+3,0)),"")</f>
        <v/>
      </c>
      <c r="P111" s="166">
        <f t="shared" ca="1" si="19"/>
        <v>68</v>
      </c>
      <c r="Q111" s="166"/>
      <c r="R111" s="166"/>
      <c r="S111" s="166"/>
      <c r="T111" s="166" t="b">
        <v>0</v>
      </c>
    </row>
    <row r="112" spans="1:20">
      <c r="A112" s="166" t="b">
        <v>0</v>
      </c>
      <c r="B112" s="176"/>
      <c r="C112" s="166" t="s">
        <v>3172</v>
      </c>
      <c r="D112" s="166" t="s">
        <v>3170</v>
      </c>
      <c r="E112" s="166">
        <f t="shared" si="17"/>
        <v>3</v>
      </c>
      <c r="F112" s="177">
        <v>12</v>
      </c>
      <c r="G112" s="166"/>
      <c r="H112" s="166">
        <f t="shared" ca="1" si="18"/>
        <v>31</v>
      </c>
      <c r="I112" s="178"/>
      <c r="J112" s="178"/>
      <c r="K112" s="168"/>
      <c r="L112" s="171"/>
      <c r="M112" s="179"/>
      <c r="N112" s="171"/>
      <c r="O112" s="166" t="str">
        <f ca="1">IFERROR(IF(COUNTA($D$41:$D112)=1,"",OFFSET($C110,-COUNTA($D$41:$D112)+3,0)),"")</f>
        <v/>
      </c>
      <c r="P112" s="166">
        <f t="shared" ca="1" si="19"/>
        <v>69</v>
      </c>
      <c r="Q112" s="166"/>
      <c r="R112" s="166"/>
      <c r="S112" s="166"/>
      <c r="T112" s="166" t="b">
        <v>0</v>
      </c>
    </row>
    <row r="113" spans="1:20">
      <c r="A113" s="166" t="b">
        <v>0</v>
      </c>
      <c r="B113" s="176"/>
      <c r="C113" s="166" t="s">
        <v>3173</v>
      </c>
      <c r="D113" s="166" t="s">
        <v>3170</v>
      </c>
      <c r="E113" s="166">
        <f t="shared" si="17"/>
        <v>4</v>
      </c>
      <c r="F113" s="177">
        <v>12</v>
      </c>
      <c r="G113" s="166"/>
      <c r="H113" s="166">
        <f t="shared" ca="1" si="18"/>
        <v>31</v>
      </c>
      <c r="I113" s="178"/>
      <c r="J113" s="178"/>
      <c r="K113" s="168"/>
      <c r="L113" s="171"/>
      <c r="M113" s="179"/>
      <c r="N113" s="171"/>
      <c r="O113" s="166" t="str">
        <f ca="1">IFERROR(IF(COUNTA($D$41:$D113)=1,"",OFFSET($C111,-COUNTA($D$41:$D113)+3,0)),"")</f>
        <v/>
      </c>
      <c r="P113" s="166">
        <f t="shared" ca="1" si="19"/>
        <v>70</v>
      </c>
      <c r="Q113" s="166"/>
      <c r="R113" s="166"/>
      <c r="S113" s="166"/>
      <c r="T113" s="166" t="b">
        <v>0</v>
      </c>
    </row>
    <row r="114" spans="1:20">
      <c r="A114" s="166" t="b">
        <v>0</v>
      </c>
      <c r="B114" s="176"/>
      <c r="C114" s="166" t="s">
        <v>3174</v>
      </c>
      <c r="D114" s="166" t="s">
        <v>3170</v>
      </c>
      <c r="E114" s="166">
        <f t="shared" si="17"/>
        <v>5</v>
      </c>
      <c r="F114" s="177">
        <v>12</v>
      </c>
      <c r="G114" s="166"/>
      <c r="H114" s="166">
        <f t="shared" ca="1" si="18"/>
        <v>31</v>
      </c>
      <c r="I114" s="178"/>
      <c r="J114" s="178"/>
      <c r="K114" s="168"/>
      <c r="L114" s="171"/>
      <c r="M114" s="179"/>
      <c r="N114" s="171"/>
      <c r="O114" s="166" t="str">
        <f ca="1">IFERROR(IF(COUNTA($D$41:$D114)=1,"",OFFSET($C112,-COUNTA($D$41:$D114)+3,0)),"")</f>
        <v/>
      </c>
      <c r="P114" s="166">
        <f t="shared" ca="1" si="19"/>
        <v>71</v>
      </c>
      <c r="Q114" s="166"/>
      <c r="R114" s="166"/>
      <c r="S114" s="166"/>
      <c r="T114" s="166" t="b">
        <v>0</v>
      </c>
    </row>
    <row r="115" spans="1:20">
      <c r="A115" s="166" t="b">
        <v>0</v>
      </c>
      <c r="B115" s="176"/>
      <c r="C115" s="166" t="s">
        <v>3175</v>
      </c>
      <c r="D115" s="166" t="s">
        <v>3170</v>
      </c>
      <c r="E115" s="166">
        <f t="shared" si="17"/>
        <v>6</v>
      </c>
      <c r="F115" s="177">
        <v>12</v>
      </c>
      <c r="G115" s="166"/>
      <c r="H115" s="166">
        <f t="shared" ca="1" si="18"/>
        <v>31</v>
      </c>
      <c r="I115" s="178"/>
      <c r="J115" s="178"/>
      <c r="K115" s="168"/>
      <c r="L115" s="171"/>
      <c r="M115" s="179"/>
      <c r="N115" s="171"/>
      <c r="O115" s="166" t="str">
        <f ca="1">IFERROR(IF(COUNTA($D$41:$D115)=1,"",OFFSET($C113,-COUNTA($D$41:$D115)+3,0)),"")</f>
        <v/>
      </c>
      <c r="P115" s="166">
        <f t="shared" ca="1" si="19"/>
        <v>72</v>
      </c>
      <c r="Q115" s="166"/>
      <c r="R115" s="166"/>
      <c r="S115" s="166"/>
      <c r="T115" s="166" t="b">
        <v>0</v>
      </c>
    </row>
    <row r="116" spans="1:20">
      <c r="A116" s="166" t="b">
        <v>0</v>
      </c>
      <c r="B116" s="176"/>
      <c r="C116" s="166" t="s">
        <v>3176</v>
      </c>
      <c r="D116" s="166" t="s">
        <v>3177</v>
      </c>
      <c r="E116" s="166">
        <f t="shared" si="17"/>
        <v>1</v>
      </c>
      <c r="F116" s="177">
        <v>13</v>
      </c>
      <c r="G116" s="166"/>
      <c r="H116" s="166">
        <f t="shared" ca="1" si="18"/>
        <v>33</v>
      </c>
      <c r="I116" s="178"/>
      <c r="J116" s="178"/>
      <c r="K116" s="168"/>
      <c r="L116" s="171"/>
      <c r="M116" s="179"/>
      <c r="N116" s="171"/>
      <c r="O116" s="166" t="str">
        <f ca="1">IFERROR(IF(COUNTA($D$41:$D116)=1,"",OFFSET($C114,-COUNTA($D$41:$D116)+3,0)),"")</f>
        <v/>
      </c>
      <c r="P116" s="166">
        <f t="shared" ca="1" si="19"/>
        <v>73</v>
      </c>
      <c r="Q116" s="166"/>
      <c r="R116" s="166"/>
      <c r="S116" s="166"/>
      <c r="T116" s="166" t="b">
        <v>0</v>
      </c>
    </row>
    <row r="117" spans="1:20">
      <c r="A117" s="166" t="b">
        <v>0</v>
      </c>
      <c r="B117" s="176"/>
      <c r="C117" s="166" t="s">
        <v>3178</v>
      </c>
      <c r="D117" s="166" t="s">
        <v>3177</v>
      </c>
      <c r="E117" s="166">
        <f t="shared" si="17"/>
        <v>2</v>
      </c>
      <c r="F117" s="177">
        <v>13</v>
      </c>
      <c r="G117" s="166"/>
      <c r="H117" s="166">
        <f t="shared" ca="1" si="18"/>
        <v>33</v>
      </c>
      <c r="I117" s="178"/>
      <c r="J117" s="178"/>
      <c r="K117" s="168"/>
      <c r="L117" s="171"/>
      <c r="M117" s="179"/>
      <c r="N117" s="171"/>
      <c r="O117" s="166" t="str">
        <f ca="1">IFERROR(IF(COUNTA($D$41:$D117)=1,"",OFFSET($C115,-COUNTA($D$41:$D117)+3,0)),"")</f>
        <v/>
      </c>
      <c r="P117" s="166">
        <f t="shared" ca="1" si="19"/>
        <v>74</v>
      </c>
      <c r="Q117" s="166"/>
      <c r="R117" s="166"/>
      <c r="S117" s="166"/>
      <c r="T117" s="166" t="b">
        <v>0</v>
      </c>
    </row>
    <row r="118" spans="1:20">
      <c r="A118" s="166" t="b">
        <v>0</v>
      </c>
      <c r="B118" s="176"/>
      <c r="C118" s="166" t="s">
        <v>3179</v>
      </c>
      <c r="D118" s="166" t="s">
        <v>3177</v>
      </c>
      <c r="E118" s="166">
        <f t="shared" si="17"/>
        <v>3</v>
      </c>
      <c r="F118" s="177">
        <v>13</v>
      </c>
      <c r="G118" s="166"/>
      <c r="H118" s="166">
        <f t="shared" ca="1" si="18"/>
        <v>33</v>
      </c>
      <c r="I118" s="178"/>
      <c r="J118" s="178"/>
      <c r="K118" s="168"/>
      <c r="L118" s="171"/>
      <c r="M118" s="179"/>
      <c r="N118" s="171"/>
      <c r="O118" s="166" t="str">
        <f ca="1">IFERROR(IF(COUNTA($D$41:$D118)=1,"",OFFSET($C116,-COUNTA($D$41:$D118)+3,0)),"")</f>
        <v/>
      </c>
      <c r="P118" s="166">
        <f t="shared" ca="1" si="19"/>
        <v>75</v>
      </c>
      <c r="Q118" s="166"/>
      <c r="R118" s="166"/>
      <c r="S118" s="166"/>
      <c r="T118" s="166" t="b">
        <v>0</v>
      </c>
    </row>
    <row r="119" spans="1:20">
      <c r="A119" s="166" t="b">
        <v>0</v>
      </c>
      <c r="B119" s="176"/>
      <c r="C119" s="166" t="s">
        <v>3180</v>
      </c>
      <c r="D119" s="166" t="s">
        <v>3177</v>
      </c>
      <c r="E119" s="166">
        <f t="shared" si="17"/>
        <v>4</v>
      </c>
      <c r="F119" s="177">
        <v>13</v>
      </c>
      <c r="G119" s="166"/>
      <c r="H119" s="166">
        <f t="shared" ca="1" si="18"/>
        <v>33</v>
      </c>
      <c r="I119" s="178"/>
      <c r="J119" s="178"/>
      <c r="K119" s="168"/>
      <c r="L119" s="171"/>
      <c r="M119" s="179"/>
      <c r="N119" s="171"/>
      <c r="O119" s="166" t="str">
        <f ca="1">IFERROR(IF(COUNTA($D$41:$D119)=1,"",OFFSET($C117,-COUNTA($D$41:$D119)+3,0)),"")</f>
        <v/>
      </c>
      <c r="P119" s="166">
        <f t="shared" ca="1" si="19"/>
        <v>76</v>
      </c>
      <c r="Q119" s="166"/>
      <c r="R119" s="166"/>
      <c r="S119" s="166"/>
      <c r="T119" s="166" t="b">
        <v>0</v>
      </c>
    </row>
    <row r="120" spans="1:20">
      <c r="A120" s="166" t="b">
        <v>0</v>
      </c>
      <c r="B120" s="176"/>
      <c r="C120" s="166" t="s">
        <v>3181</v>
      </c>
      <c r="D120" s="166" t="s">
        <v>3177</v>
      </c>
      <c r="E120" s="166">
        <f t="shared" si="17"/>
        <v>5</v>
      </c>
      <c r="F120" s="177">
        <v>13</v>
      </c>
      <c r="G120" s="166"/>
      <c r="H120" s="166">
        <f t="shared" ca="1" si="18"/>
        <v>33</v>
      </c>
      <c r="I120" s="178"/>
      <c r="J120" s="178"/>
      <c r="K120" s="168"/>
      <c r="L120" s="171"/>
      <c r="M120" s="179"/>
      <c r="N120" s="171"/>
      <c r="O120" s="166" t="str">
        <f ca="1">IFERROR(IF(COUNTA($D$41:$D120)=1,"",OFFSET($C118,-COUNTA($D$41:$D120)+3,0)),"")</f>
        <v/>
      </c>
      <c r="P120" s="166">
        <f t="shared" ca="1" si="19"/>
        <v>77</v>
      </c>
      <c r="Q120" s="166"/>
      <c r="R120" s="166"/>
      <c r="S120" s="166"/>
      <c r="T120" s="166" t="b">
        <v>0</v>
      </c>
    </row>
    <row r="121" spans="1:20">
      <c r="A121" s="166" t="b">
        <v>0</v>
      </c>
      <c r="B121" s="176"/>
      <c r="C121" s="166" t="s">
        <v>3182</v>
      </c>
      <c r="D121" s="166" t="s">
        <v>3177</v>
      </c>
      <c r="E121" s="166">
        <f t="shared" si="17"/>
        <v>6</v>
      </c>
      <c r="F121" s="177">
        <v>13</v>
      </c>
      <c r="G121" s="166"/>
      <c r="H121" s="166">
        <f t="shared" ca="1" si="18"/>
        <v>33</v>
      </c>
      <c r="I121" s="178"/>
      <c r="J121" s="178"/>
      <c r="K121" s="168"/>
      <c r="L121" s="171"/>
      <c r="M121" s="179"/>
      <c r="N121" s="171"/>
      <c r="O121" s="166" t="str">
        <f ca="1">IFERROR(IF(COUNTA($D$41:$D121)=1,"",OFFSET($C119,-COUNTA($D$41:$D121)+3,0)),"")</f>
        <v/>
      </c>
      <c r="P121" s="166">
        <f t="shared" ca="1" si="19"/>
        <v>78</v>
      </c>
      <c r="Q121" s="166"/>
      <c r="R121" s="166"/>
      <c r="S121" s="166"/>
      <c r="T121" s="166" t="b">
        <v>0</v>
      </c>
    </row>
    <row r="122" spans="1:20">
      <c r="A122" s="166" t="b">
        <v>0</v>
      </c>
      <c r="B122" s="176"/>
      <c r="C122" s="166" t="s">
        <v>3183</v>
      </c>
      <c r="D122" s="166" t="s">
        <v>3184</v>
      </c>
      <c r="E122" s="166">
        <f t="shared" si="17"/>
        <v>1</v>
      </c>
      <c r="F122" s="177">
        <v>14</v>
      </c>
      <c r="G122" s="166"/>
      <c r="H122" s="166">
        <f t="shared" ca="1" si="18"/>
        <v>35</v>
      </c>
      <c r="I122" s="178"/>
      <c r="J122" s="178"/>
      <c r="K122" s="168"/>
      <c r="L122" s="171"/>
      <c r="M122" s="179"/>
      <c r="N122" s="171"/>
      <c r="O122" s="166" t="str">
        <f ca="1">IFERROR(IF(COUNTA($D$41:$D122)=1,"",OFFSET($C120,-COUNTA($D$41:$D122)+3,0)),"")</f>
        <v/>
      </c>
      <c r="P122" s="166">
        <f t="shared" ca="1" si="19"/>
        <v>79</v>
      </c>
      <c r="Q122" s="166"/>
      <c r="R122" s="166"/>
      <c r="S122" s="166"/>
      <c r="T122" s="166" t="b">
        <v>0</v>
      </c>
    </row>
    <row r="123" spans="1:20">
      <c r="A123" s="166" t="b">
        <v>0</v>
      </c>
      <c r="B123" s="176"/>
      <c r="C123" s="166" t="s">
        <v>3185</v>
      </c>
      <c r="D123" s="166" t="s">
        <v>3184</v>
      </c>
      <c r="E123" s="166">
        <f t="shared" si="17"/>
        <v>2</v>
      </c>
      <c r="F123" s="177">
        <v>14</v>
      </c>
      <c r="G123" s="166"/>
      <c r="H123" s="166">
        <f t="shared" ca="1" si="18"/>
        <v>35</v>
      </c>
      <c r="I123" s="178"/>
      <c r="J123" s="178"/>
      <c r="K123" s="168"/>
      <c r="L123" s="171"/>
      <c r="M123" s="179"/>
      <c r="N123" s="171"/>
      <c r="O123" s="166" t="str">
        <f ca="1">IFERROR(IF(COUNTA($D$41:$D123)=1,"",OFFSET($C121,-COUNTA($D$41:$D123)+3,0)),"")</f>
        <v/>
      </c>
      <c r="P123" s="166">
        <f t="shared" ca="1" si="19"/>
        <v>80</v>
      </c>
      <c r="Q123" s="166"/>
      <c r="R123" s="166"/>
      <c r="S123" s="166"/>
      <c r="T123" s="166" t="b">
        <v>0</v>
      </c>
    </row>
    <row r="124" spans="1:20">
      <c r="A124" s="166" t="b">
        <v>0</v>
      </c>
      <c r="B124" s="176"/>
      <c r="C124" s="166" t="s">
        <v>3186</v>
      </c>
      <c r="D124" s="166" t="s">
        <v>3184</v>
      </c>
      <c r="E124" s="166">
        <f t="shared" si="17"/>
        <v>3</v>
      </c>
      <c r="F124" s="177">
        <v>14</v>
      </c>
      <c r="G124" s="166"/>
      <c r="H124" s="166">
        <f t="shared" ca="1" si="18"/>
        <v>35</v>
      </c>
      <c r="I124" s="178"/>
      <c r="J124" s="178"/>
      <c r="K124" s="168"/>
      <c r="L124" s="171"/>
      <c r="M124" s="179"/>
      <c r="N124" s="171"/>
      <c r="O124" s="166" t="str">
        <f ca="1">IFERROR(IF(COUNTA($D$41:$D124)=1,"",OFFSET($C122,-COUNTA($D$41:$D124)+3,0)),"")</f>
        <v/>
      </c>
      <c r="P124" s="166">
        <f t="shared" ca="1" si="19"/>
        <v>81</v>
      </c>
      <c r="Q124" s="166"/>
      <c r="R124" s="166"/>
      <c r="S124" s="166"/>
      <c r="T124" s="166" t="b">
        <v>0</v>
      </c>
    </row>
    <row r="125" spans="1:20">
      <c r="A125" s="166" t="b">
        <v>0</v>
      </c>
      <c r="B125" s="176"/>
      <c r="C125" s="166" t="s">
        <v>3187</v>
      </c>
      <c r="D125" s="166" t="s">
        <v>3184</v>
      </c>
      <c r="E125" s="166">
        <f t="shared" si="17"/>
        <v>4</v>
      </c>
      <c r="F125" s="177">
        <v>14</v>
      </c>
      <c r="G125" s="166"/>
      <c r="H125" s="166">
        <f t="shared" ca="1" si="18"/>
        <v>35</v>
      </c>
      <c r="I125" s="178"/>
      <c r="J125" s="178"/>
      <c r="K125" s="168"/>
      <c r="L125" s="171"/>
      <c r="M125" s="179"/>
      <c r="N125" s="171"/>
      <c r="O125" s="166" t="str">
        <f ca="1">IFERROR(IF(COUNTA($D$41:$D125)=1,"",OFFSET($C123,-COUNTA($D$41:$D125)+3,0)),"")</f>
        <v/>
      </c>
      <c r="P125" s="166">
        <f t="shared" ca="1" si="19"/>
        <v>82</v>
      </c>
      <c r="Q125" s="166"/>
      <c r="R125" s="166"/>
      <c r="S125" s="166"/>
      <c r="T125" s="166" t="b">
        <v>0</v>
      </c>
    </row>
    <row r="126" spans="1:20">
      <c r="A126" s="166" t="b">
        <v>0</v>
      </c>
      <c r="B126" s="176"/>
      <c r="C126" s="166" t="s">
        <v>3188</v>
      </c>
      <c r="D126" s="166" t="s">
        <v>3184</v>
      </c>
      <c r="E126" s="166">
        <f t="shared" si="17"/>
        <v>5</v>
      </c>
      <c r="F126" s="177">
        <v>14</v>
      </c>
      <c r="G126" s="166"/>
      <c r="H126" s="166">
        <f t="shared" ca="1" si="18"/>
        <v>35</v>
      </c>
      <c r="I126" s="178"/>
      <c r="J126" s="178"/>
      <c r="K126" s="168"/>
      <c r="L126" s="171"/>
      <c r="M126" s="179"/>
      <c r="N126" s="171"/>
      <c r="O126" s="166" t="str">
        <f ca="1">IFERROR(IF(COUNTA($D$41:$D126)=1,"",OFFSET($C124,-COUNTA($D$41:$D126)+3,0)),"")</f>
        <v/>
      </c>
      <c r="P126" s="166">
        <f t="shared" ca="1" si="19"/>
        <v>83</v>
      </c>
      <c r="Q126" s="166"/>
      <c r="R126" s="166"/>
      <c r="S126" s="166"/>
      <c r="T126" s="166" t="b">
        <v>0</v>
      </c>
    </row>
    <row r="127" spans="1:20">
      <c r="A127" s="166" t="b">
        <v>0</v>
      </c>
      <c r="B127" s="176"/>
      <c r="C127" s="166" t="s">
        <v>3189</v>
      </c>
      <c r="D127" s="166" t="s">
        <v>3184</v>
      </c>
      <c r="E127" s="166">
        <f t="shared" si="17"/>
        <v>6</v>
      </c>
      <c r="F127" s="177">
        <v>14</v>
      </c>
      <c r="G127" s="166"/>
      <c r="H127" s="166">
        <f t="shared" ca="1" si="18"/>
        <v>35</v>
      </c>
      <c r="I127" s="178"/>
      <c r="J127" s="178"/>
      <c r="K127" s="168"/>
      <c r="L127" s="171"/>
      <c r="M127" s="179"/>
      <c r="N127" s="171"/>
      <c r="O127" s="166" t="str">
        <f ca="1">IFERROR(IF(COUNTA($D$41:$D127)=1,"",OFFSET($C125,-COUNTA($D$41:$D127)+3,0)),"")</f>
        <v/>
      </c>
      <c r="P127" s="166">
        <f t="shared" ca="1" si="19"/>
        <v>84</v>
      </c>
      <c r="Q127" s="166"/>
      <c r="R127" s="166"/>
      <c r="S127" s="166"/>
      <c r="T127" s="166" t="b">
        <v>0</v>
      </c>
    </row>
    <row r="128" spans="1:20">
      <c r="A128" s="166" t="b">
        <v>0</v>
      </c>
      <c r="B128" s="176"/>
      <c r="C128" s="166" t="s">
        <v>3190</v>
      </c>
      <c r="D128" s="166" t="s">
        <v>3191</v>
      </c>
      <c r="E128" s="166">
        <f t="shared" si="17"/>
        <v>1</v>
      </c>
      <c r="F128" s="177">
        <v>15</v>
      </c>
      <c r="G128" s="166"/>
      <c r="H128" s="166">
        <f t="shared" ca="1" si="18"/>
        <v>37</v>
      </c>
      <c r="I128" s="178"/>
      <c r="J128" s="178"/>
      <c r="K128" s="168"/>
      <c r="L128" s="171"/>
      <c r="M128" s="179"/>
      <c r="N128" s="171"/>
      <c r="O128" s="166" t="str">
        <f ca="1">IFERROR(IF(COUNTA($D$41:$D128)=1,"",OFFSET($C126,-COUNTA($D$41:$D128)+3,0)),"")</f>
        <v/>
      </c>
      <c r="P128" s="166">
        <f t="shared" ca="1" si="19"/>
        <v>85</v>
      </c>
      <c r="Q128" s="166"/>
      <c r="R128" s="166"/>
      <c r="S128" s="166"/>
      <c r="T128" s="166" t="b">
        <v>0</v>
      </c>
    </row>
    <row r="129" spans="1:20">
      <c r="A129" s="166" t="b">
        <v>0</v>
      </c>
      <c r="B129" s="176"/>
      <c r="C129" s="166" t="s">
        <v>3192</v>
      </c>
      <c r="D129" s="166" t="s">
        <v>3191</v>
      </c>
      <c r="E129" s="166">
        <f t="shared" si="17"/>
        <v>2</v>
      </c>
      <c r="F129" s="177">
        <v>15</v>
      </c>
      <c r="G129" s="166"/>
      <c r="H129" s="166">
        <f t="shared" ca="1" si="18"/>
        <v>37</v>
      </c>
      <c r="I129" s="178"/>
      <c r="J129" s="178"/>
      <c r="K129" s="168"/>
      <c r="L129" s="171"/>
      <c r="M129" s="179"/>
      <c r="N129" s="171"/>
      <c r="O129" s="166" t="str">
        <f ca="1">IFERROR(IF(COUNTA($D$41:$D129)=1,"",OFFSET($C127,-COUNTA($D$41:$D129)+3,0)),"")</f>
        <v/>
      </c>
      <c r="P129" s="166">
        <f t="shared" ca="1" si="19"/>
        <v>86</v>
      </c>
      <c r="Q129" s="166"/>
      <c r="R129" s="166"/>
      <c r="S129" s="166"/>
      <c r="T129" s="166" t="b">
        <v>0</v>
      </c>
    </row>
    <row r="130" spans="1:20">
      <c r="A130" s="166" t="b">
        <v>0</v>
      </c>
      <c r="B130" s="176"/>
      <c r="C130" s="166" t="s">
        <v>3193</v>
      </c>
      <c r="D130" s="166" t="s">
        <v>3191</v>
      </c>
      <c r="E130" s="166">
        <f t="shared" si="17"/>
        <v>3</v>
      </c>
      <c r="F130" s="177">
        <v>15</v>
      </c>
      <c r="G130" s="166"/>
      <c r="H130" s="166">
        <f t="shared" ca="1" si="18"/>
        <v>37</v>
      </c>
      <c r="I130" s="178"/>
      <c r="J130" s="178"/>
      <c r="K130" s="168"/>
      <c r="L130" s="171"/>
      <c r="M130" s="179"/>
      <c r="N130" s="171"/>
      <c r="O130" s="166" t="str">
        <f ca="1">IFERROR(IF(COUNTA($D$41:$D130)=1,"",OFFSET($C128,-COUNTA($D$41:$D130)+3,0)),"")</f>
        <v/>
      </c>
      <c r="P130" s="166">
        <f t="shared" ca="1" si="19"/>
        <v>87</v>
      </c>
      <c r="Q130" s="166"/>
      <c r="R130" s="166"/>
      <c r="S130" s="166"/>
      <c r="T130" s="166" t="b">
        <v>0</v>
      </c>
    </row>
    <row r="131" spans="1:20">
      <c r="A131" s="166" t="b">
        <v>0</v>
      </c>
      <c r="B131" s="176"/>
      <c r="C131" s="166" t="s">
        <v>3194</v>
      </c>
      <c r="D131" s="166" t="s">
        <v>3191</v>
      </c>
      <c r="E131" s="166">
        <f t="shared" si="17"/>
        <v>4</v>
      </c>
      <c r="F131" s="177">
        <v>15</v>
      </c>
      <c r="G131" s="166"/>
      <c r="H131" s="166">
        <f t="shared" ca="1" si="18"/>
        <v>37</v>
      </c>
      <c r="I131" s="178"/>
      <c r="J131" s="178"/>
      <c r="K131" s="168"/>
      <c r="L131" s="171"/>
      <c r="M131" s="179"/>
      <c r="N131" s="171"/>
      <c r="O131" s="166" t="str">
        <f ca="1">IFERROR(IF(COUNTA($D$41:$D131)=1,"",OFFSET($C129,-COUNTA($D$41:$D131)+3,0)),"")</f>
        <v/>
      </c>
      <c r="P131" s="166">
        <f t="shared" ca="1" si="19"/>
        <v>88</v>
      </c>
      <c r="Q131" s="166"/>
      <c r="R131" s="166"/>
      <c r="S131" s="166"/>
      <c r="T131" s="166" t="b">
        <v>0</v>
      </c>
    </row>
    <row r="132" spans="1:20">
      <c r="A132" s="166" t="b">
        <v>0</v>
      </c>
      <c r="B132" s="176"/>
      <c r="C132" s="166" t="s">
        <v>3195</v>
      </c>
      <c r="D132" s="166" t="s">
        <v>3191</v>
      </c>
      <c r="E132" s="166">
        <f t="shared" si="17"/>
        <v>5</v>
      </c>
      <c r="F132" s="177">
        <v>15</v>
      </c>
      <c r="G132" s="166"/>
      <c r="H132" s="166">
        <f t="shared" ca="1" si="18"/>
        <v>37</v>
      </c>
      <c r="I132" s="178"/>
      <c r="J132" s="178"/>
      <c r="K132" s="168"/>
      <c r="L132" s="171"/>
      <c r="M132" s="179"/>
      <c r="N132" s="171"/>
      <c r="O132" s="166" t="str">
        <f ca="1">IFERROR(IF(COUNTA($D$41:$D132)=1,"",OFFSET($C130,-COUNTA($D$41:$D132)+3,0)),"")</f>
        <v/>
      </c>
      <c r="P132" s="166">
        <f t="shared" ca="1" si="19"/>
        <v>89</v>
      </c>
      <c r="Q132" s="166"/>
      <c r="R132" s="166"/>
      <c r="S132" s="166"/>
      <c r="T132" s="166" t="b">
        <v>0</v>
      </c>
    </row>
    <row r="133" spans="1:20">
      <c r="A133" s="166" t="b">
        <v>0</v>
      </c>
      <c r="B133" s="176"/>
      <c r="C133" s="166" t="s">
        <v>3196</v>
      </c>
      <c r="D133" s="166" t="s">
        <v>3191</v>
      </c>
      <c r="E133" s="166">
        <f t="shared" si="17"/>
        <v>6</v>
      </c>
      <c r="F133" s="177">
        <v>15</v>
      </c>
      <c r="G133" s="166"/>
      <c r="H133" s="166">
        <f t="shared" ca="1" si="18"/>
        <v>37</v>
      </c>
      <c r="I133" s="178"/>
      <c r="J133" s="178"/>
      <c r="K133" s="168"/>
      <c r="L133" s="171"/>
      <c r="M133" s="179"/>
      <c r="N133" s="171"/>
      <c r="O133" s="166" t="str">
        <f ca="1">IFERROR(IF(COUNTA($D$41:$D133)=1,"",OFFSET($C131,-COUNTA($D$41:$D133)+3,0)),"")</f>
        <v/>
      </c>
      <c r="P133" s="166">
        <f t="shared" ca="1" si="19"/>
        <v>90</v>
      </c>
      <c r="Q133" s="166"/>
      <c r="R133" s="166"/>
      <c r="S133" s="166"/>
      <c r="T133" s="166" t="b">
        <v>0</v>
      </c>
    </row>
    <row r="134" spans="1:20">
      <c r="A134" s="166" t="b">
        <f t="shared" ref="A134:A197" ca="1" si="20">IF(OR(I134&lt;&gt;"",J134&lt;&gt;"",K134&lt;&gt;"",M134&lt;&gt;"",N134&lt;&gt;""),TRUE,FALSE)</f>
        <v>0</v>
      </c>
      <c r="B134" s="176"/>
      <c r="C134" s="172" t="str">
        <f t="shared" ref="C134:C197" ca="1" si="21">O134</f>
        <v>a1H3p000009alaPEAQ</v>
      </c>
      <c r="D134" s="166"/>
      <c r="E134" s="166">
        <f t="shared" ca="1" si="17"/>
        <v>1</v>
      </c>
      <c r="F134" s="177">
        <f ca="1">IFERROR(IF(COUNTA($D$41:$D134)=1,"",OFFSET($F132,-COUNTA($D$41:$D134)+3,0)),"")</f>
        <v>1</v>
      </c>
      <c r="G134" s="166"/>
      <c r="H134" s="166">
        <f t="shared" ca="1" si="18"/>
        <v>9</v>
      </c>
      <c r="I134" s="178" t="str">
        <f t="shared" ref="I134:I197" ca="1" si="22">IFERROR(CHOOSE(E134,IFERROR(IF(INDIRECT("'Impact Indicators - Section B '!K"&amp;H134+1)="","",INDIRECT("'Impact Indicators - Section B '!K"&amp;H134+1)),""),IFERROR(IF(INDIRECT("'Impact Indicators - Section B '!O"&amp;H134+1)="","",INDIRECT("'Impact Indicators - Section B '!O"&amp;H134+1)),""),IFERROR(IF(INDIRECT("'Impact Indicators - Section B '!S"&amp;H134+1)="","",INDIRECT("'Impact Indicators - Section B '!S"&amp;H134+1)),""),IFERROR(IF(INDIRECT("'Impact Indicators - Section B '!W"&amp;H134+1)="","",INDIRECT("'Impact Indicators - Section B '!W"&amp;H134+1)),"")),"")</f>
        <v/>
      </c>
      <c r="J134" s="178" t="str">
        <f t="shared" ref="J134:J197" ca="1" si="23">IFERROR(CHOOSE(E134,IFERROR(IF(INDIRECT("'Impact Indicators - Section B '!K"&amp;H134)="","",INDIRECT("'Impact Indicators - Section B '!K"&amp;H134)),""),IFERROR(IF(INDIRECT("'Impact Indicators - Section B '!O"&amp;H134)="","",INDIRECT("'Impact Indicators - Section B '!O"&amp;H134)),""),IFERROR(IF(INDIRECT("'Impact Indicators - Section B '!S"&amp;H134)="","",INDIRECT("'Impact Indicators - Section B '!S"&amp;H134)),""),IFERROR(IF(INDIRECT("'Impact Indicators - Section B '!W"&amp;H134)="","",INDIRECT("'Impact Indicators - Section B '!W"&amp;H134)),"")),"")</f>
        <v/>
      </c>
      <c r="K134" s="168" t="str">
        <f t="shared" ref="K134:K197" ca="1" si="24">IFERROR(CHOOSE(E134,IFERROR(IF(INDIRECT("'Impact Indicators - Section B '!L"&amp;H134)="","",INDIRECT("'Impact Indicators - Section B '!L"&amp;H134)*100),""),IFERROR(IF(INDIRECT("'Impact Indicators - Section B '!P"&amp;H134)="","",INDIRECT("'Impact Indicators - Section B '!P"&amp;H134)*100),""),IFERROR(IF(INDIRECT("'Impact Indicators - Section B '!T"&amp;H134)="","",INDIRECT("'Impact Indicators - Section B '!T"&amp;H134)*100),""),IFERROR(IF(INDIRECT("'Impact Indicators - Section B '!X"&amp;H134)="","",INDIRECT("'Impact Indicators - Section B '!X"&amp;H134)*100),"")),"")</f>
        <v/>
      </c>
      <c r="L134" s="171">
        <f ca="1">IFERROR(CHOOSE(E134,'Impact Indicators - Section B '!$K$7,'Impact Indicators - Section B '!$O$7,'Impact Indicators - Section B '!$S$7,'Impact Indicators - Section B '!$W$7),"")</f>
        <v>2023</v>
      </c>
      <c r="M134" s="179" t="str">
        <f t="shared" ref="M134:M197" ca="1" si="25">IFERROR(CHOOSE(E134,IFERROR(IF(INDIRECT("'Impact Indicators - Section B '!M"&amp;H134)="","",INDIRECT("'Impact Indicators - Section B '!M"&amp;H134)),""),IFERROR(IF(INDIRECT("'Impact Indicators - Section B '!Q"&amp;H134)="","",INDIRECT("'Impact Indicators - Section B '!Q"&amp;H134)),""),IFERROR(IF(INDIRECT("'Impact Indicators - Section B '!U"&amp;H134)="","",INDIRECT("'Impact Indicators - Section B '!U"&amp;H134)),""),IFERROR(IF(INDIRECT("'Impact Indicators - Section B '!Y"&amp;H134)="","",INDIRECT("'Impact Indicators - Section B '!Y"&amp;H134)),"")),"")</f>
        <v/>
      </c>
      <c r="N134" s="171" t="str">
        <f t="shared" ref="N134:N197" ca="1" si="26">IFERROR(CHOOSE(E134,IFERROR(IF(INDIRECT("'Impact Indicators - Section B '!N"&amp;H134)=0,"",INDIRECT("'Impact Indicators - Section B '!N"&amp;H134)),""),IFERROR(IF(INDIRECT("'Impact Indicators - Section B '!R"&amp;H134)=0,"",INDIRECT("'Impact Indicators - Section B '!R"&amp;H134)),""),IFERROR(IF(INDIRECT("'Impact Indicators - Section B '!V"&amp;H134)=0,"",INDIRECT("'Impact Indicators - Section B '!V"&amp;H134)),""),IFERROR(IF(INDIRECT("'Impact Indicators - Section B '!Z"&amp;H134)=0,"",INDIRECT("'Impact Indicators - Section B '!Z"&amp;H134)),"")),"")</f>
        <v/>
      </c>
      <c r="O134" s="166" t="str">
        <f ca="1">IFERROR(IF(COUNTA($D$41:$D134)=1,"",OFFSET($C132,-COUNTA($D$41:$D134)+3,0)),"")</f>
        <v>a1H3p000009alaPEAQ</v>
      </c>
      <c r="P134" s="166">
        <f t="shared" ca="1" si="19"/>
        <v>0</v>
      </c>
      <c r="Q134" s="166"/>
      <c r="R134" s="166"/>
      <c r="S134" s="166"/>
      <c r="T134" s="166" t="b">
        <f t="shared" ref="T134:T197" ca="1" si="27">IF(A134=TRUE,TRUE,FALSE)</f>
        <v>0</v>
      </c>
    </row>
    <row r="135" spans="1:20">
      <c r="A135" s="166" t="b">
        <f t="shared" ca="1" si="20"/>
        <v>0</v>
      </c>
      <c r="B135" s="176"/>
      <c r="C135" s="172" t="str">
        <f t="shared" ca="1" si="21"/>
        <v>a1H3p000009alaeEAA</v>
      </c>
      <c r="D135" s="166"/>
      <c r="E135" s="166">
        <f t="shared" ca="1" si="17"/>
        <v>2</v>
      </c>
      <c r="F135" s="177">
        <f ca="1">IFERROR(IF(COUNTA($D$41:$D135)=1,"",OFFSET($F133,-COUNTA($D$41:$D135)+3,0)),"")</f>
        <v>1</v>
      </c>
      <c r="G135" s="166"/>
      <c r="H135" s="166">
        <f t="shared" ca="1" si="18"/>
        <v>9</v>
      </c>
      <c r="I135" s="178" t="str">
        <f t="shared" ca="1" si="22"/>
        <v/>
      </c>
      <c r="J135" s="178" t="str">
        <f t="shared" ca="1" si="23"/>
        <v/>
      </c>
      <c r="K135" s="168" t="str">
        <f t="shared" ca="1" si="24"/>
        <v/>
      </c>
      <c r="L135" s="171">
        <f ca="1">IFERROR(CHOOSE(E135,'Impact Indicators - Section B '!$K$7,'Impact Indicators - Section B '!$O$7,'Impact Indicators - Section B '!$S$7,'Impact Indicators - Section B '!$W$7),"")</f>
        <v>2024</v>
      </c>
      <c r="M135" s="179" t="str">
        <f t="shared" ca="1" si="25"/>
        <v/>
      </c>
      <c r="N135" s="171" t="str">
        <f t="shared" ca="1" si="26"/>
        <v/>
      </c>
      <c r="O135" s="166" t="str">
        <f ca="1">IFERROR(IF(COUNTA($D$41:$D135)=1,"",OFFSET($C133,-COUNTA($D$41:$D135)+3,0)),"")</f>
        <v>a1H3p000009alaeEAA</v>
      </c>
      <c r="P135" s="166">
        <f t="shared" ca="1" si="19"/>
        <v>0</v>
      </c>
      <c r="Q135" s="166"/>
      <c r="R135" s="166"/>
      <c r="S135" s="166"/>
      <c r="T135" s="166" t="b">
        <f t="shared" ca="1" si="27"/>
        <v>0</v>
      </c>
    </row>
    <row r="136" spans="1:20">
      <c r="A136" s="166" t="b">
        <f t="shared" ca="1" si="20"/>
        <v>1</v>
      </c>
      <c r="B136" s="176"/>
      <c r="C136" s="172" t="str">
        <f t="shared" ca="1" si="21"/>
        <v>a1H3p000009alatEAA</v>
      </c>
      <c r="D136" s="166"/>
      <c r="E136" s="166">
        <f t="shared" ca="1" si="17"/>
        <v>3</v>
      </c>
      <c r="F136" s="177">
        <f ca="1">IFERROR(IF(COUNTA($D$41:$D136)=1,"",OFFSET($F134,-COUNTA($D$41:$D136)+3,0)),"")</f>
        <v>1</v>
      </c>
      <c r="G136" s="166"/>
      <c r="H136" s="166">
        <f t="shared" ca="1" si="18"/>
        <v>9</v>
      </c>
      <c r="I136" s="178">
        <f t="shared" ca="1" si="22"/>
        <v>1650</v>
      </c>
      <c r="J136" s="178">
        <f t="shared" ca="1" si="23"/>
        <v>492</v>
      </c>
      <c r="K136" s="168">
        <f t="shared" ca="1" si="24"/>
        <v>29.818181818181817</v>
      </c>
      <c r="L136" s="171">
        <f ca="1">IFERROR(CHOOSE(E136,'Impact Indicators - Section B '!$K$7,'Impact Indicators - Section B '!$O$7,'Impact Indicators - Section B '!$S$7,'Impact Indicators - Section B '!$W$7),"")</f>
        <v>2025</v>
      </c>
      <c r="M136" s="179">
        <f t="shared" ca="1" si="25"/>
        <v>46022</v>
      </c>
      <c r="N136" s="171" t="str">
        <f t="shared" ca="1" si="26"/>
        <v/>
      </c>
      <c r="O136" s="166" t="str">
        <f ca="1">IFERROR(IF(COUNTA($D$41:$D136)=1,"",OFFSET($C134,-COUNTA($D$41:$D136)+3,0)),"")</f>
        <v>a1H3p000009alatEAA</v>
      </c>
      <c r="P136" s="166">
        <f t="shared" ca="1" si="19"/>
        <v>0</v>
      </c>
      <c r="Q136" s="166"/>
      <c r="R136" s="166"/>
      <c r="S136" s="166"/>
      <c r="T136" s="166" t="b">
        <f t="shared" ca="1" si="27"/>
        <v>1</v>
      </c>
    </row>
    <row r="137" spans="1:20">
      <c r="A137" s="166" t="b">
        <f t="shared" ca="1" si="20"/>
        <v>0</v>
      </c>
      <c r="B137" s="176"/>
      <c r="C137" s="172" t="str">
        <f t="shared" ca="1" si="21"/>
        <v>a1H3p000009alb8EAA</v>
      </c>
      <c r="D137" s="166"/>
      <c r="E137" s="166">
        <f t="shared" ca="1" si="17"/>
        <v>4</v>
      </c>
      <c r="F137" s="177">
        <f ca="1">IFERROR(IF(COUNTA($D$41:$D137)=1,"",OFFSET($F135,-COUNTA($D$41:$D137)+3,0)),"")</f>
        <v>1</v>
      </c>
      <c r="G137" s="166"/>
      <c r="H137" s="166">
        <f t="shared" ca="1" si="18"/>
        <v>9</v>
      </c>
      <c r="I137" s="178" t="str">
        <f t="shared" ca="1" si="22"/>
        <v/>
      </c>
      <c r="J137" s="178" t="str">
        <f t="shared" ca="1" si="23"/>
        <v/>
      </c>
      <c r="K137" s="168" t="str">
        <f t="shared" ca="1" si="24"/>
        <v/>
      </c>
      <c r="L137" s="171" t="str">
        <f ca="1">IFERROR(CHOOSE(E137,'Impact Indicators - Section B '!$K$7,'Impact Indicators - Section B '!$O$7,'Impact Indicators - Section B '!$S$7,'Impact Indicators - Section B '!$W$7),"")</f>
        <v/>
      </c>
      <c r="M137" s="179" t="str">
        <f t="shared" ca="1" si="25"/>
        <v/>
      </c>
      <c r="N137" s="171" t="str">
        <f t="shared" ca="1" si="26"/>
        <v/>
      </c>
      <c r="O137" s="166" t="str">
        <f ca="1">IFERROR(IF(COUNTA($D$41:$D137)=1,"",OFFSET($C135,-COUNTA($D$41:$D137)+3,0)),"")</f>
        <v>a1H3p000009alb8EAA</v>
      </c>
      <c r="P137" s="166">
        <f t="shared" ca="1" si="19"/>
        <v>0</v>
      </c>
      <c r="Q137" s="166"/>
      <c r="R137" s="166"/>
      <c r="S137" s="166"/>
      <c r="T137" s="166" t="b">
        <f t="shared" ca="1" si="27"/>
        <v>0</v>
      </c>
    </row>
    <row r="138" spans="1:20">
      <c r="A138" s="166" t="b">
        <f t="shared" ca="1" si="20"/>
        <v>0</v>
      </c>
      <c r="B138" s="176"/>
      <c r="C138" s="172" t="str">
        <f t="shared" ca="1" si="21"/>
        <v>a1H3p000009albNEAQ</v>
      </c>
      <c r="D138" s="166"/>
      <c r="E138" s="166">
        <f t="shared" ca="1" si="17"/>
        <v>5</v>
      </c>
      <c r="F138" s="177">
        <f ca="1">IFERROR(IF(COUNTA($D$41:$D138)=1,"",OFFSET($F136,-COUNTA($D$41:$D138)+3,0)),"")</f>
        <v>1</v>
      </c>
      <c r="G138" s="166"/>
      <c r="H138" s="166">
        <f t="shared" ca="1" si="18"/>
        <v>9</v>
      </c>
      <c r="I138" s="178" t="str">
        <f t="shared" ca="1" si="22"/>
        <v/>
      </c>
      <c r="J138" s="178" t="str">
        <f t="shared" ca="1" si="23"/>
        <v/>
      </c>
      <c r="K138" s="168" t="str">
        <f t="shared" ca="1" si="24"/>
        <v/>
      </c>
      <c r="L138" s="171" t="str">
        <f ca="1">IFERROR(CHOOSE(E138,'Impact Indicators - Section B '!$K$7,'Impact Indicators - Section B '!$O$7,'Impact Indicators - Section B '!$S$7,'Impact Indicators - Section B '!$W$7),"")</f>
        <v/>
      </c>
      <c r="M138" s="179" t="str">
        <f t="shared" ca="1" si="25"/>
        <v/>
      </c>
      <c r="N138" s="171" t="str">
        <f t="shared" ca="1" si="26"/>
        <v/>
      </c>
      <c r="O138" s="166" t="str">
        <f ca="1">IFERROR(IF(COUNTA($D$41:$D138)=1,"",OFFSET($C136,-COUNTA($D$41:$D138)+3,0)),"")</f>
        <v>a1H3p000009albNEAQ</v>
      </c>
      <c r="P138" s="166">
        <f t="shared" ca="1" si="19"/>
        <v>0</v>
      </c>
      <c r="Q138" s="166"/>
      <c r="R138" s="166"/>
      <c r="S138" s="166"/>
      <c r="T138" s="166" t="b">
        <f t="shared" ca="1" si="27"/>
        <v>0</v>
      </c>
    </row>
    <row r="139" spans="1:20">
      <c r="A139" s="166" t="b">
        <f t="shared" ca="1" si="20"/>
        <v>0</v>
      </c>
      <c r="B139" s="176"/>
      <c r="C139" s="172" t="str">
        <f t="shared" ca="1" si="21"/>
        <v>a1H3p000009albcEAA</v>
      </c>
      <c r="D139" s="166"/>
      <c r="E139" s="166">
        <f t="shared" ca="1" si="17"/>
        <v>6</v>
      </c>
      <c r="F139" s="177">
        <f ca="1">IFERROR(IF(COUNTA($D$41:$D139)=1,"",OFFSET($F137,-COUNTA($D$41:$D139)+3,0)),"")</f>
        <v>1</v>
      </c>
      <c r="G139" s="166"/>
      <c r="H139" s="166">
        <f t="shared" ca="1" si="18"/>
        <v>9</v>
      </c>
      <c r="I139" s="178" t="str">
        <f t="shared" ca="1" si="22"/>
        <v/>
      </c>
      <c r="J139" s="178" t="str">
        <f t="shared" ca="1" si="23"/>
        <v/>
      </c>
      <c r="K139" s="168" t="str">
        <f t="shared" ca="1" si="24"/>
        <v/>
      </c>
      <c r="L139" s="171" t="str">
        <f ca="1">IFERROR(CHOOSE(E139,'Impact Indicators - Section B '!$K$7,'Impact Indicators - Section B '!$O$7,'Impact Indicators - Section B '!$S$7,'Impact Indicators - Section B '!$W$7),"")</f>
        <v/>
      </c>
      <c r="M139" s="179" t="str">
        <f t="shared" ca="1" si="25"/>
        <v/>
      </c>
      <c r="N139" s="171" t="str">
        <f t="shared" ca="1" si="26"/>
        <v/>
      </c>
      <c r="O139" s="166" t="str">
        <f ca="1">IFERROR(IF(COUNTA($D$41:$D139)=1,"",OFFSET($C137,-COUNTA($D$41:$D139)+3,0)),"")</f>
        <v>a1H3p000009albcEAA</v>
      </c>
      <c r="P139" s="166">
        <f t="shared" ca="1" si="19"/>
        <v>0</v>
      </c>
      <c r="Q139" s="166"/>
      <c r="R139" s="166"/>
      <c r="S139" s="166"/>
      <c r="T139" s="166" t="b">
        <f t="shared" ca="1" si="27"/>
        <v>0</v>
      </c>
    </row>
    <row r="140" spans="1:20">
      <c r="A140" s="166" t="b">
        <f t="shared" ca="1" si="20"/>
        <v>0</v>
      </c>
      <c r="B140" s="176"/>
      <c r="C140" s="172" t="str">
        <f t="shared" ca="1" si="21"/>
        <v>a1H3p000009alaQEAQ</v>
      </c>
      <c r="D140" s="166"/>
      <c r="E140" s="166">
        <f t="shared" ca="1" si="17"/>
        <v>1</v>
      </c>
      <c r="F140" s="177">
        <f ca="1">IFERROR(IF(COUNTA($D$41:$D140)=1,"",OFFSET($F138,-COUNTA($D$41:$D140)+3,0)),"")</f>
        <v>2</v>
      </c>
      <c r="G140" s="166"/>
      <c r="H140" s="166">
        <f t="shared" ca="1" si="18"/>
        <v>11</v>
      </c>
      <c r="I140" s="178" t="str">
        <f t="shared" ca="1" si="22"/>
        <v/>
      </c>
      <c r="J140" s="178" t="str">
        <f t="shared" ca="1" si="23"/>
        <v/>
      </c>
      <c r="K140" s="168" t="str">
        <f t="shared" ca="1" si="24"/>
        <v/>
      </c>
      <c r="L140" s="171">
        <f ca="1">IFERROR(CHOOSE(E140,'Impact Indicators - Section B '!$K$7,'Impact Indicators - Section B '!$O$7,'Impact Indicators - Section B '!$S$7,'Impact Indicators - Section B '!$W$7),"")</f>
        <v>2023</v>
      </c>
      <c r="M140" s="179" t="str">
        <f t="shared" ca="1" si="25"/>
        <v/>
      </c>
      <c r="N140" s="171" t="str">
        <f t="shared" ca="1" si="26"/>
        <v/>
      </c>
      <c r="O140" s="166" t="str">
        <f ca="1">IFERROR(IF(COUNTA($D$41:$D140)=1,"",OFFSET($C138,-COUNTA($D$41:$D140)+3,0)),"")</f>
        <v>a1H3p000009alaQEAQ</v>
      </c>
      <c r="P140" s="166">
        <f t="shared" ca="1" si="19"/>
        <v>0</v>
      </c>
      <c r="Q140" s="166"/>
      <c r="R140" s="166"/>
      <c r="S140" s="166"/>
      <c r="T140" s="166" t="b">
        <f t="shared" ca="1" si="27"/>
        <v>0</v>
      </c>
    </row>
    <row r="141" spans="1:20">
      <c r="A141" s="166" t="b">
        <f t="shared" ca="1" si="20"/>
        <v>0</v>
      </c>
      <c r="B141" s="176"/>
      <c r="C141" s="172" t="str">
        <f t="shared" ca="1" si="21"/>
        <v>a1H3p000009alafEAA</v>
      </c>
      <c r="D141" s="166"/>
      <c r="E141" s="166">
        <f t="shared" ca="1" si="17"/>
        <v>2</v>
      </c>
      <c r="F141" s="177">
        <f ca="1">IFERROR(IF(COUNTA($D$41:$D141)=1,"",OFFSET($F139,-COUNTA($D$41:$D141)+3,0)),"")</f>
        <v>2</v>
      </c>
      <c r="G141" s="166"/>
      <c r="H141" s="166">
        <f t="shared" ca="1" si="18"/>
        <v>11</v>
      </c>
      <c r="I141" s="178" t="str">
        <f t="shared" ca="1" si="22"/>
        <v/>
      </c>
      <c r="J141" s="178" t="str">
        <f t="shared" ca="1" si="23"/>
        <v/>
      </c>
      <c r="K141" s="168" t="str">
        <f t="shared" ca="1" si="24"/>
        <v/>
      </c>
      <c r="L141" s="171">
        <f ca="1">IFERROR(CHOOSE(E141,'Impact Indicators - Section B '!$K$7,'Impact Indicators - Section B '!$O$7,'Impact Indicators - Section B '!$S$7,'Impact Indicators - Section B '!$W$7),"")</f>
        <v>2024</v>
      </c>
      <c r="M141" s="179" t="str">
        <f t="shared" ca="1" si="25"/>
        <v/>
      </c>
      <c r="N141" s="171" t="str">
        <f t="shared" ca="1" si="26"/>
        <v/>
      </c>
      <c r="O141" s="166" t="str">
        <f ca="1">IFERROR(IF(COUNTA($D$41:$D141)=1,"",OFFSET($C139,-COUNTA($D$41:$D141)+3,0)),"")</f>
        <v>a1H3p000009alafEAA</v>
      </c>
      <c r="P141" s="166">
        <f t="shared" ca="1" si="19"/>
        <v>0</v>
      </c>
      <c r="Q141" s="166"/>
      <c r="R141" s="166"/>
      <c r="S141" s="166"/>
      <c r="T141" s="166" t="b">
        <f t="shared" ca="1" si="27"/>
        <v>0</v>
      </c>
    </row>
    <row r="142" spans="1:20">
      <c r="A142" s="166" t="b">
        <f t="shared" ca="1" si="20"/>
        <v>1</v>
      </c>
      <c r="B142" s="176"/>
      <c r="C142" s="172" t="str">
        <f t="shared" ca="1" si="21"/>
        <v>a1H3p000009alauEAA</v>
      </c>
      <c r="D142" s="166"/>
      <c r="E142" s="166">
        <f t="shared" ca="1" si="17"/>
        <v>3</v>
      </c>
      <c r="F142" s="177">
        <f ca="1">IFERROR(IF(COUNTA($D$41:$D142)=1,"",OFFSET($F140,-COUNTA($D$41:$D142)+3,0)),"")</f>
        <v>2</v>
      </c>
      <c r="G142" s="166"/>
      <c r="H142" s="166">
        <f t="shared" ca="1" si="18"/>
        <v>11</v>
      </c>
      <c r="I142" s="178">
        <f t="shared" ca="1" si="22"/>
        <v>520</v>
      </c>
      <c r="J142" s="178">
        <f t="shared" ca="1" si="23"/>
        <v>180</v>
      </c>
      <c r="K142" s="168">
        <f t="shared" ca="1" si="24"/>
        <v>34.615384615384613</v>
      </c>
      <c r="L142" s="171">
        <f ca="1">IFERROR(CHOOSE(E142,'Impact Indicators - Section B '!$K$7,'Impact Indicators - Section B '!$O$7,'Impact Indicators - Section B '!$S$7,'Impact Indicators - Section B '!$W$7),"")</f>
        <v>2025</v>
      </c>
      <c r="M142" s="179">
        <f t="shared" ca="1" si="25"/>
        <v>46022</v>
      </c>
      <c r="N142" s="171" t="str">
        <f t="shared" ca="1" si="26"/>
        <v/>
      </c>
      <c r="O142" s="166" t="str">
        <f ca="1">IFERROR(IF(COUNTA($D$41:$D142)=1,"",OFFSET($C140,-COUNTA($D$41:$D142)+3,0)),"")</f>
        <v>a1H3p000009alauEAA</v>
      </c>
      <c r="P142" s="166">
        <f t="shared" ca="1" si="19"/>
        <v>0</v>
      </c>
      <c r="Q142" s="166"/>
      <c r="R142" s="166"/>
      <c r="S142" s="166"/>
      <c r="T142" s="166" t="b">
        <f t="shared" ca="1" si="27"/>
        <v>1</v>
      </c>
    </row>
    <row r="143" spans="1:20">
      <c r="A143" s="166" t="b">
        <f t="shared" ca="1" si="20"/>
        <v>0</v>
      </c>
      <c r="B143" s="176"/>
      <c r="C143" s="172" t="str">
        <f t="shared" ca="1" si="21"/>
        <v>a1H3p000009alb9EAA</v>
      </c>
      <c r="D143" s="166"/>
      <c r="E143" s="166">
        <f t="shared" ca="1" si="17"/>
        <v>4</v>
      </c>
      <c r="F143" s="177">
        <f ca="1">IFERROR(IF(COUNTA($D$41:$D143)=1,"",OFFSET($F141,-COUNTA($D$41:$D143)+3,0)),"")</f>
        <v>2</v>
      </c>
      <c r="G143" s="166"/>
      <c r="H143" s="166">
        <f t="shared" ca="1" si="18"/>
        <v>11</v>
      </c>
      <c r="I143" s="178" t="str">
        <f t="shared" ca="1" si="22"/>
        <v/>
      </c>
      <c r="J143" s="178" t="str">
        <f t="shared" ca="1" si="23"/>
        <v/>
      </c>
      <c r="K143" s="168" t="str">
        <f t="shared" ca="1" si="24"/>
        <v/>
      </c>
      <c r="L143" s="171" t="str">
        <f ca="1">IFERROR(CHOOSE(E143,'Impact Indicators - Section B '!$K$7,'Impact Indicators - Section B '!$O$7,'Impact Indicators - Section B '!$S$7,'Impact Indicators - Section B '!$W$7),"")</f>
        <v/>
      </c>
      <c r="M143" s="179" t="str">
        <f t="shared" ca="1" si="25"/>
        <v/>
      </c>
      <c r="N143" s="171" t="str">
        <f t="shared" ca="1" si="26"/>
        <v/>
      </c>
      <c r="O143" s="166" t="str">
        <f ca="1">IFERROR(IF(COUNTA($D$41:$D143)=1,"",OFFSET($C141,-COUNTA($D$41:$D143)+3,0)),"")</f>
        <v>a1H3p000009alb9EAA</v>
      </c>
      <c r="P143" s="166">
        <f t="shared" ca="1" si="19"/>
        <v>0</v>
      </c>
      <c r="Q143" s="166"/>
      <c r="R143" s="166"/>
      <c r="S143" s="166"/>
      <c r="T143" s="166" t="b">
        <f t="shared" ca="1" si="27"/>
        <v>0</v>
      </c>
    </row>
    <row r="144" spans="1:20">
      <c r="A144" s="166" t="b">
        <f t="shared" ca="1" si="20"/>
        <v>0</v>
      </c>
      <c r="B144" s="176"/>
      <c r="C144" s="172" t="str">
        <f t="shared" ca="1" si="21"/>
        <v>a1H3p000009albOEAQ</v>
      </c>
      <c r="D144" s="166"/>
      <c r="E144" s="166">
        <f t="shared" ca="1" si="17"/>
        <v>5</v>
      </c>
      <c r="F144" s="177">
        <f ca="1">IFERROR(IF(COUNTA($D$41:$D144)=1,"",OFFSET($F142,-COUNTA($D$41:$D144)+3,0)),"")</f>
        <v>2</v>
      </c>
      <c r="G144" s="166"/>
      <c r="H144" s="166">
        <f t="shared" ca="1" si="18"/>
        <v>11</v>
      </c>
      <c r="I144" s="178" t="str">
        <f t="shared" ca="1" si="22"/>
        <v/>
      </c>
      <c r="J144" s="178" t="str">
        <f t="shared" ca="1" si="23"/>
        <v/>
      </c>
      <c r="K144" s="168" t="str">
        <f t="shared" ca="1" si="24"/>
        <v/>
      </c>
      <c r="L144" s="171" t="str">
        <f ca="1">IFERROR(CHOOSE(E144,'Impact Indicators - Section B '!$K$7,'Impact Indicators - Section B '!$O$7,'Impact Indicators - Section B '!$S$7,'Impact Indicators - Section B '!$W$7),"")</f>
        <v/>
      </c>
      <c r="M144" s="179" t="str">
        <f t="shared" ca="1" si="25"/>
        <v/>
      </c>
      <c r="N144" s="171" t="str">
        <f t="shared" ca="1" si="26"/>
        <v/>
      </c>
      <c r="O144" s="166" t="str">
        <f ca="1">IFERROR(IF(COUNTA($D$41:$D144)=1,"",OFFSET($C142,-COUNTA($D$41:$D144)+3,0)),"")</f>
        <v>a1H3p000009albOEAQ</v>
      </c>
      <c r="P144" s="166">
        <f t="shared" ca="1" si="19"/>
        <v>0</v>
      </c>
      <c r="Q144" s="166"/>
      <c r="R144" s="166"/>
      <c r="S144" s="166"/>
      <c r="T144" s="166" t="b">
        <f t="shared" ca="1" si="27"/>
        <v>0</v>
      </c>
    </row>
    <row r="145" spans="1:20">
      <c r="A145" s="166" t="b">
        <f t="shared" ca="1" si="20"/>
        <v>0</v>
      </c>
      <c r="B145" s="176"/>
      <c r="C145" s="172" t="str">
        <f t="shared" ca="1" si="21"/>
        <v>a1H3p000009albdEAA</v>
      </c>
      <c r="D145" s="166"/>
      <c r="E145" s="166">
        <f t="shared" ca="1" si="17"/>
        <v>6</v>
      </c>
      <c r="F145" s="177">
        <f ca="1">IFERROR(IF(COUNTA($D$41:$D145)=1,"",OFFSET($F143,-COUNTA($D$41:$D145)+3,0)),"")</f>
        <v>2</v>
      </c>
      <c r="G145" s="166"/>
      <c r="H145" s="166">
        <f t="shared" ca="1" si="18"/>
        <v>11</v>
      </c>
      <c r="I145" s="178" t="str">
        <f t="shared" ca="1" si="22"/>
        <v/>
      </c>
      <c r="J145" s="178" t="str">
        <f t="shared" ca="1" si="23"/>
        <v/>
      </c>
      <c r="K145" s="168" t="str">
        <f t="shared" ca="1" si="24"/>
        <v/>
      </c>
      <c r="L145" s="171" t="str">
        <f ca="1">IFERROR(CHOOSE(E145,'Impact Indicators - Section B '!$K$7,'Impact Indicators - Section B '!$O$7,'Impact Indicators - Section B '!$S$7,'Impact Indicators - Section B '!$W$7),"")</f>
        <v/>
      </c>
      <c r="M145" s="179" t="str">
        <f t="shared" ca="1" si="25"/>
        <v/>
      </c>
      <c r="N145" s="171" t="str">
        <f t="shared" ca="1" si="26"/>
        <v/>
      </c>
      <c r="O145" s="166" t="str">
        <f ca="1">IFERROR(IF(COUNTA($D$41:$D145)=1,"",OFFSET($C143,-COUNTA($D$41:$D145)+3,0)),"")</f>
        <v>a1H3p000009albdEAA</v>
      </c>
      <c r="P145" s="166">
        <f t="shared" ca="1" si="19"/>
        <v>0</v>
      </c>
      <c r="Q145" s="166"/>
      <c r="R145" s="166"/>
      <c r="S145" s="166"/>
      <c r="T145" s="166" t="b">
        <f t="shared" ca="1" si="27"/>
        <v>0</v>
      </c>
    </row>
    <row r="146" spans="1:20">
      <c r="A146" s="166" t="b">
        <f t="shared" ca="1" si="20"/>
        <v>1</v>
      </c>
      <c r="B146" s="176"/>
      <c r="C146" s="172" t="str">
        <f t="shared" ca="1" si="21"/>
        <v>a1H3p000009alaREAQ</v>
      </c>
      <c r="D146" s="166"/>
      <c r="E146" s="166">
        <f t="shared" ca="1" si="17"/>
        <v>1</v>
      </c>
      <c r="F146" s="177">
        <f ca="1">IFERROR(IF(COUNTA($D$41:$D146)=1,"",OFFSET($F144,-COUNTA($D$41:$D146)+3,0)),"")</f>
        <v>3</v>
      </c>
      <c r="G146" s="166"/>
      <c r="H146" s="166">
        <f t="shared" ca="1" si="18"/>
        <v>13</v>
      </c>
      <c r="I146" s="178">
        <f t="shared" ca="1" si="22"/>
        <v>12168501</v>
      </c>
      <c r="J146" s="178">
        <f t="shared" ca="1" si="23"/>
        <v>7800</v>
      </c>
      <c r="K146" s="168">
        <f t="shared" ca="1" si="24"/>
        <v>6409.99248798188</v>
      </c>
      <c r="L146" s="171">
        <f ca="1">IFERROR(CHOOSE(E146,'Impact Indicators - Section B '!$K$7,'Impact Indicators - Section B '!$O$7,'Impact Indicators - Section B '!$S$7,'Impact Indicators - Section B '!$W$7),"")</f>
        <v>2023</v>
      </c>
      <c r="M146" s="179">
        <f t="shared" ca="1" si="25"/>
        <v>45352</v>
      </c>
      <c r="N146" s="171" t="str">
        <f t="shared" ca="1" si="26"/>
        <v/>
      </c>
      <c r="O146" s="166" t="str">
        <f ca="1">IFERROR(IF(COUNTA($D$41:$D146)=1,"",OFFSET($C144,-COUNTA($D$41:$D146)+3,0)),"")</f>
        <v>a1H3p000009alaREAQ</v>
      </c>
      <c r="P146" s="166">
        <f t="shared" ca="1" si="19"/>
        <v>0</v>
      </c>
      <c r="Q146" s="166"/>
      <c r="R146" s="166"/>
      <c r="S146" s="166"/>
      <c r="T146" s="166" t="b">
        <f t="shared" ca="1" si="27"/>
        <v>1</v>
      </c>
    </row>
    <row r="147" spans="1:20">
      <c r="A147" s="166" t="b">
        <f t="shared" ca="1" si="20"/>
        <v>1</v>
      </c>
      <c r="B147" s="176"/>
      <c r="C147" s="172" t="str">
        <f t="shared" ca="1" si="21"/>
        <v>a1H3p000009alagEAA</v>
      </c>
      <c r="D147" s="166"/>
      <c r="E147" s="166">
        <f t="shared" ca="1" si="17"/>
        <v>2</v>
      </c>
      <c r="F147" s="177">
        <f ca="1">IFERROR(IF(COUNTA($D$41:$D147)=1,"",OFFSET($F145,-COUNTA($D$41:$D147)+3,0)),"")</f>
        <v>3</v>
      </c>
      <c r="G147" s="166"/>
      <c r="H147" s="166">
        <f t="shared" ca="1" si="18"/>
        <v>13</v>
      </c>
      <c r="I147" s="178">
        <f t="shared" ca="1" si="22"/>
        <v>12332252</v>
      </c>
      <c r="J147" s="178">
        <f t="shared" ca="1" si="23"/>
        <v>8400</v>
      </c>
      <c r="K147" s="168">
        <f t="shared" ca="1" si="24"/>
        <v>6811.4080056100047</v>
      </c>
      <c r="L147" s="171">
        <f ca="1">IFERROR(CHOOSE(E147,'Impact Indicators - Section B '!$K$7,'Impact Indicators - Section B '!$O$7,'Impact Indicators - Section B '!$S$7,'Impact Indicators - Section B '!$W$7),"")</f>
        <v>2024</v>
      </c>
      <c r="M147" s="179">
        <f t="shared" ca="1" si="25"/>
        <v>45717</v>
      </c>
      <c r="N147" s="171" t="str">
        <f t="shared" ca="1" si="26"/>
        <v/>
      </c>
      <c r="O147" s="166" t="str">
        <f ca="1">IFERROR(IF(COUNTA($D$41:$D147)=1,"",OFFSET($C145,-COUNTA($D$41:$D147)+3,0)),"")</f>
        <v>a1H3p000009alagEAA</v>
      </c>
      <c r="P147" s="166">
        <f t="shared" ca="1" si="19"/>
        <v>0</v>
      </c>
      <c r="Q147" s="166"/>
      <c r="R147" s="166"/>
      <c r="S147" s="166"/>
      <c r="T147" s="166" t="b">
        <f t="shared" ca="1" si="27"/>
        <v>1</v>
      </c>
    </row>
    <row r="148" spans="1:20">
      <c r="A148" s="166" t="b">
        <f t="shared" ca="1" si="20"/>
        <v>1</v>
      </c>
      <c r="B148" s="176"/>
      <c r="C148" s="172" t="str">
        <f t="shared" ca="1" si="21"/>
        <v>a1H3p000009alavEAA</v>
      </c>
      <c r="D148" s="166"/>
      <c r="E148" s="166">
        <f t="shared" ca="1" si="17"/>
        <v>3</v>
      </c>
      <c r="F148" s="177">
        <f ca="1">IFERROR(IF(COUNTA($D$41:$D148)=1,"",OFFSET($F146,-COUNTA($D$41:$D148)+3,0)),"")</f>
        <v>3</v>
      </c>
      <c r="G148" s="166"/>
      <c r="H148" s="166">
        <f t="shared" ca="1" si="18"/>
        <v>13</v>
      </c>
      <c r="I148" s="178">
        <f t="shared" ca="1" si="22"/>
        <v>12494191</v>
      </c>
      <c r="J148" s="178">
        <f t="shared" ca="1" si="23"/>
        <v>9000</v>
      </c>
      <c r="K148" s="168">
        <f t="shared" ca="1" si="24"/>
        <v>7203.3475396686345</v>
      </c>
      <c r="L148" s="171">
        <f ca="1">IFERROR(CHOOSE(E148,'Impact Indicators - Section B '!$K$7,'Impact Indicators - Section B '!$O$7,'Impact Indicators - Section B '!$S$7,'Impact Indicators - Section B '!$W$7),"")</f>
        <v>2025</v>
      </c>
      <c r="M148" s="179">
        <f t="shared" ca="1" si="25"/>
        <v>46082</v>
      </c>
      <c r="N148" s="171" t="str">
        <f t="shared" ca="1" si="26"/>
        <v/>
      </c>
      <c r="O148" s="166" t="str">
        <f ca="1">IFERROR(IF(COUNTA($D$41:$D148)=1,"",OFFSET($C146,-COUNTA($D$41:$D148)+3,0)),"")</f>
        <v>a1H3p000009alavEAA</v>
      </c>
      <c r="P148" s="166">
        <f t="shared" ca="1" si="19"/>
        <v>0</v>
      </c>
      <c r="Q148" s="166"/>
      <c r="R148" s="166"/>
      <c r="S148" s="166"/>
      <c r="T148" s="166" t="b">
        <f t="shared" ca="1" si="27"/>
        <v>1</v>
      </c>
    </row>
    <row r="149" spans="1:20">
      <c r="A149" s="166" t="b">
        <f t="shared" ca="1" si="20"/>
        <v>0</v>
      </c>
      <c r="B149" s="176"/>
      <c r="C149" s="172" t="str">
        <f t="shared" ca="1" si="21"/>
        <v>a1H3p000009albAEAQ</v>
      </c>
      <c r="D149" s="166"/>
      <c r="E149" s="166">
        <f t="shared" ca="1" si="17"/>
        <v>4</v>
      </c>
      <c r="F149" s="177">
        <f ca="1">IFERROR(IF(COUNTA($D$41:$D149)=1,"",OFFSET($F147,-COUNTA($D$41:$D149)+3,0)),"")</f>
        <v>3</v>
      </c>
      <c r="G149" s="166"/>
      <c r="H149" s="166">
        <f t="shared" ca="1" si="18"/>
        <v>13</v>
      </c>
      <c r="I149" s="178" t="str">
        <f t="shared" ca="1" si="22"/>
        <v/>
      </c>
      <c r="J149" s="178" t="str">
        <f t="shared" ca="1" si="23"/>
        <v/>
      </c>
      <c r="K149" s="168" t="str">
        <f t="shared" ca="1" si="24"/>
        <v/>
      </c>
      <c r="L149" s="171" t="str">
        <f ca="1">IFERROR(CHOOSE(E149,'Impact Indicators - Section B '!$K$7,'Impact Indicators - Section B '!$O$7,'Impact Indicators - Section B '!$S$7,'Impact Indicators - Section B '!$W$7),"")</f>
        <v/>
      </c>
      <c r="M149" s="179" t="str">
        <f t="shared" ca="1" si="25"/>
        <v/>
      </c>
      <c r="N149" s="171" t="str">
        <f t="shared" ca="1" si="26"/>
        <v/>
      </c>
      <c r="O149" s="166" t="str">
        <f ca="1">IFERROR(IF(COUNTA($D$41:$D149)=1,"",OFFSET($C147,-COUNTA($D$41:$D149)+3,0)),"")</f>
        <v>a1H3p000009albAEAQ</v>
      </c>
      <c r="P149" s="166">
        <f t="shared" ca="1" si="19"/>
        <v>0</v>
      </c>
      <c r="Q149" s="166"/>
      <c r="R149" s="166"/>
      <c r="S149" s="166"/>
      <c r="T149" s="166" t="b">
        <f t="shared" ca="1" si="27"/>
        <v>0</v>
      </c>
    </row>
    <row r="150" spans="1:20">
      <c r="A150" s="166" t="b">
        <f t="shared" ca="1" si="20"/>
        <v>0</v>
      </c>
      <c r="B150" s="176"/>
      <c r="C150" s="172" t="str">
        <f t="shared" ca="1" si="21"/>
        <v>a1H3p000009albPEAQ</v>
      </c>
      <c r="D150" s="166"/>
      <c r="E150" s="166">
        <f t="shared" ca="1" si="17"/>
        <v>5</v>
      </c>
      <c r="F150" s="177">
        <f ca="1">IFERROR(IF(COUNTA($D$41:$D150)=1,"",OFFSET($F148,-COUNTA($D$41:$D150)+3,0)),"")</f>
        <v>3</v>
      </c>
      <c r="G150" s="166"/>
      <c r="H150" s="166">
        <f t="shared" ca="1" si="18"/>
        <v>13</v>
      </c>
      <c r="I150" s="178" t="str">
        <f t="shared" ca="1" si="22"/>
        <v/>
      </c>
      <c r="J150" s="178" t="str">
        <f t="shared" ca="1" si="23"/>
        <v/>
      </c>
      <c r="K150" s="168" t="str">
        <f t="shared" ca="1" si="24"/>
        <v/>
      </c>
      <c r="L150" s="171" t="str">
        <f ca="1">IFERROR(CHOOSE(E150,'Impact Indicators - Section B '!$K$7,'Impact Indicators - Section B '!$O$7,'Impact Indicators - Section B '!$S$7,'Impact Indicators - Section B '!$W$7),"")</f>
        <v/>
      </c>
      <c r="M150" s="179" t="str">
        <f t="shared" ca="1" si="25"/>
        <v/>
      </c>
      <c r="N150" s="171" t="str">
        <f t="shared" ca="1" si="26"/>
        <v/>
      </c>
      <c r="O150" s="166" t="str">
        <f ca="1">IFERROR(IF(COUNTA($D$41:$D150)=1,"",OFFSET($C148,-COUNTA($D$41:$D150)+3,0)),"")</f>
        <v>a1H3p000009albPEAQ</v>
      </c>
      <c r="P150" s="166">
        <f t="shared" ca="1" si="19"/>
        <v>0</v>
      </c>
      <c r="Q150" s="166"/>
      <c r="R150" s="166"/>
      <c r="S150" s="166"/>
      <c r="T150" s="166" t="b">
        <f t="shared" ca="1" si="27"/>
        <v>0</v>
      </c>
    </row>
    <row r="151" spans="1:20">
      <c r="A151" s="166" t="b">
        <f t="shared" ca="1" si="20"/>
        <v>0</v>
      </c>
      <c r="B151" s="176"/>
      <c r="C151" s="172" t="str">
        <f t="shared" ca="1" si="21"/>
        <v>a1H3p000009albeEAA</v>
      </c>
      <c r="D151" s="166"/>
      <c r="E151" s="166">
        <f t="shared" ca="1" si="17"/>
        <v>6</v>
      </c>
      <c r="F151" s="177">
        <f ca="1">IFERROR(IF(COUNTA($D$41:$D151)=1,"",OFFSET($F149,-COUNTA($D$41:$D151)+3,0)),"")</f>
        <v>3</v>
      </c>
      <c r="G151" s="166"/>
      <c r="H151" s="166">
        <f t="shared" ca="1" si="18"/>
        <v>13</v>
      </c>
      <c r="I151" s="178" t="str">
        <f t="shared" ca="1" si="22"/>
        <v/>
      </c>
      <c r="J151" s="178" t="str">
        <f t="shared" ca="1" si="23"/>
        <v/>
      </c>
      <c r="K151" s="168" t="str">
        <f t="shared" ca="1" si="24"/>
        <v/>
      </c>
      <c r="L151" s="171" t="str">
        <f ca="1">IFERROR(CHOOSE(E151,'Impact Indicators - Section B '!$K$7,'Impact Indicators - Section B '!$O$7,'Impact Indicators - Section B '!$S$7,'Impact Indicators - Section B '!$W$7),"")</f>
        <v/>
      </c>
      <c r="M151" s="179" t="str">
        <f t="shared" ca="1" si="25"/>
        <v/>
      </c>
      <c r="N151" s="171" t="str">
        <f t="shared" ca="1" si="26"/>
        <v/>
      </c>
      <c r="O151" s="166" t="str">
        <f ca="1">IFERROR(IF(COUNTA($D$41:$D151)=1,"",OFFSET($C149,-COUNTA($D$41:$D151)+3,0)),"")</f>
        <v>a1H3p000009albeEAA</v>
      </c>
      <c r="P151" s="166">
        <f t="shared" ca="1" si="19"/>
        <v>0</v>
      </c>
      <c r="Q151" s="166"/>
      <c r="R151" s="166"/>
      <c r="S151" s="166"/>
      <c r="T151" s="166" t="b">
        <f t="shared" ca="1" si="27"/>
        <v>0</v>
      </c>
    </row>
    <row r="152" spans="1:20">
      <c r="A152" s="166" t="b">
        <f t="shared" ca="1" si="20"/>
        <v>1</v>
      </c>
      <c r="B152" s="176"/>
      <c r="C152" s="172" t="str">
        <f t="shared" ca="1" si="21"/>
        <v>a1H3p000009alaSEAQ</v>
      </c>
      <c r="D152" s="166"/>
      <c r="E152" s="166">
        <f t="shared" ca="1" si="17"/>
        <v>1</v>
      </c>
      <c r="F152" s="177">
        <f ca="1">IFERROR(IF(COUNTA($D$41:$D152)=1,"",OFFSET($F150,-COUNTA($D$41:$D152)+3,0)),"")</f>
        <v>4</v>
      </c>
      <c r="G152" s="166"/>
      <c r="H152" s="166">
        <f t="shared" ca="1" si="18"/>
        <v>15</v>
      </c>
      <c r="I152" s="178">
        <f t="shared" ca="1" si="22"/>
        <v>2000</v>
      </c>
      <c r="J152" s="178">
        <f t="shared" ca="1" si="23"/>
        <v>20</v>
      </c>
      <c r="K152" s="168">
        <f t="shared" ca="1" si="24"/>
        <v>1</v>
      </c>
      <c r="L152" s="171">
        <f ca="1">IFERROR(CHOOSE(E152,'Impact Indicators - Section B '!$K$7,'Impact Indicators - Section B '!$O$7,'Impact Indicators - Section B '!$S$7,'Impact Indicators - Section B '!$W$7),"")</f>
        <v>2023</v>
      </c>
      <c r="M152" s="179">
        <f t="shared" ca="1" si="25"/>
        <v>45352</v>
      </c>
      <c r="N152" s="171" t="str">
        <f t="shared" ca="1" si="26"/>
        <v/>
      </c>
      <c r="O152" s="166" t="str">
        <f ca="1">IFERROR(IF(COUNTA($D$41:$D152)=1,"",OFFSET($C150,-COUNTA($D$41:$D152)+3,0)),"")</f>
        <v>a1H3p000009alaSEAQ</v>
      </c>
      <c r="P152" s="166">
        <f t="shared" ca="1" si="19"/>
        <v>0</v>
      </c>
      <c r="Q152" s="166"/>
      <c r="R152" s="166"/>
      <c r="S152" s="166"/>
      <c r="T152" s="166" t="b">
        <f t="shared" ca="1" si="27"/>
        <v>1</v>
      </c>
    </row>
    <row r="153" spans="1:20">
      <c r="A153" s="166" t="b">
        <f t="shared" ca="1" si="20"/>
        <v>0</v>
      </c>
      <c r="B153" s="176"/>
      <c r="C153" s="172" t="str">
        <f t="shared" ca="1" si="21"/>
        <v>a1H3p000009alahEAA</v>
      </c>
      <c r="D153" s="166"/>
      <c r="E153" s="166">
        <f t="shared" ca="1" si="17"/>
        <v>2</v>
      </c>
      <c r="F153" s="177">
        <f ca="1">IFERROR(IF(COUNTA($D$41:$D153)=1,"",OFFSET($F151,-COUNTA($D$41:$D153)+3,0)),"")</f>
        <v>4</v>
      </c>
      <c r="G153" s="166"/>
      <c r="H153" s="166">
        <f t="shared" ca="1" si="18"/>
        <v>15</v>
      </c>
      <c r="I153" s="178" t="str">
        <f t="shared" ca="1" si="22"/>
        <v/>
      </c>
      <c r="J153" s="178" t="str">
        <f t="shared" ca="1" si="23"/>
        <v/>
      </c>
      <c r="K153" s="168" t="str">
        <f t="shared" ca="1" si="24"/>
        <v/>
      </c>
      <c r="L153" s="171">
        <f ca="1">IFERROR(CHOOSE(E153,'Impact Indicators - Section B '!$K$7,'Impact Indicators - Section B '!$O$7,'Impact Indicators - Section B '!$S$7,'Impact Indicators - Section B '!$W$7),"")</f>
        <v>2024</v>
      </c>
      <c r="M153" s="179" t="str">
        <f t="shared" ca="1" si="25"/>
        <v/>
      </c>
      <c r="N153" s="171" t="str">
        <f t="shared" ca="1" si="26"/>
        <v/>
      </c>
      <c r="O153" s="166" t="str">
        <f ca="1">IFERROR(IF(COUNTA($D$41:$D153)=1,"",OFFSET($C151,-COUNTA($D$41:$D153)+3,0)),"")</f>
        <v>a1H3p000009alahEAA</v>
      </c>
      <c r="P153" s="166">
        <f t="shared" ca="1" si="19"/>
        <v>0</v>
      </c>
      <c r="Q153" s="166"/>
      <c r="R153" s="166"/>
      <c r="S153" s="166"/>
      <c r="T153" s="166" t="b">
        <f t="shared" ca="1" si="27"/>
        <v>0</v>
      </c>
    </row>
    <row r="154" spans="1:20">
      <c r="A154" s="166" t="b">
        <f t="shared" ca="1" si="20"/>
        <v>0</v>
      </c>
      <c r="B154" s="176"/>
      <c r="C154" s="172" t="str">
        <f t="shared" ca="1" si="21"/>
        <v>a1H3p000009alawEAA</v>
      </c>
      <c r="D154" s="166"/>
      <c r="E154" s="166">
        <f t="shared" ca="1" si="17"/>
        <v>3</v>
      </c>
      <c r="F154" s="177">
        <f ca="1">IFERROR(IF(COUNTA($D$41:$D154)=1,"",OFFSET($F152,-COUNTA($D$41:$D154)+3,0)),"")</f>
        <v>4</v>
      </c>
      <c r="G154" s="166"/>
      <c r="H154" s="166">
        <f t="shared" ca="1" si="18"/>
        <v>15</v>
      </c>
      <c r="I154" s="178" t="str">
        <f t="shared" ca="1" si="22"/>
        <v/>
      </c>
      <c r="J154" s="178" t="str">
        <f t="shared" ca="1" si="23"/>
        <v/>
      </c>
      <c r="K154" s="168" t="str">
        <f t="shared" ca="1" si="24"/>
        <v/>
      </c>
      <c r="L154" s="171">
        <f ca="1">IFERROR(CHOOSE(E154,'Impact Indicators - Section B '!$K$7,'Impact Indicators - Section B '!$O$7,'Impact Indicators - Section B '!$S$7,'Impact Indicators - Section B '!$W$7),"")</f>
        <v>2025</v>
      </c>
      <c r="M154" s="179" t="str">
        <f t="shared" ca="1" si="25"/>
        <v/>
      </c>
      <c r="N154" s="171" t="str">
        <f t="shared" ca="1" si="26"/>
        <v/>
      </c>
      <c r="O154" s="166" t="str">
        <f ca="1">IFERROR(IF(COUNTA($D$41:$D154)=1,"",OFFSET($C152,-COUNTA($D$41:$D154)+3,0)),"")</f>
        <v>a1H3p000009alawEAA</v>
      </c>
      <c r="P154" s="166">
        <f t="shared" ca="1" si="19"/>
        <v>0</v>
      </c>
      <c r="Q154" s="166"/>
      <c r="R154" s="166"/>
      <c r="S154" s="166"/>
      <c r="T154" s="166" t="b">
        <f t="shared" ca="1" si="27"/>
        <v>0</v>
      </c>
    </row>
    <row r="155" spans="1:20">
      <c r="A155" s="166" t="b">
        <f t="shared" ca="1" si="20"/>
        <v>0</v>
      </c>
      <c r="B155" s="176"/>
      <c r="C155" s="172" t="str">
        <f t="shared" ca="1" si="21"/>
        <v>a1H3p000009albBEAQ</v>
      </c>
      <c r="D155" s="166"/>
      <c r="E155" s="166">
        <f t="shared" ca="1" si="17"/>
        <v>4</v>
      </c>
      <c r="F155" s="177">
        <f ca="1">IFERROR(IF(COUNTA($D$41:$D155)=1,"",OFFSET($F153,-COUNTA($D$41:$D155)+3,0)),"")</f>
        <v>4</v>
      </c>
      <c r="G155" s="166"/>
      <c r="H155" s="166">
        <f t="shared" ca="1" si="18"/>
        <v>15</v>
      </c>
      <c r="I155" s="178" t="str">
        <f t="shared" ca="1" si="22"/>
        <v/>
      </c>
      <c r="J155" s="178" t="str">
        <f t="shared" ca="1" si="23"/>
        <v/>
      </c>
      <c r="K155" s="168" t="str">
        <f t="shared" ca="1" si="24"/>
        <v/>
      </c>
      <c r="L155" s="171" t="str">
        <f ca="1">IFERROR(CHOOSE(E155,'Impact Indicators - Section B '!$K$7,'Impact Indicators - Section B '!$O$7,'Impact Indicators - Section B '!$S$7,'Impact Indicators - Section B '!$W$7),"")</f>
        <v/>
      </c>
      <c r="M155" s="179" t="str">
        <f t="shared" ca="1" si="25"/>
        <v/>
      </c>
      <c r="N155" s="171" t="str">
        <f t="shared" ca="1" si="26"/>
        <v/>
      </c>
      <c r="O155" s="166" t="str">
        <f ca="1">IFERROR(IF(COUNTA($D$41:$D155)=1,"",OFFSET($C153,-COUNTA($D$41:$D155)+3,0)),"")</f>
        <v>a1H3p000009albBEAQ</v>
      </c>
      <c r="P155" s="166">
        <f t="shared" ca="1" si="19"/>
        <v>0</v>
      </c>
      <c r="Q155" s="166"/>
      <c r="R155" s="166"/>
      <c r="S155" s="166"/>
      <c r="T155" s="166" t="b">
        <f t="shared" ca="1" si="27"/>
        <v>0</v>
      </c>
    </row>
    <row r="156" spans="1:20">
      <c r="A156" s="166" t="b">
        <f t="shared" ca="1" si="20"/>
        <v>0</v>
      </c>
      <c r="B156" s="176"/>
      <c r="C156" s="172" t="str">
        <f t="shared" ca="1" si="21"/>
        <v>a1H3p000009albQEAQ</v>
      </c>
      <c r="D156" s="166"/>
      <c r="E156" s="166">
        <f t="shared" ca="1" si="17"/>
        <v>5</v>
      </c>
      <c r="F156" s="177">
        <f ca="1">IFERROR(IF(COUNTA($D$41:$D156)=1,"",OFFSET($F154,-COUNTA($D$41:$D156)+3,0)),"")</f>
        <v>4</v>
      </c>
      <c r="G156" s="166"/>
      <c r="H156" s="166">
        <f t="shared" ca="1" si="18"/>
        <v>15</v>
      </c>
      <c r="I156" s="178" t="str">
        <f t="shared" ca="1" si="22"/>
        <v/>
      </c>
      <c r="J156" s="178" t="str">
        <f t="shared" ca="1" si="23"/>
        <v/>
      </c>
      <c r="K156" s="168" t="str">
        <f t="shared" ca="1" si="24"/>
        <v/>
      </c>
      <c r="L156" s="171" t="str">
        <f ca="1">IFERROR(CHOOSE(E156,'Impact Indicators - Section B '!$K$7,'Impact Indicators - Section B '!$O$7,'Impact Indicators - Section B '!$S$7,'Impact Indicators - Section B '!$W$7),"")</f>
        <v/>
      </c>
      <c r="M156" s="179" t="str">
        <f t="shared" ca="1" si="25"/>
        <v/>
      </c>
      <c r="N156" s="171" t="str">
        <f t="shared" ca="1" si="26"/>
        <v/>
      </c>
      <c r="O156" s="166" t="str">
        <f ca="1">IFERROR(IF(COUNTA($D$41:$D156)=1,"",OFFSET($C154,-COUNTA($D$41:$D156)+3,0)),"")</f>
        <v>a1H3p000009albQEAQ</v>
      </c>
      <c r="P156" s="166">
        <f t="shared" ca="1" si="19"/>
        <v>0</v>
      </c>
      <c r="Q156" s="166"/>
      <c r="R156" s="166"/>
      <c r="S156" s="166"/>
      <c r="T156" s="166" t="b">
        <f t="shared" ca="1" si="27"/>
        <v>0</v>
      </c>
    </row>
    <row r="157" spans="1:20">
      <c r="A157" s="166" t="b">
        <f t="shared" ca="1" si="20"/>
        <v>0</v>
      </c>
      <c r="B157" s="176"/>
      <c r="C157" s="172" t="str">
        <f t="shared" ca="1" si="21"/>
        <v>a1H3p000009albfEAA</v>
      </c>
      <c r="D157" s="166"/>
      <c r="E157" s="166">
        <f t="shared" ca="1" si="17"/>
        <v>6</v>
      </c>
      <c r="F157" s="177">
        <f ca="1">IFERROR(IF(COUNTA($D$41:$D157)=1,"",OFFSET($F155,-COUNTA($D$41:$D157)+3,0)),"")</f>
        <v>4</v>
      </c>
      <c r="G157" s="166"/>
      <c r="H157" s="166">
        <f t="shared" ca="1" si="18"/>
        <v>15</v>
      </c>
      <c r="I157" s="178" t="str">
        <f t="shared" ca="1" si="22"/>
        <v/>
      </c>
      <c r="J157" s="178" t="str">
        <f t="shared" ca="1" si="23"/>
        <v/>
      </c>
      <c r="K157" s="168" t="str">
        <f t="shared" ca="1" si="24"/>
        <v/>
      </c>
      <c r="L157" s="171" t="str">
        <f ca="1">IFERROR(CHOOSE(E157,'Impact Indicators - Section B '!$K$7,'Impact Indicators - Section B '!$O$7,'Impact Indicators - Section B '!$S$7,'Impact Indicators - Section B '!$W$7),"")</f>
        <v/>
      </c>
      <c r="M157" s="179" t="str">
        <f t="shared" ca="1" si="25"/>
        <v/>
      </c>
      <c r="N157" s="171" t="str">
        <f t="shared" ca="1" si="26"/>
        <v/>
      </c>
      <c r="O157" s="166" t="str">
        <f ca="1">IFERROR(IF(COUNTA($D$41:$D157)=1,"",OFFSET($C155,-COUNTA($D$41:$D157)+3,0)),"")</f>
        <v>a1H3p000009albfEAA</v>
      </c>
      <c r="P157" s="166">
        <f t="shared" ca="1" si="19"/>
        <v>0</v>
      </c>
      <c r="Q157" s="166"/>
      <c r="R157" s="166"/>
      <c r="S157" s="166"/>
      <c r="T157" s="166" t="b">
        <f t="shared" ca="1" si="27"/>
        <v>0</v>
      </c>
    </row>
    <row r="158" spans="1:20">
      <c r="A158" s="166" t="b">
        <f t="shared" ca="1" si="20"/>
        <v>0</v>
      </c>
      <c r="B158" s="176"/>
      <c r="C158" s="172" t="str">
        <f t="shared" ca="1" si="21"/>
        <v>a1H3p000009alaTEAQ</v>
      </c>
      <c r="D158" s="166"/>
      <c r="E158" s="166">
        <f t="shared" ca="1" si="17"/>
        <v>1</v>
      </c>
      <c r="F158" s="177">
        <f ca="1">IFERROR(IF(COUNTA($D$41:$D158)=1,"",OFFSET($F156,-COUNTA($D$41:$D158)+3,0)),"")</f>
        <v>5</v>
      </c>
      <c r="G158" s="166"/>
      <c r="H158" s="166">
        <f t="shared" ca="1" si="18"/>
        <v>17</v>
      </c>
      <c r="I158" s="178" t="str">
        <f t="shared" ca="1" si="22"/>
        <v/>
      </c>
      <c r="J158" s="178" t="str">
        <f t="shared" ca="1" si="23"/>
        <v/>
      </c>
      <c r="K158" s="168" t="str">
        <f t="shared" ca="1" si="24"/>
        <v/>
      </c>
      <c r="L158" s="171">
        <f ca="1">IFERROR(CHOOSE(E158,'Impact Indicators - Section B '!$K$7,'Impact Indicators - Section B '!$O$7,'Impact Indicators - Section B '!$S$7,'Impact Indicators - Section B '!$W$7),"")</f>
        <v>2023</v>
      </c>
      <c r="M158" s="179" t="str">
        <f t="shared" ca="1" si="25"/>
        <v/>
      </c>
      <c r="N158" s="171" t="str">
        <f t="shared" ca="1" si="26"/>
        <v/>
      </c>
      <c r="O158" s="166" t="str">
        <f ca="1">IFERROR(IF(COUNTA($D$41:$D158)=1,"",OFFSET($C156,-COUNTA($D$41:$D158)+3,0)),"")</f>
        <v>a1H3p000009alaTEAQ</v>
      </c>
      <c r="P158" s="166">
        <f t="shared" ca="1" si="19"/>
        <v>0</v>
      </c>
      <c r="Q158" s="166"/>
      <c r="R158" s="166"/>
      <c r="S158" s="166"/>
      <c r="T158" s="166" t="b">
        <f t="shared" ca="1" si="27"/>
        <v>0</v>
      </c>
    </row>
    <row r="159" spans="1:20">
      <c r="A159" s="166" t="b">
        <f t="shared" ca="1" si="20"/>
        <v>0</v>
      </c>
      <c r="B159" s="176"/>
      <c r="C159" s="172" t="str">
        <f t="shared" ca="1" si="21"/>
        <v>a1H3p000009alaiEAA</v>
      </c>
      <c r="D159" s="166"/>
      <c r="E159" s="166">
        <f t="shared" ca="1" si="17"/>
        <v>2</v>
      </c>
      <c r="F159" s="177">
        <f ca="1">IFERROR(IF(COUNTA($D$41:$D159)=1,"",OFFSET($F157,-COUNTA($D$41:$D159)+3,0)),"")</f>
        <v>5</v>
      </c>
      <c r="G159" s="166"/>
      <c r="H159" s="166">
        <f t="shared" ca="1" si="18"/>
        <v>17</v>
      </c>
      <c r="I159" s="178" t="str">
        <f t="shared" ca="1" si="22"/>
        <v/>
      </c>
      <c r="J159" s="178" t="str">
        <f t="shared" ca="1" si="23"/>
        <v/>
      </c>
      <c r="K159" s="168" t="str">
        <f t="shared" ca="1" si="24"/>
        <v/>
      </c>
      <c r="L159" s="171">
        <f ca="1">IFERROR(CHOOSE(E159,'Impact Indicators - Section B '!$K$7,'Impact Indicators - Section B '!$O$7,'Impact Indicators - Section B '!$S$7,'Impact Indicators - Section B '!$W$7),"")</f>
        <v>2024</v>
      </c>
      <c r="M159" s="179" t="str">
        <f t="shared" ca="1" si="25"/>
        <v/>
      </c>
      <c r="N159" s="171" t="str">
        <f t="shared" ca="1" si="26"/>
        <v/>
      </c>
      <c r="O159" s="166" t="str">
        <f ca="1">IFERROR(IF(COUNTA($D$41:$D159)=1,"",OFFSET($C157,-COUNTA($D$41:$D159)+3,0)),"")</f>
        <v>a1H3p000009alaiEAA</v>
      </c>
      <c r="P159" s="166">
        <f t="shared" ca="1" si="19"/>
        <v>0</v>
      </c>
      <c r="Q159" s="166"/>
      <c r="R159" s="166"/>
      <c r="S159" s="166"/>
      <c r="T159" s="166" t="b">
        <f t="shared" ca="1" si="27"/>
        <v>0</v>
      </c>
    </row>
    <row r="160" spans="1:20">
      <c r="A160" s="166" t="b">
        <f t="shared" ca="1" si="20"/>
        <v>0</v>
      </c>
      <c r="B160" s="176"/>
      <c r="C160" s="172" t="str">
        <f t="shared" ca="1" si="21"/>
        <v>a1H3p000009alaxEAA</v>
      </c>
      <c r="D160" s="166"/>
      <c r="E160" s="166">
        <f t="shared" ca="1" si="17"/>
        <v>3</v>
      </c>
      <c r="F160" s="177">
        <f ca="1">IFERROR(IF(COUNTA($D$41:$D160)=1,"",OFFSET($F158,-COUNTA($D$41:$D160)+3,0)),"")</f>
        <v>5</v>
      </c>
      <c r="G160" s="166"/>
      <c r="H160" s="166">
        <f t="shared" ca="1" si="18"/>
        <v>17</v>
      </c>
      <c r="I160" s="178" t="str">
        <f t="shared" ca="1" si="22"/>
        <v/>
      </c>
      <c r="J160" s="178" t="str">
        <f t="shared" ca="1" si="23"/>
        <v/>
      </c>
      <c r="K160" s="168" t="str">
        <f t="shared" ca="1" si="24"/>
        <v/>
      </c>
      <c r="L160" s="171">
        <f ca="1">IFERROR(CHOOSE(E160,'Impact Indicators - Section B '!$K$7,'Impact Indicators - Section B '!$O$7,'Impact Indicators - Section B '!$S$7,'Impact Indicators - Section B '!$W$7),"")</f>
        <v>2025</v>
      </c>
      <c r="M160" s="179" t="str">
        <f t="shared" ca="1" si="25"/>
        <v/>
      </c>
      <c r="N160" s="171" t="str">
        <f t="shared" ca="1" si="26"/>
        <v/>
      </c>
      <c r="O160" s="166" t="str">
        <f ca="1">IFERROR(IF(COUNTA($D$41:$D160)=1,"",OFFSET($C158,-COUNTA($D$41:$D160)+3,0)),"")</f>
        <v>a1H3p000009alaxEAA</v>
      </c>
      <c r="P160" s="166">
        <f t="shared" ca="1" si="19"/>
        <v>0</v>
      </c>
      <c r="Q160" s="166"/>
      <c r="R160" s="166"/>
      <c r="S160" s="166"/>
      <c r="T160" s="166" t="b">
        <f t="shared" ca="1" si="27"/>
        <v>0</v>
      </c>
    </row>
    <row r="161" spans="1:20">
      <c r="A161" s="166" t="b">
        <f t="shared" ca="1" si="20"/>
        <v>0</v>
      </c>
      <c r="B161" s="176"/>
      <c r="C161" s="172" t="str">
        <f t="shared" ca="1" si="21"/>
        <v>a1H3p000009albCEAQ</v>
      </c>
      <c r="D161" s="166"/>
      <c r="E161" s="166">
        <f t="shared" ca="1" si="17"/>
        <v>4</v>
      </c>
      <c r="F161" s="177">
        <f ca="1">IFERROR(IF(COUNTA($D$41:$D161)=1,"",OFFSET($F159,-COUNTA($D$41:$D161)+3,0)),"")</f>
        <v>5</v>
      </c>
      <c r="G161" s="166"/>
      <c r="H161" s="166">
        <f t="shared" ca="1" si="18"/>
        <v>17</v>
      </c>
      <c r="I161" s="178" t="str">
        <f t="shared" ca="1" si="22"/>
        <v/>
      </c>
      <c r="J161" s="178" t="str">
        <f t="shared" ca="1" si="23"/>
        <v/>
      </c>
      <c r="K161" s="168" t="str">
        <f t="shared" ca="1" si="24"/>
        <v/>
      </c>
      <c r="L161" s="171" t="str">
        <f ca="1">IFERROR(CHOOSE(E161,'Impact Indicators - Section B '!$K$7,'Impact Indicators - Section B '!$O$7,'Impact Indicators - Section B '!$S$7,'Impact Indicators - Section B '!$W$7),"")</f>
        <v/>
      </c>
      <c r="M161" s="179" t="str">
        <f t="shared" ca="1" si="25"/>
        <v/>
      </c>
      <c r="N161" s="171" t="str">
        <f t="shared" ca="1" si="26"/>
        <v/>
      </c>
      <c r="O161" s="166" t="str">
        <f ca="1">IFERROR(IF(COUNTA($D$41:$D161)=1,"",OFFSET($C159,-COUNTA($D$41:$D161)+3,0)),"")</f>
        <v>a1H3p000009albCEAQ</v>
      </c>
      <c r="P161" s="166">
        <f t="shared" ca="1" si="19"/>
        <v>0</v>
      </c>
      <c r="Q161" s="166"/>
      <c r="R161" s="166"/>
      <c r="S161" s="166"/>
      <c r="T161" s="166" t="b">
        <f t="shared" ca="1" si="27"/>
        <v>0</v>
      </c>
    </row>
    <row r="162" spans="1:20">
      <c r="A162" s="166" t="b">
        <f t="shared" ca="1" si="20"/>
        <v>0</v>
      </c>
      <c r="B162" s="176"/>
      <c r="C162" s="172" t="str">
        <f t="shared" ca="1" si="21"/>
        <v>a1H3p000009albREAQ</v>
      </c>
      <c r="D162" s="166"/>
      <c r="E162" s="166">
        <f t="shared" ca="1" si="17"/>
        <v>5</v>
      </c>
      <c r="F162" s="177">
        <f ca="1">IFERROR(IF(COUNTA($D$41:$D162)=1,"",OFFSET($F160,-COUNTA($D$41:$D162)+3,0)),"")</f>
        <v>5</v>
      </c>
      <c r="G162" s="166"/>
      <c r="H162" s="166">
        <f t="shared" ca="1" si="18"/>
        <v>17</v>
      </c>
      <c r="I162" s="178" t="str">
        <f t="shared" ca="1" si="22"/>
        <v/>
      </c>
      <c r="J162" s="178" t="str">
        <f t="shared" ca="1" si="23"/>
        <v/>
      </c>
      <c r="K162" s="168" t="str">
        <f t="shared" ca="1" si="24"/>
        <v/>
      </c>
      <c r="L162" s="171" t="str">
        <f ca="1">IFERROR(CHOOSE(E162,'Impact Indicators - Section B '!$K$7,'Impact Indicators - Section B '!$O$7,'Impact Indicators - Section B '!$S$7,'Impact Indicators - Section B '!$W$7),"")</f>
        <v/>
      </c>
      <c r="M162" s="179" t="str">
        <f t="shared" ca="1" si="25"/>
        <v/>
      </c>
      <c r="N162" s="171" t="str">
        <f t="shared" ca="1" si="26"/>
        <v/>
      </c>
      <c r="O162" s="166" t="str">
        <f ca="1">IFERROR(IF(COUNTA($D$41:$D162)=1,"",OFFSET($C160,-COUNTA($D$41:$D162)+3,0)),"")</f>
        <v>a1H3p000009albREAQ</v>
      </c>
      <c r="P162" s="166">
        <f t="shared" ca="1" si="19"/>
        <v>0</v>
      </c>
      <c r="Q162" s="166"/>
      <c r="R162" s="166"/>
      <c r="S162" s="166"/>
      <c r="T162" s="166" t="b">
        <f t="shared" ca="1" si="27"/>
        <v>0</v>
      </c>
    </row>
    <row r="163" spans="1:20">
      <c r="A163" s="166" t="b">
        <f t="shared" ca="1" si="20"/>
        <v>0</v>
      </c>
      <c r="B163" s="176"/>
      <c r="C163" s="172" t="str">
        <f t="shared" ca="1" si="21"/>
        <v>a1H3p000009albgEAA</v>
      </c>
      <c r="D163" s="166"/>
      <c r="E163" s="166">
        <f t="shared" ca="1" si="17"/>
        <v>6</v>
      </c>
      <c r="F163" s="177">
        <f ca="1">IFERROR(IF(COUNTA($D$41:$D163)=1,"",OFFSET($F161,-COUNTA($D$41:$D163)+3,0)),"")</f>
        <v>5</v>
      </c>
      <c r="G163" s="166"/>
      <c r="H163" s="166">
        <f t="shared" ca="1" si="18"/>
        <v>17</v>
      </c>
      <c r="I163" s="178" t="str">
        <f t="shared" ca="1" si="22"/>
        <v/>
      </c>
      <c r="J163" s="178" t="str">
        <f t="shared" ca="1" si="23"/>
        <v/>
      </c>
      <c r="K163" s="168" t="str">
        <f t="shared" ca="1" si="24"/>
        <v/>
      </c>
      <c r="L163" s="171" t="str">
        <f ca="1">IFERROR(CHOOSE(E163,'Impact Indicators - Section B '!$K$7,'Impact Indicators - Section B '!$O$7,'Impact Indicators - Section B '!$S$7,'Impact Indicators - Section B '!$W$7),"")</f>
        <v/>
      </c>
      <c r="M163" s="179" t="str">
        <f t="shared" ca="1" si="25"/>
        <v/>
      </c>
      <c r="N163" s="171" t="str">
        <f t="shared" ca="1" si="26"/>
        <v/>
      </c>
      <c r="O163" s="166" t="str">
        <f ca="1">IFERROR(IF(COUNTA($D$41:$D163)=1,"",OFFSET($C161,-COUNTA($D$41:$D163)+3,0)),"")</f>
        <v>a1H3p000009albgEAA</v>
      </c>
      <c r="P163" s="166">
        <f t="shared" ca="1" si="19"/>
        <v>0</v>
      </c>
      <c r="Q163" s="166"/>
      <c r="R163" s="166"/>
      <c r="S163" s="166"/>
      <c r="T163" s="166" t="b">
        <f t="shared" ca="1" si="27"/>
        <v>0</v>
      </c>
    </row>
    <row r="164" spans="1:20">
      <c r="A164" s="166" t="b">
        <f t="shared" ca="1" si="20"/>
        <v>0</v>
      </c>
      <c r="B164" s="176"/>
      <c r="C164" s="172" t="str">
        <f t="shared" ca="1" si="21"/>
        <v>a1H3p000009alaUEAQ</v>
      </c>
      <c r="D164" s="166"/>
      <c r="E164" s="166">
        <f t="shared" ca="1" si="17"/>
        <v>1</v>
      </c>
      <c r="F164" s="177">
        <f ca="1">IFERROR(IF(COUNTA($D$41:$D164)=1,"",OFFSET($F162,-COUNTA($D$41:$D164)+3,0)),"")</f>
        <v>6</v>
      </c>
      <c r="G164" s="166"/>
      <c r="H164" s="166">
        <f t="shared" ca="1" si="18"/>
        <v>19</v>
      </c>
      <c r="I164" s="178" t="str">
        <f t="shared" ca="1" si="22"/>
        <v/>
      </c>
      <c r="J164" s="178" t="str">
        <f t="shared" ca="1" si="23"/>
        <v/>
      </c>
      <c r="K164" s="168" t="str">
        <f t="shared" ca="1" si="24"/>
        <v/>
      </c>
      <c r="L164" s="171">
        <f ca="1">IFERROR(CHOOSE(E164,'Impact Indicators - Section B '!$K$7,'Impact Indicators - Section B '!$O$7,'Impact Indicators - Section B '!$S$7,'Impact Indicators - Section B '!$W$7),"")</f>
        <v>2023</v>
      </c>
      <c r="M164" s="179" t="str">
        <f t="shared" ca="1" si="25"/>
        <v/>
      </c>
      <c r="N164" s="171" t="str">
        <f t="shared" ca="1" si="26"/>
        <v/>
      </c>
      <c r="O164" s="166" t="str">
        <f ca="1">IFERROR(IF(COUNTA($D$41:$D164)=1,"",OFFSET($C162,-COUNTA($D$41:$D164)+3,0)),"")</f>
        <v>a1H3p000009alaUEAQ</v>
      </c>
      <c r="P164" s="166">
        <f t="shared" ca="1" si="19"/>
        <v>0</v>
      </c>
      <c r="Q164" s="166"/>
      <c r="R164" s="166"/>
      <c r="S164" s="166"/>
      <c r="T164" s="166" t="b">
        <f t="shared" ca="1" si="27"/>
        <v>0</v>
      </c>
    </row>
    <row r="165" spans="1:20">
      <c r="A165" s="166" t="b">
        <f t="shared" ca="1" si="20"/>
        <v>0</v>
      </c>
      <c r="B165" s="176"/>
      <c r="C165" s="172" t="str">
        <f t="shared" ca="1" si="21"/>
        <v>a1H3p000009alajEAA</v>
      </c>
      <c r="D165" s="166"/>
      <c r="E165" s="166">
        <f t="shared" ca="1" si="17"/>
        <v>2</v>
      </c>
      <c r="F165" s="177">
        <f ca="1">IFERROR(IF(COUNTA($D$41:$D165)=1,"",OFFSET($F163,-COUNTA($D$41:$D165)+3,0)),"")</f>
        <v>6</v>
      </c>
      <c r="G165" s="166"/>
      <c r="H165" s="166">
        <f t="shared" ca="1" si="18"/>
        <v>19</v>
      </c>
      <c r="I165" s="178" t="str">
        <f t="shared" ca="1" si="22"/>
        <v/>
      </c>
      <c r="J165" s="178" t="str">
        <f t="shared" ca="1" si="23"/>
        <v/>
      </c>
      <c r="K165" s="168" t="str">
        <f t="shared" ca="1" si="24"/>
        <v/>
      </c>
      <c r="L165" s="171">
        <f ca="1">IFERROR(CHOOSE(E165,'Impact Indicators - Section B '!$K$7,'Impact Indicators - Section B '!$O$7,'Impact Indicators - Section B '!$S$7,'Impact Indicators - Section B '!$W$7),"")</f>
        <v>2024</v>
      </c>
      <c r="M165" s="179" t="str">
        <f t="shared" ca="1" si="25"/>
        <v/>
      </c>
      <c r="N165" s="171" t="str">
        <f t="shared" ca="1" si="26"/>
        <v/>
      </c>
      <c r="O165" s="166" t="str">
        <f ca="1">IFERROR(IF(COUNTA($D$41:$D165)=1,"",OFFSET($C163,-COUNTA($D$41:$D165)+3,0)),"")</f>
        <v>a1H3p000009alajEAA</v>
      </c>
      <c r="P165" s="166">
        <f t="shared" ca="1" si="19"/>
        <v>0</v>
      </c>
      <c r="Q165" s="166"/>
      <c r="R165" s="166"/>
      <c r="S165" s="166"/>
      <c r="T165" s="166" t="b">
        <f t="shared" ca="1" si="27"/>
        <v>0</v>
      </c>
    </row>
    <row r="166" spans="1:20">
      <c r="A166" s="166" t="b">
        <f t="shared" ca="1" si="20"/>
        <v>0</v>
      </c>
      <c r="B166" s="176"/>
      <c r="C166" s="172" t="str">
        <f t="shared" ca="1" si="21"/>
        <v>a1H3p000009alayEAA</v>
      </c>
      <c r="D166" s="166"/>
      <c r="E166" s="166">
        <f t="shared" ca="1" si="17"/>
        <v>3</v>
      </c>
      <c r="F166" s="177">
        <f ca="1">IFERROR(IF(COUNTA($D$41:$D166)=1,"",OFFSET($F164,-COUNTA($D$41:$D166)+3,0)),"")</f>
        <v>6</v>
      </c>
      <c r="G166" s="166"/>
      <c r="H166" s="166">
        <f t="shared" ca="1" si="18"/>
        <v>19</v>
      </c>
      <c r="I166" s="178" t="str">
        <f t="shared" ca="1" si="22"/>
        <v/>
      </c>
      <c r="J166" s="178" t="str">
        <f t="shared" ca="1" si="23"/>
        <v/>
      </c>
      <c r="K166" s="168" t="str">
        <f t="shared" ca="1" si="24"/>
        <v/>
      </c>
      <c r="L166" s="171">
        <f ca="1">IFERROR(CHOOSE(E166,'Impact Indicators - Section B '!$K$7,'Impact Indicators - Section B '!$O$7,'Impact Indicators - Section B '!$S$7,'Impact Indicators - Section B '!$W$7),"")</f>
        <v>2025</v>
      </c>
      <c r="M166" s="179" t="str">
        <f t="shared" ca="1" si="25"/>
        <v/>
      </c>
      <c r="N166" s="171" t="str">
        <f t="shared" ca="1" si="26"/>
        <v/>
      </c>
      <c r="O166" s="166" t="str">
        <f ca="1">IFERROR(IF(COUNTA($D$41:$D166)=1,"",OFFSET($C164,-COUNTA($D$41:$D166)+3,0)),"")</f>
        <v>a1H3p000009alayEAA</v>
      </c>
      <c r="P166" s="166">
        <f t="shared" ca="1" si="19"/>
        <v>0</v>
      </c>
      <c r="Q166" s="166"/>
      <c r="R166" s="166"/>
      <c r="S166" s="166"/>
      <c r="T166" s="166" t="b">
        <f t="shared" ca="1" si="27"/>
        <v>0</v>
      </c>
    </row>
    <row r="167" spans="1:20">
      <c r="A167" s="166" t="b">
        <f t="shared" ca="1" si="20"/>
        <v>0</v>
      </c>
      <c r="B167" s="176"/>
      <c r="C167" s="172" t="str">
        <f t="shared" ca="1" si="21"/>
        <v>a1H3p000009albDEAQ</v>
      </c>
      <c r="D167" s="166"/>
      <c r="E167" s="166">
        <f t="shared" ca="1" si="17"/>
        <v>4</v>
      </c>
      <c r="F167" s="177">
        <f ca="1">IFERROR(IF(COUNTA($D$41:$D167)=1,"",OFFSET($F165,-COUNTA($D$41:$D167)+3,0)),"")</f>
        <v>6</v>
      </c>
      <c r="G167" s="166"/>
      <c r="H167" s="166">
        <f t="shared" ca="1" si="18"/>
        <v>19</v>
      </c>
      <c r="I167" s="178" t="str">
        <f t="shared" ca="1" si="22"/>
        <v/>
      </c>
      <c r="J167" s="178" t="str">
        <f t="shared" ca="1" si="23"/>
        <v/>
      </c>
      <c r="K167" s="168" t="str">
        <f t="shared" ca="1" si="24"/>
        <v/>
      </c>
      <c r="L167" s="171" t="str">
        <f ca="1">IFERROR(CHOOSE(E167,'Impact Indicators - Section B '!$K$7,'Impact Indicators - Section B '!$O$7,'Impact Indicators - Section B '!$S$7,'Impact Indicators - Section B '!$W$7),"")</f>
        <v/>
      </c>
      <c r="M167" s="179" t="str">
        <f t="shared" ca="1" si="25"/>
        <v/>
      </c>
      <c r="N167" s="171" t="str">
        <f t="shared" ca="1" si="26"/>
        <v/>
      </c>
      <c r="O167" s="166" t="str">
        <f ca="1">IFERROR(IF(COUNTA($D$41:$D167)=1,"",OFFSET($C165,-COUNTA($D$41:$D167)+3,0)),"")</f>
        <v>a1H3p000009albDEAQ</v>
      </c>
      <c r="P167" s="166">
        <f t="shared" ca="1" si="19"/>
        <v>0</v>
      </c>
      <c r="Q167" s="166"/>
      <c r="R167" s="166"/>
      <c r="S167" s="166"/>
      <c r="T167" s="166" t="b">
        <f t="shared" ca="1" si="27"/>
        <v>0</v>
      </c>
    </row>
    <row r="168" spans="1:20">
      <c r="A168" s="166" t="b">
        <f t="shared" ca="1" si="20"/>
        <v>0</v>
      </c>
      <c r="B168" s="176"/>
      <c r="C168" s="172" t="str">
        <f t="shared" ca="1" si="21"/>
        <v>a1H3p000009albSEAQ</v>
      </c>
      <c r="D168" s="166"/>
      <c r="E168" s="166">
        <f t="shared" ca="1" si="17"/>
        <v>5</v>
      </c>
      <c r="F168" s="177">
        <f ca="1">IFERROR(IF(COUNTA($D$41:$D168)=1,"",OFFSET($F166,-COUNTA($D$41:$D168)+3,0)),"")</f>
        <v>6</v>
      </c>
      <c r="G168" s="166"/>
      <c r="H168" s="166">
        <f t="shared" ca="1" si="18"/>
        <v>19</v>
      </c>
      <c r="I168" s="178" t="str">
        <f t="shared" ca="1" si="22"/>
        <v/>
      </c>
      <c r="J168" s="178" t="str">
        <f t="shared" ca="1" si="23"/>
        <v/>
      </c>
      <c r="K168" s="168" t="str">
        <f t="shared" ca="1" si="24"/>
        <v/>
      </c>
      <c r="L168" s="171" t="str">
        <f ca="1">IFERROR(CHOOSE(E168,'Impact Indicators - Section B '!$K$7,'Impact Indicators - Section B '!$O$7,'Impact Indicators - Section B '!$S$7,'Impact Indicators - Section B '!$W$7),"")</f>
        <v/>
      </c>
      <c r="M168" s="179" t="str">
        <f t="shared" ca="1" si="25"/>
        <v/>
      </c>
      <c r="N168" s="171" t="str">
        <f t="shared" ca="1" si="26"/>
        <v/>
      </c>
      <c r="O168" s="166" t="str">
        <f ca="1">IFERROR(IF(COUNTA($D$41:$D168)=1,"",OFFSET($C166,-COUNTA($D$41:$D168)+3,0)),"")</f>
        <v>a1H3p000009albSEAQ</v>
      </c>
      <c r="P168" s="166">
        <f t="shared" ca="1" si="19"/>
        <v>0</v>
      </c>
      <c r="Q168" s="166"/>
      <c r="R168" s="166"/>
      <c r="S168" s="166"/>
      <c r="T168" s="166" t="b">
        <f t="shared" ca="1" si="27"/>
        <v>0</v>
      </c>
    </row>
    <row r="169" spans="1:20">
      <c r="A169" s="166" t="b">
        <f t="shared" ca="1" si="20"/>
        <v>0</v>
      </c>
      <c r="B169" s="176"/>
      <c r="C169" s="172" t="str">
        <f t="shared" ca="1" si="21"/>
        <v>a1H3p000009albhEAA</v>
      </c>
      <c r="D169" s="166"/>
      <c r="E169" s="166">
        <f t="shared" ca="1" si="17"/>
        <v>6</v>
      </c>
      <c r="F169" s="177">
        <f ca="1">IFERROR(IF(COUNTA($D$41:$D169)=1,"",OFFSET($F167,-COUNTA($D$41:$D169)+3,0)),"")</f>
        <v>6</v>
      </c>
      <c r="G169" s="166"/>
      <c r="H169" s="166">
        <f t="shared" ca="1" si="18"/>
        <v>19</v>
      </c>
      <c r="I169" s="178" t="str">
        <f t="shared" ca="1" si="22"/>
        <v/>
      </c>
      <c r="J169" s="178" t="str">
        <f t="shared" ca="1" si="23"/>
        <v/>
      </c>
      <c r="K169" s="168" t="str">
        <f t="shared" ca="1" si="24"/>
        <v/>
      </c>
      <c r="L169" s="171" t="str">
        <f ca="1">IFERROR(CHOOSE(E169,'Impact Indicators - Section B '!$K$7,'Impact Indicators - Section B '!$O$7,'Impact Indicators - Section B '!$S$7,'Impact Indicators - Section B '!$W$7),"")</f>
        <v/>
      </c>
      <c r="M169" s="179" t="str">
        <f t="shared" ca="1" si="25"/>
        <v/>
      </c>
      <c r="N169" s="171" t="str">
        <f t="shared" ca="1" si="26"/>
        <v/>
      </c>
      <c r="O169" s="166" t="str">
        <f ca="1">IFERROR(IF(COUNTA($D$41:$D169)=1,"",OFFSET($C167,-COUNTA($D$41:$D169)+3,0)),"")</f>
        <v>a1H3p000009albhEAA</v>
      </c>
      <c r="P169" s="166">
        <f t="shared" ca="1" si="19"/>
        <v>0</v>
      </c>
      <c r="Q169" s="166"/>
      <c r="R169" s="166"/>
      <c r="S169" s="166"/>
      <c r="T169" s="166" t="b">
        <f t="shared" ca="1" si="27"/>
        <v>0</v>
      </c>
    </row>
    <row r="170" spans="1:20">
      <c r="A170" s="166" t="b">
        <f t="shared" ca="1" si="20"/>
        <v>0</v>
      </c>
      <c r="B170" s="176"/>
      <c r="C170" s="172" t="str">
        <f t="shared" ca="1" si="21"/>
        <v>a1H3p000009alaVEAQ</v>
      </c>
      <c r="D170" s="166"/>
      <c r="E170" s="166">
        <f t="shared" ca="1" si="17"/>
        <v>1</v>
      </c>
      <c r="F170" s="177">
        <f ca="1">IFERROR(IF(COUNTA($D$41:$D170)=1,"",OFFSET($F168,-COUNTA($D$41:$D170)+3,0)),"")</f>
        <v>7</v>
      </c>
      <c r="G170" s="166"/>
      <c r="H170" s="166">
        <f t="shared" ca="1" si="18"/>
        <v>21</v>
      </c>
      <c r="I170" s="178" t="str">
        <f t="shared" ca="1" si="22"/>
        <v/>
      </c>
      <c r="J170" s="178" t="str">
        <f t="shared" ca="1" si="23"/>
        <v/>
      </c>
      <c r="K170" s="168" t="str">
        <f t="shared" ca="1" si="24"/>
        <v/>
      </c>
      <c r="L170" s="171">
        <f ca="1">IFERROR(CHOOSE(E170,'Impact Indicators - Section B '!$K$7,'Impact Indicators - Section B '!$O$7,'Impact Indicators - Section B '!$S$7,'Impact Indicators - Section B '!$W$7),"")</f>
        <v>2023</v>
      </c>
      <c r="M170" s="179" t="str">
        <f t="shared" ca="1" si="25"/>
        <v/>
      </c>
      <c r="N170" s="171" t="str">
        <f t="shared" ca="1" si="26"/>
        <v/>
      </c>
      <c r="O170" s="166" t="str">
        <f ca="1">IFERROR(IF(COUNTA($D$41:$D170)=1,"",OFFSET($C168,-COUNTA($D$41:$D170)+3,0)),"")</f>
        <v>a1H3p000009alaVEAQ</v>
      </c>
      <c r="P170" s="166">
        <f t="shared" ca="1" si="19"/>
        <v>0</v>
      </c>
      <c r="Q170" s="166"/>
      <c r="R170" s="166"/>
      <c r="S170" s="166"/>
      <c r="T170" s="166" t="b">
        <f t="shared" ca="1" si="27"/>
        <v>0</v>
      </c>
    </row>
    <row r="171" spans="1:20">
      <c r="A171" s="166" t="b">
        <f t="shared" ca="1" si="20"/>
        <v>0</v>
      </c>
      <c r="B171" s="176"/>
      <c r="C171" s="172" t="str">
        <f t="shared" ca="1" si="21"/>
        <v>a1H3p000009alakEAA</v>
      </c>
      <c r="D171" s="166"/>
      <c r="E171" s="166">
        <f t="shared" ca="1" si="17"/>
        <v>2</v>
      </c>
      <c r="F171" s="177">
        <f ca="1">IFERROR(IF(COUNTA($D$41:$D171)=1,"",OFFSET($F169,-COUNTA($D$41:$D171)+3,0)),"")</f>
        <v>7</v>
      </c>
      <c r="G171" s="166"/>
      <c r="H171" s="166">
        <f t="shared" ca="1" si="18"/>
        <v>21</v>
      </c>
      <c r="I171" s="178" t="str">
        <f t="shared" ca="1" si="22"/>
        <v/>
      </c>
      <c r="J171" s="178" t="str">
        <f t="shared" ca="1" si="23"/>
        <v/>
      </c>
      <c r="K171" s="168" t="str">
        <f t="shared" ca="1" si="24"/>
        <v/>
      </c>
      <c r="L171" s="171">
        <f ca="1">IFERROR(CHOOSE(E171,'Impact Indicators - Section B '!$K$7,'Impact Indicators - Section B '!$O$7,'Impact Indicators - Section B '!$S$7,'Impact Indicators - Section B '!$W$7),"")</f>
        <v>2024</v>
      </c>
      <c r="M171" s="179" t="str">
        <f t="shared" ca="1" si="25"/>
        <v/>
      </c>
      <c r="N171" s="171" t="str">
        <f t="shared" ca="1" si="26"/>
        <v/>
      </c>
      <c r="O171" s="166" t="str">
        <f ca="1">IFERROR(IF(COUNTA($D$41:$D171)=1,"",OFFSET($C169,-COUNTA($D$41:$D171)+3,0)),"")</f>
        <v>a1H3p000009alakEAA</v>
      </c>
      <c r="P171" s="166">
        <f t="shared" ca="1" si="19"/>
        <v>0</v>
      </c>
      <c r="Q171" s="166"/>
      <c r="R171" s="166"/>
      <c r="S171" s="166"/>
      <c r="T171" s="166" t="b">
        <f t="shared" ca="1" si="27"/>
        <v>0</v>
      </c>
    </row>
    <row r="172" spans="1:20">
      <c r="A172" s="166" t="b">
        <f t="shared" ca="1" si="20"/>
        <v>0</v>
      </c>
      <c r="B172" s="176"/>
      <c r="C172" s="172" t="str">
        <f t="shared" ca="1" si="21"/>
        <v>a1H3p000009alazEAA</v>
      </c>
      <c r="D172" s="166"/>
      <c r="E172" s="166">
        <f t="shared" ref="E172:E223" ca="1" si="28">COUNTIF(F163:F172,F172)</f>
        <v>3</v>
      </c>
      <c r="F172" s="177">
        <f ca="1">IFERROR(IF(COUNTA($D$41:$D172)=1,"",OFFSET($F170,-COUNTA($D$41:$D172)+3,0)),"")</f>
        <v>7</v>
      </c>
      <c r="G172" s="166"/>
      <c r="H172" s="166">
        <f t="shared" ref="H172:H223" ca="1" si="29">IF(F172=1,9,IF(E171=MAX(E170:E172),H170+2,H171))</f>
        <v>21</v>
      </c>
      <c r="I172" s="178" t="str">
        <f t="shared" ca="1" si="22"/>
        <v/>
      </c>
      <c r="J172" s="178" t="str">
        <f t="shared" ca="1" si="23"/>
        <v/>
      </c>
      <c r="K172" s="168" t="str">
        <f t="shared" ca="1" si="24"/>
        <v/>
      </c>
      <c r="L172" s="171">
        <f ca="1">IFERROR(CHOOSE(E172,'Impact Indicators - Section B '!$K$7,'Impact Indicators - Section B '!$O$7,'Impact Indicators - Section B '!$S$7,'Impact Indicators - Section B '!$W$7),"")</f>
        <v>2025</v>
      </c>
      <c r="M172" s="179" t="str">
        <f t="shared" ca="1" si="25"/>
        <v/>
      </c>
      <c r="N172" s="171" t="str">
        <f t="shared" ca="1" si="26"/>
        <v/>
      </c>
      <c r="O172" s="166" t="str">
        <f ca="1">IFERROR(IF(COUNTA($D$41:$D172)=1,"",OFFSET($C170,-COUNTA($D$41:$D172)+3,0)),"")</f>
        <v>a1H3p000009alazEAA</v>
      </c>
      <c r="P172" s="166">
        <f t="shared" ref="P172:P223" ca="1" si="30">IF(NOT(_xlfn.ISFORMULA(I172)),P171+1,0)</f>
        <v>0</v>
      </c>
      <c r="Q172" s="166"/>
      <c r="R172" s="166"/>
      <c r="S172" s="166"/>
      <c r="T172" s="166" t="b">
        <f t="shared" ca="1" si="27"/>
        <v>0</v>
      </c>
    </row>
    <row r="173" spans="1:20">
      <c r="A173" s="166" t="b">
        <f t="shared" ca="1" si="20"/>
        <v>0</v>
      </c>
      <c r="B173" s="176"/>
      <c r="C173" s="172" t="str">
        <f t="shared" ca="1" si="21"/>
        <v>a1H3p000009albEEAQ</v>
      </c>
      <c r="D173" s="166"/>
      <c r="E173" s="166">
        <f t="shared" ca="1" si="28"/>
        <v>4</v>
      </c>
      <c r="F173" s="177">
        <f ca="1">IFERROR(IF(COUNTA($D$41:$D173)=1,"",OFFSET($F171,-COUNTA($D$41:$D173)+3,0)),"")</f>
        <v>7</v>
      </c>
      <c r="G173" s="166"/>
      <c r="H173" s="166">
        <f t="shared" ca="1" si="29"/>
        <v>21</v>
      </c>
      <c r="I173" s="178" t="str">
        <f t="shared" ca="1" si="22"/>
        <v/>
      </c>
      <c r="J173" s="178" t="str">
        <f t="shared" ca="1" si="23"/>
        <v/>
      </c>
      <c r="K173" s="168" t="str">
        <f t="shared" ca="1" si="24"/>
        <v/>
      </c>
      <c r="L173" s="171" t="str">
        <f ca="1">IFERROR(CHOOSE(E173,'Impact Indicators - Section B '!$K$7,'Impact Indicators - Section B '!$O$7,'Impact Indicators - Section B '!$S$7,'Impact Indicators - Section B '!$W$7),"")</f>
        <v/>
      </c>
      <c r="M173" s="179" t="str">
        <f t="shared" ca="1" si="25"/>
        <v/>
      </c>
      <c r="N173" s="171" t="str">
        <f t="shared" ca="1" si="26"/>
        <v/>
      </c>
      <c r="O173" s="166" t="str">
        <f ca="1">IFERROR(IF(COUNTA($D$41:$D173)=1,"",OFFSET($C171,-COUNTA($D$41:$D173)+3,0)),"")</f>
        <v>a1H3p000009albEEAQ</v>
      </c>
      <c r="P173" s="166">
        <f t="shared" ca="1" si="30"/>
        <v>0</v>
      </c>
      <c r="Q173" s="166"/>
      <c r="R173" s="166"/>
      <c r="S173" s="166"/>
      <c r="T173" s="166" t="b">
        <f t="shared" ca="1" si="27"/>
        <v>0</v>
      </c>
    </row>
    <row r="174" spans="1:20">
      <c r="A174" s="166" t="b">
        <f t="shared" ca="1" si="20"/>
        <v>0</v>
      </c>
      <c r="B174" s="176"/>
      <c r="C174" s="172" t="str">
        <f t="shared" ca="1" si="21"/>
        <v>a1H3p000009albTEAQ</v>
      </c>
      <c r="D174" s="166"/>
      <c r="E174" s="166">
        <f t="shared" ca="1" si="28"/>
        <v>5</v>
      </c>
      <c r="F174" s="177">
        <f ca="1">IFERROR(IF(COUNTA($D$41:$D174)=1,"",OFFSET($F172,-COUNTA($D$41:$D174)+3,0)),"")</f>
        <v>7</v>
      </c>
      <c r="G174" s="166"/>
      <c r="H174" s="166">
        <f t="shared" ca="1" si="29"/>
        <v>21</v>
      </c>
      <c r="I174" s="178" t="str">
        <f t="shared" ca="1" si="22"/>
        <v/>
      </c>
      <c r="J174" s="178" t="str">
        <f t="shared" ca="1" si="23"/>
        <v/>
      </c>
      <c r="K174" s="168" t="str">
        <f t="shared" ca="1" si="24"/>
        <v/>
      </c>
      <c r="L174" s="171" t="str">
        <f ca="1">IFERROR(CHOOSE(E174,'Impact Indicators - Section B '!$K$7,'Impact Indicators - Section B '!$O$7,'Impact Indicators - Section B '!$S$7,'Impact Indicators - Section B '!$W$7),"")</f>
        <v/>
      </c>
      <c r="M174" s="179" t="str">
        <f t="shared" ca="1" si="25"/>
        <v/>
      </c>
      <c r="N174" s="171" t="str">
        <f t="shared" ca="1" si="26"/>
        <v/>
      </c>
      <c r="O174" s="166" t="str">
        <f ca="1">IFERROR(IF(COUNTA($D$41:$D174)=1,"",OFFSET($C172,-COUNTA($D$41:$D174)+3,0)),"")</f>
        <v>a1H3p000009albTEAQ</v>
      </c>
      <c r="P174" s="166">
        <f t="shared" ca="1" si="30"/>
        <v>0</v>
      </c>
      <c r="Q174" s="166"/>
      <c r="R174" s="166"/>
      <c r="S174" s="166"/>
      <c r="T174" s="166" t="b">
        <f t="shared" ca="1" si="27"/>
        <v>0</v>
      </c>
    </row>
    <row r="175" spans="1:20">
      <c r="A175" s="166" t="b">
        <f t="shared" ca="1" si="20"/>
        <v>0</v>
      </c>
      <c r="B175" s="176"/>
      <c r="C175" s="172" t="str">
        <f t="shared" ca="1" si="21"/>
        <v>a1H3p000009albiEAA</v>
      </c>
      <c r="D175" s="166"/>
      <c r="E175" s="166">
        <f t="shared" ca="1" si="28"/>
        <v>6</v>
      </c>
      <c r="F175" s="177">
        <f ca="1">IFERROR(IF(COUNTA($D$41:$D175)=1,"",OFFSET($F173,-COUNTA($D$41:$D175)+3,0)),"")</f>
        <v>7</v>
      </c>
      <c r="G175" s="166"/>
      <c r="H175" s="166">
        <f t="shared" ca="1" si="29"/>
        <v>21</v>
      </c>
      <c r="I175" s="178" t="str">
        <f t="shared" ca="1" si="22"/>
        <v/>
      </c>
      <c r="J175" s="178" t="str">
        <f t="shared" ca="1" si="23"/>
        <v/>
      </c>
      <c r="K175" s="168" t="str">
        <f t="shared" ca="1" si="24"/>
        <v/>
      </c>
      <c r="L175" s="171" t="str">
        <f ca="1">IFERROR(CHOOSE(E175,'Impact Indicators - Section B '!$K$7,'Impact Indicators - Section B '!$O$7,'Impact Indicators - Section B '!$S$7,'Impact Indicators - Section B '!$W$7),"")</f>
        <v/>
      </c>
      <c r="M175" s="179" t="str">
        <f t="shared" ca="1" si="25"/>
        <v/>
      </c>
      <c r="N175" s="171" t="str">
        <f t="shared" ca="1" si="26"/>
        <v/>
      </c>
      <c r="O175" s="166" t="str">
        <f ca="1">IFERROR(IF(COUNTA($D$41:$D175)=1,"",OFFSET($C173,-COUNTA($D$41:$D175)+3,0)),"")</f>
        <v>a1H3p000009albiEAA</v>
      </c>
      <c r="P175" s="166">
        <f t="shared" ca="1" si="30"/>
        <v>0</v>
      </c>
      <c r="Q175" s="166"/>
      <c r="R175" s="166"/>
      <c r="S175" s="166"/>
      <c r="T175" s="166" t="b">
        <f t="shared" ca="1" si="27"/>
        <v>0</v>
      </c>
    </row>
    <row r="176" spans="1:20">
      <c r="A176" s="166" t="b">
        <f t="shared" ca="1" si="20"/>
        <v>0</v>
      </c>
      <c r="B176" s="176"/>
      <c r="C176" s="172" t="str">
        <f t="shared" ca="1" si="21"/>
        <v>a1H3p000009alaWEAQ</v>
      </c>
      <c r="D176" s="166"/>
      <c r="E176" s="166">
        <f t="shared" ca="1" si="28"/>
        <v>1</v>
      </c>
      <c r="F176" s="177">
        <f ca="1">IFERROR(IF(COUNTA($D$41:$D176)=1,"",OFFSET($F174,-COUNTA($D$41:$D176)+3,0)),"")</f>
        <v>8</v>
      </c>
      <c r="G176" s="166"/>
      <c r="H176" s="166">
        <f t="shared" ca="1" si="29"/>
        <v>23</v>
      </c>
      <c r="I176" s="178" t="str">
        <f t="shared" ca="1" si="22"/>
        <v/>
      </c>
      <c r="J176" s="178" t="str">
        <f t="shared" ca="1" si="23"/>
        <v/>
      </c>
      <c r="K176" s="168" t="str">
        <f t="shared" ca="1" si="24"/>
        <v/>
      </c>
      <c r="L176" s="171">
        <f ca="1">IFERROR(CHOOSE(E176,'Impact Indicators - Section B '!$K$7,'Impact Indicators - Section B '!$O$7,'Impact Indicators - Section B '!$S$7,'Impact Indicators - Section B '!$W$7),"")</f>
        <v>2023</v>
      </c>
      <c r="M176" s="179" t="str">
        <f t="shared" ca="1" si="25"/>
        <v/>
      </c>
      <c r="N176" s="171" t="str">
        <f t="shared" ca="1" si="26"/>
        <v/>
      </c>
      <c r="O176" s="166" t="str">
        <f ca="1">IFERROR(IF(COUNTA($D$41:$D176)=1,"",OFFSET($C174,-COUNTA($D$41:$D176)+3,0)),"")</f>
        <v>a1H3p000009alaWEAQ</v>
      </c>
      <c r="P176" s="166">
        <f t="shared" ca="1" si="30"/>
        <v>0</v>
      </c>
      <c r="Q176" s="166"/>
      <c r="R176" s="166"/>
      <c r="S176" s="166"/>
      <c r="T176" s="166" t="b">
        <f t="shared" ca="1" si="27"/>
        <v>0</v>
      </c>
    </row>
    <row r="177" spans="1:20">
      <c r="A177" s="166" t="b">
        <f t="shared" ca="1" si="20"/>
        <v>0</v>
      </c>
      <c r="B177" s="176"/>
      <c r="C177" s="172" t="str">
        <f t="shared" ca="1" si="21"/>
        <v>a1H3p000009alalEAA</v>
      </c>
      <c r="D177" s="166"/>
      <c r="E177" s="166">
        <f t="shared" ca="1" si="28"/>
        <v>2</v>
      </c>
      <c r="F177" s="177">
        <f ca="1">IFERROR(IF(COUNTA($D$41:$D177)=1,"",OFFSET($F175,-COUNTA($D$41:$D177)+3,0)),"")</f>
        <v>8</v>
      </c>
      <c r="G177" s="166"/>
      <c r="H177" s="166">
        <f t="shared" ca="1" si="29"/>
        <v>23</v>
      </c>
      <c r="I177" s="178" t="str">
        <f t="shared" ca="1" si="22"/>
        <v/>
      </c>
      <c r="J177" s="178" t="str">
        <f t="shared" ca="1" si="23"/>
        <v/>
      </c>
      <c r="K177" s="168" t="str">
        <f t="shared" ca="1" si="24"/>
        <v/>
      </c>
      <c r="L177" s="171">
        <f ca="1">IFERROR(CHOOSE(E177,'Impact Indicators - Section B '!$K$7,'Impact Indicators - Section B '!$O$7,'Impact Indicators - Section B '!$S$7,'Impact Indicators - Section B '!$W$7),"")</f>
        <v>2024</v>
      </c>
      <c r="M177" s="179" t="str">
        <f t="shared" ca="1" si="25"/>
        <v/>
      </c>
      <c r="N177" s="171" t="str">
        <f t="shared" ca="1" si="26"/>
        <v/>
      </c>
      <c r="O177" s="166" t="str">
        <f ca="1">IFERROR(IF(COUNTA($D$41:$D177)=1,"",OFFSET($C175,-COUNTA($D$41:$D177)+3,0)),"")</f>
        <v>a1H3p000009alalEAA</v>
      </c>
      <c r="P177" s="166">
        <f t="shared" ca="1" si="30"/>
        <v>0</v>
      </c>
      <c r="Q177" s="166"/>
      <c r="R177" s="166"/>
      <c r="S177" s="166"/>
      <c r="T177" s="166" t="b">
        <f t="shared" ca="1" si="27"/>
        <v>0</v>
      </c>
    </row>
    <row r="178" spans="1:20">
      <c r="A178" s="166" t="b">
        <f t="shared" ca="1" si="20"/>
        <v>0</v>
      </c>
      <c r="B178" s="176"/>
      <c r="C178" s="172" t="str">
        <f t="shared" ca="1" si="21"/>
        <v>a1H3p000009alb0EAA</v>
      </c>
      <c r="D178" s="166"/>
      <c r="E178" s="166">
        <f t="shared" ca="1" si="28"/>
        <v>3</v>
      </c>
      <c r="F178" s="177">
        <f ca="1">IFERROR(IF(COUNTA($D$41:$D178)=1,"",OFFSET($F176,-COUNTA($D$41:$D178)+3,0)),"")</f>
        <v>8</v>
      </c>
      <c r="G178" s="166"/>
      <c r="H178" s="166">
        <f t="shared" ca="1" si="29"/>
        <v>23</v>
      </c>
      <c r="I178" s="178" t="str">
        <f t="shared" ca="1" si="22"/>
        <v/>
      </c>
      <c r="J178" s="178" t="str">
        <f t="shared" ca="1" si="23"/>
        <v/>
      </c>
      <c r="K178" s="168" t="str">
        <f t="shared" ca="1" si="24"/>
        <v/>
      </c>
      <c r="L178" s="171">
        <f ca="1">IFERROR(CHOOSE(E178,'Impact Indicators - Section B '!$K$7,'Impact Indicators - Section B '!$O$7,'Impact Indicators - Section B '!$S$7,'Impact Indicators - Section B '!$W$7),"")</f>
        <v>2025</v>
      </c>
      <c r="M178" s="179" t="str">
        <f t="shared" ca="1" si="25"/>
        <v/>
      </c>
      <c r="N178" s="171" t="str">
        <f t="shared" ca="1" si="26"/>
        <v/>
      </c>
      <c r="O178" s="166" t="str">
        <f ca="1">IFERROR(IF(COUNTA($D$41:$D178)=1,"",OFFSET($C176,-COUNTA($D$41:$D178)+3,0)),"")</f>
        <v>a1H3p000009alb0EAA</v>
      </c>
      <c r="P178" s="166">
        <f t="shared" ca="1" si="30"/>
        <v>0</v>
      </c>
      <c r="Q178" s="166"/>
      <c r="R178" s="166"/>
      <c r="S178" s="166"/>
      <c r="T178" s="166" t="b">
        <f t="shared" ca="1" si="27"/>
        <v>0</v>
      </c>
    </row>
    <row r="179" spans="1:20">
      <c r="A179" s="166" t="b">
        <f t="shared" ca="1" si="20"/>
        <v>0</v>
      </c>
      <c r="B179" s="176"/>
      <c r="C179" s="172" t="str">
        <f t="shared" ca="1" si="21"/>
        <v>a1H3p000009albFEAQ</v>
      </c>
      <c r="D179" s="166"/>
      <c r="E179" s="166">
        <f t="shared" ca="1" si="28"/>
        <v>4</v>
      </c>
      <c r="F179" s="177">
        <f ca="1">IFERROR(IF(COUNTA($D$41:$D179)=1,"",OFFSET($F177,-COUNTA($D$41:$D179)+3,0)),"")</f>
        <v>8</v>
      </c>
      <c r="G179" s="166"/>
      <c r="H179" s="166">
        <f t="shared" ca="1" si="29"/>
        <v>23</v>
      </c>
      <c r="I179" s="178" t="str">
        <f t="shared" ca="1" si="22"/>
        <v/>
      </c>
      <c r="J179" s="178" t="str">
        <f t="shared" ca="1" si="23"/>
        <v/>
      </c>
      <c r="K179" s="168" t="str">
        <f t="shared" ca="1" si="24"/>
        <v/>
      </c>
      <c r="L179" s="171" t="str">
        <f ca="1">IFERROR(CHOOSE(E179,'Impact Indicators - Section B '!$K$7,'Impact Indicators - Section B '!$O$7,'Impact Indicators - Section B '!$S$7,'Impact Indicators - Section B '!$W$7),"")</f>
        <v/>
      </c>
      <c r="M179" s="179" t="str">
        <f t="shared" ca="1" si="25"/>
        <v/>
      </c>
      <c r="N179" s="171" t="str">
        <f t="shared" ca="1" si="26"/>
        <v/>
      </c>
      <c r="O179" s="166" t="str">
        <f ca="1">IFERROR(IF(COUNTA($D$41:$D179)=1,"",OFFSET($C177,-COUNTA($D$41:$D179)+3,0)),"")</f>
        <v>a1H3p000009albFEAQ</v>
      </c>
      <c r="P179" s="166">
        <f t="shared" ca="1" si="30"/>
        <v>0</v>
      </c>
      <c r="Q179" s="166"/>
      <c r="R179" s="166"/>
      <c r="S179" s="166"/>
      <c r="T179" s="166" t="b">
        <f t="shared" ca="1" si="27"/>
        <v>0</v>
      </c>
    </row>
    <row r="180" spans="1:20">
      <c r="A180" s="166" t="b">
        <f t="shared" ca="1" si="20"/>
        <v>0</v>
      </c>
      <c r="B180" s="176"/>
      <c r="C180" s="172" t="str">
        <f t="shared" ca="1" si="21"/>
        <v>a1H3p000009albUEAQ</v>
      </c>
      <c r="D180" s="166"/>
      <c r="E180" s="166">
        <f t="shared" ca="1" si="28"/>
        <v>5</v>
      </c>
      <c r="F180" s="177">
        <f ca="1">IFERROR(IF(COUNTA($D$41:$D180)=1,"",OFFSET($F178,-COUNTA($D$41:$D180)+3,0)),"")</f>
        <v>8</v>
      </c>
      <c r="G180" s="166"/>
      <c r="H180" s="166">
        <f t="shared" ca="1" si="29"/>
        <v>23</v>
      </c>
      <c r="I180" s="178" t="str">
        <f t="shared" ca="1" si="22"/>
        <v/>
      </c>
      <c r="J180" s="178" t="str">
        <f t="shared" ca="1" si="23"/>
        <v/>
      </c>
      <c r="K180" s="168" t="str">
        <f t="shared" ca="1" si="24"/>
        <v/>
      </c>
      <c r="L180" s="171" t="str">
        <f ca="1">IFERROR(CHOOSE(E180,'Impact Indicators - Section B '!$K$7,'Impact Indicators - Section B '!$O$7,'Impact Indicators - Section B '!$S$7,'Impact Indicators - Section B '!$W$7),"")</f>
        <v/>
      </c>
      <c r="M180" s="179" t="str">
        <f t="shared" ca="1" si="25"/>
        <v/>
      </c>
      <c r="N180" s="171" t="str">
        <f t="shared" ca="1" si="26"/>
        <v/>
      </c>
      <c r="O180" s="166" t="str">
        <f ca="1">IFERROR(IF(COUNTA($D$41:$D180)=1,"",OFFSET($C178,-COUNTA($D$41:$D180)+3,0)),"")</f>
        <v>a1H3p000009albUEAQ</v>
      </c>
      <c r="P180" s="166">
        <f t="shared" ca="1" si="30"/>
        <v>0</v>
      </c>
      <c r="Q180" s="166"/>
      <c r="R180" s="166"/>
      <c r="S180" s="166"/>
      <c r="T180" s="166" t="b">
        <f t="shared" ca="1" si="27"/>
        <v>0</v>
      </c>
    </row>
    <row r="181" spans="1:20">
      <c r="A181" s="166" t="b">
        <f t="shared" ca="1" si="20"/>
        <v>0</v>
      </c>
      <c r="B181" s="176"/>
      <c r="C181" s="172" t="str">
        <f t="shared" ca="1" si="21"/>
        <v>a1H3p000009albjEAA</v>
      </c>
      <c r="D181" s="166"/>
      <c r="E181" s="166">
        <f t="shared" ca="1" si="28"/>
        <v>6</v>
      </c>
      <c r="F181" s="177">
        <f ca="1">IFERROR(IF(COUNTA($D$41:$D181)=1,"",OFFSET($F179,-COUNTA($D$41:$D181)+3,0)),"")</f>
        <v>8</v>
      </c>
      <c r="G181" s="166"/>
      <c r="H181" s="166">
        <f t="shared" ca="1" si="29"/>
        <v>23</v>
      </c>
      <c r="I181" s="178" t="str">
        <f t="shared" ca="1" si="22"/>
        <v/>
      </c>
      <c r="J181" s="178" t="str">
        <f t="shared" ca="1" si="23"/>
        <v/>
      </c>
      <c r="K181" s="168" t="str">
        <f t="shared" ca="1" si="24"/>
        <v/>
      </c>
      <c r="L181" s="171" t="str">
        <f ca="1">IFERROR(CHOOSE(E181,'Impact Indicators - Section B '!$K$7,'Impact Indicators - Section B '!$O$7,'Impact Indicators - Section B '!$S$7,'Impact Indicators - Section B '!$W$7),"")</f>
        <v/>
      </c>
      <c r="M181" s="179" t="str">
        <f t="shared" ca="1" si="25"/>
        <v/>
      </c>
      <c r="N181" s="171" t="str">
        <f t="shared" ca="1" si="26"/>
        <v/>
      </c>
      <c r="O181" s="166" t="str">
        <f ca="1">IFERROR(IF(COUNTA($D$41:$D181)=1,"",OFFSET($C179,-COUNTA($D$41:$D181)+3,0)),"")</f>
        <v>a1H3p000009albjEAA</v>
      </c>
      <c r="P181" s="166">
        <f t="shared" ca="1" si="30"/>
        <v>0</v>
      </c>
      <c r="Q181" s="166"/>
      <c r="R181" s="166"/>
      <c r="S181" s="166"/>
      <c r="T181" s="166" t="b">
        <f t="shared" ca="1" si="27"/>
        <v>0</v>
      </c>
    </row>
    <row r="182" spans="1:20">
      <c r="A182" s="166" t="b">
        <f t="shared" ca="1" si="20"/>
        <v>0</v>
      </c>
      <c r="B182" s="176"/>
      <c r="C182" s="172" t="str">
        <f t="shared" ca="1" si="21"/>
        <v>a1H3p000009alaXEAQ</v>
      </c>
      <c r="D182" s="166"/>
      <c r="E182" s="166">
        <f t="shared" ca="1" si="28"/>
        <v>1</v>
      </c>
      <c r="F182" s="177">
        <f ca="1">IFERROR(IF(COUNTA($D$41:$D182)=1,"",OFFSET($F180,-COUNTA($D$41:$D182)+3,0)),"")</f>
        <v>9</v>
      </c>
      <c r="G182" s="166"/>
      <c r="H182" s="166">
        <f t="shared" ca="1" si="29"/>
        <v>25</v>
      </c>
      <c r="I182" s="178" t="str">
        <f t="shared" ca="1" si="22"/>
        <v/>
      </c>
      <c r="J182" s="178" t="str">
        <f t="shared" ca="1" si="23"/>
        <v/>
      </c>
      <c r="K182" s="168" t="str">
        <f t="shared" ca="1" si="24"/>
        <v/>
      </c>
      <c r="L182" s="171">
        <f ca="1">IFERROR(CHOOSE(E182,'Impact Indicators - Section B '!$K$7,'Impact Indicators - Section B '!$O$7,'Impact Indicators - Section B '!$S$7,'Impact Indicators - Section B '!$W$7),"")</f>
        <v>2023</v>
      </c>
      <c r="M182" s="179" t="str">
        <f t="shared" ca="1" si="25"/>
        <v/>
      </c>
      <c r="N182" s="171" t="str">
        <f t="shared" ca="1" si="26"/>
        <v/>
      </c>
      <c r="O182" s="166" t="str">
        <f ca="1">IFERROR(IF(COUNTA($D$41:$D182)=1,"",OFFSET($C180,-COUNTA($D$41:$D182)+3,0)),"")</f>
        <v>a1H3p000009alaXEAQ</v>
      </c>
      <c r="P182" s="166">
        <f t="shared" ca="1" si="30"/>
        <v>0</v>
      </c>
      <c r="Q182" s="166"/>
      <c r="R182" s="166"/>
      <c r="S182" s="166"/>
      <c r="T182" s="166" t="b">
        <f t="shared" ca="1" si="27"/>
        <v>0</v>
      </c>
    </row>
    <row r="183" spans="1:20">
      <c r="A183" s="166" t="b">
        <f t="shared" ca="1" si="20"/>
        <v>0</v>
      </c>
      <c r="B183" s="176"/>
      <c r="C183" s="172" t="str">
        <f t="shared" ca="1" si="21"/>
        <v>a1H3p000009alamEAA</v>
      </c>
      <c r="D183" s="166"/>
      <c r="E183" s="166">
        <f t="shared" ca="1" si="28"/>
        <v>2</v>
      </c>
      <c r="F183" s="177">
        <f ca="1">IFERROR(IF(COUNTA($D$41:$D183)=1,"",OFFSET($F181,-COUNTA($D$41:$D183)+3,0)),"")</f>
        <v>9</v>
      </c>
      <c r="G183" s="166"/>
      <c r="H183" s="166">
        <f t="shared" ca="1" si="29"/>
        <v>25</v>
      </c>
      <c r="I183" s="178" t="str">
        <f t="shared" ca="1" si="22"/>
        <v/>
      </c>
      <c r="J183" s="178" t="str">
        <f t="shared" ca="1" si="23"/>
        <v/>
      </c>
      <c r="K183" s="168" t="str">
        <f t="shared" ca="1" si="24"/>
        <v/>
      </c>
      <c r="L183" s="171">
        <f ca="1">IFERROR(CHOOSE(E183,'Impact Indicators - Section B '!$K$7,'Impact Indicators - Section B '!$O$7,'Impact Indicators - Section B '!$S$7,'Impact Indicators - Section B '!$W$7),"")</f>
        <v>2024</v>
      </c>
      <c r="M183" s="179" t="str">
        <f t="shared" ca="1" si="25"/>
        <v/>
      </c>
      <c r="N183" s="171" t="str">
        <f t="shared" ca="1" si="26"/>
        <v/>
      </c>
      <c r="O183" s="166" t="str">
        <f ca="1">IFERROR(IF(COUNTA($D$41:$D183)=1,"",OFFSET($C181,-COUNTA($D$41:$D183)+3,0)),"")</f>
        <v>a1H3p000009alamEAA</v>
      </c>
      <c r="P183" s="166">
        <f t="shared" ca="1" si="30"/>
        <v>0</v>
      </c>
      <c r="Q183" s="166"/>
      <c r="R183" s="166"/>
      <c r="S183" s="166"/>
      <c r="T183" s="166" t="b">
        <f t="shared" ca="1" si="27"/>
        <v>0</v>
      </c>
    </row>
    <row r="184" spans="1:20">
      <c r="A184" s="166" t="b">
        <f t="shared" ca="1" si="20"/>
        <v>0</v>
      </c>
      <c r="B184" s="176"/>
      <c r="C184" s="172" t="str">
        <f t="shared" ca="1" si="21"/>
        <v>a1H3p000009alb1EAA</v>
      </c>
      <c r="D184" s="166"/>
      <c r="E184" s="166">
        <f t="shared" ca="1" si="28"/>
        <v>3</v>
      </c>
      <c r="F184" s="177">
        <f ca="1">IFERROR(IF(COUNTA($D$41:$D184)=1,"",OFFSET($F182,-COUNTA($D$41:$D184)+3,0)),"")</f>
        <v>9</v>
      </c>
      <c r="G184" s="166"/>
      <c r="H184" s="166">
        <f t="shared" ca="1" si="29"/>
        <v>25</v>
      </c>
      <c r="I184" s="178" t="str">
        <f t="shared" ca="1" si="22"/>
        <v/>
      </c>
      <c r="J184" s="178" t="str">
        <f t="shared" ca="1" si="23"/>
        <v/>
      </c>
      <c r="K184" s="168" t="str">
        <f t="shared" ca="1" si="24"/>
        <v/>
      </c>
      <c r="L184" s="171">
        <f ca="1">IFERROR(CHOOSE(E184,'Impact Indicators - Section B '!$K$7,'Impact Indicators - Section B '!$O$7,'Impact Indicators - Section B '!$S$7,'Impact Indicators - Section B '!$W$7),"")</f>
        <v>2025</v>
      </c>
      <c r="M184" s="179" t="str">
        <f t="shared" ca="1" si="25"/>
        <v/>
      </c>
      <c r="N184" s="171" t="str">
        <f t="shared" ca="1" si="26"/>
        <v/>
      </c>
      <c r="O184" s="166" t="str">
        <f ca="1">IFERROR(IF(COUNTA($D$41:$D184)=1,"",OFFSET($C182,-COUNTA($D$41:$D184)+3,0)),"")</f>
        <v>a1H3p000009alb1EAA</v>
      </c>
      <c r="P184" s="166">
        <f t="shared" ca="1" si="30"/>
        <v>0</v>
      </c>
      <c r="Q184" s="166"/>
      <c r="R184" s="166"/>
      <c r="S184" s="166"/>
      <c r="T184" s="166" t="b">
        <f t="shared" ca="1" si="27"/>
        <v>0</v>
      </c>
    </row>
    <row r="185" spans="1:20">
      <c r="A185" s="166" t="b">
        <f t="shared" ca="1" si="20"/>
        <v>0</v>
      </c>
      <c r="B185" s="176"/>
      <c r="C185" s="172" t="str">
        <f t="shared" ca="1" si="21"/>
        <v>a1H3p000009albGEAQ</v>
      </c>
      <c r="D185" s="166"/>
      <c r="E185" s="166">
        <f t="shared" ca="1" si="28"/>
        <v>4</v>
      </c>
      <c r="F185" s="177">
        <f ca="1">IFERROR(IF(COUNTA($D$41:$D185)=1,"",OFFSET($F183,-COUNTA($D$41:$D185)+3,0)),"")</f>
        <v>9</v>
      </c>
      <c r="G185" s="166"/>
      <c r="H185" s="166">
        <f t="shared" ca="1" si="29"/>
        <v>25</v>
      </c>
      <c r="I185" s="178" t="str">
        <f t="shared" ca="1" si="22"/>
        <v/>
      </c>
      <c r="J185" s="178" t="str">
        <f t="shared" ca="1" si="23"/>
        <v/>
      </c>
      <c r="K185" s="168" t="str">
        <f t="shared" ca="1" si="24"/>
        <v/>
      </c>
      <c r="L185" s="171" t="str">
        <f ca="1">IFERROR(CHOOSE(E185,'Impact Indicators - Section B '!$K$7,'Impact Indicators - Section B '!$O$7,'Impact Indicators - Section B '!$S$7,'Impact Indicators - Section B '!$W$7),"")</f>
        <v/>
      </c>
      <c r="M185" s="179" t="str">
        <f t="shared" ca="1" si="25"/>
        <v/>
      </c>
      <c r="N185" s="171" t="str">
        <f t="shared" ca="1" si="26"/>
        <v/>
      </c>
      <c r="O185" s="166" t="str">
        <f ca="1">IFERROR(IF(COUNTA($D$41:$D185)=1,"",OFFSET($C183,-COUNTA($D$41:$D185)+3,0)),"")</f>
        <v>a1H3p000009albGEAQ</v>
      </c>
      <c r="P185" s="166">
        <f t="shared" ca="1" si="30"/>
        <v>0</v>
      </c>
      <c r="Q185" s="166"/>
      <c r="R185" s="166"/>
      <c r="S185" s="166"/>
      <c r="T185" s="166" t="b">
        <f t="shared" ca="1" si="27"/>
        <v>0</v>
      </c>
    </row>
    <row r="186" spans="1:20">
      <c r="A186" s="166" t="b">
        <f t="shared" ca="1" si="20"/>
        <v>0</v>
      </c>
      <c r="B186" s="176"/>
      <c r="C186" s="172" t="str">
        <f t="shared" ca="1" si="21"/>
        <v>a1H3p000009albVEAQ</v>
      </c>
      <c r="D186" s="166"/>
      <c r="E186" s="166">
        <f t="shared" ca="1" si="28"/>
        <v>5</v>
      </c>
      <c r="F186" s="177">
        <f ca="1">IFERROR(IF(COUNTA($D$41:$D186)=1,"",OFFSET($F184,-COUNTA($D$41:$D186)+3,0)),"")</f>
        <v>9</v>
      </c>
      <c r="G186" s="166"/>
      <c r="H186" s="166">
        <f t="shared" ca="1" si="29"/>
        <v>25</v>
      </c>
      <c r="I186" s="178" t="str">
        <f t="shared" ca="1" si="22"/>
        <v/>
      </c>
      <c r="J186" s="178" t="str">
        <f t="shared" ca="1" si="23"/>
        <v/>
      </c>
      <c r="K186" s="168" t="str">
        <f t="shared" ca="1" si="24"/>
        <v/>
      </c>
      <c r="L186" s="171" t="str">
        <f ca="1">IFERROR(CHOOSE(E186,'Impact Indicators - Section B '!$K$7,'Impact Indicators - Section B '!$O$7,'Impact Indicators - Section B '!$S$7,'Impact Indicators - Section B '!$W$7),"")</f>
        <v/>
      </c>
      <c r="M186" s="179" t="str">
        <f t="shared" ca="1" si="25"/>
        <v/>
      </c>
      <c r="N186" s="171" t="str">
        <f t="shared" ca="1" si="26"/>
        <v/>
      </c>
      <c r="O186" s="166" t="str">
        <f ca="1">IFERROR(IF(COUNTA($D$41:$D186)=1,"",OFFSET($C184,-COUNTA($D$41:$D186)+3,0)),"")</f>
        <v>a1H3p000009albVEAQ</v>
      </c>
      <c r="P186" s="166">
        <f t="shared" ca="1" si="30"/>
        <v>0</v>
      </c>
      <c r="Q186" s="166"/>
      <c r="R186" s="166"/>
      <c r="S186" s="166"/>
      <c r="T186" s="166" t="b">
        <f t="shared" ca="1" si="27"/>
        <v>0</v>
      </c>
    </row>
    <row r="187" spans="1:20">
      <c r="A187" s="166" t="b">
        <f t="shared" ca="1" si="20"/>
        <v>0</v>
      </c>
      <c r="B187" s="176"/>
      <c r="C187" s="172" t="str">
        <f t="shared" ca="1" si="21"/>
        <v>a1H3p000009albkEAA</v>
      </c>
      <c r="D187" s="166"/>
      <c r="E187" s="166">
        <f t="shared" ca="1" si="28"/>
        <v>6</v>
      </c>
      <c r="F187" s="177">
        <f ca="1">IFERROR(IF(COUNTA($D$41:$D187)=1,"",OFFSET($F185,-COUNTA($D$41:$D187)+3,0)),"")</f>
        <v>9</v>
      </c>
      <c r="G187" s="166"/>
      <c r="H187" s="166">
        <f t="shared" ca="1" si="29"/>
        <v>25</v>
      </c>
      <c r="I187" s="178" t="str">
        <f t="shared" ca="1" si="22"/>
        <v/>
      </c>
      <c r="J187" s="178" t="str">
        <f t="shared" ca="1" si="23"/>
        <v/>
      </c>
      <c r="K187" s="168" t="str">
        <f t="shared" ca="1" si="24"/>
        <v/>
      </c>
      <c r="L187" s="171" t="str">
        <f ca="1">IFERROR(CHOOSE(E187,'Impact Indicators - Section B '!$K$7,'Impact Indicators - Section B '!$O$7,'Impact Indicators - Section B '!$S$7,'Impact Indicators - Section B '!$W$7),"")</f>
        <v/>
      </c>
      <c r="M187" s="179" t="str">
        <f t="shared" ca="1" si="25"/>
        <v/>
      </c>
      <c r="N187" s="171" t="str">
        <f t="shared" ca="1" si="26"/>
        <v/>
      </c>
      <c r="O187" s="166" t="str">
        <f ca="1">IFERROR(IF(COUNTA($D$41:$D187)=1,"",OFFSET($C185,-COUNTA($D$41:$D187)+3,0)),"")</f>
        <v>a1H3p000009albkEAA</v>
      </c>
      <c r="P187" s="166">
        <f t="shared" ca="1" si="30"/>
        <v>0</v>
      </c>
      <c r="Q187" s="166"/>
      <c r="R187" s="166"/>
      <c r="S187" s="166"/>
      <c r="T187" s="166" t="b">
        <f t="shared" ca="1" si="27"/>
        <v>0</v>
      </c>
    </row>
    <row r="188" spans="1:20">
      <c r="A188" s="166" t="b">
        <f t="shared" ca="1" si="20"/>
        <v>0</v>
      </c>
      <c r="B188" s="176"/>
      <c r="C188" s="172" t="str">
        <f t="shared" ca="1" si="21"/>
        <v>a1H3p000009alaYEAQ</v>
      </c>
      <c r="D188" s="166"/>
      <c r="E188" s="166">
        <f t="shared" ca="1" si="28"/>
        <v>1</v>
      </c>
      <c r="F188" s="177">
        <f ca="1">IFERROR(IF(COUNTA($D$41:$D188)=1,"",OFFSET($F186,-COUNTA($D$41:$D188)+3,0)),"")</f>
        <v>10</v>
      </c>
      <c r="G188" s="166"/>
      <c r="H188" s="166">
        <f t="shared" ca="1" si="29"/>
        <v>27</v>
      </c>
      <c r="I188" s="178" t="str">
        <f t="shared" ca="1" si="22"/>
        <v/>
      </c>
      <c r="J188" s="178" t="str">
        <f t="shared" ca="1" si="23"/>
        <v/>
      </c>
      <c r="K188" s="168" t="str">
        <f t="shared" ca="1" si="24"/>
        <v/>
      </c>
      <c r="L188" s="171">
        <f ca="1">IFERROR(CHOOSE(E188,'Impact Indicators - Section B '!$K$7,'Impact Indicators - Section B '!$O$7,'Impact Indicators - Section B '!$S$7,'Impact Indicators - Section B '!$W$7),"")</f>
        <v>2023</v>
      </c>
      <c r="M188" s="179" t="str">
        <f t="shared" ca="1" si="25"/>
        <v/>
      </c>
      <c r="N188" s="171" t="str">
        <f t="shared" ca="1" si="26"/>
        <v/>
      </c>
      <c r="O188" s="166" t="str">
        <f ca="1">IFERROR(IF(COUNTA($D$41:$D188)=1,"",OFFSET($C186,-COUNTA($D$41:$D188)+3,0)),"")</f>
        <v>a1H3p000009alaYEAQ</v>
      </c>
      <c r="P188" s="166">
        <f t="shared" ca="1" si="30"/>
        <v>0</v>
      </c>
      <c r="Q188" s="166"/>
      <c r="R188" s="166"/>
      <c r="S188" s="166"/>
      <c r="T188" s="166" t="b">
        <f t="shared" ca="1" si="27"/>
        <v>0</v>
      </c>
    </row>
    <row r="189" spans="1:20">
      <c r="A189" s="166" t="b">
        <f t="shared" ca="1" si="20"/>
        <v>0</v>
      </c>
      <c r="B189" s="176"/>
      <c r="C189" s="172" t="str">
        <f t="shared" ca="1" si="21"/>
        <v>a1H3p000009alanEAA</v>
      </c>
      <c r="D189" s="166"/>
      <c r="E189" s="166">
        <f t="shared" ca="1" si="28"/>
        <v>2</v>
      </c>
      <c r="F189" s="177">
        <f ca="1">IFERROR(IF(COUNTA($D$41:$D189)=1,"",OFFSET($F187,-COUNTA($D$41:$D189)+3,0)),"")</f>
        <v>10</v>
      </c>
      <c r="G189" s="166"/>
      <c r="H189" s="166">
        <f t="shared" ca="1" si="29"/>
        <v>27</v>
      </c>
      <c r="I189" s="178" t="str">
        <f t="shared" ca="1" si="22"/>
        <v/>
      </c>
      <c r="J189" s="178" t="str">
        <f t="shared" ca="1" si="23"/>
        <v/>
      </c>
      <c r="K189" s="168" t="str">
        <f t="shared" ca="1" si="24"/>
        <v/>
      </c>
      <c r="L189" s="171">
        <f ca="1">IFERROR(CHOOSE(E189,'Impact Indicators - Section B '!$K$7,'Impact Indicators - Section B '!$O$7,'Impact Indicators - Section B '!$S$7,'Impact Indicators - Section B '!$W$7),"")</f>
        <v>2024</v>
      </c>
      <c r="M189" s="179" t="str">
        <f t="shared" ca="1" si="25"/>
        <v/>
      </c>
      <c r="N189" s="171" t="str">
        <f t="shared" ca="1" si="26"/>
        <v/>
      </c>
      <c r="O189" s="166" t="str">
        <f ca="1">IFERROR(IF(COUNTA($D$41:$D189)=1,"",OFFSET($C187,-COUNTA($D$41:$D189)+3,0)),"")</f>
        <v>a1H3p000009alanEAA</v>
      </c>
      <c r="P189" s="166">
        <f t="shared" ca="1" si="30"/>
        <v>0</v>
      </c>
      <c r="Q189" s="166"/>
      <c r="R189" s="166"/>
      <c r="S189" s="166"/>
      <c r="T189" s="166" t="b">
        <f t="shared" ca="1" si="27"/>
        <v>0</v>
      </c>
    </row>
    <row r="190" spans="1:20">
      <c r="A190" s="166" t="b">
        <f t="shared" ca="1" si="20"/>
        <v>0</v>
      </c>
      <c r="B190" s="176"/>
      <c r="C190" s="172" t="str">
        <f t="shared" ca="1" si="21"/>
        <v>a1H3p000009alb2EAA</v>
      </c>
      <c r="D190" s="166"/>
      <c r="E190" s="166">
        <f t="shared" ca="1" si="28"/>
        <v>3</v>
      </c>
      <c r="F190" s="177">
        <f ca="1">IFERROR(IF(COUNTA($D$41:$D190)=1,"",OFFSET($F188,-COUNTA($D$41:$D190)+3,0)),"")</f>
        <v>10</v>
      </c>
      <c r="G190" s="166"/>
      <c r="H190" s="166">
        <f t="shared" ca="1" si="29"/>
        <v>27</v>
      </c>
      <c r="I190" s="178" t="str">
        <f t="shared" ca="1" si="22"/>
        <v/>
      </c>
      <c r="J190" s="178" t="str">
        <f t="shared" ca="1" si="23"/>
        <v/>
      </c>
      <c r="K190" s="168" t="str">
        <f t="shared" ca="1" si="24"/>
        <v/>
      </c>
      <c r="L190" s="171">
        <f ca="1">IFERROR(CHOOSE(E190,'Impact Indicators - Section B '!$K$7,'Impact Indicators - Section B '!$O$7,'Impact Indicators - Section B '!$S$7,'Impact Indicators - Section B '!$W$7),"")</f>
        <v>2025</v>
      </c>
      <c r="M190" s="179" t="str">
        <f t="shared" ca="1" si="25"/>
        <v/>
      </c>
      <c r="N190" s="171" t="str">
        <f t="shared" ca="1" si="26"/>
        <v/>
      </c>
      <c r="O190" s="166" t="str">
        <f ca="1">IFERROR(IF(COUNTA($D$41:$D190)=1,"",OFFSET($C188,-COUNTA($D$41:$D190)+3,0)),"")</f>
        <v>a1H3p000009alb2EAA</v>
      </c>
      <c r="P190" s="166">
        <f t="shared" ca="1" si="30"/>
        <v>0</v>
      </c>
      <c r="Q190" s="166"/>
      <c r="R190" s="166"/>
      <c r="S190" s="166"/>
      <c r="T190" s="166" t="b">
        <f t="shared" ca="1" si="27"/>
        <v>0</v>
      </c>
    </row>
    <row r="191" spans="1:20">
      <c r="A191" s="166" t="b">
        <f t="shared" ca="1" si="20"/>
        <v>0</v>
      </c>
      <c r="B191" s="176"/>
      <c r="C191" s="172" t="str">
        <f t="shared" ca="1" si="21"/>
        <v>a1H3p000009albHEAQ</v>
      </c>
      <c r="D191" s="166"/>
      <c r="E191" s="166">
        <f t="shared" ca="1" si="28"/>
        <v>4</v>
      </c>
      <c r="F191" s="177">
        <f ca="1">IFERROR(IF(COUNTA($D$41:$D191)=1,"",OFFSET($F189,-COUNTA($D$41:$D191)+3,0)),"")</f>
        <v>10</v>
      </c>
      <c r="G191" s="166"/>
      <c r="H191" s="166">
        <f t="shared" ca="1" si="29"/>
        <v>27</v>
      </c>
      <c r="I191" s="178" t="str">
        <f t="shared" ca="1" si="22"/>
        <v/>
      </c>
      <c r="J191" s="178" t="str">
        <f t="shared" ca="1" si="23"/>
        <v/>
      </c>
      <c r="K191" s="168" t="str">
        <f t="shared" ca="1" si="24"/>
        <v/>
      </c>
      <c r="L191" s="171" t="str">
        <f ca="1">IFERROR(CHOOSE(E191,'Impact Indicators - Section B '!$K$7,'Impact Indicators - Section B '!$O$7,'Impact Indicators - Section B '!$S$7,'Impact Indicators - Section B '!$W$7),"")</f>
        <v/>
      </c>
      <c r="M191" s="179" t="str">
        <f t="shared" ca="1" si="25"/>
        <v/>
      </c>
      <c r="N191" s="171" t="str">
        <f t="shared" ca="1" si="26"/>
        <v/>
      </c>
      <c r="O191" s="166" t="str">
        <f ca="1">IFERROR(IF(COUNTA($D$41:$D191)=1,"",OFFSET($C189,-COUNTA($D$41:$D191)+3,0)),"")</f>
        <v>a1H3p000009albHEAQ</v>
      </c>
      <c r="P191" s="166">
        <f t="shared" ca="1" si="30"/>
        <v>0</v>
      </c>
      <c r="Q191" s="166"/>
      <c r="R191" s="166"/>
      <c r="S191" s="166"/>
      <c r="T191" s="166" t="b">
        <f t="shared" ca="1" si="27"/>
        <v>0</v>
      </c>
    </row>
    <row r="192" spans="1:20">
      <c r="A192" s="166" t="b">
        <f t="shared" ca="1" si="20"/>
        <v>0</v>
      </c>
      <c r="B192" s="176"/>
      <c r="C192" s="172" t="str">
        <f t="shared" ca="1" si="21"/>
        <v>a1H3p000009albWEAQ</v>
      </c>
      <c r="D192" s="166"/>
      <c r="E192" s="166">
        <f t="shared" ca="1" si="28"/>
        <v>5</v>
      </c>
      <c r="F192" s="177">
        <f ca="1">IFERROR(IF(COUNTA($D$41:$D192)=1,"",OFFSET($F190,-COUNTA($D$41:$D192)+3,0)),"")</f>
        <v>10</v>
      </c>
      <c r="G192" s="166"/>
      <c r="H192" s="166">
        <f t="shared" ca="1" si="29"/>
        <v>27</v>
      </c>
      <c r="I192" s="178" t="str">
        <f t="shared" ca="1" si="22"/>
        <v/>
      </c>
      <c r="J192" s="178" t="str">
        <f t="shared" ca="1" si="23"/>
        <v/>
      </c>
      <c r="K192" s="168" t="str">
        <f t="shared" ca="1" si="24"/>
        <v/>
      </c>
      <c r="L192" s="171" t="str">
        <f ca="1">IFERROR(CHOOSE(E192,'Impact Indicators - Section B '!$K$7,'Impact Indicators - Section B '!$O$7,'Impact Indicators - Section B '!$S$7,'Impact Indicators - Section B '!$W$7),"")</f>
        <v/>
      </c>
      <c r="M192" s="179" t="str">
        <f t="shared" ca="1" si="25"/>
        <v/>
      </c>
      <c r="N192" s="171" t="str">
        <f t="shared" ca="1" si="26"/>
        <v/>
      </c>
      <c r="O192" s="166" t="str">
        <f ca="1">IFERROR(IF(COUNTA($D$41:$D192)=1,"",OFFSET($C190,-COUNTA($D$41:$D192)+3,0)),"")</f>
        <v>a1H3p000009albWEAQ</v>
      </c>
      <c r="P192" s="166">
        <f t="shared" ca="1" si="30"/>
        <v>0</v>
      </c>
      <c r="Q192" s="166"/>
      <c r="R192" s="166"/>
      <c r="S192" s="166"/>
      <c r="T192" s="166" t="b">
        <f t="shared" ca="1" si="27"/>
        <v>0</v>
      </c>
    </row>
    <row r="193" spans="1:20">
      <c r="A193" s="166" t="b">
        <f t="shared" ca="1" si="20"/>
        <v>0</v>
      </c>
      <c r="B193" s="176"/>
      <c r="C193" s="172" t="str">
        <f t="shared" ca="1" si="21"/>
        <v>a1H3p000009alblEAA</v>
      </c>
      <c r="D193" s="166"/>
      <c r="E193" s="166">
        <f t="shared" ca="1" si="28"/>
        <v>6</v>
      </c>
      <c r="F193" s="177">
        <f ca="1">IFERROR(IF(COUNTA($D$41:$D193)=1,"",OFFSET($F191,-COUNTA($D$41:$D193)+3,0)),"")</f>
        <v>10</v>
      </c>
      <c r="G193" s="166"/>
      <c r="H193" s="166">
        <f t="shared" ca="1" si="29"/>
        <v>27</v>
      </c>
      <c r="I193" s="178" t="str">
        <f t="shared" ca="1" si="22"/>
        <v/>
      </c>
      <c r="J193" s="178" t="str">
        <f t="shared" ca="1" si="23"/>
        <v/>
      </c>
      <c r="K193" s="168" t="str">
        <f t="shared" ca="1" si="24"/>
        <v/>
      </c>
      <c r="L193" s="171" t="str">
        <f ca="1">IFERROR(CHOOSE(E193,'Impact Indicators - Section B '!$K$7,'Impact Indicators - Section B '!$O$7,'Impact Indicators - Section B '!$S$7,'Impact Indicators - Section B '!$W$7),"")</f>
        <v/>
      </c>
      <c r="M193" s="179" t="str">
        <f t="shared" ca="1" si="25"/>
        <v/>
      </c>
      <c r="N193" s="171" t="str">
        <f t="shared" ca="1" si="26"/>
        <v/>
      </c>
      <c r="O193" s="166" t="str">
        <f ca="1">IFERROR(IF(COUNTA($D$41:$D193)=1,"",OFFSET($C191,-COUNTA($D$41:$D193)+3,0)),"")</f>
        <v>a1H3p000009alblEAA</v>
      </c>
      <c r="P193" s="166">
        <f t="shared" ca="1" si="30"/>
        <v>0</v>
      </c>
      <c r="Q193" s="166"/>
      <c r="R193" s="166"/>
      <c r="S193" s="166"/>
      <c r="T193" s="166" t="b">
        <f t="shared" ca="1" si="27"/>
        <v>0</v>
      </c>
    </row>
    <row r="194" spans="1:20">
      <c r="A194" s="166" t="b">
        <f t="shared" ca="1" si="20"/>
        <v>0</v>
      </c>
      <c r="B194" s="176"/>
      <c r="C194" s="172" t="str">
        <f t="shared" ca="1" si="21"/>
        <v>a1H3p000009alaZEAQ</v>
      </c>
      <c r="D194" s="166"/>
      <c r="E194" s="166">
        <f t="shared" ca="1" si="28"/>
        <v>1</v>
      </c>
      <c r="F194" s="177">
        <f ca="1">IFERROR(IF(COUNTA($D$41:$D194)=1,"",OFFSET($F192,-COUNTA($D$41:$D194)+3,0)),"")</f>
        <v>11</v>
      </c>
      <c r="G194" s="166"/>
      <c r="H194" s="166">
        <f t="shared" ca="1" si="29"/>
        <v>29</v>
      </c>
      <c r="I194" s="178" t="str">
        <f t="shared" ca="1" si="22"/>
        <v/>
      </c>
      <c r="J194" s="178" t="str">
        <f t="shared" ca="1" si="23"/>
        <v/>
      </c>
      <c r="K194" s="168" t="str">
        <f t="shared" ca="1" si="24"/>
        <v/>
      </c>
      <c r="L194" s="171">
        <f ca="1">IFERROR(CHOOSE(E194,'Impact Indicators - Section B '!$K$7,'Impact Indicators - Section B '!$O$7,'Impact Indicators - Section B '!$S$7,'Impact Indicators - Section B '!$W$7),"")</f>
        <v>2023</v>
      </c>
      <c r="M194" s="179" t="str">
        <f t="shared" ca="1" si="25"/>
        <v/>
      </c>
      <c r="N194" s="171" t="str">
        <f t="shared" ca="1" si="26"/>
        <v/>
      </c>
      <c r="O194" s="166" t="str">
        <f ca="1">IFERROR(IF(COUNTA($D$41:$D194)=1,"",OFFSET($C192,-COUNTA($D$41:$D194)+3,0)),"")</f>
        <v>a1H3p000009alaZEAQ</v>
      </c>
      <c r="P194" s="166">
        <f t="shared" ca="1" si="30"/>
        <v>0</v>
      </c>
      <c r="Q194" s="166"/>
      <c r="R194" s="166"/>
      <c r="S194" s="166"/>
      <c r="T194" s="166" t="b">
        <f t="shared" ca="1" si="27"/>
        <v>0</v>
      </c>
    </row>
    <row r="195" spans="1:20">
      <c r="A195" s="166" t="b">
        <f t="shared" ca="1" si="20"/>
        <v>0</v>
      </c>
      <c r="B195" s="176"/>
      <c r="C195" s="172" t="str">
        <f t="shared" ca="1" si="21"/>
        <v>a1H3p000009alaoEAA</v>
      </c>
      <c r="D195" s="166"/>
      <c r="E195" s="166">
        <f t="shared" ca="1" si="28"/>
        <v>2</v>
      </c>
      <c r="F195" s="177">
        <f ca="1">IFERROR(IF(COUNTA($D$41:$D195)=1,"",OFFSET($F193,-COUNTA($D$41:$D195)+3,0)),"")</f>
        <v>11</v>
      </c>
      <c r="G195" s="166"/>
      <c r="H195" s="166">
        <f t="shared" ca="1" si="29"/>
        <v>29</v>
      </c>
      <c r="I195" s="178" t="str">
        <f t="shared" ca="1" si="22"/>
        <v/>
      </c>
      <c r="J195" s="178" t="str">
        <f t="shared" ca="1" si="23"/>
        <v/>
      </c>
      <c r="K195" s="168" t="str">
        <f t="shared" ca="1" si="24"/>
        <v/>
      </c>
      <c r="L195" s="171">
        <f ca="1">IFERROR(CHOOSE(E195,'Impact Indicators - Section B '!$K$7,'Impact Indicators - Section B '!$O$7,'Impact Indicators - Section B '!$S$7,'Impact Indicators - Section B '!$W$7),"")</f>
        <v>2024</v>
      </c>
      <c r="M195" s="179" t="str">
        <f t="shared" ca="1" si="25"/>
        <v/>
      </c>
      <c r="N195" s="171" t="str">
        <f t="shared" ca="1" si="26"/>
        <v/>
      </c>
      <c r="O195" s="166" t="str">
        <f ca="1">IFERROR(IF(COUNTA($D$41:$D195)=1,"",OFFSET($C193,-COUNTA($D$41:$D195)+3,0)),"")</f>
        <v>a1H3p000009alaoEAA</v>
      </c>
      <c r="P195" s="166">
        <f t="shared" ca="1" si="30"/>
        <v>0</v>
      </c>
      <c r="Q195" s="166"/>
      <c r="R195" s="166"/>
      <c r="S195" s="166"/>
      <c r="T195" s="166" t="b">
        <f t="shared" ca="1" si="27"/>
        <v>0</v>
      </c>
    </row>
    <row r="196" spans="1:20">
      <c r="A196" s="166" t="b">
        <f t="shared" ca="1" si="20"/>
        <v>0</v>
      </c>
      <c r="B196" s="176"/>
      <c r="C196" s="172" t="str">
        <f t="shared" ca="1" si="21"/>
        <v>a1H3p000009alb3EAA</v>
      </c>
      <c r="D196" s="166"/>
      <c r="E196" s="166">
        <f t="shared" ca="1" si="28"/>
        <v>3</v>
      </c>
      <c r="F196" s="177">
        <f ca="1">IFERROR(IF(COUNTA($D$41:$D196)=1,"",OFFSET($F194,-COUNTA($D$41:$D196)+3,0)),"")</f>
        <v>11</v>
      </c>
      <c r="G196" s="166"/>
      <c r="H196" s="166">
        <f t="shared" ca="1" si="29"/>
        <v>29</v>
      </c>
      <c r="I196" s="178" t="str">
        <f t="shared" ca="1" si="22"/>
        <v/>
      </c>
      <c r="J196" s="178" t="str">
        <f t="shared" ca="1" si="23"/>
        <v/>
      </c>
      <c r="K196" s="168" t="str">
        <f t="shared" ca="1" si="24"/>
        <v/>
      </c>
      <c r="L196" s="171">
        <f ca="1">IFERROR(CHOOSE(E196,'Impact Indicators - Section B '!$K$7,'Impact Indicators - Section B '!$O$7,'Impact Indicators - Section B '!$S$7,'Impact Indicators - Section B '!$W$7),"")</f>
        <v>2025</v>
      </c>
      <c r="M196" s="179" t="str">
        <f t="shared" ca="1" si="25"/>
        <v/>
      </c>
      <c r="N196" s="171" t="str">
        <f t="shared" ca="1" si="26"/>
        <v/>
      </c>
      <c r="O196" s="166" t="str">
        <f ca="1">IFERROR(IF(COUNTA($D$41:$D196)=1,"",OFFSET($C194,-COUNTA($D$41:$D196)+3,0)),"")</f>
        <v>a1H3p000009alb3EAA</v>
      </c>
      <c r="P196" s="166">
        <f t="shared" ca="1" si="30"/>
        <v>0</v>
      </c>
      <c r="Q196" s="166"/>
      <c r="R196" s="166"/>
      <c r="S196" s="166"/>
      <c r="T196" s="166" t="b">
        <f t="shared" ca="1" si="27"/>
        <v>0</v>
      </c>
    </row>
    <row r="197" spans="1:20">
      <c r="A197" s="166" t="b">
        <f t="shared" ca="1" si="20"/>
        <v>0</v>
      </c>
      <c r="B197" s="176"/>
      <c r="C197" s="172" t="str">
        <f t="shared" ca="1" si="21"/>
        <v>a1H3p000009albIEAQ</v>
      </c>
      <c r="D197" s="166"/>
      <c r="E197" s="166">
        <f t="shared" ca="1" si="28"/>
        <v>4</v>
      </c>
      <c r="F197" s="177">
        <f ca="1">IFERROR(IF(COUNTA($D$41:$D197)=1,"",OFFSET($F195,-COUNTA($D$41:$D197)+3,0)),"")</f>
        <v>11</v>
      </c>
      <c r="G197" s="166"/>
      <c r="H197" s="166">
        <f t="shared" ca="1" si="29"/>
        <v>29</v>
      </c>
      <c r="I197" s="178" t="str">
        <f t="shared" ca="1" si="22"/>
        <v/>
      </c>
      <c r="J197" s="178" t="str">
        <f t="shared" ca="1" si="23"/>
        <v/>
      </c>
      <c r="K197" s="168" t="str">
        <f t="shared" ca="1" si="24"/>
        <v/>
      </c>
      <c r="L197" s="171" t="str">
        <f ca="1">IFERROR(CHOOSE(E197,'Impact Indicators - Section B '!$K$7,'Impact Indicators - Section B '!$O$7,'Impact Indicators - Section B '!$S$7,'Impact Indicators - Section B '!$W$7),"")</f>
        <v/>
      </c>
      <c r="M197" s="179" t="str">
        <f t="shared" ca="1" si="25"/>
        <v/>
      </c>
      <c r="N197" s="171" t="str">
        <f t="shared" ca="1" si="26"/>
        <v/>
      </c>
      <c r="O197" s="166" t="str">
        <f ca="1">IFERROR(IF(COUNTA($D$41:$D197)=1,"",OFFSET($C195,-COUNTA($D$41:$D197)+3,0)),"")</f>
        <v>a1H3p000009albIEAQ</v>
      </c>
      <c r="P197" s="166">
        <f t="shared" ca="1" si="30"/>
        <v>0</v>
      </c>
      <c r="Q197" s="166"/>
      <c r="R197" s="166"/>
      <c r="S197" s="166"/>
      <c r="T197" s="166" t="b">
        <f t="shared" ca="1" si="27"/>
        <v>0</v>
      </c>
    </row>
    <row r="198" spans="1:20">
      <c r="A198" s="166" t="b">
        <f t="shared" ref="A198:A223" ca="1" si="31">IF(OR(I198&lt;&gt;"",J198&lt;&gt;"",K198&lt;&gt;"",M198&lt;&gt;"",N198&lt;&gt;""),TRUE,FALSE)</f>
        <v>0</v>
      </c>
      <c r="B198" s="176"/>
      <c r="C198" s="172" t="str">
        <f t="shared" ref="C198:C223" ca="1" si="32">O198</f>
        <v>a1H3p000009albXEAQ</v>
      </c>
      <c r="D198" s="166"/>
      <c r="E198" s="166">
        <f t="shared" ca="1" si="28"/>
        <v>5</v>
      </c>
      <c r="F198" s="177">
        <f ca="1">IFERROR(IF(COUNTA($D$41:$D198)=1,"",OFFSET($F196,-COUNTA($D$41:$D198)+3,0)),"")</f>
        <v>11</v>
      </c>
      <c r="G198" s="166"/>
      <c r="H198" s="166">
        <f t="shared" ca="1" si="29"/>
        <v>29</v>
      </c>
      <c r="I198" s="178" t="str">
        <f t="shared" ref="I198:I223" ca="1" si="33">IFERROR(CHOOSE(E198,IFERROR(IF(INDIRECT("'Impact Indicators - Section B '!K"&amp;H198+1)="","",INDIRECT("'Impact Indicators - Section B '!K"&amp;H198+1)),""),IFERROR(IF(INDIRECT("'Impact Indicators - Section B '!O"&amp;H198+1)="","",INDIRECT("'Impact Indicators - Section B '!O"&amp;H198+1)),""),IFERROR(IF(INDIRECT("'Impact Indicators - Section B '!S"&amp;H198+1)="","",INDIRECT("'Impact Indicators - Section B '!S"&amp;H198+1)),""),IFERROR(IF(INDIRECT("'Impact Indicators - Section B '!W"&amp;H198+1)="","",INDIRECT("'Impact Indicators - Section B '!W"&amp;H198+1)),"")),"")</f>
        <v/>
      </c>
      <c r="J198" s="178" t="str">
        <f t="shared" ref="J198:J223" ca="1" si="34">IFERROR(CHOOSE(E198,IFERROR(IF(INDIRECT("'Impact Indicators - Section B '!K"&amp;H198)="","",INDIRECT("'Impact Indicators - Section B '!K"&amp;H198)),""),IFERROR(IF(INDIRECT("'Impact Indicators - Section B '!O"&amp;H198)="","",INDIRECT("'Impact Indicators - Section B '!O"&amp;H198)),""),IFERROR(IF(INDIRECT("'Impact Indicators - Section B '!S"&amp;H198)="","",INDIRECT("'Impact Indicators - Section B '!S"&amp;H198)),""),IFERROR(IF(INDIRECT("'Impact Indicators - Section B '!W"&amp;H198)="","",INDIRECT("'Impact Indicators - Section B '!W"&amp;H198)),"")),"")</f>
        <v/>
      </c>
      <c r="K198" s="168" t="str">
        <f t="shared" ref="K198:K223" ca="1" si="35">IFERROR(CHOOSE(E198,IFERROR(IF(INDIRECT("'Impact Indicators - Section B '!L"&amp;H198)="","",INDIRECT("'Impact Indicators - Section B '!L"&amp;H198)*100),""),IFERROR(IF(INDIRECT("'Impact Indicators - Section B '!P"&amp;H198)="","",INDIRECT("'Impact Indicators - Section B '!P"&amp;H198)*100),""),IFERROR(IF(INDIRECT("'Impact Indicators - Section B '!T"&amp;H198)="","",INDIRECT("'Impact Indicators - Section B '!T"&amp;H198)*100),""),IFERROR(IF(INDIRECT("'Impact Indicators - Section B '!X"&amp;H198)="","",INDIRECT("'Impact Indicators - Section B '!X"&amp;H198)*100),"")),"")</f>
        <v/>
      </c>
      <c r="L198" s="171" t="str">
        <f ca="1">IFERROR(CHOOSE(E198,'Impact Indicators - Section B '!$K$7,'Impact Indicators - Section B '!$O$7,'Impact Indicators - Section B '!$S$7,'Impact Indicators - Section B '!$W$7),"")</f>
        <v/>
      </c>
      <c r="M198" s="179" t="str">
        <f t="shared" ref="M198:M223" ca="1" si="36">IFERROR(CHOOSE(E198,IFERROR(IF(INDIRECT("'Impact Indicators - Section B '!M"&amp;H198)="","",INDIRECT("'Impact Indicators - Section B '!M"&amp;H198)),""),IFERROR(IF(INDIRECT("'Impact Indicators - Section B '!Q"&amp;H198)="","",INDIRECT("'Impact Indicators - Section B '!Q"&amp;H198)),""),IFERROR(IF(INDIRECT("'Impact Indicators - Section B '!U"&amp;H198)="","",INDIRECT("'Impact Indicators - Section B '!U"&amp;H198)),""),IFERROR(IF(INDIRECT("'Impact Indicators - Section B '!Y"&amp;H198)="","",INDIRECT("'Impact Indicators - Section B '!Y"&amp;H198)),"")),"")</f>
        <v/>
      </c>
      <c r="N198" s="171" t="str">
        <f t="shared" ref="N198:N223" ca="1" si="37">IFERROR(CHOOSE(E198,IFERROR(IF(INDIRECT("'Impact Indicators - Section B '!N"&amp;H198)=0,"",INDIRECT("'Impact Indicators - Section B '!N"&amp;H198)),""),IFERROR(IF(INDIRECT("'Impact Indicators - Section B '!R"&amp;H198)=0,"",INDIRECT("'Impact Indicators - Section B '!R"&amp;H198)),""),IFERROR(IF(INDIRECT("'Impact Indicators - Section B '!V"&amp;H198)=0,"",INDIRECT("'Impact Indicators - Section B '!V"&amp;H198)),""),IFERROR(IF(INDIRECT("'Impact Indicators - Section B '!Z"&amp;H198)=0,"",INDIRECT("'Impact Indicators - Section B '!Z"&amp;H198)),"")),"")</f>
        <v/>
      </c>
      <c r="O198" s="166" t="str">
        <f ca="1">IFERROR(IF(COUNTA($D$41:$D198)=1,"",OFFSET($C196,-COUNTA($D$41:$D198)+3,0)),"")</f>
        <v>a1H3p000009albXEAQ</v>
      </c>
      <c r="P198" s="166">
        <f t="shared" ca="1" si="30"/>
        <v>0</v>
      </c>
      <c r="Q198" s="166"/>
      <c r="R198" s="166"/>
      <c r="S198" s="166"/>
      <c r="T198" s="166" t="b">
        <f t="shared" ref="T198:T223" ca="1" si="38">IF(A198=TRUE,TRUE,FALSE)</f>
        <v>0</v>
      </c>
    </row>
    <row r="199" spans="1:20">
      <c r="A199" s="166" t="b">
        <f t="shared" ca="1" si="31"/>
        <v>0</v>
      </c>
      <c r="B199" s="176"/>
      <c r="C199" s="172" t="str">
        <f t="shared" ca="1" si="32"/>
        <v>a1H3p000009albmEAA</v>
      </c>
      <c r="D199" s="166"/>
      <c r="E199" s="166">
        <f t="shared" ca="1" si="28"/>
        <v>6</v>
      </c>
      <c r="F199" s="177">
        <f ca="1">IFERROR(IF(COUNTA($D$41:$D199)=1,"",OFFSET($F197,-COUNTA($D$41:$D199)+3,0)),"")</f>
        <v>11</v>
      </c>
      <c r="G199" s="166"/>
      <c r="H199" s="166">
        <f t="shared" ca="1" si="29"/>
        <v>29</v>
      </c>
      <c r="I199" s="178" t="str">
        <f t="shared" ca="1" si="33"/>
        <v/>
      </c>
      <c r="J199" s="178" t="str">
        <f t="shared" ca="1" si="34"/>
        <v/>
      </c>
      <c r="K199" s="168" t="str">
        <f t="shared" ca="1" si="35"/>
        <v/>
      </c>
      <c r="L199" s="171" t="str">
        <f ca="1">IFERROR(CHOOSE(E199,'Impact Indicators - Section B '!$K$7,'Impact Indicators - Section B '!$O$7,'Impact Indicators - Section B '!$S$7,'Impact Indicators - Section B '!$W$7),"")</f>
        <v/>
      </c>
      <c r="M199" s="179" t="str">
        <f t="shared" ca="1" si="36"/>
        <v/>
      </c>
      <c r="N199" s="171" t="str">
        <f t="shared" ca="1" si="37"/>
        <v/>
      </c>
      <c r="O199" s="166" t="str">
        <f ca="1">IFERROR(IF(COUNTA($D$41:$D199)=1,"",OFFSET($C197,-COUNTA($D$41:$D199)+3,0)),"")</f>
        <v>a1H3p000009albmEAA</v>
      </c>
      <c r="P199" s="166">
        <f t="shared" ca="1" si="30"/>
        <v>0</v>
      </c>
      <c r="Q199" s="166"/>
      <c r="R199" s="166"/>
      <c r="S199" s="166"/>
      <c r="T199" s="166" t="b">
        <f t="shared" ca="1" si="38"/>
        <v>0</v>
      </c>
    </row>
    <row r="200" spans="1:20">
      <c r="A200" s="166" t="b">
        <f t="shared" ca="1" si="31"/>
        <v>0</v>
      </c>
      <c r="B200" s="176"/>
      <c r="C200" s="172" t="str">
        <f t="shared" ca="1" si="32"/>
        <v>a1H3p000009alaaEAA</v>
      </c>
      <c r="D200" s="166"/>
      <c r="E200" s="166">
        <f t="shared" ca="1" si="28"/>
        <v>1</v>
      </c>
      <c r="F200" s="177">
        <f ca="1">IFERROR(IF(COUNTA($D$41:$D200)=1,"",OFFSET($F198,-COUNTA($D$41:$D200)+3,0)),"")</f>
        <v>12</v>
      </c>
      <c r="G200" s="166"/>
      <c r="H200" s="166">
        <f t="shared" ca="1" si="29"/>
        <v>31</v>
      </c>
      <c r="I200" s="178" t="str">
        <f t="shared" ca="1" si="33"/>
        <v/>
      </c>
      <c r="J200" s="178" t="str">
        <f t="shared" ca="1" si="34"/>
        <v/>
      </c>
      <c r="K200" s="168" t="str">
        <f t="shared" ca="1" si="35"/>
        <v/>
      </c>
      <c r="L200" s="171">
        <f ca="1">IFERROR(CHOOSE(E200,'Impact Indicators - Section B '!$K$7,'Impact Indicators - Section B '!$O$7,'Impact Indicators - Section B '!$S$7,'Impact Indicators - Section B '!$W$7),"")</f>
        <v>2023</v>
      </c>
      <c r="M200" s="179" t="str">
        <f t="shared" ca="1" si="36"/>
        <v/>
      </c>
      <c r="N200" s="171" t="str">
        <f t="shared" ca="1" si="37"/>
        <v/>
      </c>
      <c r="O200" s="166" t="str">
        <f ca="1">IFERROR(IF(COUNTA($D$41:$D200)=1,"",OFFSET($C198,-COUNTA($D$41:$D200)+3,0)),"")</f>
        <v>a1H3p000009alaaEAA</v>
      </c>
      <c r="P200" s="166">
        <f t="shared" ca="1" si="30"/>
        <v>0</v>
      </c>
      <c r="Q200" s="166"/>
      <c r="R200" s="166"/>
      <c r="S200" s="166"/>
      <c r="T200" s="166" t="b">
        <f t="shared" ca="1" si="38"/>
        <v>0</v>
      </c>
    </row>
    <row r="201" spans="1:20">
      <c r="A201" s="166" t="b">
        <f t="shared" ca="1" si="31"/>
        <v>0</v>
      </c>
      <c r="B201" s="176"/>
      <c r="C201" s="172" t="str">
        <f t="shared" ca="1" si="32"/>
        <v>a1H3p000009alapEAA</v>
      </c>
      <c r="D201" s="166"/>
      <c r="E201" s="166">
        <f t="shared" ca="1" si="28"/>
        <v>2</v>
      </c>
      <c r="F201" s="177">
        <f ca="1">IFERROR(IF(COUNTA($D$41:$D201)=1,"",OFFSET($F199,-COUNTA($D$41:$D201)+3,0)),"")</f>
        <v>12</v>
      </c>
      <c r="G201" s="166"/>
      <c r="H201" s="166">
        <f t="shared" ca="1" si="29"/>
        <v>31</v>
      </c>
      <c r="I201" s="178" t="str">
        <f t="shared" ca="1" si="33"/>
        <v/>
      </c>
      <c r="J201" s="178" t="str">
        <f t="shared" ca="1" si="34"/>
        <v/>
      </c>
      <c r="K201" s="168" t="str">
        <f t="shared" ca="1" si="35"/>
        <v/>
      </c>
      <c r="L201" s="171">
        <f ca="1">IFERROR(CHOOSE(E201,'Impact Indicators - Section B '!$K$7,'Impact Indicators - Section B '!$O$7,'Impact Indicators - Section B '!$S$7,'Impact Indicators - Section B '!$W$7),"")</f>
        <v>2024</v>
      </c>
      <c r="M201" s="179" t="str">
        <f t="shared" ca="1" si="36"/>
        <v/>
      </c>
      <c r="N201" s="171" t="str">
        <f t="shared" ca="1" si="37"/>
        <v/>
      </c>
      <c r="O201" s="166" t="str">
        <f ca="1">IFERROR(IF(COUNTA($D$41:$D201)=1,"",OFFSET($C199,-COUNTA($D$41:$D201)+3,0)),"")</f>
        <v>a1H3p000009alapEAA</v>
      </c>
      <c r="P201" s="166">
        <f t="shared" ca="1" si="30"/>
        <v>0</v>
      </c>
      <c r="Q201" s="166"/>
      <c r="R201" s="166"/>
      <c r="S201" s="166"/>
      <c r="T201" s="166" t="b">
        <f t="shared" ca="1" si="38"/>
        <v>0</v>
      </c>
    </row>
    <row r="202" spans="1:20">
      <c r="A202" s="166" t="b">
        <f t="shared" ca="1" si="31"/>
        <v>0</v>
      </c>
      <c r="B202" s="176"/>
      <c r="C202" s="172" t="str">
        <f t="shared" ca="1" si="32"/>
        <v>a1H3p000009alb4EAA</v>
      </c>
      <c r="D202" s="166"/>
      <c r="E202" s="166">
        <f t="shared" ca="1" si="28"/>
        <v>3</v>
      </c>
      <c r="F202" s="177">
        <f ca="1">IFERROR(IF(COUNTA($D$41:$D202)=1,"",OFFSET($F200,-COUNTA($D$41:$D202)+3,0)),"")</f>
        <v>12</v>
      </c>
      <c r="G202" s="166"/>
      <c r="H202" s="166">
        <f t="shared" ca="1" si="29"/>
        <v>31</v>
      </c>
      <c r="I202" s="178" t="str">
        <f t="shared" ca="1" si="33"/>
        <v/>
      </c>
      <c r="J202" s="178" t="str">
        <f t="shared" ca="1" si="34"/>
        <v/>
      </c>
      <c r="K202" s="168" t="str">
        <f t="shared" ca="1" si="35"/>
        <v/>
      </c>
      <c r="L202" s="171">
        <f ca="1">IFERROR(CHOOSE(E202,'Impact Indicators - Section B '!$K$7,'Impact Indicators - Section B '!$O$7,'Impact Indicators - Section B '!$S$7,'Impact Indicators - Section B '!$W$7),"")</f>
        <v>2025</v>
      </c>
      <c r="M202" s="179" t="str">
        <f t="shared" ca="1" si="36"/>
        <v/>
      </c>
      <c r="N202" s="171" t="str">
        <f t="shared" ca="1" si="37"/>
        <v/>
      </c>
      <c r="O202" s="166" t="str">
        <f ca="1">IFERROR(IF(COUNTA($D$41:$D202)=1,"",OFFSET($C200,-COUNTA($D$41:$D202)+3,0)),"")</f>
        <v>a1H3p000009alb4EAA</v>
      </c>
      <c r="P202" s="166">
        <f t="shared" ca="1" si="30"/>
        <v>0</v>
      </c>
      <c r="Q202" s="166"/>
      <c r="R202" s="166"/>
      <c r="S202" s="166"/>
      <c r="T202" s="166" t="b">
        <f t="shared" ca="1" si="38"/>
        <v>0</v>
      </c>
    </row>
    <row r="203" spans="1:20">
      <c r="A203" s="166" t="b">
        <f t="shared" ca="1" si="31"/>
        <v>0</v>
      </c>
      <c r="B203" s="176"/>
      <c r="C203" s="172" t="str">
        <f t="shared" ca="1" si="32"/>
        <v>a1H3p000009albJEAQ</v>
      </c>
      <c r="D203" s="166"/>
      <c r="E203" s="166">
        <f t="shared" ca="1" si="28"/>
        <v>4</v>
      </c>
      <c r="F203" s="177">
        <f ca="1">IFERROR(IF(COUNTA($D$41:$D203)=1,"",OFFSET($F201,-COUNTA($D$41:$D203)+3,0)),"")</f>
        <v>12</v>
      </c>
      <c r="G203" s="166"/>
      <c r="H203" s="166">
        <f t="shared" ca="1" si="29"/>
        <v>31</v>
      </c>
      <c r="I203" s="178" t="str">
        <f t="shared" ca="1" si="33"/>
        <v/>
      </c>
      <c r="J203" s="178" t="str">
        <f t="shared" ca="1" si="34"/>
        <v/>
      </c>
      <c r="K203" s="168" t="str">
        <f t="shared" ca="1" si="35"/>
        <v/>
      </c>
      <c r="L203" s="171" t="str">
        <f ca="1">IFERROR(CHOOSE(E203,'Impact Indicators - Section B '!$K$7,'Impact Indicators - Section B '!$O$7,'Impact Indicators - Section B '!$S$7,'Impact Indicators - Section B '!$W$7),"")</f>
        <v/>
      </c>
      <c r="M203" s="179" t="str">
        <f t="shared" ca="1" si="36"/>
        <v/>
      </c>
      <c r="N203" s="171" t="str">
        <f t="shared" ca="1" si="37"/>
        <v/>
      </c>
      <c r="O203" s="166" t="str">
        <f ca="1">IFERROR(IF(COUNTA($D$41:$D203)=1,"",OFFSET($C201,-COUNTA($D$41:$D203)+3,0)),"")</f>
        <v>a1H3p000009albJEAQ</v>
      </c>
      <c r="P203" s="166">
        <f t="shared" ca="1" si="30"/>
        <v>0</v>
      </c>
      <c r="Q203" s="166"/>
      <c r="R203" s="166"/>
      <c r="S203" s="166"/>
      <c r="T203" s="166" t="b">
        <f t="shared" ca="1" si="38"/>
        <v>0</v>
      </c>
    </row>
    <row r="204" spans="1:20">
      <c r="A204" s="166" t="b">
        <f t="shared" ca="1" si="31"/>
        <v>0</v>
      </c>
      <c r="B204" s="176"/>
      <c r="C204" s="172" t="str">
        <f t="shared" ca="1" si="32"/>
        <v>a1H3p000009albYEAQ</v>
      </c>
      <c r="D204" s="166"/>
      <c r="E204" s="166">
        <f t="shared" ca="1" si="28"/>
        <v>5</v>
      </c>
      <c r="F204" s="177">
        <f ca="1">IFERROR(IF(COUNTA($D$41:$D204)=1,"",OFFSET($F202,-COUNTA($D$41:$D204)+3,0)),"")</f>
        <v>12</v>
      </c>
      <c r="G204" s="166"/>
      <c r="H204" s="166">
        <f t="shared" ca="1" si="29"/>
        <v>31</v>
      </c>
      <c r="I204" s="178" t="str">
        <f t="shared" ca="1" si="33"/>
        <v/>
      </c>
      <c r="J204" s="178" t="str">
        <f t="shared" ca="1" si="34"/>
        <v/>
      </c>
      <c r="K204" s="168" t="str">
        <f t="shared" ca="1" si="35"/>
        <v/>
      </c>
      <c r="L204" s="171" t="str">
        <f ca="1">IFERROR(CHOOSE(E204,'Impact Indicators - Section B '!$K$7,'Impact Indicators - Section B '!$O$7,'Impact Indicators - Section B '!$S$7,'Impact Indicators - Section B '!$W$7),"")</f>
        <v/>
      </c>
      <c r="M204" s="179" t="str">
        <f t="shared" ca="1" si="36"/>
        <v/>
      </c>
      <c r="N204" s="171" t="str">
        <f t="shared" ca="1" si="37"/>
        <v/>
      </c>
      <c r="O204" s="166" t="str">
        <f ca="1">IFERROR(IF(COUNTA($D$41:$D204)=1,"",OFFSET($C202,-COUNTA($D$41:$D204)+3,0)),"")</f>
        <v>a1H3p000009albYEAQ</v>
      </c>
      <c r="P204" s="166">
        <f t="shared" ca="1" si="30"/>
        <v>0</v>
      </c>
      <c r="Q204" s="166"/>
      <c r="R204" s="166"/>
      <c r="S204" s="166"/>
      <c r="T204" s="166" t="b">
        <f t="shared" ca="1" si="38"/>
        <v>0</v>
      </c>
    </row>
    <row r="205" spans="1:20">
      <c r="A205" s="166" t="b">
        <f t="shared" ca="1" si="31"/>
        <v>0</v>
      </c>
      <c r="B205" s="176"/>
      <c r="C205" s="172" t="str">
        <f t="shared" ca="1" si="32"/>
        <v>a1H3p000009albnEAA</v>
      </c>
      <c r="D205" s="166"/>
      <c r="E205" s="166">
        <f t="shared" ca="1" si="28"/>
        <v>6</v>
      </c>
      <c r="F205" s="177">
        <f ca="1">IFERROR(IF(COUNTA($D$41:$D205)=1,"",OFFSET($F203,-COUNTA($D$41:$D205)+3,0)),"")</f>
        <v>12</v>
      </c>
      <c r="G205" s="166"/>
      <c r="H205" s="166">
        <f t="shared" ca="1" si="29"/>
        <v>31</v>
      </c>
      <c r="I205" s="178" t="str">
        <f t="shared" ca="1" si="33"/>
        <v/>
      </c>
      <c r="J205" s="178" t="str">
        <f t="shared" ca="1" si="34"/>
        <v/>
      </c>
      <c r="K205" s="168" t="str">
        <f t="shared" ca="1" si="35"/>
        <v/>
      </c>
      <c r="L205" s="171" t="str">
        <f ca="1">IFERROR(CHOOSE(E205,'Impact Indicators - Section B '!$K$7,'Impact Indicators - Section B '!$O$7,'Impact Indicators - Section B '!$S$7,'Impact Indicators - Section B '!$W$7),"")</f>
        <v/>
      </c>
      <c r="M205" s="179" t="str">
        <f t="shared" ca="1" si="36"/>
        <v/>
      </c>
      <c r="N205" s="171" t="str">
        <f t="shared" ca="1" si="37"/>
        <v/>
      </c>
      <c r="O205" s="166" t="str">
        <f ca="1">IFERROR(IF(COUNTA($D$41:$D205)=1,"",OFFSET($C203,-COUNTA($D$41:$D205)+3,0)),"")</f>
        <v>a1H3p000009albnEAA</v>
      </c>
      <c r="P205" s="166">
        <f t="shared" ca="1" si="30"/>
        <v>0</v>
      </c>
      <c r="Q205" s="166"/>
      <c r="R205" s="166"/>
      <c r="S205" s="166"/>
      <c r="T205" s="166" t="b">
        <f t="shared" ca="1" si="38"/>
        <v>0</v>
      </c>
    </row>
    <row r="206" spans="1:20">
      <c r="A206" s="166" t="b">
        <f t="shared" ca="1" si="31"/>
        <v>0</v>
      </c>
      <c r="B206" s="176"/>
      <c r="C206" s="172" t="str">
        <f t="shared" ca="1" si="32"/>
        <v>a1H3p000009alabEAA</v>
      </c>
      <c r="D206" s="166"/>
      <c r="E206" s="166">
        <f t="shared" ca="1" si="28"/>
        <v>1</v>
      </c>
      <c r="F206" s="177">
        <f ca="1">IFERROR(IF(COUNTA($D$41:$D206)=1,"",OFFSET($F204,-COUNTA($D$41:$D206)+3,0)),"")</f>
        <v>13</v>
      </c>
      <c r="G206" s="166"/>
      <c r="H206" s="166">
        <f t="shared" ca="1" si="29"/>
        <v>33</v>
      </c>
      <c r="I206" s="178" t="str">
        <f t="shared" ca="1" si="33"/>
        <v/>
      </c>
      <c r="J206" s="178" t="str">
        <f t="shared" ca="1" si="34"/>
        <v/>
      </c>
      <c r="K206" s="168" t="str">
        <f t="shared" ca="1" si="35"/>
        <v/>
      </c>
      <c r="L206" s="171">
        <f ca="1">IFERROR(CHOOSE(E206,'Impact Indicators - Section B '!$K$7,'Impact Indicators - Section B '!$O$7,'Impact Indicators - Section B '!$S$7,'Impact Indicators - Section B '!$W$7),"")</f>
        <v>2023</v>
      </c>
      <c r="M206" s="179" t="str">
        <f t="shared" ca="1" si="36"/>
        <v/>
      </c>
      <c r="N206" s="171" t="str">
        <f t="shared" ca="1" si="37"/>
        <v/>
      </c>
      <c r="O206" s="166" t="str">
        <f ca="1">IFERROR(IF(COUNTA($D$41:$D206)=1,"",OFFSET($C204,-COUNTA($D$41:$D206)+3,0)),"")</f>
        <v>a1H3p000009alabEAA</v>
      </c>
      <c r="P206" s="166">
        <f t="shared" ca="1" si="30"/>
        <v>0</v>
      </c>
      <c r="Q206" s="166"/>
      <c r="R206" s="166"/>
      <c r="S206" s="166"/>
      <c r="T206" s="166" t="b">
        <f t="shared" ca="1" si="38"/>
        <v>0</v>
      </c>
    </row>
    <row r="207" spans="1:20">
      <c r="A207" s="166" t="b">
        <f t="shared" ca="1" si="31"/>
        <v>0</v>
      </c>
      <c r="B207" s="176"/>
      <c r="C207" s="172" t="str">
        <f t="shared" ca="1" si="32"/>
        <v>a1H3p000009alaqEAA</v>
      </c>
      <c r="D207" s="166"/>
      <c r="E207" s="166">
        <f t="shared" ca="1" si="28"/>
        <v>2</v>
      </c>
      <c r="F207" s="177">
        <f ca="1">IFERROR(IF(COUNTA($D$41:$D207)=1,"",OFFSET($F205,-COUNTA($D$41:$D207)+3,0)),"")</f>
        <v>13</v>
      </c>
      <c r="G207" s="166"/>
      <c r="H207" s="166">
        <f t="shared" ca="1" si="29"/>
        <v>33</v>
      </c>
      <c r="I207" s="178" t="str">
        <f t="shared" ca="1" si="33"/>
        <v/>
      </c>
      <c r="J207" s="178" t="str">
        <f t="shared" ca="1" si="34"/>
        <v/>
      </c>
      <c r="K207" s="168" t="str">
        <f t="shared" ca="1" si="35"/>
        <v/>
      </c>
      <c r="L207" s="171">
        <f ca="1">IFERROR(CHOOSE(E207,'Impact Indicators - Section B '!$K$7,'Impact Indicators - Section B '!$O$7,'Impact Indicators - Section B '!$S$7,'Impact Indicators - Section B '!$W$7),"")</f>
        <v>2024</v>
      </c>
      <c r="M207" s="179" t="str">
        <f t="shared" ca="1" si="36"/>
        <v/>
      </c>
      <c r="N207" s="171" t="str">
        <f t="shared" ca="1" si="37"/>
        <v/>
      </c>
      <c r="O207" s="166" t="str">
        <f ca="1">IFERROR(IF(COUNTA($D$41:$D207)=1,"",OFFSET($C205,-COUNTA($D$41:$D207)+3,0)),"")</f>
        <v>a1H3p000009alaqEAA</v>
      </c>
      <c r="P207" s="166">
        <f t="shared" ca="1" si="30"/>
        <v>0</v>
      </c>
      <c r="Q207" s="166"/>
      <c r="R207" s="166"/>
      <c r="S207" s="166"/>
      <c r="T207" s="166" t="b">
        <f t="shared" ca="1" si="38"/>
        <v>0</v>
      </c>
    </row>
    <row r="208" spans="1:20">
      <c r="A208" s="166" t="b">
        <f t="shared" ca="1" si="31"/>
        <v>0</v>
      </c>
      <c r="B208" s="176"/>
      <c r="C208" s="172" t="str">
        <f t="shared" ca="1" si="32"/>
        <v>a1H3p000009alb5EAA</v>
      </c>
      <c r="D208" s="166"/>
      <c r="E208" s="166">
        <f t="shared" ca="1" si="28"/>
        <v>3</v>
      </c>
      <c r="F208" s="177">
        <f ca="1">IFERROR(IF(COUNTA($D$41:$D208)=1,"",OFFSET($F206,-COUNTA($D$41:$D208)+3,0)),"")</f>
        <v>13</v>
      </c>
      <c r="G208" s="166"/>
      <c r="H208" s="166">
        <f t="shared" ca="1" si="29"/>
        <v>33</v>
      </c>
      <c r="I208" s="178" t="str">
        <f t="shared" ca="1" si="33"/>
        <v/>
      </c>
      <c r="J208" s="178" t="str">
        <f t="shared" ca="1" si="34"/>
        <v/>
      </c>
      <c r="K208" s="168" t="str">
        <f t="shared" ca="1" si="35"/>
        <v/>
      </c>
      <c r="L208" s="171">
        <f ca="1">IFERROR(CHOOSE(E208,'Impact Indicators - Section B '!$K$7,'Impact Indicators - Section B '!$O$7,'Impact Indicators - Section B '!$S$7,'Impact Indicators - Section B '!$W$7),"")</f>
        <v>2025</v>
      </c>
      <c r="M208" s="179" t="str">
        <f t="shared" ca="1" si="36"/>
        <v/>
      </c>
      <c r="N208" s="171" t="str">
        <f t="shared" ca="1" si="37"/>
        <v/>
      </c>
      <c r="O208" s="166" t="str">
        <f ca="1">IFERROR(IF(COUNTA($D$41:$D208)=1,"",OFFSET($C206,-COUNTA($D$41:$D208)+3,0)),"")</f>
        <v>a1H3p000009alb5EAA</v>
      </c>
      <c r="P208" s="166">
        <f t="shared" ca="1" si="30"/>
        <v>0</v>
      </c>
      <c r="Q208" s="166"/>
      <c r="R208" s="166"/>
      <c r="S208" s="166"/>
      <c r="T208" s="166" t="b">
        <f t="shared" ca="1" si="38"/>
        <v>0</v>
      </c>
    </row>
    <row r="209" spans="1:20">
      <c r="A209" s="166" t="b">
        <f t="shared" ca="1" si="31"/>
        <v>0</v>
      </c>
      <c r="B209" s="176"/>
      <c r="C209" s="172" t="str">
        <f t="shared" ca="1" si="32"/>
        <v>a1H3p000009albKEAQ</v>
      </c>
      <c r="D209" s="166"/>
      <c r="E209" s="166">
        <f t="shared" ca="1" si="28"/>
        <v>4</v>
      </c>
      <c r="F209" s="177">
        <f ca="1">IFERROR(IF(COUNTA($D$41:$D209)=1,"",OFFSET($F207,-COUNTA($D$41:$D209)+3,0)),"")</f>
        <v>13</v>
      </c>
      <c r="G209" s="166"/>
      <c r="H209" s="166">
        <f t="shared" ca="1" si="29"/>
        <v>33</v>
      </c>
      <c r="I209" s="178" t="str">
        <f t="shared" ca="1" si="33"/>
        <v/>
      </c>
      <c r="J209" s="178" t="str">
        <f t="shared" ca="1" si="34"/>
        <v/>
      </c>
      <c r="K209" s="168" t="str">
        <f t="shared" ca="1" si="35"/>
        <v/>
      </c>
      <c r="L209" s="171" t="str">
        <f ca="1">IFERROR(CHOOSE(E209,'Impact Indicators - Section B '!$K$7,'Impact Indicators - Section B '!$O$7,'Impact Indicators - Section B '!$S$7,'Impact Indicators - Section B '!$W$7),"")</f>
        <v/>
      </c>
      <c r="M209" s="179" t="str">
        <f t="shared" ca="1" si="36"/>
        <v/>
      </c>
      <c r="N209" s="171" t="str">
        <f t="shared" ca="1" si="37"/>
        <v/>
      </c>
      <c r="O209" s="166" t="str">
        <f ca="1">IFERROR(IF(COUNTA($D$41:$D209)=1,"",OFFSET($C207,-COUNTA($D$41:$D209)+3,0)),"")</f>
        <v>a1H3p000009albKEAQ</v>
      </c>
      <c r="P209" s="166">
        <f t="shared" ca="1" si="30"/>
        <v>0</v>
      </c>
      <c r="Q209" s="166"/>
      <c r="R209" s="166"/>
      <c r="S209" s="166"/>
      <c r="T209" s="166" t="b">
        <f t="shared" ca="1" si="38"/>
        <v>0</v>
      </c>
    </row>
    <row r="210" spans="1:20">
      <c r="A210" s="166" t="b">
        <f t="shared" ca="1" si="31"/>
        <v>0</v>
      </c>
      <c r="B210" s="176"/>
      <c r="C210" s="172" t="str">
        <f t="shared" ca="1" si="32"/>
        <v>a1H3p000009albZEAQ</v>
      </c>
      <c r="D210" s="166"/>
      <c r="E210" s="166">
        <f t="shared" ca="1" si="28"/>
        <v>5</v>
      </c>
      <c r="F210" s="177">
        <f ca="1">IFERROR(IF(COUNTA($D$41:$D210)=1,"",OFFSET($F208,-COUNTA($D$41:$D210)+3,0)),"")</f>
        <v>13</v>
      </c>
      <c r="G210" s="166"/>
      <c r="H210" s="166">
        <f t="shared" ca="1" si="29"/>
        <v>33</v>
      </c>
      <c r="I210" s="178" t="str">
        <f t="shared" ca="1" si="33"/>
        <v/>
      </c>
      <c r="J210" s="178" t="str">
        <f t="shared" ca="1" si="34"/>
        <v/>
      </c>
      <c r="K210" s="168" t="str">
        <f t="shared" ca="1" si="35"/>
        <v/>
      </c>
      <c r="L210" s="171" t="str">
        <f ca="1">IFERROR(CHOOSE(E210,'Impact Indicators - Section B '!$K$7,'Impact Indicators - Section B '!$O$7,'Impact Indicators - Section B '!$S$7,'Impact Indicators - Section B '!$W$7),"")</f>
        <v/>
      </c>
      <c r="M210" s="179" t="str">
        <f t="shared" ca="1" si="36"/>
        <v/>
      </c>
      <c r="N210" s="171" t="str">
        <f t="shared" ca="1" si="37"/>
        <v/>
      </c>
      <c r="O210" s="166" t="str">
        <f ca="1">IFERROR(IF(COUNTA($D$41:$D210)=1,"",OFFSET($C208,-COUNTA($D$41:$D210)+3,0)),"")</f>
        <v>a1H3p000009albZEAQ</v>
      </c>
      <c r="P210" s="166">
        <f t="shared" ca="1" si="30"/>
        <v>0</v>
      </c>
      <c r="Q210" s="166"/>
      <c r="R210" s="166"/>
      <c r="S210" s="166"/>
      <c r="T210" s="166" t="b">
        <f t="shared" ca="1" si="38"/>
        <v>0</v>
      </c>
    </row>
    <row r="211" spans="1:20">
      <c r="A211" s="166" t="b">
        <f t="shared" ca="1" si="31"/>
        <v>0</v>
      </c>
      <c r="B211" s="176"/>
      <c r="C211" s="172" t="str">
        <f t="shared" ca="1" si="32"/>
        <v>a1H3p000009alboEAA</v>
      </c>
      <c r="D211" s="166"/>
      <c r="E211" s="166">
        <f t="shared" ca="1" si="28"/>
        <v>6</v>
      </c>
      <c r="F211" s="177">
        <f ca="1">IFERROR(IF(COUNTA($D$41:$D211)=1,"",OFFSET($F209,-COUNTA($D$41:$D211)+3,0)),"")</f>
        <v>13</v>
      </c>
      <c r="G211" s="166"/>
      <c r="H211" s="166">
        <f t="shared" ca="1" si="29"/>
        <v>33</v>
      </c>
      <c r="I211" s="178" t="str">
        <f t="shared" ca="1" si="33"/>
        <v/>
      </c>
      <c r="J211" s="178" t="str">
        <f t="shared" ca="1" si="34"/>
        <v/>
      </c>
      <c r="K211" s="168" t="str">
        <f t="shared" ca="1" si="35"/>
        <v/>
      </c>
      <c r="L211" s="171" t="str">
        <f ca="1">IFERROR(CHOOSE(E211,'Impact Indicators - Section B '!$K$7,'Impact Indicators - Section B '!$O$7,'Impact Indicators - Section B '!$S$7,'Impact Indicators - Section B '!$W$7),"")</f>
        <v/>
      </c>
      <c r="M211" s="179" t="str">
        <f t="shared" ca="1" si="36"/>
        <v/>
      </c>
      <c r="N211" s="171" t="str">
        <f t="shared" ca="1" si="37"/>
        <v/>
      </c>
      <c r="O211" s="166" t="str">
        <f ca="1">IFERROR(IF(COUNTA($D$41:$D211)=1,"",OFFSET($C209,-COUNTA($D$41:$D211)+3,0)),"")</f>
        <v>a1H3p000009alboEAA</v>
      </c>
      <c r="P211" s="166">
        <f t="shared" ca="1" si="30"/>
        <v>0</v>
      </c>
      <c r="Q211" s="166"/>
      <c r="R211" s="166"/>
      <c r="S211" s="166"/>
      <c r="T211" s="166" t="b">
        <f t="shared" ca="1" si="38"/>
        <v>0</v>
      </c>
    </row>
    <row r="212" spans="1:20">
      <c r="A212" s="166" t="b">
        <f t="shared" ca="1" si="31"/>
        <v>0</v>
      </c>
      <c r="B212" s="176"/>
      <c r="C212" s="172" t="str">
        <f t="shared" ca="1" si="32"/>
        <v>a1H3p000009alacEAA</v>
      </c>
      <c r="D212" s="166"/>
      <c r="E212" s="166">
        <f t="shared" ca="1" si="28"/>
        <v>1</v>
      </c>
      <c r="F212" s="177">
        <f ca="1">IFERROR(IF(COUNTA($D$41:$D212)=1,"",OFFSET($F210,-COUNTA($D$41:$D212)+3,0)),"")</f>
        <v>14</v>
      </c>
      <c r="G212" s="166"/>
      <c r="H212" s="166">
        <f t="shared" ca="1" si="29"/>
        <v>35</v>
      </c>
      <c r="I212" s="178" t="str">
        <f t="shared" ca="1" si="33"/>
        <v/>
      </c>
      <c r="J212" s="178" t="str">
        <f t="shared" ca="1" si="34"/>
        <v/>
      </c>
      <c r="K212" s="168" t="str">
        <f t="shared" ca="1" si="35"/>
        <v/>
      </c>
      <c r="L212" s="171">
        <f ca="1">IFERROR(CHOOSE(E212,'Impact Indicators - Section B '!$K$7,'Impact Indicators - Section B '!$O$7,'Impact Indicators - Section B '!$S$7,'Impact Indicators - Section B '!$W$7),"")</f>
        <v>2023</v>
      </c>
      <c r="M212" s="179" t="str">
        <f t="shared" ca="1" si="36"/>
        <v/>
      </c>
      <c r="N212" s="171" t="str">
        <f t="shared" ca="1" si="37"/>
        <v/>
      </c>
      <c r="O212" s="166" t="str">
        <f ca="1">IFERROR(IF(COUNTA($D$41:$D212)=1,"",OFFSET($C210,-COUNTA($D$41:$D212)+3,0)),"")</f>
        <v>a1H3p000009alacEAA</v>
      </c>
      <c r="P212" s="166">
        <f t="shared" ca="1" si="30"/>
        <v>0</v>
      </c>
      <c r="Q212" s="166"/>
      <c r="R212" s="166"/>
      <c r="S212" s="166"/>
      <c r="T212" s="166" t="b">
        <f t="shared" ca="1" si="38"/>
        <v>0</v>
      </c>
    </row>
    <row r="213" spans="1:20">
      <c r="A213" s="166" t="b">
        <f t="shared" ca="1" si="31"/>
        <v>0</v>
      </c>
      <c r="B213" s="176"/>
      <c r="C213" s="172" t="str">
        <f t="shared" ca="1" si="32"/>
        <v>a1H3p000009alarEAA</v>
      </c>
      <c r="D213" s="166"/>
      <c r="E213" s="166">
        <f t="shared" ca="1" si="28"/>
        <v>2</v>
      </c>
      <c r="F213" s="177">
        <f ca="1">IFERROR(IF(COUNTA($D$41:$D213)=1,"",OFFSET($F211,-COUNTA($D$41:$D213)+3,0)),"")</f>
        <v>14</v>
      </c>
      <c r="G213" s="166"/>
      <c r="H213" s="166">
        <f t="shared" ca="1" si="29"/>
        <v>35</v>
      </c>
      <c r="I213" s="178" t="str">
        <f t="shared" ca="1" si="33"/>
        <v/>
      </c>
      <c r="J213" s="178" t="str">
        <f t="shared" ca="1" si="34"/>
        <v/>
      </c>
      <c r="K213" s="168" t="str">
        <f t="shared" ca="1" si="35"/>
        <v/>
      </c>
      <c r="L213" s="171">
        <f ca="1">IFERROR(CHOOSE(E213,'Impact Indicators - Section B '!$K$7,'Impact Indicators - Section B '!$O$7,'Impact Indicators - Section B '!$S$7,'Impact Indicators - Section B '!$W$7),"")</f>
        <v>2024</v>
      </c>
      <c r="M213" s="179" t="str">
        <f t="shared" ca="1" si="36"/>
        <v/>
      </c>
      <c r="N213" s="171" t="str">
        <f t="shared" ca="1" si="37"/>
        <v/>
      </c>
      <c r="O213" s="166" t="str">
        <f ca="1">IFERROR(IF(COUNTA($D$41:$D213)=1,"",OFFSET($C211,-COUNTA($D$41:$D213)+3,0)),"")</f>
        <v>a1H3p000009alarEAA</v>
      </c>
      <c r="P213" s="166">
        <f t="shared" ca="1" si="30"/>
        <v>0</v>
      </c>
      <c r="Q213" s="166"/>
      <c r="R213" s="166"/>
      <c r="S213" s="166"/>
      <c r="T213" s="166" t="b">
        <f t="shared" ca="1" si="38"/>
        <v>0</v>
      </c>
    </row>
    <row r="214" spans="1:20">
      <c r="A214" s="166" t="b">
        <f t="shared" ca="1" si="31"/>
        <v>0</v>
      </c>
      <c r="B214" s="176"/>
      <c r="C214" s="172" t="str">
        <f t="shared" ca="1" si="32"/>
        <v>a1H3p000009alb6EAA</v>
      </c>
      <c r="D214" s="166"/>
      <c r="E214" s="166">
        <f t="shared" ca="1" si="28"/>
        <v>3</v>
      </c>
      <c r="F214" s="177">
        <f ca="1">IFERROR(IF(COUNTA($D$41:$D214)=1,"",OFFSET($F212,-COUNTA($D$41:$D214)+3,0)),"")</f>
        <v>14</v>
      </c>
      <c r="G214" s="166"/>
      <c r="H214" s="166">
        <f t="shared" ca="1" si="29"/>
        <v>35</v>
      </c>
      <c r="I214" s="178" t="str">
        <f t="shared" ca="1" si="33"/>
        <v/>
      </c>
      <c r="J214" s="178" t="str">
        <f t="shared" ca="1" si="34"/>
        <v/>
      </c>
      <c r="K214" s="168" t="str">
        <f t="shared" ca="1" si="35"/>
        <v/>
      </c>
      <c r="L214" s="171">
        <f ca="1">IFERROR(CHOOSE(E214,'Impact Indicators - Section B '!$K$7,'Impact Indicators - Section B '!$O$7,'Impact Indicators - Section B '!$S$7,'Impact Indicators - Section B '!$W$7),"")</f>
        <v>2025</v>
      </c>
      <c r="M214" s="179" t="str">
        <f t="shared" ca="1" si="36"/>
        <v/>
      </c>
      <c r="N214" s="171" t="str">
        <f t="shared" ca="1" si="37"/>
        <v/>
      </c>
      <c r="O214" s="166" t="str">
        <f ca="1">IFERROR(IF(COUNTA($D$41:$D214)=1,"",OFFSET($C212,-COUNTA($D$41:$D214)+3,0)),"")</f>
        <v>a1H3p000009alb6EAA</v>
      </c>
      <c r="P214" s="166">
        <f t="shared" ca="1" si="30"/>
        <v>0</v>
      </c>
      <c r="Q214" s="166"/>
      <c r="R214" s="166"/>
      <c r="S214" s="166"/>
      <c r="T214" s="166" t="b">
        <f t="shared" ca="1" si="38"/>
        <v>0</v>
      </c>
    </row>
    <row r="215" spans="1:20">
      <c r="A215" s="166" t="b">
        <f t="shared" ca="1" si="31"/>
        <v>0</v>
      </c>
      <c r="B215" s="176"/>
      <c r="C215" s="172" t="str">
        <f t="shared" ca="1" si="32"/>
        <v>a1H3p000009albLEAQ</v>
      </c>
      <c r="D215" s="166"/>
      <c r="E215" s="166">
        <f t="shared" ca="1" si="28"/>
        <v>4</v>
      </c>
      <c r="F215" s="177">
        <f ca="1">IFERROR(IF(COUNTA($D$41:$D215)=1,"",OFFSET($F213,-COUNTA($D$41:$D215)+3,0)),"")</f>
        <v>14</v>
      </c>
      <c r="G215" s="166"/>
      <c r="H215" s="166">
        <f t="shared" ca="1" si="29"/>
        <v>35</v>
      </c>
      <c r="I215" s="178" t="str">
        <f t="shared" ca="1" si="33"/>
        <v/>
      </c>
      <c r="J215" s="178" t="str">
        <f t="shared" ca="1" si="34"/>
        <v/>
      </c>
      <c r="K215" s="168" t="str">
        <f t="shared" ca="1" si="35"/>
        <v/>
      </c>
      <c r="L215" s="171" t="str">
        <f ca="1">IFERROR(CHOOSE(E215,'Impact Indicators - Section B '!$K$7,'Impact Indicators - Section B '!$O$7,'Impact Indicators - Section B '!$S$7,'Impact Indicators - Section B '!$W$7),"")</f>
        <v/>
      </c>
      <c r="M215" s="179" t="str">
        <f t="shared" ca="1" si="36"/>
        <v/>
      </c>
      <c r="N215" s="171" t="str">
        <f t="shared" ca="1" si="37"/>
        <v/>
      </c>
      <c r="O215" s="166" t="str">
        <f ca="1">IFERROR(IF(COUNTA($D$41:$D215)=1,"",OFFSET($C213,-COUNTA($D$41:$D215)+3,0)),"")</f>
        <v>a1H3p000009albLEAQ</v>
      </c>
      <c r="P215" s="166">
        <f t="shared" ca="1" si="30"/>
        <v>0</v>
      </c>
      <c r="Q215" s="166"/>
      <c r="R215" s="166"/>
      <c r="S215" s="166"/>
      <c r="T215" s="166" t="b">
        <f t="shared" ca="1" si="38"/>
        <v>0</v>
      </c>
    </row>
    <row r="216" spans="1:20">
      <c r="A216" s="166" t="b">
        <f t="shared" ca="1" si="31"/>
        <v>0</v>
      </c>
      <c r="B216" s="176"/>
      <c r="C216" s="172" t="str">
        <f t="shared" ca="1" si="32"/>
        <v>a1H3p000009albaEAA</v>
      </c>
      <c r="D216" s="166"/>
      <c r="E216" s="166">
        <f t="shared" ca="1" si="28"/>
        <v>5</v>
      </c>
      <c r="F216" s="177">
        <f ca="1">IFERROR(IF(COUNTA($D$41:$D216)=1,"",OFFSET($F214,-COUNTA($D$41:$D216)+3,0)),"")</f>
        <v>14</v>
      </c>
      <c r="G216" s="166"/>
      <c r="H216" s="166">
        <f t="shared" ca="1" si="29"/>
        <v>35</v>
      </c>
      <c r="I216" s="178" t="str">
        <f t="shared" ca="1" si="33"/>
        <v/>
      </c>
      <c r="J216" s="178" t="str">
        <f t="shared" ca="1" si="34"/>
        <v/>
      </c>
      <c r="K216" s="168" t="str">
        <f t="shared" ca="1" si="35"/>
        <v/>
      </c>
      <c r="L216" s="171" t="str">
        <f ca="1">IFERROR(CHOOSE(E216,'Impact Indicators - Section B '!$K$7,'Impact Indicators - Section B '!$O$7,'Impact Indicators - Section B '!$S$7,'Impact Indicators - Section B '!$W$7),"")</f>
        <v/>
      </c>
      <c r="M216" s="179" t="str">
        <f t="shared" ca="1" si="36"/>
        <v/>
      </c>
      <c r="N216" s="171" t="str">
        <f t="shared" ca="1" si="37"/>
        <v/>
      </c>
      <c r="O216" s="166" t="str">
        <f ca="1">IFERROR(IF(COUNTA($D$41:$D216)=1,"",OFFSET($C214,-COUNTA($D$41:$D216)+3,0)),"")</f>
        <v>a1H3p000009albaEAA</v>
      </c>
      <c r="P216" s="166">
        <f t="shared" ca="1" si="30"/>
        <v>0</v>
      </c>
      <c r="Q216" s="166"/>
      <c r="R216" s="166"/>
      <c r="S216" s="166"/>
      <c r="T216" s="166" t="b">
        <f t="shared" ca="1" si="38"/>
        <v>0</v>
      </c>
    </row>
    <row r="217" spans="1:20">
      <c r="A217" s="166" t="b">
        <f t="shared" ca="1" si="31"/>
        <v>0</v>
      </c>
      <c r="B217" s="176"/>
      <c r="C217" s="172" t="str">
        <f t="shared" ca="1" si="32"/>
        <v>a1H3p000009albpEAA</v>
      </c>
      <c r="D217" s="166"/>
      <c r="E217" s="166">
        <f t="shared" ca="1" si="28"/>
        <v>6</v>
      </c>
      <c r="F217" s="177">
        <f ca="1">IFERROR(IF(COUNTA($D$41:$D217)=1,"",OFFSET($F215,-COUNTA($D$41:$D217)+3,0)),"")</f>
        <v>14</v>
      </c>
      <c r="G217" s="166"/>
      <c r="H217" s="166">
        <f t="shared" ca="1" si="29"/>
        <v>35</v>
      </c>
      <c r="I217" s="178" t="str">
        <f t="shared" ca="1" si="33"/>
        <v/>
      </c>
      <c r="J217" s="178" t="str">
        <f t="shared" ca="1" si="34"/>
        <v/>
      </c>
      <c r="K217" s="168" t="str">
        <f t="shared" ca="1" si="35"/>
        <v/>
      </c>
      <c r="L217" s="171" t="str">
        <f ca="1">IFERROR(CHOOSE(E217,'Impact Indicators - Section B '!$K$7,'Impact Indicators - Section B '!$O$7,'Impact Indicators - Section B '!$S$7,'Impact Indicators - Section B '!$W$7),"")</f>
        <v/>
      </c>
      <c r="M217" s="179" t="str">
        <f t="shared" ca="1" si="36"/>
        <v/>
      </c>
      <c r="N217" s="171" t="str">
        <f t="shared" ca="1" si="37"/>
        <v/>
      </c>
      <c r="O217" s="166" t="str">
        <f ca="1">IFERROR(IF(COUNTA($D$41:$D217)=1,"",OFFSET($C215,-COUNTA($D$41:$D217)+3,0)),"")</f>
        <v>a1H3p000009albpEAA</v>
      </c>
      <c r="P217" s="166">
        <f t="shared" ca="1" si="30"/>
        <v>0</v>
      </c>
      <c r="Q217" s="166"/>
      <c r="R217" s="166"/>
      <c r="S217" s="166"/>
      <c r="T217" s="166" t="b">
        <f t="shared" ca="1" si="38"/>
        <v>0</v>
      </c>
    </row>
    <row r="218" spans="1:20">
      <c r="A218" s="166" t="b">
        <f t="shared" ca="1" si="31"/>
        <v>0</v>
      </c>
      <c r="B218" s="176"/>
      <c r="C218" s="172" t="str">
        <f t="shared" ca="1" si="32"/>
        <v>a1H3p000009aladEAA</v>
      </c>
      <c r="D218" s="166"/>
      <c r="E218" s="166">
        <f t="shared" ca="1" si="28"/>
        <v>1</v>
      </c>
      <c r="F218" s="177">
        <f ca="1">IFERROR(IF(COUNTA($D$41:$D218)=1,"",OFFSET($F216,-COUNTA($D$41:$D218)+3,0)),"")</f>
        <v>15</v>
      </c>
      <c r="G218" s="166"/>
      <c r="H218" s="166">
        <f t="shared" ca="1" si="29"/>
        <v>37</v>
      </c>
      <c r="I218" s="178" t="str">
        <f t="shared" ca="1" si="33"/>
        <v/>
      </c>
      <c r="J218" s="178" t="str">
        <f t="shared" ca="1" si="34"/>
        <v/>
      </c>
      <c r="K218" s="168" t="str">
        <f t="shared" ca="1" si="35"/>
        <v/>
      </c>
      <c r="L218" s="171">
        <f ca="1">IFERROR(CHOOSE(E218,'Impact Indicators - Section B '!$K$7,'Impact Indicators - Section B '!$O$7,'Impact Indicators - Section B '!$S$7,'Impact Indicators - Section B '!$W$7),"")</f>
        <v>2023</v>
      </c>
      <c r="M218" s="179" t="str">
        <f t="shared" ca="1" si="36"/>
        <v/>
      </c>
      <c r="N218" s="171" t="str">
        <f t="shared" ca="1" si="37"/>
        <v/>
      </c>
      <c r="O218" s="166" t="str">
        <f ca="1">IFERROR(IF(COUNTA($D$41:$D218)=1,"",OFFSET($C216,-COUNTA($D$41:$D218)+3,0)),"")</f>
        <v>a1H3p000009aladEAA</v>
      </c>
      <c r="P218" s="166">
        <f t="shared" ca="1" si="30"/>
        <v>0</v>
      </c>
      <c r="Q218" s="166"/>
      <c r="R218" s="166"/>
      <c r="S218" s="166"/>
      <c r="T218" s="166" t="b">
        <f t="shared" ca="1" si="38"/>
        <v>0</v>
      </c>
    </row>
    <row r="219" spans="1:20">
      <c r="A219" s="166" t="b">
        <f t="shared" ca="1" si="31"/>
        <v>0</v>
      </c>
      <c r="B219" s="176"/>
      <c r="C219" s="172" t="str">
        <f t="shared" ca="1" si="32"/>
        <v>a1H3p000009alasEAA</v>
      </c>
      <c r="D219" s="166"/>
      <c r="E219" s="166">
        <f t="shared" ca="1" si="28"/>
        <v>2</v>
      </c>
      <c r="F219" s="177">
        <f ca="1">IFERROR(IF(COUNTA($D$41:$D219)=1,"",OFFSET($F217,-COUNTA($D$41:$D219)+3,0)),"")</f>
        <v>15</v>
      </c>
      <c r="G219" s="166"/>
      <c r="H219" s="166">
        <f t="shared" ca="1" si="29"/>
        <v>37</v>
      </c>
      <c r="I219" s="178" t="str">
        <f t="shared" ca="1" si="33"/>
        <v/>
      </c>
      <c r="J219" s="178" t="str">
        <f t="shared" ca="1" si="34"/>
        <v/>
      </c>
      <c r="K219" s="168" t="str">
        <f t="shared" ca="1" si="35"/>
        <v/>
      </c>
      <c r="L219" s="171">
        <f ca="1">IFERROR(CHOOSE(E219,'Impact Indicators - Section B '!$K$7,'Impact Indicators - Section B '!$O$7,'Impact Indicators - Section B '!$S$7,'Impact Indicators - Section B '!$W$7),"")</f>
        <v>2024</v>
      </c>
      <c r="M219" s="179" t="str">
        <f t="shared" ca="1" si="36"/>
        <v/>
      </c>
      <c r="N219" s="171" t="str">
        <f t="shared" ca="1" si="37"/>
        <v/>
      </c>
      <c r="O219" s="166" t="str">
        <f ca="1">IFERROR(IF(COUNTA($D$41:$D219)=1,"",OFFSET($C217,-COUNTA($D$41:$D219)+3,0)),"")</f>
        <v>a1H3p000009alasEAA</v>
      </c>
      <c r="P219" s="166">
        <f t="shared" ca="1" si="30"/>
        <v>0</v>
      </c>
      <c r="Q219" s="166"/>
      <c r="R219" s="166"/>
      <c r="S219" s="166"/>
      <c r="T219" s="166" t="b">
        <f t="shared" ca="1" si="38"/>
        <v>0</v>
      </c>
    </row>
    <row r="220" spans="1:20">
      <c r="A220" s="166" t="b">
        <f t="shared" ca="1" si="31"/>
        <v>0</v>
      </c>
      <c r="B220" s="176"/>
      <c r="C220" s="172" t="str">
        <f t="shared" ca="1" si="32"/>
        <v>a1H3p000009alb7EAA</v>
      </c>
      <c r="D220" s="166"/>
      <c r="E220" s="166">
        <f t="shared" ca="1" si="28"/>
        <v>3</v>
      </c>
      <c r="F220" s="177">
        <f ca="1">IFERROR(IF(COUNTA($D$41:$D220)=1,"",OFFSET($F218,-COUNTA($D$41:$D220)+3,0)),"")</f>
        <v>15</v>
      </c>
      <c r="G220" s="166"/>
      <c r="H220" s="166">
        <f t="shared" ca="1" si="29"/>
        <v>37</v>
      </c>
      <c r="I220" s="178" t="str">
        <f t="shared" ca="1" si="33"/>
        <v/>
      </c>
      <c r="J220" s="178" t="str">
        <f t="shared" ca="1" si="34"/>
        <v/>
      </c>
      <c r="K220" s="168" t="str">
        <f t="shared" ca="1" si="35"/>
        <v/>
      </c>
      <c r="L220" s="171">
        <f ca="1">IFERROR(CHOOSE(E220,'Impact Indicators - Section B '!$K$7,'Impact Indicators - Section B '!$O$7,'Impact Indicators - Section B '!$S$7,'Impact Indicators - Section B '!$W$7),"")</f>
        <v>2025</v>
      </c>
      <c r="M220" s="179" t="str">
        <f t="shared" ca="1" si="36"/>
        <v/>
      </c>
      <c r="N220" s="171" t="str">
        <f t="shared" ca="1" si="37"/>
        <v/>
      </c>
      <c r="O220" s="166" t="str">
        <f ca="1">IFERROR(IF(COUNTA($D$41:$D220)=1,"",OFFSET($C218,-COUNTA($D$41:$D220)+3,0)),"")</f>
        <v>a1H3p000009alb7EAA</v>
      </c>
      <c r="P220" s="166">
        <f t="shared" ca="1" si="30"/>
        <v>0</v>
      </c>
      <c r="Q220" s="166"/>
      <c r="R220" s="166"/>
      <c r="S220" s="166"/>
      <c r="T220" s="166" t="b">
        <f t="shared" ca="1" si="38"/>
        <v>0</v>
      </c>
    </row>
    <row r="221" spans="1:20">
      <c r="A221" s="166" t="b">
        <f t="shared" ca="1" si="31"/>
        <v>0</v>
      </c>
      <c r="B221" s="176"/>
      <c r="C221" s="172" t="str">
        <f t="shared" ca="1" si="32"/>
        <v>a1H3p000009albMEAQ</v>
      </c>
      <c r="D221" s="166"/>
      <c r="E221" s="166">
        <f t="shared" ca="1" si="28"/>
        <v>4</v>
      </c>
      <c r="F221" s="177">
        <f ca="1">IFERROR(IF(COUNTA($D$41:$D221)=1,"",OFFSET($F219,-COUNTA($D$41:$D221)+3,0)),"")</f>
        <v>15</v>
      </c>
      <c r="G221" s="166"/>
      <c r="H221" s="166">
        <f t="shared" ca="1" si="29"/>
        <v>37</v>
      </c>
      <c r="I221" s="178" t="str">
        <f t="shared" ca="1" si="33"/>
        <v/>
      </c>
      <c r="J221" s="178" t="str">
        <f t="shared" ca="1" si="34"/>
        <v/>
      </c>
      <c r="K221" s="168" t="str">
        <f t="shared" ca="1" si="35"/>
        <v/>
      </c>
      <c r="L221" s="171" t="str">
        <f ca="1">IFERROR(CHOOSE(E221,'Impact Indicators - Section B '!$K$7,'Impact Indicators - Section B '!$O$7,'Impact Indicators - Section B '!$S$7,'Impact Indicators - Section B '!$W$7),"")</f>
        <v/>
      </c>
      <c r="M221" s="179" t="str">
        <f t="shared" ca="1" si="36"/>
        <v/>
      </c>
      <c r="N221" s="171" t="str">
        <f t="shared" ca="1" si="37"/>
        <v/>
      </c>
      <c r="O221" s="166" t="str">
        <f ca="1">IFERROR(IF(COUNTA($D$41:$D221)=1,"",OFFSET($C219,-COUNTA($D$41:$D221)+3,0)),"")</f>
        <v>a1H3p000009albMEAQ</v>
      </c>
      <c r="P221" s="166">
        <f t="shared" ca="1" si="30"/>
        <v>0</v>
      </c>
      <c r="Q221" s="166"/>
      <c r="R221" s="166"/>
      <c r="S221" s="166"/>
      <c r="T221" s="166" t="b">
        <f t="shared" ca="1" si="38"/>
        <v>0</v>
      </c>
    </row>
    <row r="222" spans="1:20">
      <c r="A222" s="166" t="b">
        <f t="shared" ca="1" si="31"/>
        <v>0</v>
      </c>
      <c r="B222" s="176"/>
      <c r="C222" s="172" t="str">
        <f t="shared" ca="1" si="32"/>
        <v>a1H3p000009albbEAA</v>
      </c>
      <c r="D222" s="166"/>
      <c r="E222" s="166">
        <f t="shared" ca="1" si="28"/>
        <v>5</v>
      </c>
      <c r="F222" s="177">
        <f ca="1">IFERROR(IF(COUNTA($D$41:$D222)=1,"",OFFSET($F220,-COUNTA($D$41:$D222)+3,0)),"")</f>
        <v>15</v>
      </c>
      <c r="G222" s="166"/>
      <c r="H222" s="166">
        <f t="shared" ca="1" si="29"/>
        <v>37</v>
      </c>
      <c r="I222" s="178" t="str">
        <f t="shared" ca="1" si="33"/>
        <v/>
      </c>
      <c r="J222" s="178" t="str">
        <f t="shared" ca="1" si="34"/>
        <v/>
      </c>
      <c r="K222" s="168" t="str">
        <f t="shared" ca="1" si="35"/>
        <v/>
      </c>
      <c r="L222" s="171" t="str">
        <f ca="1">IFERROR(CHOOSE(E222,'Impact Indicators - Section B '!$K$7,'Impact Indicators - Section B '!$O$7,'Impact Indicators - Section B '!$S$7,'Impact Indicators - Section B '!$W$7),"")</f>
        <v/>
      </c>
      <c r="M222" s="179" t="str">
        <f t="shared" ca="1" si="36"/>
        <v/>
      </c>
      <c r="N222" s="171" t="str">
        <f t="shared" ca="1" si="37"/>
        <v/>
      </c>
      <c r="O222" s="166" t="str">
        <f ca="1">IFERROR(IF(COUNTA($D$41:$D222)=1,"",OFFSET($C220,-COUNTA($D$41:$D222)+3,0)),"")</f>
        <v>a1H3p000009albbEAA</v>
      </c>
      <c r="P222" s="166">
        <f t="shared" ca="1" si="30"/>
        <v>0</v>
      </c>
      <c r="Q222" s="166"/>
      <c r="R222" s="166"/>
      <c r="S222" s="166"/>
      <c r="T222" s="166" t="b">
        <f t="shared" ca="1" si="38"/>
        <v>0</v>
      </c>
    </row>
    <row r="223" spans="1:20">
      <c r="A223" s="166" t="b">
        <f t="shared" ca="1" si="31"/>
        <v>0</v>
      </c>
      <c r="B223" s="176"/>
      <c r="C223" s="172" t="str">
        <f t="shared" ca="1" si="32"/>
        <v>a1H3p000009albqEAA</v>
      </c>
      <c r="D223" s="166"/>
      <c r="E223" s="166">
        <f t="shared" ca="1" si="28"/>
        <v>6</v>
      </c>
      <c r="F223" s="177">
        <f ca="1">IFERROR(IF(COUNTA($D$41:$D223)=1,"",OFFSET($F221,-COUNTA($D$41:$D223)+3,0)),"")</f>
        <v>15</v>
      </c>
      <c r="G223" s="166"/>
      <c r="H223" s="166">
        <f t="shared" ca="1" si="29"/>
        <v>37</v>
      </c>
      <c r="I223" s="178" t="str">
        <f t="shared" ca="1" si="33"/>
        <v/>
      </c>
      <c r="J223" s="178" t="str">
        <f t="shared" ca="1" si="34"/>
        <v/>
      </c>
      <c r="K223" s="168" t="str">
        <f t="shared" ca="1" si="35"/>
        <v/>
      </c>
      <c r="L223" s="171" t="str">
        <f ca="1">IFERROR(CHOOSE(E223,'Impact Indicators - Section B '!$K$7,'Impact Indicators - Section B '!$O$7,'Impact Indicators - Section B '!$S$7,'Impact Indicators - Section B '!$W$7),"")</f>
        <v/>
      </c>
      <c r="M223" s="179" t="str">
        <f t="shared" ca="1" si="36"/>
        <v/>
      </c>
      <c r="N223" s="171" t="str">
        <f t="shared" ca="1" si="37"/>
        <v/>
      </c>
      <c r="O223" s="166" t="str">
        <f ca="1">IFERROR(IF(COUNTA($D$41:$D223)=1,"",OFFSET($C221,-COUNTA($D$41:$D223)+3,0)),"")</f>
        <v>a1H3p000009albqEAA</v>
      </c>
      <c r="P223" s="166">
        <f t="shared" ca="1" si="30"/>
        <v>0</v>
      </c>
      <c r="Q223" s="166"/>
      <c r="R223" s="166"/>
      <c r="S223" s="166"/>
      <c r="T223" s="166" t="b">
        <f t="shared" ca="1" si="38"/>
        <v>0</v>
      </c>
    </row>
    <row r="224" spans="1:20">
      <c r="J224" s="164" t="str">
        <f ca="1">IF(ROW()&gt;'Impact Indicator Target Update'!A6,"",INDIRECT("'Impact Indicators - Section B'!A"&amp;'Impact Indicator Target Update'!D6))</f>
        <v/>
      </c>
    </row>
    <row r="225" spans="1:21">
      <c r="A225" s="165" t="s">
        <v>3197</v>
      </c>
      <c r="J225" s="164" t="str">
        <f ca="1">IF(ROW()&gt;'Impact Indicator Target Update'!A7,"",INDIRECT("'Impact Indicators - Section B'!A"&amp;'Impact Indicator Target Update'!D7))</f>
        <v/>
      </c>
    </row>
    <row r="226" spans="1:21">
      <c r="A226" s="166" t="s">
        <v>348</v>
      </c>
      <c r="B226" s="166">
        <v>-14</v>
      </c>
      <c r="C226" s="166" t="s">
        <v>341</v>
      </c>
      <c r="D226" s="166" t="s">
        <v>3046</v>
      </c>
      <c r="E226" s="166" t="s">
        <v>3047</v>
      </c>
      <c r="F226" s="166" t="s">
        <v>3048</v>
      </c>
      <c r="G226" s="166" t="s">
        <v>3050</v>
      </c>
      <c r="H226" s="166" t="s">
        <v>3049</v>
      </c>
      <c r="I226" s="166">
        <v>-19</v>
      </c>
      <c r="J226" s="166" t="s">
        <v>3051</v>
      </c>
      <c r="K226" s="166"/>
      <c r="L226" s="166" t="s">
        <v>3198</v>
      </c>
      <c r="M226" s="166" t="s">
        <v>3199</v>
      </c>
      <c r="N226" s="166" t="s">
        <v>2302</v>
      </c>
      <c r="O226" s="166" t="s">
        <v>3056</v>
      </c>
      <c r="P226" s="166" t="s">
        <v>3200</v>
      </c>
      <c r="Q226" s="166" t="s">
        <v>3058</v>
      </c>
      <c r="R226" s="166" t="s">
        <v>3059</v>
      </c>
      <c r="S226" s="166" t="s">
        <v>3201</v>
      </c>
      <c r="T226" s="166" t="s">
        <v>3202</v>
      </c>
      <c r="U226" s="166" t="s">
        <v>3055</v>
      </c>
    </row>
    <row r="227" spans="1:21" hidden="1">
      <c r="A227" s="166" t="b">
        <f ca="1">IF(OR(P227&lt;&gt;"",M227&lt;&gt;""),TRUE,FALSE)</f>
        <v>0</v>
      </c>
      <c r="B227" s="167">
        <f>B226+1</f>
        <v>-13</v>
      </c>
      <c r="C227" s="166" t="str">
        <f>IFERROR(INDEX(C$226:C227,B227,1),"")</f>
        <v/>
      </c>
      <c r="D227" s="168" t="str">
        <f ca="1">IFERROR(IF(INDIRECT("'Outcome Indicators - Section C '!E"&amp;$I227)="","",INDIRECT("'Outcome Indicators - Section C '!E"&amp;$I227)*100),"")</f>
        <v/>
      </c>
      <c r="E227" s="177" t="str">
        <f ca="1">IFERROR(IF(INDIRECT("'Outcome Indicators - Section C '!D"&amp;$I227+1)="","",INDIRECT("'Outcome Indicators - Section C '!D"&amp;$I227+1)),"")</f>
        <v/>
      </c>
      <c r="F227" s="170" t="str">
        <f ca="1">IFERROR(IF(INDIRECT("'Outcome Indicators - Section C '!D"&amp;$I227)="","",INDIRECT("'Outcome Indicators - Section C '!D"&amp;$I227)),"")</f>
        <v/>
      </c>
      <c r="G227" s="171" t="str">
        <f ca="1">IFERROR(IF(INDIRECT("'Outcome Indicators - Section C '!F"&amp;$I227)=0,"",INDIRECT("'Outcome Indicators - Section C '!F"&amp;$I227)),"")</f>
        <v/>
      </c>
      <c r="H227" s="171" t="str">
        <f ca="1">IFERROR(IF(INDIRECT("'Outcome Indicators - Section C '!AC"&amp;$I3)=0,"",INDIRECT("'Outcome Indicators - Section C '!AC"&amp;$I3)),"")</f>
        <v/>
      </c>
      <c r="I227" s="167">
        <f>IF(B227=3,9,I226+2)</f>
        <v>-17</v>
      </c>
      <c r="J227" s="171" t="str">
        <f ca="1">IFERROR(IF(INDIRECT("'Outcome Indicators - Section C '!AD"&amp;$I227)=0,"",INDIRECT("'Outcome Indicators - Section C '!AD"&amp;$I227)),"")</f>
        <v/>
      </c>
      <c r="K227" s="166"/>
      <c r="L227" s="171" t="str">
        <f ca="1">IFERROR(IF(INDIRECT("'Outcome Indicators - Section C '!AB"&amp;$I227)=0,"",INDIRECT("'Outcome Indicators - Section C '!AB"&amp;$I227)),"")</f>
        <v/>
      </c>
      <c r="M227" s="166" t="str">
        <f t="array" aca="1" ref="M227" ca="1">IFERROR(VLOOKUP(LEFT(INDIRECT("'Outcome Indicators - Section C '!B"&amp;$I227),255),LEFT('Reference Records'!$C$24:$L$73,255),10,0),"")</f>
        <v/>
      </c>
      <c r="N227" s="166" t="str">
        <f ca="1">IFERROR(IF(INDIRECT("'Outcome Indicators - Section C '!j"&amp;$I227)=0,"",INDIRECT("'Outcome Indicators - Section C '!j"&amp;$I227)),"")</f>
        <v/>
      </c>
      <c r="O227" s="171" t="str">
        <f ca="1">IFERROR(VLOOKUP(INDIRECT("'Outcome Indicators - Section C '!I"&amp;$I227),'Overview - Section A'!M$30:P41,4,0),IFERROR(VLOOKUP(INDIRECT("'Outcome Indicators - Section C '!I"&amp;$I227),'Overview - Section A'!E$27:I29,5,0),""))</f>
        <v/>
      </c>
      <c r="P227" s="171" t="str">
        <f ca="1">IFERROR(IF(INDIRECT("'Outcome Indicators - Section C '!C"&amp;$I227)=0,"",INDIRECT("'Outcome Indicators - Section C '!C"&amp;$I227)),"")</f>
        <v/>
      </c>
      <c r="Q227" s="171" t="str">
        <f ca="1">IFERROR(IF(INDIRECT("'Outcome Indicators - Section C '!G"&amp;$I3)=0,"",INDIRECT("'Outcome Indicators - Section C '!G"&amp;$I3)),"")</f>
        <v/>
      </c>
      <c r="R227" s="171" t="str">
        <f ca="1">IFERROR(IF(INDIRECT("'Outcome Indicators - Section C '!AA"&amp;$I227)=0,"",INDIRECT("'Outcome Indicators - Section C '!AA"&amp;$I227)),"")</f>
        <v/>
      </c>
      <c r="S227" s="171" t="s">
        <v>3203</v>
      </c>
      <c r="T227" s="171" t="s">
        <v>3204</v>
      </c>
      <c r="U227" s="166" t="s">
        <v>3062</v>
      </c>
    </row>
    <row r="228" spans="1:21">
      <c r="A228" s="166" t="b">
        <v>0</v>
      </c>
      <c r="B228" s="167">
        <f t="shared" ref="B228:B257" si="39">B227+1</f>
        <v>-12</v>
      </c>
      <c r="C228" s="166" t="s">
        <v>3205</v>
      </c>
      <c r="D228" s="168"/>
      <c r="E228" s="177"/>
      <c r="F228" s="170"/>
      <c r="G228" s="171"/>
      <c r="H228" s="171"/>
      <c r="I228" s="167">
        <f t="shared" ref="I228:I257" si="40">IF(B228=3,9,I227+2)</f>
        <v>-15</v>
      </c>
      <c r="J228" s="171"/>
      <c r="K228" s="166"/>
      <c r="L228" s="171"/>
      <c r="M228" s="166"/>
      <c r="N228" s="166"/>
      <c r="O228" s="171"/>
      <c r="P228" s="171"/>
      <c r="Q228" s="171"/>
      <c r="R228" s="171"/>
      <c r="S228" s="171"/>
      <c r="T228" s="171"/>
      <c r="U228" s="166"/>
    </row>
    <row r="229" spans="1:21">
      <c r="A229" s="166" t="b">
        <v>0</v>
      </c>
      <c r="B229" s="167">
        <f t="shared" si="39"/>
        <v>-11</v>
      </c>
      <c r="C229" s="166" t="s">
        <v>3206</v>
      </c>
      <c r="D229" s="168"/>
      <c r="E229" s="177"/>
      <c r="F229" s="170"/>
      <c r="G229" s="171"/>
      <c r="H229" s="171"/>
      <c r="I229" s="167">
        <f t="shared" si="40"/>
        <v>-13</v>
      </c>
      <c r="J229" s="171"/>
      <c r="K229" s="166"/>
      <c r="L229" s="171"/>
      <c r="M229" s="166"/>
      <c r="N229" s="166"/>
      <c r="O229" s="171"/>
      <c r="P229" s="171"/>
      <c r="Q229" s="171"/>
      <c r="R229" s="171"/>
      <c r="S229" s="171"/>
      <c r="T229" s="171"/>
      <c r="U229" s="166"/>
    </row>
    <row r="230" spans="1:21">
      <c r="A230" s="166" t="b">
        <v>0</v>
      </c>
      <c r="B230" s="167">
        <f t="shared" si="39"/>
        <v>-10</v>
      </c>
      <c r="C230" s="166" t="s">
        <v>3207</v>
      </c>
      <c r="D230" s="168"/>
      <c r="E230" s="177"/>
      <c r="F230" s="170"/>
      <c r="G230" s="171"/>
      <c r="H230" s="171"/>
      <c r="I230" s="167">
        <f t="shared" si="40"/>
        <v>-11</v>
      </c>
      <c r="J230" s="171"/>
      <c r="K230" s="166"/>
      <c r="L230" s="171"/>
      <c r="M230" s="166"/>
      <c r="N230" s="166"/>
      <c r="O230" s="171"/>
      <c r="P230" s="171"/>
      <c r="Q230" s="171"/>
      <c r="R230" s="171"/>
      <c r="S230" s="171"/>
      <c r="T230" s="171"/>
      <c r="U230" s="166"/>
    </row>
    <row r="231" spans="1:21">
      <c r="A231" s="166" t="b">
        <v>0</v>
      </c>
      <c r="B231" s="167">
        <f t="shared" si="39"/>
        <v>-9</v>
      </c>
      <c r="C231" s="166" t="s">
        <v>3208</v>
      </c>
      <c r="D231" s="168"/>
      <c r="E231" s="177"/>
      <c r="F231" s="170"/>
      <c r="G231" s="171"/>
      <c r="H231" s="171"/>
      <c r="I231" s="167">
        <f t="shared" si="40"/>
        <v>-9</v>
      </c>
      <c r="J231" s="171"/>
      <c r="K231" s="166"/>
      <c r="L231" s="171"/>
      <c r="M231" s="166"/>
      <c r="N231" s="166"/>
      <c r="O231" s="171"/>
      <c r="P231" s="171"/>
      <c r="Q231" s="171"/>
      <c r="R231" s="171"/>
      <c r="S231" s="171"/>
      <c r="T231" s="171"/>
      <c r="U231" s="166"/>
    </row>
    <row r="232" spans="1:21">
      <c r="A232" s="166" t="b">
        <v>0</v>
      </c>
      <c r="B232" s="167">
        <f t="shared" si="39"/>
        <v>-8</v>
      </c>
      <c r="C232" s="166" t="s">
        <v>3209</v>
      </c>
      <c r="D232" s="168"/>
      <c r="E232" s="177"/>
      <c r="F232" s="170"/>
      <c r="G232" s="171"/>
      <c r="H232" s="171"/>
      <c r="I232" s="167">
        <f t="shared" si="40"/>
        <v>-7</v>
      </c>
      <c r="J232" s="171"/>
      <c r="K232" s="166"/>
      <c r="L232" s="171"/>
      <c r="M232" s="166"/>
      <c r="N232" s="166"/>
      <c r="O232" s="171"/>
      <c r="P232" s="171"/>
      <c r="Q232" s="171"/>
      <c r="R232" s="171"/>
      <c r="S232" s="171"/>
      <c r="T232" s="171"/>
      <c r="U232" s="166"/>
    </row>
    <row r="233" spans="1:21">
      <c r="A233" s="166" t="b">
        <v>0</v>
      </c>
      <c r="B233" s="167">
        <f t="shared" si="39"/>
        <v>-7</v>
      </c>
      <c r="C233" s="166" t="s">
        <v>3210</v>
      </c>
      <c r="D233" s="168"/>
      <c r="E233" s="177"/>
      <c r="F233" s="170"/>
      <c r="G233" s="171"/>
      <c r="H233" s="171"/>
      <c r="I233" s="167">
        <f t="shared" si="40"/>
        <v>-5</v>
      </c>
      <c r="J233" s="171"/>
      <c r="K233" s="166"/>
      <c r="L233" s="171"/>
      <c r="M233" s="166"/>
      <c r="N233" s="166"/>
      <c r="O233" s="171"/>
      <c r="P233" s="171"/>
      <c r="Q233" s="171"/>
      <c r="R233" s="171"/>
      <c r="S233" s="171"/>
      <c r="T233" s="171"/>
      <c r="U233" s="166"/>
    </row>
    <row r="234" spans="1:21">
      <c r="A234" s="166" t="b">
        <v>0</v>
      </c>
      <c r="B234" s="167">
        <f t="shared" si="39"/>
        <v>-6</v>
      </c>
      <c r="C234" s="166" t="s">
        <v>3211</v>
      </c>
      <c r="D234" s="168"/>
      <c r="E234" s="177"/>
      <c r="F234" s="170"/>
      <c r="G234" s="171"/>
      <c r="H234" s="171"/>
      <c r="I234" s="167">
        <f t="shared" si="40"/>
        <v>-3</v>
      </c>
      <c r="J234" s="171"/>
      <c r="K234" s="166"/>
      <c r="L234" s="171"/>
      <c r="M234" s="166"/>
      <c r="N234" s="166"/>
      <c r="O234" s="171"/>
      <c r="P234" s="171"/>
      <c r="Q234" s="171"/>
      <c r="R234" s="171"/>
      <c r="S234" s="171"/>
      <c r="T234" s="171"/>
      <c r="U234" s="166"/>
    </row>
    <row r="235" spans="1:21">
      <c r="A235" s="166" t="b">
        <v>0</v>
      </c>
      <c r="B235" s="167">
        <f t="shared" si="39"/>
        <v>-5</v>
      </c>
      <c r="C235" s="166" t="s">
        <v>3212</v>
      </c>
      <c r="D235" s="168"/>
      <c r="E235" s="177"/>
      <c r="F235" s="170"/>
      <c r="G235" s="171"/>
      <c r="H235" s="171"/>
      <c r="I235" s="167">
        <f t="shared" si="40"/>
        <v>-1</v>
      </c>
      <c r="J235" s="171"/>
      <c r="K235" s="166"/>
      <c r="L235" s="171"/>
      <c r="M235" s="166"/>
      <c r="N235" s="166"/>
      <c r="O235" s="171"/>
      <c r="P235" s="171"/>
      <c r="Q235" s="171"/>
      <c r="R235" s="171"/>
      <c r="S235" s="171"/>
      <c r="T235" s="171"/>
      <c r="U235" s="166"/>
    </row>
    <row r="236" spans="1:21">
      <c r="A236" s="166" t="b">
        <v>0</v>
      </c>
      <c r="B236" s="167">
        <f t="shared" si="39"/>
        <v>-4</v>
      </c>
      <c r="C236" s="166" t="s">
        <v>3213</v>
      </c>
      <c r="D236" s="168"/>
      <c r="E236" s="177"/>
      <c r="F236" s="170"/>
      <c r="G236" s="171"/>
      <c r="H236" s="171"/>
      <c r="I236" s="167">
        <f t="shared" si="40"/>
        <v>1</v>
      </c>
      <c r="J236" s="171"/>
      <c r="K236" s="166"/>
      <c r="L236" s="171"/>
      <c r="M236" s="166"/>
      <c r="N236" s="166"/>
      <c r="O236" s="171"/>
      <c r="P236" s="171"/>
      <c r="Q236" s="171"/>
      <c r="R236" s="171"/>
      <c r="S236" s="171"/>
      <c r="T236" s="171"/>
      <c r="U236" s="166"/>
    </row>
    <row r="237" spans="1:21">
      <c r="A237" s="166" t="b">
        <v>0</v>
      </c>
      <c r="B237" s="167">
        <f t="shared" si="39"/>
        <v>-3</v>
      </c>
      <c r="C237" s="166" t="s">
        <v>3214</v>
      </c>
      <c r="D237" s="168"/>
      <c r="E237" s="177"/>
      <c r="F237" s="170"/>
      <c r="G237" s="171"/>
      <c r="H237" s="171"/>
      <c r="I237" s="167">
        <f t="shared" si="40"/>
        <v>3</v>
      </c>
      <c r="J237" s="171"/>
      <c r="K237" s="166"/>
      <c r="L237" s="171"/>
      <c r="M237" s="166"/>
      <c r="N237" s="166"/>
      <c r="O237" s="171"/>
      <c r="P237" s="171"/>
      <c r="Q237" s="171"/>
      <c r="R237" s="171"/>
      <c r="S237" s="171"/>
      <c r="T237" s="171"/>
      <c r="U237" s="166"/>
    </row>
    <row r="238" spans="1:21">
      <c r="A238" s="166" t="b">
        <v>0</v>
      </c>
      <c r="B238" s="167">
        <f t="shared" si="39"/>
        <v>-2</v>
      </c>
      <c r="C238" s="166" t="s">
        <v>3215</v>
      </c>
      <c r="D238" s="168"/>
      <c r="E238" s="177"/>
      <c r="F238" s="170"/>
      <c r="G238" s="171"/>
      <c r="H238" s="171"/>
      <c r="I238" s="167">
        <f t="shared" si="40"/>
        <v>5</v>
      </c>
      <c r="J238" s="171"/>
      <c r="K238" s="166"/>
      <c r="L238" s="171"/>
      <c r="M238" s="166"/>
      <c r="N238" s="166"/>
      <c r="O238" s="171"/>
      <c r="P238" s="171"/>
      <c r="Q238" s="171"/>
      <c r="R238" s="171"/>
      <c r="S238" s="171"/>
      <c r="T238" s="171"/>
      <c r="U238" s="166"/>
    </row>
    <row r="239" spans="1:21">
      <c r="A239" s="166" t="b">
        <v>0</v>
      </c>
      <c r="B239" s="167">
        <f t="shared" si="39"/>
        <v>-1</v>
      </c>
      <c r="C239" s="166" t="s">
        <v>3216</v>
      </c>
      <c r="D239" s="168"/>
      <c r="E239" s="177"/>
      <c r="F239" s="170"/>
      <c r="G239" s="171"/>
      <c r="H239" s="171"/>
      <c r="I239" s="167">
        <f t="shared" si="40"/>
        <v>7</v>
      </c>
      <c r="J239" s="171"/>
      <c r="K239" s="166"/>
      <c r="L239" s="171"/>
      <c r="M239" s="166"/>
      <c r="N239" s="166"/>
      <c r="O239" s="171"/>
      <c r="P239" s="171"/>
      <c r="Q239" s="171"/>
      <c r="R239" s="171"/>
      <c r="S239" s="171"/>
      <c r="T239" s="171"/>
      <c r="U239" s="166"/>
    </row>
    <row r="240" spans="1:21">
      <c r="A240" s="166" t="b">
        <v>0</v>
      </c>
      <c r="B240" s="167">
        <f t="shared" si="39"/>
        <v>0</v>
      </c>
      <c r="C240" s="166" t="s">
        <v>3217</v>
      </c>
      <c r="D240" s="168"/>
      <c r="E240" s="177"/>
      <c r="F240" s="170"/>
      <c r="G240" s="171"/>
      <c r="H240" s="171"/>
      <c r="I240" s="167">
        <f t="shared" si="40"/>
        <v>9</v>
      </c>
      <c r="J240" s="171"/>
      <c r="K240" s="166"/>
      <c r="L240" s="171"/>
      <c r="M240" s="166"/>
      <c r="N240" s="166"/>
      <c r="O240" s="171"/>
      <c r="P240" s="171"/>
      <c r="Q240" s="171"/>
      <c r="R240" s="171"/>
      <c r="S240" s="171"/>
      <c r="T240" s="171"/>
      <c r="U240" s="166"/>
    </row>
    <row r="241" spans="1:21">
      <c r="A241" s="166" t="b">
        <v>0</v>
      </c>
      <c r="B241" s="167">
        <f t="shared" si="39"/>
        <v>1</v>
      </c>
      <c r="C241" s="166" t="s">
        <v>3218</v>
      </c>
      <c r="D241" s="168"/>
      <c r="E241" s="177"/>
      <c r="F241" s="170"/>
      <c r="G241" s="171"/>
      <c r="H241" s="171"/>
      <c r="I241" s="167">
        <f t="shared" si="40"/>
        <v>11</v>
      </c>
      <c r="J241" s="171"/>
      <c r="K241" s="166"/>
      <c r="L241" s="171"/>
      <c r="M241" s="166"/>
      <c r="N241" s="166"/>
      <c r="O241" s="171"/>
      <c r="P241" s="171"/>
      <c r="Q241" s="171"/>
      <c r="R241" s="171"/>
      <c r="S241" s="171"/>
      <c r="T241" s="171"/>
      <c r="U241" s="166"/>
    </row>
    <row r="242" spans="1:21">
      <c r="A242" s="166" t="b">
        <v>0</v>
      </c>
      <c r="B242" s="167">
        <f t="shared" si="39"/>
        <v>2</v>
      </c>
      <c r="C242" s="166" t="s">
        <v>3219</v>
      </c>
      <c r="D242" s="168"/>
      <c r="E242" s="177"/>
      <c r="F242" s="170"/>
      <c r="G242" s="171"/>
      <c r="H242" s="171"/>
      <c r="I242" s="167">
        <f t="shared" si="40"/>
        <v>13</v>
      </c>
      <c r="J242" s="171"/>
      <c r="K242" s="166"/>
      <c r="L242" s="171"/>
      <c r="M242" s="166"/>
      <c r="N242" s="166"/>
      <c r="O242" s="171"/>
      <c r="P242" s="171"/>
      <c r="Q242" s="171"/>
      <c r="R242" s="171"/>
      <c r="S242" s="171"/>
      <c r="T242" s="171"/>
      <c r="U242" s="166"/>
    </row>
    <row r="243" spans="1:21">
      <c r="A243" s="166" t="b">
        <f t="shared" ref="A243:A257" ca="1" si="41">IF(OR(P243&lt;&gt;"",M243&lt;&gt;""),TRUE,FALSE)</f>
        <v>1</v>
      </c>
      <c r="B243" s="167">
        <f t="shared" si="39"/>
        <v>3</v>
      </c>
      <c r="C243" s="172" t="str">
        <f>IFERROR(INDEX(C$226:C243,B243,1),"")</f>
        <v>a1X3p00000Cye1zEAB</v>
      </c>
      <c r="D243" s="168">
        <f t="shared" ref="D243:D257" ca="1" si="42">IFERROR(IF(INDIRECT("'Outcome Indicators - Section C '!E"&amp;$I243)="","",INDIRECT("'Outcome Indicators - Section C '!E"&amp;$I243)*100),"")</f>
        <v>75.400000000000006</v>
      </c>
      <c r="E243" s="177" t="str">
        <f t="shared" ref="E243:E257" ca="1" si="43">IFERROR(IF(INDIRECT("'Outcome Indicators - Section C '!D"&amp;$I243+1)="","",INDIRECT("'Outcome Indicators - Section C '!D"&amp;$I243+1)),"")</f>
        <v/>
      </c>
      <c r="F243" s="170" t="str">
        <f t="shared" ref="F243:F257" ca="1" si="44">IFERROR(IF(INDIRECT("'Outcome Indicators - Section C '!D"&amp;$I243)="","",INDIRECT("'Outcome Indicators - Section C '!D"&amp;$I243)),"")</f>
        <v/>
      </c>
      <c r="G243" s="171">
        <f t="shared" ref="G243:G257" ca="1" si="45">IFERROR(IF(INDIRECT("'Outcome Indicators - Section C '!F"&amp;$I243)=0,"",INDIRECT("'Outcome Indicators - Section C '!F"&amp;$I243)),"")</f>
        <v>2021</v>
      </c>
      <c r="H243" s="171" t="str">
        <f t="shared" ref="H243:H257" ca="1" si="46">IFERROR(IF(INDIRECT("'Outcome Indicators - Section C '!AC"&amp;$I19)=0,"",INDIRECT("'Outcome Indicators - Section C '!AC"&amp;$I19)),"")</f>
        <v>Biobehavioral Surveillance Study 2021.</v>
      </c>
      <c r="I243" s="167">
        <f t="shared" si="40"/>
        <v>9</v>
      </c>
      <c r="J243" s="171" t="str">
        <f t="shared" ref="J243:J257" ca="1" si="47">IFERROR(IF(INDIRECT("'Outcome Indicators - Section C '!AD"&amp;$I243)=0,"",INDIRECT("'Outcome Indicators - Section C '!AD"&amp;$I243)),"")</f>
        <v xml:space="preserve">Baseline: Results of the Biobehavioral study in the Gay, Bisexual and other men who have sex with men (GB-HSH) population conducted in 2021, developed in the cities of La Paz, El Alto, Cochabamba and Santa Cruz. Includes only people who had relationships with casual partners.
Measurement Method: The source of information is a "Prevalence Study of STI/HIV and Hepatitis B in GB-HSH population" to be conducted at the end of the grant. </v>
      </c>
      <c r="K243" s="166"/>
      <c r="L243" s="171" t="str">
        <f t="shared" ref="L243:L257" ca="1" si="48">IFERROR(IF(INDIRECT("'Outcome Indicators - Section C '!AB"&amp;$I243)=0,"",INDIRECT("'Outcome Indicators - Section C '!AB"&amp;$I243)),"")</f>
        <v/>
      </c>
      <c r="M243" s="166" t="str">
        <f t="array" aca="1" ref="M243" ca="1">IFERROR(VLOOKUP(LEFT(INDIRECT("'Outcome Indicators - Section C '!B"&amp;$I243),255),LEFT('Reference Records'!$C$24:$L$73,255),10,0),"")</f>
        <v>IOR-00101</v>
      </c>
      <c r="N243" s="166" t="str">
        <f t="shared" ref="N243:N257" ca="1" si="49">IFERROR(IF(INDIRECT("'Outcome Indicators - Section C '!j"&amp;$I243)=0,"",INDIRECT("'Outcome Indicators - Section C '!j"&amp;$I243)),"")</f>
        <v>Bolivia (Plurinational State)</v>
      </c>
      <c r="O243" s="171" t="str">
        <f ca="1">IFERROR(VLOOKUP(INDIRECT("'Outcome Indicators - Section C '!I"&amp;$I243),'Overview - Section A'!M$30:P57,4,0),IFERROR(VLOOKUP(INDIRECT("'Outcome Indicators - Section C '!I"&amp;$I243),'Overview - Section A'!E$27:I45,5,0),""))</f>
        <v>a123p000006a3ZEAAY</v>
      </c>
      <c r="P243" s="171" t="str">
        <f t="shared" ref="P243:P257" ca="1" si="50">IFERROR(IF(INDIRECT("'Outcome Indicators - Section C '!C"&amp;$I243)=0,"",INDIRECT("'Outcome Indicators - Section C '!C"&amp;$I243)),"")</f>
        <v/>
      </c>
      <c r="Q243" s="171" t="str">
        <f t="shared" ref="Q243:Q257" ca="1" si="51">IFERROR(IF(INDIRECT("'Outcome Indicators - Section C '!G"&amp;$I19)=0,"",INDIRECT("'Outcome Indicators - Section C '!G"&amp;$I19)),"")</f>
        <v xml:space="preserve">Estudio de Vigilancia Bioconductual 2021
</v>
      </c>
      <c r="R243" s="171" t="str">
        <f t="shared" ref="R243:R257" ca="1" si="52">IFERROR(IF(INDIRECT("'Outcome Indicators - Section C '!AA"&amp;$I243)=0,"",INDIRECT("'Outcome Indicators - Section C '!AA"&amp;$I243)),"")</f>
        <v xml:space="preserve">Línea de base: Resultados del estudio Bioconductual en población Gay, Bisexuales y otros hombres que tienen sexo con hombres (GB-HSH) realizado en 2021, desarrollado en las ciudades de La Paz, El Alto, Cochabamba y Santa Cruz. Incluye solo personas que tuvieron relaciones con parejas ocasionales.
Método de Medición: La fuente de información es un “Estudio de Prevalencia de ITS/VIH y Hepatitis B en población GB-HSH” a realizarse al finalizar la subvención. </v>
      </c>
      <c r="S243" s="171"/>
      <c r="T243" s="171"/>
      <c r="U243" s="166"/>
    </row>
    <row r="244" spans="1:21">
      <c r="A244" s="166" t="b">
        <f t="shared" ca="1" si="41"/>
        <v>1</v>
      </c>
      <c r="B244" s="167">
        <f t="shared" si="39"/>
        <v>4</v>
      </c>
      <c r="C244" s="172" t="str">
        <f>IFERROR(INDEX(C$226:C244,B244,1),"")</f>
        <v>a1X3p00000Cye20EAB</v>
      </c>
      <c r="D244" s="168">
        <f t="shared" ca="1" si="42"/>
        <v>87.3</v>
      </c>
      <c r="E244" s="177" t="str">
        <f t="shared" ca="1" si="43"/>
        <v/>
      </c>
      <c r="F244" s="170" t="str">
        <f t="shared" ca="1" si="44"/>
        <v/>
      </c>
      <c r="G244" s="171">
        <f t="shared" ca="1" si="45"/>
        <v>2021</v>
      </c>
      <c r="H244" s="171" t="str">
        <f t="shared" ca="1" si="46"/>
        <v>Biobehavioral Surveillance Study 2021</v>
      </c>
      <c r="I244" s="167">
        <f t="shared" si="40"/>
        <v>11</v>
      </c>
      <c r="J244" s="171" t="str">
        <f t="shared" ca="1" si="47"/>
        <v>Baseline: Results of the Biobehavioral study in the population of transgender women, conducted in 2021, developed in the cities of La Paz, El Alto, Cochabamba, Santa Cruz and Trinidad.  Includes only people who had relationships with commercial partners.
Measurement Method: The source of information is a "Prevalence Study of STI/HIV and Hepatitis B in Transgender population" to be conducted at the end of the grant.</v>
      </c>
      <c r="K244" s="166"/>
      <c r="L244" s="171" t="str">
        <f t="shared" ca="1" si="48"/>
        <v/>
      </c>
      <c r="M244" s="166" t="str">
        <f t="array" aca="1" ref="M244" ca="1">IFERROR(VLOOKUP(LEFT(INDIRECT("'Outcome Indicators - Section C '!B"&amp;$I244),255),LEFT('Reference Records'!$C$24:$L$73,255),10,0),"")</f>
        <v>IOR-00102</v>
      </c>
      <c r="N244" s="166" t="str">
        <f t="shared" ca="1" si="49"/>
        <v>Bolivia (Plurinational State)</v>
      </c>
      <c r="O244" s="171" t="str">
        <f ca="1">IFERROR(VLOOKUP(INDIRECT("'Outcome Indicators - Section C '!I"&amp;$I244),'Overview - Section A'!M$30:P58,4,0),IFERROR(VLOOKUP(INDIRECT("'Outcome Indicators - Section C '!I"&amp;$I244),'Overview - Section A'!E$27:I46,5,0),""))</f>
        <v>a123p000006a3ZEAAY</v>
      </c>
      <c r="P244" s="171" t="str">
        <f t="shared" ca="1" si="50"/>
        <v/>
      </c>
      <c r="Q244" s="171" t="str">
        <f t="shared" ca="1" si="51"/>
        <v xml:space="preserve">Estudio de Vigilancia Bioconductual 2021
</v>
      </c>
      <c r="R244" s="171" t="str">
        <f t="shared" ca="1" si="52"/>
        <v>Línea de base: Resultados del estudio Bioconductual en población de mujeres transgénero, realizado en 2021, desarrollado en las ciudades de La Paz, El Alto, Cochabamba, Santa Cruz y Trinidad.  Incluye solo personas que tuvieron relaciones con parejas comerciales
Método de Medición: La fuente de información es un “Estudio de Prevalencia de ITS/VIH y Hepatitis B en población Transgénero” a realizarse al finalizar la subvención.</v>
      </c>
      <c r="S244" s="171"/>
      <c r="T244" s="171"/>
      <c r="U244" s="166"/>
    </row>
    <row r="245" spans="1:21">
      <c r="A245" s="166" t="b">
        <f t="shared" ca="1" si="41"/>
        <v>1</v>
      </c>
      <c r="B245" s="167">
        <f t="shared" si="39"/>
        <v>5</v>
      </c>
      <c r="C245" s="172" t="str">
        <f>IFERROR(INDEX(C$226:C245,B245,1),"")</f>
        <v>a1X3p00000Cye21EAB</v>
      </c>
      <c r="D245" s="168">
        <f t="shared" ca="1" si="42"/>
        <v>97.942386831275712</v>
      </c>
      <c r="E245" s="177">
        <f t="shared" ca="1" si="43"/>
        <v>1944</v>
      </c>
      <c r="F245" s="170">
        <f t="shared" ca="1" si="44"/>
        <v>1904</v>
      </c>
      <c r="G245" s="171">
        <f t="shared" ca="1" si="45"/>
        <v>2010</v>
      </c>
      <c r="H245" s="171" t="str">
        <f t="shared" ca="1" si="46"/>
        <v>Second Generation Surveillance Study conducted in 2010</v>
      </c>
      <c r="I245" s="167">
        <f t="shared" si="40"/>
        <v>13</v>
      </c>
      <c r="J245" s="171" t="str">
        <f t="shared" ca="1" si="47"/>
        <v>Baseline: The figure is based on the Second Generation Surveillance Study conducted in 2010 in the cities of La Paz, El Alto, Cochabamba and Santa Cruz.
Measurement Method: The source of information is a "Prevalence Study of STI/HIV and Hepatitis B in Sex Worker population" to be conducted at the end of the grant, with resources over allocation and/or grant efficiencies.</v>
      </c>
      <c r="K245" s="166"/>
      <c r="L245" s="171" t="str">
        <f t="shared" ca="1" si="48"/>
        <v/>
      </c>
      <c r="M245" s="166" t="str">
        <f t="array" aca="1" ref="M245" ca="1">IFERROR(VLOOKUP(LEFT(INDIRECT("'Outcome Indicators - Section C '!B"&amp;$I245),255),LEFT('Reference Records'!$C$24:$L$73,255),10,0),"")</f>
        <v>IOR-00103</v>
      </c>
      <c r="N245" s="166" t="str">
        <f t="shared" ca="1" si="49"/>
        <v>Bolivia (Plurinational State)</v>
      </c>
      <c r="O245" s="171" t="str">
        <f ca="1">IFERROR(VLOOKUP(INDIRECT("'Outcome Indicators - Section C '!I"&amp;$I245),'Overview - Section A'!M$30:P59,4,0),IFERROR(VLOOKUP(INDIRECT("'Outcome Indicators - Section C '!I"&amp;$I245),'Overview - Section A'!E$27:I47,5,0),""))</f>
        <v>a123p000006a3ZEAAY</v>
      </c>
      <c r="P245" s="171" t="str">
        <f t="shared" ca="1" si="50"/>
        <v/>
      </c>
      <c r="Q245" s="171" t="str">
        <f t="shared" ca="1" si="51"/>
        <v>Estudio de Vigilancia de Segunda Generación realizado en 2010</v>
      </c>
      <c r="R245" s="171" t="str">
        <f t="shared" ca="1" si="52"/>
        <v xml:space="preserve">Línea de base: La cifra está basada en el Estudio de Vigilancia de Segunda Generación realizado en 2010 desarrollado en las ciudades de La Paz, El Alto, Cochabamba y Santa Cruz
Método de Medición: La fuente de información es un “Estudio de Prevalencia de ITS/VIH y Hepatitis B en población de Trabajadoras Sexuales” a realizarse al finalizar la subvención, con recursos por encima de lo asignado y/o con eficiencias de la subvención. </v>
      </c>
      <c r="S245" s="171"/>
      <c r="T245" s="171"/>
      <c r="U245" s="166"/>
    </row>
    <row r="246" spans="1:21">
      <c r="A246" s="166" t="b">
        <f t="shared" ca="1" si="41"/>
        <v>1</v>
      </c>
      <c r="B246" s="167">
        <f t="shared" si="39"/>
        <v>6</v>
      </c>
      <c r="C246" s="172" t="str">
        <f>IFERROR(INDEX(C$226:C246,B246,1),"")</f>
        <v>a1X3p00000Cye22EAB</v>
      </c>
      <c r="D246" s="168">
        <f t="shared" ca="1" si="42"/>
        <v>89.119072507839974</v>
      </c>
      <c r="E246" s="177">
        <f t="shared" ca="1" si="43"/>
        <v>10523</v>
      </c>
      <c r="F246" s="170">
        <f t="shared" ca="1" si="44"/>
        <v>9378</v>
      </c>
      <c r="G246" s="171">
        <f t="shared" ca="1" si="45"/>
        <v>2021</v>
      </c>
      <c r="H246" s="171" t="str">
        <f t="shared" ca="1" si="46"/>
        <v>Epidemiological Surveillance Unit Report - HIV Component - SIMONE</v>
      </c>
      <c r="I246" s="167">
        <f t="shared" si="40"/>
        <v>15</v>
      </c>
      <c r="J246" s="171" t="str">
        <f t="shared" ca="1" si="47"/>
        <v xml:space="preserve">Baseline: The baseline corresponds to the analysis of the 2021 HIV care cascade (Viral Load pillar and Suppressed CV pillar) excluding PLWHA with recent HAART initiation (&lt; 6 months).                                                                                                                                                                                                                                              Method of Measurement: The source of information will be nominal HAART and Laboratory monitoring reports from the HIV information system (SIMONE). </v>
      </c>
      <c r="K246" s="166"/>
      <c r="L246" s="171" t="str">
        <f t="shared" ca="1" si="48"/>
        <v/>
      </c>
      <c r="M246" s="166" t="str">
        <f t="array" aca="1" ref="M246" ca="1">IFERROR(VLOOKUP(LEFT(INDIRECT("'Outcome Indicators - Section C '!B"&amp;$I246),255),LEFT('Reference Records'!$C$24:$L$73,255),10,0),"")</f>
        <v>IOR-00108</v>
      </c>
      <c r="N246" s="166" t="str">
        <f t="shared" ca="1" si="49"/>
        <v>Bolivia (Plurinational State)</v>
      </c>
      <c r="O246" s="171" t="str">
        <f ca="1">IFERROR(VLOOKUP(INDIRECT("'Outcome Indicators - Section C '!I"&amp;$I246),'Overview - Section A'!M$30:P60,4,0),IFERROR(VLOOKUP(INDIRECT("'Outcome Indicators - Section C '!I"&amp;$I246),'Overview - Section A'!E$27:I48,5,0),""))</f>
        <v>a123p000006a3ZEAAY</v>
      </c>
      <c r="P246" s="171" t="str">
        <f t="shared" ca="1" si="50"/>
        <v/>
      </c>
      <c r="Q246" s="171" t="str">
        <f t="shared" ca="1" si="51"/>
        <v>Reporte de la Unidad de Vigilancia Epidemiologica - Componente VIH - SIMONE</v>
      </c>
      <c r="R246" s="171" t="str">
        <f t="shared" ca="1" si="52"/>
        <v xml:space="preserve">Línea de Base: La línea de base corresponde al análisis de la cascada de atención de VIH del año 2021 (pilar de Carga Viral y pilar CV Suprimida) a las que se excluyó las PVV con inicio de TARGA reciente (&lt; de 6 meses).                                                                                                                                                                     Método de Medición: La fuente de información serán los reportes nominales de TARGA y Laboratorio de seguimiento del sistema de información de VIH (SIMONE).  </v>
      </c>
      <c r="S246" s="171"/>
      <c r="T246" s="171"/>
      <c r="U246" s="166"/>
    </row>
    <row r="247" spans="1:21">
      <c r="A247" s="166" t="b">
        <f t="shared" ca="1" si="41"/>
        <v>1</v>
      </c>
      <c r="B247" s="167">
        <f t="shared" si="39"/>
        <v>7</v>
      </c>
      <c r="C247" s="172" t="str">
        <f>IFERROR(INDEX(C$226:C247,B247,1),"")</f>
        <v>a1X3p00000Cye23EAB</v>
      </c>
      <c r="D247" s="168">
        <f t="shared" ca="1" si="42"/>
        <v>70.114942528735639</v>
      </c>
      <c r="E247" s="177">
        <f t="shared" ca="1" si="43"/>
        <v>87</v>
      </c>
      <c r="F247" s="170">
        <f t="shared" ca="1" si="44"/>
        <v>61</v>
      </c>
      <c r="G247" s="171">
        <f t="shared" ca="1" si="45"/>
        <v>2018</v>
      </c>
      <c r="H247" s="171" t="str">
        <f t="shared" ca="1" si="46"/>
        <v>Report of the Epidemiological Surveillance Unit - Tuberculosis Component - TB R&amp;R System - Ministry of Health and Sports.</v>
      </c>
      <c r="I247" s="167">
        <f t="shared" si="40"/>
        <v>17</v>
      </c>
      <c r="J247" s="171" t="str">
        <f t="shared" ca="1" si="47"/>
        <v>Baseline. Treatment Success Rate: 70.11% (61/87) Management 2018. 
Source of information: report from the Epidemiological Surveillance Unit - Tuberculosis Component - TB R&amp;R System - Ministry of Health and Sports.
Measurement method: 
Numerator: RR-MDR TB cases that finish their treatment with negative diagnostic result.
Denominator: Number of RR-MDR cases that started treatment.
Comment: Potential limiting factors in the success of treatment in RR-MDR-TB patients are the following:
- People identified as RR-RR-TB/MDR-TB are patients with difficulties in initiating treatment and adherence to treatment, given the underlying conditions of these people (extreme poverty, street situation, drug-dependent PLW, TB-HIV, etc).
- Complementary tests for initiation of RR-TB treatment should be performed prior to treatment initiation.
The implementation of the oral regimen in DR-TB patients starting in 2022 will help treatment adherence and success of the treatment for patients, as it is a less aggressive treatment for the patient.
It is expected to increase treatment success to 85%</v>
      </c>
      <c r="K247" s="166"/>
      <c r="L247" s="171" t="str">
        <f t="shared" ca="1" si="48"/>
        <v/>
      </c>
      <c r="M247" s="166" t="str">
        <f t="array" aca="1" ref="M247" ca="1">IFERROR(VLOOKUP(LEFT(INDIRECT("'Outcome Indicators - Section C '!B"&amp;$I247),255),LEFT('Reference Records'!$C$24:$L$73,255),10,0),"")</f>
        <v>IOR-00124</v>
      </c>
      <c r="N247" s="166" t="str">
        <f t="shared" ca="1" si="49"/>
        <v>Bolivia (Plurinational State)</v>
      </c>
      <c r="O247" s="171" t="str">
        <f ca="1">IFERROR(VLOOKUP(INDIRECT("'Outcome Indicators - Section C '!I"&amp;$I247),'Overview - Section A'!M$30:P61,4,0),IFERROR(VLOOKUP(INDIRECT("'Outcome Indicators - Section C '!I"&amp;$I247),'Overview - Section A'!E$27:I49,5,0),""))</f>
        <v>a123p000006a3ZEAAY</v>
      </c>
      <c r="P247" s="171" t="str">
        <f t="shared" ca="1" si="50"/>
        <v/>
      </c>
      <c r="Q247" s="171" t="str">
        <f t="shared" ca="1" si="51"/>
        <v>Reporte de la Unidad de Vigilancia Epidemiológica - Componente de Tuberculosis - Sistema de R&amp;R TB - Ministerio de Salud y Deportes.</v>
      </c>
      <c r="R247" s="171" t="str">
        <f t="shared" ca="1" si="52"/>
        <v xml:space="preserve">Línea de Base. Tasa de Éxito Tratamiento: 70.11% (61/87) Gestión 2018. 
Fuente de información: Reporte de la Unidad de Vigilancia Epidemiológica - Componente de Tuberculosis - Sistema de R&amp;R TB - Ministerio de Salud y Deportes.
Método de medición: 
Numerador: Casos de TB RR-MDR que finalizar su tratamiento con resultado de diagnostico negativo.
Denominador: Numero de Casos RR-MDR que iniciaron tratamiento.
Comentario: Los posibles limitantes en el éxito de tratamiento en pacientes TB RR-MDR son las siguientes:
- Las personas identificadas como TB-RR/TB-MDR son pacientes con dificultades en el inicio de tratamiento y la adherencia al tratamiento, dadas las condiciones de base de estas personas (extrema pobreza, situación de calle, PPL drogodependientes, TB-VIH, etc)
- Antes del inicio de tratamiento se deben realizar exámenes complementarios para inicio de tratamiento TB-RR.
La implementación del esquema oral en los pacientes TB-DR a partir de la gestion 2022, ayudara a la adherencia del tratamiento y el éxito del mismo en los pacientes al ser un tratamiento menos agresivo para el paciente.
Se espera incrementar el éxito de tratamiento al 85% y mantener en cada gestión. 
</v>
      </c>
      <c r="S247" s="171"/>
      <c r="T247" s="171"/>
      <c r="U247" s="166"/>
    </row>
    <row r="248" spans="1:21">
      <c r="A248" s="166" t="b">
        <f t="shared" ca="1" si="41"/>
        <v>1</v>
      </c>
      <c r="B248" s="167">
        <f t="shared" si="39"/>
        <v>8</v>
      </c>
      <c r="C248" s="172" t="str">
        <f>IFERROR(INDEX(C$226:C248,B248,1),"")</f>
        <v>a1X3p00000Cye24EAB</v>
      </c>
      <c r="D248" s="168">
        <f t="shared" ca="1" si="42"/>
        <v>50.133333333333333</v>
      </c>
      <c r="E248" s="177">
        <f t="shared" ca="1" si="43"/>
        <v>12000</v>
      </c>
      <c r="F248" s="170">
        <f t="shared" ca="1" si="44"/>
        <v>6016</v>
      </c>
      <c r="G248" s="171">
        <f t="shared" ca="1" si="45"/>
        <v>2021</v>
      </c>
      <c r="H248" s="171" t="str">
        <f t="shared" ca="1" si="46"/>
        <v>Report of the Epidemiological Surveillance Unit - Tuberculosis Component - TB R&amp;R System - Ministry of Health and Sports</v>
      </c>
      <c r="I248" s="167">
        <f t="shared" si="40"/>
        <v>19</v>
      </c>
      <c r="J248" s="171" t="str">
        <f t="shared" ca="1" si="47"/>
        <v>Baseline. Treatment initiation is in relation to WHO case estimate 50.13% (6016/12000).  
Data source: Epidemiological Surveillance Unit Report - Tuberculosis Component - TB R&amp;R System - Ministry of Health and Sports.
Measurement method: 
Numerator: Number of new and relapsed cases that initiated TB treatment.
Denominator: Number of estimated new cases and relapses by WHO. 
Comment: The targets are aligned with the PEN and are in line with the country's historical uptake projection.
The denominator used is the number of new cases and relapses captured by the country and not the WHO estimates, since they are not real under the historical behavior of the country.</v>
      </c>
      <c r="K248" s="166"/>
      <c r="L248" s="171" t="str">
        <f t="shared" ca="1" si="48"/>
        <v/>
      </c>
      <c r="M248" s="166" t="str">
        <f t="array" aca="1" ref="M248" ca="1">IFERROR(VLOOKUP(LEFT(INDIRECT("'Outcome Indicators - Section C '!B"&amp;$I248),255),LEFT('Reference Records'!$C$24:$L$73,255),10,0),"")</f>
        <v>IOR-00125</v>
      </c>
      <c r="N248" s="166" t="str">
        <f t="shared" ca="1" si="49"/>
        <v>Bolivia (Plurinational State)</v>
      </c>
      <c r="O248" s="171" t="str">
        <f ca="1">IFERROR(VLOOKUP(INDIRECT("'Outcome Indicators - Section C '!I"&amp;$I248),'Overview - Section A'!M$30:P62,4,0),IFERROR(VLOOKUP(INDIRECT("'Outcome Indicators - Section C '!I"&amp;$I248),'Overview - Section A'!E$27:I50,5,0),""))</f>
        <v>a123p000006a3ZEAAY</v>
      </c>
      <c r="P248" s="171" t="str">
        <f t="shared" ca="1" si="50"/>
        <v/>
      </c>
      <c r="Q248" s="171" t="str">
        <f t="shared" ca="1" si="51"/>
        <v>Reporte de la Unidad de Vigilancia Epidemiológica - Componente de Tuberculosis - Sistema de R&amp;R TB - Ministerio de Salud y Deportes.</v>
      </c>
      <c r="R248" s="171" t="str">
        <f t="shared" ca="1" si="52"/>
        <v>Línea de Base. Inicio de tratamiento esta con relación a la estimación de casos de la OMS 50.13% (6016/12000)  
Fuente de información: Reporte de la Unidad de Vigilancia Epidemiológica - Componente de Tuberculosis - Sistema de R&amp;R TB - Ministerio de Salud y Deportes.
Método de medición: 
Numerador: Número de casos nuevos y recaídas que iniciaron tratamiento de TB
Denominador:  Número de Casos estimados nuevos y recaídas por la OMS. 
Comentario: Las metas están alineadas al PEN y son acordes a la proyección de captación histórica del país
Se utiliza como denominador los casos nuevos y recaídas captados por el país y no así las estimaciones de la OMS ya que no son reales bajo el comportamiento histórico del país.</v>
      </c>
      <c r="S248" s="171"/>
      <c r="T248" s="171"/>
      <c r="U248" s="166"/>
    </row>
    <row r="249" spans="1:21">
      <c r="A249" s="166" t="b">
        <f t="shared" ca="1" si="41"/>
        <v>0</v>
      </c>
      <c r="B249" s="167">
        <f t="shared" si="39"/>
        <v>9</v>
      </c>
      <c r="C249" s="172" t="str">
        <f>IFERROR(INDEX(C$226:C249,B249,1),"")</f>
        <v>a1X3p00000Cye25EAB</v>
      </c>
      <c r="D249" s="168" t="str">
        <f t="shared" ca="1" si="42"/>
        <v/>
      </c>
      <c r="E249" s="177" t="str">
        <f t="shared" ca="1" si="43"/>
        <v/>
      </c>
      <c r="F249" s="170" t="str">
        <f t="shared" ca="1" si="44"/>
        <v/>
      </c>
      <c r="G249" s="171" t="str">
        <f t="shared" ca="1" si="45"/>
        <v/>
      </c>
      <c r="H249" s="171" t="str">
        <f t="shared" ca="1" si="46"/>
        <v/>
      </c>
      <c r="I249" s="167">
        <f t="shared" si="40"/>
        <v>21</v>
      </c>
      <c r="J249" s="171" t="str">
        <f t="shared" ca="1" si="47"/>
        <v/>
      </c>
      <c r="K249" s="166"/>
      <c r="L249" s="171" t="str">
        <f t="shared" ca="1" si="48"/>
        <v/>
      </c>
      <c r="M249" s="166" t="str">
        <f t="array" aca="1" ref="M249" ca="1">IFERROR(VLOOKUP(LEFT(INDIRECT("'Outcome Indicators - Section C '!B"&amp;$I249),255),LEFT('Reference Records'!$C$24:$L$73,255),10,0),"")</f>
        <v/>
      </c>
      <c r="N249" s="166" t="str">
        <f t="shared" ca="1" si="49"/>
        <v/>
      </c>
      <c r="O249" s="171" t="str">
        <f ca="1">IFERROR(VLOOKUP(INDIRECT("'Outcome Indicators - Section C '!I"&amp;$I249),'Overview - Section A'!M$30:P63,4,0),IFERROR(VLOOKUP(INDIRECT("'Outcome Indicators - Section C '!I"&amp;$I249),'Overview - Section A'!E$27:I51,5,0),""))</f>
        <v/>
      </c>
      <c r="P249" s="171" t="str">
        <f t="shared" ca="1" si="50"/>
        <v/>
      </c>
      <c r="Q249" s="171" t="str">
        <f t="shared" ca="1" si="51"/>
        <v/>
      </c>
      <c r="R249" s="171" t="str">
        <f t="shared" ca="1" si="52"/>
        <v/>
      </c>
      <c r="S249" s="171"/>
      <c r="T249" s="171"/>
      <c r="U249" s="166"/>
    </row>
    <row r="250" spans="1:21">
      <c r="A250" s="166" t="b">
        <f t="shared" ca="1" si="41"/>
        <v>0</v>
      </c>
      <c r="B250" s="167">
        <f t="shared" si="39"/>
        <v>10</v>
      </c>
      <c r="C250" s="172" t="str">
        <f>IFERROR(INDEX(C$226:C250,B250,1),"")</f>
        <v>a1X3p00000Cye26EAB</v>
      </c>
      <c r="D250" s="168" t="str">
        <f t="shared" ca="1" si="42"/>
        <v/>
      </c>
      <c r="E250" s="177" t="str">
        <f t="shared" ca="1" si="43"/>
        <v/>
      </c>
      <c r="F250" s="170" t="str">
        <f t="shared" ca="1" si="44"/>
        <v/>
      </c>
      <c r="G250" s="171" t="str">
        <f t="shared" ca="1" si="45"/>
        <v/>
      </c>
      <c r="H250" s="171" t="str">
        <f t="shared" ca="1" si="46"/>
        <v/>
      </c>
      <c r="I250" s="167">
        <f t="shared" si="40"/>
        <v>23</v>
      </c>
      <c r="J250" s="171" t="str">
        <f t="shared" ca="1" si="47"/>
        <v/>
      </c>
      <c r="K250" s="166"/>
      <c r="L250" s="171" t="str">
        <f t="shared" ca="1" si="48"/>
        <v/>
      </c>
      <c r="M250" s="166" t="str">
        <f t="array" aca="1" ref="M250" ca="1">IFERROR(VLOOKUP(LEFT(INDIRECT("'Outcome Indicators - Section C '!B"&amp;$I250),255),LEFT('Reference Records'!$C$24:$L$73,255),10,0),"")</f>
        <v/>
      </c>
      <c r="N250" s="166" t="str">
        <f t="shared" ca="1" si="49"/>
        <v/>
      </c>
      <c r="O250" s="171" t="str">
        <f ca="1">IFERROR(VLOOKUP(INDIRECT("'Outcome Indicators - Section C '!I"&amp;$I250),'Overview - Section A'!M$30:P64,4,0),IFERROR(VLOOKUP(INDIRECT("'Outcome Indicators - Section C '!I"&amp;$I250),'Overview - Section A'!E$27:I52,5,0),""))</f>
        <v/>
      </c>
      <c r="P250" s="171" t="str">
        <f t="shared" ca="1" si="50"/>
        <v/>
      </c>
      <c r="Q250" s="171" t="str">
        <f t="shared" ca="1" si="51"/>
        <v/>
      </c>
      <c r="R250" s="171" t="str">
        <f t="shared" ca="1" si="52"/>
        <v/>
      </c>
      <c r="S250" s="171"/>
      <c r="T250" s="171"/>
      <c r="U250" s="166"/>
    </row>
    <row r="251" spans="1:21">
      <c r="A251" s="166" t="b">
        <f t="shared" ca="1" si="41"/>
        <v>0</v>
      </c>
      <c r="B251" s="167">
        <f t="shared" si="39"/>
        <v>11</v>
      </c>
      <c r="C251" s="172" t="str">
        <f>IFERROR(INDEX(C$226:C251,B251,1),"")</f>
        <v>a1X3p00000Cye27EAB</v>
      </c>
      <c r="D251" s="168" t="str">
        <f t="shared" ca="1" si="42"/>
        <v/>
      </c>
      <c r="E251" s="177" t="str">
        <f t="shared" ca="1" si="43"/>
        <v/>
      </c>
      <c r="F251" s="170" t="str">
        <f t="shared" ca="1" si="44"/>
        <v/>
      </c>
      <c r="G251" s="171" t="str">
        <f t="shared" ca="1" si="45"/>
        <v/>
      </c>
      <c r="H251" s="171" t="str">
        <f t="shared" ca="1" si="46"/>
        <v/>
      </c>
      <c r="I251" s="167">
        <f t="shared" si="40"/>
        <v>25</v>
      </c>
      <c r="J251" s="171" t="str">
        <f t="shared" ca="1" si="47"/>
        <v/>
      </c>
      <c r="K251" s="166"/>
      <c r="L251" s="171" t="str">
        <f t="shared" ca="1" si="48"/>
        <v/>
      </c>
      <c r="M251" s="166" t="str">
        <f t="array" aca="1" ref="M251" ca="1">IFERROR(VLOOKUP(LEFT(INDIRECT("'Outcome Indicators - Section C '!B"&amp;$I251),255),LEFT('Reference Records'!$C$24:$L$73,255),10,0),"")</f>
        <v/>
      </c>
      <c r="N251" s="166" t="str">
        <f t="shared" ca="1" si="49"/>
        <v/>
      </c>
      <c r="O251" s="171" t="str">
        <f ca="1">IFERROR(VLOOKUP(INDIRECT("'Outcome Indicators - Section C '!I"&amp;$I251),'Overview - Section A'!M$30:P65,4,0),IFERROR(VLOOKUP(INDIRECT("'Outcome Indicators - Section C '!I"&amp;$I251),'Overview - Section A'!E$27:I53,5,0),""))</f>
        <v/>
      </c>
      <c r="P251" s="171" t="str">
        <f t="shared" ca="1" si="50"/>
        <v/>
      </c>
      <c r="Q251" s="171" t="str">
        <f t="shared" ca="1" si="51"/>
        <v/>
      </c>
      <c r="R251" s="171" t="str">
        <f t="shared" ca="1" si="52"/>
        <v/>
      </c>
      <c r="S251" s="171"/>
      <c r="T251" s="171"/>
      <c r="U251" s="166"/>
    </row>
    <row r="252" spans="1:21">
      <c r="A252" s="166" t="b">
        <f t="shared" ca="1" si="41"/>
        <v>0</v>
      </c>
      <c r="B252" s="167">
        <f t="shared" si="39"/>
        <v>12</v>
      </c>
      <c r="C252" s="172" t="str">
        <f>IFERROR(INDEX(C$226:C252,B252,1),"")</f>
        <v>a1X3p00000Cye28EAB</v>
      </c>
      <c r="D252" s="168" t="str">
        <f t="shared" ca="1" si="42"/>
        <v/>
      </c>
      <c r="E252" s="177" t="str">
        <f t="shared" ca="1" si="43"/>
        <v/>
      </c>
      <c r="F252" s="170" t="str">
        <f t="shared" ca="1" si="44"/>
        <v/>
      </c>
      <c r="G252" s="171" t="str">
        <f t="shared" ca="1" si="45"/>
        <v/>
      </c>
      <c r="H252" s="171" t="str">
        <f t="shared" ca="1" si="46"/>
        <v/>
      </c>
      <c r="I252" s="167">
        <f t="shared" si="40"/>
        <v>27</v>
      </c>
      <c r="J252" s="171" t="str">
        <f t="shared" ca="1" si="47"/>
        <v/>
      </c>
      <c r="K252" s="166"/>
      <c r="L252" s="171" t="str">
        <f t="shared" ca="1" si="48"/>
        <v/>
      </c>
      <c r="M252" s="166" t="str">
        <f t="array" aca="1" ref="M252" ca="1">IFERROR(VLOOKUP(LEFT(INDIRECT("'Outcome Indicators - Section C '!B"&amp;$I252),255),LEFT('Reference Records'!$C$24:$L$73,255),10,0),"")</f>
        <v/>
      </c>
      <c r="N252" s="166" t="str">
        <f t="shared" ca="1" si="49"/>
        <v/>
      </c>
      <c r="O252" s="171" t="str">
        <f ca="1">IFERROR(VLOOKUP(INDIRECT("'Outcome Indicators - Section C '!I"&amp;$I252),'Overview - Section A'!M$30:P66,4,0),IFERROR(VLOOKUP(INDIRECT("'Outcome Indicators - Section C '!I"&amp;$I252),'Overview - Section A'!E$27:I54,5,0),""))</f>
        <v/>
      </c>
      <c r="P252" s="171" t="str">
        <f t="shared" ca="1" si="50"/>
        <v/>
      </c>
      <c r="Q252" s="171" t="str">
        <f t="shared" ca="1" si="51"/>
        <v/>
      </c>
      <c r="R252" s="171" t="str">
        <f t="shared" ca="1" si="52"/>
        <v/>
      </c>
      <c r="S252" s="171"/>
      <c r="T252" s="171"/>
      <c r="U252" s="166"/>
    </row>
    <row r="253" spans="1:21">
      <c r="A253" s="166" t="b">
        <f t="shared" ca="1" si="41"/>
        <v>0</v>
      </c>
      <c r="B253" s="167">
        <f t="shared" si="39"/>
        <v>13</v>
      </c>
      <c r="C253" s="172" t="str">
        <f>IFERROR(INDEX(C$226:C253,B253,1),"")</f>
        <v>a1X3p00000Cye29EAB</v>
      </c>
      <c r="D253" s="168" t="str">
        <f t="shared" ca="1" si="42"/>
        <v/>
      </c>
      <c r="E253" s="177" t="str">
        <f t="shared" ca="1" si="43"/>
        <v/>
      </c>
      <c r="F253" s="170" t="str">
        <f t="shared" ca="1" si="44"/>
        <v/>
      </c>
      <c r="G253" s="171" t="str">
        <f t="shared" ca="1" si="45"/>
        <v/>
      </c>
      <c r="H253" s="171" t="str">
        <f t="shared" ca="1" si="46"/>
        <v/>
      </c>
      <c r="I253" s="167">
        <f t="shared" si="40"/>
        <v>29</v>
      </c>
      <c r="J253" s="171" t="str">
        <f t="shared" ca="1" si="47"/>
        <v/>
      </c>
      <c r="K253" s="166"/>
      <c r="L253" s="171" t="str">
        <f t="shared" ca="1" si="48"/>
        <v/>
      </c>
      <c r="M253" s="166" t="str">
        <f t="array" aca="1" ref="M253" ca="1">IFERROR(VLOOKUP(LEFT(INDIRECT("'Outcome Indicators - Section C '!B"&amp;$I253),255),LEFT('Reference Records'!$C$24:$L$73,255),10,0),"")</f>
        <v/>
      </c>
      <c r="N253" s="166" t="str">
        <f t="shared" ca="1" si="49"/>
        <v/>
      </c>
      <c r="O253" s="171" t="str">
        <f ca="1">IFERROR(VLOOKUP(INDIRECT("'Outcome Indicators - Section C '!I"&amp;$I253),'Overview - Section A'!M$30:P67,4,0),IFERROR(VLOOKUP(INDIRECT("'Outcome Indicators - Section C '!I"&amp;$I253),'Overview - Section A'!E$27:I55,5,0),""))</f>
        <v/>
      </c>
      <c r="P253" s="171" t="str">
        <f t="shared" ca="1" si="50"/>
        <v/>
      </c>
      <c r="Q253" s="171" t="str">
        <f t="shared" ca="1" si="51"/>
        <v/>
      </c>
      <c r="R253" s="171" t="str">
        <f t="shared" ca="1" si="52"/>
        <v/>
      </c>
      <c r="S253" s="171"/>
      <c r="T253" s="171"/>
      <c r="U253" s="166"/>
    </row>
    <row r="254" spans="1:21">
      <c r="A254" s="166" t="b">
        <f t="shared" ca="1" si="41"/>
        <v>0</v>
      </c>
      <c r="B254" s="167">
        <f t="shared" si="39"/>
        <v>14</v>
      </c>
      <c r="C254" s="172" t="str">
        <f>IFERROR(INDEX(C$226:C254,B254,1),"")</f>
        <v>a1X3p00000Cye2AEAR</v>
      </c>
      <c r="D254" s="168" t="str">
        <f t="shared" ca="1" si="42"/>
        <v/>
      </c>
      <c r="E254" s="177" t="str">
        <f t="shared" ca="1" si="43"/>
        <v/>
      </c>
      <c r="F254" s="170" t="str">
        <f t="shared" ca="1" si="44"/>
        <v/>
      </c>
      <c r="G254" s="171" t="str">
        <f t="shared" ca="1" si="45"/>
        <v/>
      </c>
      <c r="H254" s="171" t="str">
        <f t="shared" ca="1" si="46"/>
        <v/>
      </c>
      <c r="I254" s="167">
        <f t="shared" si="40"/>
        <v>31</v>
      </c>
      <c r="J254" s="171" t="str">
        <f t="shared" ca="1" si="47"/>
        <v/>
      </c>
      <c r="K254" s="166"/>
      <c r="L254" s="171" t="str">
        <f t="shared" ca="1" si="48"/>
        <v/>
      </c>
      <c r="M254" s="166" t="str">
        <f t="array" aca="1" ref="M254" ca="1">IFERROR(VLOOKUP(LEFT(INDIRECT("'Outcome Indicators - Section C '!B"&amp;$I254),255),LEFT('Reference Records'!$C$24:$L$73,255),10,0),"")</f>
        <v/>
      </c>
      <c r="N254" s="166" t="str">
        <f t="shared" ca="1" si="49"/>
        <v/>
      </c>
      <c r="O254" s="171" t="str">
        <f ca="1">IFERROR(VLOOKUP(INDIRECT("'Outcome Indicators - Section C '!I"&amp;$I254),'Overview - Section A'!M$30:P68,4,0),IFERROR(VLOOKUP(INDIRECT("'Outcome Indicators - Section C '!I"&amp;$I254),'Overview - Section A'!E$27:I56,5,0),""))</f>
        <v/>
      </c>
      <c r="P254" s="171" t="str">
        <f t="shared" ca="1" si="50"/>
        <v/>
      </c>
      <c r="Q254" s="171" t="str">
        <f t="shared" ca="1" si="51"/>
        <v/>
      </c>
      <c r="R254" s="171" t="str">
        <f t="shared" ca="1" si="52"/>
        <v/>
      </c>
      <c r="S254" s="171"/>
      <c r="T254" s="171"/>
      <c r="U254" s="166"/>
    </row>
    <row r="255" spans="1:21">
      <c r="A255" s="166" t="b">
        <f t="shared" ca="1" si="41"/>
        <v>0</v>
      </c>
      <c r="B255" s="167">
        <f t="shared" si="39"/>
        <v>15</v>
      </c>
      <c r="C255" s="172" t="str">
        <f>IFERROR(INDEX(C$226:C255,B255,1),"")</f>
        <v>a1X3p00000Cye2BEAR</v>
      </c>
      <c r="D255" s="168" t="str">
        <f t="shared" ca="1" si="42"/>
        <v/>
      </c>
      <c r="E255" s="177" t="str">
        <f t="shared" ca="1" si="43"/>
        <v/>
      </c>
      <c r="F255" s="170" t="str">
        <f t="shared" ca="1" si="44"/>
        <v/>
      </c>
      <c r="G255" s="171" t="str">
        <f t="shared" ca="1" si="45"/>
        <v/>
      </c>
      <c r="H255" s="171" t="str">
        <f t="shared" ca="1" si="46"/>
        <v/>
      </c>
      <c r="I255" s="167">
        <f t="shared" si="40"/>
        <v>33</v>
      </c>
      <c r="J255" s="171" t="str">
        <f t="shared" ca="1" si="47"/>
        <v/>
      </c>
      <c r="K255" s="166"/>
      <c r="L255" s="171" t="str">
        <f t="shared" ca="1" si="48"/>
        <v/>
      </c>
      <c r="M255" s="166" t="str">
        <f t="array" aca="1" ref="M255" ca="1">IFERROR(VLOOKUP(LEFT(INDIRECT("'Outcome Indicators - Section C '!B"&amp;$I255),255),LEFT('Reference Records'!$C$24:$L$73,255),10,0),"")</f>
        <v/>
      </c>
      <c r="N255" s="166" t="str">
        <f t="shared" ca="1" si="49"/>
        <v/>
      </c>
      <c r="O255" s="171" t="str">
        <f ca="1">IFERROR(VLOOKUP(INDIRECT("'Outcome Indicators - Section C '!I"&amp;$I255),'Overview - Section A'!M$30:P69,4,0),IFERROR(VLOOKUP(INDIRECT("'Outcome Indicators - Section C '!I"&amp;$I255),'Overview - Section A'!E$27:I57,5,0),""))</f>
        <v/>
      </c>
      <c r="P255" s="171" t="str">
        <f t="shared" ca="1" si="50"/>
        <v/>
      </c>
      <c r="Q255" s="171" t="str">
        <f t="shared" ca="1" si="51"/>
        <v/>
      </c>
      <c r="R255" s="171" t="str">
        <f t="shared" ca="1" si="52"/>
        <v/>
      </c>
      <c r="S255" s="171"/>
      <c r="T255" s="171"/>
      <c r="U255" s="166"/>
    </row>
    <row r="256" spans="1:21">
      <c r="A256" s="166" t="b">
        <f t="shared" ca="1" si="41"/>
        <v>0</v>
      </c>
      <c r="B256" s="167">
        <f t="shared" si="39"/>
        <v>16</v>
      </c>
      <c r="C256" s="172" t="str">
        <f>IFERROR(INDEX(C$226:C256,B256,1),"")</f>
        <v>a1X3p00000Cye2CEAR</v>
      </c>
      <c r="D256" s="168" t="str">
        <f t="shared" ca="1" si="42"/>
        <v/>
      </c>
      <c r="E256" s="177" t="str">
        <f t="shared" ca="1" si="43"/>
        <v/>
      </c>
      <c r="F256" s="170" t="str">
        <f t="shared" ca="1" si="44"/>
        <v/>
      </c>
      <c r="G256" s="171" t="str">
        <f t="shared" ca="1" si="45"/>
        <v/>
      </c>
      <c r="H256" s="171" t="str">
        <f t="shared" ca="1" si="46"/>
        <v/>
      </c>
      <c r="I256" s="167">
        <f t="shared" si="40"/>
        <v>35</v>
      </c>
      <c r="J256" s="171" t="str">
        <f t="shared" ca="1" si="47"/>
        <v/>
      </c>
      <c r="K256" s="166"/>
      <c r="L256" s="171" t="str">
        <f t="shared" ca="1" si="48"/>
        <v/>
      </c>
      <c r="M256" s="166" t="str">
        <f t="array" aca="1" ref="M256" ca="1">IFERROR(VLOOKUP(LEFT(INDIRECT("'Outcome Indicators - Section C '!B"&amp;$I256),255),LEFT('Reference Records'!$C$24:$L$73,255),10,0),"")</f>
        <v/>
      </c>
      <c r="N256" s="166" t="str">
        <f t="shared" ca="1" si="49"/>
        <v/>
      </c>
      <c r="O256" s="171" t="str">
        <f ca="1">IFERROR(VLOOKUP(INDIRECT("'Outcome Indicators - Section C '!I"&amp;$I256),'Overview - Section A'!M$30:P70,4,0),IFERROR(VLOOKUP(INDIRECT("'Outcome Indicators - Section C '!I"&amp;$I256),'Overview - Section A'!E$27:I58,5,0),""))</f>
        <v/>
      </c>
      <c r="P256" s="171" t="str">
        <f t="shared" ca="1" si="50"/>
        <v/>
      </c>
      <c r="Q256" s="171" t="str">
        <f t="shared" ca="1" si="51"/>
        <v/>
      </c>
      <c r="R256" s="171" t="str">
        <f t="shared" ca="1" si="52"/>
        <v/>
      </c>
      <c r="S256" s="171"/>
      <c r="T256" s="171"/>
      <c r="U256" s="166"/>
    </row>
    <row r="257" spans="1:21">
      <c r="A257" s="166" t="b">
        <f t="shared" ca="1" si="41"/>
        <v>0</v>
      </c>
      <c r="B257" s="167">
        <f t="shared" si="39"/>
        <v>17</v>
      </c>
      <c r="C257" s="172" t="str">
        <f>IFERROR(INDEX(C$226:C257,B257,1),"")</f>
        <v>a1X3p00000Cye2DEAR</v>
      </c>
      <c r="D257" s="168" t="str">
        <f t="shared" ca="1" si="42"/>
        <v/>
      </c>
      <c r="E257" s="177" t="str">
        <f t="shared" ca="1" si="43"/>
        <v/>
      </c>
      <c r="F257" s="170" t="str">
        <f t="shared" ca="1" si="44"/>
        <v/>
      </c>
      <c r="G257" s="171" t="str">
        <f t="shared" ca="1" si="45"/>
        <v/>
      </c>
      <c r="H257" s="171" t="str">
        <f t="shared" ca="1" si="46"/>
        <v/>
      </c>
      <c r="I257" s="167">
        <f t="shared" si="40"/>
        <v>37</v>
      </c>
      <c r="J257" s="171" t="str">
        <f t="shared" ca="1" si="47"/>
        <v/>
      </c>
      <c r="K257" s="166"/>
      <c r="L257" s="171" t="str">
        <f t="shared" ca="1" si="48"/>
        <v/>
      </c>
      <c r="M257" s="166" t="str">
        <f t="array" aca="1" ref="M257" ca="1">IFERROR(VLOOKUP(LEFT(INDIRECT("'Outcome Indicators - Section C '!B"&amp;$I257),255),LEFT('Reference Records'!$C$24:$L$73,255),10,0),"")</f>
        <v/>
      </c>
      <c r="N257" s="166" t="str">
        <f t="shared" ca="1" si="49"/>
        <v/>
      </c>
      <c r="O257" s="171" t="str">
        <f ca="1">IFERROR(VLOOKUP(INDIRECT("'Outcome Indicators - Section C '!I"&amp;$I257),'Overview - Section A'!M$30:P71,4,0),IFERROR(VLOOKUP(INDIRECT("'Outcome Indicators - Section C '!I"&amp;$I257),'Overview - Section A'!E$27:I59,5,0),""))</f>
        <v/>
      </c>
      <c r="P257" s="171" t="str">
        <f t="shared" ca="1" si="50"/>
        <v/>
      </c>
      <c r="Q257" s="171" t="str">
        <f t="shared" ca="1" si="51"/>
        <v/>
      </c>
      <c r="R257" s="171" t="str">
        <f t="shared" ca="1" si="52"/>
        <v/>
      </c>
      <c r="S257" s="171"/>
      <c r="T257" s="171"/>
      <c r="U257" s="166"/>
    </row>
    <row r="258" spans="1:21">
      <c r="B258" s="173"/>
      <c r="I258" s="173"/>
    </row>
    <row r="259" spans="1:21">
      <c r="B259" s="173"/>
      <c r="I259" s="173"/>
    </row>
    <row r="260" spans="1:21">
      <c r="B260" s="173"/>
      <c r="I260" s="173"/>
    </row>
    <row r="261" spans="1:21">
      <c r="B261" s="173"/>
      <c r="I261" s="173"/>
    </row>
    <row r="262" spans="1:21">
      <c r="B262" s="173"/>
      <c r="I262" s="173"/>
    </row>
    <row r="263" spans="1:21">
      <c r="B263" s="173"/>
      <c r="I263" s="173"/>
    </row>
    <row r="264" spans="1:21">
      <c r="J264" s="164" t="str">
        <f ca="1">IF(ROW()&gt;'Impact Indicator Target Update'!A9,"",INDIRECT("'Impact Indicators - Section B'!A"&amp;'Impact Indicator Target Update'!D9))</f>
        <v/>
      </c>
    </row>
    <row r="265" spans="1:21">
      <c r="A265" s="165" t="s">
        <v>3220</v>
      </c>
      <c r="J265" s="164" t="str">
        <f ca="1">IF(ROW()&gt;'Impact Indicator Target Update'!A10,"",INDIRECT("'Impact Indicators - Section B'!A"&amp;'Impact Indicator Target Update'!D10))</f>
        <v/>
      </c>
    </row>
    <row r="266" spans="1:21">
      <c r="A266" s="166"/>
      <c r="B266" s="176">
        <v>-91</v>
      </c>
      <c r="C266" s="166" t="s">
        <v>341</v>
      </c>
      <c r="D266" s="166" t="s">
        <v>3221</v>
      </c>
      <c r="E266" s="166" t="s">
        <v>3082</v>
      </c>
      <c r="F266" s="166" t="s">
        <v>3222</v>
      </c>
      <c r="G266" s="166"/>
      <c r="H266" s="166" t="s">
        <v>3084</v>
      </c>
      <c r="I266" s="166" t="s">
        <v>3085</v>
      </c>
      <c r="J266" s="166" t="s">
        <v>3086</v>
      </c>
      <c r="K266" s="166" t="s">
        <v>3087</v>
      </c>
      <c r="L266" s="166" t="s">
        <v>3088</v>
      </c>
      <c r="M266" s="166" t="s">
        <v>3089</v>
      </c>
      <c r="N266" s="166" t="s">
        <v>3090</v>
      </c>
      <c r="O266" s="166"/>
      <c r="P266" s="166">
        <v>-1</v>
      </c>
      <c r="Q266" s="166" t="s">
        <v>3223</v>
      </c>
    </row>
    <row r="267" spans="1:21" hidden="1">
      <c r="A267" s="166" t="b">
        <f ca="1">IF(OR(I267&lt;&gt;"",J267&lt;&gt;"",K267&lt;&gt;"",M267&lt;&gt;"",N267&lt;&gt;""),TRUE,FALSE)</f>
        <v>0</v>
      </c>
      <c r="B267" s="176">
        <f>B266+1</f>
        <v>-90</v>
      </c>
      <c r="C267" s="166" t="str">
        <f ca="1">IF(COUNTA(D$265:D266)=1,"",OFFSET(B265,-COUNTA(D$265:D266)+3,1))</f>
        <v/>
      </c>
      <c r="D267" s="166"/>
      <c r="E267" s="166">
        <f ca="1">COUNTIF(F258:F267,F267)</f>
        <v>9</v>
      </c>
      <c r="F267" s="177" t="str">
        <f ca="1">IF(COUNTA(D$265:D266)=1,"",OFFSET(F265,-COUNTA(D$265:D266)+3,0))</f>
        <v/>
      </c>
      <c r="G267" s="166"/>
      <c r="H267" s="166" t="str">
        <f ca="1">IF(F267=1,9,IF(E266=MAX(E265:E267),H265+2,H266))</f>
        <v>row number</v>
      </c>
      <c r="I267" s="177" t="str">
        <f ca="1">IFERROR(CHOOSE(E267,IFERROR(IF(INDIRECT("'Outcome Indicators - Section C '!K"&amp;H267+1)="","",INDIRECT("'Outcome Indicators - Section C '!k"&amp;H267+1)),""),IFERROR(IF(INDIRECT("'Outcome Indicators - Section C '!O"&amp;H267+1)="","",INDIRECT("'Outcome Indicators - Section C '!O"&amp;H267+1)),""),IFERROR(IF(INDIRECT("'Outcome Indicators - Section C '!S"&amp;H267+1)="","",INDIRECT("'Outcome Indicators - Section C '!S"&amp;H267+1)),""),IFERROR(IF(INDIRECT("'Outcome Indicators - Section C '!W"&amp;H267+1)="","",INDIRECT("'Outcome Indicators - Section C '!W"&amp;H267+1)),"")),"")</f>
        <v/>
      </c>
      <c r="J267" s="170" t="str">
        <f ca="1">IFERROR(CHOOSE(E267,IFERROR(IF(INDIRECT("'Outcome Indicators - Section C '!K"&amp;H267)="","",INDIRECT("'Outcome Indicators - Section C '!k"&amp;H267)),""),IFERROR(IF(INDIRECT("'Outcome Indicators - Section C '!O"&amp;H267)="","",INDIRECT("'Outcome Indicators - Section C '!O"&amp;H267)),""),IFERROR(IF(INDIRECT("'Outcome Indicators - Section C '!S"&amp;H267)="","",INDIRECT("'Outcome Indicators - Section C '!S"&amp;H267)),""),IFERROR(IF(INDIRECT("'Outcome Indicators - Section C '!W"&amp;H267)="","",INDIRECT("'Outcome Indicators - Section C '!W"&amp;H267)),"")),"")</f>
        <v/>
      </c>
      <c r="K267" s="168" t="str">
        <f ca="1">IFERROR(CHOOSE(E267,IFERROR(IF(INDIRECT("'Outcome Indicators - Section C '!L"&amp;H267)="","",INDIRECT("'Outcome Indicators - Section C '!L"&amp;H267)*100),""),IFERROR(IF(INDIRECT("'Outcome Indicators - Section C '!P"&amp;H267)="","",INDIRECT("'Outcome Indicators - Section C '!P"&amp;H267)*100),""),IFERROR(IF(INDIRECT("'Outcome Indicators - Section C '!T"&amp;H267)="","",INDIRECT("'Outcome Indicators - Section C '!T"&amp;H267)*100),""),IFERROR(IF(INDIRECT("'Outcome Indicators - Section C '!X"&amp;H267)="","",INDIRECT("'Outcome Indicators - Section C '!X"&amp;H267)*100),"")),"")</f>
        <v/>
      </c>
      <c r="L267" s="171" t="str">
        <f ca="1">IFERROR(CHOOSE(E267,'Outcome Indicators - Section C '!$K$7,'Outcome Indicators - Section C '!$O$7,'Outcome Indicators - Section C '!$S$7,'Outcome Indicators - Section C '!$W$7),"")</f>
        <v/>
      </c>
      <c r="M267" s="179" t="str">
        <f ca="1">IFERROR(CHOOSE(E267,IFERROR(IF(INDIRECT("'Outcome Indicators - Section C '!M"&amp;H267)="","",INDIRECT("'Outcome Indicators - Section C '!M"&amp;H267)),""),IFERROR(IF(INDIRECT("'Outcome Indicators - Section C '!Q"&amp;H267)="","",INDIRECT("'Outcome Indicators - Section C '!Q"&amp;H267)),""),IFERROR(IF(INDIRECT("'Outcome Indicators - Section C '!U"&amp;H267)="","",INDIRECT("'Outcome Indicators - Section C '!U"&amp;H267)),""),IFERROR(IF(INDIRECT("'Outcome Indicators - Section C '!Y"&amp;H267)="","",INDIRECT("'Outcome Indicators - Section C '!Y"&amp;H267)),"")),"")</f>
        <v/>
      </c>
      <c r="N267" s="171" t="str">
        <f ca="1">IFERROR(CHOOSE(E267,IFERROR(IF(INDIRECT("'Outcome Indicators - Section C '!N"&amp;H267)=0,"",INDIRECT("'Outcome Indicators - Section C '!N"&amp;H267)),""),IFERROR(IF(INDIRECT("'Outcome Indicators - Section C '!R"&amp;H267)=0,"",INDIRECT("'Outcome Indicators - Section C '!R"&amp;H267)),""),IFERROR(IF(INDIRECT("'Outcome Indicators - Section C '!V"&amp;H267)=0,"",INDIRECT("'Outcome Indicators - Section C '!V"&amp;H267)),""),IFERROR(IF(INDIRECT("'Outcome Indicators - Section C '!Z"&amp;H267)=0,"",INDIRECT("'Outcome Indicators - Section C '!Z"&amp;H267)),"")),"")</f>
        <v/>
      </c>
      <c r="O267" s="166"/>
      <c r="P267" s="166">
        <f ca="1">IF(NOT(_xlfn.ISFORMULA(I267)),P266+1,0)</f>
        <v>0</v>
      </c>
      <c r="Q267" s="171" t="s">
        <v>3224</v>
      </c>
    </row>
    <row r="268" spans="1:21">
      <c r="A268" s="166" t="b">
        <v>0</v>
      </c>
      <c r="B268" s="176">
        <f t="shared" ref="B268:B331" si="53">B267+1</f>
        <v>-89</v>
      </c>
      <c r="C268" s="413" t="s">
        <v>3225</v>
      </c>
      <c r="D268" s="166" t="s">
        <v>3226</v>
      </c>
      <c r="E268" s="166">
        <f t="shared" ref="E268:E331" ca="1" si="54">COUNTIF(F259:F268,F268)</f>
        <v>1</v>
      </c>
      <c r="F268" s="177">
        <v>1</v>
      </c>
      <c r="G268" s="166"/>
      <c r="H268" s="166">
        <f t="shared" ref="H268:H331" ca="1" si="55">IF(F268=1,9,IF(E267=MAX(E266:E268),H266+2,H267))</f>
        <v>9</v>
      </c>
      <c r="I268" s="177"/>
      <c r="J268" s="170"/>
      <c r="K268" s="168"/>
      <c r="L268" s="171"/>
      <c r="M268" s="179"/>
      <c r="N268" s="171"/>
      <c r="O268" s="166"/>
      <c r="P268" s="166">
        <f t="shared" ref="P268:P331" ca="1" si="56">IF(NOT(_xlfn.ISFORMULA(I268)),P267+1,0)</f>
        <v>1</v>
      </c>
      <c r="Q268" s="171"/>
    </row>
    <row r="269" spans="1:21">
      <c r="A269" s="166" t="b">
        <v>0</v>
      </c>
      <c r="B269" s="176">
        <f t="shared" si="53"/>
        <v>-88</v>
      </c>
      <c r="C269" s="413" t="s">
        <v>3227</v>
      </c>
      <c r="D269" s="166" t="s">
        <v>3226</v>
      </c>
      <c r="E269" s="166">
        <f t="shared" ca="1" si="54"/>
        <v>2</v>
      </c>
      <c r="F269" s="177">
        <v>1</v>
      </c>
      <c r="G269" s="166"/>
      <c r="H269" s="166">
        <f t="shared" ca="1" si="55"/>
        <v>9</v>
      </c>
      <c r="I269" s="177"/>
      <c r="J269" s="170"/>
      <c r="K269" s="168"/>
      <c r="L269" s="171"/>
      <c r="M269" s="179"/>
      <c r="N269" s="171"/>
      <c r="O269" s="166"/>
      <c r="P269" s="166">
        <f t="shared" ca="1" si="56"/>
        <v>2</v>
      </c>
      <c r="Q269" s="171"/>
    </row>
    <row r="270" spans="1:21">
      <c r="A270" s="166" t="b">
        <v>0</v>
      </c>
      <c r="B270" s="176">
        <f t="shared" si="53"/>
        <v>-87</v>
      </c>
      <c r="C270" s="413" t="s">
        <v>3228</v>
      </c>
      <c r="D270" s="166" t="s">
        <v>3226</v>
      </c>
      <c r="E270" s="166">
        <f t="shared" ca="1" si="54"/>
        <v>3</v>
      </c>
      <c r="F270" s="177">
        <v>1</v>
      </c>
      <c r="G270" s="166"/>
      <c r="H270" s="166">
        <f t="shared" ca="1" si="55"/>
        <v>9</v>
      </c>
      <c r="I270" s="177"/>
      <c r="J270" s="170"/>
      <c r="K270" s="168"/>
      <c r="L270" s="171"/>
      <c r="M270" s="179"/>
      <c r="N270" s="171"/>
      <c r="O270" s="166"/>
      <c r="P270" s="166">
        <f t="shared" ca="1" si="56"/>
        <v>3</v>
      </c>
      <c r="Q270" s="171"/>
    </row>
    <row r="271" spans="1:21">
      <c r="A271" s="166" t="b">
        <v>0</v>
      </c>
      <c r="B271" s="176">
        <f t="shared" si="53"/>
        <v>-86</v>
      </c>
      <c r="C271" s="413" t="s">
        <v>3229</v>
      </c>
      <c r="D271" s="166" t="s">
        <v>3226</v>
      </c>
      <c r="E271" s="166">
        <f t="shared" ca="1" si="54"/>
        <v>4</v>
      </c>
      <c r="F271" s="177">
        <v>1</v>
      </c>
      <c r="G271" s="166"/>
      <c r="H271" s="166">
        <f t="shared" ca="1" si="55"/>
        <v>9</v>
      </c>
      <c r="I271" s="177"/>
      <c r="J271" s="170"/>
      <c r="K271" s="168"/>
      <c r="L271" s="171"/>
      <c r="M271" s="179"/>
      <c r="N271" s="171"/>
      <c r="O271" s="166"/>
      <c r="P271" s="166">
        <f t="shared" ca="1" si="56"/>
        <v>4</v>
      </c>
      <c r="Q271" s="171"/>
    </row>
    <row r="272" spans="1:21">
      <c r="A272" s="166" t="b">
        <v>0</v>
      </c>
      <c r="B272" s="176">
        <f t="shared" si="53"/>
        <v>-85</v>
      </c>
      <c r="C272" s="413" t="s">
        <v>3230</v>
      </c>
      <c r="D272" s="166" t="s">
        <v>3226</v>
      </c>
      <c r="E272" s="166">
        <f t="shared" ca="1" si="54"/>
        <v>5</v>
      </c>
      <c r="F272" s="177">
        <v>1</v>
      </c>
      <c r="G272" s="166"/>
      <c r="H272" s="166">
        <f t="shared" ca="1" si="55"/>
        <v>9</v>
      </c>
      <c r="I272" s="177"/>
      <c r="J272" s="170"/>
      <c r="K272" s="168"/>
      <c r="L272" s="171"/>
      <c r="M272" s="179"/>
      <c r="N272" s="171"/>
      <c r="O272" s="166"/>
      <c r="P272" s="166">
        <f t="shared" ca="1" si="56"/>
        <v>5</v>
      </c>
      <c r="Q272" s="171"/>
    </row>
    <row r="273" spans="1:17">
      <c r="A273" s="166" t="b">
        <v>0</v>
      </c>
      <c r="B273" s="176">
        <f t="shared" si="53"/>
        <v>-84</v>
      </c>
      <c r="C273" s="413" t="s">
        <v>3231</v>
      </c>
      <c r="D273" s="166" t="s">
        <v>3226</v>
      </c>
      <c r="E273" s="166">
        <f t="shared" ca="1" si="54"/>
        <v>6</v>
      </c>
      <c r="F273" s="177">
        <v>1</v>
      </c>
      <c r="G273" s="166"/>
      <c r="H273" s="166">
        <f t="shared" ca="1" si="55"/>
        <v>9</v>
      </c>
      <c r="I273" s="177"/>
      <c r="J273" s="170"/>
      <c r="K273" s="168"/>
      <c r="L273" s="171"/>
      <c r="M273" s="179"/>
      <c r="N273" s="171"/>
      <c r="O273" s="166"/>
      <c r="P273" s="166">
        <f t="shared" ca="1" si="56"/>
        <v>6</v>
      </c>
      <c r="Q273" s="171"/>
    </row>
    <row r="274" spans="1:17">
      <c r="A274" s="166" t="b">
        <v>0</v>
      </c>
      <c r="B274" s="176">
        <f t="shared" si="53"/>
        <v>-83</v>
      </c>
      <c r="C274" s="413" t="s">
        <v>3232</v>
      </c>
      <c r="D274" s="166" t="s">
        <v>3233</v>
      </c>
      <c r="E274" s="166">
        <f t="shared" ca="1" si="54"/>
        <v>1</v>
      </c>
      <c r="F274" s="177">
        <v>2</v>
      </c>
      <c r="G274" s="166"/>
      <c r="H274" s="166">
        <f t="shared" ca="1" si="55"/>
        <v>11</v>
      </c>
      <c r="I274" s="177"/>
      <c r="J274" s="170"/>
      <c r="K274" s="168"/>
      <c r="L274" s="171"/>
      <c r="M274" s="179"/>
      <c r="N274" s="171"/>
      <c r="O274" s="166"/>
      <c r="P274" s="166">
        <f t="shared" ca="1" si="56"/>
        <v>7</v>
      </c>
      <c r="Q274" s="171"/>
    </row>
    <row r="275" spans="1:17">
      <c r="A275" s="166" t="b">
        <v>0</v>
      </c>
      <c r="B275" s="176">
        <f t="shared" si="53"/>
        <v>-82</v>
      </c>
      <c r="C275" s="413" t="s">
        <v>3234</v>
      </c>
      <c r="D275" s="166" t="s">
        <v>3233</v>
      </c>
      <c r="E275" s="166">
        <f t="shared" ca="1" si="54"/>
        <v>2</v>
      </c>
      <c r="F275" s="177">
        <v>2</v>
      </c>
      <c r="G275" s="166"/>
      <c r="H275" s="166">
        <f t="shared" ca="1" si="55"/>
        <v>11</v>
      </c>
      <c r="I275" s="177"/>
      <c r="J275" s="170"/>
      <c r="K275" s="168"/>
      <c r="L275" s="171"/>
      <c r="M275" s="179"/>
      <c r="N275" s="171"/>
      <c r="O275" s="166"/>
      <c r="P275" s="166">
        <f t="shared" ca="1" si="56"/>
        <v>8</v>
      </c>
      <c r="Q275" s="171"/>
    </row>
    <row r="276" spans="1:17">
      <c r="A276" s="166" t="b">
        <v>0</v>
      </c>
      <c r="B276" s="176">
        <f t="shared" si="53"/>
        <v>-81</v>
      </c>
      <c r="C276" s="413" t="s">
        <v>3235</v>
      </c>
      <c r="D276" s="166" t="s">
        <v>3233</v>
      </c>
      <c r="E276" s="166">
        <f t="shared" ca="1" si="54"/>
        <v>3</v>
      </c>
      <c r="F276" s="177">
        <v>2</v>
      </c>
      <c r="G276" s="166"/>
      <c r="H276" s="166">
        <f t="shared" ca="1" si="55"/>
        <v>11</v>
      </c>
      <c r="I276" s="177"/>
      <c r="J276" s="170"/>
      <c r="K276" s="168"/>
      <c r="L276" s="171"/>
      <c r="M276" s="179"/>
      <c r="N276" s="171"/>
      <c r="O276" s="166"/>
      <c r="P276" s="166">
        <f t="shared" ca="1" si="56"/>
        <v>9</v>
      </c>
      <c r="Q276" s="171"/>
    </row>
    <row r="277" spans="1:17">
      <c r="A277" s="166" t="b">
        <v>0</v>
      </c>
      <c r="B277" s="176">
        <f t="shared" si="53"/>
        <v>-80</v>
      </c>
      <c r="C277" s="413" t="s">
        <v>3236</v>
      </c>
      <c r="D277" s="166" t="s">
        <v>3233</v>
      </c>
      <c r="E277" s="166">
        <f t="shared" si="54"/>
        <v>4</v>
      </c>
      <c r="F277" s="177">
        <v>2</v>
      </c>
      <c r="G277" s="166"/>
      <c r="H277" s="166">
        <f t="shared" ca="1" si="55"/>
        <v>11</v>
      </c>
      <c r="I277" s="177"/>
      <c r="J277" s="170"/>
      <c r="K277" s="168"/>
      <c r="L277" s="171"/>
      <c r="M277" s="179"/>
      <c r="N277" s="171"/>
      <c r="O277" s="166"/>
      <c r="P277" s="166">
        <f t="shared" ca="1" si="56"/>
        <v>10</v>
      </c>
      <c r="Q277" s="171"/>
    </row>
    <row r="278" spans="1:17">
      <c r="A278" s="166" t="b">
        <v>0</v>
      </c>
      <c r="B278" s="176">
        <f t="shared" si="53"/>
        <v>-79</v>
      </c>
      <c r="C278" s="413" t="s">
        <v>3237</v>
      </c>
      <c r="D278" s="166" t="s">
        <v>3233</v>
      </c>
      <c r="E278" s="166">
        <f t="shared" si="54"/>
        <v>5</v>
      </c>
      <c r="F278" s="177">
        <v>2</v>
      </c>
      <c r="G278" s="166"/>
      <c r="H278" s="166">
        <f t="shared" ca="1" si="55"/>
        <v>11</v>
      </c>
      <c r="I278" s="177"/>
      <c r="J278" s="170"/>
      <c r="K278" s="168"/>
      <c r="L278" s="171"/>
      <c r="M278" s="179"/>
      <c r="N278" s="171"/>
      <c r="O278" s="166"/>
      <c r="P278" s="166">
        <f t="shared" ca="1" si="56"/>
        <v>11</v>
      </c>
      <c r="Q278" s="171"/>
    </row>
    <row r="279" spans="1:17">
      <c r="A279" s="166" t="b">
        <v>0</v>
      </c>
      <c r="B279" s="176">
        <f t="shared" si="53"/>
        <v>-78</v>
      </c>
      <c r="C279" s="413" t="s">
        <v>3238</v>
      </c>
      <c r="D279" s="166" t="s">
        <v>3233</v>
      </c>
      <c r="E279" s="166">
        <f t="shared" si="54"/>
        <v>6</v>
      </c>
      <c r="F279" s="177">
        <v>2</v>
      </c>
      <c r="G279" s="166"/>
      <c r="H279" s="166">
        <f t="shared" ca="1" si="55"/>
        <v>11</v>
      </c>
      <c r="I279" s="177"/>
      <c r="J279" s="170"/>
      <c r="K279" s="168"/>
      <c r="L279" s="171"/>
      <c r="M279" s="179"/>
      <c r="N279" s="171"/>
      <c r="O279" s="166"/>
      <c r="P279" s="166">
        <f t="shared" ca="1" si="56"/>
        <v>12</v>
      </c>
      <c r="Q279" s="171"/>
    </row>
    <row r="280" spans="1:17">
      <c r="A280" s="166" t="b">
        <v>0</v>
      </c>
      <c r="B280" s="176">
        <f t="shared" si="53"/>
        <v>-77</v>
      </c>
      <c r="C280" s="413" t="s">
        <v>3239</v>
      </c>
      <c r="D280" s="166" t="s">
        <v>3240</v>
      </c>
      <c r="E280" s="166">
        <f t="shared" si="54"/>
        <v>1</v>
      </c>
      <c r="F280" s="177">
        <v>3</v>
      </c>
      <c r="G280" s="166"/>
      <c r="H280" s="166">
        <f t="shared" ca="1" si="55"/>
        <v>13</v>
      </c>
      <c r="I280" s="177"/>
      <c r="J280" s="170"/>
      <c r="K280" s="168"/>
      <c r="L280" s="171"/>
      <c r="M280" s="179"/>
      <c r="N280" s="171"/>
      <c r="O280" s="166"/>
      <c r="P280" s="166">
        <f t="shared" ca="1" si="56"/>
        <v>13</v>
      </c>
      <c r="Q280" s="171"/>
    </row>
    <row r="281" spans="1:17">
      <c r="A281" s="166" t="b">
        <v>0</v>
      </c>
      <c r="B281" s="176">
        <f t="shared" si="53"/>
        <v>-76</v>
      </c>
      <c r="C281" s="413" t="s">
        <v>3241</v>
      </c>
      <c r="D281" s="166" t="s">
        <v>3240</v>
      </c>
      <c r="E281" s="166">
        <f t="shared" si="54"/>
        <v>2</v>
      </c>
      <c r="F281" s="177">
        <v>3</v>
      </c>
      <c r="G281" s="166"/>
      <c r="H281" s="166">
        <f t="shared" ca="1" si="55"/>
        <v>13</v>
      </c>
      <c r="I281" s="177"/>
      <c r="J281" s="170"/>
      <c r="K281" s="168"/>
      <c r="L281" s="171"/>
      <c r="M281" s="179"/>
      <c r="N281" s="171"/>
      <c r="O281" s="166"/>
      <c r="P281" s="166">
        <f t="shared" ca="1" si="56"/>
        <v>14</v>
      </c>
      <c r="Q281" s="171"/>
    </row>
    <row r="282" spans="1:17">
      <c r="A282" s="166" t="b">
        <v>0</v>
      </c>
      <c r="B282" s="176">
        <f t="shared" si="53"/>
        <v>-75</v>
      </c>
      <c r="C282" s="413" t="s">
        <v>3242</v>
      </c>
      <c r="D282" s="166" t="s">
        <v>3240</v>
      </c>
      <c r="E282" s="166">
        <f t="shared" si="54"/>
        <v>3</v>
      </c>
      <c r="F282" s="177">
        <v>3</v>
      </c>
      <c r="G282" s="166"/>
      <c r="H282" s="166">
        <f t="shared" ca="1" si="55"/>
        <v>13</v>
      </c>
      <c r="I282" s="177"/>
      <c r="J282" s="170"/>
      <c r="K282" s="168"/>
      <c r="L282" s="171"/>
      <c r="M282" s="179"/>
      <c r="N282" s="171"/>
      <c r="O282" s="166"/>
      <c r="P282" s="166">
        <f t="shared" ca="1" si="56"/>
        <v>15</v>
      </c>
      <c r="Q282" s="171"/>
    </row>
    <row r="283" spans="1:17">
      <c r="A283" s="166" t="b">
        <v>0</v>
      </c>
      <c r="B283" s="176">
        <f t="shared" si="53"/>
        <v>-74</v>
      </c>
      <c r="C283" s="413" t="s">
        <v>3243</v>
      </c>
      <c r="D283" s="166" t="s">
        <v>3240</v>
      </c>
      <c r="E283" s="166">
        <f t="shared" si="54"/>
        <v>4</v>
      </c>
      <c r="F283" s="177">
        <v>3</v>
      </c>
      <c r="G283" s="166"/>
      <c r="H283" s="166">
        <f t="shared" ca="1" si="55"/>
        <v>13</v>
      </c>
      <c r="I283" s="177"/>
      <c r="J283" s="170"/>
      <c r="K283" s="168"/>
      <c r="L283" s="171"/>
      <c r="M283" s="179"/>
      <c r="N283" s="171"/>
      <c r="O283" s="166"/>
      <c r="P283" s="166">
        <f t="shared" ca="1" si="56"/>
        <v>16</v>
      </c>
      <c r="Q283" s="171"/>
    </row>
    <row r="284" spans="1:17">
      <c r="A284" s="166" t="b">
        <v>0</v>
      </c>
      <c r="B284" s="176">
        <f t="shared" si="53"/>
        <v>-73</v>
      </c>
      <c r="C284" s="413" t="s">
        <v>3244</v>
      </c>
      <c r="D284" s="166" t="s">
        <v>3240</v>
      </c>
      <c r="E284" s="166">
        <f t="shared" si="54"/>
        <v>5</v>
      </c>
      <c r="F284" s="177">
        <v>3</v>
      </c>
      <c r="G284" s="166"/>
      <c r="H284" s="166">
        <f t="shared" ca="1" si="55"/>
        <v>13</v>
      </c>
      <c r="I284" s="177"/>
      <c r="J284" s="170"/>
      <c r="K284" s="168"/>
      <c r="L284" s="171"/>
      <c r="M284" s="179"/>
      <c r="N284" s="171"/>
      <c r="O284" s="166"/>
      <c r="P284" s="166">
        <f t="shared" ca="1" si="56"/>
        <v>17</v>
      </c>
      <c r="Q284" s="171"/>
    </row>
    <row r="285" spans="1:17">
      <c r="A285" s="166" t="b">
        <v>0</v>
      </c>
      <c r="B285" s="176">
        <f t="shared" si="53"/>
        <v>-72</v>
      </c>
      <c r="C285" s="413" t="s">
        <v>3245</v>
      </c>
      <c r="D285" s="166" t="s">
        <v>3240</v>
      </c>
      <c r="E285" s="166">
        <f t="shared" si="54"/>
        <v>6</v>
      </c>
      <c r="F285" s="177">
        <v>3</v>
      </c>
      <c r="G285" s="166"/>
      <c r="H285" s="166">
        <f t="shared" ca="1" si="55"/>
        <v>13</v>
      </c>
      <c r="I285" s="177"/>
      <c r="J285" s="170"/>
      <c r="K285" s="168"/>
      <c r="L285" s="171"/>
      <c r="M285" s="179"/>
      <c r="N285" s="171"/>
      <c r="O285" s="166"/>
      <c r="P285" s="166">
        <f t="shared" ca="1" si="56"/>
        <v>18</v>
      </c>
      <c r="Q285" s="171"/>
    </row>
    <row r="286" spans="1:17">
      <c r="A286" s="166" t="b">
        <v>0</v>
      </c>
      <c r="B286" s="176">
        <f t="shared" si="53"/>
        <v>-71</v>
      </c>
      <c r="C286" s="413" t="s">
        <v>3246</v>
      </c>
      <c r="D286" s="166" t="s">
        <v>3247</v>
      </c>
      <c r="E286" s="166">
        <f t="shared" si="54"/>
        <v>1</v>
      </c>
      <c r="F286" s="177">
        <v>4</v>
      </c>
      <c r="G286" s="166"/>
      <c r="H286" s="166">
        <f t="shared" ca="1" si="55"/>
        <v>15</v>
      </c>
      <c r="I286" s="177"/>
      <c r="J286" s="170"/>
      <c r="K286" s="168"/>
      <c r="L286" s="171"/>
      <c r="M286" s="179"/>
      <c r="N286" s="171"/>
      <c r="O286" s="166"/>
      <c r="P286" s="166">
        <f t="shared" ca="1" si="56"/>
        <v>19</v>
      </c>
      <c r="Q286" s="171"/>
    </row>
    <row r="287" spans="1:17">
      <c r="A287" s="166" t="b">
        <v>0</v>
      </c>
      <c r="B287" s="176">
        <f t="shared" si="53"/>
        <v>-70</v>
      </c>
      <c r="C287" s="413" t="s">
        <v>3248</v>
      </c>
      <c r="D287" s="166" t="s">
        <v>3247</v>
      </c>
      <c r="E287" s="166">
        <f t="shared" si="54"/>
        <v>2</v>
      </c>
      <c r="F287" s="177">
        <v>4</v>
      </c>
      <c r="G287" s="166"/>
      <c r="H287" s="166">
        <f t="shared" ca="1" si="55"/>
        <v>15</v>
      </c>
      <c r="I287" s="177"/>
      <c r="J287" s="170"/>
      <c r="K287" s="168"/>
      <c r="L287" s="171"/>
      <c r="M287" s="179"/>
      <c r="N287" s="171"/>
      <c r="O287" s="166"/>
      <c r="P287" s="166">
        <f t="shared" ca="1" si="56"/>
        <v>20</v>
      </c>
      <c r="Q287" s="171"/>
    </row>
    <row r="288" spans="1:17">
      <c r="A288" s="166" t="b">
        <v>0</v>
      </c>
      <c r="B288" s="176">
        <f t="shared" si="53"/>
        <v>-69</v>
      </c>
      <c r="C288" s="413" t="s">
        <v>3249</v>
      </c>
      <c r="D288" s="166" t="s">
        <v>3247</v>
      </c>
      <c r="E288" s="166">
        <f t="shared" si="54"/>
        <v>3</v>
      </c>
      <c r="F288" s="177">
        <v>4</v>
      </c>
      <c r="G288" s="166"/>
      <c r="H288" s="166">
        <f t="shared" ca="1" si="55"/>
        <v>15</v>
      </c>
      <c r="I288" s="177"/>
      <c r="J288" s="170"/>
      <c r="K288" s="168"/>
      <c r="L288" s="171"/>
      <c r="M288" s="179"/>
      <c r="N288" s="171"/>
      <c r="O288" s="166"/>
      <c r="P288" s="166">
        <f t="shared" ca="1" si="56"/>
        <v>21</v>
      </c>
      <c r="Q288" s="171"/>
    </row>
    <row r="289" spans="1:17">
      <c r="A289" s="166" t="b">
        <v>0</v>
      </c>
      <c r="B289" s="176">
        <f t="shared" si="53"/>
        <v>-68</v>
      </c>
      <c r="C289" s="413" t="s">
        <v>3250</v>
      </c>
      <c r="D289" s="166" t="s">
        <v>3247</v>
      </c>
      <c r="E289" s="166">
        <f t="shared" si="54"/>
        <v>4</v>
      </c>
      <c r="F289" s="177">
        <v>4</v>
      </c>
      <c r="G289" s="166"/>
      <c r="H289" s="166">
        <f t="shared" ca="1" si="55"/>
        <v>15</v>
      </c>
      <c r="I289" s="177"/>
      <c r="J289" s="170"/>
      <c r="K289" s="168"/>
      <c r="L289" s="171"/>
      <c r="M289" s="179"/>
      <c r="N289" s="171"/>
      <c r="O289" s="166"/>
      <c r="P289" s="166">
        <f t="shared" ca="1" si="56"/>
        <v>22</v>
      </c>
      <c r="Q289" s="171"/>
    </row>
    <row r="290" spans="1:17">
      <c r="A290" s="166" t="b">
        <v>0</v>
      </c>
      <c r="B290" s="176">
        <f t="shared" si="53"/>
        <v>-67</v>
      </c>
      <c r="C290" s="413" t="s">
        <v>3251</v>
      </c>
      <c r="D290" s="166" t="s">
        <v>3247</v>
      </c>
      <c r="E290" s="166">
        <f t="shared" si="54"/>
        <v>5</v>
      </c>
      <c r="F290" s="177">
        <v>4</v>
      </c>
      <c r="G290" s="166"/>
      <c r="H290" s="166">
        <f t="shared" ca="1" si="55"/>
        <v>15</v>
      </c>
      <c r="I290" s="177"/>
      <c r="J290" s="170"/>
      <c r="K290" s="168"/>
      <c r="L290" s="171"/>
      <c r="M290" s="179"/>
      <c r="N290" s="171"/>
      <c r="O290" s="166"/>
      <c r="P290" s="166">
        <f t="shared" ca="1" si="56"/>
        <v>23</v>
      </c>
      <c r="Q290" s="171"/>
    </row>
    <row r="291" spans="1:17">
      <c r="A291" s="166" t="b">
        <v>0</v>
      </c>
      <c r="B291" s="176">
        <f t="shared" si="53"/>
        <v>-66</v>
      </c>
      <c r="C291" s="413" t="s">
        <v>3252</v>
      </c>
      <c r="D291" s="166" t="s">
        <v>3247</v>
      </c>
      <c r="E291" s="166">
        <f t="shared" si="54"/>
        <v>6</v>
      </c>
      <c r="F291" s="177">
        <v>4</v>
      </c>
      <c r="G291" s="166"/>
      <c r="H291" s="166">
        <f t="shared" ca="1" si="55"/>
        <v>15</v>
      </c>
      <c r="I291" s="177"/>
      <c r="J291" s="170"/>
      <c r="K291" s="168"/>
      <c r="L291" s="171"/>
      <c r="M291" s="179"/>
      <c r="N291" s="171"/>
      <c r="O291" s="166"/>
      <c r="P291" s="166">
        <f t="shared" ca="1" si="56"/>
        <v>24</v>
      </c>
      <c r="Q291" s="171"/>
    </row>
    <row r="292" spans="1:17">
      <c r="A292" s="166" t="b">
        <v>0</v>
      </c>
      <c r="B292" s="176">
        <f t="shared" si="53"/>
        <v>-65</v>
      </c>
      <c r="C292" s="413" t="s">
        <v>3253</v>
      </c>
      <c r="D292" s="166" t="s">
        <v>3254</v>
      </c>
      <c r="E292" s="166">
        <f t="shared" si="54"/>
        <v>1</v>
      </c>
      <c r="F292" s="177">
        <v>5</v>
      </c>
      <c r="G292" s="166"/>
      <c r="H292" s="166">
        <f t="shared" ca="1" si="55"/>
        <v>17</v>
      </c>
      <c r="I292" s="177"/>
      <c r="J292" s="170"/>
      <c r="K292" s="168"/>
      <c r="L292" s="171"/>
      <c r="M292" s="179"/>
      <c r="N292" s="171"/>
      <c r="O292" s="166"/>
      <c r="P292" s="166">
        <f t="shared" ca="1" si="56"/>
        <v>25</v>
      </c>
      <c r="Q292" s="171"/>
    </row>
    <row r="293" spans="1:17">
      <c r="A293" s="166" t="b">
        <v>0</v>
      </c>
      <c r="B293" s="176">
        <f t="shared" si="53"/>
        <v>-64</v>
      </c>
      <c r="C293" s="413" t="s">
        <v>3255</v>
      </c>
      <c r="D293" s="166" t="s">
        <v>3254</v>
      </c>
      <c r="E293" s="166">
        <f t="shared" si="54"/>
        <v>2</v>
      </c>
      <c r="F293" s="177">
        <v>5</v>
      </c>
      <c r="G293" s="166"/>
      <c r="H293" s="166">
        <f t="shared" ca="1" si="55"/>
        <v>17</v>
      </c>
      <c r="I293" s="177"/>
      <c r="J293" s="170"/>
      <c r="K293" s="168"/>
      <c r="L293" s="171"/>
      <c r="M293" s="179"/>
      <c r="N293" s="171"/>
      <c r="O293" s="166"/>
      <c r="P293" s="166">
        <f t="shared" ca="1" si="56"/>
        <v>26</v>
      </c>
      <c r="Q293" s="171"/>
    </row>
    <row r="294" spans="1:17">
      <c r="A294" s="166" t="b">
        <v>0</v>
      </c>
      <c r="B294" s="176">
        <f t="shared" si="53"/>
        <v>-63</v>
      </c>
      <c r="C294" s="413" t="s">
        <v>3256</v>
      </c>
      <c r="D294" s="166" t="s">
        <v>3254</v>
      </c>
      <c r="E294" s="166">
        <f t="shared" si="54"/>
        <v>3</v>
      </c>
      <c r="F294" s="177">
        <v>5</v>
      </c>
      <c r="G294" s="166"/>
      <c r="H294" s="166">
        <f t="shared" ca="1" si="55"/>
        <v>17</v>
      </c>
      <c r="I294" s="177"/>
      <c r="J294" s="170"/>
      <c r="K294" s="168"/>
      <c r="L294" s="171"/>
      <c r="M294" s="179"/>
      <c r="N294" s="171"/>
      <c r="O294" s="166"/>
      <c r="P294" s="166">
        <f t="shared" ca="1" si="56"/>
        <v>27</v>
      </c>
      <c r="Q294" s="171"/>
    </row>
    <row r="295" spans="1:17">
      <c r="A295" s="166" t="b">
        <v>0</v>
      </c>
      <c r="B295" s="176">
        <f t="shared" si="53"/>
        <v>-62</v>
      </c>
      <c r="C295" s="413" t="s">
        <v>3257</v>
      </c>
      <c r="D295" s="166" t="s">
        <v>3254</v>
      </c>
      <c r="E295" s="166">
        <f t="shared" si="54"/>
        <v>4</v>
      </c>
      <c r="F295" s="177">
        <v>5</v>
      </c>
      <c r="G295" s="166"/>
      <c r="H295" s="166">
        <f t="shared" ca="1" si="55"/>
        <v>17</v>
      </c>
      <c r="I295" s="177"/>
      <c r="J295" s="170"/>
      <c r="K295" s="168"/>
      <c r="L295" s="171"/>
      <c r="M295" s="179"/>
      <c r="N295" s="171"/>
      <c r="O295" s="166"/>
      <c r="P295" s="166">
        <f t="shared" ca="1" si="56"/>
        <v>28</v>
      </c>
      <c r="Q295" s="171"/>
    </row>
    <row r="296" spans="1:17">
      <c r="A296" s="166" t="b">
        <v>0</v>
      </c>
      <c r="B296" s="176">
        <f t="shared" si="53"/>
        <v>-61</v>
      </c>
      <c r="C296" s="413" t="s">
        <v>3258</v>
      </c>
      <c r="D296" s="166" t="s">
        <v>3254</v>
      </c>
      <c r="E296" s="166">
        <f t="shared" si="54"/>
        <v>5</v>
      </c>
      <c r="F296" s="177">
        <v>5</v>
      </c>
      <c r="G296" s="166"/>
      <c r="H296" s="166">
        <f t="shared" ca="1" si="55"/>
        <v>17</v>
      </c>
      <c r="I296" s="177"/>
      <c r="J296" s="170"/>
      <c r="K296" s="168"/>
      <c r="L296" s="171"/>
      <c r="M296" s="179"/>
      <c r="N296" s="171"/>
      <c r="O296" s="166"/>
      <c r="P296" s="166">
        <f t="shared" ca="1" si="56"/>
        <v>29</v>
      </c>
      <c r="Q296" s="171"/>
    </row>
    <row r="297" spans="1:17">
      <c r="A297" s="166" t="b">
        <v>0</v>
      </c>
      <c r="B297" s="176">
        <f t="shared" si="53"/>
        <v>-60</v>
      </c>
      <c r="C297" s="413" t="s">
        <v>3259</v>
      </c>
      <c r="D297" s="166" t="s">
        <v>3254</v>
      </c>
      <c r="E297" s="166">
        <f t="shared" si="54"/>
        <v>6</v>
      </c>
      <c r="F297" s="177">
        <v>5</v>
      </c>
      <c r="G297" s="166"/>
      <c r="H297" s="166">
        <f t="shared" ca="1" si="55"/>
        <v>17</v>
      </c>
      <c r="I297" s="177"/>
      <c r="J297" s="170"/>
      <c r="K297" s="168"/>
      <c r="L297" s="171"/>
      <c r="M297" s="179"/>
      <c r="N297" s="171"/>
      <c r="O297" s="166"/>
      <c r="P297" s="166">
        <f t="shared" ca="1" si="56"/>
        <v>30</v>
      </c>
      <c r="Q297" s="171"/>
    </row>
    <row r="298" spans="1:17">
      <c r="A298" s="166" t="b">
        <v>0</v>
      </c>
      <c r="B298" s="176">
        <f t="shared" si="53"/>
        <v>-59</v>
      </c>
      <c r="C298" s="413" t="s">
        <v>3260</v>
      </c>
      <c r="D298" s="166" t="s">
        <v>3261</v>
      </c>
      <c r="E298" s="166">
        <f t="shared" si="54"/>
        <v>1</v>
      </c>
      <c r="F298" s="177">
        <v>6</v>
      </c>
      <c r="G298" s="166"/>
      <c r="H298" s="166">
        <f t="shared" ca="1" si="55"/>
        <v>19</v>
      </c>
      <c r="I298" s="177"/>
      <c r="J298" s="170"/>
      <c r="K298" s="168"/>
      <c r="L298" s="171"/>
      <c r="M298" s="179"/>
      <c r="N298" s="171"/>
      <c r="O298" s="166"/>
      <c r="P298" s="166">
        <f t="shared" ca="1" si="56"/>
        <v>31</v>
      </c>
      <c r="Q298" s="171"/>
    </row>
    <row r="299" spans="1:17">
      <c r="A299" s="166" t="b">
        <v>0</v>
      </c>
      <c r="B299" s="176">
        <f t="shared" si="53"/>
        <v>-58</v>
      </c>
      <c r="C299" s="413" t="s">
        <v>3262</v>
      </c>
      <c r="D299" s="166" t="s">
        <v>3261</v>
      </c>
      <c r="E299" s="166">
        <f t="shared" si="54"/>
        <v>2</v>
      </c>
      <c r="F299" s="177">
        <v>6</v>
      </c>
      <c r="G299" s="166"/>
      <c r="H299" s="166">
        <f t="shared" ca="1" si="55"/>
        <v>19</v>
      </c>
      <c r="I299" s="177"/>
      <c r="J299" s="170"/>
      <c r="K299" s="168"/>
      <c r="L299" s="171"/>
      <c r="M299" s="179"/>
      <c r="N299" s="171"/>
      <c r="O299" s="166"/>
      <c r="P299" s="166">
        <f t="shared" ca="1" si="56"/>
        <v>32</v>
      </c>
      <c r="Q299" s="171"/>
    </row>
    <row r="300" spans="1:17">
      <c r="A300" s="166" t="b">
        <v>0</v>
      </c>
      <c r="B300" s="176">
        <f t="shared" si="53"/>
        <v>-57</v>
      </c>
      <c r="C300" s="413" t="s">
        <v>3263</v>
      </c>
      <c r="D300" s="166" t="s">
        <v>3261</v>
      </c>
      <c r="E300" s="166">
        <f t="shared" si="54"/>
        <v>3</v>
      </c>
      <c r="F300" s="177">
        <v>6</v>
      </c>
      <c r="G300" s="166"/>
      <c r="H300" s="166">
        <f t="shared" ca="1" si="55"/>
        <v>19</v>
      </c>
      <c r="I300" s="177"/>
      <c r="J300" s="170"/>
      <c r="K300" s="168"/>
      <c r="L300" s="171"/>
      <c r="M300" s="179"/>
      <c r="N300" s="171"/>
      <c r="O300" s="166"/>
      <c r="P300" s="166">
        <f t="shared" ca="1" si="56"/>
        <v>33</v>
      </c>
      <c r="Q300" s="171"/>
    </row>
    <row r="301" spans="1:17">
      <c r="A301" s="166" t="b">
        <v>0</v>
      </c>
      <c r="B301" s="176">
        <f t="shared" si="53"/>
        <v>-56</v>
      </c>
      <c r="C301" s="413" t="s">
        <v>3264</v>
      </c>
      <c r="D301" s="166" t="s">
        <v>3261</v>
      </c>
      <c r="E301" s="166">
        <f t="shared" si="54"/>
        <v>4</v>
      </c>
      <c r="F301" s="177">
        <v>6</v>
      </c>
      <c r="G301" s="166"/>
      <c r="H301" s="166">
        <f t="shared" ca="1" si="55"/>
        <v>19</v>
      </c>
      <c r="I301" s="177"/>
      <c r="J301" s="170"/>
      <c r="K301" s="168"/>
      <c r="L301" s="171"/>
      <c r="M301" s="179"/>
      <c r="N301" s="171"/>
      <c r="O301" s="166"/>
      <c r="P301" s="166">
        <f t="shared" ca="1" si="56"/>
        <v>34</v>
      </c>
      <c r="Q301" s="171"/>
    </row>
    <row r="302" spans="1:17">
      <c r="A302" s="166" t="b">
        <v>0</v>
      </c>
      <c r="B302" s="176">
        <f t="shared" si="53"/>
        <v>-55</v>
      </c>
      <c r="C302" s="413" t="s">
        <v>3265</v>
      </c>
      <c r="D302" s="166" t="s">
        <v>3261</v>
      </c>
      <c r="E302" s="166">
        <f t="shared" si="54"/>
        <v>5</v>
      </c>
      <c r="F302" s="177">
        <v>6</v>
      </c>
      <c r="G302" s="166"/>
      <c r="H302" s="166">
        <f t="shared" ca="1" si="55"/>
        <v>19</v>
      </c>
      <c r="I302" s="177"/>
      <c r="J302" s="170"/>
      <c r="K302" s="168"/>
      <c r="L302" s="171"/>
      <c r="M302" s="179"/>
      <c r="N302" s="171"/>
      <c r="O302" s="166"/>
      <c r="P302" s="166">
        <f t="shared" ca="1" si="56"/>
        <v>35</v>
      </c>
      <c r="Q302" s="171"/>
    </row>
    <row r="303" spans="1:17">
      <c r="A303" s="166" t="b">
        <v>0</v>
      </c>
      <c r="B303" s="176">
        <f t="shared" si="53"/>
        <v>-54</v>
      </c>
      <c r="C303" s="413" t="s">
        <v>3266</v>
      </c>
      <c r="D303" s="166" t="s">
        <v>3261</v>
      </c>
      <c r="E303" s="166">
        <f t="shared" si="54"/>
        <v>6</v>
      </c>
      <c r="F303" s="177">
        <v>6</v>
      </c>
      <c r="G303" s="166"/>
      <c r="H303" s="166">
        <f t="shared" ca="1" si="55"/>
        <v>19</v>
      </c>
      <c r="I303" s="177"/>
      <c r="J303" s="170"/>
      <c r="K303" s="168"/>
      <c r="L303" s="171"/>
      <c r="M303" s="179"/>
      <c r="N303" s="171"/>
      <c r="O303" s="166"/>
      <c r="P303" s="166">
        <f t="shared" ca="1" si="56"/>
        <v>36</v>
      </c>
      <c r="Q303" s="171"/>
    </row>
    <row r="304" spans="1:17">
      <c r="A304" s="166" t="b">
        <v>0</v>
      </c>
      <c r="B304" s="176">
        <f t="shared" si="53"/>
        <v>-53</v>
      </c>
      <c r="C304" s="413" t="s">
        <v>3267</v>
      </c>
      <c r="D304" s="166" t="s">
        <v>3268</v>
      </c>
      <c r="E304" s="166">
        <f t="shared" si="54"/>
        <v>1</v>
      </c>
      <c r="F304" s="177">
        <v>7</v>
      </c>
      <c r="G304" s="166"/>
      <c r="H304" s="166">
        <f t="shared" ca="1" si="55"/>
        <v>21</v>
      </c>
      <c r="I304" s="177"/>
      <c r="J304" s="170"/>
      <c r="K304" s="168"/>
      <c r="L304" s="171"/>
      <c r="M304" s="179"/>
      <c r="N304" s="171"/>
      <c r="O304" s="166"/>
      <c r="P304" s="166">
        <f t="shared" ca="1" si="56"/>
        <v>37</v>
      </c>
      <c r="Q304" s="171"/>
    </row>
    <row r="305" spans="1:17">
      <c r="A305" s="166" t="b">
        <v>0</v>
      </c>
      <c r="B305" s="176">
        <f t="shared" si="53"/>
        <v>-52</v>
      </c>
      <c r="C305" s="413" t="s">
        <v>3269</v>
      </c>
      <c r="D305" s="166" t="s">
        <v>3268</v>
      </c>
      <c r="E305" s="166">
        <f t="shared" si="54"/>
        <v>2</v>
      </c>
      <c r="F305" s="177">
        <v>7</v>
      </c>
      <c r="G305" s="166"/>
      <c r="H305" s="166">
        <f t="shared" ca="1" si="55"/>
        <v>21</v>
      </c>
      <c r="I305" s="177"/>
      <c r="J305" s="170"/>
      <c r="K305" s="168"/>
      <c r="L305" s="171"/>
      <c r="M305" s="179"/>
      <c r="N305" s="171"/>
      <c r="O305" s="166"/>
      <c r="P305" s="166">
        <f t="shared" ca="1" si="56"/>
        <v>38</v>
      </c>
      <c r="Q305" s="171"/>
    </row>
    <row r="306" spans="1:17">
      <c r="A306" s="166" t="b">
        <v>0</v>
      </c>
      <c r="B306" s="176">
        <f t="shared" si="53"/>
        <v>-51</v>
      </c>
      <c r="C306" s="413" t="s">
        <v>3270</v>
      </c>
      <c r="D306" s="166" t="s">
        <v>3268</v>
      </c>
      <c r="E306" s="166">
        <f t="shared" si="54"/>
        <v>3</v>
      </c>
      <c r="F306" s="177">
        <v>7</v>
      </c>
      <c r="G306" s="166"/>
      <c r="H306" s="166">
        <f t="shared" ca="1" si="55"/>
        <v>21</v>
      </c>
      <c r="I306" s="177"/>
      <c r="J306" s="170"/>
      <c r="K306" s="168"/>
      <c r="L306" s="171"/>
      <c r="M306" s="179"/>
      <c r="N306" s="171"/>
      <c r="O306" s="166"/>
      <c r="P306" s="166">
        <f t="shared" ca="1" si="56"/>
        <v>39</v>
      </c>
      <c r="Q306" s="171"/>
    </row>
    <row r="307" spans="1:17">
      <c r="A307" s="166" t="b">
        <v>0</v>
      </c>
      <c r="B307" s="176">
        <f t="shared" si="53"/>
        <v>-50</v>
      </c>
      <c r="C307" s="413" t="s">
        <v>3271</v>
      </c>
      <c r="D307" s="166" t="s">
        <v>3268</v>
      </c>
      <c r="E307" s="166">
        <f t="shared" si="54"/>
        <v>4</v>
      </c>
      <c r="F307" s="177">
        <v>7</v>
      </c>
      <c r="G307" s="166"/>
      <c r="H307" s="166">
        <f t="shared" ca="1" si="55"/>
        <v>21</v>
      </c>
      <c r="I307" s="177"/>
      <c r="J307" s="170"/>
      <c r="K307" s="168"/>
      <c r="L307" s="171"/>
      <c r="M307" s="179"/>
      <c r="N307" s="171"/>
      <c r="O307" s="166"/>
      <c r="P307" s="166">
        <f t="shared" ca="1" si="56"/>
        <v>40</v>
      </c>
      <c r="Q307" s="171"/>
    </row>
    <row r="308" spans="1:17">
      <c r="A308" s="166" t="b">
        <v>0</v>
      </c>
      <c r="B308" s="176">
        <f t="shared" si="53"/>
        <v>-49</v>
      </c>
      <c r="C308" s="413" t="s">
        <v>3272</v>
      </c>
      <c r="D308" s="166" t="s">
        <v>3268</v>
      </c>
      <c r="E308" s="166">
        <f t="shared" si="54"/>
        <v>5</v>
      </c>
      <c r="F308" s="177">
        <v>7</v>
      </c>
      <c r="G308" s="166"/>
      <c r="H308" s="166">
        <f t="shared" ca="1" si="55"/>
        <v>21</v>
      </c>
      <c r="I308" s="177"/>
      <c r="J308" s="170"/>
      <c r="K308" s="168"/>
      <c r="L308" s="171"/>
      <c r="M308" s="179"/>
      <c r="N308" s="171"/>
      <c r="O308" s="166"/>
      <c r="P308" s="166">
        <f t="shared" ca="1" si="56"/>
        <v>41</v>
      </c>
      <c r="Q308" s="171"/>
    </row>
    <row r="309" spans="1:17">
      <c r="A309" s="166" t="b">
        <v>0</v>
      </c>
      <c r="B309" s="176">
        <f t="shared" si="53"/>
        <v>-48</v>
      </c>
      <c r="C309" s="413" t="s">
        <v>3273</v>
      </c>
      <c r="D309" s="166" t="s">
        <v>3268</v>
      </c>
      <c r="E309" s="166">
        <f t="shared" si="54"/>
        <v>6</v>
      </c>
      <c r="F309" s="177">
        <v>7</v>
      </c>
      <c r="G309" s="166"/>
      <c r="H309" s="166">
        <f t="shared" ca="1" si="55"/>
        <v>21</v>
      </c>
      <c r="I309" s="177"/>
      <c r="J309" s="170"/>
      <c r="K309" s="168"/>
      <c r="L309" s="171"/>
      <c r="M309" s="179"/>
      <c r="N309" s="171"/>
      <c r="O309" s="166"/>
      <c r="P309" s="166">
        <f t="shared" ca="1" si="56"/>
        <v>42</v>
      </c>
      <c r="Q309" s="171"/>
    </row>
    <row r="310" spans="1:17">
      <c r="A310" s="166" t="b">
        <v>0</v>
      </c>
      <c r="B310" s="176">
        <f t="shared" si="53"/>
        <v>-47</v>
      </c>
      <c r="C310" s="413" t="s">
        <v>3274</v>
      </c>
      <c r="D310" s="166" t="s">
        <v>3275</v>
      </c>
      <c r="E310" s="166">
        <f t="shared" si="54"/>
        <v>1</v>
      </c>
      <c r="F310" s="177">
        <v>8</v>
      </c>
      <c r="G310" s="166"/>
      <c r="H310" s="166">
        <f t="shared" ca="1" si="55"/>
        <v>23</v>
      </c>
      <c r="I310" s="177"/>
      <c r="J310" s="170"/>
      <c r="K310" s="168"/>
      <c r="L310" s="171"/>
      <c r="M310" s="179"/>
      <c r="N310" s="171"/>
      <c r="O310" s="166"/>
      <c r="P310" s="166">
        <f t="shared" ca="1" si="56"/>
        <v>43</v>
      </c>
      <c r="Q310" s="171"/>
    </row>
    <row r="311" spans="1:17">
      <c r="A311" s="166" t="b">
        <v>0</v>
      </c>
      <c r="B311" s="176">
        <f t="shared" si="53"/>
        <v>-46</v>
      </c>
      <c r="C311" s="413" t="s">
        <v>3276</v>
      </c>
      <c r="D311" s="166" t="s">
        <v>3275</v>
      </c>
      <c r="E311" s="166">
        <f t="shared" si="54"/>
        <v>2</v>
      </c>
      <c r="F311" s="177">
        <v>8</v>
      </c>
      <c r="G311" s="166"/>
      <c r="H311" s="166">
        <f t="shared" ca="1" si="55"/>
        <v>23</v>
      </c>
      <c r="I311" s="177"/>
      <c r="J311" s="170"/>
      <c r="K311" s="168"/>
      <c r="L311" s="171"/>
      <c r="M311" s="179"/>
      <c r="N311" s="171"/>
      <c r="O311" s="166"/>
      <c r="P311" s="166">
        <f t="shared" ca="1" si="56"/>
        <v>44</v>
      </c>
      <c r="Q311" s="171"/>
    </row>
    <row r="312" spans="1:17">
      <c r="A312" s="166" t="b">
        <v>0</v>
      </c>
      <c r="B312" s="176">
        <f t="shared" si="53"/>
        <v>-45</v>
      </c>
      <c r="C312" s="413" t="s">
        <v>3277</v>
      </c>
      <c r="D312" s="166" t="s">
        <v>3275</v>
      </c>
      <c r="E312" s="166">
        <f t="shared" si="54"/>
        <v>3</v>
      </c>
      <c r="F312" s="177">
        <v>8</v>
      </c>
      <c r="G312" s="166"/>
      <c r="H312" s="166">
        <f t="shared" ca="1" si="55"/>
        <v>23</v>
      </c>
      <c r="I312" s="177"/>
      <c r="J312" s="170"/>
      <c r="K312" s="168"/>
      <c r="L312" s="171"/>
      <c r="M312" s="179"/>
      <c r="N312" s="171"/>
      <c r="O312" s="166"/>
      <c r="P312" s="166">
        <f t="shared" ca="1" si="56"/>
        <v>45</v>
      </c>
      <c r="Q312" s="171"/>
    </row>
    <row r="313" spans="1:17">
      <c r="A313" s="166" t="b">
        <v>0</v>
      </c>
      <c r="B313" s="176">
        <f t="shared" si="53"/>
        <v>-44</v>
      </c>
      <c r="C313" s="413" t="s">
        <v>3278</v>
      </c>
      <c r="D313" s="166" t="s">
        <v>3275</v>
      </c>
      <c r="E313" s="166">
        <f t="shared" si="54"/>
        <v>4</v>
      </c>
      <c r="F313" s="177">
        <v>8</v>
      </c>
      <c r="G313" s="166"/>
      <c r="H313" s="166">
        <f t="shared" ca="1" si="55"/>
        <v>23</v>
      </c>
      <c r="I313" s="177"/>
      <c r="J313" s="170"/>
      <c r="K313" s="168"/>
      <c r="L313" s="171"/>
      <c r="M313" s="179"/>
      <c r="N313" s="171"/>
      <c r="O313" s="166"/>
      <c r="P313" s="166">
        <f t="shared" ca="1" si="56"/>
        <v>46</v>
      </c>
      <c r="Q313" s="171"/>
    </row>
    <row r="314" spans="1:17">
      <c r="A314" s="166" t="b">
        <v>0</v>
      </c>
      <c r="B314" s="176">
        <f t="shared" si="53"/>
        <v>-43</v>
      </c>
      <c r="C314" s="413" t="s">
        <v>3279</v>
      </c>
      <c r="D314" s="166" t="s">
        <v>3275</v>
      </c>
      <c r="E314" s="166">
        <f t="shared" si="54"/>
        <v>5</v>
      </c>
      <c r="F314" s="177">
        <v>8</v>
      </c>
      <c r="G314" s="166"/>
      <c r="H314" s="166">
        <f t="shared" ca="1" si="55"/>
        <v>23</v>
      </c>
      <c r="I314" s="177"/>
      <c r="J314" s="170"/>
      <c r="K314" s="168"/>
      <c r="L314" s="171"/>
      <c r="M314" s="179"/>
      <c r="N314" s="171"/>
      <c r="O314" s="166"/>
      <c r="P314" s="166">
        <f t="shared" ca="1" si="56"/>
        <v>47</v>
      </c>
      <c r="Q314" s="171"/>
    </row>
    <row r="315" spans="1:17">
      <c r="A315" s="166" t="b">
        <v>0</v>
      </c>
      <c r="B315" s="176">
        <f t="shared" si="53"/>
        <v>-42</v>
      </c>
      <c r="C315" s="413" t="s">
        <v>3280</v>
      </c>
      <c r="D315" s="166" t="s">
        <v>3275</v>
      </c>
      <c r="E315" s="166">
        <f t="shared" si="54"/>
        <v>6</v>
      </c>
      <c r="F315" s="177">
        <v>8</v>
      </c>
      <c r="G315" s="166"/>
      <c r="H315" s="166">
        <f t="shared" ca="1" si="55"/>
        <v>23</v>
      </c>
      <c r="I315" s="177"/>
      <c r="J315" s="170"/>
      <c r="K315" s="168"/>
      <c r="L315" s="171"/>
      <c r="M315" s="179"/>
      <c r="N315" s="171"/>
      <c r="O315" s="166"/>
      <c r="P315" s="166">
        <f t="shared" ca="1" si="56"/>
        <v>48</v>
      </c>
      <c r="Q315" s="171"/>
    </row>
    <row r="316" spans="1:17">
      <c r="A316" s="166" t="b">
        <v>0</v>
      </c>
      <c r="B316" s="176">
        <f t="shared" si="53"/>
        <v>-41</v>
      </c>
      <c r="C316" s="413" t="s">
        <v>3281</v>
      </c>
      <c r="D316" s="166" t="s">
        <v>3282</v>
      </c>
      <c r="E316" s="166">
        <f t="shared" si="54"/>
        <v>1</v>
      </c>
      <c r="F316" s="177">
        <v>9</v>
      </c>
      <c r="G316" s="166"/>
      <c r="H316" s="166">
        <f t="shared" ca="1" si="55"/>
        <v>25</v>
      </c>
      <c r="I316" s="177"/>
      <c r="J316" s="170"/>
      <c r="K316" s="168"/>
      <c r="L316" s="171"/>
      <c r="M316" s="179"/>
      <c r="N316" s="171"/>
      <c r="O316" s="166"/>
      <c r="P316" s="166">
        <f t="shared" ca="1" si="56"/>
        <v>49</v>
      </c>
      <c r="Q316" s="171"/>
    </row>
    <row r="317" spans="1:17">
      <c r="A317" s="166" t="b">
        <v>0</v>
      </c>
      <c r="B317" s="176">
        <f t="shared" si="53"/>
        <v>-40</v>
      </c>
      <c r="C317" s="413" t="s">
        <v>3283</v>
      </c>
      <c r="D317" s="166" t="s">
        <v>3282</v>
      </c>
      <c r="E317" s="166">
        <f t="shared" si="54"/>
        <v>2</v>
      </c>
      <c r="F317" s="177">
        <v>9</v>
      </c>
      <c r="G317" s="166"/>
      <c r="H317" s="166">
        <f t="shared" ca="1" si="55"/>
        <v>25</v>
      </c>
      <c r="I317" s="177"/>
      <c r="J317" s="170"/>
      <c r="K317" s="168"/>
      <c r="L317" s="171"/>
      <c r="M317" s="179"/>
      <c r="N317" s="171"/>
      <c r="O317" s="166"/>
      <c r="P317" s="166">
        <f t="shared" ca="1" si="56"/>
        <v>50</v>
      </c>
      <c r="Q317" s="171"/>
    </row>
    <row r="318" spans="1:17">
      <c r="A318" s="166" t="b">
        <v>0</v>
      </c>
      <c r="B318" s="176">
        <f t="shared" si="53"/>
        <v>-39</v>
      </c>
      <c r="C318" s="413" t="s">
        <v>3284</v>
      </c>
      <c r="D318" s="166" t="s">
        <v>3282</v>
      </c>
      <c r="E318" s="166">
        <f t="shared" si="54"/>
        <v>3</v>
      </c>
      <c r="F318" s="177">
        <v>9</v>
      </c>
      <c r="G318" s="166"/>
      <c r="H318" s="166">
        <f t="shared" ca="1" si="55"/>
        <v>25</v>
      </c>
      <c r="I318" s="177"/>
      <c r="J318" s="170"/>
      <c r="K318" s="168"/>
      <c r="L318" s="171"/>
      <c r="M318" s="179"/>
      <c r="N318" s="171"/>
      <c r="O318" s="166"/>
      <c r="P318" s="166">
        <f t="shared" ca="1" si="56"/>
        <v>51</v>
      </c>
      <c r="Q318" s="171"/>
    </row>
    <row r="319" spans="1:17">
      <c r="A319" s="166" t="b">
        <v>0</v>
      </c>
      <c r="B319" s="176">
        <f t="shared" si="53"/>
        <v>-38</v>
      </c>
      <c r="C319" s="413" t="s">
        <v>3285</v>
      </c>
      <c r="D319" s="166" t="s">
        <v>3282</v>
      </c>
      <c r="E319" s="166">
        <f t="shared" si="54"/>
        <v>4</v>
      </c>
      <c r="F319" s="177">
        <v>9</v>
      </c>
      <c r="G319" s="166"/>
      <c r="H319" s="166">
        <f t="shared" ca="1" si="55"/>
        <v>25</v>
      </c>
      <c r="I319" s="177"/>
      <c r="J319" s="170"/>
      <c r="K319" s="168"/>
      <c r="L319" s="171"/>
      <c r="M319" s="179"/>
      <c r="N319" s="171"/>
      <c r="O319" s="166"/>
      <c r="P319" s="166">
        <f t="shared" ca="1" si="56"/>
        <v>52</v>
      </c>
      <c r="Q319" s="171"/>
    </row>
    <row r="320" spans="1:17">
      <c r="A320" s="166" t="b">
        <v>0</v>
      </c>
      <c r="B320" s="176">
        <f t="shared" si="53"/>
        <v>-37</v>
      </c>
      <c r="C320" s="413" t="s">
        <v>3286</v>
      </c>
      <c r="D320" s="166" t="s">
        <v>3282</v>
      </c>
      <c r="E320" s="166">
        <f t="shared" si="54"/>
        <v>5</v>
      </c>
      <c r="F320" s="177">
        <v>9</v>
      </c>
      <c r="G320" s="166"/>
      <c r="H320" s="166">
        <f t="shared" ca="1" si="55"/>
        <v>25</v>
      </c>
      <c r="I320" s="177"/>
      <c r="J320" s="170"/>
      <c r="K320" s="168"/>
      <c r="L320" s="171"/>
      <c r="M320" s="179"/>
      <c r="N320" s="171"/>
      <c r="O320" s="166"/>
      <c r="P320" s="166">
        <f t="shared" ca="1" si="56"/>
        <v>53</v>
      </c>
      <c r="Q320" s="171"/>
    </row>
    <row r="321" spans="1:17">
      <c r="A321" s="166" t="b">
        <v>0</v>
      </c>
      <c r="B321" s="176">
        <f t="shared" si="53"/>
        <v>-36</v>
      </c>
      <c r="C321" s="413" t="s">
        <v>3287</v>
      </c>
      <c r="D321" s="166" t="s">
        <v>3282</v>
      </c>
      <c r="E321" s="166">
        <f t="shared" si="54"/>
        <v>6</v>
      </c>
      <c r="F321" s="177">
        <v>9</v>
      </c>
      <c r="G321" s="166"/>
      <c r="H321" s="166">
        <f t="shared" ca="1" si="55"/>
        <v>25</v>
      </c>
      <c r="I321" s="177"/>
      <c r="J321" s="170"/>
      <c r="K321" s="168"/>
      <c r="L321" s="171"/>
      <c r="M321" s="179"/>
      <c r="N321" s="171"/>
      <c r="O321" s="166"/>
      <c r="P321" s="166">
        <f t="shared" ca="1" si="56"/>
        <v>54</v>
      </c>
      <c r="Q321" s="171"/>
    </row>
    <row r="322" spans="1:17">
      <c r="A322" s="166" t="b">
        <v>0</v>
      </c>
      <c r="B322" s="176">
        <f t="shared" si="53"/>
        <v>-35</v>
      </c>
      <c r="C322" s="413" t="s">
        <v>3288</v>
      </c>
      <c r="D322" s="166" t="s">
        <v>3289</v>
      </c>
      <c r="E322" s="166">
        <f t="shared" si="54"/>
        <v>1</v>
      </c>
      <c r="F322" s="177">
        <v>10</v>
      </c>
      <c r="G322" s="166"/>
      <c r="H322" s="166">
        <f t="shared" ca="1" si="55"/>
        <v>27</v>
      </c>
      <c r="I322" s="177"/>
      <c r="J322" s="170"/>
      <c r="K322" s="168"/>
      <c r="L322" s="171"/>
      <c r="M322" s="179"/>
      <c r="N322" s="171"/>
      <c r="O322" s="166"/>
      <c r="P322" s="166">
        <f t="shared" ca="1" si="56"/>
        <v>55</v>
      </c>
      <c r="Q322" s="171"/>
    </row>
    <row r="323" spans="1:17">
      <c r="A323" s="166" t="b">
        <v>0</v>
      </c>
      <c r="B323" s="176">
        <f t="shared" si="53"/>
        <v>-34</v>
      </c>
      <c r="C323" s="413" t="s">
        <v>3290</v>
      </c>
      <c r="D323" s="166" t="s">
        <v>3289</v>
      </c>
      <c r="E323" s="166">
        <f t="shared" si="54"/>
        <v>2</v>
      </c>
      <c r="F323" s="177">
        <v>10</v>
      </c>
      <c r="G323" s="166"/>
      <c r="H323" s="166">
        <f t="shared" ca="1" si="55"/>
        <v>27</v>
      </c>
      <c r="I323" s="177"/>
      <c r="J323" s="170"/>
      <c r="K323" s="168"/>
      <c r="L323" s="171"/>
      <c r="M323" s="179"/>
      <c r="N323" s="171"/>
      <c r="O323" s="166"/>
      <c r="P323" s="166">
        <f t="shared" ca="1" si="56"/>
        <v>56</v>
      </c>
      <c r="Q323" s="171"/>
    </row>
    <row r="324" spans="1:17">
      <c r="A324" s="166" t="b">
        <v>0</v>
      </c>
      <c r="B324" s="176">
        <f t="shared" si="53"/>
        <v>-33</v>
      </c>
      <c r="C324" s="413" t="s">
        <v>3291</v>
      </c>
      <c r="D324" s="166" t="s">
        <v>3289</v>
      </c>
      <c r="E324" s="166">
        <f t="shared" si="54"/>
        <v>3</v>
      </c>
      <c r="F324" s="177">
        <v>10</v>
      </c>
      <c r="G324" s="166"/>
      <c r="H324" s="166">
        <f t="shared" ca="1" si="55"/>
        <v>27</v>
      </c>
      <c r="I324" s="177"/>
      <c r="J324" s="170"/>
      <c r="K324" s="168"/>
      <c r="L324" s="171"/>
      <c r="M324" s="179"/>
      <c r="N324" s="171"/>
      <c r="O324" s="166"/>
      <c r="P324" s="166">
        <f t="shared" ca="1" si="56"/>
        <v>57</v>
      </c>
      <c r="Q324" s="171"/>
    </row>
    <row r="325" spans="1:17">
      <c r="A325" s="166" t="b">
        <v>0</v>
      </c>
      <c r="B325" s="176">
        <f t="shared" si="53"/>
        <v>-32</v>
      </c>
      <c r="C325" s="413" t="s">
        <v>3292</v>
      </c>
      <c r="D325" s="166" t="s">
        <v>3289</v>
      </c>
      <c r="E325" s="166">
        <f t="shared" si="54"/>
        <v>4</v>
      </c>
      <c r="F325" s="177">
        <v>10</v>
      </c>
      <c r="G325" s="166"/>
      <c r="H325" s="166">
        <f t="shared" ca="1" si="55"/>
        <v>27</v>
      </c>
      <c r="I325" s="177"/>
      <c r="J325" s="170"/>
      <c r="K325" s="168"/>
      <c r="L325" s="171"/>
      <c r="M325" s="179"/>
      <c r="N325" s="171"/>
      <c r="O325" s="166"/>
      <c r="P325" s="166">
        <f t="shared" ca="1" si="56"/>
        <v>58</v>
      </c>
      <c r="Q325" s="171"/>
    </row>
    <row r="326" spans="1:17">
      <c r="A326" s="166" t="b">
        <v>0</v>
      </c>
      <c r="B326" s="176">
        <f t="shared" si="53"/>
        <v>-31</v>
      </c>
      <c r="C326" s="413" t="s">
        <v>3293</v>
      </c>
      <c r="D326" s="166" t="s">
        <v>3289</v>
      </c>
      <c r="E326" s="166">
        <f t="shared" si="54"/>
        <v>5</v>
      </c>
      <c r="F326" s="177">
        <v>10</v>
      </c>
      <c r="G326" s="166"/>
      <c r="H326" s="166">
        <f t="shared" ca="1" si="55"/>
        <v>27</v>
      </c>
      <c r="I326" s="177"/>
      <c r="J326" s="170"/>
      <c r="K326" s="168"/>
      <c r="L326" s="171"/>
      <c r="M326" s="179"/>
      <c r="N326" s="171"/>
      <c r="O326" s="166"/>
      <c r="P326" s="166">
        <f t="shared" ca="1" si="56"/>
        <v>59</v>
      </c>
      <c r="Q326" s="171"/>
    </row>
    <row r="327" spans="1:17">
      <c r="A327" s="166" t="b">
        <v>0</v>
      </c>
      <c r="B327" s="176">
        <f t="shared" si="53"/>
        <v>-30</v>
      </c>
      <c r="C327" s="413" t="s">
        <v>3294</v>
      </c>
      <c r="D327" s="166" t="s">
        <v>3289</v>
      </c>
      <c r="E327" s="166">
        <f t="shared" si="54"/>
        <v>6</v>
      </c>
      <c r="F327" s="177">
        <v>10</v>
      </c>
      <c r="G327" s="166"/>
      <c r="H327" s="166">
        <f t="shared" ca="1" si="55"/>
        <v>27</v>
      </c>
      <c r="I327" s="177"/>
      <c r="J327" s="170"/>
      <c r="K327" s="168"/>
      <c r="L327" s="171"/>
      <c r="M327" s="179"/>
      <c r="N327" s="171"/>
      <c r="O327" s="166"/>
      <c r="P327" s="166">
        <f t="shared" ca="1" si="56"/>
        <v>60</v>
      </c>
      <c r="Q327" s="171"/>
    </row>
    <row r="328" spans="1:17">
      <c r="A328" s="166" t="b">
        <v>0</v>
      </c>
      <c r="B328" s="176">
        <f t="shared" si="53"/>
        <v>-29</v>
      </c>
      <c r="C328" s="413" t="s">
        <v>3295</v>
      </c>
      <c r="D328" s="166" t="s">
        <v>3296</v>
      </c>
      <c r="E328" s="166">
        <f t="shared" si="54"/>
        <v>1</v>
      </c>
      <c r="F328" s="177">
        <v>11</v>
      </c>
      <c r="G328" s="166"/>
      <c r="H328" s="166">
        <f t="shared" ca="1" si="55"/>
        <v>29</v>
      </c>
      <c r="I328" s="177"/>
      <c r="J328" s="170"/>
      <c r="K328" s="168"/>
      <c r="L328" s="171"/>
      <c r="M328" s="179"/>
      <c r="N328" s="171"/>
      <c r="O328" s="166"/>
      <c r="P328" s="166">
        <f t="shared" ca="1" si="56"/>
        <v>61</v>
      </c>
      <c r="Q328" s="171"/>
    </row>
    <row r="329" spans="1:17">
      <c r="A329" s="166" t="b">
        <v>0</v>
      </c>
      <c r="B329" s="176">
        <f t="shared" si="53"/>
        <v>-28</v>
      </c>
      <c r="C329" s="413" t="s">
        <v>3297</v>
      </c>
      <c r="D329" s="166" t="s">
        <v>3296</v>
      </c>
      <c r="E329" s="166">
        <f t="shared" si="54"/>
        <v>2</v>
      </c>
      <c r="F329" s="177">
        <v>11</v>
      </c>
      <c r="G329" s="166"/>
      <c r="H329" s="166">
        <f t="shared" ca="1" si="55"/>
        <v>29</v>
      </c>
      <c r="I329" s="177"/>
      <c r="J329" s="170"/>
      <c r="K329" s="168"/>
      <c r="L329" s="171"/>
      <c r="M329" s="179"/>
      <c r="N329" s="171"/>
      <c r="O329" s="166"/>
      <c r="P329" s="166">
        <f t="shared" ca="1" si="56"/>
        <v>62</v>
      </c>
      <c r="Q329" s="171"/>
    </row>
    <row r="330" spans="1:17">
      <c r="A330" s="166" t="b">
        <v>0</v>
      </c>
      <c r="B330" s="176">
        <f t="shared" si="53"/>
        <v>-27</v>
      </c>
      <c r="C330" s="413" t="s">
        <v>3298</v>
      </c>
      <c r="D330" s="166" t="s">
        <v>3296</v>
      </c>
      <c r="E330" s="166">
        <f t="shared" si="54"/>
        <v>3</v>
      </c>
      <c r="F330" s="177">
        <v>11</v>
      </c>
      <c r="G330" s="166"/>
      <c r="H330" s="166">
        <f t="shared" ca="1" si="55"/>
        <v>29</v>
      </c>
      <c r="I330" s="177"/>
      <c r="J330" s="170"/>
      <c r="K330" s="168"/>
      <c r="L330" s="171"/>
      <c r="M330" s="179"/>
      <c r="N330" s="171"/>
      <c r="O330" s="166"/>
      <c r="P330" s="166">
        <f t="shared" ca="1" si="56"/>
        <v>63</v>
      </c>
      <c r="Q330" s="171"/>
    </row>
    <row r="331" spans="1:17">
      <c r="A331" s="166" t="b">
        <v>0</v>
      </c>
      <c r="B331" s="176">
        <f t="shared" si="53"/>
        <v>-26</v>
      </c>
      <c r="C331" s="413" t="s">
        <v>3299</v>
      </c>
      <c r="D331" s="166" t="s">
        <v>3296</v>
      </c>
      <c r="E331" s="166">
        <f t="shared" si="54"/>
        <v>4</v>
      </c>
      <c r="F331" s="177">
        <v>11</v>
      </c>
      <c r="G331" s="166"/>
      <c r="H331" s="166">
        <f t="shared" ca="1" si="55"/>
        <v>29</v>
      </c>
      <c r="I331" s="177"/>
      <c r="J331" s="170"/>
      <c r="K331" s="168"/>
      <c r="L331" s="171"/>
      <c r="M331" s="179"/>
      <c r="N331" s="171"/>
      <c r="O331" s="166"/>
      <c r="P331" s="166">
        <f t="shared" ca="1" si="56"/>
        <v>64</v>
      </c>
      <c r="Q331" s="171"/>
    </row>
    <row r="332" spans="1:17">
      <c r="A332" s="166" t="b">
        <v>0</v>
      </c>
      <c r="B332" s="176">
        <f t="shared" ref="B332:B395" si="57">B331+1</f>
        <v>-25</v>
      </c>
      <c r="C332" s="413" t="s">
        <v>3300</v>
      </c>
      <c r="D332" s="166" t="s">
        <v>3296</v>
      </c>
      <c r="E332" s="166">
        <f t="shared" ref="E332:E395" si="58">COUNTIF(F323:F332,F332)</f>
        <v>5</v>
      </c>
      <c r="F332" s="177">
        <v>11</v>
      </c>
      <c r="G332" s="166"/>
      <c r="H332" s="166">
        <f t="shared" ref="H332:H395" ca="1" si="59">IF(F332=1,9,IF(E331=MAX(E330:E332),H330+2,H331))</f>
        <v>29</v>
      </c>
      <c r="I332" s="177"/>
      <c r="J332" s="170"/>
      <c r="K332" s="168"/>
      <c r="L332" s="171"/>
      <c r="M332" s="179"/>
      <c r="N332" s="171"/>
      <c r="O332" s="166"/>
      <c r="P332" s="166">
        <f t="shared" ref="P332:P395" ca="1" si="60">IF(NOT(_xlfn.ISFORMULA(I332)),P331+1,0)</f>
        <v>65</v>
      </c>
      <c r="Q332" s="171"/>
    </row>
    <row r="333" spans="1:17">
      <c r="A333" s="166" t="b">
        <v>0</v>
      </c>
      <c r="B333" s="176">
        <f t="shared" si="57"/>
        <v>-24</v>
      </c>
      <c r="C333" s="413" t="s">
        <v>3301</v>
      </c>
      <c r="D333" s="166" t="s">
        <v>3296</v>
      </c>
      <c r="E333" s="166">
        <f t="shared" si="58"/>
        <v>6</v>
      </c>
      <c r="F333" s="177">
        <v>11</v>
      </c>
      <c r="G333" s="166"/>
      <c r="H333" s="166">
        <f t="shared" ca="1" si="59"/>
        <v>29</v>
      </c>
      <c r="I333" s="177"/>
      <c r="J333" s="170"/>
      <c r="K333" s="168"/>
      <c r="L333" s="171"/>
      <c r="M333" s="179"/>
      <c r="N333" s="171"/>
      <c r="O333" s="166"/>
      <c r="P333" s="166">
        <f t="shared" ca="1" si="60"/>
        <v>66</v>
      </c>
      <c r="Q333" s="171"/>
    </row>
    <row r="334" spans="1:17">
      <c r="A334" s="166" t="b">
        <v>0</v>
      </c>
      <c r="B334" s="176">
        <f t="shared" si="57"/>
        <v>-23</v>
      </c>
      <c r="C334" s="413" t="s">
        <v>3302</v>
      </c>
      <c r="D334" s="166" t="s">
        <v>3303</v>
      </c>
      <c r="E334" s="166">
        <f t="shared" si="58"/>
        <v>1</v>
      </c>
      <c r="F334" s="177">
        <v>12</v>
      </c>
      <c r="G334" s="166"/>
      <c r="H334" s="166">
        <f t="shared" ca="1" si="59"/>
        <v>31</v>
      </c>
      <c r="I334" s="177"/>
      <c r="J334" s="170"/>
      <c r="K334" s="168"/>
      <c r="L334" s="171"/>
      <c r="M334" s="179"/>
      <c r="N334" s="171"/>
      <c r="O334" s="166"/>
      <c r="P334" s="166">
        <f t="shared" ca="1" si="60"/>
        <v>67</v>
      </c>
      <c r="Q334" s="171"/>
    </row>
    <row r="335" spans="1:17">
      <c r="A335" s="166" t="b">
        <v>0</v>
      </c>
      <c r="B335" s="176">
        <f t="shared" si="57"/>
        <v>-22</v>
      </c>
      <c r="C335" s="413" t="s">
        <v>3304</v>
      </c>
      <c r="D335" s="166" t="s">
        <v>3303</v>
      </c>
      <c r="E335" s="166">
        <f t="shared" si="58"/>
        <v>2</v>
      </c>
      <c r="F335" s="177">
        <v>12</v>
      </c>
      <c r="G335" s="166"/>
      <c r="H335" s="166">
        <f t="shared" ca="1" si="59"/>
        <v>31</v>
      </c>
      <c r="I335" s="177"/>
      <c r="J335" s="170"/>
      <c r="K335" s="168"/>
      <c r="L335" s="171"/>
      <c r="M335" s="179"/>
      <c r="N335" s="171"/>
      <c r="O335" s="166"/>
      <c r="P335" s="166">
        <f t="shared" ca="1" si="60"/>
        <v>68</v>
      </c>
      <c r="Q335" s="171"/>
    </row>
    <row r="336" spans="1:17">
      <c r="A336" s="166" t="b">
        <v>0</v>
      </c>
      <c r="B336" s="176">
        <f t="shared" si="57"/>
        <v>-21</v>
      </c>
      <c r="C336" s="413" t="s">
        <v>3305</v>
      </c>
      <c r="D336" s="166" t="s">
        <v>3303</v>
      </c>
      <c r="E336" s="166">
        <f t="shared" si="58"/>
        <v>3</v>
      </c>
      <c r="F336" s="177">
        <v>12</v>
      </c>
      <c r="G336" s="166"/>
      <c r="H336" s="166">
        <f t="shared" ca="1" si="59"/>
        <v>31</v>
      </c>
      <c r="I336" s="177"/>
      <c r="J336" s="170"/>
      <c r="K336" s="168"/>
      <c r="L336" s="171"/>
      <c r="M336" s="179"/>
      <c r="N336" s="171"/>
      <c r="O336" s="166"/>
      <c r="P336" s="166">
        <f t="shared" ca="1" si="60"/>
        <v>69</v>
      </c>
      <c r="Q336" s="171"/>
    </row>
    <row r="337" spans="1:17">
      <c r="A337" s="166" t="b">
        <v>0</v>
      </c>
      <c r="B337" s="176">
        <f t="shared" si="57"/>
        <v>-20</v>
      </c>
      <c r="C337" s="413" t="s">
        <v>3306</v>
      </c>
      <c r="D337" s="166" t="s">
        <v>3303</v>
      </c>
      <c r="E337" s="166">
        <f t="shared" si="58"/>
        <v>4</v>
      </c>
      <c r="F337" s="177">
        <v>12</v>
      </c>
      <c r="G337" s="166"/>
      <c r="H337" s="166">
        <f t="shared" ca="1" si="59"/>
        <v>31</v>
      </c>
      <c r="I337" s="177"/>
      <c r="J337" s="170"/>
      <c r="K337" s="168"/>
      <c r="L337" s="171"/>
      <c r="M337" s="179"/>
      <c r="N337" s="171"/>
      <c r="O337" s="166"/>
      <c r="P337" s="166">
        <f t="shared" ca="1" si="60"/>
        <v>70</v>
      </c>
      <c r="Q337" s="171"/>
    </row>
    <row r="338" spans="1:17">
      <c r="A338" s="166" t="b">
        <v>0</v>
      </c>
      <c r="B338" s="176">
        <f t="shared" si="57"/>
        <v>-19</v>
      </c>
      <c r="C338" s="413" t="s">
        <v>3307</v>
      </c>
      <c r="D338" s="166" t="s">
        <v>3303</v>
      </c>
      <c r="E338" s="166">
        <f t="shared" si="58"/>
        <v>5</v>
      </c>
      <c r="F338" s="177">
        <v>12</v>
      </c>
      <c r="G338" s="166"/>
      <c r="H338" s="166">
        <f t="shared" ca="1" si="59"/>
        <v>31</v>
      </c>
      <c r="I338" s="177"/>
      <c r="J338" s="170"/>
      <c r="K338" s="168"/>
      <c r="L338" s="171"/>
      <c r="M338" s="179"/>
      <c r="N338" s="171"/>
      <c r="O338" s="166"/>
      <c r="P338" s="166">
        <f t="shared" ca="1" si="60"/>
        <v>71</v>
      </c>
      <c r="Q338" s="171"/>
    </row>
    <row r="339" spans="1:17">
      <c r="A339" s="166" t="b">
        <v>0</v>
      </c>
      <c r="B339" s="176">
        <f t="shared" si="57"/>
        <v>-18</v>
      </c>
      <c r="C339" s="413" t="s">
        <v>3308</v>
      </c>
      <c r="D339" s="166" t="s">
        <v>3303</v>
      </c>
      <c r="E339" s="166">
        <f t="shared" si="58"/>
        <v>6</v>
      </c>
      <c r="F339" s="177">
        <v>12</v>
      </c>
      <c r="G339" s="166"/>
      <c r="H339" s="166">
        <f t="shared" ca="1" si="59"/>
        <v>31</v>
      </c>
      <c r="I339" s="177"/>
      <c r="J339" s="170"/>
      <c r="K339" s="168"/>
      <c r="L339" s="171"/>
      <c r="M339" s="179"/>
      <c r="N339" s="171"/>
      <c r="O339" s="166"/>
      <c r="P339" s="166">
        <f t="shared" ca="1" si="60"/>
        <v>72</v>
      </c>
      <c r="Q339" s="171"/>
    </row>
    <row r="340" spans="1:17">
      <c r="A340" s="166" t="b">
        <v>0</v>
      </c>
      <c r="B340" s="176">
        <f t="shared" si="57"/>
        <v>-17</v>
      </c>
      <c r="C340" s="413" t="s">
        <v>3309</v>
      </c>
      <c r="D340" s="166" t="s">
        <v>3310</v>
      </c>
      <c r="E340" s="166">
        <f t="shared" si="58"/>
        <v>1</v>
      </c>
      <c r="F340" s="177">
        <v>13</v>
      </c>
      <c r="G340" s="166"/>
      <c r="H340" s="166">
        <f t="shared" ca="1" si="59"/>
        <v>33</v>
      </c>
      <c r="I340" s="177"/>
      <c r="J340" s="170"/>
      <c r="K340" s="168"/>
      <c r="L340" s="171"/>
      <c r="M340" s="179"/>
      <c r="N340" s="171"/>
      <c r="O340" s="166"/>
      <c r="P340" s="166">
        <f t="shared" ca="1" si="60"/>
        <v>73</v>
      </c>
      <c r="Q340" s="171"/>
    </row>
    <row r="341" spans="1:17">
      <c r="A341" s="166" t="b">
        <v>0</v>
      </c>
      <c r="B341" s="176">
        <f t="shared" si="57"/>
        <v>-16</v>
      </c>
      <c r="C341" s="413" t="s">
        <v>3311</v>
      </c>
      <c r="D341" s="166" t="s">
        <v>3310</v>
      </c>
      <c r="E341" s="166">
        <f t="shared" si="58"/>
        <v>2</v>
      </c>
      <c r="F341" s="177">
        <v>13</v>
      </c>
      <c r="G341" s="166"/>
      <c r="H341" s="166">
        <f t="shared" ca="1" si="59"/>
        <v>33</v>
      </c>
      <c r="I341" s="177"/>
      <c r="J341" s="170"/>
      <c r="K341" s="168"/>
      <c r="L341" s="171"/>
      <c r="M341" s="179"/>
      <c r="N341" s="171"/>
      <c r="O341" s="166"/>
      <c r="P341" s="166">
        <f t="shared" ca="1" si="60"/>
        <v>74</v>
      </c>
      <c r="Q341" s="171"/>
    </row>
    <row r="342" spans="1:17">
      <c r="A342" s="166" t="b">
        <v>0</v>
      </c>
      <c r="B342" s="176">
        <f t="shared" si="57"/>
        <v>-15</v>
      </c>
      <c r="C342" s="413" t="s">
        <v>3312</v>
      </c>
      <c r="D342" s="166" t="s">
        <v>3310</v>
      </c>
      <c r="E342" s="166">
        <f t="shared" si="58"/>
        <v>3</v>
      </c>
      <c r="F342" s="177">
        <v>13</v>
      </c>
      <c r="G342" s="166"/>
      <c r="H342" s="166">
        <f t="shared" ca="1" si="59"/>
        <v>33</v>
      </c>
      <c r="I342" s="177"/>
      <c r="J342" s="170"/>
      <c r="K342" s="168"/>
      <c r="L342" s="171"/>
      <c r="M342" s="179"/>
      <c r="N342" s="171"/>
      <c r="O342" s="166"/>
      <c r="P342" s="166">
        <f t="shared" ca="1" si="60"/>
        <v>75</v>
      </c>
      <c r="Q342" s="171"/>
    </row>
    <row r="343" spans="1:17">
      <c r="A343" s="166" t="b">
        <v>0</v>
      </c>
      <c r="B343" s="176">
        <f t="shared" si="57"/>
        <v>-14</v>
      </c>
      <c r="C343" s="413" t="s">
        <v>3313</v>
      </c>
      <c r="D343" s="166" t="s">
        <v>3310</v>
      </c>
      <c r="E343" s="166">
        <f t="shared" si="58"/>
        <v>4</v>
      </c>
      <c r="F343" s="177">
        <v>13</v>
      </c>
      <c r="G343" s="166"/>
      <c r="H343" s="166">
        <f t="shared" ca="1" si="59"/>
        <v>33</v>
      </c>
      <c r="I343" s="177"/>
      <c r="J343" s="170"/>
      <c r="K343" s="168"/>
      <c r="L343" s="171"/>
      <c r="M343" s="179"/>
      <c r="N343" s="171"/>
      <c r="O343" s="166"/>
      <c r="P343" s="166">
        <f t="shared" ca="1" si="60"/>
        <v>76</v>
      </c>
      <c r="Q343" s="171"/>
    </row>
    <row r="344" spans="1:17">
      <c r="A344" s="166" t="b">
        <v>0</v>
      </c>
      <c r="B344" s="176">
        <f t="shared" si="57"/>
        <v>-13</v>
      </c>
      <c r="C344" s="413" t="s">
        <v>3314</v>
      </c>
      <c r="D344" s="166" t="s">
        <v>3310</v>
      </c>
      <c r="E344" s="166">
        <f t="shared" si="58"/>
        <v>5</v>
      </c>
      <c r="F344" s="177">
        <v>13</v>
      </c>
      <c r="G344" s="166"/>
      <c r="H344" s="166">
        <f t="shared" ca="1" si="59"/>
        <v>33</v>
      </c>
      <c r="I344" s="177"/>
      <c r="J344" s="170"/>
      <c r="K344" s="168"/>
      <c r="L344" s="171"/>
      <c r="M344" s="179"/>
      <c r="N344" s="171"/>
      <c r="O344" s="166"/>
      <c r="P344" s="166">
        <f t="shared" ca="1" si="60"/>
        <v>77</v>
      </c>
      <c r="Q344" s="171"/>
    </row>
    <row r="345" spans="1:17">
      <c r="A345" s="166" t="b">
        <v>0</v>
      </c>
      <c r="B345" s="176">
        <f t="shared" si="57"/>
        <v>-12</v>
      </c>
      <c r="C345" s="413" t="s">
        <v>3315</v>
      </c>
      <c r="D345" s="166" t="s">
        <v>3310</v>
      </c>
      <c r="E345" s="166">
        <f t="shared" si="58"/>
        <v>6</v>
      </c>
      <c r="F345" s="177">
        <v>13</v>
      </c>
      <c r="G345" s="166"/>
      <c r="H345" s="166">
        <f t="shared" ca="1" si="59"/>
        <v>33</v>
      </c>
      <c r="I345" s="177"/>
      <c r="J345" s="170"/>
      <c r="K345" s="168"/>
      <c r="L345" s="171"/>
      <c r="M345" s="179"/>
      <c r="N345" s="171"/>
      <c r="O345" s="166"/>
      <c r="P345" s="166">
        <f t="shared" ca="1" si="60"/>
        <v>78</v>
      </c>
      <c r="Q345" s="171"/>
    </row>
    <row r="346" spans="1:17">
      <c r="A346" s="166" t="b">
        <v>0</v>
      </c>
      <c r="B346" s="176">
        <f t="shared" si="57"/>
        <v>-11</v>
      </c>
      <c r="C346" s="413" t="s">
        <v>3316</v>
      </c>
      <c r="D346" s="166" t="s">
        <v>3317</v>
      </c>
      <c r="E346" s="166">
        <f t="shared" si="58"/>
        <v>1</v>
      </c>
      <c r="F346" s="177">
        <v>14</v>
      </c>
      <c r="G346" s="166"/>
      <c r="H346" s="166">
        <f t="shared" ca="1" si="59"/>
        <v>35</v>
      </c>
      <c r="I346" s="177"/>
      <c r="J346" s="170"/>
      <c r="K346" s="168"/>
      <c r="L346" s="171"/>
      <c r="M346" s="179"/>
      <c r="N346" s="171"/>
      <c r="O346" s="166"/>
      <c r="P346" s="166">
        <f t="shared" ca="1" si="60"/>
        <v>79</v>
      </c>
      <c r="Q346" s="171"/>
    </row>
    <row r="347" spans="1:17">
      <c r="A347" s="166" t="b">
        <v>0</v>
      </c>
      <c r="B347" s="176">
        <f t="shared" si="57"/>
        <v>-10</v>
      </c>
      <c r="C347" s="413" t="s">
        <v>3318</v>
      </c>
      <c r="D347" s="166" t="s">
        <v>3317</v>
      </c>
      <c r="E347" s="166">
        <f t="shared" si="58"/>
        <v>2</v>
      </c>
      <c r="F347" s="177">
        <v>14</v>
      </c>
      <c r="G347" s="166"/>
      <c r="H347" s="166">
        <f t="shared" ca="1" si="59"/>
        <v>35</v>
      </c>
      <c r="I347" s="177"/>
      <c r="J347" s="170"/>
      <c r="K347" s="168"/>
      <c r="L347" s="171"/>
      <c r="M347" s="179"/>
      <c r="N347" s="171"/>
      <c r="O347" s="166"/>
      <c r="P347" s="166">
        <f t="shared" ca="1" si="60"/>
        <v>80</v>
      </c>
      <c r="Q347" s="171"/>
    </row>
    <row r="348" spans="1:17">
      <c r="A348" s="166" t="b">
        <v>0</v>
      </c>
      <c r="B348" s="176">
        <f t="shared" si="57"/>
        <v>-9</v>
      </c>
      <c r="C348" s="413" t="s">
        <v>3319</v>
      </c>
      <c r="D348" s="166" t="s">
        <v>3317</v>
      </c>
      <c r="E348" s="166">
        <f t="shared" si="58"/>
        <v>3</v>
      </c>
      <c r="F348" s="177">
        <v>14</v>
      </c>
      <c r="G348" s="166"/>
      <c r="H348" s="166">
        <f t="shared" ca="1" si="59"/>
        <v>35</v>
      </c>
      <c r="I348" s="177"/>
      <c r="J348" s="170"/>
      <c r="K348" s="168"/>
      <c r="L348" s="171"/>
      <c r="M348" s="179"/>
      <c r="N348" s="171"/>
      <c r="O348" s="166"/>
      <c r="P348" s="166">
        <f t="shared" ca="1" si="60"/>
        <v>81</v>
      </c>
      <c r="Q348" s="171"/>
    </row>
    <row r="349" spans="1:17">
      <c r="A349" s="166" t="b">
        <v>0</v>
      </c>
      <c r="B349" s="176">
        <f t="shared" si="57"/>
        <v>-8</v>
      </c>
      <c r="C349" s="413" t="s">
        <v>3320</v>
      </c>
      <c r="D349" s="166" t="s">
        <v>3317</v>
      </c>
      <c r="E349" s="166">
        <f t="shared" si="58"/>
        <v>4</v>
      </c>
      <c r="F349" s="177">
        <v>14</v>
      </c>
      <c r="G349" s="166"/>
      <c r="H349" s="166">
        <f t="shared" ca="1" si="59"/>
        <v>35</v>
      </c>
      <c r="I349" s="177"/>
      <c r="J349" s="170"/>
      <c r="K349" s="168"/>
      <c r="L349" s="171"/>
      <c r="M349" s="179"/>
      <c r="N349" s="171"/>
      <c r="O349" s="166"/>
      <c r="P349" s="166">
        <f t="shared" ca="1" si="60"/>
        <v>82</v>
      </c>
      <c r="Q349" s="171"/>
    </row>
    <row r="350" spans="1:17">
      <c r="A350" s="166" t="b">
        <v>0</v>
      </c>
      <c r="B350" s="176">
        <f t="shared" si="57"/>
        <v>-7</v>
      </c>
      <c r="C350" s="413" t="s">
        <v>3321</v>
      </c>
      <c r="D350" s="166" t="s">
        <v>3317</v>
      </c>
      <c r="E350" s="166">
        <f t="shared" si="58"/>
        <v>5</v>
      </c>
      <c r="F350" s="177">
        <v>14</v>
      </c>
      <c r="G350" s="166"/>
      <c r="H350" s="166">
        <f t="shared" ca="1" si="59"/>
        <v>35</v>
      </c>
      <c r="I350" s="177"/>
      <c r="J350" s="170"/>
      <c r="K350" s="168"/>
      <c r="L350" s="171"/>
      <c r="M350" s="179"/>
      <c r="N350" s="171"/>
      <c r="O350" s="166"/>
      <c r="P350" s="166">
        <f t="shared" ca="1" si="60"/>
        <v>83</v>
      </c>
      <c r="Q350" s="171"/>
    </row>
    <row r="351" spans="1:17">
      <c r="A351" s="166" t="b">
        <v>0</v>
      </c>
      <c r="B351" s="176">
        <f t="shared" si="57"/>
        <v>-6</v>
      </c>
      <c r="C351" s="413" t="s">
        <v>3322</v>
      </c>
      <c r="D351" s="166" t="s">
        <v>3317</v>
      </c>
      <c r="E351" s="166">
        <f t="shared" si="58"/>
        <v>6</v>
      </c>
      <c r="F351" s="177">
        <v>14</v>
      </c>
      <c r="G351" s="166"/>
      <c r="H351" s="166">
        <f t="shared" ca="1" si="59"/>
        <v>35</v>
      </c>
      <c r="I351" s="177"/>
      <c r="J351" s="170"/>
      <c r="K351" s="168"/>
      <c r="L351" s="171"/>
      <c r="M351" s="179"/>
      <c r="N351" s="171"/>
      <c r="O351" s="166"/>
      <c r="P351" s="166">
        <f t="shared" ca="1" si="60"/>
        <v>84</v>
      </c>
      <c r="Q351" s="171"/>
    </row>
    <row r="352" spans="1:17">
      <c r="A352" s="166" t="b">
        <v>0</v>
      </c>
      <c r="B352" s="176">
        <f t="shared" si="57"/>
        <v>-5</v>
      </c>
      <c r="C352" s="413" t="s">
        <v>3323</v>
      </c>
      <c r="D352" s="166" t="s">
        <v>3324</v>
      </c>
      <c r="E352" s="166">
        <f t="shared" si="58"/>
        <v>1</v>
      </c>
      <c r="F352" s="177">
        <v>15</v>
      </c>
      <c r="G352" s="166"/>
      <c r="H352" s="166">
        <f t="shared" ca="1" si="59"/>
        <v>37</v>
      </c>
      <c r="I352" s="177"/>
      <c r="J352" s="170"/>
      <c r="K352" s="168"/>
      <c r="L352" s="171"/>
      <c r="M352" s="179"/>
      <c r="N352" s="171"/>
      <c r="O352" s="166"/>
      <c r="P352" s="166">
        <f t="shared" ca="1" si="60"/>
        <v>85</v>
      </c>
      <c r="Q352" s="171"/>
    </row>
    <row r="353" spans="1:17">
      <c r="A353" s="166" t="b">
        <v>0</v>
      </c>
      <c r="B353" s="176">
        <f t="shared" si="57"/>
        <v>-4</v>
      </c>
      <c r="C353" s="413" t="s">
        <v>3325</v>
      </c>
      <c r="D353" s="166" t="s">
        <v>3324</v>
      </c>
      <c r="E353" s="166">
        <f t="shared" si="58"/>
        <v>2</v>
      </c>
      <c r="F353" s="177">
        <v>15</v>
      </c>
      <c r="G353" s="166"/>
      <c r="H353" s="166">
        <f t="shared" ca="1" si="59"/>
        <v>37</v>
      </c>
      <c r="I353" s="177"/>
      <c r="J353" s="170"/>
      <c r="K353" s="168"/>
      <c r="L353" s="171"/>
      <c r="M353" s="179"/>
      <c r="N353" s="171"/>
      <c r="O353" s="166"/>
      <c r="P353" s="166">
        <f t="shared" ca="1" si="60"/>
        <v>86</v>
      </c>
      <c r="Q353" s="171"/>
    </row>
    <row r="354" spans="1:17">
      <c r="A354" s="166" t="b">
        <v>0</v>
      </c>
      <c r="B354" s="176">
        <f t="shared" si="57"/>
        <v>-3</v>
      </c>
      <c r="C354" s="413" t="s">
        <v>3326</v>
      </c>
      <c r="D354" s="166" t="s">
        <v>3324</v>
      </c>
      <c r="E354" s="166">
        <f t="shared" si="58"/>
        <v>3</v>
      </c>
      <c r="F354" s="177">
        <v>15</v>
      </c>
      <c r="G354" s="166"/>
      <c r="H354" s="166">
        <f t="shared" ca="1" si="59"/>
        <v>37</v>
      </c>
      <c r="I354" s="177"/>
      <c r="J354" s="170"/>
      <c r="K354" s="168"/>
      <c r="L354" s="171"/>
      <c r="M354" s="179"/>
      <c r="N354" s="171"/>
      <c r="O354" s="166"/>
      <c r="P354" s="166">
        <f t="shared" ca="1" si="60"/>
        <v>87</v>
      </c>
      <c r="Q354" s="171"/>
    </row>
    <row r="355" spans="1:17">
      <c r="A355" s="166" t="b">
        <v>0</v>
      </c>
      <c r="B355" s="176">
        <f t="shared" si="57"/>
        <v>-2</v>
      </c>
      <c r="C355" s="413" t="s">
        <v>3327</v>
      </c>
      <c r="D355" s="166" t="s">
        <v>3324</v>
      </c>
      <c r="E355" s="166">
        <f t="shared" si="58"/>
        <v>4</v>
      </c>
      <c r="F355" s="177">
        <v>15</v>
      </c>
      <c r="G355" s="166"/>
      <c r="H355" s="166">
        <f t="shared" ca="1" si="59"/>
        <v>37</v>
      </c>
      <c r="I355" s="177"/>
      <c r="J355" s="170"/>
      <c r="K355" s="168"/>
      <c r="L355" s="171"/>
      <c r="M355" s="179"/>
      <c r="N355" s="171"/>
      <c r="O355" s="166"/>
      <c r="P355" s="166">
        <f t="shared" ca="1" si="60"/>
        <v>88</v>
      </c>
      <c r="Q355" s="171"/>
    </row>
    <row r="356" spans="1:17">
      <c r="A356" s="166" t="b">
        <v>0</v>
      </c>
      <c r="B356" s="176">
        <f t="shared" si="57"/>
        <v>-1</v>
      </c>
      <c r="C356" s="413" t="s">
        <v>3328</v>
      </c>
      <c r="D356" s="166" t="s">
        <v>3324</v>
      </c>
      <c r="E356" s="166">
        <f t="shared" si="58"/>
        <v>5</v>
      </c>
      <c r="F356" s="177">
        <v>15</v>
      </c>
      <c r="G356" s="166"/>
      <c r="H356" s="166">
        <f t="shared" ca="1" si="59"/>
        <v>37</v>
      </c>
      <c r="I356" s="177"/>
      <c r="J356" s="170"/>
      <c r="K356" s="168"/>
      <c r="L356" s="171"/>
      <c r="M356" s="179"/>
      <c r="N356" s="171"/>
      <c r="O356" s="166"/>
      <c r="P356" s="166">
        <f t="shared" ca="1" si="60"/>
        <v>89</v>
      </c>
      <c r="Q356" s="171"/>
    </row>
    <row r="357" spans="1:17">
      <c r="A357" s="166" t="b">
        <v>0</v>
      </c>
      <c r="B357" s="176">
        <f t="shared" si="57"/>
        <v>0</v>
      </c>
      <c r="C357" s="413" t="s">
        <v>3329</v>
      </c>
      <c r="D357" s="166" t="s">
        <v>3324</v>
      </c>
      <c r="E357" s="166">
        <f t="shared" si="58"/>
        <v>6</v>
      </c>
      <c r="F357" s="177">
        <v>15</v>
      </c>
      <c r="G357" s="166"/>
      <c r="H357" s="166">
        <f t="shared" ca="1" si="59"/>
        <v>37</v>
      </c>
      <c r="I357" s="177"/>
      <c r="J357" s="170"/>
      <c r="K357" s="168"/>
      <c r="L357" s="171"/>
      <c r="M357" s="179"/>
      <c r="N357" s="171"/>
      <c r="O357" s="166"/>
      <c r="P357" s="166">
        <f t="shared" ca="1" si="60"/>
        <v>90</v>
      </c>
      <c r="Q357" s="171"/>
    </row>
    <row r="358" spans="1:17">
      <c r="A358" s="166" t="b">
        <f t="shared" ref="A358:A421" ca="1" si="61">IF(OR(I358&lt;&gt;"",J358&lt;&gt;"",K358&lt;&gt;"",M358&lt;&gt;"",N358&lt;&gt;""),TRUE,FALSE)</f>
        <v>0</v>
      </c>
      <c r="B358" s="176">
        <f t="shared" si="57"/>
        <v>1</v>
      </c>
      <c r="C358" s="172" t="str">
        <f ca="1">IF(COUNTA(D$265:D357)=1,"",OFFSET(B356,-COUNTA(D$265:D357)+3,1))</f>
        <v>a1W3p000005aVOKEA2</v>
      </c>
      <c r="D358" s="166"/>
      <c r="E358" s="166">
        <f t="shared" ca="1" si="58"/>
        <v>1</v>
      </c>
      <c r="F358" s="177">
        <f ca="1">IF(COUNTA(D$265:D357)=1,"",OFFSET(F356,-COUNTA(D$265:D357)+3,0))</f>
        <v>1</v>
      </c>
      <c r="G358" s="166"/>
      <c r="H358" s="166">
        <f t="shared" ca="1" si="59"/>
        <v>9</v>
      </c>
      <c r="I358" s="177" t="str">
        <f t="shared" ref="I358:I421" ca="1" si="62">IFERROR(CHOOSE(E358,IFERROR(IF(INDIRECT("'Outcome Indicators - Section C '!K"&amp;H358+1)="","",INDIRECT("'Outcome Indicators - Section C '!k"&amp;H358+1)),""),IFERROR(IF(INDIRECT("'Outcome Indicators - Section C '!O"&amp;H358+1)="","",INDIRECT("'Outcome Indicators - Section C '!O"&amp;H358+1)),""),IFERROR(IF(INDIRECT("'Outcome Indicators - Section C '!S"&amp;H358+1)="","",INDIRECT("'Outcome Indicators - Section C '!S"&amp;H358+1)),""),IFERROR(IF(INDIRECT("'Outcome Indicators - Section C '!W"&amp;H358+1)="","",INDIRECT("'Outcome Indicators - Section C '!W"&amp;H358+1)),"")),"")</f>
        <v/>
      </c>
      <c r="J358" s="170" t="str">
        <f t="shared" ref="J358:J421" ca="1" si="63">IFERROR(CHOOSE(E358,IFERROR(IF(INDIRECT("'Outcome Indicators - Section C '!K"&amp;H358)="","",INDIRECT("'Outcome Indicators - Section C '!k"&amp;H358)),""),IFERROR(IF(INDIRECT("'Outcome Indicators - Section C '!O"&amp;H358)="","",INDIRECT("'Outcome Indicators - Section C '!O"&amp;H358)),""),IFERROR(IF(INDIRECT("'Outcome Indicators - Section C '!S"&amp;H358)="","",INDIRECT("'Outcome Indicators - Section C '!S"&amp;H358)),""),IFERROR(IF(INDIRECT("'Outcome Indicators - Section C '!W"&amp;H358)="","",INDIRECT("'Outcome Indicators - Section C '!W"&amp;H358)),"")),"")</f>
        <v/>
      </c>
      <c r="K358" s="168" t="str">
        <f t="shared" ref="K358:K421" ca="1" si="64">IFERROR(CHOOSE(E358,IFERROR(IF(INDIRECT("'Outcome Indicators - Section C '!L"&amp;H358)="","",INDIRECT("'Outcome Indicators - Section C '!L"&amp;H358)*100),""),IFERROR(IF(INDIRECT("'Outcome Indicators - Section C '!P"&amp;H358)="","",INDIRECT("'Outcome Indicators - Section C '!P"&amp;H358)*100),""),IFERROR(IF(INDIRECT("'Outcome Indicators - Section C '!T"&amp;H358)="","",INDIRECT("'Outcome Indicators - Section C '!T"&amp;H358)*100),""),IFERROR(IF(INDIRECT("'Outcome Indicators - Section C '!X"&amp;H358)="","",INDIRECT("'Outcome Indicators - Section C '!X"&amp;H358)*100),"")),"")</f>
        <v/>
      </c>
      <c r="L358" s="171">
        <f ca="1">IFERROR(CHOOSE(E358,'Outcome Indicators - Section C '!$K$7,'Outcome Indicators - Section C '!$O$7,'Outcome Indicators - Section C '!$S$7,'Outcome Indicators - Section C '!$W$7),"")</f>
        <v>2023</v>
      </c>
      <c r="M358" s="179" t="str">
        <f t="shared" ref="M358:M421" ca="1" si="65">IFERROR(CHOOSE(E358,IFERROR(IF(INDIRECT("'Outcome Indicators - Section C '!M"&amp;H358)="","",INDIRECT("'Outcome Indicators - Section C '!M"&amp;H358)),""),IFERROR(IF(INDIRECT("'Outcome Indicators - Section C '!Q"&amp;H358)="","",INDIRECT("'Outcome Indicators - Section C '!Q"&amp;H358)),""),IFERROR(IF(INDIRECT("'Outcome Indicators - Section C '!U"&amp;H358)="","",INDIRECT("'Outcome Indicators - Section C '!U"&amp;H358)),""),IFERROR(IF(INDIRECT("'Outcome Indicators - Section C '!Y"&amp;H358)="","",INDIRECT("'Outcome Indicators - Section C '!Y"&amp;H358)),"")),"")</f>
        <v/>
      </c>
      <c r="N358" s="171" t="str">
        <f t="shared" ref="N358:N421" ca="1" si="66">IFERROR(CHOOSE(E358,IFERROR(IF(INDIRECT("'Outcome Indicators - Section C '!N"&amp;H358)=0,"",INDIRECT("'Outcome Indicators - Section C '!N"&amp;H358)),""),IFERROR(IF(INDIRECT("'Outcome Indicators - Section C '!R"&amp;H358)=0,"",INDIRECT("'Outcome Indicators - Section C '!R"&amp;H358)),""),IFERROR(IF(INDIRECT("'Outcome Indicators - Section C '!V"&amp;H358)=0,"",INDIRECT("'Outcome Indicators - Section C '!V"&amp;H358)),""),IFERROR(IF(INDIRECT("'Outcome Indicators - Section C '!Z"&amp;H358)=0,"",INDIRECT("'Outcome Indicators - Section C '!Z"&amp;H358)),"")),"")</f>
        <v/>
      </c>
      <c r="O358" s="166"/>
      <c r="P358" s="166">
        <f t="shared" ca="1" si="60"/>
        <v>0</v>
      </c>
      <c r="Q358" s="171"/>
    </row>
    <row r="359" spans="1:17">
      <c r="A359" s="166" t="b">
        <f t="shared" ca="1" si="61"/>
        <v>0</v>
      </c>
      <c r="B359" s="176">
        <f t="shared" si="57"/>
        <v>2</v>
      </c>
      <c r="C359" s="172" t="str">
        <f ca="1">IF(COUNTA(D$265:D358)=1,"",OFFSET(B357,-COUNTA(D$265:D358)+3,1))</f>
        <v>a1W3p000005aVOZEA2</v>
      </c>
      <c r="D359" s="166"/>
      <c r="E359" s="166">
        <f t="shared" ca="1" si="58"/>
        <v>2</v>
      </c>
      <c r="F359" s="177">
        <f ca="1">IF(COUNTA(D$265:D358)=1,"",OFFSET(F357,-COUNTA(D$265:D358)+3,0))</f>
        <v>1</v>
      </c>
      <c r="G359" s="166"/>
      <c r="H359" s="166">
        <f t="shared" ca="1" si="59"/>
        <v>9</v>
      </c>
      <c r="I359" s="177" t="str">
        <f t="shared" ca="1" si="62"/>
        <v/>
      </c>
      <c r="J359" s="170" t="str">
        <f t="shared" ca="1" si="63"/>
        <v/>
      </c>
      <c r="K359" s="168" t="str">
        <f t="shared" ca="1" si="64"/>
        <v/>
      </c>
      <c r="L359" s="171">
        <f ca="1">IFERROR(CHOOSE(E359,'Outcome Indicators - Section C '!$K$7,'Outcome Indicators - Section C '!$O$7,'Outcome Indicators - Section C '!$S$7,'Outcome Indicators - Section C '!$W$7),"")</f>
        <v>2024</v>
      </c>
      <c r="M359" s="179" t="str">
        <f t="shared" ca="1" si="65"/>
        <v/>
      </c>
      <c r="N359" s="171" t="str">
        <f t="shared" ca="1" si="66"/>
        <v/>
      </c>
      <c r="O359" s="166"/>
      <c r="P359" s="166">
        <f t="shared" ca="1" si="60"/>
        <v>0</v>
      </c>
      <c r="Q359" s="171"/>
    </row>
    <row r="360" spans="1:17">
      <c r="A360" s="166" t="b">
        <f t="shared" ca="1" si="61"/>
        <v>1</v>
      </c>
      <c r="B360" s="176">
        <f t="shared" si="57"/>
        <v>3</v>
      </c>
      <c r="C360" s="172" t="str">
        <f ca="1">IF(COUNTA(D$265:D359)=1,"",OFFSET(B358,-COUNTA(D$265:D359)+3,1))</f>
        <v>a1W3p000005aVOoEAM</v>
      </c>
      <c r="D360" s="166"/>
      <c r="E360" s="166">
        <f t="shared" ca="1" si="58"/>
        <v>3</v>
      </c>
      <c r="F360" s="177">
        <f ca="1">IF(COUNTA(D$265:D359)=1,"",OFFSET(F358,-COUNTA(D$265:D359)+3,0))</f>
        <v>1</v>
      </c>
      <c r="G360" s="166"/>
      <c r="H360" s="166">
        <f t="shared" ca="1" si="59"/>
        <v>9</v>
      </c>
      <c r="I360" s="177" t="str">
        <f t="shared" ca="1" si="62"/>
        <v/>
      </c>
      <c r="J360" s="170" t="str">
        <f t="shared" ca="1" si="63"/>
        <v/>
      </c>
      <c r="K360" s="168">
        <f t="shared" ca="1" si="64"/>
        <v>80</v>
      </c>
      <c r="L360" s="171">
        <f ca="1">IFERROR(CHOOSE(E360,'Outcome Indicators - Section C '!$K$7,'Outcome Indicators - Section C '!$O$7,'Outcome Indicators - Section C '!$S$7,'Outcome Indicators - Section C '!$W$7),"")</f>
        <v>2025</v>
      </c>
      <c r="M360" s="179">
        <f t="shared" ca="1" si="65"/>
        <v>45961</v>
      </c>
      <c r="N360" s="171" t="str">
        <f t="shared" ca="1" si="66"/>
        <v/>
      </c>
      <c r="O360" s="166"/>
      <c r="P360" s="166">
        <f t="shared" ca="1" si="60"/>
        <v>0</v>
      </c>
      <c r="Q360" s="171"/>
    </row>
    <row r="361" spans="1:17">
      <c r="A361" s="166" t="b">
        <f t="shared" ca="1" si="61"/>
        <v>0</v>
      </c>
      <c r="B361" s="176">
        <f t="shared" si="57"/>
        <v>4</v>
      </c>
      <c r="C361" s="172" t="str">
        <f ca="1">IF(COUNTA(D$265:D360)=1,"",OFFSET(B359,-COUNTA(D$265:D360)+3,1))</f>
        <v>a1W3p000005aVP3EAM</v>
      </c>
      <c r="D361" s="166"/>
      <c r="E361" s="166">
        <f t="shared" ca="1" si="58"/>
        <v>4</v>
      </c>
      <c r="F361" s="177">
        <f ca="1">IF(COUNTA(D$265:D360)=1,"",OFFSET(F359,-COUNTA(D$265:D360)+3,0))</f>
        <v>1</v>
      </c>
      <c r="G361" s="166"/>
      <c r="H361" s="166">
        <f t="shared" ca="1" si="59"/>
        <v>9</v>
      </c>
      <c r="I361" s="177" t="str">
        <f t="shared" ca="1" si="62"/>
        <v/>
      </c>
      <c r="J361" s="170" t="str">
        <f t="shared" ca="1" si="63"/>
        <v/>
      </c>
      <c r="K361" s="168" t="str">
        <f t="shared" ca="1" si="64"/>
        <v/>
      </c>
      <c r="L361" s="171" t="str">
        <f ca="1">IFERROR(CHOOSE(E361,'Outcome Indicators - Section C '!$K$7,'Outcome Indicators - Section C '!$O$7,'Outcome Indicators - Section C '!$S$7,'Outcome Indicators - Section C '!$W$7),"")</f>
        <v/>
      </c>
      <c r="M361" s="179" t="str">
        <f t="shared" ca="1" si="65"/>
        <v/>
      </c>
      <c r="N361" s="171" t="str">
        <f t="shared" ca="1" si="66"/>
        <v/>
      </c>
      <c r="O361" s="166"/>
      <c r="P361" s="166">
        <f t="shared" ca="1" si="60"/>
        <v>0</v>
      </c>
      <c r="Q361" s="171"/>
    </row>
    <row r="362" spans="1:17">
      <c r="A362" s="166" t="b">
        <f t="shared" ca="1" si="61"/>
        <v>0</v>
      </c>
      <c r="B362" s="176">
        <f t="shared" si="57"/>
        <v>5</v>
      </c>
      <c r="C362" s="172" t="str">
        <f ca="1">IF(COUNTA(D$265:D361)=1,"",OFFSET(B360,-COUNTA(D$265:D361)+3,1))</f>
        <v>a1W3p000005aVPIEA2</v>
      </c>
      <c r="D362" s="166"/>
      <c r="E362" s="166">
        <f t="shared" ca="1" si="58"/>
        <v>5</v>
      </c>
      <c r="F362" s="177">
        <f ca="1">IF(COUNTA(D$265:D361)=1,"",OFFSET(F360,-COUNTA(D$265:D361)+3,0))</f>
        <v>1</v>
      </c>
      <c r="G362" s="166"/>
      <c r="H362" s="166">
        <f t="shared" ca="1" si="59"/>
        <v>9</v>
      </c>
      <c r="I362" s="177" t="str">
        <f t="shared" ca="1" si="62"/>
        <v/>
      </c>
      <c r="J362" s="170" t="str">
        <f t="shared" ca="1" si="63"/>
        <v/>
      </c>
      <c r="K362" s="168" t="str">
        <f t="shared" ca="1" si="64"/>
        <v/>
      </c>
      <c r="L362" s="171" t="str">
        <f ca="1">IFERROR(CHOOSE(E362,'Outcome Indicators - Section C '!$K$7,'Outcome Indicators - Section C '!$O$7,'Outcome Indicators - Section C '!$S$7,'Outcome Indicators - Section C '!$W$7),"")</f>
        <v/>
      </c>
      <c r="M362" s="179" t="str">
        <f t="shared" ca="1" si="65"/>
        <v/>
      </c>
      <c r="N362" s="171" t="str">
        <f t="shared" ca="1" si="66"/>
        <v/>
      </c>
      <c r="O362" s="166"/>
      <c r="P362" s="166">
        <f t="shared" ca="1" si="60"/>
        <v>0</v>
      </c>
      <c r="Q362" s="171"/>
    </row>
    <row r="363" spans="1:17">
      <c r="A363" s="166" t="b">
        <f t="shared" ca="1" si="61"/>
        <v>0</v>
      </c>
      <c r="B363" s="176">
        <f t="shared" si="57"/>
        <v>6</v>
      </c>
      <c r="C363" s="172" t="str">
        <f ca="1">IF(COUNTA(D$265:D362)=1,"",OFFSET(B361,-COUNTA(D$265:D362)+3,1))</f>
        <v>a1W3p000005aVPXEA2</v>
      </c>
      <c r="D363" s="166"/>
      <c r="E363" s="166">
        <f t="shared" ca="1" si="58"/>
        <v>6</v>
      </c>
      <c r="F363" s="177">
        <f ca="1">IF(COUNTA(D$265:D362)=1,"",OFFSET(F361,-COUNTA(D$265:D362)+3,0))</f>
        <v>1</v>
      </c>
      <c r="G363" s="166"/>
      <c r="H363" s="166">
        <f t="shared" ca="1" si="59"/>
        <v>9</v>
      </c>
      <c r="I363" s="177" t="str">
        <f t="shared" ca="1" si="62"/>
        <v/>
      </c>
      <c r="J363" s="170" t="str">
        <f t="shared" ca="1" si="63"/>
        <v/>
      </c>
      <c r="K363" s="168" t="str">
        <f t="shared" ca="1" si="64"/>
        <v/>
      </c>
      <c r="L363" s="171" t="str">
        <f ca="1">IFERROR(CHOOSE(E363,'Outcome Indicators - Section C '!$K$7,'Outcome Indicators - Section C '!$O$7,'Outcome Indicators - Section C '!$S$7,'Outcome Indicators - Section C '!$W$7),"")</f>
        <v/>
      </c>
      <c r="M363" s="179" t="str">
        <f t="shared" ca="1" si="65"/>
        <v/>
      </c>
      <c r="N363" s="171" t="str">
        <f t="shared" ca="1" si="66"/>
        <v/>
      </c>
      <c r="O363" s="166"/>
      <c r="P363" s="166">
        <f t="shared" ca="1" si="60"/>
        <v>0</v>
      </c>
      <c r="Q363" s="171"/>
    </row>
    <row r="364" spans="1:17">
      <c r="A364" s="166" t="b">
        <f t="shared" ca="1" si="61"/>
        <v>0</v>
      </c>
      <c r="B364" s="176">
        <f t="shared" si="57"/>
        <v>7</v>
      </c>
      <c r="C364" s="172" t="str">
        <f ca="1">IF(COUNTA(D$265:D363)=1,"",OFFSET(B362,-COUNTA(D$265:D363)+3,1))</f>
        <v>a1W3p000005aVOLEA2</v>
      </c>
      <c r="D364" s="166"/>
      <c r="E364" s="166">
        <f t="shared" ca="1" si="58"/>
        <v>1</v>
      </c>
      <c r="F364" s="177">
        <f ca="1">IF(COUNTA(D$265:D363)=1,"",OFFSET(F362,-COUNTA(D$265:D363)+3,0))</f>
        <v>2</v>
      </c>
      <c r="G364" s="166"/>
      <c r="H364" s="166">
        <f t="shared" ca="1" si="59"/>
        <v>11</v>
      </c>
      <c r="I364" s="177" t="str">
        <f t="shared" ca="1" si="62"/>
        <v/>
      </c>
      <c r="J364" s="170" t="str">
        <f t="shared" ca="1" si="63"/>
        <v/>
      </c>
      <c r="K364" s="168" t="str">
        <f t="shared" ca="1" si="64"/>
        <v/>
      </c>
      <c r="L364" s="171">
        <f ca="1">IFERROR(CHOOSE(E364,'Outcome Indicators - Section C '!$K$7,'Outcome Indicators - Section C '!$O$7,'Outcome Indicators - Section C '!$S$7,'Outcome Indicators - Section C '!$W$7),"")</f>
        <v>2023</v>
      </c>
      <c r="M364" s="179" t="str">
        <f t="shared" ca="1" si="65"/>
        <v/>
      </c>
      <c r="N364" s="171" t="str">
        <f t="shared" ca="1" si="66"/>
        <v/>
      </c>
      <c r="O364" s="166"/>
      <c r="P364" s="166">
        <f t="shared" ca="1" si="60"/>
        <v>0</v>
      </c>
      <c r="Q364" s="171"/>
    </row>
    <row r="365" spans="1:17">
      <c r="A365" s="166" t="b">
        <f t="shared" ca="1" si="61"/>
        <v>0</v>
      </c>
      <c r="B365" s="176">
        <f t="shared" si="57"/>
        <v>8</v>
      </c>
      <c r="C365" s="172" t="str">
        <f ca="1">IF(COUNTA(D$265:D364)=1,"",OFFSET(B363,-COUNTA(D$265:D364)+3,1))</f>
        <v>a1W3p000005aVOaEAM</v>
      </c>
      <c r="D365" s="166"/>
      <c r="E365" s="166">
        <f t="shared" ca="1" si="58"/>
        <v>2</v>
      </c>
      <c r="F365" s="177">
        <f ca="1">IF(COUNTA(D$265:D364)=1,"",OFFSET(F363,-COUNTA(D$265:D364)+3,0))</f>
        <v>2</v>
      </c>
      <c r="G365" s="166"/>
      <c r="H365" s="166">
        <f t="shared" ca="1" si="59"/>
        <v>11</v>
      </c>
      <c r="I365" s="177" t="str">
        <f t="shared" ca="1" si="62"/>
        <v/>
      </c>
      <c r="J365" s="170" t="str">
        <f t="shared" ca="1" si="63"/>
        <v/>
      </c>
      <c r="K365" s="168" t="str">
        <f t="shared" ca="1" si="64"/>
        <v/>
      </c>
      <c r="L365" s="171">
        <f ca="1">IFERROR(CHOOSE(E365,'Outcome Indicators - Section C '!$K$7,'Outcome Indicators - Section C '!$O$7,'Outcome Indicators - Section C '!$S$7,'Outcome Indicators - Section C '!$W$7),"")</f>
        <v>2024</v>
      </c>
      <c r="M365" s="179" t="str">
        <f t="shared" ca="1" si="65"/>
        <v/>
      </c>
      <c r="N365" s="171" t="str">
        <f t="shared" ca="1" si="66"/>
        <v/>
      </c>
      <c r="O365" s="166"/>
      <c r="P365" s="166">
        <f t="shared" ca="1" si="60"/>
        <v>0</v>
      </c>
      <c r="Q365" s="171"/>
    </row>
    <row r="366" spans="1:17">
      <c r="A366" s="166" t="b">
        <f t="shared" ca="1" si="61"/>
        <v>1</v>
      </c>
      <c r="B366" s="176">
        <f t="shared" si="57"/>
        <v>9</v>
      </c>
      <c r="C366" s="172" t="str">
        <f ca="1">IF(COUNTA(D$265:D365)=1,"",OFFSET(B364,-COUNTA(D$265:D365)+3,1))</f>
        <v>a1W3p000005aVOpEAM</v>
      </c>
      <c r="D366" s="166"/>
      <c r="E366" s="166">
        <f t="shared" ca="1" si="58"/>
        <v>3</v>
      </c>
      <c r="F366" s="177">
        <f ca="1">IF(COUNTA(D$265:D365)=1,"",OFFSET(F364,-COUNTA(D$265:D365)+3,0))</f>
        <v>2</v>
      </c>
      <c r="G366" s="166"/>
      <c r="H366" s="166">
        <f t="shared" ca="1" si="59"/>
        <v>11</v>
      </c>
      <c r="I366" s="177" t="str">
        <f t="shared" ca="1" si="62"/>
        <v/>
      </c>
      <c r="J366" s="170" t="str">
        <f t="shared" ca="1" si="63"/>
        <v/>
      </c>
      <c r="K366" s="168">
        <f t="shared" ca="1" si="64"/>
        <v>98</v>
      </c>
      <c r="L366" s="171">
        <f ca="1">IFERROR(CHOOSE(E366,'Outcome Indicators - Section C '!$K$7,'Outcome Indicators - Section C '!$O$7,'Outcome Indicators - Section C '!$S$7,'Outcome Indicators - Section C '!$W$7),"")</f>
        <v>2025</v>
      </c>
      <c r="M366" s="179">
        <f t="shared" ca="1" si="65"/>
        <v>45961</v>
      </c>
      <c r="N366" s="171" t="str">
        <f t="shared" ca="1" si="66"/>
        <v/>
      </c>
      <c r="O366" s="166"/>
      <c r="P366" s="166">
        <f t="shared" ca="1" si="60"/>
        <v>0</v>
      </c>
      <c r="Q366" s="171"/>
    </row>
    <row r="367" spans="1:17">
      <c r="A367" s="166" t="b">
        <f t="shared" ca="1" si="61"/>
        <v>0</v>
      </c>
      <c r="B367" s="176">
        <f t="shared" si="57"/>
        <v>10</v>
      </c>
      <c r="C367" s="172" t="str">
        <f ca="1">IF(COUNTA(D$265:D366)=1,"",OFFSET(B365,-COUNTA(D$265:D366)+3,1))</f>
        <v>a1W3p000005aVP4EAM</v>
      </c>
      <c r="D367" s="166"/>
      <c r="E367" s="166">
        <f t="shared" ca="1" si="58"/>
        <v>4</v>
      </c>
      <c r="F367" s="177">
        <f ca="1">IF(COUNTA(D$265:D366)=1,"",OFFSET(F365,-COUNTA(D$265:D366)+3,0))</f>
        <v>2</v>
      </c>
      <c r="G367" s="166"/>
      <c r="H367" s="166">
        <f t="shared" ca="1" si="59"/>
        <v>11</v>
      </c>
      <c r="I367" s="177" t="str">
        <f t="shared" ca="1" si="62"/>
        <v/>
      </c>
      <c r="J367" s="170" t="str">
        <f t="shared" ca="1" si="63"/>
        <v/>
      </c>
      <c r="K367" s="168" t="str">
        <f t="shared" ca="1" si="64"/>
        <v/>
      </c>
      <c r="L367" s="171" t="str">
        <f ca="1">IFERROR(CHOOSE(E367,'Outcome Indicators - Section C '!$K$7,'Outcome Indicators - Section C '!$O$7,'Outcome Indicators - Section C '!$S$7,'Outcome Indicators - Section C '!$W$7),"")</f>
        <v/>
      </c>
      <c r="M367" s="179" t="str">
        <f t="shared" ca="1" si="65"/>
        <v/>
      </c>
      <c r="N367" s="171" t="str">
        <f t="shared" ca="1" si="66"/>
        <v/>
      </c>
      <c r="O367" s="166"/>
      <c r="P367" s="166">
        <f t="shared" ca="1" si="60"/>
        <v>0</v>
      </c>
      <c r="Q367" s="171"/>
    </row>
    <row r="368" spans="1:17">
      <c r="A368" s="166" t="b">
        <f t="shared" ca="1" si="61"/>
        <v>0</v>
      </c>
      <c r="B368" s="176">
        <f t="shared" si="57"/>
        <v>11</v>
      </c>
      <c r="C368" s="172" t="str">
        <f ca="1">IF(COUNTA(D$265:D367)=1,"",OFFSET(B366,-COUNTA(D$265:D367)+3,1))</f>
        <v>a1W3p000005aVPJEA2</v>
      </c>
      <c r="D368" s="166"/>
      <c r="E368" s="166">
        <f t="shared" ca="1" si="58"/>
        <v>5</v>
      </c>
      <c r="F368" s="177">
        <f ca="1">IF(COUNTA(D$265:D367)=1,"",OFFSET(F366,-COUNTA(D$265:D367)+3,0))</f>
        <v>2</v>
      </c>
      <c r="G368" s="166"/>
      <c r="H368" s="166">
        <f t="shared" ca="1" si="59"/>
        <v>11</v>
      </c>
      <c r="I368" s="177" t="str">
        <f t="shared" ca="1" si="62"/>
        <v/>
      </c>
      <c r="J368" s="170" t="str">
        <f t="shared" ca="1" si="63"/>
        <v/>
      </c>
      <c r="K368" s="168" t="str">
        <f t="shared" ca="1" si="64"/>
        <v/>
      </c>
      <c r="L368" s="171" t="str">
        <f ca="1">IFERROR(CHOOSE(E368,'Outcome Indicators - Section C '!$K$7,'Outcome Indicators - Section C '!$O$7,'Outcome Indicators - Section C '!$S$7,'Outcome Indicators - Section C '!$W$7),"")</f>
        <v/>
      </c>
      <c r="M368" s="179" t="str">
        <f t="shared" ca="1" si="65"/>
        <v/>
      </c>
      <c r="N368" s="171" t="str">
        <f t="shared" ca="1" si="66"/>
        <v/>
      </c>
      <c r="O368" s="166"/>
      <c r="P368" s="166">
        <f t="shared" ca="1" si="60"/>
        <v>0</v>
      </c>
      <c r="Q368" s="171"/>
    </row>
    <row r="369" spans="1:17">
      <c r="A369" s="166" t="b">
        <f t="shared" ca="1" si="61"/>
        <v>0</v>
      </c>
      <c r="B369" s="176">
        <f t="shared" si="57"/>
        <v>12</v>
      </c>
      <c r="C369" s="172" t="str">
        <f ca="1">IF(COUNTA(D$265:D368)=1,"",OFFSET(B367,-COUNTA(D$265:D368)+3,1))</f>
        <v>a1W3p000005aVPYEA2</v>
      </c>
      <c r="D369" s="166"/>
      <c r="E369" s="166">
        <f t="shared" ca="1" si="58"/>
        <v>6</v>
      </c>
      <c r="F369" s="177">
        <f ca="1">IF(COUNTA(D$265:D368)=1,"",OFFSET(F367,-COUNTA(D$265:D368)+3,0))</f>
        <v>2</v>
      </c>
      <c r="G369" s="166"/>
      <c r="H369" s="166">
        <f t="shared" ca="1" si="59"/>
        <v>11</v>
      </c>
      <c r="I369" s="177" t="str">
        <f t="shared" ca="1" si="62"/>
        <v/>
      </c>
      <c r="J369" s="170" t="str">
        <f t="shared" ca="1" si="63"/>
        <v/>
      </c>
      <c r="K369" s="168" t="str">
        <f t="shared" ca="1" si="64"/>
        <v/>
      </c>
      <c r="L369" s="171" t="str">
        <f ca="1">IFERROR(CHOOSE(E369,'Outcome Indicators - Section C '!$K$7,'Outcome Indicators - Section C '!$O$7,'Outcome Indicators - Section C '!$S$7,'Outcome Indicators - Section C '!$W$7),"")</f>
        <v/>
      </c>
      <c r="M369" s="179" t="str">
        <f t="shared" ca="1" si="65"/>
        <v/>
      </c>
      <c r="N369" s="171" t="str">
        <f t="shared" ca="1" si="66"/>
        <v/>
      </c>
      <c r="O369" s="166"/>
      <c r="P369" s="166">
        <f t="shared" ca="1" si="60"/>
        <v>0</v>
      </c>
      <c r="Q369" s="171"/>
    </row>
    <row r="370" spans="1:17">
      <c r="A370" s="166" t="b">
        <f t="shared" ca="1" si="61"/>
        <v>0</v>
      </c>
      <c r="B370" s="176">
        <f t="shared" si="57"/>
        <v>13</v>
      </c>
      <c r="C370" s="172" t="str">
        <f ca="1">IF(COUNTA(D$265:D369)=1,"",OFFSET(B368,-COUNTA(D$265:D369)+3,1))</f>
        <v>a1W3p000005aVOMEA2</v>
      </c>
      <c r="D370" s="166"/>
      <c r="E370" s="166">
        <f t="shared" ca="1" si="58"/>
        <v>1</v>
      </c>
      <c r="F370" s="177">
        <f ca="1">IF(COUNTA(D$265:D369)=1,"",OFFSET(F368,-COUNTA(D$265:D369)+3,0))</f>
        <v>3</v>
      </c>
      <c r="G370" s="166"/>
      <c r="H370" s="166">
        <f t="shared" ca="1" si="59"/>
        <v>13</v>
      </c>
      <c r="I370" s="177" t="str">
        <f t="shared" ca="1" si="62"/>
        <v/>
      </c>
      <c r="J370" s="170" t="str">
        <f t="shared" ca="1" si="63"/>
        <v/>
      </c>
      <c r="K370" s="168" t="str">
        <f t="shared" ca="1" si="64"/>
        <v/>
      </c>
      <c r="L370" s="171">
        <f ca="1">IFERROR(CHOOSE(E370,'Outcome Indicators - Section C '!$K$7,'Outcome Indicators - Section C '!$O$7,'Outcome Indicators - Section C '!$S$7,'Outcome Indicators - Section C '!$W$7),"")</f>
        <v>2023</v>
      </c>
      <c r="M370" s="179" t="str">
        <f t="shared" ca="1" si="65"/>
        <v/>
      </c>
      <c r="N370" s="171" t="str">
        <f t="shared" ca="1" si="66"/>
        <v/>
      </c>
      <c r="O370" s="166"/>
      <c r="P370" s="166">
        <f t="shared" ca="1" si="60"/>
        <v>0</v>
      </c>
      <c r="Q370" s="171"/>
    </row>
    <row r="371" spans="1:17">
      <c r="A371" s="166" t="b">
        <f t="shared" ca="1" si="61"/>
        <v>0</v>
      </c>
      <c r="B371" s="176">
        <f t="shared" si="57"/>
        <v>14</v>
      </c>
      <c r="C371" s="172" t="str">
        <f ca="1">IF(COUNTA(D$265:D370)=1,"",OFFSET(B369,-COUNTA(D$265:D370)+3,1))</f>
        <v>a1W3p000005aVObEAM</v>
      </c>
      <c r="D371" s="166"/>
      <c r="E371" s="166">
        <f t="shared" ca="1" si="58"/>
        <v>2</v>
      </c>
      <c r="F371" s="177">
        <f ca="1">IF(COUNTA(D$265:D370)=1,"",OFFSET(F369,-COUNTA(D$265:D370)+3,0))</f>
        <v>3</v>
      </c>
      <c r="G371" s="166"/>
      <c r="H371" s="166">
        <f t="shared" ca="1" si="59"/>
        <v>13</v>
      </c>
      <c r="I371" s="177" t="str">
        <f t="shared" ca="1" si="62"/>
        <v/>
      </c>
      <c r="J371" s="170" t="str">
        <f t="shared" ca="1" si="63"/>
        <v/>
      </c>
      <c r="K371" s="168" t="str">
        <f t="shared" ca="1" si="64"/>
        <v/>
      </c>
      <c r="L371" s="171">
        <f ca="1">IFERROR(CHOOSE(E371,'Outcome Indicators - Section C '!$K$7,'Outcome Indicators - Section C '!$O$7,'Outcome Indicators - Section C '!$S$7,'Outcome Indicators - Section C '!$W$7),"")</f>
        <v>2024</v>
      </c>
      <c r="M371" s="179" t="str">
        <f t="shared" ca="1" si="65"/>
        <v/>
      </c>
      <c r="N371" s="171" t="str">
        <f t="shared" ca="1" si="66"/>
        <v/>
      </c>
      <c r="O371" s="166"/>
      <c r="P371" s="166">
        <f t="shared" ca="1" si="60"/>
        <v>0</v>
      </c>
      <c r="Q371" s="171"/>
    </row>
    <row r="372" spans="1:17">
      <c r="A372" s="166" t="b">
        <f t="shared" ca="1" si="61"/>
        <v>1</v>
      </c>
      <c r="B372" s="176">
        <f t="shared" si="57"/>
        <v>15</v>
      </c>
      <c r="C372" s="172" t="str">
        <f ca="1">IF(COUNTA(D$265:D371)=1,"",OFFSET(B370,-COUNTA(D$265:D371)+3,1))</f>
        <v>a1W3p000005aVOqEAM</v>
      </c>
      <c r="D372" s="166"/>
      <c r="E372" s="166">
        <f t="shared" ca="1" si="58"/>
        <v>3</v>
      </c>
      <c r="F372" s="177">
        <f ca="1">IF(COUNTA(D$265:D371)=1,"",OFFSET(F370,-COUNTA(D$265:D371)+3,0))</f>
        <v>3</v>
      </c>
      <c r="G372" s="166"/>
      <c r="H372" s="166">
        <f t="shared" ca="1" si="59"/>
        <v>13</v>
      </c>
      <c r="I372" s="177" t="str">
        <f t="shared" ca="1" si="62"/>
        <v/>
      </c>
      <c r="J372" s="170" t="str">
        <f t="shared" ca="1" si="63"/>
        <v/>
      </c>
      <c r="K372" s="168">
        <f t="shared" ca="1" si="64"/>
        <v>98</v>
      </c>
      <c r="L372" s="171">
        <f ca="1">IFERROR(CHOOSE(E372,'Outcome Indicators - Section C '!$K$7,'Outcome Indicators - Section C '!$O$7,'Outcome Indicators - Section C '!$S$7,'Outcome Indicators - Section C '!$W$7),"")</f>
        <v>2025</v>
      </c>
      <c r="M372" s="179">
        <f t="shared" ca="1" si="65"/>
        <v>45961</v>
      </c>
      <c r="N372" s="171" t="str">
        <f t="shared" ca="1" si="66"/>
        <v/>
      </c>
      <c r="O372" s="166"/>
      <c r="P372" s="166">
        <f t="shared" ca="1" si="60"/>
        <v>0</v>
      </c>
      <c r="Q372" s="171"/>
    </row>
    <row r="373" spans="1:17">
      <c r="A373" s="166" t="b">
        <f t="shared" ca="1" si="61"/>
        <v>0</v>
      </c>
      <c r="B373" s="176">
        <f t="shared" si="57"/>
        <v>16</v>
      </c>
      <c r="C373" s="172" t="str">
        <f ca="1">IF(COUNTA(D$265:D372)=1,"",OFFSET(B371,-COUNTA(D$265:D372)+3,1))</f>
        <v>a1W3p000005aVP5EAM</v>
      </c>
      <c r="D373" s="166"/>
      <c r="E373" s="166">
        <f t="shared" ca="1" si="58"/>
        <v>4</v>
      </c>
      <c r="F373" s="177">
        <f ca="1">IF(COUNTA(D$265:D372)=1,"",OFFSET(F371,-COUNTA(D$265:D372)+3,0))</f>
        <v>3</v>
      </c>
      <c r="G373" s="166"/>
      <c r="H373" s="166">
        <f t="shared" ca="1" si="59"/>
        <v>13</v>
      </c>
      <c r="I373" s="177" t="str">
        <f t="shared" ca="1" si="62"/>
        <v/>
      </c>
      <c r="J373" s="170" t="str">
        <f t="shared" ca="1" si="63"/>
        <v/>
      </c>
      <c r="K373" s="168" t="str">
        <f t="shared" ca="1" si="64"/>
        <v/>
      </c>
      <c r="L373" s="171" t="str">
        <f ca="1">IFERROR(CHOOSE(E373,'Outcome Indicators - Section C '!$K$7,'Outcome Indicators - Section C '!$O$7,'Outcome Indicators - Section C '!$S$7,'Outcome Indicators - Section C '!$W$7),"")</f>
        <v/>
      </c>
      <c r="M373" s="179" t="str">
        <f t="shared" ca="1" si="65"/>
        <v/>
      </c>
      <c r="N373" s="171" t="str">
        <f t="shared" ca="1" si="66"/>
        <v/>
      </c>
      <c r="O373" s="166"/>
      <c r="P373" s="166">
        <f t="shared" ca="1" si="60"/>
        <v>0</v>
      </c>
      <c r="Q373" s="171"/>
    </row>
    <row r="374" spans="1:17">
      <c r="A374" s="166" t="b">
        <f t="shared" ca="1" si="61"/>
        <v>0</v>
      </c>
      <c r="B374" s="176">
        <f t="shared" si="57"/>
        <v>17</v>
      </c>
      <c r="C374" s="172" t="str">
        <f ca="1">IF(COUNTA(D$265:D373)=1,"",OFFSET(B372,-COUNTA(D$265:D373)+3,1))</f>
        <v>a1W3p000005aVPKEA2</v>
      </c>
      <c r="D374" s="166"/>
      <c r="E374" s="166">
        <f t="shared" ca="1" si="58"/>
        <v>5</v>
      </c>
      <c r="F374" s="177">
        <f ca="1">IF(COUNTA(D$265:D373)=1,"",OFFSET(F372,-COUNTA(D$265:D373)+3,0))</f>
        <v>3</v>
      </c>
      <c r="G374" s="166"/>
      <c r="H374" s="166">
        <f t="shared" ca="1" si="59"/>
        <v>13</v>
      </c>
      <c r="I374" s="177" t="str">
        <f t="shared" ca="1" si="62"/>
        <v/>
      </c>
      <c r="J374" s="170" t="str">
        <f t="shared" ca="1" si="63"/>
        <v/>
      </c>
      <c r="K374" s="168" t="str">
        <f t="shared" ca="1" si="64"/>
        <v/>
      </c>
      <c r="L374" s="171" t="str">
        <f ca="1">IFERROR(CHOOSE(E374,'Outcome Indicators - Section C '!$K$7,'Outcome Indicators - Section C '!$O$7,'Outcome Indicators - Section C '!$S$7,'Outcome Indicators - Section C '!$W$7),"")</f>
        <v/>
      </c>
      <c r="M374" s="179" t="str">
        <f t="shared" ca="1" si="65"/>
        <v/>
      </c>
      <c r="N374" s="171" t="str">
        <f t="shared" ca="1" si="66"/>
        <v/>
      </c>
      <c r="O374" s="166"/>
      <c r="P374" s="166">
        <f t="shared" ca="1" si="60"/>
        <v>0</v>
      </c>
      <c r="Q374" s="171"/>
    </row>
    <row r="375" spans="1:17">
      <c r="A375" s="166" t="b">
        <f t="shared" ca="1" si="61"/>
        <v>0</v>
      </c>
      <c r="B375" s="176">
        <f t="shared" si="57"/>
        <v>18</v>
      </c>
      <c r="C375" s="172" t="str">
        <f ca="1">IF(COUNTA(D$265:D374)=1,"",OFFSET(B373,-COUNTA(D$265:D374)+3,1))</f>
        <v>a1W3p000005aVPZEA2</v>
      </c>
      <c r="D375" s="166"/>
      <c r="E375" s="166">
        <f t="shared" ca="1" si="58"/>
        <v>6</v>
      </c>
      <c r="F375" s="177">
        <f ca="1">IF(COUNTA(D$265:D374)=1,"",OFFSET(F373,-COUNTA(D$265:D374)+3,0))</f>
        <v>3</v>
      </c>
      <c r="G375" s="166"/>
      <c r="H375" s="166">
        <f t="shared" ca="1" si="59"/>
        <v>13</v>
      </c>
      <c r="I375" s="177" t="str">
        <f t="shared" ca="1" si="62"/>
        <v/>
      </c>
      <c r="J375" s="170" t="str">
        <f t="shared" ca="1" si="63"/>
        <v/>
      </c>
      <c r="K375" s="168" t="str">
        <f t="shared" ca="1" si="64"/>
        <v/>
      </c>
      <c r="L375" s="171" t="str">
        <f ca="1">IFERROR(CHOOSE(E375,'Outcome Indicators - Section C '!$K$7,'Outcome Indicators - Section C '!$O$7,'Outcome Indicators - Section C '!$S$7,'Outcome Indicators - Section C '!$W$7),"")</f>
        <v/>
      </c>
      <c r="M375" s="179" t="str">
        <f t="shared" ca="1" si="65"/>
        <v/>
      </c>
      <c r="N375" s="171" t="str">
        <f t="shared" ca="1" si="66"/>
        <v/>
      </c>
      <c r="O375" s="166"/>
      <c r="P375" s="166">
        <f t="shared" ca="1" si="60"/>
        <v>0</v>
      </c>
      <c r="Q375" s="171"/>
    </row>
    <row r="376" spans="1:17">
      <c r="A376" s="166" t="b">
        <f t="shared" ca="1" si="61"/>
        <v>1</v>
      </c>
      <c r="B376" s="176">
        <f t="shared" si="57"/>
        <v>19</v>
      </c>
      <c r="C376" s="172" t="str">
        <f ca="1">IF(COUNTA(D$265:D375)=1,"",OFFSET(B374,-COUNTA(D$265:D375)+3,1))</f>
        <v>a1W3p000005aVONEA2</v>
      </c>
      <c r="D376" s="166"/>
      <c r="E376" s="166">
        <f t="shared" ca="1" si="58"/>
        <v>1</v>
      </c>
      <c r="F376" s="177">
        <f ca="1">IF(COUNTA(D$265:D375)=1,"",OFFSET(F374,-COUNTA(D$265:D375)+3,0))</f>
        <v>4</v>
      </c>
      <c r="G376" s="166"/>
      <c r="H376" s="166">
        <f t="shared" ca="1" si="59"/>
        <v>15</v>
      </c>
      <c r="I376" s="177">
        <f t="shared" ca="1" si="62"/>
        <v>12872</v>
      </c>
      <c r="J376" s="170">
        <f t="shared" ca="1" si="63"/>
        <v>11714</v>
      </c>
      <c r="K376" s="168">
        <f t="shared" ca="1" si="64"/>
        <v>91.003729024238652</v>
      </c>
      <c r="L376" s="171">
        <f ca="1">IFERROR(CHOOSE(E376,'Outcome Indicators - Section C '!$K$7,'Outcome Indicators - Section C '!$O$7,'Outcome Indicators - Section C '!$S$7,'Outcome Indicators - Section C '!$W$7),"")</f>
        <v>2023</v>
      </c>
      <c r="M376" s="179">
        <f t="shared" ca="1" si="65"/>
        <v>45350</v>
      </c>
      <c r="N376" s="171" t="str">
        <f t="shared" ca="1" si="66"/>
        <v/>
      </c>
      <c r="O376" s="166"/>
      <c r="P376" s="166">
        <f t="shared" ca="1" si="60"/>
        <v>0</v>
      </c>
      <c r="Q376" s="171"/>
    </row>
    <row r="377" spans="1:17">
      <c r="A377" s="166" t="b">
        <f t="shared" ca="1" si="61"/>
        <v>1</v>
      </c>
      <c r="B377" s="176">
        <f t="shared" si="57"/>
        <v>20</v>
      </c>
      <c r="C377" s="172" t="str">
        <f ca="1">IF(COUNTA(D$265:D376)=1,"",OFFSET(B375,-COUNTA(D$265:D376)+3,1))</f>
        <v>a1W3p000005aVOcEAM</v>
      </c>
      <c r="D377" s="166"/>
      <c r="E377" s="166">
        <f t="shared" ca="1" si="58"/>
        <v>2</v>
      </c>
      <c r="F377" s="177">
        <f ca="1">IF(COUNTA(D$265:D376)=1,"",OFFSET(F375,-COUNTA(D$265:D376)+3,0))</f>
        <v>4</v>
      </c>
      <c r="G377" s="166"/>
      <c r="H377" s="166">
        <f t="shared" ca="1" si="59"/>
        <v>15</v>
      </c>
      <c r="I377" s="177">
        <f t="shared" ca="1" si="62"/>
        <v>14050</v>
      </c>
      <c r="J377" s="170">
        <f t="shared" ca="1" si="63"/>
        <v>12926</v>
      </c>
      <c r="K377" s="168">
        <f t="shared" ca="1" si="64"/>
        <v>92</v>
      </c>
      <c r="L377" s="171">
        <f ca="1">IFERROR(CHOOSE(E377,'Outcome Indicators - Section C '!$K$7,'Outcome Indicators - Section C '!$O$7,'Outcome Indicators - Section C '!$S$7,'Outcome Indicators - Section C '!$W$7),"")</f>
        <v>2024</v>
      </c>
      <c r="M377" s="179">
        <f t="shared" ca="1" si="65"/>
        <v>45716</v>
      </c>
      <c r="N377" s="171" t="str">
        <f t="shared" ca="1" si="66"/>
        <v/>
      </c>
      <c r="O377" s="166"/>
      <c r="P377" s="166">
        <f t="shared" ca="1" si="60"/>
        <v>0</v>
      </c>
      <c r="Q377" s="171"/>
    </row>
    <row r="378" spans="1:17">
      <c r="A378" s="166" t="b">
        <f t="shared" ca="1" si="61"/>
        <v>1</v>
      </c>
      <c r="B378" s="176">
        <f t="shared" si="57"/>
        <v>21</v>
      </c>
      <c r="C378" s="172" t="str">
        <f ca="1">IF(COUNTA(D$265:D377)=1,"",OFFSET(B376,-COUNTA(D$265:D377)+3,1))</f>
        <v>a1W3p000005aVOrEAM</v>
      </c>
      <c r="D378" s="166"/>
      <c r="E378" s="166">
        <f t="shared" ca="1" si="58"/>
        <v>3</v>
      </c>
      <c r="F378" s="177">
        <f ca="1">IF(COUNTA(D$265:D377)=1,"",OFFSET(F376,-COUNTA(D$265:D377)+3,0))</f>
        <v>4</v>
      </c>
      <c r="G378" s="166"/>
      <c r="H378" s="166">
        <f t="shared" ca="1" si="59"/>
        <v>15</v>
      </c>
      <c r="I378" s="177">
        <f t="shared" ca="1" si="62"/>
        <v>15263</v>
      </c>
      <c r="J378" s="170">
        <f t="shared" ca="1" si="63"/>
        <v>14194</v>
      </c>
      <c r="K378" s="168">
        <f t="shared" ca="1" si="64"/>
        <v>92.996134442770099</v>
      </c>
      <c r="L378" s="171">
        <f ca="1">IFERROR(CHOOSE(E378,'Outcome Indicators - Section C '!$K$7,'Outcome Indicators - Section C '!$O$7,'Outcome Indicators - Section C '!$S$7,'Outcome Indicators - Section C '!$W$7),"")</f>
        <v>2025</v>
      </c>
      <c r="M378" s="179">
        <f t="shared" ca="1" si="65"/>
        <v>46081</v>
      </c>
      <c r="N378" s="171" t="str">
        <f t="shared" ca="1" si="66"/>
        <v/>
      </c>
      <c r="O378" s="166"/>
      <c r="P378" s="166">
        <f t="shared" ca="1" si="60"/>
        <v>0</v>
      </c>
      <c r="Q378" s="171"/>
    </row>
    <row r="379" spans="1:17">
      <c r="A379" s="166" t="b">
        <f t="shared" ca="1" si="61"/>
        <v>0</v>
      </c>
      <c r="B379" s="176">
        <f t="shared" si="57"/>
        <v>22</v>
      </c>
      <c r="C379" s="172" t="str">
        <f ca="1">IF(COUNTA(D$265:D378)=1,"",OFFSET(B377,-COUNTA(D$265:D378)+3,1))</f>
        <v>a1W3p000005aVP6EAM</v>
      </c>
      <c r="D379" s="166"/>
      <c r="E379" s="166">
        <f t="shared" ca="1" si="58"/>
        <v>4</v>
      </c>
      <c r="F379" s="177">
        <f ca="1">IF(COUNTA(D$265:D378)=1,"",OFFSET(F377,-COUNTA(D$265:D378)+3,0))</f>
        <v>4</v>
      </c>
      <c r="G379" s="166"/>
      <c r="H379" s="166">
        <f t="shared" ca="1" si="59"/>
        <v>15</v>
      </c>
      <c r="I379" s="177" t="str">
        <f t="shared" ca="1" si="62"/>
        <v/>
      </c>
      <c r="J379" s="170" t="str">
        <f t="shared" ca="1" si="63"/>
        <v/>
      </c>
      <c r="K379" s="168" t="str">
        <f t="shared" ca="1" si="64"/>
        <v/>
      </c>
      <c r="L379" s="171" t="str">
        <f ca="1">IFERROR(CHOOSE(E379,'Outcome Indicators - Section C '!$K$7,'Outcome Indicators - Section C '!$O$7,'Outcome Indicators - Section C '!$S$7,'Outcome Indicators - Section C '!$W$7),"")</f>
        <v/>
      </c>
      <c r="M379" s="179" t="str">
        <f t="shared" ca="1" si="65"/>
        <v/>
      </c>
      <c r="N379" s="171" t="str">
        <f t="shared" ca="1" si="66"/>
        <v/>
      </c>
      <c r="O379" s="166"/>
      <c r="P379" s="166">
        <f t="shared" ca="1" si="60"/>
        <v>0</v>
      </c>
      <c r="Q379" s="171"/>
    </row>
    <row r="380" spans="1:17">
      <c r="A380" s="166" t="b">
        <f t="shared" ca="1" si="61"/>
        <v>0</v>
      </c>
      <c r="B380" s="176">
        <f t="shared" si="57"/>
        <v>23</v>
      </c>
      <c r="C380" s="172" t="str">
        <f ca="1">IF(COUNTA(D$265:D379)=1,"",OFFSET(B378,-COUNTA(D$265:D379)+3,1))</f>
        <v>a1W3p000005aVPLEA2</v>
      </c>
      <c r="D380" s="166"/>
      <c r="E380" s="166">
        <f t="shared" ca="1" si="58"/>
        <v>5</v>
      </c>
      <c r="F380" s="177">
        <f ca="1">IF(COUNTA(D$265:D379)=1,"",OFFSET(F378,-COUNTA(D$265:D379)+3,0))</f>
        <v>4</v>
      </c>
      <c r="G380" s="166"/>
      <c r="H380" s="166">
        <f t="shared" ca="1" si="59"/>
        <v>15</v>
      </c>
      <c r="I380" s="177" t="str">
        <f t="shared" ca="1" si="62"/>
        <v/>
      </c>
      <c r="J380" s="170" t="str">
        <f t="shared" ca="1" si="63"/>
        <v/>
      </c>
      <c r="K380" s="168" t="str">
        <f t="shared" ca="1" si="64"/>
        <v/>
      </c>
      <c r="L380" s="171" t="str">
        <f ca="1">IFERROR(CHOOSE(E380,'Outcome Indicators - Section C '!$K$7,'Outcome Indicators - Section C '!$O$7,'Outcome Indicators - Section C '!$S$7,'Outcome Indicators - Section C '!$W$7),"")</f>
        <v/>
      </c>
      <c r="M380" s="179" t="str">
        <f t="shared" ca="1" si="65"/>
        <v/>
      </c>
      <c r="N380" s="171" t="str">
        <f t="shared" ca="1" si="66"/>
        <v/>
      </c>
      <c r="O380" s="166"/>
      <c r="P380" s="166">
        <f t="shared" ca="1" si="60"/>
        <v>0</v>
      </c>
      <c r="Q380" s="171"/>
    </row>
    <row r="381" spans="1:17">
      <c r="A381" s="166" t="b">
        <f t="shared" ca="1" si="61"/>
        <v>0</v>
      </c>
      <c r="B381" s="176">
        <f t="shared" si="57"/>
        <v>24</v>
      </c>
      <c r="C381" s="172" t="str">
        <f ca="1">IF(COUNTA(D$265:D380)=1,"",OFFSET(B379,-COUNTA(D$265:D380)+3,1))</f>
        <v>a1W3p000005aVPaEAM</v>
      </c>
      <c r="D381" s="166"/>
      <c r="E381" s="166">
        <f t="shared" ca="1" si="58"/>
        <v>6</v>
      </c>
      <c r="F381" s="177">
        <f ca="1">IF(COUNTA(D$265:D380)=1,"",OFFSET(F379,-COUNTA(D$265:D380)+3,0))</f>
        <v>4</v>
      </c>
      <c r="G381" s="166"/>
      <c r="H381" s="166">
        <f t="shared" ca="1" si="59"/>
        <v>15</v>
      </c>
      <c r="I381" s="177" t="str">
        <f t="shared" ca="1" si="62"/>
        <v/>
      </c>
      <c r="J381" s="170" t="str">
        <f t="shared" ca="1" si="63"/>
        <v/>
      </c>
      <c r="K381" s="168" t="str">
        <f t="shared" ca="1" si="64"/>
        <v/>
      </c>
      <c r="L381" s="171" t="str">
        <f ca="1">IFERROR(CHOOSE(E381,'Outcome Indicators - Section C '!$K$7,'Outcome Indicators - Section C '!$O$7,'Outcome Indicators - Section C '!$S$7,'Outcome Indicators - Section C '!$W$7),"")</f>
        <v/>
      </c>
      <c r="M381" s="179" t="str">
        <f t="shared" ca="1" si="65"/>
        <v/>
      </c>
      <c r="N381" s="171" t="str">
        <f t="shared" ca="1" si="66"/>
        <v/>
      </c>
      <c r="O381" s="166"/>
      <c r="P381" s="166">
        <f t="shared" ca="1" si="60"/>
        <v>0</v>
      </c>
      <c r="Q381" s="171"/>
    </row>
    <row r="382" spans="1:17">
      <c r="A382" s="166" t="b">
        <f t="shared" ca="1" si="61"/>
        <v>1</v>
      </c>
      <c r="B382" s="176">
        <f t="shared" si="57"/>
        <v>25</v>
      </c>
      <c r="C382" s="172" t="str">
        <f ca="1">IF(COUNTA(D$265:D381)=1,"",OFFSET(B380,-COUNTA(D$265:D381)+3,1))</f>
        <v>a1W3p000005aVOOEA2</v>
      </c>
      <c r="D382" s="166"/>
      <c r="E382" s="166">
        <f t="shared" ca="1" si="58"/>
        <v>1</v>
      </c>
      <c r="F382" s="177">
        <f ca="1">IF(COUNTA(D$265:D381)=1,"",OFFSET(F380,-COUNTA(D$265:D381)+3,0))</f>
        <v>5</v>
      </c>
      <c r="G382" s="166"/>
      <c r="H382" s="166">
        <f t="shared" ca="1" si="59"/>
        <v>17</v>
      </c>
      <c r="I382" s="177">
        <f t="shared" ca="1" si="62"/>
        <v>90</v>
      </c>
      <c r="J382" s="170">
        <f t="shared" ca="1" si="63"/>
        <v>77</v>
      </c>
      <c r="K382" s="168">
        <f t="shared" ca="1" si="64"/>
        <v>85.555555555555557</v>
      </c>
      <c r="L382" s="171">
        <f ca="1">IFERROR(CHOOSE(E382,'Outcome Indicators - Section C '!$K$7,'Outcome Indicators - Section C '!$O$7,'Outcome Indicators - Section C '!$S$7,'Outcome Indicators - Section C '!$W$7),"")</f>
        <v>2023</v>
      </c>
      <c r="M382" s="179">
        <f t="shared" ca="1" si="65"/>
        <v>45337</v>
      </c>
      <c r="N382" s="171" t="str">
        <f t="shared" ca="1" si="66"/>
        <v/>
      </c>
      <c r="O382" s="166"/>
      <c r="P382" s="166">
        <f t="shared" ca="1" si="60"/>
        <v>0</v>
      </c>
      <c r="Q382" s="171"/>
    </row>
    <row r="383" spans="1:17">
      <c r="A383" s="166" t="b">
        <f t="shared" ca="1" si="61"/>
        <v>1</v>
      </c>
      <c r="B383" s="176">
        <f t="shared" si="57"/>
        <v>26</v>
      </c>
      <c r="C383" s="172" t="str">
        <f ca="1">IF(COUNTA(D$265:D382)=1,"",OFFSET(B381,-COUNTA(D$265:D382)+3,1))</f>
        <v>a1W3p000005aVOdEAM</v>
      </c>
      <c r="D383" s="166"/>
      <c r="E383" s="166">
        <f t="shared" ca="1" si="58"/>
        <v>2</v>
      </c>
      <c r="F383" s="177">
        <f ca="1">IF(COUNTA(D$265:D382)=1,"",OFFSET(F381,-COUNTA(D$265:D382)+3,0))</f>
        <v>5</v>
      </c>
      <c r="G383" s="166"/>
      <c r="H383" s="166">
        <f t="shared" ca="1" si="59"/>
        <v>17</v>
      </c>
      <c r="I383" s="177">
        <f t="shared" ca="1" si="62"/>
        <v>126</v>
      </c>
      <c r="J383" s="170">
        <f t="shared" ca="1" si="63"/>
        <v>107</v>
      </c>
      <c r="K383" s="168">
        <f t="shared" ca="1" si="64"/>
        <v>84.920634920634924</v>
      </c>
      <c r="L383" s="171">
        <f ca="1">IFERROR(CHOOSE(E383,'Outcome Indicators - Section C '!$K$7,'Outcome Indicators - Section C '!$O$7,'Outcome Indicators - Section C '!$S$7,'Outcome Indicators - Section C '!$W$7),"")</f>
        <v>2024</v>
      </c>
      <c r="M383" s="179">
        <f t="shared" ca="1" si="65"/>
        <v>45703</v>
      </c>
      <c r="N383" s="171" t="str">
        <f t="shared" ca="1" si="66"/>
        <v/>
      </c>
      <c r="O383" s="166"/>
      <c r="P383" s="166">
        <f t="shared" ca="1" si="60"/>
        <v>0</v>
      </c>
      <c r="Q383" s="171"/>
    </row>
    <row r="384" spans="1:17">
      <c r="A384" s="166" t="b">
        <f t="shared" ca="1" si="61"/>
        <v>1</v>
      </c>
      <c r="B384" s="176">
        <f t="shared" si="57"/>
        <v>27</v>
      </c>
      <c r="C384" s="172" t="str">
        <f ca="1">IF(COUNTA(D$265:D383)=1,"",OFFSET(B382,-COUNTA(D$265:D383)+3,1))</f>
        <v>a1W3p000005aVOsEAM</v>
      </c>
      <c r="D384" s="166"/>
      <c r="E384" s="166">
        <f t="shared" ca="1" si="58"/>
        <v>3</v>
      </c>
      <c r="F384" s="177">
        <f ca="1">IF(COUNTA(D$265:D383)=1,"",OFFSET(F382,-COUNTA(D$265:D383)+3,0))</f>
        <v>5</v>
      </c>
      <c r="G384" s="166"/>
      <c r="H384" s="166">
        <f t="shared" ca="1" si="59"/>
        <v>17</v>
      </c>
      <c r="I384" s="177">
        <f t="shared" ca="1" si="62"/>
        <v>154</v>
      </c>
      <c r="J384" s="170">
        <f t="shared" ca="1" si="63"/>
        <v>131</v>
      </c>
      <c r="K384" s="168">
        <f t="shared" ca="1" si="64"/>
        <v>85.064935064935071</v>
      </c>
      <c r="L384" s="171">
        <f ca="1">IFERROR(CHOOSE(E384,'Outcome Indicators - Section C '!$K$7,'Outcome Indicators - Section C '!$O$7,'Outcome Indicators - Section C '!$S$7,'Outcome Indicators - Section C '!$W$7),"")</f>
        <v>2025</v>
      </c>
      <c r="M384" s="179">
        <f t="shared" ca="1" si="65"/>
        <v>46068</v>
      </c>
      <c r="N384" s="171" t="str">
        <f t="shared" ca="1" si="66"/>
        <v/>
      </c>
      <c r="O384" s="166"/>
      <c r="P384" s="166">
        <f t="shared" ca="1" si="60"/>
        <v>0</v>
      </c>
      <c r="Q384" s="171"/>
    </row>
    <row r="385" spans="1:17">
      <c r="A385" s="166" t="b">
        <f t="shared" ca="1" si="61"/>
        <v>0</v>
      </c>
      <c r="B385" s="176">
        <f t="shared" si="57"/>
        <v>28</v>
      </c>
      <c r="C385" s="172" t="str">
        <f ca="1">IF(COUNTA(D$265:D384)=1,"",OFFSET(B383,-COUNTA(D$265:D384)+3,1))</f>
        <v>a1W3p000005aVP7EAM</v>
      </c>
      <c r="D385" s="166"/>
      <c r="E385" s="166">
        <f t="shared" ca="1" si="58"/>
        <v>4</v>
      </c>
      <c r="F385" s="177">
        <f ca="1">IF(COUNTA(D$265:D384)=1,"",OFFSET(F383,-COUNTA(D$265:D384)+3,0))</f>
        <v>5</v>
      </c>
      <c r="G385" s="166"/>
      <c r="H385" s="166">
        <f t="shared" ca="1" si="59"/>
        <v>17</v>
      </c>
      <c r="I385" s="177" t="str">
        <f t="shared" ca="1" si="62"/>
        <v/>
      </c>
      <c r="J385" s="170" t="str">
        <f t="shared" ca="1" si="63"/>
        <v/>
      </c>
      <c r="K385" s="168" t="str">
        <f t="shared" ca="1" si="64"/>
        <v/>
      </c>
      <c r="L385" s="171" t="str">
        <f ca="1">IFERROR(CHOOSE(E385,'Outcome Indicators - Section C '!$K$7,'Outcome Indicators - Section C '!$O$7,'Outcome Indicators - Section C '!$S$7,'Outcome Indicators - Section C '!$W$7),"")</f>
        <v/>
      </c>
      <c r="M385" s="179" t="str">
        <f t="shared" ca="1" si="65"/>
        <v/>
      </c>
      <c r="N385" s="171" t="str">
        <f t="shared" ca="1" si="66"/>
        <v/>
      </c>
      <c r="O385" s="166"/>
      <c r="P385" s="166">
        <f t="shared" ca="1" si="60"/>
        <v>0</v>
      </c>
      <c r="Q385" s="171"/>
    </row>
    <row r="386" spans="1:17">
      <c r="A386" s="166" t="b">
        <f t="shared" ca="1" si="61"/>
        <v>0</v>
      </c>
      <c r="B386" s="176">
        <f t="shared" si="57"/>
        <v>29</v>
      </c>
      <c r="C386" s="172" t="str">
        <f ca="1">IF(COUNTA(D$265:D385)=1,"",OFFSET(B384,-COUNTA(D$265:D385)+3,1))</f>
        <v>a1W3p000005aVPMEA2</v>
      </c>
      <c r="D386" s="166"/>
      <c r="E386" s="166">
        <f t="shared" ca="1" si="58"/>
        <v>5</v>
      </c>
      <c r="F386" s="177">
        <f ca="1">IF(COUNTA(D$265:D385)=1,"",OFFSET(F384,-COUNTA(D$265:D385)+3,0))</f>
        <v>5</v>
      </c>
      <c r="G386" s="166"/>
      <c r="H386" s="166">
        <f t="shared" ca="1" si="59"/>
        <v>17</v>
      </c>
      <c r="I386" s="177" t="str">
        <f t="shared" ca="1" si="62"/>
        <v/>
      </c>
      <c r="J386" s="170" t="str">
        <f t="shared" ca="1" si="63"/>
        <v/>
      </c>
      <c r="K386" s="168" t="str">
        <f t="shared" ca="1" si="64"/>
        <v/>
      </c>
      <c r="L386" s="171" t="str">
        <f ca="1">IFERROR(CHOOSE(E386,'Outcome Indicators - Section C '!$K$7,'Outcome Indicators - Section C '!$O$7,'Outcome Indicators - Section C '!$S$7,'Outcome Indicators - Section C '!$W$7),"")</f>
        <v/>
      </c>
      <c r="M386" s="179" t="str">
        <f t="shared" ca="1" si="65"/>
        <v/>
      </c>
      <c r="N386" s="171" t="str">
        <f t="shared" ca="1" si="66"/>
        <v/>
      </c>
      <c r="O386" s="166"/>
      <c r="P386" s="166">
        <f t="shared" ca="1" si="60"/>
        <v>0</v>
      </c>
      <c r="Q386" s="171"/>
    </row>
    <row r="387" spans="1:17">
      <c r="A387" s="166" t="b">
        <f t="shared" ca="1" si="61"/>
        <v>0</v>
      </c>
      <c r="B387" s="176">
        <f t="shared" si="57"/>
        <v>30</v>
      </c>
      <c r="C387" s="172" t="str">
        <f ca="1">IF(COUNTA(D$265:D386)=1,"",OFFSET(B385,-COUNTA(D$265:D386)+3,1))</f>
        <v>a1W3p000005aVPbEAM</v>
      </c>
      <c r="D387" s="166"/>
      <c r="E387" s="166">
        <f t="shared" ca="1" si="58"/>
        <v>6</v>
      </c>
      <c r="F387" s="177">
        <f ca="1">IF(COUNTA(D$265:D386)=1,"",OFFSET(F385,-COUNTA(D$265:D386)+3,0))</f>
        <v>5</v>
      </c>
      <c r="G387" s="166"/>
      <c r="H387" s="166">
        <f t="shared" ca="1" si="59"/>
        <v>17</v>
      </c>
      <c r="I387" s="177" t="str">
        <f t="shared" ca="1" si="62"/>
        <v/>
      </c>
      <c r="J387" s="170" t="str">
        <f t="shared" ca="1" si="63"/>
        <v/>
      </c>
      <c r="K387" s="168" t="str">
        <f t="shared" ca="1" si="64"/>
        <v/>
      </c>
      <c r="L387" s="171" t="str">
        <f ca="1">IFERROR(CHOOSE(E387,'Outcome Indicators - Section C '!$K$7,'Outcome Indicators - Section C '!$O$7,'Outcome Indicators - Section C '!$S$7,'Outcome Indicators - Section C '!$W$7),"")</f>
        <v/>
      </c>
      <c r="M387" s="179" t="str">
        <f t="shared" ca="1" si="65"/>
        <v/>
      </c>
      <c r="N387" s="171" t="str">
        <f t="shared" ca="1" si="66"/>
        <v/>
      </c>
      <c r="O387" s="166"/>
      <c r="P387" s="166">
        <f t="shared" ca="1" si="60"/>
        <v>0</v>
      </c>
      <c r="Q387" s="171"/>
    </row>
    <row r="388" spans="1:17">
      <c r="A388" s="166" t="b">
        <f t="shared" ca="1" si="61"/>
        <v>1</v>
      </c>
      <c r="B388" s="176">
        <f t="shared" si="57"/>
        <v>31</v>
      </c>
      <c r="C388" s="172" t="str">
        <f ca="1">IF(COUNTA(D$265:D387)=1,"",OFFSET(B386,-COUNTA(D$265:D387)+3,1))</f>
        <v>a1W3p000005aVOPEA2</v>
      </c>
      <c r="D388" s="166"/>
      <c r="E388" s="166">
        <f t="shared" ca="1" si="58"/>
        <v>1</v>
      </c>
      <c r="F388" s="177">
        <f ca="1">IF(COUNTA(D$265:D387)=1,"",OFFSET(F386,-COUNTA(D$265:D387)+3,0))</f>
        <v>6</v>
      </c>
      <c r="G388" s="166"/>
      <c r="H388" s="166">
        <f t="shared" ca="1" si="59"/>
        <v>19</v>
      </c>
      <c r="I388" s="177">
        <f t="shared" ca="1" si="62"/>
        <v>12000</v>
      </c>
      <c r="J388" s="170">
        <f t="shared" ca="1" si="63"/>
        <v>7800</v>
      </c>
      <c r="K388" s="168">
        <f t="shared" ca="1" si="64"/>
        <v>65</v>
      </c>
      <c r="L388" s="171">
        <f ca="1">IFERROR(CHOOSE(E388,'Outcome Indicators - Section C '!$K$7,'Outcome Indicators - Section C '!$O$7,'Outcome Indicators - Section C '!$S$7,'Outcome Indicators - Section C '!$W$7),"")</f>
        <v>2023</v>
      </c>
      <c r="M388" s="179">
        <f t="shared" ca="1" si="65"/>
        <v>45626</v>
      </c>
      <c r="N388" s="171" t="str">
        <f t="shared" ca="1" si="66"/>
        <v/>
      </c>
      <c r="O388" s="166"/>
      <c r="P388" s="166">
        <f t="shared" ca="1" si="60"/>
        <v>0</v>
      </c>
      <c r="Q388" s="171"/>
    </row>
    <row r="389" spans="1:17">
      <c r="A389" s="166" t="b">
        <f t="shared" ca="1" si="61"/>
        <v>1</v>
      </c>
      <c r="B389" s="176">
        <f t="shared" si="57"/>
        <v>32</v>
      </c>
      <c r="C389" s="172" t="str">
        <f ca="1">IF(COUNTA(D$265:D388)=1,"",OFFSET(B387,-COUNTA(D$265:D388)+3,1))</f>
        <v>a1W3p000005aVOeEAM</v>
      </c>
      <c r="D389" s="166"/>
      <c r="E389" s="166">
        <f t="shared" ca="1" si="58"/>
        <v>2</v>
      </c>
      <c r="F389" s="177">
        <f ca="1">IF(COUNTA(D$265:D388)=1,"",OFFSET(F387,-COUNTA(D$265:D388)+3,0))</f>
        <v>6</v>
      </c>
      <c r="G389" s="166"/>
      <c r="H389" s="166">
        <f t="shared" ca="1" si="59"/>
        <v>19</v>
      </c>
      <c r="I389" s="177">
        <f t="shared" ca="1" si="62"/>
        <v>12000</v>
      </c>
      <c r="J389" s="170">
        <f t="shared" ca="1" si="63"/>
        <v>8400</v>
      </c>
      <c r="K389" s="168">
        <f t="shared" ca="1" si="64"/>
        <v>70</v>
      </c>
      <c r="L389" s="171">
        <f ca="1">IFERROR(CHOOSE(E389,'Outcome Indicators - Section C '!$K$7,'Outcome Indicators - Section C '!$O$7,'Outcome Indicators - Section C '!$S$7,'Outcome Indicators - Section C '!$W$7),"")</f>
        <v>2024</v>
      </c>
      <c r="M389" s="179">
        <f t="shared" ca="1" si="65"/>
        <v>45991</v>
      </c>
      <c r="N389" s="171" t="str">
        <f t="shared" ca="1" si="66"/>
        <v/>
      </c>
      <c r="O389" s="166"/>
      <c r="P389" s="166">
        <f t="shared" ca="1" si="60"/>
        <v>0</v>
      </c>
      <c r="Q389" s="171"/>
    </row>
    <row r="390" spans="1:17">
      <c r="A390" s="166" t="b">
        <f t="shared" ca="1" si="61"/>
        <v>1</v>
      </c>
      <c r="B390" s="176">
        <f t="shared" si="57"/>
        <v>33</v>
      </c>
      <c r="C390" s="172" t="str">
        <f ca="1">IF(COUNTA(D$265:D389)=1,"",OFFSET(B388,-COUNTA(D$265:D389)+3,1))</f>
        <v>a1W3p000005aVOtEAM</v>
      </c>
      <c r="D390" s="166"/>
      <c r="E390" s="166">
        <f t="shared" ca="1" si="58"/>
        <v>3</v>
      </c>
      <c r="F390" s="177">
        <f ca="1">IF(COUNTA(D$265:D389)=1,"",OFFSET(F388,-COUNTA(D$265:D389)+3,0))</f>
        <v>6</v>
      </c>
      <c r="G390" s="166"/>
      <c r="H390" s="166">
        <f t="shared" ca="1" si="59"/>
        <v>19</v>
      </c>
      <c r="I390" s="177">
        <f t="shared" ca="1" si="62"/>
        <v>12000</v>
      </c>
      <c r="J390" s="170">
        <f t="shared" ca="1" si="63"/>
        <v>9000</v>
      </c>
      <c r="K390" s="168">
        <f t="shared" ca="1" si="64"/>
        <v>75</v>
      </c>
      <c r="L390" s="171">
        <f ca="1">IFERROR(CHOOSE(E390,'Outcome Indicators - Section C '!$K$7,'Outcome Indicators - Section C '!$O$7,'Outcome Indicators - Section C '!$S$7,'Outcome Indicators - Section C '!$W$7),"")</f>
        <v>2025</v>
      </c>
      <c r="M390" s="179">
        <f t="shared" ca="1" si="65"/>
        <v>46356</v>
      </c>
      <c r="N390" s="171" t="str">
        <f t="shared" ca="1" si="66"/>
        <v/>
      </c>
      <c r="O390" s="166"/>
      <c r="P390" s="166">
        <f t="shared" ca="1" si="60"/>
        <v>0</v>
      </c>
      <c r="Q390" s="171"/>
    </row>
    <row r="391" spans="1:17">
      <c r="A391" s="166" t="b">
        <f t="shared" ca="1" si="61"/>
        <v>0</v>
      </c>
      <c r="B391" s="176">
        <f t="shared" si="57"/>
        <v>34</v>
      </c>
      <c r="C391" s="172" t="str">
        <f ca="1">IF(COUNTA(D$265:D390)=1,"",OFFSET(B389,-COUNTA(D$265:D390)+3,1))</f>
        <v>a1W3p000005aVP8EAM</v>
      </c>
      <c r="D391" s="166"/>
      <c r="E391" s="166">
        <f t="shared" ca="1" si="58"/>
        <v>4</v>
      </c>
      <c r="F391" s="177">
        <f ca="1">IF(COUNTA(D$265:D390)=1,"",OFFSET(F389,-COUNTA(D$265:D390)+3,0))</f>
        <v>6</v>
      </c>
      <c r="G391" s="166"/>
      <c r="H391" s="166">
        <f t="shared" ca="1" si="59"/>
        <v>19</v>
      </c>
      <c r="I391" s="177" t="str">
        <f t="shared" ca="1" si="62"/>
        <v/>
      </c>
      <c r="J391" s="170" t="str">
        <f t="shared" ca="1" si="63"/>
        <v/>
      </c>
      <c r="K391" s="168" t="str">
        <f t="shared" ca="1" si="64"/>
        <v/>
      </c>
      <c r="L391" s="171" t="str">
        <f ca="1">IFERROR(CHOOSE(E391,'Outcome Indicators - Section C '!$K$7,'Outcome Indicators - Section C '!$O$7,'Outcome Indicators - Section C '!$S$7,'Outcome Indicators - Section C '!$W$7),"")</f>
        <v/>
      </c>
      <c r="M391" s="179" t="str">
        <f t="shared" ca="1" si="65"/>
        <v/>
      </c>
      <c r="N391" s="171" t="str">
        <f t="shared" ca="1" si="66"/>
        <v/>
      </c>
      <c r="O391" s="166"/>
      <c r="P391" s="166">
        <f t="shared" ca="1" si="60"/>
        <v>0</v>
      </c>
      <c r="Q391" s="171"/>
    </row>
    <row r="392" spans="1:17">
      <c r="A392" s="166" t="b">
        <f t="shared" ca="1" si="61"/>
        <v>0</v>
      </c>
      <c r="B392" s="176">
        <f t="shared" si="57"/>
        <v>35</v>
      </c>
      <c r="C392" s="172" t="str">
        <f ca="1">IF(COUNTA(D$265:D391)=1,"",OFFSET(B390,-COUNTA(D$265:D391)+3,1))</f>
        <v>a1W3p000005aVPNEA2</v>
      </c>
      <c r="D392" s="166"/>
      <c r="E392" s="166">
        <f t="shared" ca="1" si="58"/>
        <v>5</v>
      </c>
      <c r="F392" s="177">
        <f ca="1">IF(COUNTA(D$265:D391)=1,"",OFFSET(F390,-COUNTA(D$265:D391)+3,0))</f>
        <v>6</v>
      </c>
      <c r="G392" s="166"/>
      <c r="H392" s="166">
        <f t="shared" ca="1" si="59"/>
        <v>19</v>
      </c>
      <c r="I392" s="177" t="str">
        <f t="shared" ca="1" si="62"/>
        <v/>
      </c>
      <c r="J392" s="170" t="str">
        <f t="shared" ca="1" si="63"/>
        <v/>
      </c>
      <c r="K392" s="168" t="str">
        <f t="shared" ca="1" si="64"/>
        <v/>
      </c>
      <c r="L392" s="171" t="str">
        <f ca="1">IFERROR(CHOOSE(E392,'Outcome Indicators - Section C '!$K$7,'Outcome Indicators - Section C '!$O$7,'Outcome Indicators - Section C '!$S$7,'Outcome Indicators - Section C '!$W$7),"")</f>
        <v/>
      </c>
      <c r="M392" s="179" t="str">
        <f t="shared" ca="1" si="65"/>
        <v/>
      </c>
      <c r="N392" s="171" t="str">
        <f t="shared" ca="1" si="66"/>
        <v/>
      </c>
      <c r="O392" s="166"/>
      <c r="P392" s="166">
        <f t="shared" ca="1" si="60"/>
        <v>0</v>
      </c>
      <c r="Q392" s="171"/>
    </row>
    <row r="393" spans="1:17">
      <c r="A393" s="166" t="b">
        <f t="shared" ca="1" si="61"/>
        <v>0</v>
      </c>
      <c r="B393" s="176">
        <f t="shared" si="57"/>
        <v>36</v>
      </c>
      <c r="C393" s="172" t="str">
        <f ca="1">IF(COUNTA(D$265:D392)=1,"",OFFSET(B391,-COUNTA(D$265:D392)+3,1))</f>
        <v>a1W3p000005aVPcEAM</v>
      </c>
      <c r="D393" s="166"/>
      <c r="E393" s="166">
        <f t="shared" ca="1" si="58"/>
        <v>6</v>
      </c>
      <c r="F393" s="177">
        <f ca="1">IF(COUNTA(D$265:D392)=1,"",OFFSET(F391,-COUNTA(D$265:D392)+3,0))</f>
        <v>6</v>
      </c>
      <c r="G393" s="166"/>
      <c r="H393" s="166">
        <f t="shared" ca="1" si="59"/>
        <v>19</v>
      </c>
      <c r="I393" s="177" t="str">
        <f t="shared" ca="1" si="62"/>
        <v/>
      </c>
      <c r="J393" s="170" t="str">
        <f t="shared" ca="1" si="63"/>
        <v/>
      </c>
      <c r="K393" s="168" t="str">
        <f t="shared" ca="1" si="64"/>
        <v/>
      </c>
      <c r="L393" s="171" t="str">
        <f ca="1">IFERROR(CHOOSE(E393,'Outcome Indicators - Section C '!$K$7,'Outcome Indicators - Section C '!$O$7,'Outcome Indicators - Section C '!$S$7,'Outcome Indicators - Section C '!$W$7),"")</f>
        <v/>
      </c>
      <c r="M393" s="179" t="str">
        <f t="shared" ca="1" si="65"/>
        <v/>
      </c>
      <c r="N393" s="171" t="str">
        <f t="shared" ca="1" si="66"/>
        <v/>
      </c>
      <c r="O393" s="166"/>
      <c r="P393" s="166">
        <f t="shared" ca="1" si="60"/>
        <v>0</v>
      </c>
      <c r="Q393" s="171"/>
    </row>
    <row r="394" spans="1:17">
      <c r="A394" s="166" t="b">
        <f t="shared" ca="1" si="61"/>
        <v>0</v>
      </c>
      <c r="B394" s="176">
        <f t="shared" si="57"/>
        <v>37</v>
      </c>
      <c r="C394" s="172" t="str">
        <f ca="1">IF(COUNTA(D$265:D393)=1,"",OFFSET(B392,-COUNTA(D$265:D393)+3,1))</f>
        <v>a1W3p000005aVOQEA2</v>
      </c>
      <c r="D394" s="166"/>
      <c r="E394" s="166">
        <f t="shared" ca="1" si="58"/>
        <v>1</v>
      </c>
      <c r="F394" s="177">
        <f ca="1">IF(COUNTA(D$265:D393)=1,"",OFFSET(F392,-COUNTA(D$265:D393)+3,0))</f>
        <v>7</v>
      </c>
      <c r="G394" s="166"/>
      <c r="H394" s="166">
        <f t="shared" ca="1" si="59"/>
        <v>21</v>
      </c>
      <c r="I394" s="177" t="str">
        <f t="shared" ca="1" si="62"/>
        <v/>
      </c>
      <c r="J394" s="170" t="str">
        <f t="shared" ca="1" si="63"/>
        <v/>
      </c>
      <c r="K394" s="168" t="str">
        <f t="shared" ca="1" si="64"/>
        <v/>
      </c>
      <c r="L394" s="171">
        <f ca="1">IFERROR(CHOOSE(E394,'Outcome Indicators - Section C '!$K$7,'Outcome Indicators - Section C '!$O$7,'Outcome Indicators - Section C '!$S$7,'Outcome Indicators - Section C '!$W$7),"")</f>
        <v>2023</v>
      </c>
      <c r="M394" s="179" t="str">
        <f t="shared" ca="1" si="65"/>
        <v/>
      </c>
      <c r="N394" s="171" t="str">
        <f t="shared" ca="1" si="66"/>
        <v/>
      </c>
      <c r="O394" s="166"/>
      <c r="P394" s="166">
        <f t="shared" ca="1" si="60"/>
        <v>0</v>
      </c>
      <c r="Q394" s="171"/>
    </row>
    <row r="395" spans="1:17">
      <c r="A395" s="166" t="b">
        <f t="shared" ca="1" si="61"/>
        <v>0</v>
      </c>
      <c r="B395" s="176">
        <f t="shared" si="57"/>
        <v>38</v>
      </c>
      <c r="C395" s="172" t="str">
        <f ca="1">IF(COUNTA(D$265:D394)=1,"",OFFSET(B393,-COUNTA(D$265:D394)+3,1))</f>
        <v>a1W3p000005aVOfEAM</v>
      </c>
      <c r="D395" s="166"/>
      <c r="E395" s="166">
        <f t="shared" ca="1" si="58"/>
        <v>2</v>
      </c>
      <c r="F395" s="177">
        <f ca="1">IF(COUNTA(D$265:D394)=1,"",OFFSET(F393,-COUNTA(D$265:D394)+3,0))</f>
        <v>7</v>
      </c>
      <c r="G395" s="166"/>
      <c r="H395" s="166">
        <f t="shared" ca="1" si="59"/>
        <v>21</v>
      </c>
      <c r="I395" s="177" t="str">
        <f t="shared" ca="1" si="62"/>
        <v/>
      </c>
      <c r="J395" s="170" t="str">
        <f t="shared" ca="1" si="63"/>
        <v/>
      </c>
      <c r="K395" s="168" t="str">
        <f t="shared" ca="1" si="64"/>
        <v/>
      </c>
      <c r="L395" s="171">
        <f ca="1">IFERROR(CHOOSE(E395,'Outcome Indicators - Section C '!$K$7,'Outcome Indicators - Section C '!$O$7,'Outcome Indicators - Section C '!$S$7,'Outcome Indicators - Section C '!$W$7),"")</f>
        <v>2024</v>
      </c>
      <c r="M395" s="179" t="str">
        <f t="shared" ca="1" si="65"/>
        <v/>
      </c>
      <c r="N395" s="171" t="str">
        <f t="shared" ca="1" si="66"/>
        <v/>
      </c>
      <c r="O395" s="166"/>
      <c r="P395" s="166">
        <f t="shared" ca="1" si="60"/>
        <v>0</v>
      </c>
      <c r="Q395" s="171"/>
    </row>
    <row r="396" spans="1:17">
      <c r="A396" s="166" t="b">
        <f t="shared" ca="1" si="61"/>
        <v>0</v>
      </c>
      <c r="B396" s="176">
        <f t="shared" ref="B396:B447" si="67">B395+1</f>
        <v>39</v>
      </c>
      <c r="C396" s="172" t="str">
        <f ca="1">IF(COUNTA(D$265:D395)=1,"",OFFSET(B394,-COUNTA(D$265:D395)+3,1))</f>
        <v>a1W3p000005aVOuEAM</v>
      </c>
      <c r="D396" s="166"/>
      <c r="E396" s="166">
        <f t="shared" ref="E396:E447" ca="1" si="68">COUNTIF(F387:F396,F396)</f>
        <v>3</v>
      </c>
      <c r="F396" s="177">
        <f ca="1">IF(COUNTA(D$265:D395)=1,"",OFFSET(F394,-COUNTA(D$265:D395)+3,0))</f>
        <v>7</v>
      </c>
      <c r="G396" s="166"/>
      <c r="H396" s="166">
        <f t="shared" ref="H396:H447" ca="1" si="69">IF(F396=1,9,IF(E395=MAX(E394:E396),H394+2,H395))</f>
        <v>21</v>
      </c>
      <c r="I396" s="177" t="str">
        <f t="shared" ca="1" si="62"/>
        <v/>
      </c>
      <c r="J396" s="170" t="str">
        <f t="shared" ca="1" si="63"/>
        <v/>
      </c>
      <c r="K396" s="168" t="str">
        <f t="shared" ca="1" si="64"/>
        <v/>
      </c>
      <c r="L396" s="171">
        <f ca="1">IFERROR(CHOOSE(E396,'Outcome Indicators - Section C '!$K$7,'Outcome Indicators - Section C '!$O$7,'Outcome Indicators - Section C '!$S$7,'Outcome Indicators - Section C '!$W$7),"")</f>
        <v>2025</v>
      </c>
      <c r="M396" s="179" t="str">
        <f t="shared" ca="1" si="65"/>
        <v/>
      </c>
      <c r="N396" s="171" t="str">
        <f t="shared" ca="1" si="66"/>
        <v/>
      </c>
      <c r="O396" s="166"/>
      <c r="P396" s="166">
        <f t="shared" ref="P396:P447" ca="1" si="70">IF(NOT(_xlfn.ISFORMULA(I396)),P395+1,0)</f>
        <v>0</v>
      </c>
      <c r="Q396" s="171"/>
    </row>
    <row r="397" spans="1:17">
      <c r="A397" s="166" t="b">
        <f t="shared" ca="1" si="61"/>
        <v>0</v>
      </c>
      <c r="B397" s="176">
        <f t="shared" si="67"/>
        <v>40</v>
      </c>
      <c r="C397" s="172" t="str">
        <f ca="1">IF(COUNTA(D$265:D396)=1,"",OFFSET(B395,-COUNTA(D$265:D396)+3,1))</f>
        <v>a1W3p000005aVP9EAM</v>
      </c>
      <c r="D397" s="166"/>
      <c r="E397" s="166">
        <f t="shared" ca="1" si="68"/>
        <v>4</v>
      </c>
      <c r="F397" s="177">
        <f ca="1">IF(COUNTA(D$265:D396)=1,"",OFFSET(F395,-COUNTA(D$265:D396)+3,0))</f>
        <v>7</v>
      </c>
      <c r="G397" s="166"/>
      <c r="H397" s="166">
        <f t="shared" ca="1" si="69"/>
        <v>21</v>
      </c>
      <c r="I397" s="177" t="str">
        <f t="shared" ca="1" si="62"/>
        <v/>
      </c>
      <c r="J397" s="170" t="str">
        <f t="shared" ca="1" si="63"/>
        <v/>
      </c>
      <c r="K397" s="168" t="str">
        <f t="shared" ca="1" si="64"/>
        <v/>
      </c>
      <c r="L397" s="171" t="str">
        <f ca="1">IFERROR(CHOOSE(E397,'Outcome Indicators - Section C '!$K$7,'Outcome Indicators - Section C '!$O$7,'Outcome Indicators - Section C '!$S$7,'Outcome Indicators - Section C '!$W$7),"")</f>
        <v/>
      </c>
      <c r="M397" s="179" t="str">
        <f t="shared" ca="1" si="65"/>
        <v/>
      </c>
      <c r="N397" s="171" t="str">
        <f t="shared" ca="1" si="66"/>
        <v/>
      </c>
      <c r="O397" s="166"/>
      <c r="P397" s="166">
        <f t="shared" ca="1" si="70"/>
        <v>0</v>
      </c>
      <c r="Q397" s="171"/>
    </row>
    <row r="398" spans="1:17">
      <c r="A398" s="166" t="b">
        <f t="shared" ca="1" si="61"/>
        <v>0</v>
      </c>
      <c r="B398" s="176">
        <f t="shared" si="67"/>
        <v>41</v>
      </c>
      <c r="C398" s="172" t="str">
        <f ca="1">IF(COUNTA(D$265:D397)=1,"",OFFSET(B396,-COUNTA(D$265:D397)+3,1))</f>
        <v>a1W3p000005aVPOEA2</v>
      </c>
      <c r="D398" s="166"/>
      <c r="E398" s="166">
        <f t="shared" ca="1" si="68"/>
        <v>5</v>
      </c>
      <c r="F398" s="177">
        <f ca="1">IF(COUNTA(D$265:D397)=1,"",OFFSET(F396,-COUNTA(D$265:D397)+3,0))</f>
        <v>7</v>
      </c>
      <c r="G398" s="166"/>
      <c r="H398" s="166">
        <f t="shared" ca="1" si="69"/>
        <v>21</v>
      </c>
      <c r="I398" s="177" t="str">
        <f t="shared" ca="1" si="62"/>
        <v/>
      </c>
      <c r="J398" s="170" t="str">
        <f t="shared" ca="1" si="63"/>
        <v/>
      </c>
      <c r="K398" s="168" t="str">
        <f t="shared" ca="1" si="64"/>
        <v/>
      </c>
      <c r="L398" s="171" t="str">
        <f ca="1">IFERROR(CHOOSE(E398,'Outcome Indicators - Section C '!$K$7,'Outcome Indicators - Section C '!$O$7,'Outcome Indicators - Section C '!$S$7,'Outcome Indicators - Section C '!$W$7),"")</f>
        <v/>
      </c>
      <c r="M398" s="179" t="str">
        <f t="shared" ca="1" si="65"/>
        <v/>
      </c>
      <c r="N398" s="171" t="str">
        <f t="shared" ca="1" si="66"/>
        <v/>
      </c>
      <c r="O398" s="166"/>
      <c r="P398" s="166">
        <f t="shared" ca="1" si="70"/>
        <v>0</v>
      </c>
      <c r="Q398" s="171"/>
    </row>
    <row r="399" spans="1:17">
      <c r="A399" s="166" t="b">
        <f t="shared" ca="1" si="61"/>
        <v>0</v>
      </c>
      <c r="B399" s="176">
        <f t="shared" si="67"/>
        <v>42</v>
      </c>
      <c r="C399" s="172" t="str">
        <f ca="1">IF(COUNTA(D$265:D398)=1,"",OFFSET(B397,-COUNTA(D$265:D398)+3,1))</f>
        <v>a1W3p000005aVPdEAM</v>
      </c>
      <c r="D399" s="166"/>
      <c r="E399" s="166">
        <f t="shared" ca="1" si="68"/>
        <v>6</v>
      </c>
      <c r="F399" s="177">
        <f ca="1">IF(COUNTA(D$265:D398)=1,"",OFFSET(F397,-COUNTA(D$265:D398)+3,0))</f>
        <v>7</v>
      </c>
      <c r="G399" s="166"/>
      <c r="H399" s="166">
        <f t="shared" ca="1" si="69"/>
        <v>21</v>
      </c>
      <c r="I399" s="177" t="str">
        <f t="shared" ca="1" si="62"/>
        <v/>
      </c>
      <c r="J399" s="170" t="str">
        <f t="shared" ca="1" si="63"/>
        <v/>
      </c>
      <c r="K399" s="168" t="str">
        <f t="shared" ca="1" si="64"/>
        <v/>
      </c>
      <c r="L399" s="171" t="str">
        <f ca="1">IFERROR(CHOOSE(E399,'Outcome Indicators - Section C '!$K$7,'Outcome Indicators - Section C '!$O$7,'Outcome Indicators - Section C '!$S$7,'Outcome Indicators - Section C '!$W$7),"")</f>
        <v/>
      </c>
      <c r="M399" s="179" t="str">
        <f t="shared" ca="1" si="65"/>
        <v/>
      </c>
      <c r="N399" s="171" t="str">
        <f t="shared" ca="1" si="66"/>
        <v/>
      </c>
      <c r="O399" s="166"/>
      <c r="P399" s="166">
        <f t="shared" ca="1" si="70"/>
        <v>0</v>
      </c>
      <c r="Q399" s="171"/>
    </row>
    <row r="400" spans="1:17">
      <c r="A400" s="166" t="b">
        <f t="shared" ca="1" si="61"/>
        <v>0</v>
      </c>
      <c r="B400" s="176">
        <f t="shared" si="67"/>
        <v>43</v>
      </c>
      <c r="C400" s="172" t="str">
        <f ca="1">IF(COUNTA(D$265:D399)=1,"",OFFSET(B398,-COUNTA(D$265:D399)+3,1))</f>
        <v>a1W3p000005aVOREA2</v>
      </c>
      <c r="D400" s="166"/>
      <c r="E400" s="166">
        <f t="shared" ca="1" si="68"/>
        <v>1</v>
      </c>
      <c r="F400" s="177">
        <f ca="1">IF(COUNTA(D$265:D399)=1,"",OFFSET(F398,-COUNTA(D$265:D399)+3,0))</f>
        <v>8</v>
      </c>
      <c r="G400" s="166"/>
      <c r="H400" s="166">
        <f t="shared" ca="1" si="69"/>
        <v>23</v>
      </c>
      <c r="I400" s="177" t="str">
        <f t="shared" ca="1" si="62"/>
        <v/>
      </c>
      <c r="J400" s="170" t="str">
        <f t="shared" ca="1" si="63"/>
        <v/>
      </c>
      <c r="K400" s="168" t="str">
        <f t="shared" ca="1" si="64"/>
        <v/>
      </c>
      <c r="L400" s="171">
        <f ca="1">IFERROR(CHOOSE(E400,'Outcome Indicators - Section C '!$K$7,'Outcome Indicators - Section C '!$O$7,'Outcome Indicators - Section C '!$S$7,'Outcome Indicators - Section C '!$W$7),"")</f>
        <v>2023</v>
      </c>
      <c r="M400" s="179" t="str">
        <f t="shared" ca="1" si="65"/>
        <v/>
      </c>
      <c r="N400" s="171" t="str">
        <f t="shared" ca="1" si="66"/>
        <v/>
      </c>
      <c r="O400" s="166"/>
      <c r="P400" s="166">
        <f t="shared" ca="1" si="70"/>
        <v>0</v>
      </c>
      <c r="Q400" s="171"/>
    </row>
    <row r="401" spans="1:17">
      <c r="A401" s="166" t="b">
        <f t="shared" ca="1" si="61"/>
        <v>0</v>
      </c>
      <c r="B401" s="176">
        <f t="shared" si="67"/>
        <v>44</v>
      </c>
      <c r="C401" s="172" t="str">
        <f ca="1">IF(COUNTA(D$265:D400)=1,"",OFFSET(B399,-COUNTA(D$265:D400)+3,1))</f>
        <v>a1W3p000005aVOgEAM</v>
      </c>
      <c r="D401" s="166"/>
      <c r="E401" s="166">
        <f t="shared" ca="1" si="68"/>
        <v>2</v>
      </c>
      <c r="F401" s="177">
        <f ca="1">IF(COUNTA(D$265:D400)=1,"",OFFSET(F399,-COUNTA(D$265:D400)+3,0))</f>
        <v>8</v>
      </c>
      <c r="G401" s="166"/>
      <c r="H401" s="166">
        <f t="shared" ca="1" si="69"/>
        <v>23</v>
      </c>
      <c r="I401" s="177" t="str">
        <f t="shared" ca="1" si="62"/>
        <v/>
      </c>
      <c r="J401" s="170" t="str">
        <f t="shared" ca="1" si="63"/>
        <v/>
      </c>
      <c r="K401" s="168" t="str">
        <f t="shared" ca="1" si="64"/>
        <v/>
      </c>
      <c r="L401" s="171">
        <f ca="1">IFERROR(CHOOSE(E401,'Outcome Indicators - Section C '!$K$7,'Outcome Indicators - Section C '!$O$7,'Outcome Indicators - Section C '!$S$7,'Outcome Indicators - Section C '!$W$7),"")</f>
        <v>2024</v>
      </c>
      <c r="M401" s="179" t="str">
        <f t="shared" ca="1" si="65"/>
        <v/>
      </c>
      <c r="N401" s="171" t="str">
        <f t="shared" ca="1" si="66"/>
        <v/>
      </c>
      <c r="O401" s="166"/>
      <c r="P401" s="166">
        <f t="shared" ca="1" si="70"/>
        <v>0</v>
      </c>
      <c r="Q401" s="171"/>
    </row>
    <row r="402" spans="1:17">
      <c r="A402" s="166" t="b">
        <f t="shared" ca="1" si="61"/>
        <v>0</v>
      </c>
      <c r="B402" s="176">
        <f t="shared" si="67"/>
        <v>45</v>
      </c>
      <c r="C402" s="172" t="str">
        <f ca="1">IF(COUNTA(D$265:D401)=1,"",OFFSET(B400,-COUNTA(D$265:D401)+3,1))</f>
        <v>a1W3p000005aVOvEAM</v>
      </c>
      <c r="D402" s="166"/>
      <c r="E402" s="166">
        <f t="shared" ca="1" si="68"/>
        <v>3</v>
      </c>
      <c r="F402" s="177">
        <f ca="1">IF(COUNTA(D$265:D401)=1,"",OFFSET(F400,-COUNTA(D$265:D401)+3,0))</f>
        <v>8</v>
      </c>
      <c r="G402" s="166"/>
      <c r="H402" s="166">
        <f t="shared" ca="1" si="69"/>
        <v>23</v>
      </c>
      <c r="I402" s="177" t="str">
        <f t="shared" ca="1" si="62"/>
        <v/>
      </c>
      <c r="J402" s="170" t="str">
        <f t="shared" ca="1" si="63"/>
        <v/>
      </c>
      <c r="K402" s="168" t="str">
        <f t="shared" ca="1" si="64"/>
        <v/>
      </c>
      <c r="L402" s="171">
        <f ca="1">IFERROR(CHOOSE(E402,'Outcome Indicators - Section C '!$K$7,'Outcome Indicators - Section C '!$O$7,'Outcome Indicators - Section C '!$S$7,'Outcome Indicators - Section C '!$W$7),"")</f>
        <v>2025</v>
      </c>
      <c r="M402" s="179" t="str">
        <f t="shared" ca="1" si="65"/>
        <v/>
      </c>
      <c r="N402" s="171" t="str">
        <f t="shared" ca="1" si="66"/>
        <v/>
      </c>
      <c r="O402" s="166"/>
      <c r="P402" s="166">
        <f t="shared" ca="1" si="70"/>
        <v>0</v>
      </c>
      <c r="Q402" s="171"/>
    </row>
    <row r="403" spans="1:17">
      <c r="A403" s="166" t="b">
        <f t="shared" ca="1" si="61"/>
        <v>0</v>
      </c>
      <c r="B403" s="176">
        <f t="shared" si="67"/>
        <v>46</v>
      </c>
      <c r="C403" s="172" t="str">
        <f ca="1">IF(COUNTA(D$265:D402)=1,"",OFFSET(B401,-COUNTA(D$265:D402)+3,1))</f>
        <v>a1W3p000005aVPAEA2</v>
      </c>
      <c r="D403" s="166"/>
      <c r="E403" s="166">
        <f t="shared" ca="1" si="68"/>
        <v>4</v>
      </c>
      <c r="F403" s="177">
        <f ca="1">IF(COUNTA(D$265:D402)=1,"",OFFSET(F401,-COUNTA(D$265:D402)+3,0))</f>
        <v>8</v>
      </c>
      <c r="G403" s="166"/>
      <c r="H403" s="166">
        <f t="shared" ca="1" si="69"/>
        <v>23</v>
      </c>
      <c r="I403" s="177" t="str">
        <f t="shared" ca="1" si="62"/>
        <v/>
      </c>
      <c r="J403" s="170" t="str">
        <f t="shared" ca="1" si="63"/>
        <v/>
      </c>
      <c r="K403" s="168" t="str">
        <f t="shared" ca="1" si="64"/>
        <v/>
      </c>
      <c r="L403" s="171" t="str">
        <f ca="1">IFERROR(CHOOSE(E403,'Outcome Indicators - Section C '!$K$7,'Outcome Indicators - Section C '!$O$7,'Outcome Indicators - Section C '!$S$7,'Outcome Indicators - Section C '!$W$7),"")</f>
        <v/>
      </c>
      <c r="M403" s="179" t="str">
        <f t="shared" ca="1" si="65"/>
        <v/>
      </c>
      <c r="N403" s="171" t="str">
        <f t="shared" ca="1" si="66"/>
        <v/>
      </c>
      <c r="O403" s="166"/>
      <c r="P403" s="166">
        <f t="shared" ca="1" si="70"/>
        <v>0</v>
      </c>
      <c r="Q403" s="171"/>
    </row>
    <row r="404" spans="1:17">
      <c r="A404" s="166" t="b">
        <f t="shared" ca="1" si="61"/>
        <v>0</v>
      </c>
      <c r="B404" s="176">
        <f t="shared" si="67"/>
        <v>47</v>
      </c>
      <c r="C404" s="172" t="str">
        <f ca="1">IF(COUNTA(D$265:D403)=1,"",OFFSET(B402,-COUNTA(D$265:D403)+3,1))</f>
        <v>a1W3p000005aVPPEA2</v>
      </c>
      <c r="D404" s="166"/>
      <c r="E404" s="166">
        <f t="shared" ca="1" si="68"/>
        <v>5</v>
      </c>
      <c r="F404" s="177">
        <f ca="1">IF(COUNTA(D$265:D403)=1,"",OFFSET(F402,-COUNTA(D$265:D403)+3,0))</f>
        <v>8</v>
      </c>
      <c r="G404" s="166"/>
      <c r="H404" s="166">
        <f t="shared" ca="1" si="69"/>
        <v>23</v>
      </c>
      <c r="I404" s="177" t="str">
        <f t="shared" ca="1" si="62"/>
        <v/>
      </c>
      <c r="J404" s="170" t="str">
        <f t="shared" ca="1" si="63"/>
        <v/>
      </c>
      <c r="K404" s="168" t="str">
        <f t="shared" ca="1" si="64"/>
        <v/>
      </c>
      <c r="L404" s="171" t="str">
        <f ca="1">IFERROR(CHOOSE(E404,'Outcome Indicators - Section C '!$K$7,'Outcome Indicators - Section C '!$O$7,'Outcome Indicators - Section C '!$S$7,'Outcome Indicators - Section C '!$W$7),"")</f>
        <v/>
      </c>
      <c r="M404" s="179" t="str">
        <f t="shared" ca="1" si="65"/>
        <v/>
      </c>
      <c r="N404" s="171" t="str">
        <f t="shared" ca="1" si="66"/>
        <v/>
      </c>
      <c r="O404" s="166"/>
      <c r="P404" s="166">
        <f t="shared" ca="1" si="70"/>
        <v>0</v>
      </c>
      <c r="Q404" s="171"/>
    </row>
    <row r="405" spans="1:17">
      <c r="A405" s="166" t="b">
        <f t="shared" ca="1" si="61"/>
        <v>0</v>
      </c>
      <c r="B405" s="176">
        <f t="shared" si="67"/>
        <v>48</v>
      </c>
      <c r="C405" s="172" t="str">
        <f ca="1">IF(COUNTA(D$265:D404)=1,"",OFFSET(B403,-COUNTA(D$265:D404)+3,1))</f>
        <v>a1W3p000005aVPeEAM</v>
      </c>
      <c r="D405" s="166"/>
      <c r="E405" s="166">
        <f t="shared" ca="1" si="68"/>
        <v>6</v>
      </c>
      <c r="F405" s="177">
        <f ca="1">IF(COUNTA(D$265:D404)=1,"",OFFSET(F403,-COUNTA(D$265:D404)+3,0))</f>
        <v>8</v>
      </c>
      <c r="G405" s="166"/>
      <c r="H405" s="166">
        <f t="shared" ca="1" si="69"/>
        <v>23</v>
      </c>
      <c r="I405" s="177" t="str">
        <f t="shared" ca="1" si="62"/>
        <v/>
      </c>
      <c r="J405" s="170" t="str">
        <f t="shared" ca="1" si="63"/>
        <v/>
      </c>
      <c r="K405" s="168" t="str">
        <f t="shared" ca="1" si="64"/>
        <v/>
      </c>
      <c r="L405" s="171" t="str">
        <f ca="1">IFERROR(CHOOSE(E405,'Outcome Indicators - Section C '!$K$7,'Outcome Indicators - Section C '!$O$7,'Outcome Indicators - Section C '!$S$7,'Outcome Indicators - Section C '!$W$7),"")</f>
        <v/>
      </c>
      <c r="M405" s="179" t="str">
        <f t="shared" ca="1" si="65"/>
        <v/>
      </c>
      <c r="N405" s="171" t="str">
        <f t="shared" ca="1" si="66"/>
        <v/>
      </c>
      <c r="O405" s="166"/>
      <c r="P405" s="166">
        <f t="shared" ca="1" si="70"/>
        <v>0</v>
      </c>
      <c r="Q405" s="171"/>
    </row>
    <row r="406" spans="1:17">
      <c r="A406" s="166" t="b">
        <f t="shared" ca="1" si="61"/>
        <v>0</v>
      </c>
      <c r="B406" s="176">
        <f t="shared" si="67"/>
        <v>49</v>
      </c>
      <c r="C406" s="172" t="str">
        <f ca="1">IF(COUNTA(D$265:D405)=1,"",OFFSET(B404,-COUNTA(D$265:D405)+3,1))</f>
        <v>a1W3p000005aVOSEA2</v>
      </c>
      <c r="D406" s="166"/>
      <c r="E406" s="166">
        <f t="shared" ca="1" si="68"/>
        <v>1</v>
      </c>
      <c r="F406" s="177">
        <f ca="1">IF(COUNTA(D$265:D405)=1,"",OFFSET(F404,-COUNTA(D$265:D405)+3,0))</f>
        <v>9</v>
      </c>
      <c r="G406" s="166"/>
      <c r="H406" s="166">
        <f t="shared" ca="1" si="69"/>
        <v>25</v>
      </c>
      <c r="I406" s="177" t="str">
        <f t="shared" ca="1" si="62"/>
        <v/>
      </c>
      <c r="J406" s="170" t="str">
        <f t="shared" ca="1" si="63"/>
        <v/>
      </c>
      <c r="K406" s="168" t="str">
        <f t="shared" ca="1" si="64"/>
        <v/>
      </c>
      <c r="L406" s="171">
        <f ca="1">IFERROR(CHOOSE(E406,'Outcome Indicators - Section C '!$K$7,'Outcome Indicators - Section C '!$O$7,'Outcome Indicators - Section C '!$S$7,'Outcome Indicators - Section C '!$W$7),"")</f>
        <v>2023</v>
      </c>
      <c r="M406" s="179" t="str">
        <f t="shared" ca="1" si="65"/>
        <v/>
      </c>
      <c r="N406" s="171" t="str">
        <f t="shared" ca="1" si="66"/>
        <v/>
      </c>
      <c r="O406" s="166"/>
      <c r="P406" s="166">
        <f t="shared" ca="1" si="70"/>
        <v>0</v>
      </c>
      <c r="Q406" s="171"/>
    </row>
    <row r="407" spans="1:17">
      <c r="A407" s="166" t="b">
        <f t="shared" ca="1" si="61"/>
        <v>0</v>
      </c>
      <c r="B407" s="176">
        <f t="shared" si="67"/>
        <v>50</v>
      </c>
      <c r="C407" s="172" t="str">
        <f ca="1">IF(COUNTA(D$265:D406)=1,"",OFFSET(B405,-COUNTA(D$265:D406)+3,1))</f>
        <v>a1W3p000005aVOhEAM</v>
      </c>
      <c r="D407" s="166"/>
      <c r="E407" s="166">
        <f t="shared" ca="1" si="68"/>
        <v>2</v>
      </c>
      <c r="F407" s="177">
        <f ca="1">IF(COUNTA(D$265:D406)=1,"",OFFSET(F405,-COUNTA(D$265:D406)+3,0))</f>
        <v>9</v>
      </c>
      <c r="G407" s="166"/>
      <c r="H407" s="166">
        <f t="shared" ca="1" si="69"/>
        <v>25</v>
      </c>
      <c r="I407" s="177" t="str">
        <f t="shared" ca="1" si="62"/>
        <v/>
      </c>
      <c r="J407" s="170" t="str">
        <f t="shared" ca="1" si="63"/>
        <v/>
      </c>
      <c r="K407" s="168" t="str">
        <f t="shared" ca="1" si="64"/>
        <v/>
      </c>
      <c r="L407" s="171">
        <f ca="1">IFERROR(CHOOSE(E407,'Outcome Indicators - Section C '!$K$7,'Outcome Indicators - Section C '!$O$7,'Outcome Indicators - Section C '!$S$7,'Outcome Indicators - Section C '!$W$7),"")</f>
        <v>2024</v>
      </c>
      <c r="M407" s="179" t="str">
        <f t="shared" ca="1" si="65"/>
        <v/>
      </c>
      <c r="N407" s="171" t="str">
        <f t="shared" ca="1" si="66"/>
        <v/>
      </c>
      <c r="O407" s="166"/>
      <c r="P407" s="166">
        <f t="shared" ca="1" si="70"/>
        <v>0</v>
      </c>
      <c r="Q407" s="171"/>
    </row>
    <row r="408" spans="1:17">
      <c r="A408" s="166" t="b">
        <f t="shared" ca="1" si="61"/>
        <v>0</v>
      </c>
      <c r="B408" s="176">
        <f t="shared" si="67"/>
        <v>51</v>
      </c>
      <c r="C408" s="172" t="str">
        <f ca="1">IF(COUNTA(D$265:D407)=1,"",OFFSET(B406,-COUNTA(D$265:D407)+3,1))</f>
        <v>a1W3p000005aVOwEAM</v>
      </c>
      <c r="D408" s="166"/>
      <c r="E408" s="166">
        <f t="shared" ca="1" si="68"/>
        <v>3</v>
      </c>
      <c r="F408" s="177">
        <f ca="1">IF(COUNTA(D$265:D407)=1,"",OFFSET(F406,-COUNTA(D$265:D407)+3,0))</f>
        <v>9</v>
      </c>
      <c r="G408" s="166"/>
      <c r="H408" s="166">
        <f t="shared" ca="1" si="69"/>
        <v>25</v>
      </c>
      <c r="I408" s="177" t="str">
        <f t="shared" ca="1" si="62"/>
        <v/>
      </c>
      <c r="J408" s="170" t="str">
        <f t="shared" ca="1" si="63"/>
        <v/>
      </c>
      <c r="K408" s="168" t="str">
        <f t="shared" ca="1" si="64"/>
        <v/>
      </c>
      <c r="L408" s="171">
        <f ca="1">IFERROR(CHOOSE(E408,'Outcome Indicators - Section C '!$K$7,'Outcome Indicators - Section C '!$O$7,'Outcome Indicators - Section C '!$S$7,'Outcome Indicators - Section C '!$W$7),"")</f>
        <v>2025</v>
      </c>
      <c r="M408" s="179" t="str">
        <f t="shared" ca="1" si="65"/>
        <v/>
      </c>
      <c r="N408" s="171" t="str">
        <f t="shared" ca="1" si="66"/>
        <v/>
      </c>
      <c r="O408" s="166"/>
      <c r="P408" s="166">
        <f t="shared" ca="1" si="70"/>
        <v>0</v>
      </c>
      <c r="Q408" s="171"/>
    </row>
    <row r="409" spans="1:17">
      <c r="A409" s="166" t="b">
        <f t="shared" ca="1" si="61"/>
        <v>0</v>
      </c>
      <c r="B409" s="176">
        <f t="shared" si="67"/>
        <v>52</v>
      </c>
      <c r="C409" s="172" t="str">
        <f ca="1">IF(COUNTA(D$265:D408)=1,"",OFFSET(B407,-COUNTA(D$265:D408)+3,1))</f>
        <v>a1W3p000005aVPBEA2</v>
      </c>
      <c r="D409" s="166"/>
      <c r="E409" s="166">
        <f t="shared" ca="1" si="68"/>
        <v>4</v>
      </c>
      <c r="F409" s="177">
        <f ca="1">IF(COUNTA(D$265:D408)=1,"",OFFSET(F407,-COUNTA(D$265:D408)+3,0))</f>
        <v>9</v>
      </c>
      <c r="G409" s="166"/>
      <c r="H409" s="166">
        <f t="shared" ca="1" si="69"/>
        <v>25</v>
      </c>
      <c r="I409" s="177" t="str">
        <f t="shared" ca="1" si="62"/>
        <v/>
      </c>
      <c r="J409" s="170" t="str">
        <f t="shared" ca="1" si="63"/>
        <v/>
      </c>
      <c r="K409" s="168" t="str">
        <f t="shared" ca="1" si="64"/>
        <v/>
      </c>
      <c r="L409" s="171" t="str">
        <f ca="1">IFERROR(CHOOSE(E409,'Outcome Indicators - Section C '!$K$7,'Outcome Indicators - Section C '!$O$7,'Outcome Indicators - Section C '!$S$7,'Outcome Indicators - Section C '!$W$7),"")</f>
        <v/>
      </c>
      <c r="M409" s="179" t="str">
        <f t="shared" ca="1" si="65"/>
        <v/>
      </c>
      <c r="N409" s="171" t="str">
        <f t="shared" ca="1" si="66"/>
        <v/>
      </c>
      <c r="O409" s="166"/>
      <c r="P409" s="166">
        <f t="shared" ca="1" si="70"/>
        <v>0</v>
      </c>
      <c r="Q409" s="171"/>
    </row>
    <row r="410" spans="1:17">
      <c r="A410" s="166" t="b">
        <f t="shared" ca="1" si="61"/>
        <v>0</v>
      </c>
      <c r="B410" s="176">
        <f t="shared" si="67"/>
        <v>53</v>
      </c>
      <c r="C410" s="172" t="str">
        <f ca="1">IF(COUNTA(D$265:D409)=1,"",OFFSET(B408,-COUNTA(D$265:D409)+3,1))</f>
        <v>a1W3p000005aVPQEA2</v>
      </c>
      <c r="D410" s="166"/>
      <c r="E410" s="166">
        <f t="shared" ca="1" si="68"/>
        <v>5</v>
      </c>
      <c r="F410" s="177">
        <f ca="1">IF(COUNTA(D$265:D409)=1,"",OFFSET(F408,-COUNTA(D$265:D409)+3,0))</f>
        <v>9</v>
      </c>
      <c r="G410" s="166"/>
      <c r="H410" s="166">
        <f t="shared" ca="1" si="69"/>
        <v>25</v>
      </c>
      <c r="I410" s="177" t="str">
        <f t="shared" ca="1" si="62"/>
        <v/>
      </c>
      <c r="J410" s="170" t="str">
        <f t="shared" ca="1" si="63"/>
        <v/>
      </c>
      <c r="K410" s="168" t="str">
        <f t="shared" ca="1" si="64"/>
        <v/>
      </c>
      <c r="L410" s="171" t="str">
        <f ca="1">IFERROR(CHOOSE(E410,'Outcome Indicators - Section C '!$K$7,'Outcome Indicators - Section C '!$O$7,'Outcome Indicators - Section C '!$S$7,'Outcome Indicators - Section C '!$W$7),"")</f>
        <v/>
      </c>
      <c r="M410" s="179" t="str">
        <f t="shared" ca="1" si="65"/>
        <v/>
      </c>
      <c r="N410" s="171" t="str">
        <f t="shared" ca="1" si="66"/>
        <v/>
      </c>
      <c r="O410" s="166"/>
      <c r="P410" s="166">
        <f t="shared" ca="1" si="70"/>
        <v>0</v>
      </c>
      <c r="Q410" s="171"/>
    </row>
    <row r="411" spans="1:17">
      <c r="A411" s="166" t="b">
        <f t="shared" ca="1" si="61"/>
        <v>0</v>
      </c>
      <c r="B411" s="176">
        <f t="shared" si="67"/>
        <v>54</v>
      </c>
      <c r="C411" s="172" t="str">
        <f ca="1">IF(COUNTA(D$265:D410)=1,"",OFFSET(B409,-COUNTA(D$265:D410)+3,1))</f>
        <v>a1W3p000005aVPfEAM</v>
      </c>
      <c r="D411" s="166"/>
      <c r="E411" s="166">
        <f t="shared" ca="1" si="68"/>
        <v>6</v>
      </c>
      <c r="F411" s="177">
        <f ca="1">IF(COUNTA(D$265:D410)=1,"",OFFSET(F409,-COUNTA(D$265:D410)+3,0))</f>
        <v>9</v>
      </c>
      <c r="G411" s="166"/>
      <c r="H411" s="166">
        <f t="shared" ca="1" si="69"/>
        <v>25</v>
      </c>
      <c r="I411" s="177" t="str">
        <f t="shared" ca="1" si="62"/>
        <v/>
      </c>
      <c r="J411" s="170" t="str">
        <f t="shared" ca="1" si="63"/>
        <v/>
      </c>
      <c r="K411" s="168" t="str">
        <f t="shared" ca="1" si="64"/>
        <v/>
      </c>
      <c r="L411" s="171" t="str">
        <f ca="1">IFERROR(CHOOSE(E411,'Outcome Indicators - Section C '!$K$7,'Outcome Indicators - Section C '!$O$7,'Outcome Indicators - Section C '!$S$7,'Outcome Indicators - Section C '!$W$7),"")</f>
        <v/>
      </c>
      <c r="M411" s="179" t="str">
        <f t="shared" ca="1" si="65"/>
        <v/>
      </c>
      <c r="N411" s="171" t="str">
        <f t="shared" ca="1" si="66"/>
        <v/>
      </c>
      <c r="O411" s="166"/>
      <c r="P411" s="166">
        <f t="shared" ca="1" si="70"/>
        <v>0</v>
      </c>
      <c r="Q411" s="171"/>
    </row>
    <row r="412" spans="1:17">
      <c r="A412" s="166" t="b">
        <f t="shared" ca="1" si="61"/>
        <v>0</v>
      </c>
      <c r="B412" s="176">
        <f t="shared" si="67"/>
        <v>55</v>
      </c>
      <c r="C412" s="172" t="str">
        <f ca="1">IF(COUNTA(D$265:D411)=1,"",OFFSET(B410,-COUNTA(D$265:D411)+3,1))</f>
        <v>a1W3p000005aVOTEA2</v>
      </c>
      <c r="D412" s="166"/>
      <c r="E412" s="166">
        <f t="shared" ca="1" si="68"/>
        <v>1</v>
      </c>
      <c r="F412" s="177">
        <f ca="1">IF(COUNTA(D$265:D411)=1,"",OFFSET(F410,-COUNTA(D$265:D411)+3,0))</f>
        <v>10</v>
      </c>
      <c r="G412" s="166"/>
      <c r="H412" s="166">
        <f t="shared" ca="1" si="69"/>
        <v>27</v>
      </c>
      <c r="I412" s="177" t="str">
        <f t="shared" ca="1" si="62"/>
        <v/>
      </c>
      <c r="J412" s="170" t="str">
        <f t="shared" ca="1" si="63"/>
        <v/>
      </c>
      <c r="K412" s="168" t="str">
        <f t="shared" ca="1" si="64"/>
        <v/>
      </c>
      <c r="L412" s="171">
        <f ca="1">IFERROR(CHOOSE(E412,'Outcome Indicators - Section C '!$K$7,'Outcome Indicators - Section C '!$O$7,'Outcome Indicators - Section C '!$S$7,'Outcome Indicators - Section C '!$W$7),"")</f>
        <v>2023</v>
      </c>
      <c r="M412" s="179" t="str">
        <f t="shared" ca="1" si="65"/>
        <v/>
      </c>
      <c r="N412" s="171" t="str">
        <f t="shared" ca="1" si="66"/>
        <v/>
      </c>
      <c r="O412" s="166"/>
      <c r="P412" s="166">
        <f t="shared" ca="1" si="70"/>
        <v>0</v>
      </c>
      <c r="Q412" s="171"/>
    </row>
    <row r="413" spans="1:17">
      <c r="A413" s="166" t="b">
        <f t="shared" ca="1" si="61"/>
        <v>0</v>
      </c>
      <c r="B413" s="176">
        <f t="shared" si="67"/>
        <v>56</v>
      </c>
      <c r="C413" s="172" t="str">
        <f ca="1">IF(COUNTA(D$265:D412)=1,"",OFFSET(B411,-COUNTA(D$265:D412)+3,1))</f>
        <v>a1W3p000005aVOiEAM</v>
      </c>
      <c r="D413" s="166"/>
      <c r="E413" s="166">
        <f t="shared" ca="1" si="68"/>
        <v>2</v>
      </c>
      <c r="F413" s="177">
        <f ca="1">IF(COUNTA(D$265:D412)=1,"",OFFSET(F411,-COUNTA(D$265:D412)+3,0))</f>
        <v>10</v>
      </c>
      <c r="G413" s="166"/>
      <c r="H413" s="166">
        <f t="shared" ca="1" si="69"/>
        <v>27</v>
      </c>
      <c r="I413" s="177" t="str">
        <f t="shared" ca="1" si="62"/>
        <v/>
      </c>
      <c r="J413" s="170" t="str">
        <f t="shared" ca="1" si="63"/>
        <v/>
      </c>
      <c r="K413" s="168" t="str">
        <f t="shared" ca="1" si="64"/>
        <v/>
      </c>
      <c r="L413" s="171">
        <f ca="1">IFERROR(CHOOSE(E413,'Outcome Indicators - Section C '!$K$7,'Outcome Indicators - Section C '!$O$7,'Outcome Indicators - Section C '!$S$7,'Outcome Indicators - Section C '!$W$7),"")</f>
        <v>2024</v>
      </c>
      <c r="M413" s="179" t="str">
        <f t="shared" ca="1" si="65"/>
        <v/>
      </c>
      <c r="N413" s="171" t="str">
        <f t="shared" ca="1" si="66"/>
        <v/>
      </c>
      <c r="O413" s="166"/>
      <c r="P413" s="166">
        <f t="shared" ca="1" si="70"/>
        <v>0</v>
      </c>
      <c r="Q413" s="171"/>
    </row>
    <row r="414" spans="1:17">
      <c r="A414" s="166" t="b">
        <f t="shared" ca="1" si="61"/>
        <v>0</v>
      </c>
      <c r="B414" s="176">
        <f t="shared" si="67"/>
        <v>57</v>
      </c>
      <c r="C414" s="172" t="str">
        <f ca="1">IF(COUNTA(D$265:D413)=1,"",OFFSET(B412,-COUNTA(D$265:D413)+3,1))</f>
        <v>a1W3p000005aVOxEAM</v>
      </c>
      <c r="D414" s="166"/>
      <c r="E414" s="166">
        <f t="shared" ca="1" si="68"/>
        <v>3</v>
      </c>
      <c r="F414" s="177">
        <f ca="1">IF(COUNTA(D$265:D413)=1,"",OFFSET(F412,-COUNTA(D$265:D413)+3,0))</f>
        <v>10</v>
      </c>
      <c r="G414" s="166"/>
      <c r="H414" s="166">
        <f t="shared" ca="1" si="69"/>
        <v>27</v>
      </c>
      <c r="I414" s="177" t="str">
        <f t="shared" ca="1" si="62"/>
        <v/>
      </c>
      <c r="J414" s="170" t="str">
        <f t="shared" ca="1" si="63"/>
        <v/>
      </c>
      <c r="K414" s="168" t="str">
        <f t="shared" ca="1" si="64"/>
        <v/>
      </c>
      <c r="L414" s="171">
        <f ca="1">IFERROR(CHOOSE(E414,'Outcome Indicators - Section C '!$K$7,'Outcome Indicators - Section C '!$O$7,'Outcome Indicators - Section C '!$S$7,'Outcome Indicators - Section C '!$W$7),"")</f>
        <v>2025</v>
      </c>
      <c r="M414" s="179" t="str">
        <f t="shared" ca="1" si="65"/>
        <v/>
      </c>
      <c r="N414" s="171" t="str">
        <f t="shared" ca="1" si="66"/>
        <v/>
      </c>
      <c r="O414" s="166"/>
      <c r="P414" s="166">
        <f t="shared" ca="1" si="70"/>
        <v>0</v>
      </c>
      <c r="Q414" s="171"/>
    </row>
    <row r="415" spans="1:17">
      <c r="A415" s="166" t="b">
        <f t="shared" ca="1" si="61"/>
        <v>0</v>
      </c>
      <c r="B415" s="176">
        <f t="shared" si="67"/>
        <v>58</v>
      </c>
      <c r="C415" s="172" t="str">
        <f ca="1">IF(COUNTA(D$265:D414)=1,"",OFFSET(B413,-COUNTA(D$265:D414)+3,1))</f>
        <v>a1W3p000005aVPCEA2</v>
      </c>
      <c r="D415" s="166"/>
      <c r="E415" s="166">
        <f t="shared" ca="1" si="68"/>
        <v>4</v>
      </c>
      <c r="F415" s="177">
        <f ca="1">IF(COUNTA(D$265:D414)=1,"",OFFSET(F413,-COUNTA(D$265:D414)+3,0))</f>
        <v>10</v>
      </c>
      <c r="G415" s="166"/>
      <c r="H415" s="166">
        <f t="shared" ca="1" si="69"/>
        <v>27</v>
      </c>
      <c r="I415" s="177" t="str">
        <f t="shared" ca="1" si="62"/>
        <v/>
      </c>
      <c r="J415" s="170" t="str">
        <f t="shared" ca="1" si="63"/>
        <v/>
      </c>
      <c r="K415" s="168" t="str">
        <f t="shared" ca="1" si="64"/>
        <v/>
      </c>
      <c r="L415" s="171" t="str">
        <f ca="1">IFERROR(CHOOSE(E415,'Outcome Indicators - Section C '!$K$7,'Outcome Indicators - Section C '!$O$7,'Outcome Indicators - Section C '!$S$7,'Outcome Indicators - Section C '!$W$7),"")</f>
        <v/>
      </c>
      <c r="M415" s="179" t="str">
        <f t="shared" ca="1" si="65"/>
        <v/>
      </c>
      <c r="N415" s="171" t="str">
        <f t="shared" ca="1" si="66"/>
        <v/>
      </c>
      <c r="O415" s="166"/>
      <c r="P415" s="166">
        <f t="shared" ca="1" si="70"/>
        <v>0</v>
      </c>
      <c r="Q415" s="171"/>
    </row>
    <row r="416" spans="1:17">
      <c r="A416" s="166" t="b">
        <f t="shared" ca="1" si="61"/>
        <v>0</v>
      </c>
      <c r="B416" s="176">
        <f t="shared" si="67"/>
        <v>59</v>
      </c>
      <c r="C416" s="172" t="str">
        <f ca="1">IF(COUNTA(D$265:D415)=1,"",OFFSET(B414,-COUNTA(D$265:D415)+3,1))</f>
        <v>a1W3p000005aVPREA2</v>
      </c>
      <c r="D416" s="166"/>
      <c r="E416" s="166">
        <f t="shared" ca="1" si="68"/>
        <v>5</v>
      </c>
      <c r="F416" s="177">
        <f ca="1">IF(COUNTA(D$265:D415)=1,"",OFFSET(F414,-COUNTA(D$265:D415)+3,0))</f>
        <v>10</v>
      </c>
      <c r="G416" s="166"/>
      <c r="H416" s="166">
        <f t="shared" ca="1" si="69"/>
        <v>27</v>
      </c>
      <c r="I416" s="177" t="str">
        <f t="shared" ca="1" si="62"/>
        <v/>
      </c>
      <c r="J416" s="170" t="str">
        <f t="shared" ca="1" si="63"/>
        <v/>
      </c>
      <c r="K416" s="168" t="str">
        <f t="shared" ca="1" si="64"/>
        <v/>
      </c>
      <c r="L416" s="171" t="str">
        <f ca="1">IFERROR(CHOOSE(E416,'Outcome Indicators - Section C '!$K$7,'Outcome Indicators - Section C '!$O$7,'Outcome Indicators - Section C '!$S$7,'Outcome Indicators - Section C '!$W$7),"")</f>
        <v/>
      </c>
      <c r="M416" s="179" t="str">
        <f t="shared" ca="1" si="65"/>
        <v/>
      </c>
      <c r="N416" s="171" t="str">
        <f t="shared" ca="1" si="66"/>
        <v/>
      </c>
      <c r="O416" s="166"/>
      <c r="P416" s="166">
        <f t="shared" ca="1" si="70"/>
        <v>0</v>
      </c>
      <c r="Q416" s="171"/>
    </row>
    <row r="417" spans="1:17">
      <c r="A417" s="166" t="b">
        <f t="shared" ca="1" si="61"/>
        <v>0</v>
      </c>
      <c r="B417" s="176">
        <f t="shared" si="67"/>
        <v>60</v>
      </c>
      <c r="C417" s="172" t="str">
        <f ca="1">IF(COUNTA(D$265:D416)=1,"",OFFSET(B415,-COUNTA(D$265:D416)+3,1))</f>
        <v>a1W3p000005aVPgEAM</v>
      </c>
      <c r="D417" s="166"/>
      <c r="E417" s="166">
        <f t="shared" ca="1" si="68"/>
        <v>6</v>
      </c>
      <c r="F417" s="177">
        <f ca="1">IF(COUNTA(D$265:D416)=1,"",OFFSET(F415,-COUNTA(D$265:D416)+3,0))</f>
        <v>10</v>
      </c>
      <c r="G417" s="166"/>
      <c r="H417" s="166">
        <f t="shared" ca="1" si="69"/>
        <v>27</v>
      </c>
      <c r="I417" s="177" t="str">
        <f t="shared" ca="1" si="62"/>
        <v/>
      </c>
      <c r="J417" s="170" t="str">
        <f t="shared" ca="1" si="63"/>
        <v/>
      </c>
      <c r="K417" s="168" t="str">
        <f t="shared" ca="1" si="64"/>
        <v/>
      </c>
      <c r="L417" s="171" t="str">
        <f ca="1">IFERROR(CHOOSE(E417,'Outcome Indicators - Section C '!$K$7,'Outcome Indicators - Section C '!$O$7,'Outcome Indicators - Section C '!$S$7,'Outcome Indicators - Section C '!$W$7),"")</f>
        <v/>
      </c>
      <c r="M417" s="179" t="str">
        <f t="shared" ca="1" si="65"/>
        <v/>
      </c>
      <c r="N417" s="171" t="str">
        <f t="shared" ca="1" si="66"/>
        <v/>
      </c>
      <c r="O417" s="166"/>
      <c r="P417" s="166">
        <f t="shared" ca="1" si="70"/>
        <v>0</v>
      </c>
      <c r="Q417" s="171"/>
    </row>
    <row r="418" spans="1:17">
      <c r="A418" s="166" t="b">
        <f t="shared" ca="1" si="61"/>
        <v>0</v>
      </c>
      <c r="B418" s="176">
        <f t="shared" si="67"/>
        <v>61</v>
      </c>
      <c r="C418" s="172" t="str">
        <f ca="1">IF(COUNTA(D$265:D417)=1,"",OFFSET(B416,-COUNTA(D$265:D417)+3,1))</f>
        <v>a1W3p000005aVOUEA2</v>
      </c>
      <c r="D418" s="166"/>
      <c r="E418" s="166">
        <f t="shared" ca="1" si="68"/>
        <v>1</v>
      </c>
      <c r="F418" s="177">
        <f ca="1">IF(COUNTA(D$265:D417)=1,"",OFFSET(F416,-COUNTA(D$265:D417)+3,0))</f>
        <v>11</v>
      </c>
      <c r="G418" s="166"/>
      <c r="H418" s="166">
        <f t="shared" ca="1" si="69"/>
        <v>29</v>
      </c>
      <c r="I418" s="177" t="str">
        <f t="shared" ca="1" si="62"/>
        <v/>
      </c>
      <c r="J418" s="170" t="str">
        <f t="shared" ca="1" si="63"/>
        <v/>
      </c>
      <c r="K418" s="168" t="str">
        <f t="shared" ca="1" si="64"/>
        <v/>
      </c>
      <c r="L418" s="171">
        <f ca="1">IFERROR(CHOOSE(E418,'Outcome Indicators - Section C '!$K$7,'Outcome Indicators - Section C '!$O$7,'Outcome Indicators - Section C '!$S$7,'Outcome Indicators - Section C '!$W$7),"")</f>
        <v>2023</v>
      </c>
      <c r="M418" s="179" t="str">
        <f t="shared" ca="1" si="65"/>
        <v/>
      </c>
      <c r="N418" s="171" t="str">
        <f t="shared" ca="1" si="66"/>
        <v/>
      </c>
      <c r="O418" s="166"/>
      <c r="P418" s="166">
        <f t="shared" ca="1" si="70"/>
        <v>0</v>
      </c>
      <c r="Q418" s="171"/>
    </row>
    <row r="419" spans="1:17">
      <c r="A419" s="166" t="b">
        <f t="shared" ca="1" si="61"/>
        <v>0</v>
      </c>
      <c r="B419" s="176">
        <f t="shared" si="67"/>
        <v>62</v>
      </c>
      <c r="C419" s="172" t="str">
        <f ca="1">IF(COUNTA(D$265:D418)=1,"",OFFSET(B417,-COUNTA(D$265:D418)+3,1))</f>
        <v>a1W3p000005aVOjEAM</v>
      </c>
      <c r="D419" s="166"/>
      <c r="E419" s="166">
        <f t="shared" ca="1" si="68"/>
        <v>2</v>
      </c>
      <c r="F419" s="177">
        <f ca="1">IF(COUNTA(D$265:D418)=1,"",OFFSET(F417,-COUNTA(D$265:D418)+3,0))</f>
        <v>11</v>
      </c>
      <c r="G419" s="166"/>
      <c r="H419" s="166">
        <f t="shared" ca="1" si="69"/>
        <v>29</v>
      </c>
      <c r="I419" s="177" t="str">
        <f t="shared" ca="1" si="62"/>
        <v/>
      </c>
      <c r="J419" s="170" t="str">
        <f t="shared" ca="1" si="63"/>
        <v/>
      </c>
      <c r="K419" s="168" t="str">
        <f t="shared" ca="1" si="64"/>
        <v/>
      </c>
      <c r="L419" s="171">
        <f ca="1">IFERROR(CHOOSE(E419,'Outcome Indicators - Section C '!$K$7,'Outcome Indicators - Section C '!$O$7,'Outcome Indicators - Section C '!$S$7,'Outcome Indicators - Section C '!$W$7),"")</f>
        <v>2024</v>
      </c>
      <c r="M419" s="179" t="str">
        <f t="shared" ca="1" si="65"/>
        <v/>
      </c>
      <c r="N419" s="171" t="str">
        <f t="shared" ca="1" si="66"/>
        <v/>
      </c>
      <c r="O419" s="166"/>
      <c r="P419" s="166">
        <f t="shared" ca="1" si="70"/>
        <v>0</v>
      </c>
      <c r="Q419" s="171"/>
    </row>
    <row r="420" spans="1:17">
      <c r="A420" s="166" t="b">
        <f t="shared" ca="1" si="61"/>
        <v>0</v>
      </c>
      <c r="B420" s="176">
        <f t="shared" si="67"/>
        <v>63</v>
      </c>
      <c r="C420" s="172" t="str">
        <f ca="1">IF(COUNTA(D$265:D419)=1,"",OFFSET(B418,-COUNTA(D$265:D419)+3,1))</f>
        <v>a1W3p000005aVOyEAM</v>
      </c>
      <c r="D420" s="166"/>
      <c r="E420" s="166">
        <f t="shared" ca="1" si="68"/>
        <v>3</v>
      </c>
      <c r="F420" s="177">
        <f ca="1">IF(COUNTA(D$265:D419)=1,"",OFFSET(F418,-COUNTA(D$265:D419)+3,0))</f>
        <v>11</v>
      </c>
      <c r="G420" s="166"/>
      <c r="H420" s="166">
        <f t="shared" ca="1" si="69"/>
        <v>29</v>
      </c>
      <c r="I420" s="177" t="str">
        <f t="shared" ca="1" si="62"/>
        <v/>
      </c>
      <c r="J420" s="170" t="str">
        <f t="shared" ca="1" si="63"/>
        <v/>
      </c>
      <c r="K420" s="168" t="str">
        <f t="shared" ca="1" si="64"/>
        <v/>
      </c>
      <c r="L420" s="171">
        <f ca="1">IFERROR(CHOOSE(E420,'Outcome Indicators - Section C '!$K$7,'Outcome Indicators - Section C '!$O$7,'Outcome Indicators - Section C '!$S$7,'Outcome Indicators - Section C '!$W$7),"")</f>
        <v>2025</v>
      </c>
      <c r="M420" s="179" t="str">
        <f t="shared" ca="1" si="65"/>
        <v/>
      </c>
      <c r="N420" s="171" t="str">
        <f t="shared" ca="1" si="66"/>
        <v/>
      </c>
      <c r="O420" s="166"/>
      <c r="P420" s="166">
        <f t="shared" ca="1" si="70"/>
        <v>0</v>
      </c>
      <c r="Q420" s="171"/>
    </row>
    <row r="421" spans="1:17">
      <c r="A421" s="166" t="b">
        <f t="shared" ca="1" si="61"/>
        <v>0</v>
      </c>
      <c r="B421" s="176">
        <f t="shared" si="67"/>
        <v>64</v>
      </c>
      <c r="C421" s="172" t="str">
        <f ca="1">IF(COUNTA(D$265:D420)=1,"",OFFSET(B419,-COUNTA(D$265:D420)+3,1))</f>
        <v>a1W3p000005aVPDEA2</v>
      </c>
      <c r="D421" s="166"/>
      <c r="E421" s="166">
        <f t="shared" ca="1" si="68"/>
        <v>4</v>
      </c>
      <c r="F421" s="177">
        <f ca="1">IF(COUNTA(D$265:D420)=1,"",OFFSET(F419,-COUNTA(D$265:D420)+3,0))</f>
        <v>11</v>
      </c>
      <c r="G421" s="166"/>
      <c r="H421" s="166">
        <f t="shared" ca="1" si="69"/>
        <v>29</v>
      </c>
      <c r="I421" s="177" t="str">
        <f t="shared" ca="1" si="62"/>
        <v/>
      </c>
      <c r="J421" s="170" t="str">
        <f t="shared" ca="1" si="63"/>
        <v/>
      </c>
      <c r="K421" s="168" t="str">
        <f t="shared" ca="1" si="64"/>
        <v/>
      </c>
      <c r="L421" s="171" t="str">
        <f ca="1">IFERROR(CHOOSE(E421,'Outcome Indicators - Section C '!$K$7,'Outcome Indicators - Section C '!$O$7,'Outcome Indicators - Section C '!$S$7,'Outcome Indicators - Section C '!$W$7),"")</f>
        <v/>
      </c>
      <c r="M421" s="179" t="str">
        <f t="shared" ca="1" si="65"/>
        <v/>
      </c>
      <c r="N421" s="171" t="str">
        <f t="shared" ca="1" si="66"/>
        <v/>
      </c>
      <c r="O421" s="166"/>
      <c r="P421" s="166">
        <f t="shared" ca="1" si="70"/>
        <v>0</v>
      </c>
      <c r="Q421" s="171"/>
    </row>
    <row r="422" spans="1:17">
      <c r="A422" s="166" t="b">
        <f t="shared" ref="A422:A447" ca="1" si="71">IF(OR(I422&lt;&gt;"",J422&lt;&gt;"",K422&lt;&gt;"",M422&lt;&gt;"",N422&lt;&gt;""),TRUE,FALSE)</f>
        <v>0</v>
      </c>
      <c r="B422" s="176">
        <f t="shared" si="67"/>
        <v>65</v>
      </c>
      <c r="C422" s="172" t="str">
        <f ca="1">IF(COUNTA(D$265:D421)=1,"",OFFSET(B420,-COUNTA(D$265:D421)+3,1))</f>
        <v>a1W3p000005aVPSEA2</v>
      </c>
      <c r="D422" s="166"/>
      <c r="E422" s="166">
        <f t="shared" ca="1" si="68"/>
        <v>5</v>
      </c>
      <c r="F422" s="177">
        <f ca="1">IF(COUNTA(D$265:D421)=1,"",OFFSET(F420,-COUNTA(D$265:D421)+3,0))</f>
        <v>11</v>
      </c>
      <c r="G422" s="166"/>
      <c r="H422" s="166">
        <f t="shared" ca="1" si="69"/>
        <v>29</v>
      </c>
      <c r="I422" s="177" t="str">
        <f t="shared" ref="I422:I447" ca="1" si="72">IFERROR(CHOOSE(E422,IFERROR(IF(INDIRECT("'Outcome Indicators - Section C '!K"&amp;H422+1)="","",INDIRECT("'Outcome Indicators - Section C '!k"&amp;H422+1)),""),IFERROR(IF(INDIRECT("'Outcome Indicators - Section C '!O"&amp;H422+1)="","",INDIRECT("'Outcome Indicators - Section C '!O"&amp;H422+1)),""),IFERROR(IF(INDIRECT("'Outcome Indicators - Section C '!S"&amp;H422+1)="","",INDIRECT("'Outcome Indicators - Section C '!S"&amp;H422+1)),""),IFERROR(IF(INDIRECT("'Outcome Indicators - Section C '!W"&amp;H422+1)="","",INDIRECT("'Outcome Indicators - Section C '!W"&amp;H422+1)),"")),"")</f>
        <v/>
      </c>
      <c r="J422" s="170" t="str">
        <f t="shared" ref="J422:J447" ca="1" si="73">IFERROR(CHOOSE(E422,IFERROR(IF(INDIRECT("'Outcome Indicators - Section C '!K"&amp;H422)="","",INDIRECT("'Outcome Indicators - Section C '!k"&amp;H422)),""),IFERROR(IF(INDIRECT("'Outcome Indicators - Section C '!O"&amp;H422)="","",INDIRECT("'Outcome Indicators - Section C '!O"&amp;H422)),""),IFERROR(IF(INDIRECT("'Outcome Indicators - Section C '!S"&amp;H422)="","",INDIRECT("'Outcome Indicators - Section C '!S"&amp;H422)),""),IFERROR(IF(INDIRECT("'Outcome Indicators - Section C '!W"&amp;H422)="","",INDIRECT("'Outcome Indicators - Section C '!W"&amp;H422)),"")),"")</f>
        <v/>
      </c>
      <c r="K422" s="168" t="str">
        <f t="shared" ref="K422:K447" ca="1" si="74">IFERROR(CHOOSE(E422,IFERROR(IF(INDIRECT("'Outcome Indicators - Section C '!L"&amp;H422)="","",INDIRECT("'Outcome Indicators - Section C '!L"&amp;H422)*100),""),IFERROR(IF(INDIRECT("'Outcome Indicators - Section C '!P"&amp;H422)="","",INDIRECT("'Outcome Indicators - Section C '!P"&amp;H422)*100),""),IFERROR(IF(INDIRECT("'Outcome Indicators - Section C '!T"&amp;H422)="","",INDIRECT("'Outcome Indicators - Section C '!T"&amp;H422)*100),""),IFERROR(IF(INDIRECT("'Outcome Indicators - Section C '!X"&amp;H422)="","",INDIRECT("'Outcome Indicators - Section C '!X"&amp;H422)*100),"")),"")</f>
        <v/>
      </c>
      <c r="L422" s="171" t="str">
        <f ca="1">IFERROR(CHOOSE(E422,'Outcome Indicators - Section C '!$K$7,'Outcome Indicators - Section C '!$O$7,'Outcome Indicators - Section C '!$S$7,'Outcome Indicators - Section C '!$W$7),"")</f>
        <v/>
      </c>
      <c r="M422" s="179" t="str">
        <f t="shared" ref="M422:M447" ca="1" si="75">IFERROR(CHOOSE(E422,IFERROR(IF(INDIRECT("'Outcome Indicators - Section C '!M"&amp;H422)="","",INDIRECT("'Outcome Indicators - Section C '!M"&amp;H422)),""),IFERROR(IF(INDIRECT("'Outcome Indicators - Section C '!Q"&amp;H422)="","",INDIRECT("'Outcome Indicators - Section C '!Q"&amp;H422)),""),IFERROR(IF(INDIRECT("'Outcome Indicators - Section C '!U"&amp;H422)="","",INDIRECT("'Outcome Indicators - Section C '!U"&amp;H422)),""),IFERROR(IF(INDIRECT("'Outcome Indicators - Section C '!Y"&amp;H422)="","",INDIRECT("'Outcome Indicators - Section C '!Y"&amp;H422)),"")),"")</f>
        <v/>
      </c>
      <c r="N422" s="171" t="str">
        <f t="shared" ref="N422:N447" ca="1" si="76">IFERROR(CHOOSE(E422,IFERROR(IF(INDIRECT("'Outcome Indicators - Section C '!N"&amp;H422)=0,"",INDIRECT("'Outcome Indicators - Section C '!N"&amp;H422)),""),IFERROR(IF(INDIRECT("'Outcome Indicators - Section C '!R"&amp;H422)=0,"",INDIRECT("'Outcome Indicators - Section C '!R"&amp;H422)),""),IFERROR(IF(INDIRECT("'Outcome Indicators - Section C '!V"&amp;H422)=0,"",INDIRECT("'Outcome Indicators - Section C '!V"&amp;H422)),""),IFERROR(IF(INDIRECT("'Outcome Indicators - Section C '!Z"&amp;H422)=0,"",INDIRECT("'Outcome Indicators - Section C '!Z"&amp;H422)),"")),"")</f>
        <v/>
      </c>
      <c r="O422" s="166"/>
      <c r="P422" s="166">
        <f t="shared" ca="1" si="70"/>
        <v>0</v>
      </c>
      <c r="Q422" s="171"/>
    </row>
    <row r="423" spans="1:17">
      <c r="A423" s="166" t="b">
        <f t="shared" ca="1" si="71"/>
        <v>0</v>
      </c>
      <c r="B423" s="176">
        <f t="shared" si="67"/>
        <v>66</v>
      </c>
      <c r="C423" s="172" t="str">
        <f ca="1">IF(COUNTA(D$265:D422)=1,"",OFFSET(B421,-COUNTA(D$265:D422)+3,1))</f>
        <v>a1W3p000005aVPhEAM</v>
      </c>
      <c r="D423" s="166"/>
      <c r="E423" s="166">
        <f t="shared" ca="1" si="68"/>
        <v>6</v>
      </c>
      <c r="F423" s="177">
        <f ca="1">IF(COUNTA(D$265:D422)=1,"",OFFSET(F421,-COUNTA(D$265:D422)+3,0))</f>
        <v>11</v>
      </c>
      <c r="G423" s="166"/>
      <c r="H423" s="166">
        <f t="shared" ca="1" si="69"/>
        <v>29</v>
      </c>
      <c r="I423" s="177" t="str">
        <f t="shared" ca="1" si="72"/>
        <v/>
      </c>
      <c r="J423" s="170" t="str">
        <f t="shared" ca="1" si="73"/>
        <v/>
      </c>
      <c r="K423" s="168" t="str">
        <f t="shared" ca="1" si="74"/>
        <v/>
      </c>
      <c r="L423" s="171" t="str">
        <f ca="1">IFERROR(CHOOSE(E423,'Outcome Indicators - Section C '!$K$7,'Outcome Indicators - Section C '!$O$7,'Outcome Indicators - Section C '!$S$7,'Outcome Indicators - Section C '!$W$7),"")</f>
        <v/>
      </c>
      <c r="M423" s="179" t="str">
        <f t="shared" ca="1" si="75"/>
        <v/>
      </c>
      <c r="N423" s="171" t="str">
        <f t="shared" ca="1" si="76"/>
        <v/>
      </c>
      <c r="O423" s="166"/>
      <c r="P423" s="166">
        <f t="shared" ca="1" si="70"/>
        <v>0</v>
      </c>
      <c r="Q423" s="171"/>
    </row>
    <row r="424" spans="1:17">
      <c r="A424" s="166" t="b">
        <f t="shared" ca="1" si="71"/>
        <v>0</v>
      </c>
      <c r="B424" s="176">
        <f t="shared" si="67"/>
        <v>67</v>
      </c>
      <c r="C424" s="172" t="str">
        <f ca="1">IF(COUNTA(D$265:D423)=1,"",OFFSET(B422,-COUNTA(D$265:D423)+3,1))</f>
        <v>a1W3p000005aVOVEA2</v>
      </c>
      <c r="D424" s="166"/>
      <c r="E424" s="166">
        <f t="shared" ca="1" si="68"/>
        <v>1</v>
      </c>
      <c r="F424" s="177">
        <f ca="1">IF(COUNTA(D$265:D423)=1,"",OFFSET(F422,-COUNTA(D$265:D423)+3,0))</f>
        <v>12</v>
      </c>
      <c r="G424" s="166"/>
      <c r="H424" s="166">
        <f t="shared" ca="1" si="69"/>
        <v>31</v>
      </c>
      <c r="I424" s="177" t="str">
        <f t="shared" ca="1" si="72"/>
        <v/>
      </c>
      <c r="J424" s="170" t="str">
        <f t="shared" ca="1" si="73"/>
        <v/>
      </c>
      <c r="K424" s="168" t="str">
        <f t="shared" ca="1" si="74"/>
        <v/>
      </c>
      <c r="L424" s="171">
        <f ca="1">IFERROR(CHOOSE(E424,'Outcome Indicators - Section C '!$K$7,'Outcome Indicators - Section C '!$O$7,'Outcome Indicators - Section C '!$S$7,'Outcome Indicators - Section C '!$W$7),"")</f>
        <v>2023</v>
      </c>
      <c r="M424" s="179" t="str">
        <f t="shared" ca="1" si="75"/>
        <v/>
      </c>
      <c r="N424" s="171" t="str">
        <f t="shared" ca="1" si="76"/>
        <v/>
      </c>
      <c r="O424" s="166"/>
      <c r="P424" s="166">
        <f t="shared" ca="1" si="70"/>
        <v>0</v>
      </c>
      <c r="Q424" s="171"/>
    </row>
    <row r="425" spans="1:17">
      <c r="A425" s="166" t="b">
        <f t="shared" ca="1" si="71"/>
        <v>0</v>
      </c>
      <c r="B425" s="176">
        <f t="shared" si="67"/>
        <v>68</v>
      </c>
      <c r="C425" s="172" t="str">
        <f ca="1">IF(COUNTA(D$265:D424)=1,"",OFFSET(B423,-COUNTA(D$265:D424)+3,1))</f>
        <v>a1W3p000005aVOkEAM</v>
      </c>
      <c r="D425" s="166"/>
      <c r="E425" s="166">
        <f t="shared" ca="1" si="68"/>
        <v>2</v>
      </c>
      <c r="F425" s="177">
        <f ca="1">IF(COUNTA(D$265:D424)=1,"",OFFSET(F423,-COUNTA(D$265:D424)+3,0))</f>
        <v>12</v>
      </c>
      <c r="G425" s="166"/>
      <c r="H425" s="166">
        <f t="shared" ca="1" si="69"/>
        <v>31</v>
      </c>
      <c r="I425" s="177" t="str">
        <f t="shared" ca="1" si="72"/>
        <v/>
      </c>
      <c r="J425" s="170" t="str">
        <f t="shared" ca="1" si="73"/>
        <v/>
      </c>
      <c r="K425" s="168" t="str">
        <f t="shared" ca="1" si="74"/>
        <v/>
      </c>
      <c r="L425" s="171">
        <f ca="1">IFERROR(CHOOSE(E425,'Outcome Indicators - Section C '!$K$7,'Outcome Indicators - Section C '!$O$7,'Outcome Indicators - Section C '!$S$7,'Outcome Indicators - Section C '!$W$7),"")</f>
        <v>2024</v>
      </c>
      <c r="M425" s="179" t="str">
        <f t="shared" ca="1" si="75"/>
        <v/>
      </c>
      <c r="N425" s="171" t="str">
        <f t="shared" ca="1" si="76"/>
        <v/>
      </c>
      <c r="O425" s="166"/>
      <c r="P425" s="166">
        <f t="shared" ca="1" si="70"/>
        <v>0</v>
      </c>
      <c r="Q425" s="171"/>
    </row>
    <row r="426" spans="1:17">
      <c r="A426" s="166" t="b">
        <f t="shared" ca="1" si="71"/>
        <v>0</v>
      </c>
      <c r="B426" s="176">
        <f t="shared" si="67"/>
        <v>69</v>
      </c>
      <c r="C426" s="172" t="str">
        <f ca="1">IF(COUNTA(D$265:D425)=1,"",OFFSET(B424,-COUNTA(D$265:D425)+3,1))</f>
        <v>a1W3p000005aVOzEAM</v>
      </c>
      <c r="D426" s="166"/>
      <c r="E426" s="166">
        <f t="shared" ca="1" si="68"/>
        <v>3</v>
      </c>
      <c r="F426" s="177">
        <f ca="1">IF(COUNTA(D$265:D425)=1,"",OFFSET(F424,-COUNTA(D$265:D425)+3,0))</f>
        <v>12</v>
      </c>
      <c r="G426" s="166"/>
      <c r="H426" s="166">
        <f t="shared" ca="1" si="69"/>
        <v>31</v>
      </c>
      <c r="I426" s="177" t="str">
        <f t="shared" ca="1" si="72"/>
        <v/>
      </c>
      <c r="J426" s="170" t="str">
        <f t="shared" ca="1" si="73"/>
        <v/>
      </c>
      <c r="K426" s="168" t="str">
        <f t="shared" ca="1" si="74"/>
        <v/>
      </c>
      <c r="L426" s="171">
        <f ca="1">IFERROR(CHOOSE(E426,'Outcome Indicators - Section C '!$K$7,'Outcome Indicators - Section C '!$O$7,'Outcome Indicators - Section C '!$S$7,'Outcome Indicators - Section C '!$W$7),"")</f>
        <v>2025</v>
      </c>
      <c r="M426" s="179" t="str">
        <f t="shared" ca="1" si="75"/>
        <v/>
      </c>
      <c r="N426" s="171" t="str">
        <f t="shared" ca="1" si="76"/>
        <v/>
      </c>
      <c r="O426" s="166"/>
      <c r="P426" s="166">
        <f t="shared" ca="1" si="70"/>
        <v>0</v>
      </c>
      <c r="Q426" s="171"/>
    </row>
    <row r="427" spans="1:17">
      <c r="A427" s="166" t="b">
        <f t="shared" ca="1" si="71"/>
        <v>0</v>
      </c>
      <c r="B427" s="176">
        <f t="shared" si="67"/>
        <v>70</v>
      </c>
      <c r="C427" s="172" t="str">
        <f ca="1">IF(COUNTA(D$265:D426)=1,"",OFFSET(B425,-COUNTA(D$265:D426)+3,1))</f>
        <v>a1W3p000005aVPEEA2</v>
      </c>
      <c r="D427" s="166"/>
      <c r="E427" s="166">
        <f t="shared" ca="1" si="68"/>
        <v>4</v>
      </c>
      <c r="F427" s="177">
        <f ca="1">IF(COUNTA(D$265:D426)=1,"",OFFSET(F425,-COUNTA(D$265:D426)+3,0))</f>
        <v>12</v>
      </c>
      <c r="G427" s="166"/>
      <c r="H427" s="166">
        <f t="shared" ca="1" si="69"/>
        <v>31</v>
      </c>
      <c r="I427" s="177" t="str">
        <f t="shared" ca="1" si="72"/>
        <v/>
      </c>
      <c r="J427" s="170" t="str">
        <f t="shared" ca="1" si="73"/>
        <v/>
      </c>
      <c r="K427" s="168" t="str">
        <f t="shared" ca="1" si="74"/>
        <v/>
      </c>
      <c r="L427" s="171" t="str">
        <f ca="1">IFERROR(CHOOSE(E427,'Outcome Indicators - Section C '!$K$7,'Outcome Indicators - Section C '!$O$7,'Outcome Indicators - Section C '!$S$7,'Outcome Indicators - Section C '!$W$7),"")</f>
        <v/>
      </c>
      <c r="M427" s="179" t="str">
        <f t="shared" ca="1" si="75"/>
        <v/>
      </c>
      <c r="N427" s="171" t="str">
        <f t="shared" ca="1" si="76"/>
        <v/>
      </c>
      <c r="O427" s="166"/>
      <c r="P427" s="166">
        <f t="shared" ca="1" si="70"/>
        <v>0</v>
      </c>
      <c r="Q427" s="171"/>
    </row>
    <row r="428" spans="1:17">
      <c r="A428" s="166" t="b">
        <f t="shared" ca="1" si="71"/>
        <v>0</v>
      </c>
      <c r="B428" s="176">
        <f t="shared" si="67"/>
        <v>71</v>
      </c>
      <c r="C428" s="172" t="str">
        <f ca="1">IF(COUNTA(D$265:D427)=1,"",OFFSET(B426,-COUNTA(D$265:D427)+3,1))</f>
        <v>a1W3p000005aVPTEA2</v>
      </c>
      <c r="D428" s="166"/>
      <c r="E428" s="166">
        <f t="shared" ca="1" si="68"/>
        <v>5</v>
      </c>
      <c r="F428" s="177">
        <f ca="1">IF(COUNTA(D$265:D427)=1,"",OFFSET(F426,-COUNTA(D$265:D427)+3,0))</f>
        <v>12</v>
      </c>
      <c r="G428" s="166"/>
      <c r="H428" s="166">
        <f t="shared" ca="1" si="69"/>
        <v>31</v>
      </c>
      <c r="I428" s="177" t="str">
        <f t="shared" ca="1" si="72"/>
        <v/>
      </c>
      <c r="J428" s="170" t="str">
        <f t="shared" ca="1" si="73"/>
        <v/>
      </c>
      <c r="K428" s="168" t="str">
        <f t="shared" ca="1" si="74"/>
        <v/>
      </c>
      <c r="L428" s="171" t="str">
        <f ca="1">IFERROR(CHOOSE(E428,'Outcome Indicators - Section C '!$K$7,'Outcome Indicators - Section C '!$O$7,'Outcome Indicators - Section C '!$S$7,'Outcome Indicators - Section C '!$W$7),"")</f>
        <v/>
      </c>
      <c r="M428" s="179" t="str">
        <f t="shared" ca="1" si="75"/>
        <v/>
      </c>
      <c r="N428" s="171" t="str">
        <f t="shared" ca="1" si="76"/>
        <v/>
      </c>
      <c r="O428" s="166"/>
      <c r="P428" s="166">
        <f t="shared" ca="1" si="70"/>
        <v>0</v>
      </c>
      <c r="Q428" s="171"/>
    </row>
    <row r="429" spans="1:17">
      <c r="A429" s="166" t="b">
        <f t="shared" ca="1" si="71"/>
        <v>0</v>
      </c>
      <c r="B429" s="176">
        <f t="shared" si="67"/>
        <v>72</v>
      </c>
      <c r="C429" s="172" t="str">
        <f ca="1">IF(COUNTA(D$265:D428)=1,"",OFFSET(B427,-COUNTA(D$265:D428)+3,1))</f>
        <v>a1W3p000005aVPiEAM</v>
      </c>
      <c r="D429" s="166"/>
      <c r="E429" s="166">
        <f t="shared" ca="1" si="68"/>
        <v>6</v>
      </c>
      <c r="F429" s="177">
        <f ca="1">IF(COUNTA(D$265:D428)=1,"",OFFSET(F427,-COUNTA(D$265:D428)+3,0))</f>
        <v>12</v>
      </c>
      <c r="G429" s="166"/>
      <c r="H429" s="166">
        <f t="shared" ca="1" si="69"/>
        <v>31</v>
      </c>
      <c r="I429" s="177" t="str">
        <f t="shared" ca="1" si="72"/>
        <v/>
      </c>
      <c r="J429" s="170" t="str">
        <f t="shared" ca="1" si="73"/>
        <v/>
      </c>
      <c r="K429" s="168" t="str">
        <f t="shared" ca="1" si="74"/>
        <v/>
      </c>
      <c r="L429" s="171" t="str">
        <f ca="1">IFERROR(CHOOSE(E429,'Outcome Indicators - Section C '!$K$7,'Outcome Indicators - Section C '!$O$7,'Outcome Indicators - Section C '!$S$7,'Outcome Indicators - Section C '!$W$7),"")</f>
        <v/>
      </c>
      <c r="M429" s="179" t="str">
        <f t="shared" ca="1" si="75"/>
        <v/>
      </c>
      <c r="N429" s="171" t="str">
        <f t="shared" ca="1" si="76"/>
        <v/>
      </c>
      <c r="O429" s="166"/>
      <c r="P429" s="166">
        <f t="shared" ca="1" si="70"/>
        <v>0</v>
      </c>
      <c r="Q429" s="171"/>
    </row>
    <row r="430" spans="1:17">
      <c r="A430" s="166" t="b">
        <f t="shared" ca="1" si="71"/>
        <v>0</v>
      </c>
      <c r="B430" s="176">
        <f t="shared" si="67"/>
        <v>73</v>
      </c>
      <c r="C430" s="172" t="str">
        <f ca="1">IF(COUNTA(D$265:D429)=1,"",OFFSET(B428,-COUNTA(D$265:D429)+3,1))</f>
        <v>a1W3p000005aVOWEA2</v>
      </c>
      <c r="D430" s="166"/>
      <c r="E430" s="166">
        <f t="shared" ca="1" si="68"/>
        <v>1</v>
      </c>
      <c r="F430" s="177">
        <f ca="1">IF(COUNTA(D$265:D429)=1,"",OFFSET(F428,-COUNTA(D$265:D429)+3,0))</f>
        <v>13</v>
      </c>
      <c r="G430" s="166"/>
      <c r="H430" s="166">
        <f t="shared" ca="1" si="69"/>
        <v>33</v>
      </c>
      <c r="I430" s="177" t="str">
        <f t="shared" ca="1" si="72"/>
        <v/>
      </c>
      <c r="J430" s="170" t="str">
        <f t="shared" ca="1" si="73"/>
        <v/>
      </c>
      <c r="K430" s="168" t="str">
        <f t="shared" ca="1" si="74"/>
        <v/>
      </c>
      <c r="L430" s="171">
        <f ca="1">IFERROR(CHOOSE(E430,'Outcome Indicators - Section C '!$K$7,'Outcome Indicators - Section C '!$O$7,'Outcome Indicators - Section C '!$S$7,'Outcome Indicators - Section C '!$W$7),"")</f>
        <v>2023</v>
      </c>
      <c r="M430" s="179" t="str">
        <f t="shared" ca="1" si="75"/>
        <v/>
      </c>
      <c r="N430" s="171" t="str">
        <f t="shared" ca="1" si="76"/>
        <v/>
      </c>
      <c r="O430" s="166"/>
      <c r="P430" s="166">
        <f t="shared" ca="1" si="70"/>
        <v>0</v>
      </c>
      <c r="Q430" s="171"/>
    </row>
    <row r="431" spans="1:17">
      <c r="A431" s="166" t="b">
        <f t="shared" ca="1" si="71"/>
        <v>0</v>
      </c>
      <c r="B431" s="176">
        <f t="shared" si="67"/>
        <v>74</v>
      </c>
      <c r="C431" s="172" t="str">
        <f ca="1">IF(COUNTA(D$265:D430)=1,"",OFFSET(B429,-COUNTA(D$265:D430)+3,1))</f>
        <v>a1W3p000005aVOlEAM</v>
      </c>
      <c r="D431" s="166"/>
      <c r="E431" s="166">
        <f t="shared" ca="1" si="68"/>
        <v>2</v>
      </c>
      <c r="F431" s="177">
        <f ca="1">IF(COUNTA(D$265:D430)=1,"",OFFSET(F429,-COUNTA(D$265:D430)+3,0))</f>
        <v>13</v>
      </c>
      <c r="G431" s="166"/>
      <c r="H431" s="166">
        <f t="shared" ca="1" si="69"/>
        <v>33</v>
      </c>
      <c r="I431" s="177" t="str">
        <f t="shared" ca="1" si="72"/>
        <v/>
      </c>
      <c r="J431" s="170" t="str">
        <f t="shared" ca="1" si="73"/>
        <v/>
      </c>
      <c r="K431" s="168" t="str">
        <f t="shared" ca="1" si="74"/>
        <v/>
      </c>
      <c r="L431" s="171">
        <f ca="1">IFERROR(CHOOSE(E431,'Outcome Indicators - Section C '!$K$7,'Outcome Indicators - Section C '!$O$7,'Outcome Indicators - Section C '!$S$7,'Outcome Indicators - Section C '!$W$7),"")</f>
        <v>2024</v>
      </c>
      <c r="M431" s="179" t="str">
        <f t="shared" ca="1" si="75"/>
        <v/>
      </c>
      <c r="N431" s="171" t="str">
        <f t="shared" ca="1" si="76"/>
        <v/>
      </c>
      <c r="O431" s="166"/>
      <c r="P431" s="166">
        <f t="shared" ca="1" si="70"/>
        <v>0</v>
      </c>
      <c r="Q431" s="171"/>
    </row>
    <row r="432" spans="1:17">
      <c r="A432" s="166" t="b">
        <f t="shared" ca="1" si="71"/>
        <v>0</v>
      </c>
      <c r="B432" s="176">
        <f t="shared" si="67"/>
        <v>75</v>
      </c>
      <c r="C432" s="172" t="str">
        <f ca="1">IF(COUNTA(D$265:D431)=1,"",OFFSET(B430,-COUNTA(D$265:D431)+3,1))</f>
        <v>a1W3p000005aVP0EAM</v>
      </c>
      <c r="D432" s="166"/>
      <c r="E432" s="166">
        <f t="shared" ca="1" si="68"/>
        <v>3</v>
      </c>
      <c r="F432" s="177">
        <f ca="1">IF(COUNTA(D$265:D431)=1,"",OFFSET(F430,-COUNTA(D$265:D431)+3,0))</f>
        <v>13</v>
      </c>
      <c r="G432" s="166"/>
      <c r="H432" s="166">
        <f t="shared" ca="1" si="69"/>
        <v>33</v>
      </c>
      <c r="I432" s="177" t="str">
        <f t="shared" ca="1" si="72"/>
        <v/>
      </c>
      <c r="J432" s="170" t="str">
        <f t="shared" ca="1" si="73"/>
        <v/>
      </c>
      <c r="K432" s="168" t="str">
        <f t="shared" ca="1" si="74"/>
        <v/>
      </c>
      <c r="L432" s="171">
        <f ca="1">IFERROR(CHOOSE(E432,'Outcome Indicators - Section C '!$K$7,'Outcome Indicators - Section C '!$O$7,'Outcome Indicators - Section C '!$S$7,'Outcome Indicators - Section C '!$W$7),"")</f>
        <v>2025</v>
      </c>
      <c r="M432" s="179" t="str">
        <f t="shared" ca="1" si="75"/>
        <v/>
      </c>
      <c r="N432" s="171" t="str">
        <f t="shared" ca="1" si="76"/>
        <v/>
      </c>
      <c r="O432" s="166"/>
      <c r="P432" s="166">
        <f t="shared" ca="1" si="70"/>
        <v>0</v>
      </c>
      <c r="Q432" s="171"/>
    </row>
    <row r="433" spans="1:17">
      <c r="A433" s="166" t="b">
        <f t="shared" ca="1" si="71"/>
        <v>0</v>
      </c>
      <c r="B433" s="176">
        <f t="shared" si="67"/>
        <v>76</v>
      </c>
      <c r="C433" s="172" t="str">
        <f ca="1">IF(COUNTA(D$265:D432)=1,"",OFFSET(B431,-COUNTA(D$265:D432)+3,1))</f>
        <v>a1W3p000005aVPFEA2</v>
      </c>
      <c r="D433" s="166"/>
      <c r="E433" s="166">
        <f t="shared" ca="1" si="68"/>
        <v>4</v>
      </c>
      <c r="F433" s="177">
        <f ca="1">IF(COUNTA(D$265:D432)=1,"",OFFSET(F431,-COUNTA(D$265:D432)+3,0))</f>
        <v>13</v>
      </c>
      <c r="G433" s="166"/>
      <c r="H433" s="166">
        <f t="shared" ca="1" si="69"/>
        <v>33</v>
      </c>
      <c r="I433" s="177" t="str">
        <f t="shared" ca="1" si="72"/>
        <v/>
      </c>
      <c r="J433" s="170" t="str">
        <f t="shared" ca="1" si="73"/>
        <v/>
      </c>
      <c r="K433" s="168" t="str">
        <f t="shared" ca="1" si="74"/>
        <v/>
      </c>
      <c r="L433" s="171" t="str">
        <f ca="1">IFERROR(CHOOSE(E433,'Outcome Indicators - Section C '!$K$7,'Outcome Indicators - Section C '!$O$7,'Outcome Indicators - Section C '!$S$7,'Outcome Indicators - Section C '!$W$7),"")</f>
        <v/>
      </c>
      <c r="M433" s="179" t="str">
        <f t="shared" ca="1" si="75"/>
        <v/>
      </c>
      <c r="N433" s="171" t="str">
        <f t="shared" ca="1" si="76"/>
        <v/>
      </c>
      <c r="O433" s="166"/>
      <c r="P433" s="166">
        <f t="shared" ca="1" si="70"/>
        <v>0</v>
      </c>
      <c r="Q433" s="171"/>
    </row>
    <row r="434" spans="1:17">
      <c r="A434" s="166" t="b">
        <f t="shared" ca="1" si="71"/>
        <v>0</v>
      </c>
      <c r="B434" s="176">
        <f t="shared" si="67"/>
        <v>77</v>
      </c>
      <c r="C434" s="172" t="str">
        <f ca="1">IF(COUNTA(D$265:D433)=1,"",OFFSET(B432,-COUNTA(D$265:D433)+3,1))</f>
        <v>a1W3p000005aVPUEA2</v>
      </c>
      <c r="D434" s="166"/>
      <c r="E434" s="166">
        <f t="shared" ca="1" si="68"/>
        <v>5</v>
      </c>
      <c r="F434" s="177">
        <f ca="1">IF(COUNTA(D$265:D433)=1,"",OFFSET(F432,-COUNTA(D$265:D433)+3,0))</f>
        <v>13</v>
      </c>
      <c r="G434" s="166"/>
      <c r="H434" s="166">
        <f t="shared" ca="1" si="69"/>
        <v>33</v>
      </c>
      <c r="I434" s="177" t="str">
        <f t="shared" ca="1" si="72"/>
        <v/>
      </c>
      <c r="J434" s="170" t="str">
        <f t="shared" ca="1" si="73"/>
        <v/>
      </c>
      <c r="K434" s="168" t="str">
        <f t="shared" ca="1" si="74"/>
        <v/>
      </c>
      <c r="L434" s="171" t="str">
        <f ca="1">IFERROR(CHOOSE(E434,'Outcome Indicators - Section C '!$K$7,'Outcome Indicators - Section C '!$O$7,'Outcome Indicators - Section C '!$S$7,'Outcome Indicators - Section C '!$W$7),"")</f>
        <v/>
      </c>
      <c r="M434" s="179" t="str">
        <f t="shared" ca="1" si="75"/>
        <v/>
      </c>
      <c r="N434" s="171" t="str">
        <f t="shared" ca="1" si="76"/>
        <v/>
      </c>
      <c r="O434" s="166"/>
      <c r="P434" s="166">
        <f t="shared" ca="1" si="70"/>
        <v>0</v>
      </c>
      <c r="Q434" s="171"/>
    </row>
    <row r="435" spans="1:17">
      <c r="A435" s="166" t="b">
        <f t="shared" ca="1" si="71"/>
        <v>0</v>
      </c>
      <c r="B435" s="176">
        <f t="shared" si="67"/>
        <v>78</v>
      </c>
      <c r="C435" s="172" t="str">
        <f ca="1">IF(COUNTA(D$265:D434)=1,"",OFFSET(B433,-COUNTA(D$265:D434)+3,1))</f>
        <v>a1W3p000005aVPjEAM</v>
      </c>
      <c r="D435" s="166"/>
      <c r="E435" s="166">
        <f t="shared" ca="1" si="68"/>
        <v>6</v>
      </c>
      <c r="F435" s="177">
        <f ca="1">IF(COUNTA(D$265:D434)=1,"",OFFSET(F433,-COUNTA(D$265:D434)+3,0))</f>
        <v>13</v>
      </c>
      <c r="G435" s="166"/>
      <c r="H435" s="166">
        <f t="shared" ca="1" si="69"/>
        <v>33</v>
      </c>
      <c r="I435" s="177" t="str">
        <f t="shared" ca="1" si="72"/>
        <v/>
      </c>
      <c r="J435" s="170" t="str">
        <f t="shared" ca="1" si="73"/>
        <v/>
      </c>
      <c r="K435" s="168" t="str">
        <f t="shared" ca="1" si="74"/>
        <v/>
      </c>
      <c r="L435" s="171" t="str">
        <f ca="1">IFERROR(CHOOSE(E435,'Outcome Indicators - Section C '!$K$7,'Outcome Indicators - Section C '!$O$7,'Outcome Indicators - Section C '!$S$7,'Outcome Indicators - Section C '!$W$7),"")</f>
        <v/>
      </c>
      <c r="M435" s="179" t="str">
        <f t="shared" ca="1" si="75"/>
        <v/>
      </c>
      <c r="N435" s="171" t="str">
        <f t="shared" ca="1" si="76"/>
        <v/>
      </c>
      <c r="O435" s="166"/>
      <c r="P435" s="166">
        <f t="shared" ca="1" si="70"/>
        <v>0</v>
      </c>
      <c r="Q435" s="171"/>
    </row>
    <row r="436" spans="1:17">
      <c r="A436" s="166" t="b">
        <f t="shared" ca="1" si="71"/>
        <v>0</v>
      </c>
      <c r="B436" s="176">
        <f t="shared" si="67"/>
        <v>79</v>
      </c>
      <c r="C436" s="172" t="str">
        <f ca="1">IF(COUNTA(D$265:D435)=1,"",OFFSET(B434,-COUNTA(D$265:D435)+3,1))</f>
        <v>a1W3p000005aVOXEA2</v>
      </c>
      <c r="D436" s="166"/>
      <c r="E436" s="166">
        <f t="shared" ca="1" si="68"/>
        <v>1</v>
      </c>
      <c r="F436" s="177">
        <f ca="1">IF(COUNTA(D$265:D435)=1,"",OFFSET(F434,-COUNTA(D$265:D435)+3,0))</f>
        <v>14</v>
      </c>
      <c r="G436" s="166"/>
      <c r="H436" s="166">
        <f t="shared" ca="1" si="69"/>
        <v>35</v>
      </c>
      <c r="I436" s="177" t="str">
        <f t="shared" ca="1" si="72"/>
        <v/>
      </c>
      <c r="J436" s="170" t="str">
        <f t="shared" ca="1" si="73"/>
        <v/>
      </c>
      <c r="K436" s="168" t="str">
        <f t="shared" ca="1" si="74"/>
        <v/>
      </c>
      <c r="L436" s="171">
        <f ca="1">IFERROR(CHOOSE(E436,'Outcome Indicators - Section C '!$K$7,'Outcome Indicators - Section C '!$O$7,'Outcome Indicators - Section C '!$S$7,'Outcome Indicators - Section C '!$W$7),"")</f>
        <v>2023</v>
      </c>
      <c r="M436" s="179" t="str">
        <f t="shared" ca="1" si="75"/>
        <v/>
      </c>
      <c r="N436" s="171" t="str">
        <f t="shared" ca="1" si="76"/>
        <v/>
      </c>
      <c r="O436" s="166"/>
      <c r="P436" s="166">
        <f t="shared" ca="1" si="70"/>
        <v>0</v>
      </c>
      <c r="Q436" s="171"/>
    </row>
    <row r="437" spans="1:17">
      <c r="A437" s="166" t="b">
        <f t="shared" ca="1" si="71"/>
        <v>0</v>
      </c>
      <c r="B437" s="176">
        <f t="shared" si="67"/>
        <v>80</v>
      </c>
      <c r="C437" s="172" t="str">
        <f ca="1">IF(COUNTA(D$265:D436)=1,"",OFFSET(B435,-COUNTA(D$265:D436)+3,1))</f>
        <v>a1W3p000005aVOmEAM</v>
      </c>
      <c r="D437" s="166"/>
      <c r="E437" s="166">
        <f t="shared" ca="1" si="68"/>
        <v>2</v>
      </c>
      <c r="F437" s="177">
        <f ca="1">IF(COUNTA(D$265:D436)=1,"",OFFSET(F435,-COUNTA(D$265:D436)+3,0))</f>
        <v>14</v>
      </c>
      <c r="G437" s="166"/>
      <c r="H437" s="166">
        <f t="shared" ca="1" si="69"/>
        <v>35</v>
      </c>
      <c r="I437" s="177" t="str">
        <f t="shared" ca="1" si="72"/>
        <v/>
      </c>
      <c r="J437" s="170" t="str">
        <f t="shared" ca="1" si="73"/>
        <v/>
      </c>
      <c r="K437" s="168" t="str">
        <f t="shared" ca="1" si="74"/>
        <v/>
      </c>
      <c r="L437" s="171">
        <f ca="1">IFERROR(CHOOSE(E437,'Outcome Indicators - Section C '!$K$7,'Outcome Indicators - Section C '!$O$7,'Outcome Indicators - Section C '!$S$7,'Outcome Indicators - Section C '!$W$7),"")</f>
        <v>2024</v>
      </c>
      <c r="M437" s="179" t="str">
        <f t="shared" ca="1" si="75"/>
        <v/>
      </c>
      <c r="N437" s="171" t="str">
        <f t="shared" ca="1" si="76"/>
        <v/>
      </c>
      <c r="O437" s="166"/>
      <c r="P437" s="166">
        <f t="shared" ca="1" si="70"/>
        <v>0</v>
      </c>
      <c r="Q437" s="171"/>
    </row>
    <row r="438" spans="1:17">
      <c r="A438" s="166" t="b">
        <f t="shared" ca="1" si="71"/>
        <v>0</v>
      </c>
      <c r="B438" s="176">
        <f t="shared" si="67"/>
        <v>81</v>
      </c>
      <c r="C438" s="172" t="str">
        <f ca="1">IF(COUNTA(D$265:D437)=1,"",OFFSET(B436,-COUNTA(D$265:D437)+3,1))</f>
        <v>a1W3p000005aVP1EAM</v>
      </c>
      <c r="D438" s="166"/>
      <c r="E438" s="166">
        <f t="shared" ca="1" si="68"/>
        <v>3</v>
      </c>
      <c r="F438" s="177">
        <f ca="1">IF(COUNTA(D$265:D437)=1,"",OFFSET(F436,-COUNTA(D$265:D437)+3,0))</f>
        <v>14</v>
      </c>
      <c r="G438" s="166"/>
      <c r="H438" s="166">
        <f t="shared" ca="1" si="69"/>
        <v>35</v>
      </c>
      <c r="I438" s="177" t="str">
        <f t="shared" ca="1" si="72"/>
        <v/>
      </c>
      <c r="J438" s="170" t="str">
        <f t="shared" ca="1" si="73"/>
        <v/>
      </c>
      <c r="K438" s="168" t="str">
        <f t="shared" ca="1" si="74"/>
        <v/>
      </c>
      <c r="L438" s="171">
        <f ca="1">IFERROR(CHOOSE(E438,'Outcome Indicators - Section C '!$K$7,'Outcome Indicators - Section C '!$O$7,'Outcome Indicators - Section C '!$S$7,'Outcome Indicators - Section C '!$W$7),"")</f>
        <v>2025</v>
      </c>
      <c r="M438" s="179" t="str">
        <f t="shared" ca="1" si="75"/>
        <v/>
      </c>
      <c r="N438" s="171" t="str">
        <f t="shared" ca="1" si="76"/>
        <v/>
      </c>
      <c r="O438" s="166"/>
      <c r="P438" s="166">
        <f t="shared" ca="1" si="70"/>
        <v>0</v>
      </c>
      <c r="Q438" s="171"/>
    </row>
    <row r="439" spans="1:17">
      <c r="A439" s="166" t="b">
        <f t="shared" ca="1" si="71"/>
        <v>0</v>
      </c>
      <c r="B439" s="176">
        <f t="shared" si="67"/>
        <v>82</v>
      </c>
      <c r="C439" s="172" t="str">
        <f ca="1">IF(COUNTA(D$265:D438)=1,"",OFFSET(B437,-COUNTA(D$265:D438)+3,1))</f>
        <v>a1W3p000005aVPGEA2</v>
      </c>
      <c r="D439" s="166"/>
      <c r="E439" s="166">
        <f t="shared" ca="1" si="68"/>
        <v>4</v>
      </c>
      <c r="F439" s="177">
        <f ca="1">IF(COUNTA(D$265:D438)=1,"",OFFSET(F437,-COUNTA(D$265:D438)+3,0))</f>
        <v>14</v>
      </c>
      <c r="G439" s="166"/>
      <c r="H439" s="166">
        <f t="shared" ca="1" si="69"/>
        <v>35</v>
      </c>
      <c r="I439" s="177" t="str">
        <f t="shared" ca="1" si="72"/>
        <v/>
      </c>
      <c r="J439" s="170" t="str">
        <f t="shared" ca="1" si="73"/>
        <v/>
      </c>
      <c r="K439" s="168" t="str">
        <f t="shared" ca="1" si="74"/>
        <v/>
      </c>
      <c r="L439" s="171" t="str">
        <f ca="1">IFERROR(CHOOSE(E439,'Outcome Indicators - Section C '!$K$7,'Outcome Indicators - Section C '!$O$7,'Outcome Indicators - Section C '!$S$7,'Outcome Indicators - Section C '!$W$7),"")</f>
        <v/>
      </c>
      <c r="M439" s="179" t="str">
        <f t="shared" ca="1" si="75"/>
        <v/>
      </c>
      <c r="N439" s="171" t="str">
        <f t="shared" ca="1" si="76"/>
        <v/>
      </c>
      <c r="O439" s="166"/>
      <c r="P439" s="166">
        <f t="shared" ca="1" si="70"/>
        <v>0</v>
      </c>
      <c r="Q439" s="171"/>
    </row>
    <row r="440" spans="1:17">
      <c r="A440" s="166" t="b">
        <f t="shared" ca="1" si="71"/>
        <v>0</v>
      </c>
      <c r="B440" s="176">
        <f t="shared" si="67"/>
        <v>83</v>
      </c>
      <c r="C440" s="172" t="str">
        <f ca="1">IF(COUNTA(D$265:D439)=1,"",OFFSET(B438,-COUNTA(D$265:D439)+3,1))</f>
        <v>a1W3p000005aVPVEA2</v>
      </c>
      <c r="D440" s="166"/>
      <c r="E440" s="166">
        <f t="shared" ca="1" si="68"/>
        <v>5</v>
      </c>
      <c r="F440" s="177">
        <f ca="1">IF(COUNTA(D$265:D439)=1,"",OFFSET(F438,-COUNTA(D$265:D439)+3,0))</f>
        <v>14</v>
      </c>
      <c r="G440" s="166"/>
      <c r="H440" s="166">
        <f t="shared" ca="1" si="69"/>
        <v>35</v>
      </c>
      <c r="I440" s="177" t="str">
        <f t="shared" ca="1" si="72"/>
        <v/>
      </c>
      <c r="J440" s="170" t="str">
        <f t="shared" ca="1" si="73"/>
        <v/>
      </c>
      <c r="K440" s="168" t="str">
        <f t="shared" ca="1" si="74"/>
        <v/>
      </c>
      <c r="L440" s="171" t="str">
        <f ca="1">IFERROR(CHOOSE(E440,'Outcome Indicators - Section C '!$K$7,'Outcome Indicators - Section C '!$O$7,'Outcome Indicators - Section C '!$S$7,'Outcome Indicators - Section C '!$W$7),"")</f>
        <v/>
      </c>
      <c r="M440" s="179" t="str">
        <f t="shared" ca="1" si="75"/>
        <v/>
      </c>
      <c r="N440" s="171" t="str">
        <f t="shared" ca="1" si="76"/>
        <v/>
      </c>
      <c r="O440" s="166"/>
      <c r="P440" s="166">
        <f t="shared" ca="1" si="70"/>
        <v>0</v>
      </c>
      <c r="Q440" s="171"/>
    </row>
    <row r="441" spans="1:17">
      <c r="A441" s="166" t="b">
        <f t="shared" ca="1" si="71"/>
        <v>0</v>
      </c>
      <c r="B441" s="176">
        <f t="shared" si="67"/>
        <v>84</v>
      </c>
      <c r="C441" s="172" t="str">
        <f ca="1">IF(COUNTA(D$265:D440)=1,"",OFFSET(B439,-COUNTA(D$265:D440)+3,1))</f>
        <v>a1W3p000005aVPkEAM</v>
      </c>
      <c r="D441" s="166"/>
      <c r="E441" s="166">
        <f t="shared" ca="1" si="68"/>
        <v>6</v>
      </c>
      <c r="F441" s="177">
        <f ca="1">IF(COUNTA(D$265:D440)=1,"",OFFSET(F439,-COUNTA(D$265:D440)+3,0))</f>
        <v>14</v>
      </c>
      <c r="G441" s="166"/>
      <c r="H441" s="166">
        <f t="shared" ca="1" si="69"/>
        <v>35</v>
      </c>
      <c r="I441" s="177" t="str">
        <f t="shared" ca="1" si="72"/>
        <v/>
      </c>
      <c r="J441" s="170" t="str">
        <f t="shared" ca="1" si="73"/>
        <v/>
      </c>
      <c r="K441" s="168" t="str">
        <f t="shared" ca="1" si="74"/>
        <v/>
      </c>
      <c r="L441" s="171" t="str">
        <f ca="1">IFERROR(CHOOSE(E441,'Outcome Indicators - Section C '!$K$7,'Outcome Indicators - Section C '!$O$7,'Outcome Indicators - Section C '!$S$7,'Outcome Indicators - Section C '!$W$7),"")</f>
        <v/>
      </c>
      <c r="M441" s="179" t="str">
        <f t="shared" ca="1" si="75"/>
        <v/>
      </c>
      <c r="N441" s="171" t="str">
        <f t="shared" ca="1" si="76"/>
        <v/>
      </c>
      <c r="O441" s="166"/>
      <c r="P441" s="166">
        <f t="shared" ca="1" si="70"/>
        <v>0</v>
      </c>
      <c r="Q441" s="171"/>
    </row>
    <row r="442" spans="1:17">
      <c r="A442" s="166" t="b">
        <f t="shared" ca="1" si="71"/>
        <v>0</v>
      </c>
      <c r="B442" s="176">
        <f t="shared" si="67"/>
        <v>85</v>
      </c>
      <c r="C442" s="172" t="str">
        <f ca="1">IF(COUNTA(D$265:D441)=1,"",OFFSET(B440,-COUNTA(D$265:D441)+3,1))</f>
        <v>a1W3p000005aVOYEA2</v>
      </c>
      <c r="D442" s="166"/>
      <c r="E442" s="166">
        <f t="shared" ca="1" si="68"/>
        <v>1</v>
      </c>
      <c r="F442" s="177">
        <f ca="1">IF(COUNTA(D$265:D441)=1,"",OFFSET(F440,-COUNTA(D$265:D441)+3,0))</f>
        <v>15</v>
      </c>
      <c r="G442" s="166"/>
      <c r="H442" s="166">
        <f t="shared" ca="1" si="69"/>
        <v>37</v>
      </c>
      <c r="I442" s="177" t="str">
        <f t="shared" ca="1" si="72"/>
        <v/>
      </c>
      <c r="J442" s="170" t="str">
        <f t="shared" ca="1" si="73"/>
        <v/>
      </c>
      <c r="K442" s="168" t="str">
        <f t="shared" ca="1" si="74"/>
        <v/>
      </c>
      <c r="L442" s="171">
        <f ca="1">IFERROR(CHOOSE(E442,'Outcome Indicators - Section C '!$K$7,'Outcome Indicators - Section C '!$O$7,'Outcome Indicators - Section C '!$S$7,'Outcome Indicators - Section C '!$W$7),"")</f>
        <v>2023</v>
      </c>
      <c r="M442" s="179" t="str">
        <f t="shared" ca="1" si="75"/>
        <v/>
      </c>
      <c r="N442" s="171" t="str">
        <f t="shared" ca="1" si="76"/>
        <v/>
      </c>
      <c r="O442" s="166"/>
      <c r="P442" s="166">
        <f t="shared" ca="1" si="70"/>
        <v>0</v>
      </c>
      <c r="Q442" s="171"/>
    </row>
    <row r="443" spans="1:17">
      <c r="A443" s="166" t="b">
        <f t="shared" ca="1" si="71"/>
        <v>0</v>
      </c>
      <c r="B443" s="176">
        <f t="shared" si="67"/>
        <v>86</v>
      </c>
      <c r="C443" s="172" t="str">
        <f ca="1">IF(COUNTA(D$265:D442)=1,"",OFFSET(B441,-COUNTA(D$265:D442)+3,1))</f>
        <v>a1W3p000005aVOnEAM</v>
      </c>
      <c r="D443" s="166"/>
      <c r="E443" s="166">
        <f t="shared" ca="1" si="68"/>
        <v>2</v>
      </c>
      <c r="F443" s="177">
        <f ca="1">IF(COUNTA(D$265:D442)=1,"",OFFSET(F441,-COUNTA(D$265:D442)+3,0))</f>
        <v>15</v>
      </c>
      <c r="G443" s="166"/>
      <c r="H443" s="166">
        <f t="shared" ca="1" si="69"/>
        <v>37</v>
      </c>
      <c r="I443" s="177" t="str">
        <f t="shared" ca="1" si="72"/>
        <v/>
      </c>
      <c r="J443" s="170" t="str">
        <f t="shared" ca="1" si="73"/>
        <v/>
      </c>
      <c r="K443" s="168" t="str">
        <f t="shared" ca="1" si="74"/>
        <v/>
      </c>
      <c r="L443" s="171">
        <f ca="1">IFERROR(CHOOSE(E443,'Outcome Indicators - Section C '!$K$7,'Outcome Indicators - Section C '!$O$7,'Outcome Indicators - Section C '!$S$7,'Outcome Indicators - Section C '!$W$7),"")</f>
        <v>2024</v>
      </c>
      <c r="M443" s="179" t="str">
        <f t="shared" ca="1" si="75"/>
        <v/>
      </c>
      <c r="N443" s="171" t="str">
        <f t="shared" ca="1" si="76"/>
        <v/>
      </c>
      <c r="O443" s="166"/>
      <c r="P443" s="166">
        <f t="shared" ca="1" si="70"/>
        <v>0</v>
      </c>
      <c r="Q443" s="171"/>
    </row>
    <row r="444" spans="1:17">
      <c r="A444" s="166" t="b">
        <f t="shared" ca="1" si="71"/>
        <v>0</v>
      </c>
      <c r="B444" s="176">
        <f t="shared" si="67"/>
        <v>87</v>
      </c>
      <c r="C444" s="172" t="str">
        <f ca="1">IF(COUNTA(D$265:D443)=1,"",OFFSET(B442,-COUNTA(D$265:D443)+3,1))</f>
        <v>a1W3p000005aVP2EAM</v>
      </c>
      <c r="D444" s="166"/>
      <c r="E444" s="166">
        <f t="shared" ca="1" si="68"/>
        <v>3</v>
      </c>
      <c r="F444" s="177">
        <f ca="1">IF(COUNTA(D$265:D443)=1,"",OFFSET(F442,-COUNTA(D$265:D443)+3,0))</f>
        <v>15</v>
      </c>
      <c r="G444" s="166"/>
      <c r="H444" s="166">
        <f t="shared" ca="1" si="69"/>
        <v>37</v>
      </c>
      <c r="I444" s="177" t="str">
        <f t="shared" ca="1" si="72"/>
        <v/>
      </c>
      <c r="J444" s="170" t="str">
        <f t="shared" ca="1" si="73"/>
        <v/>
      </c>
      <c r="K444" s="168" t="str">
        <f t="shared" ca="1" si="74"/>
        <v/>
      </c>
      <c r="L444" s="171">
        <f ca="1">IFERROR(CHOOSE(E444,'Outcome Indicators - Section C '!$K$7,'Outcome Indicators - Section C '!$O$7,'Outcome Indicators - Section C '!$S$7,'Outcome Indicators - Section C '!$W$7),"")</f>
        <v>2025</v>
      </c>
      <c r="M444" s="179" t="str">
        <f t="shared" ca="1" si="75"/>
        <v/>
      </c>
      <c r="N444" s="171" t="str">
        <f t="shared" ca="1" si="76"/>
        <v/>
      </c>
      <c r="O444" s="166"/>
      <c r="P444" s="166">
        <f t="shared" ca="1" si="70"/>
        <v>0</v>
      </c>
      <c r="Q444" s="171"/>
    </row>
    <row r="445" spans="1:17">
      <c r="A445" s="166" t="b">
        <f t="shared" ca="1" si="71"/>
        <v>0</v>
      </c>
      <c r="B445" s="176">
        <f t="shared" si="67"/>
        <v>88</v>
      </c>
      <c r="C445" s="172" t="str">
        <f ca="1">IF(COUNTA(D$265:D444)=1,"",OFFSET(B443,-COUNTA(D$265:D444)+3,1))</f>
        <v>a1W3p000005aVPHEA2</v>
      </c>
      <c r="D445" s="166"/>
      <c r="E445" s="166">
        <f t="shared" ca="1" si="68"/>
        <v>4</v>
      </c>
      <c r="F445" s="177">
        <f ca="1">IF(COUNTA(D$265:D444)=1,"",OFFSET(F443,-COUNTA(D$265:D444)+3,0))</f>
        <v>15</v>
      </c>
      <c r="G445" s="166"/>
      <c r="H445" s="166">
        <f t="shared" ca="1" si="69"/>
        <v>37</v>
      </c>
      <c r="I445" s="177" t="str">
        <f t="shared" ca="1" si="72"/>
        <v/>
      </c>
      <c r="J445" s="170" t="str">
        <f t="shared" ca="1" si="73"/>
        <v/>
      </c>
      <c r="K445" s="168" t="str">
        <f t="shared" ca="1" si="74"/>
        <v/>
      </c>
      <c r="L445" s="171" t="str">
        <f ca="1">IFERROR(CHOOSE(E445,'Outcome Indicators - Section C '!$K$7,'Outcome Indicators - Section C '!$O$7,'Outcome Indicators - Section C '!$S$7,'Outcome Indicators - Section C '!$W$7),"")</f>
        <v/>
      </c>
      <c r="M445" s="179" t="str">
        <f t="shared" ca="1" si="75"/>
        <v/>
      </c>
      <c r="N445" s="171" t="str">
        <f t="shared" ca="1" si="76"/>
        <v/>
      </c>
      <c r="O445" s="166"/>
      <c r="P445" s="166">
        <f t="shared" ca="1" si="70"/>
        <v>0</v>
      </c>
      <c r="Q445" s="171"/>
    </row>
    <row r="446" spans="1:17">
      <c r="A446" s="166" t="b">
        <f t="shared" ca="1" si="71"/>
        <v>0</v>
      </c>
      <c r="B446" s="176">
        <f t="shared" si="67"/>
        <v>89</v>
      </c>
      <c r="C446" s="172" t="str">
        <f ca="1">IF(COUNTA(D$265:D445)=1,"",OFFSET(B444,-COUNTA(D$265:D445)+3,1))</f>
        <v>a1W3p000005aVPWEA2</v>
      </c>
      <c r="D446" s="166"/>
      <c r="E446" s="166">
        <f t="shared" ca="1" si="68"/>
        <v>5</v>
      </c>
      <c r="F446" s="177">
        <f ca="1">IF(COUNTA(D$265:D445)=1,"",OFFSET(F444,-COUNTA(D$265:D445)+3,0))</f>
        <v>15</v>
      </c>
      <c r="G446" s="166"/>
      <c r="H446" s="166">
        <f t="shared" ca="1" si="69"/>
        <v>37</v>
      </c>
      <c r="I446" s="177" t="str">
        <f t="shared" ca="1" si="72"/>
        <v/>
      </c>
      <c r="J446" s="170" t="str">
        <f t="shared" ca="1" si="73"/>
        <v/>
      </c>
      <c r="K446" s="168" t="str">
        <f t="shared" ca="1" si="74"/>
        <v/>
      </c>
      <c r="L446" s="171" t="str">
        <f ca="1">IFERROR(CHOOSE(E446,'Outcome Indicators - Section C '!$K$7,'Outcome Indicators - Section C '!$O$7,'Outcome Indicators - Section C '!$S$7,'Outcome Indicators - Section C '!$W$7),"")</f>
        <v/>
      </c>
      <c r="M446" s="179" t="str">
        <f t="shared" ca="1" si="75"/>
        <v/>
      </c>
      <c r="N446" s="171" t="str">
        <f t="shared" ca="1" si="76"/>
        <v/>
      </c>
      <c r="O446" s="166"/>
      <c r="P446" s="166">
        <f t="shared" ca="1" si="70"/>
        <v>0</v>
      </c>
      <c r="Q446" s="171"/>
    </row>
    <row r="447" spans="1:17">
      <c r="A447" s="166" t="b">
        <f t="shared" ca="1" si="71"/>
        <v>0</v>
      </c>
      <c r="B447" s="176">
        <f t="shared" si="67"/>
        <v>90</v>
      </c>
      <c r="C447" s="172" t="str">
        <f ca="1">IF(COUNTA(D$265:D446)=1,"",OFFSET(B445,-COUNTA(D$265:D446)+3,1))</f>
        <v>a1W3p000005aVPlEAM</v>
      </c>
      <c r="D447" s="166"/>
      <c r="E447" s="166">
        <f t="shared" ca="1" si="68"/>
        <v>6</v>
      </c>
      <c r="F447" s="177">
        <f ca="1">IF(COUNTA(D$265:D446)=1,"",OFFSET(F445,-COUNTA(D$265:D446)+3,0))</f>
        <v>15</v>
      </c>
      <c r="G447" s="166"/>
      <c r="H447" s="166">
        <f t="shared" ca="1" si="69"/>
        <v>37</v>
      </c>
      <c r="I447" s="177" t="str">
        <f t="shared" ca="1" si="72"/>
        <v/>
      </c>
      <c r="J447" s="170" t="str">
        <f t="shared" ca="1" si="73"/>
        <v/>
      </c>
      <c r="K447" s="168" t="str">
        <f t="shared" ca="1" si="74"/>
        <v/>
      </c>
      <c r="L447" s="171" t="str">
        <f ca="1">IFERROR(CHOOSE(E447,'Outcome Indicators - Section C '!$K$7,'Outcome Indicators - Section C '!$O$7,'Outcome Indicators - Section C '!$S$7,'Outcome Indicators - Section C '!$W$7),"")</f>
        <v/>
      </c>
      <c r="M447" s="179" t="str">
        <f t="shared" ca="1" si="75"/>
        <v/>
      </c>
      <c r="N447" s="171" t="str">
        <f t="shared" ca="1" si="76"/>
        <v/>
      </c>
      <c r="O447" s="166"/>
      <c r="P447" s="166">
        <f t="shared" ca="1" si="70"/>
        <v>0</v>
      </c>
      <c r="Q447" s="171"/>
    </row>
    <row r="450" spans="1:33">
      <c r="J450" s="164" t="str">
        <f ca="1">IF(ROW()&gt;'Impact Indicator Target Update'!A12,"",INDIRECT("'Impact Indicators - Section B'!A"&amp;'Impact Indicator Target Update'!D12))</f>
        <v/>
      </c>
    </row>
    <row r="451" spans="1:33">
      <c r="A451" s="165" t="s">
        <v>3330</v>
      </c>
      <c r="B451" s="164" t="s">
        <v>3331</v>
      </c>
      <c r="H451" s="164" t="s">
        <v>3332</v>
      </c>
      <c r="J451" s="164" t="str">
        <f ca="1">IF(ROW()&gt;'Impact Indicator Target Update'!A13,"",INDIRECT("'Impact Indicators - Section B'!A"&amp;'Impact Indicator Target Update'!D13))</f>
        <v/>
      </c>
    </row>
    <row r="452" spans="1:33">
      <c r="A452" s="166" t="s">
        <v>348</v>
      </c>
      <c r="B452" s="167">
        <v>5</v>
      </c>
      <c r="C452" s="166" t="s">
        <v>341</v>
      </c>
      <c r="D452" s="166" t="s">
        <v>3046</v>
      </c>
      <c r="E452" s="166" t="s">
        <v>3047</v>
      </c>
      <c r="F452" s="166" t="s">
        <v>3048</v>
      </c>
      <c r="G452" s="166" t="s">
        <v>3049</v>
      </c>
      <c r="H452" s="166">
        <v>1</v>
      </c>
      <c r="I452" s="166" t="s">
        <v>3051</v>
      </c>
      <c r="J452" s="166" t="s">
        <v>3333</v>
      </c>
      <c r="K452" s="166" t="s">
        <v>3334</v>
      </c>
      <c r="L452" s="166" t="s">
        <v>3335</v>
      </c>
      <c r="M452" s="166" t="s">
        <v>3336</v>
      </c>
      <c r="N452" s="166" t="s">
        <v>3337</v>
      </c>
      <c r="O452" s="166" t="s">
        <v>2302</v>
      </c>
      <c r="P452" s="166" t="s">
        <v>3338</v>
      </c>
      <c r="Q452" s="166" t="s">
        <v>3339</v>
      </c>
      <c r="R452" s="166" t="s">
        <v>3340</v>
      </c>
      <c r="S452" s="166" t="s">
        <v>3056</v>
      </c>
      <c r="T452" s="166" t="s">
        <v>3341</v>
      </c>
      <c r="U452" s="166" t="s">
        <v>3058</v>
      </c>
      <c r="V452" s="166" t="s">
        <v>3059</v>
      </c>
      <c r="W452" s="166" t="s">
        <v>3342</v>
      </c>
      <c r="X452" s="166" t="s">
        <v>3343</v>
      </c>
      <c r="Y452" s="166"/>
      <c r="Z452" s="166"/>
      <c r="AA452" s="166" t="s">
        <v>3344</v>
      </c>
      <c r="AB452" s="166" t="s">
        <v>3345</v>
      </c>
      <c r="AC452" s="166"/>
      <c r="AD452" s="166" t="s">
        <v>3055</v>
      </c>
      <c r="AE452" s="166"/>
      <c r="AF452" s="166" t="s">
        <v>3346</v>
      </c>
      <c r="AG452" s="166" t="s">
        <v>484</v>
      </c>
    </row>
    <row r="453" spans="1:33" hidden="1">
      <c r="A453" s="166" t="b">
        <f ca="1">IF(OR(J453&lt;&gt;"",T453&lt;&gt;""),TRUE,FALSE)</f>
        <v>0</v>
      </c>
      <c r="B453" s="167">
        <f ca="1">IF(_xlfn.ISFORMULA(I453),B452+2,B452)</f>
        <v>7</v>
      </c>
      <c r="C453" s="166" t="str">
        <f ca="1">IFERROR(IF(AND(H453=2,B453=7),"blank",INDEX(C$452:C453,H453,1)),"")</f>
        <v>blank</v>
      </c>
      <c r="D453" s="168" t="str">
        <f ca="1">IFERROR(IF(INDIRECT("'Coverage Indicators - Section D'!G"&amp;$B453)="","",INDIRECT("'Coverage Indicators - Section D'!G"&amp;$B453)*100),"")</f>
        <v/>
      </c>
      <c r="E453" s="177" t="str">
        <f ca="1">IFERROR(IF(INDIRECT("'Coverage Indicators - Section D'!F"&amp;$B453+1)="","",INDIRECT("'Coverage Indicators - Section D'!F"&amp;$B453+1)),"")</f>
        <v>Línea de base #N
Línea de base #D</v>
      </c>
      <c r="F453" s="177" t="str">
        <f ca="1">IFERROR(IF(INDIRECT("'Coverage Indicators - Section D'!F"&amp;$B453)="","",INDIRECT("'Coverage Indicators - Section D'!F"&amp;$B453)),"")</f>
        <v/>
      </c>
      <c r="G453" s="171" t="str">
        <f ca="1">IFERROR(IF(INDIRECT("'Coverage Indicators - Section D'!AO"&amp;$B453)="","",INDIRECT("'Coverage Indicators - Section D'!AO"&amp;$B453)),"")</f>
        <v/>
      </c>
      <c r="H453" s="167">
        <f ca="1">IF(_xlfn.ISFORMULA(I453),H452+1,H452)</f>
        <v>2</v>
      </c>
      <c r="I453" s="171" t="str">
        <f ca="1">IFERROR(IF(INDIRECT("'Coverage Indicators - Section D'!AP"&amp;$B453)=0,"",INDIRECT("'Coverage Indicators - Section D'!AP"&amp;$B453)),"")</f>
        <v/>
      </c>
      <c r="J453" s="166" t="str">
        <f t="array" aca="1" ref="J453" ca="1">IFERROR(VLOOKUP(LEFT(INDIRECT("'Coverage Indicators - Section D'!D"&amp;$B453),255),LEFT('Reference Records'!C1:F205,255),4,0),"")</f>
        <v/>
      </c>
      <c r="K453" s="166" t="str">
        <f ca="1">IFERROR(VLOOKUP(IF(INDIRECT("'Coverage Indicators - Section D'!B"&amp;$B453)="","--select--",INDIRECT("'Coverage Indicators - Section D'!B"&amp;$B453)),'Overview - Section A'!C$101:D102,2,0),"")</f>
        <v/>
      </c>
      <c r="L453" s="171" t="str">
        <f ca="1">IFERROR(IF(INDIRECT("'Coverage Indicators - Section D'!H"&amp;$B453)=0,"",INDIRECT("'Coverage Indicators - Section D'!H"&amp;$B453)),"")</f>
        <v/>
      </c>
      <c r="M453" s="166" t="str">
        <f ca="1">IFERROR(VLOOKUP(INDIRECT("'Coverage Indicators - Section D'!C"&amp;$B453),'Reference Records'!C$656:F754,3,0),"")</f>
        <v/>
      </c>
      <c r="N453" s="171" t="str">
        <f ca="1">IFERROR(IF(INDIRECT("'Coverage Indicators - Section D'!AN"&amp;$B453)=0,"",INDIRECT("'Coverage Indicators - Section D'!AN"&amp;$B453)),"")</f>
        <v/>
      </c>
      <c r="O453" s="166" t="str">
        <f ca="1">IFERROR(IF(INDIRECT("'Coverage Indicators - Section D'!M"&amp;$B453)=0,"",INDIRECT("'Coverage Indicators - Section D'!M"&amp;$B453)),"")</f>
        <v/>
      </c>
      <c r="P453" s="171" t="str">
        <f ca="1">IFERROR(IF(INDIRECT("'Coverage Indicators - Section D'!M"&amp;$B453+1)=0,"",INDIRECT("'Coverage Indicators - Section D'!M"&amp;$B453+1)),"")</f>
        <v>País / Alcance de las metas</v>
      </c>
      <c r="Q453" s="171" t="str">
        <f ca="1">IFERROR(IF(INDIRECT("'Coverage Indicators - Section D'!N"&amp;$B453)=0,"",INDIRECT("'Coverage Indicators - Section D'!N"&amp;$B453)),"")</f>
        <v/>
      </c>
      <c r="R453" s="166" t="str">
        <f ca="1">IFERROR(IF(INDIRECT("'Coverage Indicators - Section D'!K"&amp;$B453)=0,"FALSE",IF(INDIRECT("'Coverage Indicators - Section D'!K"&amp;$B453)="Yes",TRUE,FALSE)),"")</f>
        <v>FALSE</v>
      </c>
      <c r="S453" s="171" t="str">
        <f ca="1">IFERROR(VLOOKUP(INDIRECT("'Coverage Indicators - Section D'!L"&amp;$B453),'Overview - Section A'!M$30:P41,4,0),IFERROR(IF(VLOOKUP(INDIRECT("'Coverage Indicators - Section D'!L"&amp;$B453),'Overview - Section A'!E$27:I29,5,0)=0,"",VLOOKUP(INDIRECT("'Coverage Indicators - Section D'!L"&amp;$B453),'Overview - Section A'!E$27:I29,5,0)),""))</f>
        <v/>
      </c>
      <c r="T453" s="171" t="str">
        <f ca="1">IFERROR(IF(INDIRECT("'Coverage Indicators - Section D'!E"&amp;$B453)=0,"",INDIRECT("'Coverage Indicators - Section D'!E"&amp;$B453)),"")</f>
        <v/>
      </c>
      <c r="U453" s="171" t="str">
        <f ca="1">IFERROR(IF(INDIRECT("'Coverage Indicators - Section D'!I"&amp;$B453)=0,"",INDIRECT("'Coverage Indicators - Section D'!I"&amp;$B453)),"")</f>
        <v/>
      </c>
      <c r="V453" s="171" t="str">
        <f ca="1">IFERROR(IF(INDIRECT("'Coverage Indicators - Section D'!AM"&amp;$B453)=0,"",INDIRECT("'Coverage Indicators - Section D'!AM"&amp;$B453)),"")</f>
        <v/>
      </c>
      <c r="W453" s="171" t="s">
        <v>3347</v>
      </c>
      <c r="X453" s="171" t="s">
        <v>3348</v>
      </c>
      <c r="Y453" s="166"/>
      <c r="Z453" s="166"/>
      <c r="AA453" s="171" t="s">
        <v>3349</v>
      </c>
      <c r="AB453" s="171" t="s">
        <v>3350</v>
      </c>
      <c r="AC453" s="166"/>
      <c r="AD453" s="166" t="s">
        <v>3062</v>
      </c>
      <c r="AE453" s="166"/>
      <c r="AF453" s="177" t="s">
        <v>3351</v>
      </c>
      <c r="AG453" s="171" t="s">
        <v>3352</v>
      </c>
    </row>
    <row r="454" spans="1:33">
      <c r="A454" s="166" t="b">
        <v>0</v>
      </c>
      <c r="B454" s="167">
        <f t="shared" ref="B454:B513" ca="1" si="77">IF(_xlfn.ISFORMULA(I454),B453+2,B453)</f>
        <v>7</v>
      </c>
      <c r="C454" s="166" t="s">
        <v>3353</v>
      </c>
      <c r="D454" s="168"/>
      <c r="E454" s="177"/>
      <c r="F454" s="177"/>
      <c r="G454" s="171"/>
      <c r="H454" s="167">
        <f t="shared" ref="H454:H513" ca="1" si="78">IF(_xlfn.ISFORMULA(I454),H453+1,H453)</f>
        <v>2</v>
      </c>
      <c r="I454" s="171"/>
      <c r="J454" s="166"/>
      <c r="K454" s="166" t="s">
        <v>433</v>
      </c>
      <c r="L454" s="171"/>
      <c r="M454" s="166"/>
      <c r="N454" s="171"/>
      <c r="O454" s="166"/>
      <c r="P454" s="171"/>
      <c r="Q454" s="171"/>
      <c r="R454" s="166" t="b">
        <v>0</v>
      </c>
      <c r="S454" s="171"/>
      <c r="T454" s="171"/>
      <c r="U454" s="171"/>
      <c r="V454" s="171"/>
      <c r="W454" s="171"/>
      <c r="X454" s="171"/>
      <c r="Y454" s="166"/>
      <c r="Z454" s="166"/>
      <c r="AA454" s="171"/>
      <c r="AB454" s="171"/>
      <c r="AC454" s="166"/>
      <c r="AD454" s="166"/>
      <c r="AE454" s="166"/>
      <c r="AF454" s="177">
        <v>1</v>
      </c>
      <c r="AG454" s="171"/>
    </row>
    <row r="455" spans="1:33">
      <c r="A455" s="166" t="b">
        <v>0</v>
      </c>
      <c r="B455" s="167">
        <f t="shared" ca="1" si="77"/>
        <v>7</v>
      </c>
      <c r="C455" s="166" t="s">
        <v>3354</v>
      </c>
      <c r="D455" s="168"/>
      <c r="E455" s="177"/>
      <c r="F455" s="177"/>
      <c r="G455" s="171"/>
      <c r="H455" s="167">
        <f t="shared" ca="1" si="78"/>
        <v>2</v>
      </c>
      <c r="I455" s="171"/>
      <c r="J455" s="166"/>
      <c r="K455" s="166" t="s">
        <v>433</v>
      </c>
      <c r="L455" s="171"/>
      <c r="M455" s="166"/>
      <c r="N455" s="171"/>
      <c r="O455" s="166"/>
      <c r="P455" s="171"/>
      <c r="Q455" s="171"/>
      <c r="R455" s="166" t="b">
        <v>0</v>
      </c>
      <c r="S455" s="171"/>
      <c r="T455" s="171"/>
      <c r="U455" s="171"/>
      <c r="V455" s="171"/>
      <c r="W455" s="171"/>
      <c r="X455" s="171"/>
      <c r="Y455" s="166"/>
      <c r="Z455" s="166"/>
      <c r="AA455" s="171"/>
      <c r="AB455" s="171"/>
      <c r="AC455" s="166"/>
      <c r="AD455" s="166"/>
      <c r="AE455" s="166"/>
      <c r="AF455" s="177">
        <v>2</v>
      </c>
      <c r="AG455" s="171"/>
    </row>
    <row r="456" spans="1:33">
      <c r="A456" s="166" t="b">
        <v>0</v>
      </c>
      <c r="B456" s="167">
        <f t="shared" ca="1" si="77"/>
        <v>7</v>
      </c>
      <c r="C456" s="166" t="s">
        <v>3355</v>
      </c>
      <c r="D456" s="168"/>
      <c r="E456" s="177"/>
      <c r="F456" s="177"/>
      <c r="G456" s="171"/>
      <c r="H456" s="167">
        <f t="shared" ca="1" si="78"/>
        <v>2</v>
      </c>
      <c r="I456" s="171"/>
      <c r="J456" s="166"/>
      <c r="K456" s="166" t="s">
        <v>433</v>
      </c>
      <c r="L456" s="171"/>
      <c r="M456" s="166"/>
      <c r="N456" s="171"/>
      <c r="O456" s="166"/>
      <c r="P456" s="171"/>
      <c r="Q456" s="171"/>
      <c r="R456" s="166" t="b">
        <v>0</v>
      </c>
      <c r="S456" s="171"/>
      <c r="T456" s="171"/>
      <c r="U456" s="171"/>
      <c r="V456" s="171"/>
      <c r="W456" s="171"/>
      <c r="X456" s="171"/>
      <c r="Y456" s="166"/>
      <c r="Z456" s="166"/>
      <c r="AA456" s="171"/>
      <c r="AB456" s="171"/>
      <c r="AC456" s="166"/>
      <c r="AD456" s="166"/>
      <c r="AE456" s="166"/>
      <c r="AF456" s="177">
        <v>3</v>
      </c>
      <c r="AG456" s="171"/>
    </row>
    <row r="457" spans="1:33">
      <c r="A457" s="166" t="b">
        <v>0</v>
      </c>
      <c r="B457" s="167">
        <f t="shared" ca="1" si="77"/>
        <v>7</v>
      </c>
      <c r="C457" s="166" t="s">
        <v>3356</v>
      </c>
      <c r="D457" s="168"/>
      <c r="E457" s="177"/>
      <c r="F457" s="177"/>
      <c r="G457" s="171"/>
      <c r="H457" s="167">
        <f t="shared" ca="1" si="78"/>
        <v>2</v>
      </c>
      <c r="I457" s="171"/>
      <c r="J457" s="166"/>
      <c r="K457" s="166" t="s">
        <v>433</v>
      </c>
      <c r="L457" s="171"/>
      <c r="M457" s="166"/>
      <c r="N457" s="171"/>
      <c r="O457" s="166"/>
      <c r="P457" s="171"/>
      <c r="Q457" s="171"/>
      <c r="R457" s="166" t="b">
        <v>0</v>
      </c>
      <c r="S457" s="171"/>
      <c r="T457" s="171"/>
      <c r="U457" s="171"/>
      <c r="V457" s="171"/>
      <c r="W457" s="171"/>
      <c r="X457" s="171"/>
      <c r="Y457" s="166"/>
      <c r="Z457" s="166"/>
      <c r="AA457" s="171"/>
      <c r="AB457" s="171"/>
      <c r="AC457" s="166"/>
      <c r="AD457" s="166"/>
      <c r="AE457" s="166"/>
      <c r="AF457" s="177">
        <v>4</v>
      </c>
      <c r="AG457" s="171"/>
    </row>
    <row r="458" spans="1:33">
      <c r="A458" s="166" t="b">
        <v>0</v>
      </c>
      <c r="B458" s="167">
        <f t="shared" ca="1" si="77"/>
        <v>7</v>
      </c>
      <c r="C458" s="166" t="s">
        <v>3357</v>
      </c>
      <c r="D458" s="168"/>
      <c r="E458" s="177"/>
      <c r="F458" s="177"/>
      <c r="G458" s="171"/>
      <c r="H458" s="167">
        <f t="shared" ca="1" si="78"/>
        <v>2</v>
      </c>
      <c r="I458" s="171"/>
      <c r="J458" s="166"/>
      <c r="K458" s="166" t="s">
        <v>433</v>
      </c>
      <c r="L458" s="171"/>
      <c r="M458" s="166"/>
      <c r="N458" s="171"/>
      <c r="O458" s="166"/>
      <c r="P458" s="171"/>
      <c r="Q458" s="171"/>
      <c r="R458" s="166" t="b">
        <v>0</v>
      </c>
      <c r="S458" s="171"/>
      <c r="T458" s="171"/>
      <c r="U458" s="171"/>
      <c r="V458" s="171"/>
      <c r="W458" s="171"/>
      <c r="X458" s="171"/>
      <c r="Y458" s="166"/>
      <c r="Z458" s="166"/>
      <c r="AA458" s="171"/>
      <c r="AB458" s="171"/>
      <c r="AC458" s="166"/>
      <c r="AD458" s="166"/>
      <c r="AE458" s="166"/>
      <c r="AF458" s="177">
        <v>5</v>
      </c>
      <c r="AG458" s="171"/>
    </row>
    <row r="459" spans="1:33">
      <c r="A459" s="166" t="b">
        <v>0</v>
      </c>
      <c r="B459" s="167">
        <f t="shared" ca="1" si="77"/>
        <v>7</v>
      </c>
      <c r="C459" s="166" t="s">
        <v>3358</v>
      </c>
      <c r="D459" s="168"/>
      <c r="E459" s="177"/>
      <c r="F459" s="177"/>
      <c r="G459" s="171"/>
      <c r="H459" s="167">
        <f t="shared" ca="1" si="78"/>
        <v>2</v>
      </c>
      <c r="I459" s="171"/>
      <c r="J459" s="166"/>
      <c r="K459" s="166" t="s">
        <v>433</v>
      </c>
      <c r="L459" s="171"/>
      <c r="M459" s="166"/>
      <c r="N459" s="171"/>
      <c r="O459" s="166"/>
      <c r="P459" s="171"/>
      <c r="Q459" s="171"/>
      <c r="R459" s="166" t="b">
        <v>0</v>
      </c>
      <c r="S459" s="171"/>
      <c r="T459" s="171"/>
      <c r="U459" s="171"/>
      <c r="V459" s="171"/>
      <c r="W459" s="171"/>
      <c r="X459" s="171"/>
      <c r="Y459" s="166"/>
      <c r="Z459" s="166"/>
      <c r="AA459" s="171"/>
      <c r="AB459" s="171"/>
      <c r="AC459" s="166"/>
      <c r="AD459" s="166"/>
      <c r="AE459" s="166"/>
      <c r="AF459" s="177">
        <v>6</v>
      </c>
      <c r="AG459" s="171"/>
    </row>
    <row r="460" spans="1:33">
      <c r="A460" s="166" t="b">
        <v>0</v>
      </c>
      <c r="B460" s="167">
        <f t="shared" ca="1" si="77"/>
        <v>7</v>
      </c>
      <c r="C460" s="166" t="s">
        <v>3359</v>
      </c>
      <c r="D460" s="168"/>
      <c r="E460" s="177"/>
      <c r="F460" s="177"/>
      <c r="G460" s="171"/>
      <c r="H460" s="167">
        <f t="shared" ca="1" si="78"/>
        <v>2</v>
      </c>
      <c r="I460" s="171"/>
      <c r="J460" s="166"/>
      <c r="K460" s="166" t="s">
        <v>433</v>
      </c>
      <c r="L460" s="171"/>
      <c r="M460" s="166"/>
      <c r="N460" s="171"/>
      <c r="O460" s="166"/>
      <c r="P460" s="171"/>
      <c r="Q460" s="171"/>
      <c r="R460" s="166" t="b">
        <v>0</v>
      </c>
      <c r="S460" s="171"/>
      <c r="T460" s="171"/>
      <c r="U460" s="171"/>
      <c r="V460" s="171"/>
      <c r="W460" s="171"/>
      <c r="X460" s="171"/>
      <c r="Y460" s="166"/>
      <c r="Z460" s="166"/>
      <c r="AA460" s="171"/>
      <c r="AB460" s="171"/>
      <c r="AC460" s="166"/>
      <c r="AD460" s="166"/>
      <c r="AE460" s="166"/>
      <c r="AF460" s="177">
        <v>7</v>
      </c>
      <c r="AG460" s="171"/>
    </row>
    <row r="461" spans="1:33">
      <c r="A461" s="166" t="b">
        <v>0</v>
      </c>
      <c r="B461" s="167">
        <f t="shared" ca="1" si="77"/>
        <v>7</v>
      </c>
      <c r="C461" s="166" t="s">
        <v>3360</v>
      </c>
      <c r="D461" s="168"/>
      <c r="E461" s="177"/>
      <c r="F461" s="177"/>
      <c r="G461" s="171"/>
      <c r="H461" s="167">
        <f t="shared" ca="1" si="78"/>
        <v>2</v>
      </c>
      <c r="I461" s="171"/>
      <c r="J461" s="166"/>
      <c r="K461" s="166" t="s">
        <v>433</v>
      </c>
      <c r="L461" s="171"/>
      <c r="M461" s="166"/>
      <c r="N461" s="171"/>
      <c r="O461" s="166"/>
      <c r="P461" s="171"/>
      <c r="Q461" s="171"/>
      <c r="R461" s="166" t="b">
        <v>0</v>
      </c>
      <c r="S461" s="171"/>
      <c r="T461" s="171"/>
      <c r="U461" s="171"/>
      <c r="V461" s="171"/>
      <c r="W461" s="171"/>
      <c r="X461" s="171"/>
      <c r="Y461" s="166"/>
      <c r="Z461" s="166"/>
      <c r="AA461" s="171"/>
      <c r="AB461" s="171"/>
      <c r="AC461" s="166"/>
      <c r="AD461" s="166"/>
      <c r="AE461" s="166"/>
      <c r="AF461" s="177">
        <v>8</v>
      </c>
      <c r="AG461" s="171"/>
    </row>
    <row r="462" spans="1:33">
      <c r="A462" s="166" t="b">
        <v>0</v>
      </c>
      <c r="B462" s="167">
        <f t="shared" ca="1" si="77"/>
        <v>7</v>
      </c>
      <c r="C462" s="166" t="s">
        <v>3361</v>
      </c>
      <c r="D462" s="168"/>
      <c r="E462" s="177"/>
      <c r="F462" s="177"/>
      <c r="G462" s="171"/>
      <c r="H462" s="167">
        <f t="shared" ca="1" si="78"/>
        <v>2</v>
      </c>
      <c r="I462" s="171"/>
      <c r="J462" s="166"/>
      <c r="K462" s="166" t="s">
        <v>433</v>
      </c>
      <c r="L462" s="171"/>
      <c r="M462" s="166"/>
      <c r="N462" s="171"/>
      <c r="O462" s="166"/>
      <c r="P462" s="171"/>
      <c r="Q462" s="171"/>
      <c r="R462" s="166" t="b">
        <v>0</v>
      </c>
      <c r="S462" s="171"/>
      <c r="T462" s="171"/>
      <c r="U462" s="171"/>
      <c r="V462" s="171"/>
      <c r="W462" s="171"/>
      <c r="X462" s="171"/>
      <c r="Y462" s="166"/>
      <c r="Z462" s="166"/>
      <c r="AA462" s="171"/>
      <c r="AB462" s="171"/>
      <c r="AC462" s="166"/>
      <c r="AD462" s="166"/>
      <c r="AE462" s="166"/>
      <c r="AF462" s="177">
        <v>9</v>
      </c>
      <c r="AG462" s="171"/>
    </row>
    <row r="463" spans="1:33">
      <c r="A463" s="166" t="b">
        <v>0</v>
      </c>
      <c r="B463" s="167">
        <f t="shared" ca="1" si="77"/>
        <v>7</v>
      </c>
      <c r="C463" s="166" t="s">
        <v>3362</v>
      </c>
      <c r="D463" s="168"/>
      <c r="E463" s="177"/>
      <c r="F463" s="177"/>
      <c r="G463" s="171"/>
      <c r="H463" s="167">
        <f t="shared" ca="1" si="78"/>
        <v>2</v>
      </c>
      <c r="I463" s="171"/>
      <c r="J463" s="166"/>
      <c r="K463" s="166" t="s">
        <v>433</v>
      </c>
      <c r="L463" s="171"/>
      <c r="M463" s="166"/>
      <c r="N463" s="171"/>
      <c r="O463" s="166"/>
      <c r="P463" s="171"/>
      <c r="Q463" s="171"/>
      <c r="R463" s="166" t="b">
        <v>0</v>
      </c>
      <c r="S463" s="171"/>
      <c r="T463" s="171"/>
      <c r="U463" s="171"/>
      <c r="V463" s="171"/>
      <c r="W463" s="171"/>
      <c r="X463" s="171"/>
      <c r="Y463" s="166"/>
      <c r="Z463" s="166"/>
      <c r="AA463" s="171"/>
      <c r="AB463" s="171"/>
      <c r="AC463" s="166"/>
      <c r="AD463" s="166"/>
      <c r="AE463" s="166"/>
      <c r="AF463" s="177">
        <v>10</v>
      </c>
      <c r="AG463" s="171"/>
    </row>
    <row r="464" spans="1:33">
      <c r="A464" s="166" t="b">
        <v>0</v>
      </c>
      <c r="B464" s="167">
        <f t="shared" ca="1" si="77"/>
        <v>7</v>
      </c>
      <c r="C464" s="166" t="s">
        <v>3363</v>
      </c>
      <c r="D464" s="168"/>
      <c r="E464" s="177"/>
      <c r="F464" s="177"/>
      <c r="G464" s="171"/>
      <c r="H464" s="167">
        <f t="shared" ca="1" si="78"/>
        <v>2</v>
      </c>
      <c r="I464" s="171"/>
      <c r="J464" s="166"/>
      <c r="K464" s="166" t="s">
        <v>433</v>
      </c>
      <c r="L464" s="171"/>
      <c r="M464" s="166"/>
      <c r="N464" s="171"/>
      <c r="O464" s="166"/>
      <c r="P464" s="171"/>
      <c r="Q464" s="171"/>
      <c r="R464" s="166" t="b">
        <v>0</v>
      </c>
      <c r="S464" s="171"/>
      <c r="T464" s="171"/>
      <c r="U464" s="171"/>
      <c r="V464" s="171"/>
      <c r="W464" s="171"/>
      <c r="X464" s="171"/>
      <c r="Y464" s="166"/>
      <c r="Z464" s="166"/>
      <c r="AA464" s="171"/>
      <c r="AB464" s="171"/>
      <c r="AC464" s="166"/>
      <c r="AD464" s="166"/>
      <c r="AE464" s="166"/>
      <c r="AF464" s="177">
        <v>11</v>
      </c>
      <c r="AG464" s="171"/>
    </row>
    <row r="465" spans="1:33">
      <c r="A465" s="166" t="b">
        <v>0</v>
      </c>
      <c r="B465" s="167">
        <f t="shared" ca="1" si="77"/>
        <v>7</v>
      </c>
      <c r="C465" s="166" t="s">
        <v>3364</v>
      </c>
      <c r="D465" s="168"/>
      <c r="E465" s="177"/>
      <c r="F465" s="177"/>
      <c r="G465" s="171"/>
      <c r="H465" s="167">
        <f t="shared" ca="1" si="78"/>
        <v>2</v>
      </c>
      <c r="I465" s="171"/>
      <c r="J465" s="166"/>
      <c r="K465" s="166" t="s">
        <v>433</v>
      </c>
      <c r="L465" s="171"/>
      <c r="M465" s="166"/>
      <c r="N465" s="171"/>
      <c r="O465" s="166"/>
      <c r="P465" s="171"/>
      <c r="Q465" s="171"/>
      <c r="R465" s="166" t="b">
        <v>0</v>
      </c>
      <c r="S465" s="171"/>
      <c r="T465" s="171"/>
      <c r="U465" s="171"/>
      <c r="V465" s="171"/>
      <c r="W465" s="171"/>
      <c r="X465" s="171"/>
      <c r="Y465" s="166"/>
      <c r="Z465" s="166"/>
      <c r="AA465" s="171"/>
      <c r="AB465" s="171"/>
      <c r="AC465" s="166"/>
      <c r="AD465" s="166"/>
      <c r="AE465" s="166"/>
      <c r="AF465" s="177">
        <v>12</v>
      </c>
      <c r="AG465" s="171"/>
    </row>
    <row r="466" spans="1:33">
      <c r="A466" s="166" t="b">
        <v>0</v>
      </c>
      <c r="B466" s="167">
        <f t="shared" ca="1" si="77"/>
        <v>7</v>
      </c>
      <c r="C466" s="166" t="s">
        <v>3365</v>
      </c>
      <c r="D466" s="168"/>
      <c r="E466" s="177"/>
      <c r="F466" s="177"/>
      <c r="G466" s="171"/>
      <c r="H466" s="167">
        <f t="shared" ca="1" si="78"/>
        <v>2</v>
      </c>
      <c r="I466" s="171"/>
      <c r="J466" s="166"/>
      <c r="K466" s="166" t="s">
        <v>433</v>
      </c>
      <c r="L466" s="171"/>
      <c r="M466" s="166"/>
      <c r="N466" s="171"/>
      <c r="O466" s="166"/>
      <c r="P466" s="171"/>
      <c r="Q466" s="171"/>
      <c r="R466" s="166" t="b">
        <v>0</v>
      </c>
      <c r="S466" s="171"/>
      <c r="T466" s="171"/>
      <c r="U466" s="171"/>
      <c r="V466" s="171"/>
      <c r="W466" s="171"/>
      <c r="X466" s="171"/>
      <c r="Y466" s="166"/>
      <c r="Z466" s="166"/>
      <c r="AA466" s="171"/>
      <c r="AB466" s="171"/>
      <c r="AC466" s="166"/>
      <c r="AD466" s="166"/>
      <c r="AE466" s="166"/>
      <c r="AF466" s="177">
        <v>13</v>
      </c>
      <c r="AG466" s="171"/>
    </row>
    <row r="467" spans="1:33">
      <c r="A467" s="166" t="b">
        <v>0</v>
      </c>
      <c r="B467" s="167">
        <f t="shared" ca="1" si="77"/>
        <v>7</v>
      </c>
      <c r="C467" s="166" t="s">
        <v>3366</v>
      </c>
      <c r="D467" s="168"/>
      <c r="E467" s="177"/>
      <c r="F467" s="177"/>
      <c r="G467" s="171"/>
      <c r="H467" s="167">
        <f t="shared" ca="1" si="78"/>
        <v>2</v>
      </c>
      <c r="I467" s="171"/>
      <c r="J467" s="166"/>
      <c r="K467" s="166" t="s">
        <v>433</v>
      </c>
      <c r="L467" s="171"/>
      <c r="M467" s="166"/>
      <c r="N467" s="171"/>
      <c r="O467" s="166"/>
      <c r="P467" s="171"/>
      <c r="Q467" s="171"/>
      <c r="R467" s="166" t="b">
        <v>0</v>
      </c>
      <c r="S467" s="171"/>
      <c r="T467" s="171"/>
      <c r="U467" s="171"/>
      <c r="V467" s="171"/>
      <c r="W467" s="171"/>
      <c r="X467" s="171"/>
      <c r="Y467" s="166"/>
      <c r="Z467" s="166"/>
      <c r="AA467" s="171"/>
      <c r="AB467" s="171"/>
      <c r="AC467" s="166"/>
      <c r="AD467" s="166"/>
      <c r="AE467" s="166"/>
      <c r="AF467" s="177">
        <v>14</v>
      </c>
      <c r="AG467" s="171"/>
    </row>
    <row r="468" spans="1:33">
      <c r="A468" s="166" t="b">
        <v>0</v>
      </c>
      <c r="B468" s="167">
        <f t="shared" ca="1" si="77"/>
        <v>7</v>
      </c>
      <c r="C468" s="166" t="s">
        <v>3367</v>
      </c>
      <c r="D468" s="168"/>
      <c r="E468" s="177"/>
      <c r="F468" s="177"/>
      <c r="G468" s="171"/>
      <c r="H468" s="167">
        <f t="shared" ca="1" si="78"/>
        <v>2</v>
      </c>
      <c r="I468" s="171"/>
      <c r="J468" s="166"/>
      <c r="K468" s="166" t="s">
        <v>433</v>
      </c>
      <c r="L468" s="171"/>
      <c r="M468" s="166"/>
      <c r="N468" s="171"/>
      <c r="O468" s="166"/>
      <c r="P468" s="171"/>
      <c r="Q468" s="171"/>
      <c r="R468" s="166" t="b">
        <v>0</v>
      </c>
      <c r="S468" s="171"/>
      <c r="T468" s="171"/>
      <c r="U468" s="171"/>
      <c r="V468" s="171"/>
      <c r="W468" s="171"/>
      <c r="X468" s="171"/>
      <c r="Y468" s="166"/>
      <c r="Z468" s="166"/>
      <c r="AA468" s="171"/>
      <c r="AB468" s="171"/>
      <c r="AC468" s="166"/>
      <c r="AD468" s="166"/>
      <c r="AE468" s="166"/>
      <c r="AF468" s="177">
        <v>15</v>
      </c>
      <c r="AG468" s="171"/>
    </row>
    <row r="469" spans="1:33">
      <c r="A469" s="166" t="b">
        <v>0</v>
      </c>
      <c r="B469" s="167">
        <f t="shared" ca="1" si="77"/>
        <v>7</v>
      </c>
      <c r="C469" s="166" t="s">
        <v>3368</v>
      </c>
      <c r="D469" s="168"/>
      <c r="E469" s="177"/>
      <c r="F469" s="177"/>
      <c r="G469" s="171"/>
      <c r="H469" s="167">
        <f t="shared" ca="1" si="78"/>
        <v>2</v>
      </c>
      <c r="I469" s="171"/>
      <c r="J469" s="166"/>
      <c r="K469" s="166" t="s">
        <v>433</v>
      </c>
      <c r="L469" s="171"/>
      <c r="M469" s="166"/>
      <c r="N469" s="171"/>
      <c r="O469" s="166"/>
      <c r="P469" s="171"/>
      <c r="Q469" s="171"/>
      <c r="R469" s="166" t="b">
        <v>0</v>
      </c>
      <c r="S469" s="171"/>
      <c r="T469" s="171"/>
      <c r="U469" s="171"/>
      <c r="V469" s="171"/>
      <c r="W469" s="171"/>
      <c r="X469" s="171"/>
      <c r="Y469" s="166"/>
      <c r="Z469" s="166"/>
      <c r="AA469" s="171"/>
      <c r="AB469" s="171"/>
      <c r="AC469" s="166"/>
      <c r="AD469" s="166"/>
      <c r="AE469" s="166"/>
      <c r="AF469" s="177">
        <v>16</v>
      </c>
      <c r="AG469" s="171"/>
    </row>
    <row r="470" spans="1:33">
      <c r="A470" s="166" t="b">
        <v>0</v>
      </c>
      <c r="B470" s="167">
        <f t="shared" ca="1" si="77"/>
        <v>7</v>
      </c>
      <c r="C470" s="166" t="s">
        <v>3369</v>
      </c>
      <c r="D470" s="168"/>
      <c r="E470" s="177"/>
      <c r="F470" s="177"/>
      <c r="G470" s="171"/>
      <c r="H470" s="167">
        <f t="shared" ca="1" si="78"/>
        <v>2</v>
      </c>
      <c r="I470" s="171"/>
      <c r="J470" s="166"/>
      <c r="K470" s="166" t="s">
        <v>433</v>
      </c>
      <c r="L470" s="171"/>
      <c r="M470" s="166"/>
      <c r="N470" s="171"/>
      <c r="O470" s="166"/>
      <c r="P470" s="171"/>
      <c r="Q470" s="171"/>
      <c r="R470" s="166" t="b">
        <v>0</v>
      </c>
      <c r="S470" s="171"/>
      <c r="T470" s="171"/>
      <c r="U470" s="171"/>
      <c r="V470" s="171"/>
      <c r="W470" s="171"/>
      <c r="X470" s="171"/>
      <c r="Y470" s="166"/>
      <c r="Z470" s="166"/>
      <c r="AA470" s="171"/>
      <c r="AB470" s="171"/>
      <c r="AC470" s="166"/>
      <c r="AD470" s="166"/>
      <c r="AE470" s="166"/>
      <c r="AF470" s="177">
        <v>17</v>
      </c>
      <c r="AG470" s="171"/>
    </row>
    <row r="471" spans="1:33">
      <c r="A471" s="166" t="b">
        <v>0</v>
      </c>
      <c r="B471" s="167">
        <f t="shared" ca="1" si="77"/>
        <v>7</v>
      </c>
      <c r="C471" s="166" t="s">
        <v>3370</v>
      </c>
      <c r="D471" s="168"/>
      <c r="E471" s="177"/>
      <c r="F471" s="177"/>
      <c r="G471" s="171"/>
      <c r="H471" s="167">
        <f t="shared" ca="1" si="78"/>
        <v>2</v>
      </c>
      <c r="I471" s="171"/>
      <c r="J471" s="166"/>
      <c r="K471" s="166" t="s">
        <v>433</v>
      </c>
      <c r="L471" s="171"/>
      <c r="M471" s="166"/>
      <c r="N471" s="171"/>
      <c r="O471" s="166"/>
      <c r="P471" s="171"/>
      <c r="Q471" s="171"/>
      <c r="R471" s="166" t="b">
        <v>0</v>
      </c>
      <c r="S471" s="171"/>
      <c r="T471" s="171"/>
      <c r="U471" s="171"/>
      <c r="V471" s="171"/>
      <c r="W471" s="171"/>
      <c r="X471" s="171"/>
      <c r="Y471" s="166"/>
      <c r="Z471" s="166"/>
      <c r="AA471" s="171"/>
      <c r="AB471" s="171"/>
      <c r="AC471" s="166"/>
      <c r="AD471" s="166"/>
      <c r="AE471" s="166"/>
      <c r="AF471" s="177">
        <v>18</v>
      </c>
      <c r="AG471" s="171"/>
    </row>
    <row r="472" spans="1:33">
      <c r="A472" s="166" t="b">
        <v>0</v>
      </c>
      <c r="B472" s="167">
        <f t="shared" ca="1" si="77"/>
        <v>7</v>
      </c>
      <c r="C472" s="166" t="s">
        <v>3371</v>
      </c>
      <c r="D472" s="168"/>
      <c r="E472" s="177"/>
      <c r="F472" s="177"/>
      <c r="G472" s="171"/>
      <c r="H472" s="167">
        <f t="shared" ca="1" si="78"/>
        <v>2</v>
      </c>
      <c r="I472" s="171"/>
      <c r="J472" s="166"/>
      <c r="K472" s="166" t="s">
        <v>433</v>
      </c>
      <c r="L472" s="171"/>
      <c r="M472" s="166"/>
      <c r="N472" s="171"/>
      <c r="O472" s="166"/>
      <c r="P472" s="171"/>
      <c r="Q472" s="171"/>
      <c r="R472" s="166" t="b">
        <v>0</v>
      </c>
      <c r="S472" s="171"/>
      <c r="T472" s="171"/>
      <c r="U472" s="171"/>
      <c r="V472" s="171"/>
      <c r="W472" s="171"/>
      <c r="X472" s="171"/>
      <c r="Y472" s="166"/>
      <c r="Z472" s="166"/>
      <c r="AA472" s="171"/>
      <c r="AB472" s="171"/>
      <c r="AC472" s="166"/>
      <c r="AD472" s="166"/>
      <c r="AE472" s="166"/>
      <c r="AF472" s="177">
        <v>19</v>
      </c>
      <c r="AG472" s="171"/>
    </row>
    <row r="473" spans="1:33">
      <c r="A473" s="166" t="b">
        <v>0</v>
      </c>
      <c r="B473" s="167">
        <f t="shared" ca="1" si="77"/>
        <v>7</v>
      </c>
      <c r="C473" s="166" t="s">
        <v>3372</v>
      </c>
      <c r="D473" s="168"/>
      <c r="E473" s="177"/>
      <c r="F473" s="177"/>
      <c r="G473" s="171"/>
      <c r="H473" s="167">
        <f t="shared" ca="1" si="78"/>
        <v>2</v>
      </c>
      <c r="I473" s="171"/>
      <c r="J473" s="166"/>
      <c r="K473" s="166" t="s">
        <v>433</v>
      </c>
      <c r="L473" s="171"/>
      <c r="M473" s="166"/>
      <c r="N473" s="171"/>
      <c r="O473" s="166"/>
      <c r="P473" s="171"/>
      <c r="Q473" s="171"/>
      <c r="R473" s="166" t="b">
        <v>0</v>
      </c>
      <c r="S473" s="171"/>
      <c r="T473" s="171"/>
      <c r="U473" s="171"/>
      <c r="V473" s="171"/>
      <c r="W473" s="171"/>
      <c r="X473" s="171"/>
      <c r="Y473" s="166"/>
      <c r="Z473" s="166"/>
      <c r="AA473" s="171"/>
      <c r="AB473" s="171"/>
      <c r="AC473" s="166"/>
      <c r="AD473" s="166"/>
      <c r="AE473" s="166"/>
      <c r="AF473" s="177">
        <v>20</v>
      </c>
      <c r="AG473" s="171"/>
    </row>
    <row r="474" spans="1:33">
      <c r="A474" s="166" t="b">
        <v>0</v>
      </c>
      <c r="B474" s="167">
        <f t="shared" ca="1" si="77"/>
        <v>7</v>
      </c>
      <c r="C474" s="166" t="s">
        <v>3373</v>
      </c>
      <c r="D474" s="168"/>
      <c r="E474" s="177"/>
      <c r="F474" s="177"/>
      <c r="G474" s="171"/>
      <c r="H474" s="167">
        <f t="shared" ca="1" si="78"/>
        <v>2</v>
      </c>
      <c r="I474" s="171"/>
      <c r="J474" s="166"/>
      <c r="K474" s="166" t="s">
        <v>433</v>
      </c>
      <c r="L474" s="171"/>
      <c r="M474" s="166"/>
      <c r="N474" s="171"/>
      <c r="O474" s="166"/>
      <c r="P474" s="171"/>
      <c r="Q474" s="171"/>
      <c r="R474" s="166" t="b">
        <v>0</v>
      </c>
      <c r="S474" s="171"/>
      <c r="T474" s="171"/>
      <c r="U474" s="171"/>
      <c r="V474" s="171"/>
      <c r="W474" s="171"/>
      <c r="X474" s="171"/>
      <c r="Y474" s="166"/>
      <c r="Z474" s="166"/>
      <c r="AA474" s="171"/>
      <c r="AB474" s="171"/>
      <c r="AC474" s="166"/>
      <c r="AD474" s="166"/>
      <c r="AE474" s="166"/>
      <c r="AF474" s="177">
        <v>21</v>
      </c>
      <c r="AG474" s="171"/>
    </row>
    <row r="475" spans="1:33">
      <c r="A475" s="166" t="b">
        <v>0</v>
      </c>
      <c r="B475" s="167">
        <f t="shared" ca="1" si="77"/>
        <v>7</v>
      </c>
      <c r="C475" s="166" t="s">
        <v>3374</v>
      </c>
      <c r="D475" s="168"/>
      <c r="E475" s="177"/>
      <c r="F475" s="177"/>
      <c r="G475" s="171"/>
      <c r="H475" s="167">
        <f t="shared" ca="1" si="78"/>
        <v>2</v>
      </c>
      <c r="I475" s="171"/>
      <c r="J475" s="166"/>
      <c r="K475" s="166" t="s">
        <v>433</v>
      </c>
      <c r="L475" s="171"/>
      <c r="M475" s="166"/>
      <c r="N475" s="171"/>
      <c r="O475" s="166"/>
      <c r="P475" s="171"/>
      <c r="Q475" s="171"/>
      <c r="R475" s="166" t="b">
        <v>0</v>
      </c>
      <c r="S475" s="171"/>
      <c r="T475" s="171"/>
      <c r="U475" s="171"/>
      <c r="V475" s="171"/>
      <c r="W475" s="171"/>
      <c r="X475" s="171"/>
      <c r="Y475" s="166"/>
      <c r="Z475" s="166"/>
      <c r="AA475" s="171"/>
      <c r="AB475" s="171"/>
      <c r="AC475" s="166"/>
      <c r="AD475" s="166"/>
      <c r="AE475" s="166"/>
      <c r="AF475" s="177">
        <v>22</v>
      </c>
      <c r="AG475" s="171"/>
    </row>
    <row r="476" spans="1:33">
      <c r="A476" s="166" t="b">
        <v>0</v>
      </c>
      <c r="B476" s="167">
        <f t="shared" ca="1" si="77"/>
        <v>7</v>
      </c>
      <c r="C476" s="166" t="s">
        <v>3375</v>
      </c>
      <c r="D476" s="168"/>
      <c r="E476" s="177"/>
      <c r="F476" s="177"/>
      <c r="G476" s="171"/>
      <c r="H476" s="167">
        <f t="shared" ca="1" si="78"/>
        <v>2</v>
      </c>
      <c r="I476" s="171"/>
      <c r="J476" s="166"/>
      <c r="K476" s="166" t="s">
        <v>433</v>
      </c>
      <c r="L476" s="171"/>
      <c r="M476" s="166"/>
      <c r="N476" s="171"/>
      <c r="O476" s="166"/>
      <c r="P476" s="171"/>
      <c r="Q476" s="171"/>
      <c r="R476" s="166" t="b">
        <v>0</v>
      </c>
      <c r="S476" s="171"/>
      <c r="T476" s="171"/>
      <c r="U476" s="171"/>
      <c r="V476" s="171"/>
      <c r="W476" s="171"/>
      <c r="X476" s="171"/>
      <c r="Y476" s="166"/>
      <c r="Z476" s="166"/>
      <c r="AA476" s="171"/>
      <c r="AB476" s="171"/>
      <c r="AC476" s="166"/>
      <c r="AD476" s="166"/>
      <c r="AE476" s="166"/>
      <c r="AF476" s="177">
        <v>23</v>
      </c>
      <c r="AG476" s="171"/>
    </row>
    <row r="477" spans="1:33">
      <c r="A477" s="166" t="b">
        <v>0</v>
      </c>
      <c r="B477" s="167">
        <f t="shared" ca="1" si="77"/>
        <v>7</v>
      </c>
      <c r="C477" s="166" t="s">
        <v>3376</v>
      </c>
      <c r="D477" s="168"/>
      <c r="E477" s="177"/>
      <c r="F477" s="177"/>
      <c r="G477" s="171"/>
      <c r="H477" s="167">
        <f t="shared" ca="1" si="78"/>
        <v>2</v>
      </c>
      <c r="I477" s="171"/>
      <c r="J477" s="166"/>
      <c r="K477" s="166" t="s">
        <v>433</v>
      </c>
      <c r="L477" s="171"/>
      <c r="M477" s="166"/>
      <c r="N477" s="171"/>
      <c r="O477" s="166"/>
      <c r="P477" s="171"/>
      <c r="Q477" s="171"/>
      <c r="R477" s="166" t="b">
        <v>0</v>
      </c>
      <c r="S477" s="171"/>
      <c r="T477" s="171"/>
      <c r="U477" s="171"/>
      <c r="V477" s="171"/>
      <c r="W477" s="171"/>
      <c r="X477" s="171"/>
      <c r="Y477" s="166"/>
      <c r="Z477" s="166"/>
      <c r="AA477" s="171"/>
      <c r="AB477" s="171"/>
      <c r="AC477" s="166"/>
      <c r="AD477" s="166"/>
      <c r="AE477" s="166"/>
      <c r="AF477" s="177">
        <v>24</v>
      </c>
      <c r="AG477" s="171"/>
    </row>
    <row r="478" spans="1:33">
      <c r="A478" s="166" t="b">
        <v>0</v>
      </c>
      <c r="B478" s="167">
        <f t="shared" ca="1" si="77"/>
        <v>7</v>
      </c>
      <c r="C478" s="166" t="s">
        <v>3377</v>
      </c>
      <c r="D478" s="168"/>
      <c r="E478" s="177"/>
      <c r="F478" s="177"/>
      <c r="G478" s="171"/>
      <c r="H478" s="167">
        <f t="shared" ca="1" si="78"/>
        <v>2</v>
      </c>
      <c r="I478" s="171"/>
      <c r="J478" s="166"/>
      <c r="K478" s="166" t="s">
        <v>433</v>
      </c>
      <c r="L478" s="171"/>
      <c r="M478" s="166"/>
      <c r="N478" s="171"/>
      <c r="O478" s="166"/>
      <c r="P478" s="171"/>
      <c r="Q478" s="171"/>
      <c r="R478" s="166" t="b">
        <v>0</v>
      </c>
      <c r="S478" s="171"/>
      <c r="T478" s="171"/>
      <c r="U478" s="171"/>
      <c r="V478" s="171"/>
      <c r="W478" s="171"/>
      <c r="X478" s="171"/>
      <c r="Y478" s="166"/>
      <c r="Z478" s="166"/>
      <c r="AA478" s="171"/>
      <c r="AB478" s="171"/>
      <c r="AC478" s="166"/>
      <c r="AD478" s="166"/>
      <c r="AE478" s="166"/>
      <c r="AF478" s="177">
        <v>25</v>
      </c>
      <c r="AG478" s="171"/>
    </row>
    <row r="479" spans="1:33">
      <c r="A479" s="166" t="b">
        <v>0</v>
      </c>
      <c r="B479" s="167">
        <f t="shared" ca="1" si="77"/>
        <v>7</v>
      </c>
      <c r="C479" s="166" t="s">
        <v>3378</v>
      </c>
      <c r="D479" s="168"/>
      <c r="E479" s="177"/>
      <c r="F479" s="177"/>
      <c r="G479" s="171"/>
      <c r="H479" s="167">
        <f t="shared" ca="1" si="78"/>
        <v>2</v>
      </c>
      <c r="I479" s="171"/>
      <c r="J479" s="166"/>
      <c r="K479" s="166" t="s">
        <v>433</v>
      </c>
      <c r="L479" s="171"/>
      <c r="M479" s="166"/>
      <c r="N479" s="171"/>
      <c r="O479" s="166"/>
      <c r="P479" s="171"/>
      <c r="Q479" s="171"/>
      <c r="R479" s="166" t="b">
        <v>0</v>
      </c>
      <c r="S479" s="171"/>
      <c r="T479" s="171"/>
      <c r="U479" s="171"/>
      <c r="V479" s="171"/>
      <c r="W479" s="171"/>
      <c r="X479" s="171"/>
      <c r="Y479" s="166"/>
      <c r="Z479" s="166"/>
      <c r="AA479" s="171"/>
      <c r="AB479" s="171"/>
      <c r="AC479" s="166"/>
      <c r="AD479" s="166"/>
      <c r="AE479" s="166"/>
      <c r="AF479" s="177">
        <v>26</v>
      </c>
      <c r="AG479" s="171"/>
    </row>
    <row r="480" spans="1:33">
      <c r="A480" s="166" t="b">
        <v>0</v>
      </c>
      <c r="B480" s="167">
        <f t="shared" ca="1" si="77"/>
        <v>7</v>
      </c>
      <c r="C480" s="166" t="s">
        <v>3379</v>
      </c>
      <c r="D480" s="168"/>
      <c r="E480" s="177"/>
      <c r="F480" s="177"/>
      <c r="G480" s="171"/>
      <c r="H480" s="167">
        <f t="shared" ca="1" si="78"/>
        <v>2</v>
      </c>
      <c r="I480" s="171"/>
      <c r="J480" s="166"/>
      <c r="K480" s="166" t="s">
        <v>433</v>
      </c>
      <c r="L480" s="171"/>
      <c r="M480" s="166"/>
      <c r="N480" s="171"/>
      <c r="O480" s="166"/>
      <c r="P480" s="171"/>
      <c r="Q480" s="171"/>
      <c r="R480" s="166" t="b">
        <v>0</v>
      </c>
      <c r="S480" s="171"/>
      <c r="T480" s="171"/>
      <c r="U480" s="171"/>
      <c r="V480" s="171"/>
      <c r="W480" s="171"/>
      <c r="X480" s="171"/>
      <c r="Y480" s="166"/>
      <c r="Z480" s="166"/>
      <c r="AA480" s="171"/>
      <c r="AB480" s="171"/>
      <c r="AC480" s="166"/>
      <c r="AD480" s="166"/>
      <c r="AE480" s="166"/>
      <c r="AF480" s="177">
        <v>27</v>
      </c>
      <c r="AG480" s="171"/>
    </row>
    <row r="481" spans="1:33">
      <c r="A481" s="166" t="b">
        <v>0</v>
      </c>
      <c r="B481" s="167">
        <f t="shared" ca="1" si="77"/>
        <v>7</v>
      </c>
      <c r="C481" s="166" t="s">
        <v>3380</v>
      </c>
      <c r="D481" s="168"/>
      <c r="E481" s="177"/>
      <c r="F481" s="177"/>
      <c r="G481" s="171"/>
      <c r="H481" s="167">
        <f t="shared" ca="1" si="78"/>
        <v>2</v>
      </c>
      <c r="I481" s="171"/>
      <c r="J481" s="166"/>
      <c r="K481" s="166" t="s">
        <v>433</v>
      </c>
      <c r="L481" s="171"/>
      <c r="M481" s="166"/>
      <c r="N481" s="171"/>
      <c r="O481" s="166"/>
      <c r="P481" s="171"/>
      <c r="Q481" s="171"/>
      <c r="R481" s="166" t="b">
        <v>0</v>
      </c>
      <c r="S481" s="171"/>
      <c r="T481" s="171"/>
      <c r="U481" s="171"/>
      <c r="V481" s="171"/>
      <c r="W481" s="171"/>
      <c r="X481" s="171"/>
      <c r="Y481" s="166"/>
      <c r="Z481" s="166"/>
      <c r="AA481" s="171"/>
      <c r="AB481" s="171"/>
      <c r="AC481" s="166"/>
      <c r="AD481" s="166"/>
      <c r="AE481" s="166"/>
      <c r="AF481" s="177">
        <v>28</v>
      </c>
      <c r="AG481" s="171"/>
    </row>
    <row r="482" spans="1:33">
      <c r="A482" s="166" t="b">
        <v>0</v>
      </c>
      <c r="B482" s="167">
        <f t="shared" ca="1" si="77"/>
        <v>7</v>
      </c>
      <c r="C482" s="166" t="s">
        <v>3381</v>
      </c>
      <c r="D482" s="168"/>
      <c r="E482" s="177"/>
      <c r="F482" s="177"/>
      <c r="G482" s="171"/>
      <c r="H482" s="167">
        <f t="shared" ca="1" si="78"/>
        <v>2</v>
      </c>
      <c r="I482" s="171"/>
      <c r="J482" s="166"/>
      <c r="K482" s="166" t="s">
        <v>433</v>
      </c>
      <c r="L482" s="171"/>
      <c r="M482" s="166"/>
      <c r="N482" s="171"/>
      <c r="O482" s="166"/>
      <c r="P482" s="171"/>
      <c r="Q482" s="171"/>
      <c r="R482" s="166" t="b">
        <v>0</v>
      </c>
      <c r="S482" s="171"/>
      <c r="T482" s="171"/>
      <c r="U482" s="171"/>
      <c r="V482" s="171"/>
      <c r="W482" s="171"/>
      <c r="X482" s="171"/>
      <c r="Y482" s="166"/>
      <c r="Z482" s="166"/>
      <c r="AA482" s="171"/>
      <c r="AB482" s="171"/>
      <c r="AC482" s="166"/>
      <c r="AD482" s="166"/>
      <c r="AE482" s="166"/>
      <c r="AF482" s="177">
        <v>29</v>
      </c>
      <c r="AG482" s="171"/>
    </row>
    <row r="483" spans="1:33">
      <c r="A483" s="166" t="b">
        <v>0</v>
      </c>
      <c r="B483" s="167">
        <f t="shared" ca="1" si="77"/>
        <v>7</v>
      </c>
      <c r="C483" s="166" t="s">
        <v>3382</v>
      </c>
      <c r="D483" s="168"/>
      <c r="E483" s="177"/>
      <c r="F483" s="177"/>
      <c r="G483" s="171"/>
      <c r="H483" s="167">
        <f t="shared" ca="1" si="78"/>
        <v>2</v>
      </c>
      <c r="I483" s="171"/>
      <c r="J483" s="166"/>
      <c r="K483" s="166" t="s">
        <v>433</v>
      </c>
      <c r="L483" s="171"/>
      <c r="M483" s="166"/>
      <c r="N483" s="171"/>
      <c r="O483" s="166"/>
      <c r="P483" s="171"/>
      <c r="Q483" s="171"/>
      <c r="R483" s="166" t="b">
        <v>0</v>
      </c>
      <c r="S483" s="171"/>
      <c r="T483" s="171"/>
      <c r="U483" s="171"/>
      <c r="V483" s="171"/>
      <c r="W483" s="171"/>
      <c r="X483" s="171"/>
      <c r="Y483" s="166"/>
      <c r="Z483" s="166"/>
      <c r="AA483" s="171"/>
      <c r="AB483" s="171"/>
      <c r="AC483" s="166"/>
      <c r="AD483" s="166"/>
      <c r="AE483" s="166"/>
      <c r="AF483" s="177">
        <v>30</v>
      </c>
      <c r="AG483" s="171"/>
    </row>
    <row r="484" spans="1:33">
      <c r="A484" s="166" t="b">
        <f t="shared" ref="A484:A513" ca="1" si="79">IF(OR(J484&lt;&gt;"",T484&lt;&gt;""),TRUE,FALSE)</f>
        <v>1</v>
      </c>
      <c r="B484" s="167">
        <f t="shared" ca="1" si="77"/>
        <v>9</v>
      </c>
      <c r="C484" s="172" t="str">
        <f ca="1">IFERROR(IF(AND(H484=2,B484=7),"blank",INDEX(C$452:C484,H484,1)),"")</f>
        <v>a183p000006T3jpAAC</v>
      </c>
      <c r="D484" s="168">
        <f t="shared" ref="D484:D513" ca="1" si="80">IFERROR(IF(INDIRECT("'Coverage Indicators - Section D'!G"&amp;$B484)="","",INDIRECT("'Coverage Indicators - Section D'!G"&amp;$B484)*100),"")</f>
        <v>40.660968309315884</v>
      </c>
      <c r="E484" s="177">
        <f t="shared" ref="E484:E513" ca="1" si="81">IFERROR(IF(INDIRECT("'Coverage Indicators - Section D'!F"&amp;$B484+1)="","",INDIRECT("'Coverage Indicators - Section D'!F"&amp;$B484+1)),"")</f>
        <v>32407</v>
      </c>
      <c r="F484" s="177">
        <f t="shared" ref="F484:F513" ca="1" si="82">IFERROR(IF(INDIRECT("'Coverage Indicators - Section D'!F"&amp;$B484)="","",INDIRECT("'Coverage Indicators - Section D'!F"&amp;$B484)),"")</f>
        <v>13177</v>
      </c>
      <c r="G484" s="171" t="str">
        <f t="shared" ref="G484:G513" ca="1" si="83">IFERROR(IF(INDIRECT("'Coverage Indicators - Section D'!AO"&amp;$B484)="","",INDIRECT("'Coverage Indicators - Section D'!AO"&amp;$B484)),"")</f>
        <v>Epidemiological Surveillance Unit Report - HIV Component - SIMONE</v>
      </c>
      <c r="H484" s="167">
        <f t="shared" ca="1" si="78"/>
        <v>3</v>
      </c>
      <c r="I484" s="171" t="str">
        <f t="shared" ref="I484:I513" ca="1" si="84">IFERROR(IF(INDIRECT("'Coverage Indicators - Section D'!AP"&amp;$B484)=0,"",INDIRECT("'Coverage Indicators - Section D'!AP"&amp;$B484)),"")</f>
        <v>Baseline: The source corresponds to programmatic data from the HIV information system (SIMONE) for the year 2021. 
Estimated population size (denominators): The estimated population is national and has been updated based on the Spectrum 2020 population projection. 
Geographic Coverage: Coverage is national. With FM resources 7 cities will be covered (Sucre, La Paz, El Alto, Cochabamba, Oruro, Santa Cruz and Trinidad) the rest of the population will be covered with state resources.
Prevention Package: The indicator measures the approach to the GB-HSH population with prevention actions through health facilities (CDVIR/CRVIR and deconcentrated Centers) and community strategies (peer educator promoters (PEP), Mobile Units, Community Centers and Mobile Brigades). The package of services includes: 
- Information for the prevention of HIV, STIs, correct condom use and rights.
- Provision of condoms
- HIV testing counseling including information on correct and continued condom use for dual protection.
- Referral for HIV testing.
- STI medical care, diagnosis and treatment of STIs. 
To consider a person reached with prevention service, at least 2 of these activities must have been delivered. 
Method of measurement: The source of data will be nominal reports from the HIV information system (SIMONE) from the quarterly reports of health facilities and civil society sub-recipients. Each person considered with a Unique Identification Code (CUI) will be counted as reached with prevention service with at least 2 of the prevention package activities. The UIC will be systematically de-duplicated and new and recurrent contacts will be counted only once in the reporting period. For reporting coverage achieved, the PR will use denominator as stated in the performance framework.
An increase from 41% to 48% of GB-HSH receiving prevention packages is expected.
FM contribution: The FM will contribute 95%, 94% and 93% respectively over the 3 years of the project, covering up to 2 packages per year in the 7 prioritized cities.</v>
      </c>
      <c r="J484" s="166" t="str">
        <f t="array" aca="1" ref="J484" ca="1">IFERROR(VLOOKUP(LEFT(INDIRECT("'Coverage Indicators - Section D'!D"&amp;$B484),255),LEFT('Reference Records'!C32:F236,255),4,0),"")</f>
        <v>MCI-01045</v>
      </c>
      <c r="K484" s="166" t="str">
        <f ca="1">IFERROR(VLOOKUP(IF(INDIRECT("'Coverage Indicators - Section D'!B"&amp;$B484)="","--select--",INDIRECT("'Coverage Indicators - Section D'!B"&amp;$B484)),'Overview - Section A'!C$101:D133,2,0),"")</f>
        <v>M-64455</v>
      </c>
      <c r="L484" s="171">
        <f t="shared" ref="L484:L513" ca="1" si="85">IFERROR(IF(INDIRECT("'Coverage Indicators - Section D'!H"&amp;$B484)=0,"",INDIRECT("'Coverage Indicators - Section D'!H"&amp;$B484)),"")</f>
        <v>2021</v>
      </c>
      <c r="M484" s="166" t="str">
        <f ca="1">IFERROR(VLOOKUP(INDIRECT("'Coverage Indicators - Section D'!C"&amp;$B484),'Reference Records'!C$656:F785,3,0),"")</f>
        <v>MCI-01138</v>
      </c>
      <c r="N484" s="171" t="str">
        <f t="shared" ref="N484:N513" ca="1" si="86">IFERROR(IF(INDIRECT("'Coverage Indicators - Section D'!AN"&amp;$B484)=0,"",INDIRECT("'Coverage Indicators - Section D'!AN"&amp;$B484)),"")</f>
        <v/>
      </c>
      <c r="O484" s="166" t="str">
        <f t="shared" ref="O484:O513" ca="1" si="87">IFERROR(IF(INDIRECT("'Coverage Indicators - Section D'!M"&amp;$B484)=0,"",INDIRECT("'Coverage Indicators - Section D'!M"&amp;$B484)),"")</f>
        <v>Bolivia (Plurinational State)</v>
      </c>
      <c r="P484" s="171" t="str">
        <f t="shared" ref="P484:P513" ca="1" si="88">IFERROR(IF(INDIRECT("'Coverage Indicators - Section D'!M"&amp;$B484+1)=0,"",INDIRECT("'Coverage Indicators - Section D'!M"&amp;$B484+1)),"")</f>
        <v>Geographic Subnational, 100% of national program target</v>
      </c>
      <c r="Q484" s="171" t="str">
        <f t="shared" ref="Q484:Q513" ca="1" si="89">IFERROR(IF(INDIRECT("'Coverage Indicators - Section D'!N"&amp;$B484)=0,"",INDIRECT("'Coverage Indicators - Section D'!N"&amp;$B484)),"")</f>
        <v/>
      </c>
      <c r="R484" s="166" t="b">
        <f t="shared" ref="R484:R513" ca="1" si="90">IFERROR(IF(INDIRECT("'Coverage Indicators - Section D'!K"&amp;$B484)=0,"FALSE",IF(INDIRECT("'Coverage Indicators - Section D'!K"&amp;$B484)="Yes",TRUE,FALSE)),"")</f>
        <v>1</v>
      </c>
      <c r="S484" s="171" t="str">
        <f ca="1">IFERROR(VLOOKUP(INDIRECT("'Coverage Indicators - Section D'!L"&amp;$B484),'Overview - Section A'!M$30:P72,4,0),IFERROR(IF(VLOOKUP(INDIRECT("'Coverage Indicators - Section D'!L"&amp;$B484),'Overview - Section A'!E$27:I60,5,0)=0,"",VLOOKUP(INDIRECT("'Coverage Indicators - Section D'!L"&amp;$B484),'Overview - Section A'!E$27:I60,5,0)),""))</f>
        <v/>
      </c>
      <c r="T484" s="171" t="str">
        <f t="shared" ref="T484:T513" ca="1" si="91">IFERROR(IF(INDIRECT("'Coverage Indicators - Section D'!E"&amp;$B484)=0,"",INDIRECT("'Coverage Indicators - Section D'!E"&amp;$B484)),"")</f>
        <v/>
      </c>
      <c r="U484" s="171" t="str">
        <f t="shared" ref="U484:U513" ca="1" si="92">IFERROR(IF(INDIRECT("'Coverage Indicators - Section D'!I"&amp;$B484)=0,"",INDIRECT("'Coverage Indicators - Section D'!I"&amp;$B484)),"")</f>
        <v>Reporte de la Unidad de Vigilancia Epidemiologica - Componente VIH - SIMONE</v>
      </c>
      <c r="V484" s="171" t="str">
        <f t="shared" ref="V484:V513" ca="1" si="93">IFERROR(IF(INDIRECT("'Coverage Indicators - Section D'!AM"&amp;$B484)=0,"",INDIRECT("'Coverage Indicators - Section D'!AM"&amp;$B484)),"")</f>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7 ciudades (Sucre, La Paz, El Alto, Cochabamba, Oruro, Santa Cruz y Trinidad) el resto de la población será cubierta con recursos del estado.
Paquete de Prevención: El indicador mide el abordaje de la población GB-HSH con acciones de prevención a través de los establecimientos de salud (CDVIR/CRVIR y Centros desconcentrados) y estrategias comunitarias (promotores educadores pares (PEP), Unidades Móviles, Centros comunitarios y Brigadas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Método de medición: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41% a 48% de GB-HSH que reciben paquetes de prevención.
Contribución del FM: El FM contribuirá con el 95%, 94% y 93% respectivamente en los 3 años del proyecto, cubriendo hasta 2 paquetes al año en las 7 ciudades priorizadas.</v>
      </c>
      <c r="W484" s="171"/>
      <c r="X484" s="171"/>
      <c r="Y484" s="166"/>
      <c r="Z484" s="166"/>
      <c r="AA484" s="171"/>
      <c r="AB484" s="171"/>
      <c r="AC484" s="166"/>
      <c r="AD484" s="166"/>
      <c r="AE484" s="166"/>
      <c r="AF484" s="177"/>
      <c r="AG484" s="171"/>
    </row>
    <row r="485" spans="1:33">
      <c r="A485" s="166" t="b">
        <f t="shared" ca="1" si="79"/>
        <v>1</v>
      </c>
      <c r="B485" s="167">
        <f t="shared" ca="1" si="77"/>
        <v>11</v>
      </c>
      <c r="C485" s="172" t="str">
        <f ca="1">IFERROR(IF(AND(H485=2,B485=7),"blank",INDEX(C$452:C485,H485,1)),"")</f>
        <v>a183p000006T3jqAAC</v>
      </c>
      <c r="D485" s="168">
        <f t="shared" ca="1" si="80"/>
        <v>38.442311846206067</v>
      </c>
      <c r="E485" s="177">
        <f t="shared" ca="1" si="81"/>
        <v>32407</v>
      </c>
      <c r="F485" s="177">
        <f t="shared" ca="1" si="82"/>
        <v>12458</v>
      </c>
      <c r="G485" s="171" t="str">
        <f t="shared" ca="1" si="83"/>
        <v>Epidemiological Surveillance Unit Report - HIV Component - SIMONE</v>
      </c>
      <c r="H485" s="167">
        <f t="shared" ca="1" si="78"/>
        <v>4</v>
      </c>
      <c r="I485" s="171" t="str">
        <f t="shared" ca="1" si="84"/>
        <v>Baseline: The source corresponds to programmatic data from the HIV information system (SIMONE) for the year 2021. 
Estimated population size (denominators): The estimated population is national and has been updated based on the Spectrum 2020 population projection. 
Geographic Coverage: Coverage is national. Seven cities will be covered with FM resources (Sucre, La Paz, El Alto, Cochabamba, Oruro, Santa Cruz and Trinidad) and the rest of the population will be covered with state resources.
Diagnostic services: Will include counseling, HIV testing and linkage of HIV-positive cases to comprehensive HIV care. HIV testing will be available at departmental and regional health centers (CDVIR/CRVIR), deconcentrated centers, community centers, mobile units and mobile brigades. National guidelines recommend testing every 6 months in the at-risk population.
Method of measurement: The source of data will be nominal reports from the HIV information system (SIMONE) of quarterly reports from health facilities and civil society subrecipients. To consider a person with an HIV test, those persons who receive at least one test during the year and are identified with a CUI will be reported. The CUI will be systematically de-duplicated and new and recurrent persons will be counted, counting the person only once in the period. To report the coverage achieved, the PR will use denominator as set out in the performance framework.
An increase from 38% to 45% of GB-HSH who are tested for HIV is expected.
FM contribution: The FM will contribute 95%, 94% and 93% respectively over the 3 years of the project, covering one HIV test per year in the 7 prioritized cities.</v>
      </c>
      <c r="J485" s="166" t="str">
        <f t="array" aca="1" ref="J485" ca="1">IFERROR(VLOOKUP(LEFT(INDIRECT("'Coverage Indicators - Section D'!D"&amp;$B485),255),LEFT('Reference Records'!C33:F237,255),4,0),"")</f>
        <v>MCI-01065</v>
      </c>
      <c r="K485" s="166" t="str">
        <f ca="1">IFERROR(VLOOKUP(IF(INDIRECT("'Coverage Indicators - Section D'!B"&amp;$B485)="","--select--",INDIRECT("'Coverage Indicators - Section D'!B"&amp;$B485)),'Overview - Section A'!C$101:D134,2,0),"")</f>
        <v>M-64456</v>
      </c>
      <c r="L485" s="171">
        <f t="shared" ca="1" si="85"/>
        <v>2021</v>
      </c>
      <c r="M485" s="166" t="str">
        <f ca="1">IFERROR(VLOOKUP(INDIRECT("'Coverage Indicators - Section D'!C"&amp;$B485),'Reference Records'!C$656:F786,3,0),"")</f>
        <v>MCI-01138</v>
      </c>
      <c r="N485" s="171" t="str">
        <f t="shared" ca="1" si="86"/>
        <v/>
      </c>
      <c r="O485" s="166" t="str">
        <f t="shared" ca="1" si="87"/>
        <v>Bolivia (Plurinational State)</v>
      </c>
      <c r="P485" s="171" t="str">
        <f t="shared" ca="1" si="88"/>
        <v>Geographic Subnational, 100% of national program target</v>
      </c>
      <c r="Q485" s="171" t="str">
        <f t="shared" ca="1" si="89"/>
        <v/>
      </c>
      <c r="R485" s="166" t="b">
        <f t="shared" ca="1" si="90"/>
        <v>1</v>
      </c>
      <c r="S485" s="171" t="str">
        <f ca="1">IFERROR(VLOOKUP(INDIRECT("'Coverage Indicators - Section D'!L"&amp;$B485),'Overview - Section A'!M$30:P73,4,0),IFERROR(IF(VLOOKUP(INDIRECT("'Coverage Indicators - Section D'!L"&amp;$B485),'Overview - Section A'!E$27:I61,5,0)=0,"",VLOOKUP(INDIRECT("'Coverage Indicators - Section D'!L"&amp;$B485),'Overview - Section A'!E$27:I61,5,0)),""))</f>
        <v/>
      </c>
      <c r="T485" s="171" t="str">
        <f t="shared" ca="1" si="91"/>
        <v/>
      </c>
      <c r="U485" s="171" t="str">
        <f t="shared" ca="1" si="92"/>
        <v>Reporte de la Unidad de Vigilancia Epidemiologica - Componente VIH - SIMONE</v>
      </c>
      <c r="V485" s="171" t="str">
        <f t="shared" ca="1" si="93"/>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7 ciudades (Sucre, La Paz, El Alto, Cochabamba, Oruro, Santa Cruz y Trinidad) el resto de la población será cubierta con recursos del estado.
Servicios de diagnóstico: Incluirá consejería, realización de la prueba de VIH y vinculación de casos VIH positivo a la atención integral de VIH. Las pruebas de VIH estarán disponibles en los centros departamentales y regionales de salud (CDVIR/CRVIR), centros desconcentrados, centros comunitarios, unidades móviles y brigadas móviles. Las guías nacionales recomiendan realizar un test cada 6 meses en la población de riesgo.
Método de medición: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38% a 45% de GB-HSH que se realizan prueba de VIH.
Contribución del FM: El FM contribuirá con 95%, 94% y 93% respectivamente en los 3 años del proyecto, cubriendo una prueba de VIH al año en las 7 ciudades priorizadas.</v>
      </c>
      <c r="W485" s="171"/>
      <c r="X485" s="171"/>
      <c r="Y485" s="166"/>
      <c r="Z485" s="166"/>
      <c r="AA485" s="171"/>
      <c r="AB485" s="171"/>
      <c r="AC485" s="166"/>
      <c r="AD485" s="166"/>
      <c r="AE485" s="166"/>
      <c r="AF485" s="177"/>
      <c r="AG485" s="171"/>
    </row>
    <row r="486" spans="1:33">
      <c r="A486" s="166" t="b">
        <f t="shared" ca="1" si="79"/>
        <v>1</v>
      </c>
      <c r="B486" s="167">
        <f t="shared" ca="1" si="77"/>
        <v>13</v>
      </c>
      <c r="C486" s="172" t="str">
        <f ca="1">IFERROR(IF(AND(H486=2,B486=7),"blank",INDEX(C$452:C486,H486,1)),"")</f>
        <v>a183p000006T3jrAAC</v>
      </c>
      <c r="D486" s="168">
        <f t="shared" ca="1" si="80"/>
        <v>77.067448680351902</v>
      </c>
      <c r="E486" s="177">
        <f t="shared" ca="1" si="81"/>
        <v>1705</v>
      </c>
      <c r="F486" s="177">
        <f t="shared" ca="1" si="82"/>
        <v>1314</v>
      </c>
      <c r="G486" s="171" t="str">
        <f t="shared" ca="1" si="83"/>
        <v>Epidemiological Surveillance Unit Report - HIV Component - SIMONE</v>
      </c>
      <c r="H486" s="167">
        <f t="shared" ca="1" si="78"/>
        <v>5</v>
      </c>
      <c r="I486" s="171" t="str">
        <f t="shared" ca="1" si="84"/>
        <v>Baseline: The source corresponds to programmatic data from the HIV information system (SIMONE) for the year 2021. 
Estimated population size (denominators): The estimated population is national and has been updated based on the Spectrum 2020 population projection. 
Geographic Coverage: Coverage is national. With FM resources 4 cities will be covered (La Paz, El Alto, Cochabamba and Santa Cruz) the rest of the population will be covered with state resources.
Prevention Package: The indicator measures the approach to the Trans population with prevention actions through health facilities (CDVIR/CRVIR and deconcentrated Centers) and community strategies (peer educator promoters (PEP), Mobile Units, Community Centers and Mobile Brigades). The package of services includes: 
- Information for the prevention of HIV, STIs, correct condom use and rights.
- Provision of condoms
- HIV testing counseling including information on correct and continued condom use for dual protection.
- Referral for HIV testing.
- STI medical care, diagnosis and treatment of STIs. 
To consider a person reached with prevention service, at least 2 of these activities must have been delivered. 
Method of measurement: The source of data will be nominal reports from the HIV information system (SIMONE) from the quarterly reports of health facilities and civil society sub-recipients. Each person considered with a Unique Identification Code (UIC) will be counted as reached with prevention service with at least 2 of the prevention package activities. The UIC will be systematically de-duplicated and new and recurrent contacts will be counted only once in the reporting period. For reporting coverage achieved, the PR will use denominator as stated in the performance framework.
An increase from 77% to 80% of Trans receiving prevention packages is expected.
FM contribution: The FM will contribute 91%, 91% and 90% respectively over the 3 years of the project, covering up to 2 packages per year in the 4 prioritized cities.</v>
      </c>
      <c r="J486" s="166" t="str">
        <f t="array" aca="1" ref="J486" ca="1">IFERROR(VLOOKUP(LEFT(INDIRECT("'Coverage Indicators - Section D'!D"&amp;$B486),255),LEFT('Reference Records'!C34:F238,255),4,0),"")</f>
        <v>MCI-01046</v>
      </c>
      <c r="K486" s="166" t="str">
        <f ca="1">IFERROR(VLOOKUP(IF(INDIRECT("'Coverage Indicators - Section D'!B"&amp;$B486)="","--select--",INDIRECT("'Coverage Indicators - Section D'!B"&amp;$B486)),'Overview - Section A'!C$101:D135,2,0),"")</f>
        <v>M-64455</v>
      </c>
      <c r="L486" s="171">
        <f t="shared" ca="1" si="85"/>
        <v>2021</v>
      </c>
      <c r="M486" s="166" t="str">
        <f ca="1">IFERROR(VLOOKUP(INDIRECT("'Coverage Indicators - Section D'!C"&amp;$B486),'Reference Records'!C$656:F787,3,0),"")</f>
        <v>MCI-01139</v>
      </c>
      <c r="N486" s="171" t="str">
        <f t="shared" ca="1" si="86"/>
        <v/>
      </c>
      <c r="O486" s="166" t="str">
        <f t="shared" ca="1" si="87"/>
        <v>Bolivia (Plurinational State)</v>
      </c>
      <c r="P486" s="171" t="str">
        <f t="shared" ca="1" si="88"/>
        <v>Geographic Subnational, 100% of national program target</v>
      </c>
      <c r="Q486" s="171" t="str">
        <f t="shared" ca="1" si="89"/>
        <v/>
      </c>
      <c r="R486" s="166" t="str">
        <f t="shared" ca="1" si="90"/>
        <v>FALSE</v>
      </c>
      <c r="S486" s="171" t="str">
        <f ca="1">IFERROR(VLOOKUP(INDIRECT("'Coverage Indicators - Section D'!L"&amp;$B486),'Overview - Section A'!M$30:P74,4,0),IFERROR(IF(VLOOKUP(INDIRECT("'Coverage Indicators - Section D'!L"&amp;$B486),'Overview - Section A'!E$27:I62,5,0)=0,"",VLOOKUP(INDIRECT("'Coverage Indicators - Section D'!L"&amp;$B486),'Overview - Section A'!E$27:I62,5,0)),""))</f>
        <v/>
      </c>
      <c r="T486" s="171" t="str">
        <f t="shared" ca="1" si="91"/>
        <v/>
      </c>
      <c r="U486" s="171" t="str">
        <f t="shared" ca="1" si="92"/>
        <v>Reporte de la Unidad de Vigilancia Epidemiologica - Componente VIH - SIMONE</v>
      </c>
      <c r="V486" s="171" t="str">
        <f t="shared" ca="1" si="93"/>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4 ciudades (La Paz, El Alto, Cochabamba y Santa Cruz) el resto de la población será cubierta con recursos del estado.
Paquete de Prevención: El indicador mide el abordaje de la población Trans con acciones de prevención a través de los establecimientos de salud (CDVIR/CRVIR y Centros desconcentrados) y estrategias comunitarias (promotores educadores pares (PEP), Unidades Móviles, Centros Comunitarios y Brigadas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Método de medición: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77% a 80% de Trans que reciben paquetes de prevención.
Contribución del FM: El FM contribuirá con el 91%, 91% y 90% respectivamente en los 3 años del proyecto, cubriendo hasta 2 paquetes al año en las 4 ciudades priorizadas.</v>
      </c>
      <c r="W486" s="171"/>
      <c r="X486" s="171"/>
      <c r="Y486" s="166"/>
      <c r="Z486" s="166"/>
      <c r="AA486" s="171"/>
      <c r="AB486" s="171"/>
      <c r="AC486" s="166"/>
      <c r="AD486" s="166"/>
      <c r="AE486" s="166"/>
      <c r="AF486" s="177"/>
      <c r="AG486" s="171"/>
    </row>
    <row r="487" spans="1:33">
      <c r="A487" s="166" t="b">
        <f t="shared" ca="1" si="79"/>
        <v>1</v>
      </c>
      <c r="B487" s="167">
        <f t="shared" ca="1" si="77"/>
        <v>15</v>
      </c>
      <c r="C487" s="172" t="str">
        <f ca="1">IFERROR(IF(AND(H487=2,B487=7),"blank",INDEX(C$452:C487,H487,1)),"")</f>
        <v>a183p000006T3jsAAC</v>
      </c>
      <c r="D487" s="168">
        <f t="shared" ca="1" si="80"/>
        <v>25.454545454545453</v>
      </c>
      <c r="E487" s="177">
        <f t="shared" ca="1" si="81"/>
        <v>1705</v>
      </c>
      <c r="F487" s="177">
        <f t="shared" ca="1" si="82"/>
        <v>434</v>
      </c>
      <c r="G487" s="171" t="str">
        <f t="shared" ca="1" si="83"/>
        <v>Epidemiological Surveillance Unit Report - HIV Component - SIMONE</v>
      </c>
      <c r="H487" s="167">
        <f t="shared" ca="1" si="78"/>
        <v>6</v>
      </c>
      <c r="I487" s="171" t="str">
        <f t="shared" ca="1" si="84"/>
        <v>Baseline: The source corresponds to programmatic data from the HIV information system (SIMONE) for the year 2021. 
Estimated population size (denominators): The estimated population is national and has been updated based on the Spectrum 2020 population projection. 
Geographic Coverage: Coverage is national. Four cities will be covered with FM resources (La Paz, El Alto, Cochabamba and Santa Cruz) and the rest of the population will be covered with state resources.
Diagnostic services: It will include counseling, HIV testing and linkage of HIV positive cases to comprehensive HIV care. HIV testing will be available at departmental and regional health centers (CDVIR/CRVIR), deconcentrated centers, mobile units, community centers and mobile brigades. National guidelines recommend testing every 6 months in the at-risk population.
Method of measurement: The source of data will be nominal reports from the HIV information system (SIMONE) of quarterly reports from health facilities and civil society subrecipients. In order to consider a person with an HIV test, those who receive at least one test during the year and are identified with a CUI will be reported. The CUI will be systematically de-duplicated and new and recurrent persons will be counted, counting the person only once in the period. To report the coverage achieved, the PR will use denominator as set out in the performance framework.
An increase from 25% to 44% of Trans people being tested for HIV is expected.
FM contribution: The FM will contribute 95%, 94% and 93% respectively over the 3 years of the project, covering one HIV test per year in the 4 prioritized cities.</v>
      </c>
      <c r="J487" s="166" t="str">
        <f t="array" aca="1" ref="J487" ca="1">IFERROR(VLOOKUP(LEFT(INDIRECT("'Coverage Indicators - Section D'!D"&amp;$B487),255),LEFT('Reference Records'!C35:F239,255),4,0),"")</f>
        <v>MCI-01066</v>
      </c>
      <c r="K487" s="166" t="str">
        <f ca="1">IFERROR(VLOOKUP(IF(INDIRECT("'Coverage Indicators - Section D'!B"&amp;$B487)="","--select--",INDIRECT("'Coverage Indicators - Section D'!B"&amp;$B487)),'Overview - Section A'!C$101:D136,2,0),"")</f>
        <v>M-64456</v>
      </c>
      <c r="L487" s="171">
        <f t="shared" ca="1" si="85"/>
        <v>2021</v>
      </c>
      <c r="M487" s="166" t="str">
        <f ca="1">IFERROR(VLOOKUP(INDIRECT("'Coverage Indicators - Section D'!C"&amp;$B487),'Reference Records'!C$656:F788,3,0),"")</f>
        <v>MCI-01139</v>
      </c>
      <c r="N487" s="171" t="str">
        <f t="shared" ca="1" si="86"/>
        <v/>
      </c>
      <c r="O487" s="166" t="str">
        <f t="shared" ca="1" si="87"/>
        <v>Bolivia (Plurinational State)</v>
      </c>
      <c r="P487" s="171" t="str">
        <f t="shared" ca="1" si="88"/>
        <v>Geographic Subnational, 100% of national program target</v>
      </c>
      <c r="Q487" s="171" t="str">
        <f t="shared" ca="1" si="89"/>
        <v/>
      </c>
      <c r="R487" s="166" t="str">
        <f t="shared" ca="1" si="90"/>
        <v>FALSE</v>
      </c>
      <c r="S487" s="171" t="str">
        <f ca="1">IFERROR(VLOOKUP(INDIRECT("'Coverage Indicators - Section D'!L"&amp;$B487),'Overview - Section A'!M$30:P75,4,0),IFERROR(IF(VLOOKUP(INDIRECT("'Coverage Indicators - Section D'!L"&amp;$B487),'Overview - Section A'!E$27:I63,5,0)=0,"",VLOOKUP(INDIRECT("'Coverage Indicators - Section D'!L"&amp;$B487),'Overview - Section A'!E$27:I63,5,0)),""))</f>
        <v/>
      </c>
      <c r="T487" s="171" t="str">
        <f t="shared" ca="1" si="91"/>
        <v/>
      </c>
      <c r="U487" s="171" t="str">
        <f t="shared" ca="1" si="92"/>
        <v>Reporte de la Unidad de Vigilancia Epidemiologica - Componente VIH - SIMONE</v>
      </c>
      <c r="V487" s="171" t="str">
        <f t="shared" ca="1" si="93"/>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4 ciudades (La Paz, El Alto, Cochabamba y Santa Cruz) el resto de la población será cubierta con recursos del estado.
Servicios de diagnóstico: Incluirá consejería, realización de la prueba de VIH y vinculación de casos VIH positivo a la atención integral de VIH. Las pruebas de VIH estarán disponibles en los centros departamentales y regionales de salud (CDVIR/CRVIR), centros desconcentrados, unidades móviles, centros comunitarios y brigadas móviles. Las guías nacionales recomiendan realizar un test cada 6 meses en la población de riesgo.
Método de medición: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25% a 44% de Trans que se realizan prueba de VIH.
Contribución del FM: El FM contribuirá con 95%, 94% y 93% respectivamente en los 3 años del proyecto, cubriendo una prueba de VIH al año en las 4 ciudades priorizadas.</v>
      </c>
      <c r="W487" s="171"/>
      <c r="X487" s="171"/>
      <c r="Y487" s="166"/>
      <c r="Z487" s="166"/>
      <c r="AA487" s="171"/>
      <c r="AB487" s="171"/>
      <c r="AC487" s="166"/>
      <c r="AD487" s="166"/>
      <c r="AE487" s="166"/>
      <c r="AF487" s="177"/>
      <c r="AG487" s="171"/>
    </row>
    <row r="488" spans="1:33">
      <c r="A488" s="166" t="b">
        <f t="shared" ca="1" si="79"/>
        <v>1</v>
      </c>
      <c r="B488" s="167">
        <f t="shared" ca="1" si="77"/>
        <v>17</v>
      </c>
      <c r="C488" s="172" t="str">
        <f ca="1">IFERROR(IF(AND(H488=2,B488=7),"blank",INDEX(C$452:C488,H488,1)),"")</f>
        <v>a183p000006T3jtAAC</v>
      </c>
      <c r="D488" s="168">
        <f t="shared" ca="1" si="80"/>
        <v>53.973535260822999</v>
      </c>
      <c r="E488" s="177">
        <f t="shared" ca="1" si="81"/>
        <v>26148</v>
      </c>
      <c r="F488" s="177">
        <f t="shared" ca="1" si="82"/>
        <v>14113</v>
      </c>
      <c r="G488" s="171" t="str">
        <f t="shared" ca="1" si="83"/>
        <v>Epidemiological Surveillance Unit Report - HIV Component - SIMONE</v>
      </c>
      <c r="H488" s="167">
        <f t="shared" ca="1" si="78"/>
        <v>7</v>
      </c>
      <c r="I488" s="171" t="str">
        <f t="shared" ca="1" si="84"/>
        <v>Baseline: The source of the numerator is the SIMONE TARGA database and the denominator corresponds to the number of PVV estimated by Spectrum 2020 for 2021. 
Denominators: The denominator corresponds to Spectrum 2020 estimates for each year, which will be updated according to projections for future years.  
Measurement Method: The source of information will be the SIMONE TARGA database. Starting in 2017, the treatment initiation regulation will be applied to all PLHIV (test and treat).  The PR will have to report the number of PLHIV who received and/or were covered with HAART the last quarter of the reporting period, broken down by sex and age. The PR will also have to report the estimated number of PLHIV (the denominator) updated annually through Spectrum. 
ART coverage is expected to increase from 54% to 63%. Historical analysis has also allowed adjusting the target for this indicator for the year 2022 to 57%.
FM contribution: The FM will contribute 3% of the targets in all periods.</v>
      </c>
      <c r="J488" s="166" t="str">
        <f t="array" aca="1" ref="J488" ca="1">IFERROR(VLOOKUP(LEFT(INDIRECT("'Coverage Indicators - Section D'!D"&amp;$B488),255),LEFT('Reference Records'!C36:F240,255),4,0),"")</f>
        <v>MCI-01073</v>
      </c>
      <c r="K488" s="166" t="str">
        <f ca="1">IFERROR(VLOOKUP(IF(INDIRECT("'Coverage Indicators - Section D'!B"&amp;$B488)="","--select--",INDIRECT("'Coverage Indicators - Section D'!B"&amp;$B488)),'Overview - Section A'!C$101:D137,2,0),"")</f>
        <v>M-64457</v>
      </c>
      <c r="L488" s="171">
        <f t="shared" ca="1" si="85"/>
        <v>2021</v>
      </c>
      <c r="M488" s="166" t="str">
        <f ca="1">IFERROR(VLOOKUP(INDIRECT("'Coverage Indicators - Section D'!C"&amp;$B488),'Reference Records'!C$656:F789,3,0),"")</f>
        <v>MCI-01166</v>
      </c>
      <c r="N488" s="171" t="str">
        <f t="shared" ca="1" si="86"/>
        <v/>
      </c>
      <c r="O488" s="166" t="str">
        <f t="shared" ca="1" si="87"/>
        <v>Bolivia (Plurinational State)</v>
      </c>
      <c r="P488" s="171" t="str">
        <f t="shared" ca="1" si="88"/>
        <v>Geographic National, 100% of national program target</v>
      </c>
      <c r="Q488" s="171" t="str">
        <f t="shared" ca="1" si="89"/>
        <v/>
      </c>
      <c r="R488" s="166" t="str">
        <f t="shared" ca="1" si="90"/>
        <v>FALSE</v>
      </c>
      <c r="S488" s="171" t="str">
        <f ca="1">IFERROR(VLOOKUP(INDIRECT("'Coverage Indicators - Section D'!L"&amp;$B488),'Overview - Section A'!M$30:P76,4,0),IFERROR(IF(VLOOKUP(INDIRECT("'Coverage Indicators - Section D'!L"&amp;$B488),'Overview - Section A'!E$27:I64,5,0)=0,"",VLOOKUP(INDIRECT("'Coverage Indicators - Section D'!L"&amp;$B488),'Overview - Section A'!E$27:I64,5,0)),""))</f>
        <v/>
      </c>
      <c r="T488" s="171" t="str">
        <f t="shared" ca="1" si="91"/>
        <v/>
      </c>
      <c r="U488" s="171" t="str">
        <f t="shared" ca="1" si="92"/>
        <v>Reporte de la Unidad de Vigilancia Epidemiologica - Componente VIH - SIMONE</v>
      </c>
      <c r="V488" s="171" t="str">
        <f t="shared" ca="1" si="93"/>
        <v>Línea de Base: La fuente del numerador es la base de datos de TARGA del SIMONE y el denominador corresponde al número de PVV estimada por Spectrum 2020 para la gestión 2021. 
Denominadores: El denominador corresponde a las estimaciones de Spectrum 2020 para cada año, las mismas que serán actualizadas según las proyecciones para las gestiones futuras.  
Método de Medición: La fuente de información será la base de datos de TARGA del SIMONE. A partir de 2017 se aplica la normativa de inicio de tratamiento a todas las PVV (test and treat).  El RP tendrá que reportar el número de PVV que recibió y/o estuvo cubierto con TARGA el último trimestre del periodo de reporte, desglosado por sexo y edad. El RP también tendrá que reportar la estimación de personas viviendo con VIH (el denominador) actualizada anualmente a través de Spectrum. 
Se espera un incremento en la cobertura de TARV de 54% a 63%. De igual manera el análisis histórico ha permito ajustar la meta de este indicador para el año 2022 a 57%.
Contribución del FM: El FM contribuirá con el 3% de las metas en todos los períodos.</v>
      </c>
      <c r="W488" s="171"/>
      <c r="X488" s="171"/>
      <c r="Y488" s="166"/>
      <c r="Z488" s="166"/>
      <c r="AA488" s="171"/>
      <c r="AB488" s="171"/>
      <c r="AC488" s="166"/>
      <c r="AD488" s="166"/>
      <c r="AE488" s="166"/>
      <c r="AF488" s="177"/>
      <c r="AG488" s="171"/>
    </row>
    <row r="489" spans="1:33">
      <c r="A489" s="166" t="b">
        <f t="shared" ca="1" si="79"/>
        <v>1</v>
      </c>
      <c r="B489" s="167">
        <f t="shared" ca="1" si="77"/>
        <v>19</v>
      </c>
      <c r="C489" s="172" t="str">
        <f ca="1">IFERROR(IF(AND(H489=2,B489=7),"blank",INDEX(C$452:C489,H489,1)),"")</f>
        <v>a183p000006T3juAAC</v>
      </c>
      <c r="D489" s="168">
        <f t="shared" ca="1" si="80"/>
        <v>9.9916939463526653</v>
      </c>
      <c r="E489" s="177">
        <f t="shared" ca="1" si="81"/>
        <v>20467</v>
      </c>
      <c r="F489" s="177">
        <f t="shared" ca="1" si="82"/>
        <v>2045</v>
      </c>
      <c r="G489" s="171" t="str">
        <f t="shared" ca="1" si="83"/>
        <v>Epidemiological Surveillance Unit Report - HIV Component - SIMONE</v>
      </c>
      <c r="H489" s="167">
        <f t="shared" ca="1" si="78"/>
        <v>8</v>
      </c>
      <c r="I489" s="171" t="str">
        <f t="shared" ca="1" si="84"/>
        <v>Baseline: The source corresponds to programmatic data from the HIV information system (SIMONE) for the year 2021. 
Estimated population size (denominators): The estimated population is national and has been updated based on the Spectrum 2020 population projection. 
Geographic Coverage: Coverage is national. With FM resources 4 cities will be covered (La Paz, El Alto, Cochabamba and Santa Cruz) the rest of the population will be covered with state resources.
Prevention Package: The indicator measures the approach to the population of Sex Workers with prevention actions through health facilities (CDVIR/CRVIR and deconcentrated Centers) and community strategies (Mobile Units). The package of services includes: 
- Information for the prevention of HIV, STIs, correct condom use and rights.
- Provision of condoms
- HIV testing counseling including information on correct and continued condom use for dual protection.
- Referral for HIV testing.
- STI medical care, diagnosis and treatment of STIs. 
To consider a person reached with prevention service, at least 2 of these activities must have been delivered. 
Method of measurement: The source of data will be nominal reports from the HIV information system (SIMONE) from the quarterly reports of health facilities and civil society sub-recipients. Each person considered with a Unique Identification Code (CUI) will be counted as reached with prevention service with at least 2 of the prevention package activities. The UIC will be systematically de-duplicated and new and recurrent contacts will be counted only once in the reporting period. For reporting coverage achieved, the PR will use denominator as set out in the performance framework.
An increase from 10% to 32% of Sex Workers receiving prevention packages is expected.
FM contribution: The FM will contribute 100%, 50% and 41% respectively over the 3 years of the project, covering up to 2 packages per year in the 4 prioritized cities.
The FM contribution includes both registered sex workers (with health cards) and unregistered sex workers (without health cards)</v>
      </c>
      <c r="J489" s="166" t="str">
        <f t="array" aca="1" ref="J489" ca="1">IFERROR(VLOOKUP(LEFT(INDIRECT("'Coverage Indicators - Section D'!D"&amp;$B489),255),LEFT('Reference Records'!C37:F241,255),4,0),"")</f>
        <v>MCI-01047</v>
      </c>
      <c r="K489" s="166" t="str">
        <f ca="1">IFERROR(VLOOKUP(IF(INDIRECT("'Coverage Indicators - Section D'!B"&amp;$B489)="","--select--",INDIRECT("'Coverage Indicators - Section D'!B"&amp;$B489)),'Overview - Section A'!C$101:D138,2,0),"")</f>
        <v>M-64455</v>
      </c>
      <c r="L489" s="171">
        <f t="shared" ca="1" si="85"/>
        <v>2021</v>
      </c>
      <c r="M489" s="166" t="str">
        <f ca="1">IFERROR(VLOOKUP(INDIRECT("'Coverage Indicators - Section D'!C"&amp;$B489),'Reference Records'!C$656:F790,3,0),"")</f>
        <v/>
      </c>
      <c r="N489" s="171" t="str">
        <f t="shared" ca="1" si="86"/>
        <v/>
      </c>
      <c r="O489" s="166" t="str">
        <f t="shared" ca="1" si="87"/>
        <v>Bolivia (Plurinational State)</v>
      </c>
      <c r="P489" s="171" t="str">
        <f t="shared" ca="1" si="88"/>
        <v>Geographic National, 100% of national program target</v>
      </c>
      <c r="Q489" s="171" t="str">
        <f t="shared" ca="1" si="89"/>
        <v/>
      </c>
      <c r="R489" s="166" t="str">
        <f t="shared" ca="1" si="90"/>
        <v>FALSE</v>
      </c>
      <c r="S489" s="171" t="str">
        <f ca="1">IFERROR(VLOOKUP(INDIRECT("'Coverage Indicators - Section D'!L"&amp;$B489),'Overview - Section A'!M$30:P77,4,0),IFERROR(IF(VLOOKUP(INDIRECT("'Coverage Indicators - Section D'!L"&amp;$B489),'Overview - Section A'!E$27:I65,5,0)=0,"",VLOOKUP(INDIRECT("'Coverage Indicators - Section D'!L"&amp;$B489),'Overview - Section A'!E$27:I65,5,0)),""))</f>
        <v/>
      </c>
      <c r="T489" s="171" t="str">
        <f t="shared" ca="1" si="91"/>
        <v/>
      </c>
      <c r="U489" s="171" t="str">
        <f t="shared" ca="1" si="92"/>
        <v>Reporte de la Unidad de Vigilancia Epidemiologica - Componente VIH - SIMONE</v>
      </c>
      <c r="V489" s="171" t="str">
        <f t="shared" ca="1" si="93"/>
        <v xml:space="preserve">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4 ciudades (La Paz, El Alto, Cochabamba y Santa Cruz) el resto de la población será cubierta con recursos del estado.
Paquete de Prevención: El indicador mide el abordaje de la población de Trabajadoras Sexuales con acciones de prevención a través de los establecimientos de salud (CDVIR/CRVIR y Centros desconcentrados) y estrategias comunitarias (Unidades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Método de medición: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10% a 32% de Trabajadoras Sexuales que reciben paquetes de prevención.
Contribución del FM: El FM contribuirá con el 100%, 50% y 41% respectivamente en los 3 años del proyecto, cubriendo hasta 2 paquetes al año en las 4 ciudades priorizadas.
incluyen tanto trabajadoras sexuales registradas (con carnet sanitario) como las no registradas (sin carnet sanitario). </v>
      </c>
      <c r="W489" s="171"/>
      <c r="X489" s="171"/>
      <c r="Y489" s="166"/>
      <c r="Z489" s="166"/>
      <c r="AA489" s="171"/>
      <c r="AB489" s="171"/>
      <c r="AC489" s="166"/>
      <c r="AD489" s="166"/>
      <c r="AE489" s="166"/>
      <c r="AF489" s="177"/>
      <c r="AG489" s="171"/>
    </row>
    <row r="490" spans="1:33">
      <c r="A490" s="166" t="b">
        <f t="shared" ca="1" si="79"/>
        <v>1</v>
      </c>
      <c r="B490" s="167">
        <f t="shared" ca="1" si="77"/>
        <v>21</v>
      </c>
      <c r="C490" s="172" t="str">
        <f ca="1">IFERROR(IF(AND(H490=2,B490=7),"blank",INDEX(C$452:C490,H490,1)),"")</f>
        <v>a183p000006T3jvAAC</v>
      </c>
      <c r="D490" s="168">
        <f t="shared" ca="1" si="80"/>
        <v>8.6529535349587139</v>
      </c>
      <c r="E490" s="177">
        <f t="shared" ca="1" si="81"/>
        <v>20467</v>
      </c>
      <c r="F490" s="177">
        <f t="shared" ca="1" si="82"/>
        <v>1771</v>
      </c>
      <c r="G490" s="171" t="str">
        <f t="shared" ca="1" si="83"/>
        <v>Epidemiological Surveillance Unit Report - HIV Component - SIMONE</v>
      </c>
      <c r="H490" s="167">
        <f t="shared" ca="1" si="78"/>
        <v>9</v>
      </c>
      <c r="I490" s="171" t="str">
        <f t="shared" ca="1" si="84"/>
        <v>Baseline: The source corresponds to programmatic data from the HIV information system (SIMONE) for the year 2021. 
Estimated population size (denominators): The estimated population is national and has been updated based on the Spectrum 2020 population projection. 
Geographic Coverage: Coverage is national. Four cities will be covered with FM resources (La Paz, El Alto, Cochabamba and Santa Cruz) and the rest of the population will be covered with state resources.
Diagnostic services: It will include counseling, HIV testing and linkage of HIV positive cases to comprehensive HIV care. HIV testing will be available at departmental and regional health centers (CDVIR/CRVIR), deconcentrated centers and mobile units. National guidelines recommend testing every 6 months in the at-risk population.
Method of measurement: The source of data will be nominal reports from the HIV information system (SIMONE) of quarterly reports from health facilities and civil society sub-recipients. To consider a person with an HIV test, those persons who receive at least one test during the year and are identified with a CUI will be reported. The CUI will be systematically de-duplicated and new and recurrent persons will be counted, counting the person only once in the period. To report the coverage achieved, the PR will use denominator as set out in the performance framework.
An increase from 9% to 28% of Sex Workers who are tested for HIV is expected.
FM contribution: The FM will contribute 100%, 52% and 43% respectively over the 3 years of the project, covering one HIV test per year in the 4 prioritized cities.</v>
      </c>
      <c r="J490" s="166" t="str">
        <f t="array" aca="1" ref="J490" ca="1">IFERROR(VLOOKUP(LEFT(INDIRECT("'Coverage Indicators - Section D'!D"&amp;$B490),255),LEFT('Reference Records'!C38:F242,255),4,0),"")</f>
        <v>MCI-01067</v>
      </c>
      <c r="K490" s="166" t="str">
        <f ca="1">IFERROR(VLOOKUP(IF(INDIRECT("'Coverage Indicators - Section D'!B"&amp;$B490)="","--select--",INDIRECT("'Coverage Indicators - Section D'!B"&amp;$B490)),'Overview - Section A'!C$101:D139,2,0),"")</f>
        <v>M-64456</v>
      </c>
      <c r="L490" s="171">
        <f t="shared" ca="1" si="85"/>
        <v>2021</v>
      </c>
      <c r="M490" s="166" t="str">
        <f ca="1">IFERROR(VLOOKUP(INDIRECT("'Coverage Indicators - Section D'!C"&amp;$B490),'Reference Records'!C$656:F791,3,0),"")</f>
        <v/>
      </c>
      <c r="N490" s="171" t="str">
        <f t="shared" ca="1" si="86"/>
        <v/>
      </c>
      <c r="O490" s="166" t="str">
        <f t="shared" ca="1" si="87"/>
        <v>Bolivia (Plurinational State)</v>
      </c>
      <c r="P490" s="171" t="str">
        <f t="shared" ca="1" si="88"/>
        <v>Geographic National, 100% of national program target</v>
      </c>
      <c r="Q490" s="171" t="str">
        <f t="shared" ca="1" si="89"/>
        <v/>
      </c>
      <c r="R490" s="166" t="str">
        <f t="shared" ca="1" si="90"/>
        <v>FALSE</v>
      </c>
      <c r="S490" s="171" t="str">
        <f ca="1">IFERROR(VLOOKUP(INDIRECT("'Coverage Indicators - Section D'!L"&amp;$B490),'Overview - Section A'!M$30:P78,4,0),IFERROR(IF(VLOOKUP(INDIRECT("'Coverage Indicators - Section D'!L"&amp;$B490),'Overview - Section A'!E$27:I66,5,0)=0,"",VLOOKUP(INDIRECT("'Coverage Indicators - Section D'!L"&amp;$B490),'Overview - Section A'!E$27:I66,5,0)),""))</f>
        <v/>
      </c>
      <c r="T490" s="171" t="str">
        <f t="shared" ca="1" si="91"/>
        <v/>
      </c>
      <c r="U490" s="171" t="str">
        <f t="shared" ca="1" si="92"/>
        <v>Reporte de la Unidad de Vigilancia Epidemiologica - Componente VIH - SIMONE</v>
      </c>
      <c r="V490" s="171" t="str">
        <f t="shared" ca="1" si="93"/>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4 ciudades (La Paz, El Alto, Cochabamba y Santa Cruz) el resto de la población será cubierta con recursos del estado.
Servicios de diagnóstico: Incluirá consejería, realización de la prueba de VIH y vinculación de casos VIH positivo a la atención integral de VIH. Las pruebas de VIH estarán disponibles en los centros departamentales y regionales de salud (CDVIR/CRVIR), centros desconcentrados y unidades móviles. Las guías nacionales recomiendan realizar un test cada 6 meses en la población de riesgo.
Método de medición: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9% a 28% de Trabajadoras Sexuales que se realizan prueba de VIH.
Contribución del FM: El FM contribuirá con 100%, 52% y 43% respectivamente en los 3 años del proyecto, cubriendo una prueba de VIH al año en las 4 ciudades priorizadas.</v>
      </c>
      <c r="W490" s="171"/>
      <c r="X490" s="171"/>
      <c r="Y490" s="166"/>
      <c r="Z490" s="166"/>
      <c r="AA490" s="171"/>
      <c r="AB490" s="171"/>
      <c r="AC490" s="166"/>
      <c r="AD490" s="166"/>
      <c r="AE490" s="166"/>
      <c r="AF490" s="177"/>
      <c r="AG490" s="171"/>
    </row>
    <row r="491" spans="1:33">
      <c r="A491" s="166" t="b">
        <f t="shared" ca="1" si="79"/>
        <v>1</v>
      </c>
      <c r="B491" s="167">
        <f t="shared" ca="1" si="77"/>
        <v>23</v>
      </c>
      <c r="C491" s="172" t="str">
        <f ca="1">IFERROR(IF(AND(H491=2,B491=7),"blank",INDEX(C$452:C491,H491,1)),"")</f>
        <v>a183p000006T3jwAAC</v>
      </c>
      <c r="D491" s="168" t="str">
        <f t="shared" ca="1" si="80"/>
        <v/>
      </c>
      <c r="E491" s="177" t="str">
        <f t="shared" ca="1" si="81"/>
        <v/>
      </c>
      <c r="F491" s="177">
        <f t="shared" ca="1" si="82"/>
        <v>7140</v>
      </c>
      <c r="G491" s="171" t="str">
        <f t="shared" ca="1" si="83"/>
        <v>Report of the Epidemiological Surveillance Unit - Tuberculosis Component - TB R&amp;R System - Ministry of Health and Sports.</v>
      </c>
      <c r="H491" s="167">
        <f t="shared" ca="1" si="78"/>
        <v>10</v>
      </c>
      <c r="I491" s="171" t="str">
        <f t="shared" ca="1" si="84"/>
        <v>Baseline: Number of new TB cases plus relapses reported in 2020 (7,140).
Measurement Methodology: Tuberculosis case notification report (new and relapses) Report from the Epidemiological Surveillance Unit - Tuberculosis Component - TB R&amp;R System - Ministry of Health and Sports.
Assumptions: By 2020, 50.1% of the cases estimated by WHO have been detected, it is expected to increase the uptake through the gradual universalization of diagnosis with GeneXpert and achieve 65% of cases by 2023, 70% by 2024 and 75% by 2025.
The targets are in line with the country's historical uptake projection: In the 2020 cycle, 2,552 GeneXpert tests were performed on SR, increasing to 8,126 tests by 2021.
It is proposed to use as denominator the new cases and relapses captured by the country and not the WHO estimates since they are not real under the historical behavior of the country.</v>
      </c>
      <c r="J491" s="166" t="str">
        <f t="array" aca="1" ref="J491" ca="1">IFERROR(VLOOKUP(LEFT(INDIRECT("'Coverage Indicators - Section D'!D"&amp;$B491),255),LEFT('Reference Records'!C39:F243,255),4,0),"")</f>
        <v>MCI-01076</v>
      </c>
      <c r="K491" s="166" t="str">
        <f ca="1">IFERROR(VLOOKUP(IF(INDIRECT("'Coverage Indicators - Section D'!B"&amp;$B491)="","--select--",INDIRECT("'Coverage Indicators - Section D'!B"&amp;$B491)),'Overview - Section A'!C$101:D140,2,0),"")</f>
        <v>M-64458</v>
      </c>
      <c r="L491" s="171">
        <f t="shared" ca="1" si="85"/>
        <v>2021</v>
      </c>
      <c r="M491" s="166" t="str">
        <f ca="1">IFERROR(VLOOKUP(INDIRECT("'Coverage Indicators - Section D'!C"&amp;$B491),'Reference Records'!C$656:F792,3,0),"")</f>
        <v>MCI-01153</v>
      </c>
      <c r="N491" s="171" t="str">
        <f t="shared" ca="1" si="86"/>
        <v/>
      </c>
      <c r="O491" s="166" t="str">
        <f t="shared" ca="1" si="87"/>
        <v>Bolivia (Plurinational State)</v>
      </c>
      <c r="P491" s="171" t="str">
        <f t="shared" ca="1" si="88"/>
        <v>Geographic National, 100% of national program target</v>
      </c>
      <c r="Q491" s="171" t="str">
        <f t="shared" ca="1" si="89"/>
        <v/>
      </c>
      <c r="R491" s="166" t="str">
        <f t="shared" ca="1" si="90"/>
        <v>FALSE</v>
      </c>
      <c r="S491" s="171" t="str">
        <f ca="1">IFERROR(VLOOKUP(INDIRECT("'Coverage Indicators - Section D'!L"&amp;$B491),'Overview - Section A'!M$30:P79,4,0),IFERROR(IF(VLOOKUP(INDIRECT("'Coverage Indicators - Section D'!L"&amp;$B491),'Overview - Section A'!E$27:I67,5,0)=0,"",VLOOKUP(INDIRECT("'Coverage Indicators - Section D'!L"&amp;$B491),'Overview - Section A'!E$27:I67,5,0)),""))</f>
        <v/>
      </c>
      <c r="T491" s="171" t="str">
        <f t="shared" ca="1" si="91"/>
        <v/>
      </c>
      <c r="U491" s="171" t="str">
        <f t="shared" ca="1" si="92"/>
        <v>Reporte de la Unidad de Vigilancia Epidemiológica - Componente de Tuberculosis - Sistema de R&amp;R TB - Ministerio de Salud y Deportes.</v>
      </c>
      <c r="V491" s="171" t="str">
        <f t="shared" ca="1" si="93"/>
        <v>Línea de base: Numero de casos de TB nuevos mas recaidas notificados en el año 2020 (7,140)
Metodología de medición:  Informe de notificación de casos de Tuberculosis (nuevos y recaidas) Reporte de la Unidad de Vigilancia Epidemiológica - Componente de Tuberculosis - Sistema de R&amp;R TB - Ministerio de Salud y Deportes.
Supuestos: El 2020 se ha detectado al 50,1% de los casos estimados por OMS, se espera incrementar la captacion a traves de la universalizacion gradual del diagnostico con GeneXpert y lograr captar al 65% de los casos para el 2023, 70% para el 2024 y 75% para el 2025.
Las metas están acordes a la proyección de captación histórica del país: En el ciclo de 2020 se realizaron 2.552 pruebas de GeneXpert a SR, logrando incrementarse a 8.126 pruebas para el 2021.
Se propone utilizar como denominador los casos nuevos y recaídas captados por el país y no así las estimaciones de la OMS ya que no son reales bajo el comportamiento histórico del país.</v>
      </c>
      <c r="W491" s="171"/>
      <c r="X491" s="171"/>
      <c r="Y491" s="166"/>
      <c r="Z491" s="166"/>
      <c r="AA491" s="171"/>
      <c r="AB491" s="171"/>
      <c r="AC491" s="166"/>
      <c r="AD491" s="166"/>
      <c r="AE491" s="166"/>
      <c r="AF491" s="177"/>
      <c r="AG491" s="171"/>
    </row>
    <row r="492" spans="1:33">
      <c r="A492" s="166" t="b">
        <f t="shared" ca="1" si="79"/>
        <v>1</v>
      </c>
      <c r="B492" s="167">
        <f t="shared" ca="1" si="77"/>
        <v>25</v>
      </c>
      <c r="C492" s="172" t="str">
        <f ca="1">IFERROR(IF(AND(H492=2,B492=7),"blank",INDEX(C$452:C492,H492,1)),"")</f>
        <v>a183p000006T3jxAAC</v>
      </c>
      <c r="D492" s="168">
        <f t="shared" ca="1" si="80"/>
        <v>83.451695028808786</v>
      </c>
      <c r="E492" s="177">
        <f t="shared" ca="1" si="81"/>
        <v>7463</v>
      </c>
      <c r="F492" s="177">
        <f t="shared" ca="1" si="82"/>
        <v>6228</v>
      </c>
      <c r="G492" s="171" t="str">
        <f t="shared" ca="1" si="83"/>
        <v>Report of the Epidemiological Surveillance Unit - Tuberculosis Component - TB R&amp;R System - Ministry of Health and Sports.</v>
      </c>
      <c r="H492" s="167">
        <f t="shared" ca="1" si="78"/>
        <v>11</v>
      </c>
      <c r="I492" s="171" t="str">
        <f t="shared" ca="1" si="84"/>
        <v>Baseline: Number of TB cases successfully treated in 2019 (6228/7463 = 83.5%).
Measurement methodology: treatment outcome report of TB cases (new and relapsed) from the National Infectious Diseases Program.
Numerator: Tuberculosis cases (new and relapsed) successfully treated (cured + treatment completed).
Denominator: Tuberculosis cases (new and relapsed) notified 12 months earlier (previous management).
Multiplier: 100%.
Assumptions: PEN aligned to the End TB Strategy and meeting end TB targets. It is expected to improve treatment success through timely diagnosis with GeneXpert and reduce the number of cases that die before initiating treatment.</v>
      </c>
      <c r="J492" s="166" t="str">
        <f t="array" aca="1" ref="J492" ca="1">IFERROR(VLOOKUP(LEFT(INDIRECT("'Coverage Indicators - Section D'!D"&amp;$B492),255),LEFT('Reference Records'!C40:F244,255),4,0),"")</f>
        <v>MCI-01077</v>
      </c>
      <c r="K492" s="166" t="str">
        <f ca="1">IFERROR(VLOOKUP(IF(INDIRECT("'Coverage Indicators - Section D'!B"&amp;$B492)="","--select--",INDIRECT("'Coverage Indicators - Section D'!B"&amp;$B492)),'Overview - Section A'!C$101:D141,2,0),"")</f>
        <v>M-64458</v>
      </c>
      <c r="L492" s="171">
        <f t="shared" ca="1" si="85"/>
        <v>2019</v>
      </c>
      <c r="M492" s="166" t="str">
        <f ca="1">IFERROR(VLOOKUP(INDIRECT("'Coverage Indicators - Section D'!C"&amp;$B492),'Reference Records'!C$656:F793,3,0),"")</f>
        <v>MCI-01153</v>
      </c>
      <c r="N492" s="171" t="str">
        <f t="shared" ca="1" si="86"/>
        <v/>
      </c>
      <c r="O492" s="166" t="str">
        <f t="shared" ca="1" si="87"/>
        <v>Bolivia (Plurinational State)</v>
      </c>
      <c r="P492" s="171" t="str">
        <f t="shared" ca="1" si="88"/>
        <v>Geographic National, 100% of national program target</v>
      </c>
      <c r="Q492" s="171" t="str">
        <f t="shared" ca="1" si="89"/>
        <v/>
      </c>
      <c r="R492" s="166" t="str">
        <f t="shared" ca="1" si="90"/>
        <v>FALSE</v>
      </c>
      <c r="S492" s="171" t="str">
        <f ca="1">IFERROR(VLOOKUP(INDIRECT("'Coverage Indicators - Section D'!L"&amp;$B492),'Overview - Section A'!M$30:P80,4,0),IFERROR(IF(VLOOKUP(INDIRECT("'Coverage Indicators - Section D'!L"&amp;$B492),'Overview - Section A'!E$27:I68,5,0)=0,"",VLOOKUP(INDIRECT("'Coverage Indicators - Section D'!L"&amp;$B492),'Overview - Section A'!E$27:I68,5,0)),""))</f>
        <v/>
      </c>
      <c r="T492" s="171" t="str">
        <f t="shared" ca="1" si="91"/>
        <v/>
      </c>
      <c r="U492" s="171" t="str">
        <f t="shared" ca="1" si="92"/>
        <v>Reporte de la Unidad de Vigilancia Epidemiológica - Componente de Tuberculosis - Sistema de R&amp;R TB - Ministerio de Salud y Deportes.</v>
      </c>
      <c r="V492" s="171" t="str">
        <f t="shared" ca="1" si="93"/>
        <v>Línea de base: Numero de casos de TB tratados exitosamente en el año 2019 (6228/7463 = 83,5%)
Metodología de medición:  Informe de resultados de tratamiento de casos de Tuberculosis (nuevos y recaidas) del Programa Nacional de Enfermedades Infectocontagiosas.
Numerador: Casos de Tuberculosis (nuevos y recaidas) tratados exitosamente (curados + tratamiento completado).
Denominador: Casos de Tuberculosis (nuevos y recaidas) notificados 12 meses antes (una gestion anterior).
Multiplicador: 100%
Supuestos: El PEN alineado a la Estrategia Fin de la Tuberculosis y al cumplimiento de las metas del mismo. Se espera mejorar el éxito de tratamiento a través del diagnostico oportuno con GeneXpert y reducir el numero de casos fallecidos antes de iniciar tratamiento.</v>
      </c>
      <c r="W492" s="171"/>
      <c r="X492" s="171"/>
      <c r="Y492" s="166"/>
      <c r="Z492" s="166"/>
      <c r="AA492" s="171"/>
      <c r="AB492" s="171"/>
      <c r="AC492" s="166"/>
      <c r="AD492" s="166"/>
      <c r="AE492" s="166"/>
      <c r="AF492" s="177"/>
      <c r="AG492" s="171"/>
    </row>
    <row r="493" spans="1:33">
      <c r="A493" s="166" t="b">
        <f t="shared" ca="1" si="79"/>
        <v>1</v>
      </c>
      <c r="B493" s="167">
        <f t="shared" ca="1" si="77"/>
        <v>27</v>
      </c>
      <c r="C493" s="172" t="str">
        <f ca="1">IFERROR(IF(AND(H493=2,B493=7),"blank",INDEX(C$452:C493,H493,1)),"")</f>
        <v>a183p000006T3jyAAC</v>
      </c>
      <c r="D493" s="168">
        <f t="shared" ca="1" si="80"/>
        <v>20.694813829787233</v>
      </c>
      <c r="E493" s="177">
        <f t="shared" ca="1" si="81"/>
        <v>6016</v>
      </c>
      <c r="F493" s="177">
        <f t="shared" ca="1" si="82"/>
        <v>1245</v>
      </c>
      <c r="G493" s="171" t="str">
        <f t="shared" ca="1" si="83"/>
        <v>Report of the Epidemiological Surveillance Unit - Tuberculosis Component - TB R&amp;R System - Ministry of Health and Sports.</v>
      </c>
      <c r="H493" s="167">
        <f t="shared" ca="1" si="78"/>
        <v>12</v>
      </c>
      <c r="I493" s="171" t="str">
        <f t="shared" ca="1" si="84"/>
        <v xml:space="preserve">Numerator: number of TB cases (new and relapsed) diagnosed by GeneXpert MTB/RIF. 
Denominator: number of TB cases (new and relapsed) reported.
Multiplier: 100% Measurement methodology. PNEI-TB registry and laboratory records system. 
Measurement period: quarterly (up to 40 days ending quarter).                                                                                                                                                           Assumptions: PEN aligned with the End TB Strategy and compliance with its goals. Gradual universalization of universal diagnosis by GeneXpert MTB/RIF and the use of GeneXpert Ultra cartridges, updating of Tuberculosis regulations, training of health personnel and non-public health providers. </v>
      </c>
      <c r="J493" s="166" t="str">
        <f t="array" aca="1" ref="J493" ca="1">IFERROR(VLOOKUP(LEFT(INDIRECT("'Coverage Indicators - Section D'!D"&amp;$B493),255),LEFT('Reference Records'!C41:F245,255),4,0),"")</f>
        <v>MCI-01085</v>
      </c>
      <c r="K493" s="166" t="str">
        <f ca="1">IFERROR(VLOOKUP(IF(INDIRECT("'Coverage Indicators - Section D'!B"&amp;$B493)="","--select--",INDIRECT("'Coverage Indicators - Section D'!B"&amp;$B493)),'Overview - Section A'!C$101:D142,2,0),"")</f>
        <v>M-64458</v>
      </c>
      <c r="L493" s="171">
        <f t="shared" ca="1" si="85"/>
        <v>2020</v>
      </c>
      <c r="M493" s="166" t="str">
        <f ca="1">IFERROR(VLOOKUP(INDIRECT("'Coverage Indicators - Section D'!C"&amp;$B493),'Reference Records'!C$656:F794,3,0),"")</f>
        <v>MCI-01153</v>
      </c>
      <c r="N493" s="171" t="str">
        <f t="shared" ca="1" si="86"/>
        <v/>
      </c>
      <c r="O493" s="166" t="str">
        <f t="shared" ca="1" si="87"/>
        <v>Bolivia (Plurinational State)</v>
      </c>
      <c r="P493" s="171" t="str">
        <f t="shared" ca="1" si="88"/>
        <v>Geographic National, 100% of national program target</v>
      </c>
      <c r="Q493" s="171" t="str">
        <f t="shared" ca="1" si="89"/>
        <v/>
      </c>
      <c r="R493" s="166" t="str">
        <f t="shared" ca="1" si="90"/>
        <v>FALSE</v>
      </c>
      <c r="S493" s="171" t="str">
        <f ca="1">IFERROR(VLOOKUP(INDIRECT("'Coverage Indicators - Section D'!L"&amp;$B493),'Overview - Section A'!M$30:P81,4,0),IFERROR(IF(VLOOKUP(INDIRECT("'Coverage Indicators - Section D'!L"&amp;$B493),'Overview - Section A'!E$27:I69,5,0)=0,"",VLOOKUP(INDIRECT("'Coverage Indicators - Section D'!L"&amp;$B493),'Overview - Section A'!E$27:I69,5,0)),""))</f>
        <v/>
      </c>
      <c r="T493" s="171" t="str">
        <f t="shared" ca="1" si="91"/>
        <v/>
      </c>
      <c r="U493" s="171" t="str">
        <f t="shared" ca="1" si="92"/>
        <v>Reporte de la Unidad de Vigilancia Epidemiológica - Componente de Tuberculosis - Sistema de R&amp;R TB - Ministerio de Salud y Deportes.</v>
      </c>
      <c r="V493" s="171" t="str">
        <f t="shared" ca="1" si="93"/>
        <v xml:space="preserve">Numerador: número de casos de TB (nuevos y recaidas) diagnosticados por GeneXpert MTB/RIF. 
Denominador: número de casos de TB (nuevos y recaidas) notificados.
Multiplicador: 100%                                                                                                                                                                                                                                               Metodología de medición. Sistema de registro del PNEI-Tuberculosis y de registros de laboratorio 
Periodo de medición: Trimestral (hasta 40 dias acabado el trimestre).                                                                                                                                                           Supuestos: PEN alineado a la Estrategia Fin de la Tuberculosis y al cumplimiento de las metas del mismo. Universalización gradual del diagnostico universal por GeneXpert MTB/RIF y el uso de cartuchos GeneXpert Ultra,actualizacion de la normativa de Tuberculosis, capacitacion al personal de salud y proveedores de salud no publicos. 
</v>
      </c>
      <c r="W493" s="171"/>
      <c r="X493" s="171"/>
      <c r="Y493" s="166"/>
      <c r="Z493" s="166"/>
      <c r="AA493" s="171"/>
      <c r="AB493" s="171"/>
      <c r="AC493" s="166"/>
      <c r="AD493" s="166"/>
      <c r="AE493" s="166"/>
      <c r="AF493" s="177"/>
      <c r="AG493" s="171"/>
    </row>
    <row r="494" spans="1:33">
      <c r="A494" s="166" t="b">
        <f t="shared" ca="1" si="79"/>
        <v>1</v>
      </c>
      <c r="B494" s="167">
        <f t="shared" ca="1" si="77"/>
        <v>29</v>
      </c>
      <c r="C494" s="172" t="str">
        <f ca="1">IFERROR(IF(AND(H494=2,B494=7),"blank",INDEX(C$452:C494,H494,1)),"")</f>
        <v>a183p000006T3jzAAC</v>
      </c>
      <c r="D494" s="168" t="str">
        <f t="shared" ca="1" si="80"/>
        <v/>
      </c>
      <c r="E494" s="177" t="str">
        <f t="shared" ca="1" si="81"/>
        <v/>
      </c>
      <c r="F494" s="177">
        <f t="shared" ca="1" si="82"/>
        <v>121</v>
      </c>
      <c r="G494" s="171" t="str">
        <f t="shared" ca="1" si="83"/>
        <v>Report of the Epidemiological Surveillance Unit - Tuberculosis Component - TB R&amp;R System - Ministry of Health and Sports.</v>
      </c>
      <c r="H494" s="167">
        <f t="shared" ca="1" si="78"/>
        <v>13</v>
      </c>
      <c r="I494" s="171" t="str">
        <f t="shared" ca="1" si="84"/>
        <v>Baseline. TB RR/MDR patients captured 121 in 2021.
Source of information: Report of the Epidemiological Surveillance Unit - Tuberculosis Component - TB R&amp;R System - Ministry of Health and Sports.
Comment. The estimate of RR-MDR TB cases was made according to the historical behavior, without taking into account the 2020 management due to the COVID-19 pandemic. PEN aligned with the End TB Strategy and the fulfillment of its goals.
The universalization of GeneXpert as a method of initial diagnosis will allow the capture of cases and the search for RR-TB cases. Attached is a file with the estimated number of RR-TB cases for 2023-2025.</v>
      </c>
      <c r="J494" s="166" t="str">
        <f t="array" aca="1" ref="J494" ca="1">IFERROR(VLOOKUP(LEFT(INDIRECT("'Coverage Indicators - Section D'!D"&amp;$B494),255),LEFT('Reference Records'!C42:F246,255),4,0),"")</f>
        <v>MCI-01086</v>
      </c>
      <c r="K494" s="166" t="str">
        <f ca="1">IFERROR(VLOOKUP(IF(INDIRECT("'Coverage Indicators - Section D'!B"&amp;$B494)="","--select--",INDIRECT("'Coverage Indicators - Section D'!B"&amp;$B494)),'Overview - Section A'!C$101:D143,2,0),"")</f>
        <v>M-64459</v>
      </c>
      <c r="L494" s="171">
        <f t="shared" ca="1" si="85"/>
        <v>2021</v>
      </c>
      <c r="M494" s="166" t="str">
        <f ca="1">IFERROR(VLOOKUP(INDIRECT("'Coverage Indicators - Section D'!C"&amp;$B494),'Reference Records'!C$656:F795,3,0),"")</f>
        <v>MCI-01153</v>
      </c>
      <c r="N494" s="171" t="str">
        <f t="shared" ca="1" si="86"/>
        <v/>
      </c>
      <c r="O494" s="166" t="str">
        <f t="shared" ca="1" si="87"/>
        <v>Bolivia (Plurinational State)</v>
      </c>
      <c r="P494" s="171" t="str">
        <f t="shared" ca="1" si="88"/>
        <v>Geographic National, 100% of national program target</v>
      </c>
      <c r="Q494" s="171" t="str">
        <f t="shared" ca="1" si="89"/>
        <v/>
      </c>
      <c r="R494" s="166" t="str">
        <f t="shared" ca="1" si="90"/>
        <v>FALSE</v>
      </c>
      <c r="S494" s="171" t="str">
        <f ca="1">IFERROR(VLOOKUP(INDIRECT("'Coverage Indicators - Section D'!L"&amp;$B494),'Overview - Section A'!M$30:P82,4,0),IFERROR(IF(VLOOKUP(INDIRECT("'Coverage Indicators - Section D'!L"&amp;$B494),'Overview - Section A'!E$27:I70,5,0)=0,"",VLOOKUP(INDIRECT("'Coverage Indicators - Section D'!L"&amp;$B494),'Overview - Section A'!E$27:I70,5,0)),""))</f>
        <v/>
      </c>
      <c r="T494" s="171" t="str">
        <f t="shared" ca="1" si="91"/>
        <v/>
      </c>
      <c r="U494" s="171" t="str">
        <f t="shared" ca="1" si="92"/>
        <v>Reporte de la Unidad de Vigilancia Epidemiológica - Componente de Tuberculosis - Sistema de R&amp;R TB - Ministerio de Salud y Deportes.</v>
      </c>
      <c r="V494" s="171" t="str">
        <f t="shared" ca="1" si="93"/>
        <v>Línea de Base. Paciente TB RR/MDR Captados 121 la gestión 2021.
Fuente de información: Reporte de la Unidad de Vigilancia Epidemiológica - Componente de Tuberculosis - Sistema de R&amp;R TB - Ministerio de Salud y Deportes.
Comentario. Se realizo la estimacion de captacion de casos de TB RR-MDR de acuerdo al comportamiento historico, sin tomar en cuenta la gestion 2020 por la pandemia de la COVID-19. PEN alineado a la Estrategia Fin de la Tuberculosis y al cumplimiento de las metas del mismo.
La universalizacion del GeneXpert como metodo de diagnostico inicial permitira la captacion de casos y la busqueda de casos TB-RR. Se adjunta archivo con la estimacion de casos TB-RR para el 2023-2025</v>
      </c>
      <c r="W494" s="171"/>
      <c r="X494" s="171"/>
      <c r="Y494" s="166"/>
      <c r="Z494" s="166"/>
      <c r="AA494" s="171"/>
      <c r="AB494" s="171"/>
      <c r="AC494" s="166"/>
      <c r="AD494" s="166"/>
      <c r="AE494" s="166"/>
      <c r="AF494" s="177"/>
      <c r="AG494" s="171"/>
    </row>
    <row r="495" spans="1:33">
      <c r="A495" s="166" t="b">
        <f t="shared" ca="1" si="79"/>
        <v>1</v>
      </c>
      <c r="B495" s="167">
        <f t="shared" ca="1" si="77"/>
        <v>31</v>
      </c>
      <c r="C495" s="172" t="str">
        <f ca="1">IFERROR(IF(AND(H495=2,B495=7),"blank",INDEX(C$452:C495,H495,1)),"")</f>
        <v>a183p000006T3k0AAC</v>
      </c>
      <c r="D495" s="168" t="str">
        <f t="shared" ca="1" si="80"/>
        <v/>
      </c>
      <c r="E495" s="177" t="str">
        <f t="shared" ca="1" si="81"/>
        <v/>
      </c>
      <c r="F495" s="177">
        <f t="shared" ca="1" si="82"/>
        <v>95</v>
      </c>
      <c r="G495" s="171" t="str">
        <f t="shared" ca="1" si="83"/>
        <v>Report of the Epidemiological Surveillance Unit - Tuberculosis Component - TB R&amp;R System - Ministry of Health and Sports.</v>
      </c>
      <c r="H495" s="167">
        <f t="shared" ca="1" si="78"/>
        <v>14</v>
      </c>
      <c r="I495" s="171" t="str">
        <f t="shared" ca="1" si="84"/>
        <v>Baseline. RR/MDR TB patients who initiated treatment 95 Management 2021.
Source of information: Epidemiological Surveillance Unit Report - Tuberculosis Component - TB R&amp;R System - Ministry of Health and Sports.
Comment. With this indicator we are measuring the capacity of the national program to ensure that all patients in whom RR-TB or MDR-TB is detected receive appropriate treatment in the shortest possible time.  For this reason the performance of this indicator will be evaluated based on the result of the MDR TB-2 indicator. The implementation of the oral scheme in DR-TB patients from the 2022 management will help treatment adherence and treatment success in patients as it is a less aggressive treatment for the patient.</v>
      </c>
      <c r="J495" s="166" t="str">
        <f t="array" aca="1" ref="J495" ca="1">IFERROR(VLOOKUP(LEFT(INDIRECT("'Coverage Indicators - Section D'!D"&amp;$B495),255),LEFT('Reference Records'!C43:F247,255),4,0),"")</f>
        <v>MCI-01087</v>
      </c>
      <c r="K495" s="166" t="str">
        <f ca="1">IFERROR(VLOOKUP(IF(INDIRECT("'Coverage Indicators - Section D'!B"&amp;$B495)="","--select--",INDIRECT("'Coverage Indicators - Section D'!B"&amp;$B495)),'Overview - Section A'!C$101:D144,2,0),"")</f>
        <v>M-64459</v>
      </c>
      <c r="L495" s="171">
        <f t="shared" ca="1" si="85"/>
        <v>2021</v>
      </c>
      <c r="M495" s="166" t="str">
        <f ca="1">IFERROR(VLOOKUP(INDIRECT("'Coverage Indicators - Section D'!C"&amp;$B495),'Reference Records'!C$656:F796,3,0),"")</f>
        <v>MCI-01153</v>
      </c>
      <c r="N495" s="171" t="str">
        <f t="shared" ca="1" si="86"/>
        <v/>
      </c>
      <c r="O495" s="166" t="str">
        <f t="shared" ca="1" si="87"/>
        <v>Bolivia (Plurinational State)</v>
      </c>
      <c r="P495" s="171" t="str">
        <f t="shared" ca="1" si="88"/>
        <v>Geographic National, 100% of national program target</v>
      </c>
      <c r="Q495" s="171" t="str">
        <f t="shared" ca="1" si="89"/>
        <v/>
      </c>
      <c r="R495" s="166" t="str">
        <f t="shared" ca="1" si="90"/>
        <v>FALSE</v>
      </c>
      <c r="S495" s="171" t="str">
        <f ca="1">IFERROR(VLOOKUP(INDIRECT("'Coverage Indicators - Section D'!L"&amp;$B495),'Overview - Section A'!M$30:P83,4,0),IFERROR(IF(VLOOKUP(INDIRECT("'Coverage Indicators - Section D'!L"&amp;$B495),'Overview - Section A'!E$27:I71,5,0)=0,"",VLOOKUP(INDIRECT("'Coverage Indicators - Section D'!L"&amp;$B495),'Overview - Section A'!E$27:I71,5,0)),""))</f>
        <v/>
      </c>
      <c r="T495" s="171" t="str">
        <f t="shared" ca="1" si="91"/>
        <v/>
      </c>
      <c r="U495" s="171" t="str">
        <f t="shared" ca="1" si="92"/>
        <v>Reporte de la Unidad de Vigilancia Epidemiológica - Componente de Tuberculosis - Sistema de R&amp;R TB - Ministerio de Salud y Deportes.</v>
      </c>
      <c r="V495" s="171" t="str">
        <f t="shared" ca="1" si="93"/>
        <v xml:space="preserve">Línea de Base. Paciente TB RR/MDR que iniciaron tratamiento 95 Gestión 2021.
Fuente de información: Reporte de la Unidad de Vigilancia Epidemiológica - Componente de Tuberculosis - Sistema de R&amp;R TB - Ministerio de Salud y Deportes.
Comentario. Con este indicador estamos midiendo la capacidad del programa nacional para garantizar que todos los pacientes en los que se detecta RR-TB o MDR-TB reciban el tratamiento adecuado en el menor tiempo posible.  Por esta razón el desempeño de este indicador será evaluado en base al resultado del indicador MDR TB-2. La implementación del esquema oral en los pacientes TB-DR a partir de la gestion 2022, ayudara a la adherencia del tratamiento y el éxito del mismo en los pacientes al ser un tratamiento menos agresivo para el paciente.
</v>
      </c>
      <c r="W495" s="171"/>
      <c r="X495" s="171"/>
      <c r="Y495" s="166"/>
      <c r="Z495" s="166"/>
      <c r="AA495" s="171"/>
      <c r="AB495" s="171"/>
      <c r="AC495" s="166"/>
      <c r="AD495" s="166"/>
      <c r="AE495" s="166"/>
      <c r="AF495" s="177"/>
      <c r="AG495" s="171"/>
    </row>
    <row r="496" spans="1:33">
      <c r="A496" s="166" t="b">
        <f t="shared" ca="1" si="79"/>
        <v>0</v>
      </c>
      <c r="B496" s="167">
        <f t="shared" ca="1" si="77"/>
        <v>33</v>
      </c>
      <c r="C496" s="172" t="str">
        <f ca="1">IFERROR(IF(AND(H496=2,B496=7),"blank",INDEX(C$452:C496,H496,1)),"")</f>
        <v>a183p000006T3k1AAC</v>
      </c>
      <c r="D496" s="168" t="str">
        <f t="shared" ca="1" si="80"/>
        <v/>
      </c>
      <c r="E496" s="177" t="str">
        <f t="shared" ca="1" si="81"/>
        <v/>
      </c>
      <c r="F496" s="177" t="str">
        <f t="shared" ca="1" si="82"/>
        <v/>
      </c>
      <c r="G496" s="171" t="str">
        <f t="shared" ca="1" si="83"/>
        <v/>
      </c>
      <c r="H496" s="167">
        <f t="shared" ca="1" si="78"/>
        <v>15</v>
      </c>
      <c r="I496" s="171" t="str">
        <f t="shared" ca="1" si="84"/>
        <v/>
      </c>
      <c r="J496" s="166" t="str">
        <f t="array" aca="1" ref="J496" ca="1">IFERROR(VLOOKUP(LEFT(INDIRECT("'Coverage Indicators - Section D'!D"&amp;$B496),255),LEFT('Reference Records'!C44:F248,255),4,0),"")</f>
        <v/>
      </c>
      <c r="K496" s="166" t="str">
        <f ca="1">IFERROR(VLOOKUP(IF(INDIRECT("'Coverage Indicators - Section D'!B"&amp;$B496)="","--select--",INDIRECT("'Coverage Indicators - Section D'!B"&amp;$B496)),'Overview - Section A'!C$101:D145,2,0),"")</f>
        <v>M-64462</v>
      </c>
      <c r="L496" s="171" t="str">
        <f t="shared" ca="1" si="85"/>
        <v/>
      </c>
      <c r="M496" s="166" t="str">
        <f ca="1">IFERROR(VLOOKUP(INDIRECT("'Coverage Indicators - Section D'!C"&amp;$B496),'Reference Records'!C$656:F797,3,0),"")</f>
        <v/>
      </c>
      <c r="N496" s="171" t="str">
        <f t="shared" ca="1" si="86"/>
        <v/>
      </c>
      <c r="O496" s="166" t="str">
        <f t="shared" ca="1" si="87"/>
        <v/>
      </c>
      <c r="P496" s="171" t="str">
        <f t="shared" ca="1" si="88"/>
        <v/>
      </c>
      <c r="Q496" s="171" t="str">
        <f t="shared" ca="1" si="89"/>
        <v/>
      </c>
      <c r="R496" s="166" t="str">
        <f t="shared" ca="1" si="90"/>
        <v>FALSE</v>
      </c>
      <c r="S496" s="171" t="str">
        <f ca="1">IFERROR(VLOOKUP(INDIRECT("'Coverage Indicators - Section D'!L"&amp;$B496),'Overview - Section A'!M$30:P84,4,0),IFERROR(IF(VLOOKUP(INDIRECT("'Coverage Indicators - Section D'!L"&amp;$B496),'Overview - Section A'!E$27:I72,5,0)=0,"",VLOOKUP(INDIRECT("'Coverage Indicators - Section D'!L"&amp;$B496),'Overview - Section A'!E$27:I72,5,0)),""))</f>
        <v/>
      </c>
      <c r="T496" s="171" t="str">
        <f t="shared" ca="1" si="91"/>
        <v/>
      </c>
      <c r="U496" s="171" t="str">
        <f t="shared" ca="1" si="92"/>
        <v/>
      </c>
      <c r="V496" s="171" t="str">
        <f t="shared" ca="1" si="93"/>
        <v/>
      </c>
      <c r="W496" s="171"/>
      <c r="X496" s="171"/>
      <c r="Y496" s="166"/>
      <c r="Z496" s="166"/>
      <c r="AA496" s="171"/>
      <c r="AB496" s="171"/>
      <c r="AC496" s="166"/>
      <c r="AD496" s="166"/>
      <c r="AE496" s="166"/>
      <c r="AF496" s="177"/>
      <c r="AG496" s="171"/>
    </row>
    <row r="497" spans="1:33">
      <c r="A497" s="166" t="b">
        <f t="shared" ca="1" si="79"/>
        <v>0</v>
      </c>
      <c r="B497" s="167">
        <f t="shared" ca="1" si="77"/>
        <v>35</v>
      </c>
      <c r="C497" s="172" t="str">
        <f ca="1">IFERROR(IF(AND(H497=2,B497=7),"blank",INDEX(C$452:C497,H497,1)),"")</f>
        <v>a183p000006T3k2AAC</v>
      </c>
      <c r="D497" s="168" t="str">
        <f t="shared" ca="1" si="80"/>
        <v/>
      </c>
      <c r="E497" s="177" t="str">
        <f t="shared" ca="1" si="81"/>
        <v/>
      </c>
      <c r="F497" s="177" t="str">
        <f t="shared" ca="1" si="82"/>
        <v/>
      </c>
      <c r="G497" s="171" t="str">
        <f t="shared" ca="1" si="83"/>
        <v/>
      </c>
      <c r="H497" s="167">
        <f t="shared" ca="1" si="78"/>
        <v>16</v>
      </c>
      <c r="I497" s="171" t="str">
        <f t="shared" ca="1" si="84"/>
        <v/>
      </c>
      <c r="J497" s="166" t="str">
        <f t="array" aca="1" ref="J497" ca="1">IFERROR(VLOOKUP(LEFT(INDIRECT("'Coverage Indicators - Section D'!D"&amp;$B497),255),LEFT('Reference Records'!C45:F249,255),4,0),"")</f>
        <v/>
      </c>
      <c r="K497" s="166" t="str">
        <f ca="1">IFERROR(VLOOKUP(IF(INDIRECT("'Coverage Indicators - Section D'!B"&amp;$B497)="","--select--",INDIRECT("'Coverage Indicators - Section D'!B"&amp;$B497)),'Overview - Section A'!C$101:D146,2,0),"")</f>
        <v>M-64462</v>
      </c>
      <c r="L497" s="171" t="str">
        <f t="shared" ca="1" si="85"/>
        <v/>
      </c>
      <c r="M497" s="166" t="str">
        <f ca="1">IFERROR(VLOOKUP(INDIRECT("'Coverage Indicators - Section D'!C"&amp;$B497),'Reference Records'!C$656:F798,3,0),"")</f>
        <v/>
      </c>
      <c r="N497" s="171" t="str">
        <f t="shared" ca="1" si="86"/>
        <v/>
      </c>
      <c r="O497" s="166" t="str">
        <f t="shared" ca="1" si="87"/>
        <v/>
      </c>
      <c r="P497" s="171" t="str">
        <f t="shared" ca="1" si="88"/>
        <v/>
      </c>
      <c r="Q497" s="171" t="str">
        <f t="shared" ca="1" si="89"/>
        <v/>
      </c>
      <c r="R497" s="166" t="str">
        <f t="shared" ca="1" si="90"/>
        <v>FALSE</v>
      </c>
      <c r="S497" s="171" t="str">
        <f ca="1">IFERROR(VLOOKUP(INDIRECT("'Coverage Indicators - Section D'!L"&amp;$B497),'Overview - Section A'!M$30:P85,4,0),IFERROR(IF(VLOOKUP(INDIRECT("'Coverage Indicators - Section D'!L"&amp;$B497),'Overview - Section A'!E$27:I73,5,0)=0,"",VLOOKUP(INDIRECT("'Coverage Indicators - Section D'!L"&amp;$B497),'Overview - Section A'!E$27:I73,5,0)),""))</f>
        <v/>
      </c>
      <c r="T497" s="171" t="str">
        <f t="shared" ca="1" si="91"/>
        <v/>
      </c>
      <c r="U497" s="171" t="str">
        <f t="shared" ca="1" si="92"/>
        <v/>
      </c>
      <c r="V497" s="171" t="str">
        <f t="shared" ca="1" si="93"/>
        <v/>
      </c>
      <c r="W497" s="171"/>
      <c r="X497" s="171"/>
      <c r="Y497" s="166"/>
      <c r="Z497" s="166"/>
      <c r="AA497" s="171"/>
      <c r="AB497" s="171"/>
      <c r="AC497" s="166"/>
      <c r="AD497" s="166"/>
      <c r="AE497" s="166"/>
      <c r="AF497" s="177"/>
      <c r="AG497" s="171"/>
    </row>
    <row r="498" spans="1:33">
      <c r="A498" s="166" t="b">
        <f t="shared" ca="1" si="79"/>
        <v>0</v>
      </c>
      <c r="B498" s="167">
        <f t="shared" ca="1" si="77"/>
        <v>37</v>
      </c>
      <c r="C498" s="172" t="str">
        <f ca="1">IFERROR(IF(AND(H498=2,B498=7),"blank",INDEX(C$452:C498,H498,1)),"")</f>
        <v>a183p000006T3k3AAC</v>
      </c>
      <c r="D498" s="168" t="str">
        <f t="shared" ca="1" si="80"/>
        <v/>
      </c>
      <c r="E498" s="177" t="str">
        <f t="shared" ca="1" si="81"/>
        <v/>
      </c>
      <c r="F498" s="177" t="str">
        <f t="shared" ca="1" si="82"/>
        <v/>
      </c>
      <c r="G498" s="171" t="str">
        <f t="shared" ca="1" si="83"/>
        <v/>
      </c>
      <c r="H498" s="167">
        <f t="shared" ca="1" si="78"/>
        <v>17</v>
      </c>
      <c r="I498" s="171" t="str">
        <f t="shared" ca="1" si="84"/>
        <v/>
      </c>
      <c r="J498" s="166" t="str">
        <f t="array" aca="1" ref="J498" ca="1">IFERROR(VLOOKUP(LEFT(INDIRECT("'Coverage Indicators - Section D'!D"&amp;$B498),255),LEFT('Reference Records'!C46:F250,255),4,0),"")</f>
        <v/>
      </c>
      <c r="K498" s="166" t="str">
        <f ca="1">IFERROR(VLOOKUP(IF(INDIRECT("'Coverage Indicators - Section D'!B"&amp;$B498)="","--select--",INDIRECT("'Coverage Indicators - Section D'!B"&amp;$B498)),'Overview - Section A'!C$101:D147,2,0),"")</f>
        <v>M-64462</v>
      </c>
      <c r="L498" s="171" t="str">
        <f t="shared" ca="1" si="85"/>
        <v/>
      </c>
      <c r="M498" s="166" t="str">
        <f ca="1">IFERROR(VLOOKUP(INDIRECT("'Coverage Indicators - Section D'!C"&amp;$B498),'Reference Records'!C$656:F799,3,0),"")</f>
        <v/>
      </c>
      <c r="N498" s="171" t="str">
        <f t="shared" ca="1" si="86"/>
        <v/>
      </c>
      <c r="O498" s="166" t="str">
        <f t="shared" ca="1" si="87"/>
        <v/>
      </c>
      <c r="P498" s="171" t="str">
        <f t="shared" ca="1" si="88"/>
        <v/>
      </c>
      <c r="Q498" s="171" t="str">
        <f t="shared" ca="1" si="89"/>
        <v/>
      </c>
      <c r="R498" s="166" t="str">
        <f t="shared" ca="1" si="90"/>
        <v>FALSE</v>
      </c>
      <c r="S498" s="171" t="str">
        <f ca="1">IFERROR(VLOOKUP(INDIRECT("'Coverage Indicators - Section D'!L"&amp;$B498),'Overview - Section A'!M$30:P86,4,0),IFERROR(IF(VLOOKUP(INDIRECT("'Coverage Indicators - Section D'!L"&amp;$B498),'Overview - Section A'!E$27:I74,5,0)=0,"",VLOOKUP(INDIRECT("'Coverage Indicators - Section D'!L"&amp;$B498),'Overview - Section A'!E$27:I74,5,0)),""))</f>
        <v/>
      </c>
      <c r="T498" s="171" t="str">
        <f t="shared" ca="1" si="91"/>
        <v/>
      </c>
      <c r="U498" s="171" t="str">
        <f t="shared" ca="1" si="92"/>
        <v/>
      </c>
      <c r="V498" s="171" t="str">
        <f t="shared" ca="1" si="93"/>
        <v/>
      </c>
      <c r="W498" s="171"/>
      <c r="X498" s="171"/>
      <c r="Y498" s="166"/>
      <c r="Z498" s="166"/>
      <c r="AA498" s="171"/>
      <c r="AB498" s="171"/>
      <c r="AC498" s="166"/>
      <c r="AD498" s="166"/>
      <c r="AE498" s="166"/>
      <c r="AF498" s="177"/>
      <c r="AG498" s="171"/>
    </row>
    <row r="499" spans="1:33">
      <c r="A499" s="166" t="b">
        <f t="shared" ca="1" si="79"/>
        <v>0</v>
      </c>
      <c r="B499" s="167">
        <f t="shared" ca="1" si="77"/>
        <v>39</v>
      </c>
      <c r="C499" s="172" t="str">
        <f ca="1">IFERROR(IF(AND(H499=2,B499=7),"blank",INDEX(C$452:C499,H499,1)),"")</f>
        <v>a183p000006T3k4AAC</v>
      </c>
      <c r="D499" s="168" t="str">
        <f t="shared" ca="1" si="80"/>
        <v/>
      </c>
      <c r="E499" s="177" t="str">
        <f t="shared" ca="1" si="81"/>
        <v/>
      </c>
      <c r="F499" s="177" t="str">
        <f t="shared" ca="1" si="82"/>
        <v/>
      </c>
      <c r="G499" s="171" t="str">
        <f t="shared" ca="1" si="83"/>
        <v/>
      </c>
      <c r="H499" s="167">
        <f t="shared" ca="1" si="78"/>
        <v>18</v>
      </c>
      <c r="I499" s="171" t="str">
        <f t="shared" ca="1" si="84"/>
        <v/>
      </c>
      <c r="J499" s="166" t="str">
        <f t="array" aca="1" ref="J499" ca="1">IFERROR(VLOOKUP(LEFT(INDIRECT("'Coverage Indicators - Section D'!D"&amp;$B499),255),LEFT('Reference Records'!C47:F251,255),4,0),"")</f>
        <v/>
      </c>
      <c r="K499" s="166" t="str">
        <f ca="1">IFERROR(VLOOKUP(IF(INDIRECT("'Coverage Indicators - Section D'!B"&amp;$B499)="","--select--",INDIRECT("'Coverage Indicators - Section D'!B"&amp;$B499)),'Overview - Section A'!C$101:D148,2,0),"")</f>
        <v>M-64462</v>
      </c>
      <c r="L499" s="171" t="str">
        <f t="shared" ca="1" si="85"/>
        <v/>
      </c>
      <c r="M499" s="166" t="str">
        <f ca="1">IFERROR(VLOOKUP(INDIRECT("'Coverage Indicators - Section D'!C"&amp;$B499),'Reference Records'!C$656:F800,3,0),"")</f>
        <v/>
      </c>
      <c r="N499" s="171" t="str">
        <f t="shared" ca="1" si="86"/>
        <v/>
      </c>
      <c r="O499" s="166" t="str">
        <f t="shared" ca="1" si="87"/>
        <v/>
      </c>
      <c r="P499" s="171" t="str">
        <f t="shared" ca="1" si="88"/>
        <v/>
      </c>
      <c r="Q499" s="171" t="str">
        <f t="shared" ca="1" si="89"/>
        <v/>
      </c>
      <c r="R499" s="166" t="str">
        <f t="shared" ca="1" si="90"/>
        <v>FALSE</v>
      </c>
      <c r="S499" s="171" t="str">
        <f ca="1">IFERROR(VLOOKUP(INDIRECT("'Coverage Indicators - Section D'!L"&amp;$B499),'Overview - Section A'!M$30:P87,4,0),IFERROR(IF(VLOOKUP(INDIRECT("'Coverage Indicators - Section D'!L"&amp;$B499),'Overview - Section A'!E$27:I75,5,0)=0,"",VLOOKUP(INDIRECT("'Coverage Indicators - Section D'!L"&amp;$B499),'Overview - Section A'!E$27:I75,5,0)),""))</f>
        <v/>
      </c>
      <c r="T499" s="171" t="str">
        <f t="shared" ca="1" si="91"/>
        <v/>
      </c>
      <c r="U499" s="171" t="str">
        <f t="shared" ca="1" si="92"/>
        <v/>
      </c>
      <c r="V499" s="171" t="str">
        <f t="shared" ca="1" si="93"/>
        <v/>
      </c>
      <c r="W499" s="171"/>
      <c r="X499" s="171"/>
      <c r="Y499" s="166"/>
      <c r="Z499" s="166"/>
      <c r="AA499" s="171"/>
      <c r="AB499" s="171"/>
      <c r="AC499" s="166"/>
      <c r="AD499" s="166"/>
      <c r="AE499" s="166"/>
      <c r="AF499" s="177"/>
      <c r="AG499" s="171"/>
    </row>
    <row r="500" spans="1:33">
      <c r="A500" s="166" t="b">
        <f t="shared" ca="1" si="79"/>
        <v>0</v>
      </c>
      <c r="B500" s="167">
        <f t="shared" ca="1" si="77"/>
        <v>41</v>
      </c>
      <c r="C500" s="172" t="str">
        <f ca="1">IFERROR(IF(AND(H500=2,B500=7),"blank",INDEX(C$452:C500,H500,1)),"")</f>
        <v>a183p000006T3k5AAC</v>
      </c>
      <c r="D500" s="168" t="str">
        <f t="shared" ca="1" si="80"/>
        <v/>
      </c>
      <c r="E500" s="177" t="str">
        <f t="shared" ca="1" si="81"/>
        <v/>
      </c>
      <c r="F500" s="177" t="str">
        <f t="shared" ca="1" si="82"/>
        <v/>
      </c>
      <c r="G500" s="171" t="str">
        <f t="shared" ca="1" si="83"/>
        <v/>
      </c>
      <c r="H500" s="167">
        <f t="shared" ca="1" si="78"/>
        <v>19</v>
      </c>
      <c r="I500" s="171" t="str">
        <f t="shared" ca="1" si="84"/>
        <v/>
      </c>
      <c r="J500" s="166" t="str">
        <f t="array" aca="1" ref="J500" ca="1">IFERROR(VLOOKUP(LEFT(INDIRECT("'Coverage Indicators - Section D'!D"&amp;$B500),255),LEFT('Reference Records'!C48:F252,255),4,0),"")</f>
        <v/>
      </c>
      <c r="K500" s="166" t="str">
        <f ca="1">IFERROR(VLOOKUP(IF(INDIRECT("'Coverage Indicators - Section D'!B"&amp;$B500)="","--select--",INDIRECT("'Coverage Indicators - Section D'!B"&amp;$B500)),'Overview - Section A'!C$101:D149,2,0),"")</f>
        <v>M-64462</v>
      </c>
      <c r="L500" s="171" t="str">
        <f t="shared" ca="1" si="85"/>
        <v/>
      </c>
      <c r="M500" s="166" t="str">
        <f ca="1">IFERROR(VLOOKUP(INDIRECT("'Coverage Indicators - Section D'!C"&amp;$B500),'Reference Records'!C$656:F801,3,0),"")</f>
        <v/>
      </c>
      <c r="N500" s="171" t="str">
        <f t="shared" ca="1" si="86"/>
        <v/>
      </c>
      <c r="O500" s="166" t="str">
        <f t="shared" ca="1" si="87"/>
        <v/>
      </c>
      <c r="P500" s="171" t="str">
        <f t="shared" ca="1" si="88"/>
        <v/>
      </c>
      <c r="Q500" s="171" t="str">
        <f t="shared" ca="1" si="89"/>
        <v/>
      </c>
      <c r="R500" s="166" t="str">
        <f t="shared" ca="1" si="90"/>
        <v>FALSE</v>
      </c>
      <c r="S500" s="171" t="str">
        <f ca="1">IFERROR(VLOOKUP(INDIRECT("'Coverage Indicators - Section D'!L"&amp;$B500),'Overview - Section A'!M$30:P88,4,0),IFERROR(IF(VLOOKUP(INDIRECT("'Coverage Indicators - Section D'!L"&amp;$B500),'Overview - Section A'!E$27:I76,5,0)=0,"",VLOOKUP(INDIRECT("'Coverage Indicators - Section D'!L"&amp;$B500),'Overview - Section A'!E$27:I76,5,0)),""))</f>
        <v/>
      </c>
      <c r="T500" s="171" t="str">
        <f t="shared" ca="1" si="91"/>
        <v/>
      </c>
      <c r="U500" s="171" t="str">
        <f t="shared" ca="1" si="92"/>
        <v/>
      </c>
      <c r="V500" s="171" t="str">
        <f t="shared" ca="1" si="93"/>
        <v/>
      </c>
      <c r="W500" s="171"/>
      <c r="X500" s="171"/>
      <c r="Y500" s="166"/>
      <c r="Z500" s="166"/>
      <c r="AA500" s="171"/>
      <c r="AB500" s="171"/>
      <c r="AC500" s="166"/>
      <c r="AD500" s="166"/>
      <c r="AE500" s="166"/>
      <c r="AF500" s="177"/>
      <c r="AG500" s="171"/>
    </row>
    <row r="501" spans="1:33">
      <c r="A501" s="166" t="b">
        <f t="shared" ca="1" si="79"/>
        <v>0</v>
      </c>
      <c r="B501" s="167">
        <f t="shared" ca="1" si="77"/>
        <v>43</v>
      </c>
      <c r="C501" s="172" t="str">
        <f ca="1">IFERROR(IF(AND(H501=2,B501=7),"blank",INDEX(C$452:C501,H501,1)),"")</f>
        <v>a183p000006T3k6AAC</v>
      </c>
      <c r="D501" s="168" t="str">
        <f t="shared" ca="1" si="80"/>
        <v/>
      </c>
      <c r="E501" s="177" t="str">
        <f t="shared" ca="1" si="81"/>
        <v/>
      </c>
      <c r="F501" s="177" t="str">
        <f t="shared" ca="1" si="82"/>
        <v/>
      </c>
      <c r="G501" s="171" t="str">
        <f t="shared" ca="1" si="83"/>
        <v/>
      </c>
      <c r="H501" s="167">
        <f t="shared" ca="1" si="78"/>
        <v>20</v>
      </c>
      <c r="I501" s="171" t="str">
        <f t="shared" ca="1" si="84"/>
        <v/>
      </c>
      <c r="J501" s="166" t="str">
        <f t="array" aca="1" ref="J501" ca="1">IFERROR(VLOOKUP(LEFT(INDIRECT("'Coverage Indicators - Section D'!D"&amp;$B501),255),LEFT('Reference Records'!C49:F253,255),4,0),"")</f>
        <v/>
      </c>
      <c r="K501" s="166" t="str">
        <f ca="1">IFERROR(VLOOKUP(IF(INDIRECT("'Coverage Indicators - Section D'!B"&amp;$B501)="","--select--",INDIRECT("'Coverage Indicators - Section D'!B"&amp;$B501)),'Overview - Section A'!C$101:D150,2,0),"")</f>
        <v>M-64462</v>
      </c>
      <c r="L501" s="171" t="str">
        <f t="shared" ca="1" si="85"/>
        <v/>
      </c>
      <c r="M501" s="166" t="str">
        <f ca="1">IFERROR(VLOOKUP(INDIRECT("'Coverage Indicators - Section D'!C"&amp;$B501),'Reference Records'!C$656:F802,3,0),"")</f>
        <v/>
      </c>
      <c r="N501" s="171" t="str">
        <f t="shared" ca="1" si="86"/>
        <v/>
      </c>
      <c r="O501" s="166" t="str">
        <f t="shared" ca="1" si="87"/>
        <v/>
      </c>
      <c r="P501" s="171" t="str">
        <f t="shared" ca="1" si="88"/>
        <v/>
      </c>
      <c r="Q501" s="171" t="str">
        <f t="shared" ca="1" si="89"/>
        <v/>
      </c>
      <c r="R501" s="166" t="str">
        <f t="shared" ca="1" si="90"/>
        <v>FALSE</v>
      </c>
      <c r="S501" s="171" t="str">
        <f ca="1">IFERROR(VLOOKUP(INDIRECT("'Coverage Indicators - Section D'!L"&amp;$B501),'Overview - Section A'!M$30:P89,4,0),IFERROR(IF(VLOOKUP(INDIRECT("'Coverage Indicators - Section D'!L"&amp;$B501),'Overview - Section A'!E$27:I77,5,0)=0,"",VLOOKUP(INDIRECT("'Coverage Indicators - Section D'!L"&amp;$B501),'Overview - Section A'!E$27:I77,5,0)),""))</f>
        <v/>
      </c>
      <c r="T501" s="171" t="str">
        <f t="shared" ca="1" si="91"/>
        <v/>
      </c>
      <c r="U501" s="171" t="str">
        <f t="shared" ca="1" si="92"/>
        <v/>
      </c>
      <c r="V501" s="171" t="str">
        <f t="shared" ca="1" si="93"/>
        <v/>
      </c>
      <c r="W501" s="171"/>
      <c r="X501" s="171"/>
      <c r="Y501" s="166"/>
      <c r="Z501" s="166"/>
      <c r="AA501" s="171"/>
      <c r="AB501" s="171"/>
      <c r="AC501" s="166"/>
      <c r="AD501" s="166"/>
      <c r="AE501" s="166"/>
      <c r="AF501" s="177"/>
      <c r="AG501" s="171"/>
    </row>
    <row r="502" spans="1:33">
      <c r="A502" s="166" t="b">
        <f t="shared" ca="1" si="79"/>
        <v>0</v>
      </c>
      <c r="B502" s="167">
        <f t="shared" ca="1" si="77"/>
        <v>45</v>
      </c>
      <c r="C502" s="172" t="str">
        <f ca="1">IFERROR(IF(AND(H502=2,B502=7),"blank",INDEX(C$452:C502,H502,1)),"")</f>
        <v>a183p000006T3k7AAC</v>
      </c>
      <c r="D502" s="168" t="str">
        <f t="shared" ca="1" si="80"/>
        <v/>
      </c>
      <c r="E502" s="177" t="str">
        <f t="shared" ca="1" si="81"/>
        <v/>
      </c>
      <c r="F502" s="177" t="str">
        <f t="shared" ca="1" si="82"/>
        <v/>
      </c>
      <c r="G502" s="171" t="str">
        <f t="shared" ca="1" si="83"/>
        <v/>
      </c>
      <c r="H502" s="167">
        <f t="shared" ca="1" si="78"/>
        <v>21</v>
      </c>
      <c r="I502" s="171" t="str">
        <f t="shared" ca="1" si="84"/>
        <v/>
      </c>
      <c r="J502" s="166" t="str">
        <f t="array" aca="1" ref="J502" ca="1">IFERROR(VLOOKUP(LEFT(INDIRECT("'Coverage Indicators - Section D'!D"&amp;$B502),255),LEFT('Reference Records'!C50:F254,255),4,0),"")</f>
        <v/>
      </c>
      <c r="K502" s="166" t="str">
        <f ca="1">IFERROR(VLOOKUP(IF(INDIRECT("'Coverage Indicators - Section D'!B"&amp;$B502)="","--select--",INDIRECT("'Coverage Indicators - Section D'!B"&amp;$B502)),'Overview - Section A'!C$101:D151,2,0),"")</f>
        <v>M-64462</v>
      </c>
      <c r="L502" s="171" t="str">
        <f t="shared" ca="1" si="85"/>
        <v/>
      </c>
      <c r="M502" s="166" t="str">
        <f ca="1">IFERROR(VLOOKUP(INDIRECT("'Coverage Indicators - Section D'!C"&amp;$B502),'Reference Records'!C$656:F803,3,0),"")</f>
        <v/>
      </c>
      <c r="N502" s="171" t="str">
        <f t="shared" ca="1" si="86"/>
        <v/>
      </c>
      <c r="O502" s="166" t="str">
        <f t="shared" ca="1" si="87"/>
        <v/>
      </c>
      <c r="P502" s="171" t="str">
        <f t="shared" ca="1" si="88"/>
        <v/>
      </c>
      <c r="Q502" s="171" t="str">
        <f t="shared" ca="1" si="89"/>
        <v/>
      </c>
      <c r="R502" s="166" t="str">
        <f t="shared" ca="1" si="90"/>
        <v>FALSE</v>
      </c>
      <c r="S502" s="171" t="str">
        <f ca="1">IFERROR(VLOOKUP(INDIRECT("'Coverage Indicators - Section D'!L"&amp;$B502),'Overview - Section A'!M$30:P90,4,0),IFERROR(IF(VLOOKUP(INDIRECT("'Coverage Indicators - Section D'!L"&amp;$B502),'Overview - Section A'!E$27:I78,5,0)=0,"",VLOOKUP(INDIRECT("'Coverage Indicators - Section D'!L"&amp;$B502),'Overview - Section A'!E$27:I78,5,0)),""))</f>
        <v/>
      </c>
      <c r="T502" s="171" t="str">
        <f t="shared" ca="1" si="91"/>
        <v/>
      </c>
      <c r="U502" s="171" t="str">
        <f t="shared" ca="1" si="92"/>
        <v/>
      </c>
      <c r="V502" s="171" t="str">
        <f t="shared" ca="1" si="93"/>
        <v/>
      </c>
      <c r="W502" s="171"/>
      <c r="X502" s="171"/>
      <c r="Y502" s="166"/>
      <c r="Z502" s="166"/>
      <c r="AA502" s="171"/>
      <c r="AB502" s="171"/>
      <c r="AC502" s="166"/>
      <c r="AD502" s="166"/>
      <c r="AE502" s="166"/>
      <c r="AF502" s="177"/>
      <c r="AG502" s="171"/>
    </row>
    <row r="503" spans="1:33">
      <c r="A503" s="166" t="b">
        <f t="shared" ca="1" si="79"/>
        <v>0</v>
      </c>
      <c r="B503" s="167">
        <f t="shared" ca="1" si="77"/>
        <v>47</v>
      </c>
      <c r="C503" s="172" t="str">
        <f ca="1">IFERROR(IF(AND(H503=2,B503=7),"blank",INDEX(C$452:C503,H503,1)),"")</f>
        <v>a183p000006T3k8AAC</v>
      </c>
      <c r="D503" s="168" t="str">
        <f t="shared" ca="1" si="80"/>
        <v/>
      </c>
      <c r="E503" s="177" t="str">
        <f t="shared" ca="1" si="81"/>
        <v/>
      </c>
      <c r="F503" s="177" t="str">
        <f t="shared" ca="1" si="82"/>
        <v/>
      </c>
      <c r="G503" s="171" t="str">
        <f t="shared" ca="1" si="83"/>
        <v/>
      </c>
      <c r="H503" s="167">
        <f t="shared" ca="1" si="78"/>
        <v>22</v>
      </c>
      <c r="I503" s="171" t="str">
        <f t="shared" ca="1" si="84"/>
        <v/>
      </c>
      <c r="J503" s="166" t="str">
        <f t="array" aca="1" ref="J503" ca="1">IFERROR(VLOOKUP(LEFT(INDIRECT("'Coverage Indicators - Section D'!D"&amp;$B503),255),LEFT('Reference Records'!C51:F255,255),4,0),"")</f>
        <v/>
      </c>
      <c r="K503" s="166" t="str">
        <f ca="1">IFERROR(VLOOKUP(IF(INDIRECT("'Coverage Indicators - Section D'!B"&amp;$B503)="","--select--",INDIRECT("'Coverage Indicators - Section D'!B"&amp;$B503)),'Overview - Section A'!C$101:D152,2,0),"")</f>
        <v>M-64462</v>
      </c>
      <c r="L503" s="171" t="str">
        <f t="shared" ca="1" si="85"/>
        <v/>
      </c>
      <c r="M503" s="166" t="str">
        <f ca="1">IFERROR(VLOOKUP(INDIRECT("'Coverage Indicators - Section D'!C"&amp;$B503),'Reference Records'!C$656:F804,3,0),"")</f>
        <v/>
      </c>
      <c r="N503" s="171" t="str">
        <f t="shared" ca="1" si="86"/>
        <v/>
      </c>
      <c r="O503" s="166" t="str">
        <f t="shared" ca="1" si="87"/>
        <v/>
      </c>
      <c r="P503" s="171" t="str">
        <f t="shared" ca="1" si="88"/>
        <v/>
      </c>
      <c r="Q503" s="171" t="str">
        <f t="shared" ca="1" si="89"/>
        <v/>
      </c>
      <c r="R503" s="166" t="str">
        <f t="shared" ca="1" si="90"/>
        <v>FALSE</v>
      </c>
      <c r="S503" s="171" t="str">
        <f ca="1">IFERROR(VLOOKUP(INDIRECT("'Coverage Indicators - Section D'!L"&amp;$B503),'Overview - Section A'!M$30:P91,4,0),IFERROR(IF(VLOOKUP(INDIRECT("'Coverage Indicators - Section D'!L"&amp;$B503),'Overview - Section A'!E$27:I79,5,0)=0,"",VLOOKUP(INDIRECT("'Coverage Indicators - Section D'!L"&amp;$B503),'Overview - Section A'!E$27:I79,5,0)),""))</f>
        <v/>
      </c>
      <c r="T503" s="171" t="str">
        <f t="shared" ca="1" si="91"/>
        <v/>
      </c>
      <c r="U503" s="171" t="str">
        <f t="shared" ca="1" si="92"/>
        <v/>
      </c>
      <c r="V503" s="171" t="str">
        <f t="shared" ca="1" si="93"/>
        <v/>
      </c>
      <c r="W503" s="171"/>
      <c r="X503" s="171"/>
      <c r="Y503" s="166"/>
      <c r="Z503" s="166"/>
      <c r="AA503" s="171"/>
      <c r="AB503" s="171"/>
      <c r="AC503" s="166"/>
      <c r="AD503" s="166"/>
      <c r="AE503" s="166"/>
      <c r="AF503" s="177"/>
      <c r="AG503" s="171"/>
    </row>
    <row r="504" spans="1:33">
      <c r="A504" s="166" t="b">
        <f t="shared" ca="1" si="79"/>
        <v>0</v>
      </c>
      <c r="B504" s="167">
        <f t="shared" ca="1" si="77"/>
        <v>49</v>
      </c>
      <c r="C504" s="172" t="str">
        <f ca="1">IFERROR(IF(AND(H504=2,B504=7),"blank",INDEX(C$452:C504,H504,1)),"")</f>
        <v>a183p000006T3k9AAC</v>
      </c>
      <c r="D504" s="168" t="str">
        <f t="shared" ca="1" si="80"/>
        <v/>
      </c>
      <c r="E504" s="177" t="str">
        <f t="shared" ca="1" si="81"/>
        <v/>
      </c>
      <c r="F504" s="177" t="str">
        <f t="shared" ca="1" si="82"/>
        <v/>
      </c>
      <c r="G504" s="171" t="str">
        <f t="shared" ca="1" si="83"/>
        <v/>
      </c>
      <c r="H504" s="167">
        <f t="shared" ca="1" si="78"/>
        <v>23</v>
      </c>
      <c r="I504" s="171" t="str">
        <f t="shared" ca="1" si="84"/>
        <v/>
      </c>
      <c r="J504" s="166" t="str">
        <f t="array" aca="1" ref="J504" ca="1">IFERROR(VLOOKUP(LEFT(INDIRECT("'Coverage Indicators - Section D'!D"&amp;$B504),255),LEFT('Reference Records'!C52:F256,255),4,0),"")</f>
        <v/>
      </c>
      <c r="K504" s="166" t="str">
        <f ca="1">IFERROR(VLOOKUP(IF(INDIRECT("'Coverage Indicators - Section D'!B"&amp;$B504)="","--select--",INDIRECT("'Coverage Indicators - Section D'!B"&amp;$B504)),'Overview - Section A'!C$101:D153,2,0),"")</f>
        <v>M-64462</v>
      </c>
      <c r="L504" s="171" t="str">
        <f t="shared" ca="1" si="85"/>
        <v/>
      </c>
      <c r="M504" s="166" t="str">
        <f ca="1">IFERROR(VLOOKUP(INDIRECT("'Coverage Indicators - Section D'!C"&amp;$B504),'Reference Records'!C$656:F805,3,0),"")</f>
        <v/>
      </c>
      <c r="N504" s="171" t="str">
        <f t="shared" ca="1" si="86"/>
        <v/>
      </c>
      <c r="O504" s="166" t="str">
        <f t="shared" ca="1" si="87"/>
        <v/>
      </c>
      <c r="P504" s="171" t="str">
        <f t="shared" ca="1" si="88"/>
        <v/>
      </c>
      <c r="Q504" s="171" t="str">
        <f t="shared" ca="1" si="89"/>
        <v/>
      </c>
      <c r="R504" s="166" t="str">
        <f t="shared" ca="1" si="90"/>
        <v>FALSE</v>
      </c>
      <c r="S504" s="171" t="str">
        <f ca="1">IFERROR(VLOOKUP(INDIRECT("'Coverage Indicators - Section D'!L"&amp;$B504),'Overview - Section A'!M$30:P92,4,0),IFERROR(IF(VLOOKUP(INDIRECT("'Coverage Indicators - Section D'!L"&amp;$B504),'Overview - Section A'!E$27:I80,5,0)=0,"",VLOOKUP(INDIRECT("'Coverage Indicators - Section D'!L"&amp;$B504),'Overview - Section A'!E$27:I80,5,0)),""))</f>
        <v/>
      </c>
      <c r="T504" s="171" t="str">
        <f t="shared" ca="1" si="91"/>
        <v/>
      </c>
      <c r="U504" s="171" t="str">
        <f t="shared" ca="1" si="92"/>
        <v/>
      </c>
      <c r="V504" s="171" t="str">
        <f t="shared" ca="1" si="93"/>
        <v/>
      </c>
      <c r="W504" s="171"/>
      <c r="X504" s="171"/>
      <c r="Y504" s="166"/>
      <c r="Z504" s="166"/>
      <c r="AA504" s="171"/>
      <c r="AB504" s="171"/>
      <c r="AC504" s="166"/>
      <c r="AD504" s="166"/>
      <c r="AE504" s="166"/>
      <c r="AF504" s="177"/>
      <c r="AG504" s="171"/>
    </row>
    <row r="505" spans="1:33">
      <c r="A505" s="166" t="b">
        <f t="shared" ca="1" si="79"/>
        <v>0</v>
      </c>
      <c r="B505" s="167">
        <f t="shared" ca="1" si="77"/>
        <v>51</v>
      </c>
      <c r="C505" s="172" t="str">
        <f ca="1">IFERROR(IF(AND(H505=2,B505=7),"blank",INDEX(C$452:C505,H505,1)),"")</f>
        <v>a183p000006T3kAAAS</v>
      </c>
      <c r="D505" s="168" t="str">
        <f t="shared" ca="1" si="80"/>
        <v/>
      </c>
      <c r="E505" s="177" t="str">
        <f t="shared" ca="1" si="81"/>
        <v/>
      </c>
      <c r="F505" s="177" t="str">
        <f t="shared" ca="1" si="82"/>
        <v/>
      </c>
      <c r="G505" s="171" t="str">
        <f t="shared" ca="1" si="83"/>
        <v/>
      </c>
      <c r="H505" s="167">
        <f t="shared" ca="1" si="78"/>
        <v>24</v>
      </c>
      <c r="I505" s="171" t="str">
        <f t="shared" ca="1" si="84"/>
        <v/>
      </c>
      <c r="J505" s="166" t="str">
        <f t="array" aca="1" ref="J505" ca="1">IFERROR(VLOOKUP(LEFT(INDIRECT("'Coverage Indicators - Section D'!D"&amp;$B505),255),LEFT('Reference Records'!C53:F257,255),4,0),"")</f>
        <v/>
      </c>
      <c r="K505" s="166" t="str">
        <f ca="1">IFERROR(VLOOKUP(IF(INDIRECT("'Coverage Indicators - Section D'!B"&amp;$B505)="","--select--",INDIRECT("'Coverage Indicators - Section D'!B"&amp;$B505)),'Overview - Section A'!C$101:D154,2,0),"")</f>
        <v>M-64462</v>
      </c>
      <c r="L505" s="171" t="str">
        <f t="shared" ca="1" si="85"/>
        <v/>
      </c>
      <c r="M505" s="166" t="str">
        <f ca="1">IFERROR(VLOOKUP(INDIRECT("'Coverage Indicators - Section D'!C"&amp;$B505),'Reference Records'!C$656:F806,3,0),"")</f>
        <v/>
      </c>
      <c r="N505" s="171" t="str">
        <f t="shared" ca="1" si="86"/>
        <v/>
      </c>
      <c r="O505" s="166" t="str">
        <f t="shared" ca="1" si="87"/>
        <v/>
      </c>
      <c r="P505" s="171" t="str">
        <f t="shared" ca="1" si="88"/>
        <v/>
      </c>
      <c r="Q505" s="171" t="str">
        <f t="shared" ca="1" si="89"/>
        <v/>
      </c>
      <c r="R505" s="166" t="str">
        <f t="shared" ca="1" si="90"/>
        <v>FALSE</v>
      </c>
      <c r="S505" s="171" t="str">
        <f ca="1">IFERROR(VLOOKUP(INDIRECT("'Coverage Indicators - Section D'!L"&amp;$B505),'Overview - Section A'!M$30:P93,4,0),IFERROR(IF(VLOOKUP(INDIRECT("'Coverage Indicators - Section D'!L"&amp;$B505),'Overview - Section A'!E$27:I81,5,0)=0,"",VLOOKUP(INDIRECT("'Coverage Indicators - Section D'!L"&amp;$B505),'Overview - Section A'!E$27:I81,5,0)),""))</f>
        <v/>
      </c>
      <c r="T505" s="171" t="str">
        <f t="shared" ca="1" si="91"/>
        <v/>
      </c>
      <c r="U505" s="171" t="str">
        <f t="shared" ca="1" si="92"/>
        <v/>
      </c>
      <c r="V505" s="171" t="str">
        <f t="shared" ca="1" si="93"/>
        <v/>
      </c>
      <c r="W505" s="171"/>
      <c r="X505" s="171"/>
      <c r="Y505" s="166"/>
      <c r="Z505" s="166"/>
      <c r="AA505" s="171"/>
      <c r="AB505" s="171"/>
      <c r="AC505" s="166"/>
      <c r="AD505" s="166"/>
      <c r="AE505" s="166"/>
      <c r="AF505" s="177"/>
      <c r="AG505" s="171"/>
    </row>
    <row r="506" spans="1:33">
      <c r="A506" s="166" t="b">
        <f t="shared" ca="1" si="79"/>
        <v>0</v>
      </c>
      <c r="B506" s="167">
        <f t="shared" ca="1" si="77"/>
        <v>53</v>
      </c>
      <c r="C506" s="172" t="str">
        <f ca="1">IFERROR(IF(AND(H506=2,B506=7),"blank",INDEX(C$452:C506,H506,1)),"")</f>
        <v>a183p000006T3kBAAS</v>
      </c>
      <c r="D506" s="168" t="str">
        <f t="shared" ca="1" si="80"/>
        <v/>
      </c>
      <c r="E506" s="177" t="str">
        <f t="shared" ca="1" si="81"/>
        <v/>
      </c>
      <c r="F506" s="177" t="str">
        <f t="shared" ca="1" si="82"/>
        <v/>
      </c>
      <c r="G506" s="171" t="str">
        <f t="shared" ca="1" si="83"/>
        <v/>
      </c>
      <c r="H506" s="167">
        <f t="shared" ca="1" si="78"/>
        <v>25</v>
      </c>
      <c r="I506" s="171" t="str">
        <f t="shared" ca="1" si="84"/>
        <v/>
      </c>
      <c r="J506" s="166" t="str">
        <f t="array" aca="1" ref="J506" ca="1">IFERROR(VLOOKUP(LEFT(INDIRECT("'Coverage Indicators - Section D'!D"&amp;$B506),255),LEFT('Reference Records'!C54:F258,255),4,0),"")</f>
        <v/>
      </c>
      <c r="K506" s="166" t="str">
        <f ca="1">IFERROR(VLOOKUP(IF(INDIRECT("'Coverage Indicators - Section D'!B"&amp;$B506)="","--select--",INDIRECT("'Coverage Indicators - Section D'!B"&amp;$B506)),'Overview - Section A'!C$101:D155,2,0),"")</f>
        <v>M-64462</v>
      </c>
      <c r="L506" s="171" t="str">
        <f t="shared" ca="1" si="85"/>
        <v/>
      </c>
      <c r="M506" s="166" t="str">
        <f ca="1">IFERROR(VLOOKUP(INDIRECT("'Coverage Indicators - Section D'!C"&amp;$B506),'Reference Records'!C$656:F807,3,0),"")</f>
        <v/>
      </c>
      <c r="N506" s="171" t="str">
        <f t="shared" ca="1" si="86"/>
        <v/>
      </c>
      <c r="O506" s="166" t="str">
        <f t="shared" ca="1" si="87"/>
        <v/>
      </c>
      <c r="P506" s="171" t="str">
        <f t="shared" ca="1" si="88"/>
        <v/>
      </c>
      <c r="Q506" s="171" t="str">
        <f t="shared" ca="1" si="89"/>
        <v/>
      </c>
      <c r="R506" s="166" t="str">
        <f t="shared" ca="1" si="90"/>
        <v>FALSE</v>
      </c>
      <c r="S506" s="171" t="str">
        <f ca="1">IFERROR(VLOOKUP(INDIRECT("'Coverage Indicators - Section D'!L"&amp;$B506),'Overview - Section A'!M$30:P94,4,0),IFERROR(IF(VLOOKUP(INDIRECT("'Coverage Indicators - Section D'!L"&amp;$B506),'Overview - Section A'!E$27:I82,5,0)=0,"",VLOOKUP(INDIRECT("'Coverage Indicators - Section D'!L"&amp;$B506),'Overview - Section A'!E$27:I82,5,0)),""))</f>
        <v/>
      </c>
      <c r="T506" s="171" t="str">
        <f t="shared" ca="1" si="91"/>
        <v/>
      </c>
      <c r="U506" s="171" t="str">
        <f t="shared" ca="1" si="92"/>
        <v/>
      </c>
      <c r="V506" s="171" t="str">
        <f t="shared" ca="1" si="93"/>
        <v/>
      </c>
      <c r="W506" s="171"/>
      <c r="X506" s="171"/>
      <c r="Y506" s="166"/>
      <c r="Z506" s="166"/>
      <c r="AA506" s="171"/>
      <c r="AB506" s="171"/>
      <c r="AC506" s="166"/>
      <c r="AD506" s="166"/>
      <c r="AE506" s="166"/>
      <c r="AF506" s="177"/>
      <c r="AG506" s="171"/>
    </row>
    <row r="507" spans="1:33">
      <c r="A507" s="166" t="b">
        <f t="shared" ca="1" si="79"/>
        <v>0</v>
      </c>
      <c r="B507" s="167">
        <f t="shared" ca="1" si="77"/>
        <v>55</v>
      </c>
      <c r="C507" s="172" t="str">
        <f ca="1">IFERROR(IF(AND(H507=2,B507=7),"blank",INDEX(C$452:C507,H507,1)),"")</f>
        <v>a183p000006T3kCAAS</v>
      </c>
      <c r="D507" s="168" t="str">
        <f t="shared" ca="1" si="80"/>
        <v/>
      </c>
      <c r="E507" s="177" t="str">
        <f t="shared" ca="1" si="81"/>
        <v/>
      </c>
      <c r="F507" s="177" t="str">
        <f t="shared" ca="1" si="82"/>
        <v/>
      </c>
      <c r="G507" s="171" t="str">
        <f t="shared" ca="1" si="83"/>
        <v/>
      </c>
      <c r="H507" s="167">
        <f t="shared" ca="1" si="78"/>
        <v>26</v>
      </c>
      <c r="I507" s="171" t="str">
        <f t="shared" ca="1" si="84"/>
        <v/>
      </c>
      <c r="J507" s="166" t="str">
        <f t="array" aca="1" ref="J507" ca="1">IFERROR(VLOOKUP(LEFT(INDIRECT("'Coverage Indicators - Section D'!D"&amp;$B507),255),LEFT('Reference Records'!C55:F259,255),4,0),"")</f>
        <v/>
      </c>
      <c r="K507" s="166" t="str">
        <f ca="1">IFERROR(VLOOKUP(IF(INDIRECT("'Coverage Indicators - Section D'!B"&amp;$B507)="","--select--",INDIRECT("'Coverage Indicators - Section D'!B"&amp;$B507)),'Overview - Section A'!C$101:D156,2,0),"")</f>
        <v>M-64462</v>
      </c>
      <c r="L507" s="171" t="str">
        <f t="shared" ca="1" si="85"/>
        <v/>
      </c>
      <c r="M507" s="166" t="str">
        <f ca="1">IFERROR(VLOOKUP(INDIRECT("'Coverage Indicators - Section D'!C"&amp;$B507),'Reference Records'!C$656:F808,3,0),"")</f>
        <v/>
      </c>
      <c r="N507" s="171" t="str">
        <f t="shared" ca="1" si="86"/>
        <v/>
      </c>
      <c r="O507" s="166" t="str">
        <f t="shared" ca="1" si="87"/>
        <v/>
      </c>
      <c r="P507" s="171" t="str">
        <f t="shared" ca="1" si="88"/>
        <v/>
      </c>
      <c r="Q507" s="171" t="str">
        <f t="shared" ca="1" si="89"/>
        <v/>
      </c>
      <c r="R507" s="166" t="str">
        <f t="shared" ca="1" si="90"/>
        <v>FALSE</v>
      </c>
      <c r="S507" s="171" t="str">
        <f ca="1">IFERROR(VLOOKUP(INDIRECT("'Coverage Indicators - Section D'!L"&amp;$B507),'Overview - Section A'!M$30:P95,4,0),IFERROR(IF(VLOOKUP(INDIRECT("'Coverage Indicators - Section D'!L"&amp;$B507),'Overview - Section A'!E$27:I83,5,0)=0,"",VLOOKUP(INDIRECT("'Coverage Indicators - Section D'!L"&amp;$B507),'Overview - Section A'!E$27:I83,5,0)),""))</f>
        <v/>
      </c>
      <c r="T507" s="171" t="str">
        <f t="shared" ca="1" si="91"/>
        <v/>
      </c>
      <c r="U507" s="171" t="str">
        <f t="shared" ca="1" si="92"/>
        <v/>
      </c>
      <c r="V507" s="171" t="str">
        <f t="shared" ca="1" si="93"/>
        <v/>
      </c>
      <c r="W507" s="171"/>
      <c r="X507" s="171"/>
      <c r="Y507" s="166"/>
      <c r="Z507" s="166"/>
      <c r="AA507" s="171"/>
      <c r="AB507" s="171"/>
      <c r="AC507" s="166"/>
      <c r="AD507" s="166"/>
      <c r="AE507" s="166"/>
      <c r="AF507" s="177"/>
      <c r="AG507" s="171"/>
    </row>
    <row r="508" spans="1:33">
      <c r="A508" s="166" t="b">
        <f t="shared" ca="1" si="79"/>
        <v>0</v>
      </c>
      <c r="B508" s="167">
        <f t="shared" ca="1" si="77"/>
        <v>57</v>
      </c>
      <c r="C508" s="172" t="str">
        <f ca="1">IFERROR(IF(AND(H508=2,B508=7),"blank",INDEX(C$452:C508,H508,1)),"")</f>
        <v>a183p000006T3kDAAS</v>
      </c>
      <c r="D508" s="168" t="str">
        <f t="shared" ca="1" si="80"/>
        <v/>
      </c>
      <c r="E508" s="177" t="str">
        <f t="shared" ca="1" si="81"/>
        <v/>
      </c>
      <c r="F508" s="177" t="str">
        <f t="shared" ca="1" si="82"/>
        <v/>
      </c>
      <c r="G508" s="171" t="str">
        <f t="shared" ca="1" si="83"/>
        <v/>
      </c>
      <c r="H508" s="167">
        <f t="shared" ca="1" si="78"/>
        <v>27</v>
      </c>
      <c r="I508" s="171" t="str">
        <f t="shared" ca="1" si="84"/>
        <v/>
      </c>
      <c r="J508" s="166" t="str">
        <f t="array" aca="1" ref="J508" ca="1">IFERROR(VLOOKUP(LEFT(INDIRECT("'Coverage Indicators - Section D'!D"&amp;$B508),255),LEFT('Reference Records'!C56:F260,255),4,0),"")</f>
        <v/>
      </c>
      <c r="K508" s="166" t="str">
        <f ca="1">IFERROR(VLOOKUP(IF(INDIRECT("'Coverage Indicators - Section D'!B"&amp;$B508)="","--select--",INDIRECT("'Coverage Indicators - Section D'!B"&amp;$B508)),'Overview - Section A'!C$101:D157,2,0),"")</f>
        <v>M-64462</v>
      </c>
      <c r="L508" s="171" t="str">
        <f t="shared" ca="1" si="85"/>
        <v/>
      </c>
      <c r="M508" s="166" t="str">
        <f ca="1">IFERROR(VLOOKUP(INDIRECT("'Coverage Indicators - Section D'!C"&amp;$B508),'Reference Records'!C$656:F809,3,0),"")</f>
        <v/>
      </c>
      <c r="N508" s="171" t="str">
        <f t="shared" ca="1" si="86"/>
        <v/>
      </c>
      <c r="O508" s="166" t="str">
        <f t="shared" ca="1" si="87"/>
        <v/>
      </c>
      <c r="P508" s="171" t="str">
        <f t="shared" ca="1" si="88"/>
        <v/>
      </c>
      <c r="Q508" s="171" t="str">
        <f t="shared" ca="1" si="89"/>
        <v/>
      </c>
      <c r="R508" s="166" t="str">
        <f t="shared" ca="1" si="90"/>
        <v>FALSE</v>
      </c>
      <c r="S508" s="171" t="str">
        <f ca="1">IFERROR(VLOOKUP(INDIRECT("'Coverage Indicators - Section D'!L"&amp;$B508),'Overview - Section A'!M$30:P96,4,0),IFERROR(IF(VLOOKUP(INDIRECT("'Coverage Indicators - Section D'!L"&amp;$B508),'Overview - Section A'!E$27:I84,5,0)=0,"",VLOOKUP(INDIRECT("'Coverage Indicators - Section D'!L"&amp;$B508),'Overview - Section A'!E$27:I84,5,0)),""))</f>
        <v/>
      </c>
      <c r="T508" s="171" t="str">
        <f t="shared" ca="1" si="91"/>
        <v/>
      </c>
      <c r="U508" s="171" t="str">
        <f t="shared" ca="1" si="92"/>
        <v/>
      </c>
      <c r="V508" s="171" t="str">
        <f t="shared" ca="1" si="93"/>
        <v/>
      </c>
      <c r="W508" s="171"/>
      <c r="X508" s="171"/>
      <c r="Y508" s="166"/>
      <c r="Z508" s="166"/>
      <c r="AA508" s="171"/>
      <c r="AB508" s="171"/>
      <c r="AC508" s="166"/>
      <c r="AD508" s="166"/>
      <c r="AE508" s="166"/>
      <c r="AF508" s="177"/>
      <c r="AG508" s="171"/>
    </row>
    <row r="509" spans="1:33">
      <c r="A509" s="166" t="b">
        <f t="shared" ca="1" si="79"/>
        <v>0</v>
      </c>
      <c r="B509" s="167">
        <f t="shared" ca="1" si="77"/>
        <v>59</v>
      </c>
      <c r="C509" s="172" t="str">
        <f ca="1">IFERROR(IF(AND(H509=2,B509=7),"blank",INDEX(C$452:C509,H509,1)),"")</f>
        <v>a183p000006T3kEAAS</v>
      </c>
      <c r="D509" s="168" t="str">
        <f t="shared" ca="1" si="80"/>
        <v/>
      </c>
      <c r="E509" s="177" t="str">
        <f t="shared" ca="1" si="81"/>
        <v/>
      </c>
      <c r="F509" s="177" t="str">
        <f t="shared" ca="1" si="82"/>
        <v/>
      </c>
      <c r="G509" s="171" t="str">
        <f t="shared" ca="1" si="83"/>
        <v/>
      </c>
      <c r="H509" s="167">
        <f t="shared" ca="1" si="78"/>
        <v>28</v>
      </c>
      <c r="I509" s="171" t="str">
        <f t="shared" ca="1" si="84"/>
        <v/>
      </c>
      <c r="J509" s="166" t="str">
        <f t="array" aca="1" ref="J509" ca="1">IFERROR(VLOOKUP(LEFT(INDIRECT("'Coverage Indicators - Section D'!D"&amp;$B509),255),LEFT('Reference Records'!C57:F261,255),4,0),"")</f>
        <v/>
      </c>
      <c r="K509" s="166" t="str">
        <f ca="1">IFERROR(VLOOKUP(IF(INDIRECT("'Coverage Indicators - Section D'!B"&amp;$B509)="","--select--",INDIRECT("'Coverage Indicators - Section D'!B"&amp;$B509)),'Overview - Section A'!C$101:D158,2,0),"")</f>
        <v>M-64462</v>
      </c>
      <c r="L509" s="171" t="str">
        <f t="shared" ca="1" si="85"/>
        <v/>
      </c>
      <c r="M509" s="166" t="str">
        <f ca="1">IFERROR(VLOOKUP(INDIRECT("'Coverage Indicators - Section D'!C"&amp;$B509),'Reference Records'!C$656:F810,3,0),"")</f>
        <v/>
      </c>
      <c r="N509" s="171" t="str">
        <f t="shared" ca="1" si="86"/>
        <v/>
      </c>
      <c r="O509" s="166" t="str">
        <f t="shared" ca="1" si="87"/>
        <v/>
      </c>
      <c r="P509" s="171" t="str">
        <f t="shared" ca="1" si="88"/>
        <v/>
      </c>
      <c r="Q509" s="171" t="str">
        <f t="shared" ca="1" si="89"/>
        <v/>
      </c>
      <c r="R509" s="166" t="str">
        <f t="shared" ca="1" si="90"/>
        <v>FALSE</v>
      </c>
      <c r="S509" s="171" t="str">
        <f ca="1">IFERROR(VLOOKUP(INDIRECT("'Coverage Indicators - Section D'!L"&amp;$B509),'Overview - Section A'!M$30:P97,4,0),IFERROR(IF(VLOOKUP(INDIRECT("'Coverage Indicators - Section D'!L"&amp;$B509),'Overview - Section A'!E$27:I85,5,0)=0,"",VLOOKUP(INDIRECT("'Coverage Indicators - Section D'!L"&amp;$B509),'Overview - Section A'!E$27:I85,5,0)),""))</f>
        <v/>
      </c>
      <c r="T509" s="171" t="str">
        <f t="shared" ca="1" si="91"/>
        <v/>
      </c>
      <c r="U509" s="171" t="str">
        <f t="shared" ca="1" si="92"/>
        <v/>
      </c>
      <c r="V509" s="171" t="str">
        <f t="shared" ca="1" si="93"/>
        <v/>
      </c>
      <c r="W509" s="171"/>
      <c r="X509" s="171"/>
      <c r="Y509" s="166"/>
      <c r="Z509" s="166"/>
      <c r="AA509" s="171"/>
      <c r="AB509" s="171"/>
      <c r="AC509" s="166"/>
      <c r="AD509" s="166"/>
      <c r="AE509" s="166"/>
      <c r="AF509" s="177"/>
      <c r="AG509" s="171"/>
    </row>
    <row r="510" spans="1:33">
      <c r="A510" s="166" t="b">
        <f t="shared" ca="1" si="79"/>
        <v>0</v>
      </c>
      <c r="B510" s="167">
        <f t="shared" ca="1" si="77"/>
        <v>61</v>
      </c>
      <c r="C510" s="172" t="str">
        <f ca="1">IFERROR(IF(AND(H510=2,B510=7),"blank",INDEX(C$452:C510,H510,1)),"")</f>
        <v>a183p000006T3kFAAS</v>
      </c>
      <c r="D510" s="168" t="str">
        <f t="shared" ca="1" si="80"/>
        <v/>
      </c>
      <c r="E510" s="177" t="str">
        <f t="shared" ca="1" si="81"/>
        <v/>
      </c>
      <c r="F510" s="177" t="str">
        <f t="shared" ca="1" si="82"/>
        <v/>
      </c>
      <c r="G510" s="171" t="str">
        <f t="shared" ca="1" si="83"/>
        <v/>
      </c>
      <c r="H510" s="167">
        <f t="shared" ca="1" si="78"/>
        <v>29</v>
      </c>
      <c r="I510" s="171" t="str">
        <f t="shared" ca="1" si="84"/>
        <v/>
      </c>
      <c r="J510" s="166" t="str">
        <f t="array" aca="1" ref="J510" ca="1">IFERROR(VLOOKUP(LEFT(INDIRECT("'Coverage Indicators - Section D'!D"&amp;$B510),255),LEFT('Reference Records'!C58:F262,255),4,0),"")</f>
        <v/>
      </c>
      <c r="K510" s="166" t="str">
        <f ca="1">IFERROR(VLOOKUP(IF(INDIRECT("'Coverage Indicators - Section D'!B"&amp;$B510)="","--select--",INDIRECT("'Coverage Indicators - Section D'!B"&amp;$B510)),'Overview - Section A'!C$101:D159,2,0),"")</f>
        <v>M-64462</v>
      </c>
      <c r="L510" s="171" t="str">
        <f t="shared" ca="1" si="85"/>
        <v/>
      </c>
      <c r="M510" s="166" t="str">
        <f ca="1">IFERROR(VLOOKUP(INDIRECT("'Coverage Indicators - Section D'!C"&amp;$B510),'Reference Records'!C$656:F811,3,0),"")</f>
        <v/>
      </c>
      <c r="N510" s="171" t="str">
        <f t="shared" ca="1" si="86"/>
        <v/>
      </c>
      <c r="O510" s="166" t="str">
        <f t="shared" ca="1" si="87"/>
        <v/>
      </c>
      <c r="P510" s="171" t="str">
        <f t="shared" ca="1" si="88"/>
        <v/>
      </c>
      <c r="Q510" s="171" t="str">
        <f t="shared" ca="1" si="89"/>
        <v/>
      </c>
      <c r="R510" s="166" t="str">
        <f t="shared" ca="1" si="90"/>
        <v>FALSE</v>
      </c>
      <c r="S510" s="171" t="str">
        <f ca="1">IFERROR(VLOOKUP(INDIRECT("'Coverage Indicators - Section D'!L"&amp;$B510),'Overview - Section A'!M$30:P98,4,0),IFERROR(IF(VLOOKUP(INDIRECT("'Coverage Indicators - Section D'!L"&amp;$B510),'Overview - Section A'!E$27:I86,5,0)=0,"",VLOOKUP(INDIRECT("'Coverage Indicators - Section D'!L"&amp;$B510),'Overview - Section A'!E$27:I86,5,0)),""))</f>
        <v/>
      </c>
      <c r="T510" s="171" t="str">
        <f t="shared" ca="1" si="91"/>
        <v/>
      </c>
      <c r="U510" s="171" t="str">
        <f t="shared" ca="1" si="92"/>
        <v/>
      </c>
      <c r="V510" s="171" t="str">
        <f t="shared" ca="1" si="93"/>
        <v/>
      </c>
      <c r="W510" s="171"/>
      <c r="X510" s="171"/>
      <c r="Y510" s="166"/>
      <c r="Z510" s="166"/>
      <c r="AA510" s="171"/>
      <c r="AB510" s="171"/>
      <c r="AC510" s="166"/>
      <c r="AD510" s="166"/>
      <c r="AE510" s="166"/>
      <c r="AF510" s="177"/>
      <c r="AG510" s="171"/>
    </row>
    <row r="511" spans="1:33">
      <c r="A511" s="166" t="b">
        <f t="shared" ca="1" si="79"/>
        <v>0</v>
      </c>
      <c r="B511" s="167">
        <f t="shared" ca="1" si="77"/>
        <v>63</v>
      </c>
      <c r="C511" s="172" t="str">
        <f ca="1">IFERROR(IF(AND(H511=2,B511=7),"blank",INDEX(C$452:C511,H511,1)),"")</f>
        <v>a183p000006T3kGAAS</v>
      </c>
      <c r="D511" s="168" t="str">
        <f t="shared" ca="1" si="80"/>
        <v/>
      </c>
      <c r="E511" s="177" t="str">
        <f t="shared" ca="1" si="81"/>
        <v/>
      </c>
      <c r="F511" s="177" t="str">
        <f t="shared" ca="1" si="82"/>
        <v/>
      </c>
      <c r="G511" s="171" t="str">
        <f t="shared" ca="1" si="83"/>
        <v/>
      </c>
      <c r="H511" s="167">
        <f t="shared" ca="1" si="78"/>
        <v>30</v>
      </c>
      <c r="I511" s="171" t="str">
        <f t="shared" ca="1" si="84"/>
        <v/>
      </c>
      <c r="J511" s="166" t="str">
        <f t="array" aca="1" ref="J511" ca="1">IFERROR(VLOOKUP(LEFT(INDIRECT("'Coverage Indicators - Section D'!D"&amp;$B511),255),LEFT('Reference Records'!C59:F263,255),4,0),"")</f>
        <v/>
      </c>
      <c r="K511" s="166" t="str">
        <f ca="1">IFERROR(VLOOKUP(IF(INDIRECT("'Coverage Indicators - Section D'!B"&amp;$B511)="","--select--",INDIRECT("'Coverage Indicators - Section D'!B"&amp;$B511)),'Overview - Section A'!C$101:D160,2,0),"")</f>
        <v>M-64462</v>
      </c>
      <c r="L511" s="171" t="str">
        <f t="shared" ca="1" si="85"/>
        <v/>
      </c>
      <c r="M511" s="166" t="str">
        <f ca="1">IFERROR(VLOOKUP(INDIRECT("'Coverage Indicators - Section D'!C"&amp;$B511),'Reference Records'!C$656:F812,3,0),"")</f>
        <v/>
      </c>
      <c r="N511" s="171" t="str">
        <f t="shared" ca="1" si="86"/>
        <v/>
      </c>
      <c r="O511" s="166" t="str">
        <f t="shared" ca="1" si="87"/>
        <v/>
      </c>
      <c r="P511" s="171" t="str">
        <f t="shared" ca="1" si="88"/>
        <v/>
      </c>
      <c r="Q511" s="171" t="str">
        <f t="shared" ca="1" si="89"/>
        <v/>
      </c>
      <c r="R511" s="166" t="str">
        <f t="shared" ca="1" si="90"/>
        <v>FALSE</v>
      </c>
      <c r="S511" s="171" t="str">
        <f ca="1">IFERROR(VLOOKUP(INDIRECT("'Coverage Indicators - Section D'!L"&amp;$B511),'Overview - Section A'!M$30:P99,4,0),IFERROR(IF(VLOOKUP(INDIRECT("'Coverage Indicators - Section D'!L"&amp;$B511),'Overview - Section A'!E$27:I87,5,0)=0,"",VLOOKUP(INDIRECT("'Coverage Indicators - Section D'!L"&amp;$B511),'Overview - Section A'!E$27:I87,5,0)),""))</f>
        <v/>
      </c>
      <c r="T511" s="171" t="str">
        <f t="shared" ca="1" si="91"/>
        <v/>
      </c>
      <c r="U511" s="171" t="str">
        <f t="shared" ca="1" si="92"/>
        <v/>
      </c>
      <c r="V511" s="171" t="str">
        <f t="shared" ca="1" si="93"/>
        <v/>
      </c>
      <c r="W511" s="171"/>
      <c r="X511" s="171"/>
      <c r="Y511" s="166"/>
      <c r="Z511" s="166"/>
      <c r="AA511" s="171"/>
      <c r="AB511" s="171"/>
      <c r="AC511" s="166"/>
      <c r="AD511" s="166"/>
      <c r="AE511" s="166"/>
      <c r="AF511" s="177"/>
      <c r="AG511" s="171"/>
    </row>
    <row r="512" spans="1:33">
      <c r="A512" s="166" t="b">
        <f t="shared" ca="1" si="79"/>
        <v>0</v>
      </c>
      <c r="B512" s="167">
        <f t="shared" ca="1" si="77"/>
        <v>65</v>
      </c>
      <c r="C512" s="172" t="str">
        <f ca="1">IFERROR(IF(AND(H512=2,B512=7),"blank",INDEX(C$452:C512,H512,1)),"")</f>
        <v>a183p000006T3kHAAS</v>
      </c>
      <c r="D512" s="168" t="str">
        <f t="shared" ca="1" si="80"/>
        <v/>
      </c>
      <c r="E512" s="177" t="str">
        <f t="shared" ca="1" si="81"/>
        <v/>
      </c>
      <c r="F512" s="177" t="str">
        <f t="shared" ca="1" si="82"/>
        <v/>
      </c>
      <c r="G512" s="171" t="str">
        <f t="shared" ca="1" si="83"/>
        <v/>
      </c>
      <c r="H512" s="167">
        <f t="shared" ca="1" si="78"/>
        <v>31</v>
      </c>
      <c r="I512" s="171" t="str">
        <f t="shared" ca="1" si="84"/>
        <v/>
      </c>
      <c r="J512" s="166" t="str">
        <f t="array" aca="1" ref="J512" ca="1">IFERROR(VLOOKUP(LEFT(INDIRECT("'Coverage Indicators - Section D'!D"&amp;$B512),255),LEFT('Reference Records'!C60:F264,255),4,0),"")</f>
        <v/>
      </c>
      <c r="K512" s="166" t="str">
        <f ca="1">IFERROR(VLOOKUP(IF(INDIRECT("'Coverage Indicators - Section D'!B"&amp;$B512)="","--select--",INDIRECT("'Coverage Indicators - Section D'!B"&amp;$B512)),'Overview - Section A'!C$101:D161,2,0),"")</f>
        <v>M-64462</v>
      </c>
      <c r="L512" s="171" t="str">
        <f t="shared" ca="1" si="85"/>
        <v/>
      </c>
      <c r="M512" s="166" t="str">
        <f ca="1">IFERROR(VLOOKUP(INDIRECT("'Coverage Indicators - Section D'!C"&amp;$B512),'Reference Records'!C$656:F813,3,0),"")</f>
        <v/>
      </c>
      <c r="N512" s="171" t="str">
        <f t="shared" ca="1" si="86"/>
        <v/>
      </c>
      <c r="O512" s="166" t="str">
        <f t="shared" ca="1" si="87"/>
        <v/>
      </c>
      <c r="P512" s="171" t="str">
        <f t="shared" ca="1" si="88"/>
        <v/>
      </c>
      <c r="Q512" s="171" t="str">
        <f t="shared" ca="1" si="89"/>
        <v/>
      </c>
      <c r="R512" s="166" t="str">
        <f t="shared" ca="1" si="90"/>
        <v>FALSE</v>
      </c>
      <c r="S512" s="171" t="str">
        <f ca="1">IFERROR(VLOOKUP(INDIRECT("'Coverage Indicators - Section D'!L"&amp;$B512),'Overview - Section A'!M$30:P100,4,0),IFERROR(IF(VLOOKUP(INDIRECT("'Coverage Indicators - Section D'!L"&amp;$B512),'Overview - Section A'!E$27:I88,5,0)=0,"",VLOOKUP(INDIRECT("'Coverage Indicators - Section D'!L"&amp;$B512),'Overview - Section A'!E$27:I88,5,0)),""))</f>
        <v/>
      </c>
      <c r="T512" s="171" t="str">
        <f t="shared" ca="1" si="91"/>
        <v/>
      </c>
      <c r="U512" s="171" t="str">
        <f t="shared" ca="1" si="92"/>
        <v/>
      </c>
      <c r="V512" s="171" t="str">
        <f t="shared" ca="1" si="93"/>
        <v/>
      </c>
      <c r="W512" s="171"/>
      <c r="X512" s="171"/>
      <c r="Y512" s="166"/>
      <c r="Z512" s="166"/>
      <c r="AA512" s="171"/>
      <c r="AB512" s="171"/>
      <c r="AC512" s="166"/>
      <c r="AD512" s="166"/>
      <c r="AE512" s="166"/>
      <c r="AF512" s="177"/>
      <c r="AG512" s="171"/>
    </row>
    <row r="513" spans="1:33">
      <c r="A513" s="166" t="b">
        <f t="shared" ca="1" si="79"/>
        <v>0</v>
      </c>
      <c r="B513" s="167">
        <f t="shared" ca="1" si="77"/>
        <v>67</v>
      </c>
      <c r="C513" s="172" t="str">
        <f ca="1">IFERROR(IF(AND(H513=2,B513=7),"blank",INDEX(C$452:C513,H513,1)),"")</f>
        <v>a183p000006T3kIAAS</v>
      </c>
      <c r="D513" s="168" t="str">
        <f t="shared" ca="1" si="80"/>
        <v/>
      </c>
      <c r="E513" s="177" t="str">
        <f t="shared" ca="1" si="81"/>
        <v/>
      </c>
      <c r="F513" s="177" t="str">
        <f t="shared" ca="1" si="82"/>
        <v/>
      </c>
      <c r="G513" s="171" t="str">
        <f t="shared" ca="1" si="83"/>
        <v/>
      </c>
      <c r="H513" s="167">
        <f t="shared" ca="1" si="78"/>
        <v>32</v>
      </c>
      <c r="I513" s="171" t="str">
        <f t="shared" ca="1" si="84"/>
        <v/>
      </c>
      <c r="J513" s="166" t="str">
        <f t="array" aca="1" ref="J513" ca="1">IFERROR(VLOOKUP(LEFT(INDIRECT("'Coverage Indicators - Section D'!D"&amp;$B513),255),LEFT('Reference Records'!C61:F265,255),4,0),"")</f>
        <v/>
      </c>
      <c r="K513" s="166" t="str">
        <f ca="1">IFERROR(VLOOKUP(IF(INDIRECT("'Coverage Indicators - Section D'!B"&amp;$B513)="","--select--",INDIRECT("'Coverage Indicators - Section D'!B"&amp;$B513)),'Overview - Section A'!C$101:D162,2,0),"")</f>
        <v>M-64462</v>
      </c>
      <c r="L513" s="171" t="str">
        <f t="shared" ca="1" si="85"/>
        <v/>
      </c>
      <c r="M513" s="166" t="str">
        <f ca="1">IFERROR(VLOOKUP(INDIRECT("'Coverage Indicators - Section D'!C"&amp;$B513),'Reference Records'!C$656:F814,3,0),"")</f>
        <v/>
      </c>
      <c r="N513" s="171" t="str">
        <f t="shared" ca="1" si="86"/>
        <v/>
      </c>
      <c r="O513" s="166" t="str">
        <f t="shared" ca="1" si="87"/>
        <v/>
      </c>
      <c r="P513" s="171" t="str">
        <f t="shared" ca="1" si="88"/>
        <v/>
      </c>
      <c r="Q513" s="171" t="str">
        <f t="shared" ca="1" si="89"/>
        <v/>
      </c>
      <c r="R513" s="166" t="b">
        <f t="shared" ca="1" si="90"/>
        <v>0</v>
      </c>
      <c r="S513" s="171" t="str">
        <f ca="1">IFERROR(VLOOKUP(INDIRECT("'Coverage Indicators - Section D'!L"&amp;$B513),'Overview - Section A'!M$30:P101,4,0),IFERROR(IF(VLOOKUP(INDIRECT("'Coverage Indicators - Section D'!L"&amp;$B513),'Overview - Section A'!E$27:I89,5,0)=0,"",VLOOKUP(INDIRECT("'Coverage Indicators - Section D'!L"&amp;$B513),'Overview - Section A'!E$27:I89,5,0)),""))</f>
        <v>a123p000006a3ZFAAY</v>
      </c>
      <c r="T513" s="171" t="str">
        <f t="shared" ca="1" si="91"/>
        <v/>
      </c>
      <c r="U513" s="171" t="str">
        <f t="shared" ca="1" si="92"/>
        <v/>
      </c>
      <c r="V513" s="171" t="str">
        <f t="shared" ca="1" si="93"/>
        <v/>
      </c>
      <c r="W513" s="171"/>
      <c r="X513" s="171"/>
      <c r="Y513" s="166"/>
      <c r="Z513" s="166"/>
      <c r="AA513" s="171"/>
      <c r="AB513" s="171"/>
      <c r="AC513" s="166"/>
      <c r="AD513" s="166"/>
      <c r="AE513" s="166"/>
      <c r="AF513" s="177"/>
      <c r="AG513" s="171"/>
    </row>
    <row r="514" spans="1:33">
      <c r="B514" s="173"/>
      <c r="H514" s="173"/>
    </row>
    <row r="515" spans="1:33">
      <c r="B515" s="173"/>
      <c r="H515" s="173"/>
    </row>
    <row r="516" spans="1:33">
      <c r="J516" s="164" t="str">
        <f ca="1">IF(ROW()&gt;'Impact Indicator Target Update'!A14,"",INDIRECT("'Impact Indicators - Section B'!A"&amp;'Impact Indicator Target Update'!D14))</f>
        <v/>
      </c>
    </row>
    <row r="517" spans="1:33">
      <c r="A517" s="165" t="s">
        <v>3383</v>
      </c>
      <c r="J517" s="164" t="str">
        <f ca="1">IF(ROW()&gt;'Impact Indicator Target Update'!A15,"",INDIRECT("'Impact Indicators - Section B'!A"&amp;'Impact Indicator Target Update'!D15))</f>
        <v/>
      </c>
    </row>
    <row r="518" spans="1:33">
      <c r="A518" s="166" t="s">
        <v>348</v>
      </c>
      <c r="B518" s="166">
        <f ca="1">-AB2*AC2-1</f>
        <v>-181</v>
      </c>
      <c r="C518" s="166" t="s">
        <v>341</v>
      </c>
      <c r="D518" s="166" t="s">
        <v>3384</v>
      </c>
      <c r="E518" s="166" t="s">
        <v>3082</v>
      </c>
      <c r="F518" s="166" t="s">
        <v>3346</v>
      </c>
      <c r="G518" s="166" t="s">
        <v>3049</v>
      </c>
      <c r="H518" s="166" t="s">
        <v>3084</v>
      </c>
      <c r="I518" s="166" t="s">
        <v>3087</v>
      </c>
      <c r="J518" s="166" t="s">
        <v>3085</v>
      </c>
      <c r="K518" s="166" t="s">
        <v>3086</v>
      </c>
      <c r="L518" s="166" t="s">
        <v>3090</v>
      </c>
      <c r="M518" s="166" t="s">
        <v>3091</v>
      </c>
      <c r="N518" s="166" t="s">
        <v>3385</v>
      </c>
      <c r="O518" s="166"/>
      <c r="P518" s="166">
        <v>-1</v>
      </c>
      <c r="Q518" s="166"/>
      <c r="R518" s="166"/>
      <c r="S518" s="166"/>
      <c r="T518" s="166" t="s">
        <v>3223</v>
      </c>
    </row>
    <row r="519" spans="1:33" hidden="1">
      <c r="A519" s="166" t="e">
        <f ca="1">IF(OR(I519&lt;&gt;"",J519&lt;&gt;"",K519&lt;&gt;"",L519&lt;&gt;""),TRUE,FALSE)</f>
        <v>#VALUE!</v>
      </c>
      <c r="B519" s="166">
        <f ca="1">B518+1</f>
        <v>-180</v>
      </c>
      <c r="C519" s="166" t="str">
        <f ca="1">M519</f>
        <v/>
      </c>
      <c r="D519" s="166"/>
      <c r="E519" s="166">
        <f ca="1">COUNTIF(F452:F519,F519)</f>
        <v>54</v>
      </c>
      <c r="F519" s="177" t="str">
        <f ca="1">IF(COUNTA(D$518:D519)=1,"",OFFSET(F517,-COUNTA(D$518:D519)+3,0))</f>
        <v/>
      </c>
      <c r="G519" s="171" t="str">
        <f ca="1">IFERROR(IF(INDIRECT("'Coverage Indicators - Section I'!G"&amp;$I3)=0,"",INDIRECT("'Coverage Indicators - Section I'!G"&amp;$I3)),"")</f>
        <v/>
      </c>
      <c r="H519" s="166" t="str">
        <f ca="1">IF(F519=1,9,IF(E518=MAX(E517:E519),H517+2,H518))</f>
        <v>row number</v>
      </c>
      <c r="I519" s="168" t="str">
        <f ca="1">IFERROR(CHOOSE(E519,IFERROR(IF(INDIRECT("'Coverage Indicators - Section D'!P"&amp;H519)="","",INDIRECT("'Coverage Indicators - Section D'!P"&amp;H519)*100),""),IFERROR(IF(INDIRECT("'Coverage Indicators - Section D'!S"&amp;H519)="","",INDIRECT("'Coverage Indicators - Section D'!S"&amp;H519)*100),""),IFERROR(IF(INDIRECT("'Coverage Indicators - Section D'!V"&amp;H519)="","",INDIRECT("'Coverage Indicators - Section D'!V"&amp;H519)*100),""),IFERROR(IF(INDIRECT("'Coverage Indicators - Section D'!Y"&amp;H519)="","",INDIRECT("'Coverage Indicators - Section D'!Y"&amp;H519)*100),""),IFERROR(IF(INDIRECT("'Coverage Indicators - Section D'!AB"&amp;H519)="","",INDIRECT("'Coverage Indicators - Section D'!AB"&amp;H519)*100),""),IFERROR(IF(INDIRECT("'Coverage Indicators - Section D'!AE"&amp;H519)="","",INDIRECT("'Coverage Indicators - Section D'!AE"&amp;H519)*100),""),IFERROR(IF(INDIRECT("'Coverage Indicators - SectionD'!AH"&amp;H519)="","",INDIRECT("'CoverageIndicators-SectionD'!AH"&amp;H519)*100),"")),"")</f>
        <v/>
      </c>
      <c r="J519" s="177" t="str">
        <f ca="1">IFERROR(CHOOSE(E519,IFERROR(IF(INDIRECT("'Coverage Indicators - Section D'!O"&amp;H519+1)="","",INDIRECT("'Coverage Indicators - Section D'!O"&amp;H519+1)),""),IFERROR(IF(INDIRECT("'Coverage Indicators - Section D'!R"&amp;H519+1)="","",INDIRECT("'Coverage Indicators - Section D'!R"&amp;H519+1)),""),IFERROR(IF(INDIRECT("'Coverage Indicators - Section D'!U"&amp;H519+1)="","",INDIRECT("'Coverage Indicators - Section D'!U"&amp;H519+1)),""),IFERROR(IF(INDIRECT("'Coverage Indicators - Section D'!X"&amp;H519+1)="","",INDIRECT("'Coverage Indicators - Section D'!X"&amp;H519+1)),""),IFERROR(IF(INDIRECT("'Coverage Indicators - Section D'!AA"&amp;H519+1)="","",INDIRECT("'Coverage Indicators - Section D'!AA"&amp;H519+1)),""),IFERROR(IF(INDIRECT("'Coverage Indicators - Section D'!AD"&amp;H519+1)="","",INDIRECT("'Coverage Indicators - Section D'!AD"&amp;H519+1)),""),IFERROR(IF(INDIRECT("'Coverage Indicators - Section D'!AG"&amp;H519+1)="","",INDIRECT("'Coverage Indicators - Section D'!AG"&amp;H519+1)),""),IFERROR(IF(INDIRECT("'Coverage Indicators - Section D'!AJ"&amp;H519+1)="","",INDIRECT("'Coverage Indicators - Section D'!AJ"&amp;H519+1)),"")),"")</f>
        <v/>
      </c>
      <c r="K519" s="177" t="str">
        <f ca="1">IFERROR(CHOOSE(E519,IFERROR(IF(INDIRECT("'Coverage Indicators - Section D'!O"&amp;H519)="","",INDIRECT("'Coverage Indicators - Section D'!O"&amp;H519)),""),IFERROR(IF(INDIRECT("'Coverage Indicators - Section D'!R"&amp;H519)="","",INDIRECT("'Coverage Indicators - Section D'!R"&amp;H519)),""),IFERROR(IF(INDIRECT("'Coverage Indicators - Section D'!U"&amp;H519)="","",INDIRECT("'Coverage Indicators - Section D'!U"&amp;H519)),""),IFERROR(IF(INDIRECT("'Coverage Indicators - Section D'!X"&amp;H519)="","",INDIRECT("'Coverage Indicators - Section D'!X"&amp;H519)),""),IFERROR(IF(INDIRECT("'Coverage Indicators - Section D'!AA"&amp;H519)="","",INDIRECT("'Coverage Indicators - Section D'!AA"&amp;H519)),""),IFERROR(IF(INDIRECT("'Coverage Indicators - Section D'!AD"&amp;H519)="","",INDIRECT("'Coverage Indicators - Section D'!AD"&amp;H519)),""),IFERROR(IF(INDIRECT("'Coverage Indicators - Section D'!AG"&amp;H519)="","",INDIRECT("'Coverage Indicators - Section D'!AG"&amp;H519)),""),IFERROR(IF(INDIRECT("'Coverage Indicators - Section D'!AJ"&amp;H519)="","",INDIRECT("'Coverage Indicators - Section D'!AJ"&amp;H519)),"")),"")</f>
        <v/>
      </c>
      <c r="L519" s="171" t="e">
        <f>#VALUE!</f>
        <v>#VALUE!</v>
      </c>
      <c r="M519" s="166" t="str">
        <f ca="1">IFERROR(IF(COUNTIF($B$517:$B518,"&lt;0")&lt;&gt;1,OFFSET($C517,-COUNTIF($B$517:$B518,"&lt;0")+3,0),""),"")</f>
        <v/>
      </c>
      <c r="N519" s="166">
        <f ca="1">IFERROR(IF(COUNTA($D$517:D518)=1,0,OFFSET($F517,-COUNTA($D$517:D518)+3,0)),"")</f>
        <v>0</v>
      </c>
      <c r="O519" s="166"/>
      <c r="P519" s="166">
        <f ca="1">IF(NOT(_xlfn.ISFORMULA(I519)),P518+1,0)</f>
        <v>0</v>
      </c>
      <c r="Q519" s="166"/>
      <c r="R519" s="166"/>
      <c r="S519" s="166"/>
      <c r="T519" s="171" t="s">
        <v>3224</v>
      </c>
    </row>
    <row r="520" spans="1:33">
      <c r="A520" s="166" t="b">
        <v>0</v>
      </c>
      <c r="B520" s="166">
        <f t="shared" ref="B520:B583" ca="1" si="94">B519+1</f>
        <v>-179</v>
      </c>
      <c r="C520" s="413" t="s">
        <v>3386</v>
      </c>
      <c r="D520" s="166" t="s">
        <v>3387</v>
      </c>
      <c r="E520" s="166">
        <f t="shared" ref="E520:E583" ca="1" si="95">COUNTIF(F453:F520,F520)</f>
        <v>1</v>
      </c>
      <c r="F520" s="177">
        <v>1</v>
      </c>
      <c r="G520" s="171"/>
      <c r="H520" s="166">
        <f t="shared" ref="H520:H583" ca="1" si="96">IF(F520=1,9,IF(E519=MAX(E518:E520),H518+2,H519))</f>
        <v>9</v>
      </c>
      <c r="I520" s="168"/>
      <c r="J520" s="177"/>
      <c r="K520" s="177"/>
      <c r="L520" s="171"/>
      <c r="M520" s="166" t="str">
        <f ca="1">IFERROR(IF(COUNTIF($B$517:$B519,"&lt;0")&lt;&gt;1,OFFSET($C518,-COUNTIF($B$517:$B519,"&lt;0")+3,0),""),"")</f>
        <v/>
      </c>
      <c r="N520" s="166">
        <f ca="1">IFERROR(IF(COUNTA($D$517:D519)=1,0,OFFSET($F518,-COUNTA($D$517:D519)+3,0)),"")</f>
        <v>0</v>
      </c>
      <c r="O520" s="166"/>
      <c r="P520" s="166">
        <f t="shared" ref="P520:P583" ca="1" si="97">IF(NOT(_xlfn.ISFORMULA(I520)),P519+1,0)</f>
        <v>1</v>
      </c>
      <c r="Q520" s="166"/>
      <c r="R520" s="166"/>
      <c r="S520" s="166"/>
      <c r="T520" s="171"/>
    </row>
    <row r="521" spans="1:33">
      <c r="A521" s="166" t="b">
        <v>0</v>
      </c>
      <c r="B521" s="166">
        <f t="shared" ca="1" si="94"/>
        <v>-178</v>
      </c>
      <c r="C521" s="413" t="s">
        <v>3388</v>
      </c>
      <c r="D521" s="166" t="s">
        <v>3387</v>
      </c>
      <c r="E521" s="166">
        <f t="shared" ca="1" si="95"/>
        <v>2</v>
      </c>
      <c r="F521" s="177">
        <v>1</v>
      </c>
      <c r="G521" s="171"/>
      <c r="H521" s="166">
        <f t="shared" ca="1" si="96"/>
        <v>9</v>
      </c>
      <c r="I521" s="168"/>
      <c r="J521" s="177"/>
      <c r="K521" s="177"/>
      <c r="L521" s="171"/>
      <c r="M521" s="166" t="str">
        <f ca="1">IFERROR(IF(COUNTIF($B$517:$B520,"&lt;0")&lt;&gt;1,OFFSET($C519,-COUNTIF($B$517:$B520,"&lt;0")+3,0),""),"")</f>
        <v/>
      </c>
      <c r="N521" s="166">
        <f ca="1">IFERROR(IF(COUNTA($D$517:D520)=1,0,OFFSET($F519,-COUNTA($D$517:D520)+3,0)),"")</f>
        <v>1</v>
      </c>
      <c r="O521" s="166"/>
      <c r="P521" s="166">
        <f t="shared" ca="1" si="97"/>
        <v>2</v>
      </c>
      <c r="Q521" s="166"/>
      <c r="R521" s="166"/>
      <c r="S521" s="166"/>
      <c r="T521" s="171"/>
    </row>
    <row r="522" spans="1:33">
      <c r="A522" s="166" t="b">
        <v>0</v>
      </c>
      <c r="B522" s="166">
        <f t="shared" ca="1" si="94"/>
        <v>-177</v>
      </c>
      <c r="C522" s="413" t="s">
        <v>3389</v>
      </c>
      <c r="D522" s="166" t="s">
        <v>3387</v>
      </c>
      <c r="E522" s="166">
        <f t="shared" ca="1" si="95"/>
        <v>3</v>
      </c>
      <c r="F522" s="177">
        <v>1</v>
      </c>
      <c r="G522" s="171"/>
      <c r="H522" s="166">
        <f t="shared" ca="1" si="96"/>
        <v>9</v>
      </c>
      <c r="I522" s="168"/>
      <c r="J522" s="177"/>
      <c r="K522" s="177"/>
      <c r="L522" s="171"/>
      <c r="M522" s="166" t="str">
        <f ca="1">IFERROR(IF(COUNTIF($B$517:$B521,"&lt;0")&lt;&gt;1,OFFSET($C520,-COUNTIF($B$517:$B521,"&lt;0")+3,0),""),"")</f>
        <v/>
      </c>
      <c r="N522" s="166">
        <f ca="1">IFERROR(IF(COUNTA($D$517:D521)=1,0,OFFSET($F520,-COUNTA($D$517:D521)+3,0)),"")</f>
        <v>1</v>
      </c>
      <c r="O522" s="166"/>
      <c r="P522" s="166">
        <f t="shared" ca="1" si="97"/>
        <v>3</v>
      </c>
      <c r="Q522" s="166"/>
      <c r="R522" s="166"/>
      <c r="S522" s="166"/>
      <c r="T522" s="171"/>
    </row>
    <row r="523" spans="1:33">
      <c r="A523" s="166" t="b">
        <v>0</v>
      </c>
      <c r="B523" s="166">
        <f t="shared" ca="1" si="94"/>
        <v>-176</v>
      </c>
      <c r="C523" s="413" t="s">
        <v>3390</v>
      </c>
      <c r="D523" s="166" t="s">
        <v>3387</v>
      </c>
      <c r="E523" s="166">
        <f t="shared" ca="1" si="95"/>
        <v>4</v>
      </c>
      <c r="F523" s="177">
        <v>1</v>
      </c>
      <c r="G523" s="171"/>
      <c r="H523" s="166">
        <f t="shared" ca="1" si="96"/>
        <v>9</v>
      </c>
      <c r="I523" s="168"/>
      <c r="J523" s="177"/>
      <c r="K523" s="177"/>
      <c r="L523" s="171"/>
      <c r="M523" s="166" t="str">
        <f ca="1">IFERROR(IF(COUNTIF($B$517:$B522,"&lt;0")&lt;&gt;1,OFFSET($C521,-COUNTIF($B$517:$B522,"&lt;0")+3,0),""),"")</f>
        <v/>
      </c>
      <c r="N523" s="166">
        <f ca="1">IFERROR(IF(COUNTA($D$517:D522)=1,0,OFFSET($F521,-COUNTA($D$517:D522)+3,0)),"")</f>
        <v>1</v>
      </c>
      <c r="O523" s="166"/>
      <c r="P523" s="166">
        <f t="shared" ca="1" si="97"/>
        <v>4</v>
      </c>
      <c r="Q523" s="166"/>
      <c r="R523" s="166"/>
      <c r="S523" s="166"/>
      <c r="T523" s="171"/>
    </row>
    <row r="524" spans="1:33">
      <c r="A524" s="166" t="b">
        <v>0</v>
      </c>
      <c r="B524" s="166">
        <f t="shared" ca="1" si="94"/>
        <v>-175</v>
      </c>
      <c r="C524" s="413" t="s">
        <v>3391</v>
      </c>
      <c r="D524" s="166" t="s">
        <v>3387</v>
      </c>
      <c r="E524" s="166">
        <f t="shared" ca="1" si="95"/>
        <v>5</v>
      </c>
      <c r="F524" s="177">
        <v>1</v>
      </c>
      <c r="G524" s="171"/>
      <c r="H524" s="166">
        <f t="shared" ca="1" si="96"/>
        <v>9</v>
      </c>
      <c r="I524" s="168"/>
      <c r="J524" s="177"/>
      <c r="K524" s="177"/>
      <c r="L524" s="171"/>
      <c r="M524" s="166" t="str">
        <f ca="1">IFERROR(IF(COUNTIF($B$517:$B523,"&lt;0")&lt;&gt;1,OFFSET($C522,-COUNTIF($B$517:$B523,"&lt;0")+3,0),""),"")</f>
        <v/>
      </c>
      <c r="N524" s="166">
        <f ca="1">IFERROR(IF(COUNTA($D$517:D523)=1,0,OFFSET($F522,-COUNTA($D$517:D523)+3,0)),"")</f>
        <v>1</v>
      </c>
      <c r="O524" s="166"/>
      <c r="P524" s="166">
        <f t="shared" ca="1" si="97"/>
        <v>5</v>
      </c>
      <c r="Q524" s="166"/>
      <c r="R524" s="166"/>
      <c r="S524" s="166"/>
      <c r="T524" s="171"/>
    </row>
    <row r="525" spans="1:33">
      <c r="A525" s="166" t="b">
        <v>0</v>
      </c>
      <c r="B525" s="166">
        <f t="shared" ca="1" si="94"/>
        <v>-174</v>
      </c>
      <c r="C525" s="413" t="s">
        <v>3392</v>
      </c>
      <c r="D525" s="166" t="s">
        <v>3387</v>
      </c>
      <c r="E525" s="166">
        <f t="shared" ca="1" si="95"/>
        <v>6</v>
      </c>
      <c r="F525" s="177">
        <v>1</v>
      </c>
      <c r="G525" s="171"/>
      <c r="H525" s="166">
        <f t="shared" ca="1" si="96"/>
        <v>9</v>
      </c>
      <c r="I525" s="168"/>
      <c r="J525" s="177"/>
      <c r="K525" s="177"/>
      <c r="L525" s="171"/>
      <c r="M525" s="166" t="str">
        <f ca="1">IFERROR(IF(COUNTIF($B$517:$B524,"&lt;0")&lt;&gt;1,OFFSET($C523,-COUNTIF($B$517:$B524,"&lt;0")+3,0),""),"")</f>
        <v/>
      </c>
      <c r="N525" s="166">
        <f ca="1">IFERROR(IF(COUNTA($D$517:D524)=1,0,OFFSET($F523,-COUNTA($D$517:D524)+3,0)),"")</f>
        <v>1</v>
      </c>
      <c r="O525" s="166"/>
      <c r="P525" s="166">
        <f t="shared" ca="1" si="97"/>
        <v>6</v>
      </c>
      <c r="Q525" s="166"/>
      <c r="R525" s="166"/>
      <c r="S525" s="166"/>
      <c r="T525" s="171"/>
    </row>
    <row r="526" spans="1:33">
      <c r="A526" s="166" t="b">
        <v>0</v>
      </c>
      <c r="B526" s="166">
        <f t="shared" ca="1" si="94"/>
        <v>-173</v>
      </c>
      <c r="C526" s="413" t="s">
        <v>3393</v>
      </c>
      <c r="D526" s="166" t="s">
        <v>3394</v>
      </c>
      <c r="E526" s="166">
        <f t="shared" ca="1" si="95"/>
        <v>1</v>
      </c>
      <c r="F526" s="177">
        <v>2</v>
      </c>
      <c r="G526" s="171"/>
      <c r="H526" s="166">
        <f t="shared" ca="1" si="96"/>
        <v>11</v>
      </c>
      <c r="I526" s="168"/>
      <c r="J526" s="177"/>
      <c r="K526" s="177"/>
      <c r="L526" s="171"/>
      <c r="M526" s="166" t="str">
        <f ca="1">IFERROR(IF(COUNTIF($B$517:$B525,"&lt;0")&lt;&gt;1,OFFSET($C524,-COUNTIF($B$517:$B525,"&lt;0")+3,0),""),"")</f>
        <v/>
      </c>
      <c r="N526" s="166">
        <f ca="1">IFERROR(IF(COUNTA($D$517:D525)=1,0,OFFSET($F524,-COUNTA($D$517:D525)+3,0)),"")</f>
        <v>1</v>
      </c>
      <c r="O526" s="166"/>
      <c r="P526" s="166">
        <f t="shared" ca="1" si="97"/>
        <v>7</v>
      </c>
      <c r="Q526" s="166"/>
      <c r="R526" s="166"/>
      <c r="S526" s="166"/>
      <c r="T526" s="171"/>
    </row>
    <row r="527" spans="1:33">
      <c r="A527" s="166" t="b">
        <v>0</v>
      </c>
      <c r="B527" s="166">
        <f t="shared" ca="1" si="94"/>
        <v>-172</v>
      </c>
      <c r="C527" s="413" t="s">
        <v>3395</v>
      </c>
      <c r="D527" s="166" t="s">
        <v>3394</v>
      </c>
      <c r="E527" s="166">
        <f t="shared" ca="1" si="95"/>
        <v>2</v>
      </c>
      <c r="F527" s="177">
        <v>2</v>
      </c>
      <c r="G527" s="171"/>
      <c r="H527" s="166">
        <f t="shared" ca="1" si="96"/>
        <v>11</v>
      </c>
      <c r="I527" s="168"/>
      <c r="J527" s="177"/>
      <c r="K527" s="177"/>
      <c r="L527" s="171"/>
      <c r="M527" s="166" t="str">
        <f ca="1">IFERROR(IF(COUNTIF($B$517:$B526,"&lt;0")&lt;&gt;1,OFFSET($C525,-COUNTIF($B$517:$B526,"&lt;0")+3,0),""),"")</f>
        <v/>
      </c>
      <c r="N527" s="166">
        <f ca="1">IFERROR(IF(COUNTA($D$517:D526)=1,0,OFFSET($F525,-COUNTA($D$517:D526)+3,0)),"")</f>
        <v>1</v>
      </c>
      <c r="O527" s="166"/>
      <c r="P527" s="166">
        <f t="shared" ca="1" si="97"/>
        <v>8</v>
      </c>
      <c r="Q527" s="166"/>
      <c r="R527" s="166"/>
      <c r="S527" s="166"/>
      <c r="T527" s="171"/>
    </row>
    <row r="528" spans="1:33">
      <c r="A528" s="166" t="b">
        <v>0</v>
      </c>
      <c r="B528" s="166">
        <f t="shared" ca="1" si="94"/>
        <v>-171</v>
      </c>
      <c r="C528" s="413" t="s">
        <v>3396</v>
      </c>
      <c r="D528" s="166" t="s">
        <v>3394</v>
      </c>
      <c r="E528" s="166">
        <f t="shared" ca="1" si="95"/>
        <v>3</v>
      </c>
      <c r="F528" s="177">
        <v>2</v>
      </c>
      <c r="G528" s="171"/>
      <c r="H528" s="166">
        <f t="shared" ca="1" si="96"/>
        <v>11</v>
      </c>
      <c r="I528" s="168"/>
      <c r="J528" s="177"/>
      <c r="K528" s="177"/>
      <c r="L528" s="171"/>
      <c r="M528" s="166" t="str">
        <f ca="1">IFERROR(IF(COUNTIF($B$517:$B527,"&lt;0")&lt;&gt;1,OFFSET($C526,-COUNTIF($B$517:$B527,"&lt;0")+3,0),""),"")</f>
        <v/>
      </c>
      <c r="N528" s="166">
        <f ca="1">IFERROR(IF(COUNTA($D$517:D527)=1,0,OFFSET($F526,-COUNTA($D$517:D527)+3,0)),"")</f>
        <v>1</v>
      </c>
      <c r="O528" s="166"/>
      <c r="P528" s="166">
        <f t="shared" ca="1" si="97"/>
        <v>9</v>
      </c>
      <c r="Q528" s="166"/>
      <c r="R528" s="166"/>
      <c r="S528" s="166"/>
      <c r="T528" s="171"/>
    </row>
    <row r="529" spans="1:20">
      <c r="A529" s="166" t="b">
        <v>0</v>
      </c>
      <c r="B529" s="166">
        <f t="shared" ca="1" si="94"/>
        <v>-170</v>
      </c>
      <c r="C529" s="413" t="s">
        <v>3397</v>
      </c>
      <c r="D529" s="166" t="s">
        <v>3394</v>
      </c>
      <c r="E529" s="166">
        <f t="shared" ca="1" si="95"/>
        <v>4</v>
      </c>
      <c r="F529" s="177">
        <v>2</v>
      </c>
      <c r="G529" s="171"/>
      <c r="H529" s="166">
        <f t="shared" ca="1" si="96"/>
        <v>11</v>
      </c>
      <c r="I529" s="168"/>
      <c r="J529" s="177"/>
      <c r="K529" s="177"/>
      <c r="L529" s="171"/>
      <c r="M529" s="166" t="str">
        <f ca="1">IFERROR(IF(COUNTIF($B$517:$B528,"&lt;0")&lt;&gt;1,OFFSET($C527,-COUNTIF($B$517:$B528,"&lt;0")+3,0),""),"")</f>
        <v/>
      </c>
      <c r="N529" s="166">
        <f ca="1">IFERROR(IF(COUNTA($D$517:D528)=1,0,OFFSET($F527,-COUNTA($D$517:D528)+3,0)),"")</f>
        <v>1</v>
      </c>
      <c r="O529" s="166"/>
      <c r="P529" s="166">
        <f t="shared" ca="1" si="97"/>
        <v>10</v>
      </c>
      <c r="Q529" s="166"/>
      <c r="R529" s="166"/>
      <c r="S529" s="166"/>
      <c r="T529" s="171"/>
    </row>
    <row r="530" spans="1:20">
      <c r="A530" s="166" t="b">
        <v>0</v>
      </c>
      <c r="B530" s="166">
        <f t="shared" ca="1" si="94"/>
        <v>-169</v>
      </c>
      <c r="C530" s="413" t="s">
        <v>3398</v>
      </c>
      <c r="D530" s="166" t="s">
        <v>3394</v>
      </c>
      <c r="E530" s="166">
        <f t="shared" ca="1" si="95"/>
        <v>5</v>
      </c>
      <c r="F530" s="177">
        <v>2</v>
      </c>
      <c r="G530" s="171"/>
      <c r="H530" s="166">
        <f t="shared" ca="1" si="96"/>
        <v>11</v>
      </c>
      <c r="I530" s="168"/>
      <c r="J530" s="177"/>
      <c r="K530" s="177"/>
      <c r="L530" s="171"/>
      <c r="M530" s="166" t="str">
        <f ca="1">IFERROR(IF(COUNTIF($B$517:$B529,"&lt;0")&lt;&gt;1,OFFSET($C528,-COUNTIF($B$517:$B529,"&lt;0")+3,0),""),"")</f>
        <v/>
      </c>
      <c r="N530" s="166">
        <f ca="1">IFERROR(IF(COUNTA($D$517:D529)=1,0,OFFSET($F528,-COUNTA($D$517:D529)+3,0)),"")</f>
        <v>1</v>
      </c>
      <c r="O530" s="166"/>
      <c r="P530" s="166">
        <f t="shared" ca="1" si="97"/>
        <v>11</v>
      </c>
      <c r="Q530" s="166"/>
      <c r="R530" s="166"/>
      <c r="S530" s="166"/>
      <c r="T530" s="171"/>
    </row>
    <row r="531" spans="1:20">
      <c r="A531" s="166" t="b">
        <v>0</v>
      </c>
      <c r="B531" s="166">
        <f t="shared" ca="1" si="94"/>
        <v>-168</v>
      </c>
      <c r="C531" s="413" t="s">
        <v>3399</v>
      </c>
      <c r="D531" s="166" t="s">
        <v>3394</v>
      </c>
      <c r="E531" s="166">
        <f t="shared" ca="1" si="95"/>
        <v>6</v>
      </c>
      <c r="F531" s="177">
        <v>2</v>
      </c>
      <c r="G531" s="171"/>
      <c r="H531" s="166">
        <f t="shared" ca="1" si="96"/>
        <v>11</v>
      </c>
      <c r="I531" s="168"/>
      <c r="J531" s="177"/>
      <c r="K531" s="177"/>
      <c r="L531" s="171"/>
      <c r="M531" s="166" t="str">
        <f ca="1">IFERROR(IF(COUNTIF($B$517:$B530,"&lt;0")&lt;&gt;1,OFFSET($C529,-COUNTIF($B$517:$B530,"&lt;0")+3,0),""),"")</f>
        <v/>
      </c>
      <c r="N531" s="166">
        <f ca="1">IFERROR(IF(COUNTA($D$517:D530)=1,0,OFFSET($F529,-COUNTA($D$517:D530)+3,0)),"")</f>
        <v>1</v>
      </c>
      <c r="O531" s="166"/>
      <c r="P531" s="166">
        <f t="shared" ca="1" si="97"/>
        <v>12</v>
      </c>
      <c r="Q531" s="166"/>
      <c r="R531" s="166"/>
      <c r="S531" s="166"/>
      <c r="T531" s="171"/>
    </row>
    <row r="532" spans="1:20">
      <c r="A532" s="166" t="b">
        <v>0</v>
      </c>
      <c r="B532" s="166">
        <f t="shared" ca="1" si="94"/>
        <v>-167</v>
      </c>
      <c r="C532" s="413" t="s">
        <v>3400</v>
      </c>
      <c r="D532" s="166" t="s">
        <v>3401</v>
      </c>
      <c r="E532" s="166">
        <f t="shared" ca="1" si="95"/>
        <v>1</v>
      </c>
      <c r="F532" s="177">
        <v>3</v>
      </c>
      <c r="G532" s="171"/>
      <c r="H532" s="166">
        <f t="shared" ca="1" si="96"/>
        <v>13</v>
      </c>
      <c r="I532" s="168"/>
      <c r="J532" s="177"/>
      <c r="K532" s="177"/>
      <c r="L532" s="171"/>
      <c r="M532" s="166" t="str">
        <f ca="1">IFERROR(IF(COUNTIF($B$517:$B531,"&lt;0")&lt;&gt;1,OFFSET($C530,-COUNTIF($B$517:$B531,"&lt;0")+3,0),""),"")</f>
        <v/>
      </c>
      <c r="N532" s="166">
        <f ca="1">IFERROR(IF(COUNTA($D$517:D531)=1,0,OFFSET($F530,-COUNTA($D$517:D531)+3,0)),"")</f>
        <v>1</v>
      </c>
      <c r="O532" s="166"/>
      <c r="P532" s="166">
        <f t="shared" ca="1" si="97"/>
        <v>13</v>
      </c>
      <c r="Q532" s="166"/>
      <c r="R532" s="166"/>
      <c r="S532" s="166"/>
      <c r="T532" s="171"/>
    </row>
    <row r="533" spans="1:20">
      <c r="A533" s="166" t="b">
        <v>0</v>
      </c>
      <c r="B533" s="166">
        <f t="shared" ca="1" si="94"/>
        <v>-166</v>
      </c>
      <c r="C533" s="413" t="s">
        <v>3402</v>
      </c>
      <c r="D533" s="166" t="s">
        <v>3401</v>
      </c>
      <c r="E533" s="166">
        <f t="shared" ca="1" si="95"/>
        <v>2</v>
      </c>
      <c r="F533" s="177">
        <v>3</v>
      </c>
      <c r="G533" s="171"/>
      <c r="H533" s="166">
        <f t="shared" ca="1" si="96"/>
        <v>13</v>
      </c>
      <c r="I533" s="168"/>
      <c r="J533" s="177"/>
      <c r="K533" s="177"/>
      <c r="L533" s="171"/>
      <c r="M533" s="166" t="str">
        <f ca="1">IFERROR(IF(COUNTIF($B$517:$B532,"&lt;0")&lt;&gt;1,OFFSET($C531,-COUNTIF($B$517:$B532,"&lt;0")+3,0),""),"")</f>
        <v/>
      </c>
      <c r="N533" s="166">
        <f ca="1">IFERROR(IF(COUNTA($D$517:D532)=1,0,OFFSET($F531,-COUNTA($D$517:D532)+3,0)),"")</f>
        <v>1</v>
      </c>
      <c r="O533" s="166"/>
      <c r="P533" s="166">
        <f t="shared" ca="1" si="97"/>
        <v>14</v>
      </c>
      <c r="Q533" s="166"/>
      <c r="R533" s="166"/>
      <c r="S533" s="166"/>
      <c r="T533" s="171"/>
    </row>
    <row r="534" spans="1:20">
      <c r="A534" s="166" t="b">
        <v>0</v>
      </c>
      <c r="B534" s="166">
        <f t="shared" ca="1" si="94"/>
        <v>-165</v>
      </c>
      <c r="C534" s="413" t="s">
        <v>3403</v>
      </c>
      <c r="D534" s="166" t="s">
        <v>3401</v>
      </c>
      <c r="E534" s="166">
        <f t="shared" ca="1" si="95"/>
        <v>3</v>
      </c>
      <c r="F534" s="177">
        <v>3</v>
      </c>
      <c r="G534" s="171"/>
      <c r="H534" s="166">
        <f t="shared" ca="1" si="96"/>
        <v>13</v>
      </c>
      <c r="I534" s="168"/>
      <c r="J534" s="177"/>
      <c r="K534" s="177"/>
      <c r="L534" s="171"/>
      <c r="M534" s="166" t="str">
        <f ca="1">IFERROR(IF(COUNTIF($B$517:$B533,"&lt;0")&lt;&gt;1,OFFSET($C532,-COUNTIF($B$517:$B533,"&lt;0")+3,0),""),"")</f>
        <v/>
      </c>
      <c r="N534" s="166">
        <f ca="1">IFERROR(IF(COUNTA($D$517:D533)=1,0,OFFSET($F532,-COUNTA($D$517:D533)+3,0)),"")</f>
        <v>1</v>
      </c>
      <c r="O534" s="166"/>
      <c r="P534" s="166">
        <f t="shared" ca="1" si="97"/>
        <v>15</v>
      </c>
      <c r="Q534" s="166"/>
      <c r="R534" s="166"/>
      <c r="S534" s="166"/>
      <c r="T534" s="171"/>
    </row>
    <row r="535" spans="1:20">
      <c r="A535" s="166" t="b">
        <v>0</v>
      </c>
      <c r="B535" s="166">
        <f t="shared" ca="1" si="94"/>
        <v>-164</v>
      </c>
      <c r="C535" s="413" t="s">
        <v>3404</v>
      </c>
      <c r="D535" s="166" t="s">
        <v>3401</v>
      </c>
      <c r="E535" s="166">
        <f t="shared" ca="1" si="95"/>
        <v>4</v>
      </c>
      <c r="F535" s="177">
        <v>3</v>
      </c>
      <c r="G535" s="171"/>
      <c r="H535" s="166">
        <f t="shared" ca="1" si="96"/>
        <v>13</v>
      </c>
      <c r="I535" s="168"/>
      <c r="J535" s="177"/>
      <c r="K535" s="177"/>
      <c r="L535" s="171"/>
      <c r="M535" s="166" t="str">
        <f ca="1">IFERROR(IF(COUNTIF($B$517:$B534,"&lt;0")&lt;&gt;1,OFFSET($C533,-COUNTIF($B$517:$B534,"&lt;0")+3,0),""),"")</f>
        <v/>
      </c>
      <c r="N535" s="166">
        <f ca="1">IFERROR(IF(COUNTA($D$517:D534)=1,0,OFFSET($F533,-COUNTA($D$517:D534)+3,0)),"")</f>
        <v>1</v>
      </c>
      <c r="O535" s="166"/>
      <c r="P535" s="166">
        <f t="shared" ca="1" si="97"/>
        <v>16</v>
      </c>
      <c r="Q535" s="166"/>
      <c r="R535" s="166"/>
      <c r="S535" s="166"/>
      <c r="T535" s="171"/>
    </row>
    <row r="536" spans="1:20">
      <c r="A536" s="166" t="b">
        <v>0</v>
      </c>
      <c r="B536" s="166">
        <f t="shared" ca="1" si="94"/>
        <v>-163</v>
      </c>
      <c r="C536" s="413" t="s">
        <v>3405</v>
      </c>
      <c r="D536" s="166" t="s">
        <v>3401</v>
      </c>
      <c r="E536" s="166">
        <f t="shared" ca="1" si="95"/>
        <v>5</v>
      </c>
      <c r="F536" s="177">
        <v>3</v>
      </c>
      <c r="G536" s="171"/>
      <c r="H536" s="166">
        <f t="shared" ca="1" si="96"/>
        <v>13</v>
      </c>
      <c r="I536" s="168"/>
      <c r="J536" s="177"/>
      <c r="K536" s="177"/>
      <c r="L536" s="171"/>
      <c r="M536" s="166" t="str">
        <f ca="1">IFERROR(IF(COUNTIF($B$517:$B535,"&lt;0")&lt;&gt;1,OFFSET($C534,-COUNTIF($B$517:$B535,"&lt;0")+3,0),""),"")</f>
        <v/>
      </c>
      <c r="N536" s="166">
        <f ca="1">IFERROR(IF(COUNTA($D$517:D535)=1,0,OFFSET($F534,-COUNTA($D$517:D535)+3,0)),"")</f>
        <v>1</v>
      </c>
      <c r="O536" s="166"/>
      <c r="P536" s="166">
        <f t="shared" ca="1" si="97"/>
        <v>17</v>
      </c>
      <c r="Q536" s="166"/>
      <c r="R536" s="166"/>
      <c r="S536" s="166"/>
      <c r="T536" s="171"/>
    </row>
    <row r="537" spans="1:20">
      <c r="A537" s="166" t="b">
        <v>0</v>
      </c>
      <c r="B537" s="166">
        <f t="shared" ca="1" si="94"/>
        <v>-162</v>
      </c>
      <c r="C537" s="413" t="s">
        <v>3406</v>
      </c>
      <c r="D537" s="166" t="s">
        <v>3401</v>
      </c>
      <c r="E537" s="166">
        <f t="shared" ca="1" si="95"/>
        <v>6</v>
      </c>
      <c r="F537" s="177">
        <v>3</v>
      </c>
      <c r="G537" s="171"/>
      <c r="H537" s="166">
        <f t="shared" ca="1" si="96"/>
        <v>13</v>
      </c>
      <c r="I537" s="168"/>
      <c r="J537" s="177"/>
      <c r="K537" s="177"/>
      <c r="L537" s="171"/>
      <c r="M537" s="166" t="str">
        <f ca="1">IFERROR(IF(COUNTIF($B$517:$B536,"&lt;0")&lt;&gt;1,OFFSET($C535,-COUNTIF($B$517:$B536,"&lt;0")+3,0),""),"")</f>
        <v/>
      </c>
      <c r="N537" s="166">
        <f ca="1">IFERROR(IF(COUNTA($D$517:D536)=1,0,OFFSET($F535,-COUNTA($D$517:D536)+3,0)),"")</f>
        <v>1</v>
      </c>
      <c r="O537" s="166"/>
      <c r="P537" s="166">
        <f t="shared" ca="1" si="97"/>
        <v>18</v>
      </c>
      <c r="Q537" s="166"/>
      <c r="R537" s="166"/>
      <c r="S537" s="166"/>
      <c r="T537" s="171"/>
    </row>
    <row r="538" spans="1:20">
      <c r="A538" s="166" t="b">
        <v>0</v>
      </c>
      <c r="B538" s="166">
        <f t="shared" ca="1" si="94"/>
        <v>-161</v>
      </c>
      <c r="C538" s="413" t="s">
        <v>3407</v>
      </c>
      <c r="D538" s="166" t="s">
        <v>3408</v>
      </c>
      <c r="E538" s="166">
        <f t="shared" ca="1" si="95"/>
        <v>1</v>
      </c>
      <c r="F538" s="177">
        <v>4</v>
      </c>
      <c r="G538" s="171"/>
      <c r="H538" s="166">
        <f t="shared" ca="1" si="96"/>
        <v>15</v>
      </c>
      <c r="I538" s="168"/>
      <c r="J538" s="177"/>
      <c r="K538" s="177"/>
      <c r="L538" s="171"/>
      <c r="M538" s="166" t="str">
        <f ca="1">IFERROR(IF(COUNTIF($B$517:$B537,"&lt;0")&lt;&gt;1,OFFSET($C536,-COUNTIF($B$517:$B537,"&lt;0")+3,0),""),"")</f>
        <v/>
      </c>
      <c r="N538" s="166">
        <f ca="1">IFERROR(IF(COUNTA($D$517:D537)=1,0,OFFSET($F536,-COUNTA($D$517:D537)+3,0)),"")</f>
        <v>1</v>
      </c>
      <c r="O538" s="166"/>
      <c r="P538" s="166">
        <f t="shared" ca="1" si="97"/>
        <v>19</v>
      </c>
      <c r="Q538" s="166"/>
      <c r="R538" s="166"/>
      <c r="S538" s="166"/>
      <c r="T538" s="171"/>
    </row>
    <row r="539" spans="1:20">
      <c r="A539" s="166" t="b">
        <v>0</v>
      </c>
      <c r="B539" s="166">
        <f t="shared" ca="1" si="94"/>
        <v>-160</v>
      </c>
      <c r="C539" s="413" t="s">
        <v>3409</v>
      </c>
      <c r="D539" s="166" t="s">
        <v>3408</v>
      </c>
      <c r="E539" s="166">
        <f t="shared" ca="1" si="95"/>
        <v>2</v>
      </c>
      <c r="F539" s="177">
        <v>4</v>
      </c>
      <c r="G539" s="171"/>
      <c r="H539" s="166">
        <f t="shared" ca="1" si="96"/>
        <v>15</v>
      </c>
      <c r="I539" s="168"/>
      <c r="J539" s="177"/>
      <c r="K539" s="177"/>
      <c r="L539" s="171"/>
      <c r="M539" s="166" t="str">
        <f ca="1">IFERROR(IF(COUNTIF($B$517:$B538,"&lt;0")&lt;&gt;1,OFFSET($C537,-COUNTIF($B$517:$B538,"&lt;0")+3,0),""),"")</f>
        <v/>
      </c>
      <c r="N539" s="166">
        <f ca="1">IFERROR(IF(COUNTA($D$517:D538)=1,0,OFFSET($F537,-COUNTA($D$517:D538)+3,0)),"")</f>
        <v>1</v>
      </c>
      <c r="O539" s="166"/>
      <c r="P539" s="166">
        <f t="shared" ca="1" si="97"/>
        <v>20</v>
      </c>
      <c r="Q539" s="166"/>
      <c r="R539" s="166"/>
      <c r="S539" s="166"/>
      <c r="T539" s="171"/>
    </row>
    <row r="540" spans="1:20">
      <c r="A540" s="166" t="b">
        <v>0</v>
      </c>
      <c r="B540" s="166">
        <f t="shared" ca="1" si="94"/>
        <v>-159</v>
      </c>
      <c r="C540" s="413" t="s">
        <v>3410</v>
      </c>
      <c r="D540" s="166" t="s">
        <v>3408</v>
      </c>
      <c r="E540" s="166">
        <f t="shared" ca="1" si="95"/>
        <v>3</v>
      </c>
      <c r="F540" s="177">
        <v>4</v>
      </c>
      <c r="G540" s="171"/>
      <c r="H540" s="166">
        <f t="shared" ca="1" si="96"/>
        <v>15</v>
      </c>
      <c r="I540" s="168"/>
      <c r="J540" s="177"/>
      <c r="K540" s="177"/>
      <c r="L540" s="171"/>
      <c r="M540" s="166" t="str">
        <f ca="1">IFERROR(IF(COUNTIF($B$517:$B539,"&lt;0")&lt;&gt;1,OFFSET($C538,-COUNTIF($B$517:$B539,"&lt;0")+3,0),""),"")</f>
        <v/>
      </c>
      <c r="N540" s="166">
        <f ca="1">IFERROR(IF(COUNTA($D$517:D539)=1,0,OFFSET($F538,-COUNTA($D$517:D539)+3,0)),"")</f>
        <v>1</v>
      </c>
      <c r="O540" s="166"/>
      <c r="P540" s="166">
        <f t="shared" ca="1" si="97"/>
        <v>21</v>
      </c>
      <c r="Q540" s="166"/>
      <c r="R540" s="166"/>
      <c r="S540" s="166"/>
      <c r="T540" s="171"/>
    </row>
    <row r="541" spans="1:20">
      <c r="A541" s="166" t="b">
        <v>0</v>
      </c>
      <c r="B541" s="166">
        <f t="shared" ca="1" si="94"/>
        <v>-158</v>
      </c>
      <c r="C541" s="413" t="s">
        <v>3411</v>
      </c>
      <c r="D541" s="166" t="s">
        <v>3408</v>
      </c>
      <c r="E541" s="166">
        <f t="shared" ca="1" si="95"/>
        <v>4</v>
      </c>
      <c r="F541" s="177">
        <v>4</v>
      </c>
      <c r="G541" s="171"/>
      <c r="H541" s="166">
        <f t="shared" ca="1" si="96"/>
        <v>15</v>
      </c>
      <c r="I541" s="168"/>
      <c r="J541" s="177"/>
      <c r="K541" s="177"/>
      <c r="L541" s="171"/>
      <c r="M541" s="166" t="str">
        <f ca="1">IFERROR(IF(COUNTIF($B$517:$B540,"&lt;0")&lt;&gt;1,OFFSET($C539,-COUNTIF($B$517:$B540,"&lt;0")+3,0),""),"")</f>
        <v/>
      </c>
      <c r="N541" s="166">
        <f ca="1">IFERROR(IF(COUNTA($D$517:D540)=1,0,OFFSET($F539,-COUNTA($D$517:D540)+3,0)),"")</f>
        <v>1</v>
      </c>
      <c r="O541" s="166"/>
      <c r="P541" s="166">
        <f t="shared" ca="1" si="97"/>
        <v>22</v>
      </c>
      <c r="Q541" s="166"/>
      <c r="R541" s="166"/>
      <c r="S541" s="166"/>
      <c r="T541" s="171"/>
    </row>
    <row r="542" spans="1:20">
      <c r="A542" s="166" t="b">
        <v>0</v>
      </c>
      <c r="B542" s="166">
        <f t="shared" ca="1" si="94"/>
        <v>-157</v>
      </c>
      <c r="C542" s="413" t="s">
        <v>3412</v>
      </c>
      <c r="D542" s="166" t="s">
        <v>3408</v>
      </c>
      <c r="E542" s="166">
        <f t="shared" ca="1" si="95"/>
        <v>5</v>
      </c>
      <c r="F542" s="177">
        <v>4</v>
      </c>
      <c r="G542" s="171"/>
      <c r="H542" s="166">
        <f t="shared" ca="1" si="96"/>
        <v>15</v>
      </c>
      <c r="I542" s="168"/>
      <c r="J542" s="177"/>
      <c r="K542" s="177"/>
      <c r="L542" s="171"/>
      <c r="M542" s="166" t="str">
        <f ca="1">IFERROR(IF(COUNTIF($B$517:$B541,"&lt;0")&lt;&gt;1,OFFSET($C540,-COUNTIF($B$517:$B541,"&lt;0")+3,0),""),"")</f>
        <v/>
      </c>
      <c r="N542" s="166">
        <f ca="1">IFERROR(IF(COUNTA($D$517:D541)=1,0,OFFSET($F540,-COUNTA($D$517:D541)+3,0)),"")</f>
        <v>1</v>
      </c>
      <c r="O542" s="166"/>
      <c r="P542" s="166">
        <f t="shared" ca="1" si="97"/>
        <v>23</v>
      </c>
      <c r="Q542" s="166"/>
      <c r="R542" s="166"/>
      <c r="S542" s="166"/>
      <c r="T542" s="171"/>
    </row>
    <row r="543" spans="1:20">
      <c r="A543" s="166" t="b">
        <v>0</v>
      </c>
      <c r="B543" s="166">
        <f t="shared" ca="1" si="94"/>
        <v>-156</v>
      </c>
      <c r="C543" s="413" t="s">
        <v>3413</v>
      </c>
      <c r="D543" s="166" t="s">
        <v>3408</v>
      </c>
      <c r="E543" s="166">
        <f t="shared" ca="1" si="95"/>
        <v>6</v>
      </c>
      <c r="F543" s="177">
        <v>4</v>
      </c>
      <c r="G543" s="171"/>
      <c r="H543" s="166">
        <f t="shared" ca="1" si="96"/>
        <v>15</v>
      </c>
      <c r="I543" s="168"/>
      <c r="J543" s="177"/>
      <c r="K543" s="177"/>
      <c r="L543" s="171"/>
      <c r="M543" s="166" t="str">
        <f ca="1">IFERROR(IF(COUNTIF($B$517:$B542,"&lt;0")&lt;&gt;1,OFFSET($C541,-COUNTIF($B$517:$B542,"&lt;0")+3,0),""),"")</f>
        <v/>
      </c>
      <c r="N543" s="166">
        <f ca="1">IFERROR(IF(COUNTA($D$517:D542)=1,0,OFFSET($F541,-COUNTA($D$517:D542)+3,0)),"")</f>
        <v>1</v>
      </c>
      <c r="O543" s="166"/>
      <c r="P543" s="166">
        <f t="shared" ca="1" si="97"/>
        <v>24</v>
      </c>
      <c r="Q543" s="166"/>
      <c r="R543" s="166"/>
      <c r="S543" s="166"/>
      <c r="T543" s="171"/>
    </row>
    <row r="544" spans="1:20">
      <c r="A544" s="166" t="b">
        <v>0</v>
      </c>
      <c r="B544" s="166">
        <f t="shared" ca="1" si="94"/>
        <v>-155</v>
      </c>
      <c r="C544" s="413" t="s">
        <v>3414</v>
      </c>
      <c r="D544" s="166" t="s">
        <v>3415</v>
      </c>
      <c r="E544" s="166">
        <f t="shared" ca="1" si="95"/>
        <v>1</v>
      </c>
      <c r="F544" s="177">
        <v>5</v>
      </c>
      <c r="G544" s="171"/>
      <c r="H544" s="166">
        <f t="shared" ca="1" si="96"/>
        <v>17</v>
      </c>
      <c r="I544" s="168"/>
      <c r="J544" s="177"/>
      <c r="K544" s="177"/>
      <c r="L544" s="171"/>
      <c r="M544" s="166" t="str">
        <f ca="1">IFERROR(IF(COUNTIF($B$517:$B543,"&lt;0")&lt;&gt;1,OFFSET($C542,-COUNTIF($B$517:$B543,"&lt;0")+3,0),""),"")</f>
        <v/>
      </c>
      <c r="N544" s="166">
        <f ca="1">IFERROR(IF(COUNTA($D$517:D543)=1,0,OFFSET($F542,-COUNTA($D$517:D543)+3,0)),"")</f>
        <v>1</v>
      </c>
      <c r="O544" s="166"/>
      <c r="P544" s="166">
        <f t="shared" ca="1" si="97"/>
        <v>25</v>
      </c>
      <c r="Q544" s="166"/>
      <c r="R544" s="166"/>
      <c r="S544" s="166"/>
      <c r="T544" s="171"/>
    </row>
    <row r="545" spans="1:20">
      <c r="A545" s="166" t="b">
        <v>0</v>
      </c>
      <c r="B545" s="166">
        <f t="shared" ca="1" si="94"/>
        <v>-154</v>
      </c>
      <c r="C545" s="413" t="s">
        <v>3416</v>
      </c>
      <c r="D545" s="166" t="s">
        <v>3415</v>
      </c>
      <c r="E545" s="166">
        <f t="shared" ca="1" si="95"/>
        <v>2</v>
      </c>
      <c r="F545" s="177">
        <v>5</v>
      </c>
      <c r="G545" s="171"/>
      <c r="H545" s="166">
        <f t="shared" ca="1" si="96"/>
        <v>17</v>
      </c>
      <c r="I545" s="168"/>
      <c r="J545" s="177"/>
      <c r="K545" s="177"/>
      <c r="L545" s="171"/>
      <c r="M545" s="166" t="str">
        <f ca="1">IFERROR(IF(COUNTIF($B$517:$B544,"&lt;0")&lt;&gt;1,OFFSET($C543,-COUNTIF($B$517:$B544,"&lt;0")+3,0),""),"")</f>
        <v/>
      </c>
      <c r="N545" s="166">
        <f ca="1">IFERROR(IF(COUNTA($D$517:D544)=1,0,OFFSET($F543,-COUNTA($D$517:D544)+3,0)),"")</f>
        <v>1</v>
      </c>
      <c r="O545" s="166"/>
      <c r="P545" s="166">
        <f t="shared" ca="1" si="97"/>
        <v>26</v>
      </c>
      <c r="Q545" s="166"/>
      <c r="R545" s="166"/>
      <c r="S545" s="166"/>
      <c r="T545" s="171"/>
    </row>
    <row r="546" spans="1:20">
      <c r="A546" s="166" t="b">
        <v>0</v>
      </c>
      <c r="B546" s="166">
        <f t="shared" ca="1" si="94"/>
        <v>-153</v>
      </c>
      <c r="C546" s="413" t="s">
        <v>3417</v>
      </c>
      <c r="D546" s="166" t="s">
        <v>3415</v>
      </c>
      <c r="E546" s="166">
        <f t="shared" ca="1" si="95"/>
        <v>3</v>
      </c>
      <c r="F546" s="177">
        <v>5</v>
      </c>
      <c r="G546" s="171"/>
      <c r="H546" s="166">
        <f t="shared" ca="1" si="96"/>
        <v>17</v>
      </c>
      <c r="I546" s="168"/>
      <c r="J546" s="177"/>
      <c r="K546" s="177"/>
      <c r="L546" s="171"/>
      <c r="M546" s="166" t="str">
        <f ca="1">IFERROR(IF(COUNTIF($B$517:$B545,"&lt;0")&lt;&gt;1,OFFSET($C544,-COUNTIF($B$517:$B545,"&lt;0")+3,0),""),"")</f>
        <v/>
      </c>
      <c r="N546" s="166">
        <f ca="1">IFERROR(IF(COUNTA($D$517:D545)=1,0,OFFSET($F544,-COUNTA($D$517:D545)+3,0)),"")</f>
        <v>1</v>
      </c>
      <c r="O546" s="166"/>
      <c r="P546" s="166">
        <f t="shared" ca="1" si="97"/>
        <v>27</v>
      </c>
      <c r="Q546" s="166"/>
      <c r="R546" s="166"/>
      <c r="S546" s="166"/>
      <c r="T546" s="171"/>
    </row>
    <row r="547" spans="1:20">
      <c r="A547" s="166" t="b">
        <v>0</v>
      </c>
      <c r="B547" s="166">
        <f t="shared" ca="1" si="94"/>
        <v>-152</v>
      </c>
      <c r="C547" s="413" t="s">
        <v>3418</v>
      </c>
      <c r="D547" s="166" t="s">
        <v>3415</v>
      </c>
      <c r="E547" s="166">
        <f t="shared" ca="1" si="95"/>
        <v>4</v>
      </c>
      <c r="F547" s="177">
        <v>5</v>
      </c>
      <c r="G547" s="171"/>
      <c r="H547" s="166">
        <f t="shared" ca="1" si="96"/>
        <v>17</v>
      </c>
      <c r="I547" s="168"/>
      <c r="J547" s="177"/>
      <c r="K547" s="177"/>
      <c r="L547" s="171"/>
      <c r="M547" s="166" t="str">
        <f ca="1">IFERROR(IF(COUNTIF($B$517:$B546,"&lt;0")&lt;&gt;1,OFFSET($C545,-COUNTIF($B$517:$B546,"&lt;0")+3,0),""),"")</f>
        <v/>
      </c>
      <c r="N547" s="166">
        <f ca="1">IFERROR(IF(COUNTA($D$517:D546)=1,0,OFFSET($F545,-COUNTA($D$517:D546)+3,0)),"")</f>
        <v>1</v>
      </c>
      <c r="O547" s="166"/>
      <c r="P547" s="166">
        <f t="shared" ca="1" si="97"/>
        <v>28</v>
      </c>
      <c r="Q547" s="166"/>
      <c r="R547" s="166"/>
      <c r="S547" s="166"/>
      <c r="T547" s="171"/>
    </row>
    <row r="548" spans="1:20">
      <c r="A548" s="166" t="b">
        <v>0</v>
      </c>
      <c r="B548" s="166">
        <f t="shared" ca="1" si="94"/>
        <v>-151</v>
      </c>
      <c r="C548" s="413" t="s">
        <v>3419</v>
      </c>
      <c r="D548" s="166" t="s">
        <v>3415</v>
      </c>
      <c r="E548" s="166">
        <f t="shared" ca="1" si="95"/>
        <v>5</v>
      </c>
      <c r="F548" s="177">
        <v>5</v>
      </c>
      <c r="G548" s="171"/>
      <c r="H548" s="166">
        <f t="shared" ca="1" si="96"/>
        <v>17</v>
      </c>
      <c r="I548" s="168"/>
      <c r="J548" s="177"/>
      <c r="K548" s="177"/>
      <c r="L548" s="171"/>
      <c r="M548" s="166" t="str">
        <f ca="1">IFERROR(IF(COUNTIF($B$517:$B547,"&lt;0")&lt;&gt;1,OFFSET($C546,-COUNTIF($B$517:$B547,"&lt;0")+3,0),""),"")</f>
        <v/>
      </c>
      <c r="N548" s="166">
        <f ca="1">IFERROR(IF(COUNTA($D$517:D547)=1,0,OFFSET($F546,-COUNTA($D$517:D547)+3,0)),"")</f>
        <v>1</v>
      </c>
      <c r="O548" s="166"/>
      <c r="P548" s="166">
        <f t="shared" ca="1" si="97"/>
        <v>29</v>
      </c>
      <c r="Q548" s="166"/>
      <c r="R548" s="166"/>
      <c r="S548" s="166"/>
      <c r="T548" s="171"/>
    </row>
    <row r="549" spans="1:20">
      <c r="A549" s="166" t="b">
        <v>0</v>
      </c>
      <c r="B549" s="166">
        <f t="shared" ca="1" si="94"/>
        <v>-150</v>
      </c>
      <c r="C549" s="413" t="s">
        <v>3420</v>
      </c>
      <c r="D549" s="166" t="s">
        <v>3415</v>
      </c>
      <c r="E549" s="166">
        <f t="shared" ca="1" si="95"/>
        <v>6</v>
      </c>
      <c r="F549" s="177">
        <v>5</v>
      </c>
      <c r="G549" s="171"/>
      <c r="H549" s="166">
        <f t="shared" ca="1" si="96"/>
        <v>17</v>
      </c>
      <c r="I549" s="168"/>
      <c r="J549" s="177"/>
      <c r="K549" s="177"/>
      <c r="L549" s="171"/>
      <c r="M549" s="166" t="str">
        <f ca="1">IFERROR(IF(COUNTIF($B$517:$B548,"&lt;0")&lt;&gt;1,OFFSET($C547,-COUNTIF($B$517:$B548,"&lt;0")+3,0),""),"")</f>
        <v/>
      </c>
      <c r="N549" s="166">
        <f ca="1">IFERROR(IF(COUNTA($D$517:D548)=1,0,OFFSET($F547,-COUNTA($D$517:D548)+3,0)),"")</f>
        <v>1</v>
      </c>
      <c r="O549" s="166"/>
      <c r="P549" s="166">
        <f t="shared" ca="1" si="97"/>
        <v>30</v>
      </c>
      <c r="Q549" s="166"/>
      <c r="R549" s="166"/>
      <c r="S549" s="166"/>
      <c r="T549" s="171"/>
    </row>
    <row r="550" spans="1:20">
      <c r="A550" s="166" t="b">
        <v>0</v>
      </c>
      <c r="B550" s="166">
        <f t="shared" ca="1" si="94"/>
        <v>-149</v>
      </c>
      <c r="C550" s="413" t="s">
        <v>3421</v>
      </c>
      <c r="D550" s="166" t="s">
        <v>3422</v>
      </c>
      <c r="E550" s="166">
        <f t="shared" ca="1" si="95"/>
        <v>1</v>
      </c>
      <c r="F550" s="177">
        <v>6</v>
      </c>
      <c r="G550" s="171"/>
      <c r="H550" s="166">
        <f t="shared" ca="1" si="96"/>
        <v>19</v>
      </c>
      <c r="I550" s="168"/>
      <c r="J550" s="177"/>
      <c r="K550" s="177"/>
      <c r="L550" s="171"/>
      <c r="M550" s="166" t="str">
        <f ca="1">IFERROR(IF(COUNTIF($B$517:$B549,"&lt;0")&lt;&gt;1,OFFSET($C548,-COUNTIF($B$517:$B549,"&lt;0")+3,0),""),"")</f>
        <v/>
      </c>
      <c r="N550" s="166">
        <f ca="1">IFERROR(IF(COUNTA($D$517:D549)=1,0,OFFSET($F548,-COUNTA($D$517:D549)+3,0)),"")</f>
        <v>1</v>
      </c>
      <c r="O550" s="166"/>
      <c r="P550" s="166">
        <f t="shared" ca="1" si="97"/>
        <v>31</v>
      </c>
      <c r="Q550" s="166"/>
      <c r="R550" s="166"/>
      <c r="S550" s="166"/>
      <c r="T550" s="171"/>
    </row>
    <row r="551" spans="1:20">
      <c r="A551" s="166" t="b">
        <v>0</v>
      </c>
      <c r="B551" s="166">
        <f t="shared" ca="1" si="94"/>
        <v>-148</v>
      </c>
      <c r="C551" s="413" t="s">
        <v>3423</v>
      </c>
      <c r="D551" s="166" t="s">
        <v>3422</v>
      </c>
      <c r="E551" s="166">
        <f t="shared" ca="1" si="95"/>
        <v>2</v>
      </c>
      <c r="F551" s="177">
        <v>6</v>
      </c>
      <c r="G551" s="171"/>
      <c r="H551" s="166">
        <f t="shared" ca="1" si="96"/>
        <v>19</v>
      </c>
      <c r="I551" s="168"/>
      <c r="J551" s="177"/>
      <c r="K551" s="177"/>
      <c r="L551" s="171"/>
      <c r="M551" s="166" t="str">
        <f ca="1">IFERROR(IF(COUNTIF($B$517:$B550,"&lt;0")&lt;&gt;1,OFFSET($C549,-COUNTIF($B$517:$B550,"&lt;0")+3,0),""),"")</f>
        <v/>
      </c>
      <c r="N551" s="166">
        <f ca="1">IFERROR(IF(COUNTA($D$517:D550)=1,0,OFFSET($F549,-COUNTA($D$517:D550)+3,0)),"")</f>
        <v>1</v>
      </c>
      <c r="O551" s="166"/>
      <c r="P551" s="166">
        <f t="shared" ca="1" si="97"/>
        <v>32</v>
      </c>
      <c r="Q551" s="166"/>
      <c r="R551" s="166"/>
      <c r="S551" s="166"/>
      <c r="T551" s="171"/>
    </row>
    <row r="552" spans="1:20">
      <c r="A552" s="166" t="b">
        <v>0</v>
      </c>
      <c r="B552" s="166">
        <f t="shared" ca="1" si="94"/>
        <v>-147</v>
      </c>
      <c r="C552" s="413" t="s">
        <v>3424</v>
      </c>
      <c r="D552" s="166" t="s">
        <v>3422</v>
      </c>
      <c r="E552" s="166">
        <f t="shared" ca="1" si="95"/>
        <v>3</v>
      </c>
      <c r="F552" s="177">
        <v>6</v>
      </c>
      <c r="G552" s="171"/>
      <c r="H552" s="166">
        <f t="shared" ca="1" si="96"/>
        <v>19</v>
      </c>
      <c r="I552" s="168"/>
      <c r="J552" s="177"/>
      <c r="K552" s="177"/>
      <c r="L552" s="171"/>
      <c r="M552" s="166" t="str">
        <f ca="1">IFERROR(IF(COUNTIF($B$517:$B551,"&lt;0")&lt;&gt;1,OFFSET($C550,-COUNTIF($B$517:$B551,"&lt;0")+3,0),""),"")</f>
        <v/>
      </c>
      <c r="N552" s="166">
        <f ca="1">IFERROR(IF(COUNTA($D$517:D551)=1,0,OFFSET($F550,-COUNTA($D$517:D551)+3,0)),"")</f>
        <v>1</v>
      </c>
      <c r="O552" s="166"/>
      <c r="P552" s="166">
        <f t="shared" ca="1" si="97"/>
        <v>33</v>
      </c>
      <c r="Q552" s="166"/>
      <c r="R552" s="166"/>
      <c r="S552" s="166"/>
      <c r="T552" s="171"/>
    </row>
    <row r="553" spans="1:20">
      <c r="A553" s="166" t="b">
        <v>0</v>
      </c>
      <c r="B553" s="166">
        <f t="shared" ca="1" si="94"/>
        <v>-146</v>
      </c>
      <c r="C553" s="413" t="s">
        <v>3425</v>
      </c>
      <c r="D553" s="166" t="s">
        <v>3422</v>
      </c>
      <c r="E553" s="166">
        <f t="shared" ca="1" si="95"/>
        <v>4</v>
      </c>
      <c r="F553" s="177">
        <v>6</v>
      </c>
      <c r="G553" s="171"/>
      <c r="H553" s="166">
        <f t="shared" ca="1" si="96"/>
        <v>19</v>
      </c>
      <c r="I553" s="168"/>
      <c r="J553" s="177"/>
      <c r="K553" s="177"/>
      <c r="L553" s="171"/>
      <c r="M553" s="166" t="str">
        <f ca="1">IFERROR(IF(COUNTIF($B$517:$B552,"&lt;0")&lt;&gt;1,OFFSET($C551,-COUNTIF($B$517:$B552,"&lt;0")+3,0),""),"")</f>
        <v/>
      </c>
      <c r="N553" s="166">
        <f ca="1">IFERROR(IF(COUNTA($D$517:D552)=1,0,OFFSET($F551,-COUNTA($D$517:D552)+3,0)),"")</f>
        <v>1</v>
      </c>
      <c r="O553" s="166"/>
      <c r="P553" s="166">
        <f t="shared" ca="1" si="97"/>
        <v>34</v>
      </c>
      <c r="Q553" s="166"/>
      <c r="R553" s="166"/>
      <c r="S553" s="166"/>
      <c r="T553" s="171"/>
    </row>
    <row r="554" spans="1:20">
      <c r="A554" s="166" t="b">
        <v>0</v>
      </c>
      <c r="B554" s="166">
        <f t="shared" ca="1" si="94"/>
        <v>-145</v>
      </c>
      <c r="C554" s="413" t="s">
        <v>3426</v>
      </c>
      <c r="D554" s="166" t="s">
        <v>3422</v>
      </c>
      <c r="E554" s="166">
        <f t="shared" ca="1" si="95"/>
        <v>5</v>
      </c>
      <c r="F554" s="177">
        <v>6</v>
      </c>
      <c r="G554" s="171"/>
      <c r="H554" s="166">
        <f t="shared" ca="1" si="96"/>
        <v>19</v>
      </c>
      <c r="I554" s="168"/>
      <c r="J554" s="177"/>
      <c r="K554" s="177"/>
      <c r="L554" s="171"/>
      <c r="M554" s="166" t="str">
        <f ca="1">IFERROR(IF(COUNTIF($B$517:$B553,"&lt;0")&lt;&gt;1,OFFSET($C552,-COUNTIF($B$517:$B553,"&lt;0")+3,0),""),"")</f>
        <v/>
      </c>
      <c r="N554" s="166">
        <f ca="1">IFERROR(IF(COUNTA($D$517:D553)=1,0,OFFSET($F552,-COUNTA($D$517:D553)+3,0)),"")</f>
        <v>1</v>
      </c>
      <c r="O554" s="166"/>
      <c r="P554" s="166">
        <f t="shared" ca="1" si="97"/>
        <v>35</v>
      </c>
      <c r="Q554" s="166"/>
      <c r="R554" s="166"/>
      <c r="S554" s="166"/>
      <c r="T554" s="171"/>
    </row>
    <row r="555" spans="1:20">
      <c r="A555" s="166" t="b">
        <v>0</v>
      </c>
      <c r="B555" s="166">
        <f t="shared" ca="1" si="94"/>
        <v>-144</v>
      </c>
      <c r="C555" s="413" t="s">
        <v>3427</v>
      </c>
      <c r="D555" s="166" t="s">
        <v>3422</v>
      </c>
      <c r="E555" s="166">
        <f t="shared" ca="1" si="95"/>
        <v>6</v>
      </c>
      <c r="F555" s="177">
        <v>6</v>
      </c>
      <c r="G555" s="171"/>
      <c r="H555" s="166">
        <f t="shared" ca="1" si="96"/>
        <v>19</v>
      </c>
      <c r="I555" s="168"/>
      <c r="J555" s="177"/>
      <c r="K555" s="177"/>
      <c r="L555" s="171"/>
      <c r="M555" s="166" t="str">
        <f ca="1">IFERROR(IF(COUNTIF($B$517:$B554,"&lt;0")&lt;&gt;1,OFFSET($C553,-COUNTIF($B$517:$B554,"&lt;0")+3,0),""),"")</f>
        <v/>
      </c>
      <c r="N555" s="166">
        <f ca="1">IFERROR(IF(COUNTA($D$517:D554)=1,0,OFFSET($F553,-COUNTA($D$517:D554)+3,0)),"")</f>
        <v>1</v>
      </c>
      <c r="O555" s="166"/>
      <c r="P555" s="166">
        <f t="shared" ca="1" si="97"/>
        <v>36</v>
      </c>
      <c r="Q555" s="166"/>
      <c r="R555" s="166"/>
      <c r="S555" s="166"/>
      <c r="T555" s="171"/>
    </row>
    <row r="556" spans="1:20">
      <c r="A556" s="166" t="b">
        <v>0</v>
      </c>
      <c r="B556" s="166">
        <f t="shared" ca="1" si="94"/>
        <v>-143</v>
      </c>
      <c r="C556" s="413" t="s">
        <v>3428</v>
      </c>
      <c r="D556" s="166" t="s">
        <v>3429</v>
      </c>
      <c r="E556" s="166">
        <f t="shared" ca="1" si="95"/>
        <v>1</v>
      </c>
      <c r="F556" s="177">
        <v>7</v>
      </c>
      <c r="G556" s="171"/>
      <c r="H556" s="166">
        <f t="shared" ca="1" si="96"/>
        <v>21</v>
      </c>
      <c r="I556" s="168"/>
      <c r="J556" s="177"/>
      <c r="K556" s="177"/>
      <c r="L556" s="171"/>
      <c r="M556" s="166" t="str">
        <f ca="1">IFERROR(IF(COUNTIF($B$517:$B555,"&lt;0")&lt;&gt;1,OFFSET($C554,-COUNTIF($B$517:$B555,"&lt;0")+3,0),""),"")</f>
        <v/>
      </c>
      <c r="N556" s="166">
        <f ca="1">IFERROR(IF(COUNTA($D$517:D555)=1,0,OFFSET($F554,-COUNTA($D$517:D555)+3,0)),"")</f>
        <v>1</v>
      </c>
      <c r="O556" s="166"/>
      <c r="P556" s="166">
        <f t="shared" ca="1" si="97"/>
        <v>37</v>
      </c>
      <c r="Q556" s="166"/>
      <c r="R556" s="166"/>
      <c r="S556" s="166"/>
      <c r="T556" s="171"/>
    </row>
    <row r="557" spans="1:20">
      <c r="A557" s="166" t="b">
        <v>0</v>
      </c>
      <c r="B557" s="166">
        <f t="shared" ca="1" si="94"/>
        <v>-142</v>
      </c>
      <c r="C557" s="413" t="s">
        <v>3430</v>
      </c>
      <c r="D557" s="166" t="s">
        <v>3429</v>
      </c>
      <c r="E557" s="166">
        <f t="shared" ca="1" si="95"/>
        <v>2</v>
      </c>
      <c r="F557" s="177">
        <v>7</v>
      </c>
      <c r="G557" s="171"/>
      <c r="H557" s="166">
        <f t="shared" ca="1" si="96"/>
        <v>21</v>
      </c>
      <c r="I557" s="168"/>
      <c r="J557" s="177"/>
      <c r="K557" s="177"/>
      <c r="L557" s="171"/>
      <c r="M557" s="166" t="str">
        <f ca="1">IFERROR(IF(COUNTIF($B$517:$B556,"&lt;0")&lt;&gt;1,OFFSET($C555,-COUNTIF($B$517:$B556,"&lt;0")+3,0),""),"")</f>
        <v/>
      </c>
      <c r="N557" s="166">
        <f ca="1">IFERROR(IF(COUNTA($D$517:D556)=1,0,OFFSET($F555,-COUNTA($D$517:D556)+3,0)),"")</f>
        <v>1</v>
      </c>
      <c r="O557" s="166"/>
      <c r="P557" s="166">
        <f t="shared" ca="1" si="97"/>
        <v>38</v>
      </c>
      <c r="Q557" s="166"/>
      <c r="R557" s="166"/>
      <c r="S557" s="166"/>
      <c r="T557" s="171"/>
    </row>
    <row r="558" spans="1:20">
      <c r="A558" s="166" t="b">
        <v>0</v>
      </c>
      <c r="B558" s="166">
        <f t="shared" ca="1" si="94"/>
        <v>-141</v>
      </c>
      <c r="C558" s="413" t="s">
        <v>3431</v>
      </c>
      <c r="D558" s="166" t="s">
        <v>3429</v>
      </c>
      <c r="E558" s="166">
        <f t="shared" ca="1" si="95"/>
        <v>3</v>
      </c>
      <c r="F558" s="177">
        <v>7</v>
      </c>
      <c r="G558" s="171"/>
      <c r="H558" s="166">
        <f t="shared" ca="1" si="96"/>
        <v>21</v>
      </c>
      <c r="I558" s="168"/>
      <c r="J558" s="177"/>
      <c r="K558" s="177"/>
      <c r="L558" s="171"/>
      <c r="M558" s="166" t="str">
        <f ca="1">IFERROR(IF(COUNTIF($B$517:$B557,"&lt;0")&lt;&gt;1,OFFSET($C556,-COUNTIF($B$517:$B557,"&lt;0")+3,0),""),"")</f>
        <v/>
      </c>
      <c r="N558" s="166">
        <f ca="1">IFERROR(IF(COUNTA($D$517:D557)=1,0,OFFSET($F556,-COUNTA($D$517:D557)+3,0)),"")</f>
        <v>1</v>
      </c>
      <c r="O558" s="166"/>
      <c r="P558" s="166">
        <f t="shared" ca="1" si="97"/>
        <v>39</v>
      </c>
      <c r="Q558" s="166"/>
      <c r="R558" s="166"/>
      <c r="S558" s="166"/>
      <c r="T558" s="171"/>
    </row>
    <row r="559" spans="1:20">
      <c r="A559" s="166" t="b">
        <v>0</v>
      </c>
      <c r="B559" s="166">
        <f t="shared" ca="1" si="94"/>
        <v>-140</v>
      </c>
      <c r="C559" s="413" t="s">
        <v>3432</v>
      </c>
      <c r="D559" s="166" t="s">
        <v>3429</v>
      </c>
      <c r="E559" s="166">
        <f t="shared" ca="1" si="95"/>
        <v>4</v>
      </c>
      <c r="F559" s="177">
        <v>7</v>
      </c>
      <c r="G559" s="171"/>
      <c r="H559" s="166">
        <f t="shared" ca="1" si="96"/>
        <v>21</v>
      </c>
      <c r="I559" s="168"/>
      <c r="J559" s="177"/>
      <c r="K559" s="177"/>
      <c r="L559" s="171"/>
      <c r="M559" s="166" t="str">
        <f ca="1">IFERROR(IF(COUNTIF($B$517:$B558,"&lt;0")&lt;&gt;1,OFFSET($C557,-COUNTIF($B$517:$B558,"&lt;0")+3,0),""),"")</f>
        <v/>
      </c>
      <c r="N559" s="166">
        <f ca="1">IFERROR(IF(COUNTA($D$517:D558)=1,0,OFFSET($F557,-COUNTA($D$517:D558)+3,0)),"")</f>
        <v>1</v>
      </c>
      <c r="O559" s="166"/>
      <c r="P559" s="166">
        <f t="shared" ca="1" si="97"/>
        <v>40</v>
      </c>
      <c r="Q559" s="166"/>
      <c r="R559" s="166"/>
      <c r="S559" s="166"/>
      <c r="T559" s="171"/>
    </row>
    <row r="560" spans="1:20">
      <c r="A560" s="166" t="b">
        <v>0</v>
      </c>
      <c r="B560" s="166">
        <f t="shared" ca="1" si="94"/>
        <v>-139</v>
      </c>
      <c r="C560" s="413" t="s">
        <v>3433</v>
      </c>
      <c r="D560" s="166" t="s">
        <v>3429</v>
      </c>
      <c r="E560" s="166">
        <f t="shared" ca="1" si="95"/>
        <v>5</v>
      </c>
      <c r="F560" s="177">
        <v>7</v>
      </c>
      <c r="G560" s="171"/>
      <c r="H560" s="166">
        <f t="shared" ca="1" si="96"/>
        <v>21</v>
      </c>
      <c r="I560" s="168"/>
      <c r="J560" s="177"/>
      <c r="K560" s="177"/>
      <c r="L560" s="171"/>
      <c r="M560" s="166" t="str">
        <f ca="1">IFERROR(IF(COUNTIF($B$517:$B559,"&lt;0")&lt;&gt;1,OFFSET($C558,-COUNTIF($B$517:$B559,"&lt;0")+3,0),""),"")</f>
        <v/>
      </c>
      <c r="N560" s="166">
        <f ca="1">IFERROR(IF(COUNTA($D$517:D559)=1,0,OFFSET($F558,-COUNTA($D$517:D559)+3,0)),"")</f>
        <v>1</v>
      </c>
      <c r="O560" s="166"/>
      <c r="P560" s="166">
        <f t="shared" ca="1" si="97"/>
        <v>41</v>
      </c>
      <c r="Q560" s="166"/>
      <c r="R560" s="166"/>
      <c r="S560" s="166"/>
      <c r="T560" s="171"/>
    </row>
    <row r="561" spans="1:20">
      <c r="A561" s="166" t="b">
        <v>0</v>
      </c>
      <c r="B561" s="166">
        <f t="shared" ca="1" si="94"/>
        <v>-138</v>
      </c>
      <c r="C561" s="413" t="s">
        <v>3434</v>
      </c>
      <c r="D561" s="166" t="s">
        <v>3429</v>
      </c>
      <c r="E561" s="166">
        <f t="shared" ca="1" si="95"/>
        <v>6</v>
      </c>
      <c r="F561" s="177">
        <v>7</v>
      </c>
      <c r="G561" s="171"/>
      <c r="H561" s="166">
        <f t="shared" ca="1" si="96"/>
        <v>21</v>
      </c>
      <c r="I561" s="168"/>
      <c r="J561" s="177"/>
      <c r="K561" s="177"/>
      <c r="L561" s="171"/>
      <c r="M561" s="166" t="str">
        <f ca="1">IFERROR(IF(COUNTIF($B$517:$B560,"&lt;0")&lt;&gt;1,OFFSET($C559,-COUNTIF($B$517:$B560,"&lt;0")+3,0),""),"")</f>
        <v/>
      </c>
      <c r="N561" s="166">
        <f ca="1">IFERROR(IF(COUNTA($D$517:D560)=1,0,OFFSET($F559,-COUNTA($D$517:D560)+3,0)),"")</f>
        <v>1</v>
      </c>
      <c r="O561" s="166"/>
      <c r="P561" s="166">
        <f t="shared" ca="1" si="97"/>
        <v>42</v>
      </c>
      <c r="Q561" s="166"/>
      <c r="R561" s="166"/>
      <c r="S561" s="166"/>
      <c r="T561" s="171"/>
    </row>
    <row r="562" spans="1:20">
      <c r="A562" s="166" t="b">
        <v>0</v>
      </c>
      <c r="B562" s="166">
        <f t="shared" ca="1" si="94"/>
        <v>-137</v>
      </c>
      <c r="C562" s="413" t="s">
        <v>3435</v>
      </c>
      <c r="D562" s="166" t="s">
        <v>3436</v>
      </c>
      <c r="E562" s="166">
        <f t="shared" ca="1" si="95"/>
        <v>1</v>
      </c>
      <c r="F562" s="177">
        <v>8</v>
      </c>
      <c r="G562" s="171"/>
      <c r="H562" s="166">
        <f t="shared" ca="1" si="96"/>
        <v>23</v>
      </c>
      <c r="I562" s="168"/>
      <c r="J562" s="177"/>
      <c r="K562" s="177"/>
      <c r="L562" s="171"/>
      <c r="M562" s="166" t="str">
        <f ca="1">IFERROR(IF(COUNTIF($B$517:$B561,"&lt;0")&lt;&gt;1,OFFSET($C560,-COUNTIF($B$517:$B561,"&lt;0")+3,0),""),"")</f>
        <v/>
      </c>
      <c r="N562" s="166">
        <f ca="1">IFERROR(IF(COUNTA($D$517:D561)=1,0,OFFSET($F560,-COUNTA($D$517:D561)+3,0)),"")</f>
        <v>1</v>
      </c>
      <c r="O562" s="166"/>
      <c r="P562" s="166">
        <f t="shared" ca="1" si="97"/>
        <v>43</v>
      </c>
      <c r="Q562" s="166"/>
      <c r="R562" s="166"/>
      <c r="S562" s="166"/>
      <c r="T562" s="171"/>
    </row>
    <row r="563" spans="1:20">
      <c r="A563" s="166" t="b">
        <v>0</v>
      </c>
      <c r="B563" s="166">
        <f t="shared" ca="1" si="94"/>
        <v>-136</v>
      </c>
      <c r="C563" s="413" t="s">
        <v>3437</v>
      </c>
      <c r="D563" s="166" t="s">
        <v>3436</v>
      </c>
      <c r="E563" s="166">
        <f t="shared" ca="1" si="95"/>
        <v>2</v>
      </c>
      <c r="F563" s="177">
        <v>8</v>
      </c>
      <c r="G563" s="171"/>
      <c r="H563" s="166">
        <f t="shared" ca="1" si="96"/>
        <v>23</v>
      </c>
      <c r="I563" s="168"/>
      <c r="J563" s="177"/>
      <c r="K563" s="177"/>
      <c r="L563" s="171"/>
      <c r="M563" s="166" t="str">
        <f ca="1">IFERROR(IF(COUNTIF($B$517:$B562,"&lt;0")&lt;&gt;1,OFFSET($C561,-COUNTIF($B$517:$B562,"&lt;0")+3,0),""),"")</f>
        <v/>
      </c>
      <c r="N563" s="166">
        <f ca="1">IFERROR(IF(COUNTA($D$517:D562)=1,0,OFFSET($F561,-COUNTA($D$517:D562)+3,0)),"")</f>
        <v>1</v>
      </c>
      <c r="O563" s="166"/>
      <c r="P563" s="166">
        <f t="shared" ca="1" si="97"/>
        <v>44</v>
      </c>
      <c r="Q563" s="166"/>
      <c r="R563" s="166"/>
      <c r="S563" s="166"/>
      <c r="T563" s="171"/>
    </row>
    <row r="564" spans="1:20">
      <c r="A564" s="166" t="b">
        <v>0</v>
      </c>
      <c r="B564" s="166">
        <f t="shared" ca="1" si="94"/>
        <v>-135</v>
      </c>
      <c r="C564" s="413" t="s">
        <v>3438</v>
      </c>
      <c r="D564" s="166" t="s">
        <v>3436</v>
      </c>
      <c r="E564" s="166">
        <f t="shared" ca="1" si="95"/>
        <v>3</v>
      </c>
      <c r="F564" s="177">
        <v>8</v>
      </c>
      <c r="G564" s="171"/>
      <c r="H564" s="166">
        <f t="shared" ca="1" si="96"/>
        <v>23</v>
      </c>
      <c r="I564" s="168"/>
      <c r="J564" s="177"/>
      <c r="K564" s="177"/>
      <c r="L564" s="171"/>
      <c r="M564" s="166" t="str">
        <f ca="1">IFERROR(IF(COUNTIF($B$517:$B563,"&lt;0")&lt;&gt;1,OFFSET($C562,-COUNTIF($B$517:$B563,"&lt;0")+3,0),""),"")</f>
        <v/>
      </c>
      <c r="N564" s="166">
        <f ca="1">IFERROR(IF(COUNTA($D$517:D563)=1,0,OFFSET($F562,-COUNTA($D$517:D563)+3,0)),"")</f>
        <v>1</v>
      </c>
      <c r="O564" s="166"/>
      <c r="P564" s="166">
        <f t="shared" ca="1" si="97"/>
        <v>45</v>
      </c>
      <c r="Q564" s="166"/>
      <c r="R564" s="166"/>
      <c r="S564" s="166"/>
      <c r="T564" s="171"/>
    </row>
    <row r="565" spans="1:20">
      <c r="A565" s="166" t="b">
        <v>0</v>
      </c>
      <c r="B565" s="166">
        <f t="shared" ca="1" si="94"/>
        <v>-134</v>
      </c>
      <c r="C565" s="413" t="s">
        <v>3439</v>
      </c>
      <c r="D565" s="166" t="s">
        <v>3436</v>
      </c>
      <c r="E565" s="166">
        <f t="shared" ca="1" si="95"/>
        <v>4</v>
      </c>
      <c r="F565" s="177">
        <v>8</v>
      </c>
      <c r="G565" s="171"/>
      <c r="H565" s="166">
        <f t="shared" ca="1" si="96"/>
        <v>23</v>
      </c>
      <c r="I565" s="168"/>
      <c r="J565" s="177"/>
      <c r="K565" s="177"/>
      <c r="L565" s="171"/>
      <c r="M565" s="166" t="str">
        <f ca="1">IFERROR(IF(COUNTIF($B$517:$B564,"&lt;0")&lt;&gt;1,OFFSET($C563,-COUNTIF($B$517:$B564,"&lt;0")+3,0),""),"")</f>
        <v/>
      </c>
      <c r="N565" s="166">
        <f ca="1">IFERROR(IF(COUNTA($D$517:D564)=1,0,OFFSET($F563,-COUNTA($D$517:D564)+3,0)),"")</f>
        <v>1</v>
      </c>
      <c r="O565" s="166"/>
      <c r="P565" s="166">
        <f t="shared" ca="1" si="97"/>
        <v>46</v>
      </c>
      <c r="Q565" s="166"/>
      <c r="R565" s="166"/>
      <c r="S565" s="166"/>
      <c r="T565" s="171"/>
    </row>
    <row r="566" spans="1:20">
      <c r="A566" s="166" t="b">
        <v>0</v>
      </c>
      <c r="B566" s="166">
        <f t="shared" ca="1" si="94"/>
        <v>-133</v>
      </c>
      <c r="C566" s="413" t="s">
        <v>3440</v>
      </c>
      <c r="D566" s="166" t="s">
        <v>3436</v>
      </c>
      <c r="E566" s="166">
        <f t="shared" ca="1" si="95"/>
        <v>5</v>
      </c>
      <c r="F566" s="177">
        <v>8</v>
      </c>
      <c r="G566" s="171"/>
      <c r="H566" s="166">
        <f t="shared" ca="1" si="96"/>
        <v>23</v>
      </c>
      <c r="I566" s="168"/>
      <c r="J566" s="177"/>
      <c r="K566" s="177"/>
      <c r="L566" s="171"/>
      <c r="M566" s="166" t="str">
        <f ca="1">IFERROR(IF(COUNTIF($B$517:$B565,"&lt;0")&lt;&gt;1,OFFSET($C564,-COUNTIF($B$517:$B565,"&lt;0")+3,0),""),"")</f>
        <v/>
      </c>
      <c r="N566" s="166">
        <f ca="1">IFERROR(IF(COUNTA($D$517:D565)=1,0,OFFSET($F564,-COUNTA($D$517:D565)+3,0)),"")</f>
        <v>1</v>
      </c>
      <c r="O566" s="166"/>
      <c r="P566" s="166">
        <f t="shared" ca="1" si="97"/>
        <v>47</v>
      </c>
      <c r="Q566" s="166"/>
      <c r="R566" s="166"/>
      <c r="S566" s="166"/>
      <c r="T566" s="171"/>
    </row>
    <row r="567" spans="1:20">
      <c r="A567" s="166" t="b">
        <v>0</v>
      </c>
      <c r="B567" s="166">
        <f t="shared" ca="1" si="94"/>
        <v>-132</v>
      </c>
      <c r="C567" s="413" t="s">
        <v>3441</v>
      </c>
      <c r="D567" s="166" t="s">
        <v>3436</v>
      </c>
      <c r="E567" s="166">
        <f t="shared" ca="1" si="95"/>
        <v>6</v>
      </c>
      <c r="F567" s="177">
        <v>8</v>
      </c>
      <c r="G567" s="171"/>
      <c r="H567" s="166">
        <f t="shared" ca="1" si="96"/>
        <v>23</v>
      </c>
      <c r="I567" s="168"/>
      <c r="J567" s="177"/>
      <c r="K567" s="177"/>
      <c r="L567" s="171"/>
      <c r="M567" s="166" t="str">
        <f ca="1">IFERROR(IF(COUNTIF($B$517:$B566,"&lt;0")&lt;&gt;1,OFFSET($C565,-COUNTIF($B$517:$B566,"&lt;0")+3,0),""),"")</f>
        <v/>
      </c>
      <c r="N567" s="166">
        <f ca="1">IFERROR(IF(COUNTA($D$517:D566)=1,0,OFFSET($F565,-COUNTA($D$517:D566)+3,0)),"")</f>
        <v>1</v>
      </c>
      <c r="O567" s="166"/>
      <c r="P567" s="166">
        <f t="shared" ca="1" si="97"/>
        <v>48</v>
      </c>
      <c r="Q567" s="166"/>
      <c r="R567" s="166"/>
      <c r="S567" s="166"/>
      <c r="T567" s="171"/>
    </row>
    <row r="568" spans="1:20">
      <c r="A568" s="166" t="b">
        <v>0</v>
      </c>
      <c r="B568" s="166">
        <f t="shared" ca="1" si="94"/>
        <v>-131</v>
      </c>
      <c r="C568" s="413" t="s">
        <v>3442</v>
      </c>
      <c r="D568" s="166" t="s">
        <v>3443</v>
      </c>
      <c r="E568" s="166">
        <f t="shared" ca="1" si="95"/>
        <v>1</v>
      </c>
      <c r="F568" s="177">
        <v>9</v>
      </c>
      <c r="G568" s="171"/>
      <c r="H568" s="166">
        <f t="shared" ca="1" si="96"/>
        <v>25</v>
      </c>
      <c r="I568" s="168"/>
      <c r="J568" s="177"/>
      <c r="K568" s="177"/>
      <c r="L568" s="171"/>
      <c r="M568" s="166" t="str">
        <f ca="1">IFERROR(IF(COUNTIF($B$517:$B567,"&lt;0")&lt;&gt;1,OFFSET($C566,-COUNTIF($B$517:$B567,"&lt;0")+3,0),""),"")</f>
        <v/>
      </c>
      <c r="N568" s="166">
        <f ca="1">IFERROR(IF(COUNTA($D$517:D567)=1,0,OFFSET($F566,-COUNTA($D$517:D567)+3,0)),"")</f>
        <v>1</v>
      </c>
      <c r="O568" s="166"/>
      <c r="P568" s="166">
        <f t="shared" ca="1" si="97"/>
        <v>49</v>
      </c>
      <c r="Q568" s="166"/>
      <c r="R568" s="166"/>
      <c r="S568" s="166"/>
      <c r="T568" s="171"/>
    </row>
    <row r="569" spans="1:20">
      <c r="A569" s="166" t="b">
        <v>0</v>
      </c>
      <c r="B569" s="166">
        <f t="shared" ca="1" si="94"/>
        <v>-130</v>
      </c>
      <c r="C569" s="413" t="s">
        <v>3444</v>
      </c>
      <c r="D569" s="166" t="s">
        <v>3443</v>
      </c>
      <c r="E569" s="166">
        <f t="shared" ca="1" si="95"/>
        <v>2</v>
      </c>
      <c r="F569" s="177">
        <v>9</v>
      </c>
      <c r="G569" s="171"/>
      <c r="H569" s="166">
        <f t="shared" ca="1" si="96"/>
        <v>25</v>
      </c>
      <c r="I569" s="168"/>
      <c r="J569" s="177"/>
      <c r="K569" s="177"/>
      <c r="L569" s="171"/>
      <c r="M569" s="166" t="str">
        <f ca="1">IFERROR(IF(COUNTIF($B$517:$B568,"&lt;0")&lt;&gt;1,OFFSET($C567,-COUNTIF($B$517:$B568,"&lt;0")+3,0),""),"")</f>
        <v/>
      </c>
      <c r="N569" s="166">
        <f ca="1">IFERROR(IF(COUNTA($D$517:D568)=1,0,OFFSET($F567,-COUNTA($D$517:D568)+3,0)),"")</f>
        <v>1</v>
      </c>
      <c r="O569" s="166"/>
      <c r="P569" s="166">
        <f t="shared" ca="1" si="97"/>
        <v>50</v>
      </c>
      <c r="Q569" s="166"/>
      <c r="R569" s="166"/>
      <c r="S569" s="166"/>
      <c r="T569" s="171"/>
    </row>
    <row r="570" spans="1:20">
      <c r="A570" s="166" t="b">
        <v>0</v>
      </c>
      <c r="B570" s="166">
        <f t="shared" ca="1" si="94"/>
        <v>-129</v>
      </c>
      <c r="C570" s="413" t="s">
        <v>3445</v>
      </c>
      <c r="D570" s="166" t="s">
        <v>3443</v>
      </c>
      <c r="E570" s="166">
        <f t="shared" ca="1" si="95"/>
        <v>3</v>
      </c>
      <c r="F570" s="177">
        <v>9</v>
      </c>
      <c r="G570" s="171"/>
      <c r="H570" s="166">
        <f t="shared" ca="1" si="96"/>
        <v>25</v>
      </c>
      <c r="I570" s="168"/>
      <c r="J570" s="177"/>
      <c r="K570" s="177"/>
      <c r="L570" s="171"/>
      <c r="M570" s="166" t="str">
        <f ca="1">IFERROR(IF(COUNTIF($B$517:$B569,"&lt;0")&lt;&gt;1,OFFSET($C568,-COUNTIF($B$517:$B569,"&lt;0")+3,0),""),"")</f>
        <v/>
      </c>
      <c r="N570" s="166">
        <f ca="1">IFERROR(IF(COUNTA($D$517:D569)=1,0,OFFSET($F568,-COUNTA($D$517:D569)+3,0)),"")</f>
        <v>1</v>
      </c>
      <c r="O570" s="166"/>
      <c r="P570" s="166">
        <f t="shared" ca="1" si="97"/>
        <v>51</v>
      </c>
      <c r="Q570" s="166"/>
      <c r="R570" s="166"/>
      <c r="S570" s="166"/>
      <c r="T570" s="171"/>
    </row>
    <row r="571" spans="1:20">
      <c r="A571" s="166" t="b">
        <v>0</v>
      </c>
      <c r="B571" s="166">
        <f t="shared" ca="1" si="94"/>
        <v>-128</v>
      </c>
      <c r="C571" s="413" t="s">
        <v>3446</v>
      </c>
      <c r="D571" s="166" t="s">
        <v>3443</v>
      </c>
      <c r="E571" s="166">
        <f t="shared" ca="1" si="95"/>
        <v>4</v>
      </c>
      <c r="F571" s="177">
        <v>9</v>
      </c>
      <c r="G571" s="171"/>
      <c r="H571" s="166">
        <f t="shared" ca="1" si="96"/>
        <v>25</v>
      </c>
      <c r="I571" s="168"/>
      <c r="J571" s="177"/>
      <c r="K571" s="177"/>
      <c r="L571" s="171"/>
      <c r="M571" s="166" t="str">
        <f ca="1">IFERROR(IF(COUNTIF($B$517:$B570,"&lt;0")&lt;&gt;1,OFFSET($C569,-COUNTIF($B$517:$B570,"&lt;0")+3,0),""),"")</f>
        <v/>
      </c>
      <c r="N571" s="166">
        <f ca="1">IFERROR(IF(COUNTA($D$517:D570)=1,0,OFFSET($F569,-COUNTA($D$517:D570)+3,0)),"")</f>
        <v>1</v>
      </c>
      <c r="O571" s="166"/>
      <c r="P571" s="166">
        <f t="shared" ca="1" si="97"/>
        <v>52</v>
      </c>
      <c r="Q571" s="166"/>
      <c r="R571" s="166"/>
      <c r="S571" s="166"/>
      <c r="T571" s="171"/>
    </row>
    <row r="572" spans="1:20">
      <c r="A572" s="166" t="b">
        <v>0</v>
      </c>
      <c r="B572" s="166">
        <f t="shared" ca="1" si="94"/>
        <v>-127</v>
      </c>
      <c r="C572" s="413" t="s">
        <v>3447</v>
      </c>
      <c r="D572" s="166" t="s">
        <v>3443</v>
      </c>
      <c r="E572" s="166">
        <f t="shared" ca="1" si="95"/>
        <v>5</v>
      </c>
      <c r="F572" s="177">
        <v>9</v>
      </c>
      <c r="G572" s="171"/>
      <c r="H572" s="166">
        <f t="shared" ca="1" si="96"/>
        <v>25</v>
      </c>
      <c r="I572" s="168"/>
      <c r="J572" s="177"/>
      <c r="K572" s="177"/>
      <c r="L572" s="171"/>
      <c r="M572" s="166" t="str">
        <f ca="1">IFERROR(IF(COUNTIF($B$517:$B571,"&lt;0")&lt;&gt;1,OFFSET($C570,-COUNTIF($B$517:$B571,"&lt;0")+3,0),""),"")</f>
        <v/>
      </c>
      <c r="N572" s="166">
        <f ca="1">IFERROR(IF(COUNTA($D$517:D571)=1,0,OFFSET($F570,-COUNTA($D$517:D571)+3,0)),"")</f>
        <v>1</v>
      </c>
      <c r="O572" s="166"/>
      <c r="P572" s="166">
        <f t="shared" ca="1" si="97"/>
        <v>53</v>
      </c>
      <c r="Q572" s="166"/>
      <c r="R572" s="166"/>
      <c r="S572" s="166"/>
      <c r="T572" s="171"/>
    </row>
    <row r="573" spans="1:20">
      <c r="A573" s="166" t="b">
        <v>0</v>
      </c>
      <c r="B573" s="166">
        <f t="shared" ca="1" si="94"/>
        <v>-126</v>
      </c>
      <c r="C573" s="413" t="s">
        <v>3448</v>
      </c>
      <c r="D573" s="166" t="s">
        <v>3443</v>
      </c>
      <c r="E573" s="166">
        <f t="shared" ca="1" si="95"/>
        <v>6</v>
      </c>
      <c r="F573" s="177">
        <v>9</v>
      </c>
      <c r="G573" s="171"/>
      <c r="H573" s="166">
        <f t="shared" ca="1" si="96"/>
        <v>25</v>
      </c>
      <c r="I573" s="168"/>
      <c r="J573" s="177"/>
      <c r="K573" s="177"/>
      <c r="L573" s="171"/>
      <c r="M573" s="166" t="str">
        <f ca="1">IFERROR(IF(COUNTIF($B$517:$B572,"&lt;0")&lt;&gt;1,OFFSET($C571,-COUNTIF($B$517:$B572,"&lt;0")+3,0),""),"")</f>
        <v/>
      </c>
      <c r="N573" s="166">
        <f ca="1">IFERROR(IF(COUNTA($D$517:D572)=1,0,OFFSET($F571,-COUNTA($D$517:D572)+3,0)),"")</f>
        <v>1</v>
      </c>
      <c r="O573" s="166"/>
      <c r="P573" s="166">
        <f t="shared" ca="1" si="97"/>
        <v>54</v>
      </c>
      <c r="Q573" s="166"/>
      <c r="R573" s="166"/>
      <c r="S573" s="166"/>
      <c r="T573" s="171"/>
    </row>
    <row r="574" spans="1:20">
      <c r="A574" s="166" t="b">
        <v>0</v>
      </c>
      <c r="B574" s="166">
        <f t="shared" ca="1" si="94"/>
        <v>-125</v>
      </c>
      <c r="C574" s="413" t="s">
        <v>3449</v>
      </c>
      <c r="D574" s="166" t="s">
        <v>3450</v>
      </c>
      <c r="E574" s="166">
        <f t="shared" ca="1" si="95"/>
        <v>1</v>
      </c>
      <c r="F574" s="177">
        <v>10</v>
      </c>
      <c r="G574" s="171"/>
      <c r="H574" s="166">
        <f t="shared" ca="1" si="96"/>
        <v>27</v>
      </c>
      <c r="I574" s="168"/>
      <c r="J574" s="177"/>
      <c r="K574" s="177"/>
      <c r="L574" s="171"/>
      <c r="M574" s="166" t="str">
        <f ca="1">IFERROR(IF(COUNTIF($B$517:$B573,"&lt;0")&lt;&gt;1,OFFSET($C572,-COUNTIF($B$517:$B573,"&lt;0")+3,0),""),"")</f>
        <v/>
      </c>
      <c r="N574" s="166">
        <f ca="1">IFERROR(IF(COUNTA($D$517:D573)=1,0,OFFSET($F572,-COUNTA($D$517:D573)+3,0)),"")</f>
        <v>1</v>
      </c>
      <c r="O574" s="166"/>
      <c r="P574" s="166">
        <f t="shared" ca="1" si="97"/>
        <v>55</v>
      </c>
      <c r="Q574" s="166"/>
      <c r="R574" s="166"/>
      <c r="S574" s="166"/>
      <c r="T574" s="171"/>
    </row>
    <row r="575" spans="1:20">
      <c r="A575" s="166" t="b">
        <v>0</v>
      </c>
      <c r="B575" s="166">
        <f t="shared" ca="1" si="94"/>
        <v>-124</v>
      </c>
      <c r="C575" s="413" t="s">
        <v>3451</v>
      </c>
      <c r="D575" s="166" t="s">
        <v>3450</v>
      </c>
      <c r="E575" s="166">
        <f t="shared" ca="1" si="95"/>
        <v>2</v>
      </c>
      <c r="F575" s="177">
        <v>10</v>
      </c>
      <c r="G575" s="171"/>
      <c r="H575" s="166">
        <f t="shared" ca="1" si="96"/>
        <v>27</v>
      </c>
      <c r="I575" s="168"/>
      <c r="J575" s="177"/>
      <c r="K575" s="177"/>
      <c r="L575" s="171"/>
      <c r="M575" s="166" t="str">
        <f ca="1">IFERROR(IF(COUNTIF($B$517:$B574,"&lt;0")&lt;&gt;1,OFFSET($C573,-COUNTIF($B$517:$B574,"&lt;0")+3,0),""),"")</f>
        <v/>
      </c>
      <c r="N575" s="166">
        <f ca="1">IFERROR(IF(COUNTA($D$517:D574)=1,0,OFFSET($F573,-COUNTA($D$517:D574)+3,0)),"")</f>
        <v>1</v>
      </c>
      <c r="O575" s="166"/>
      <c r="P575" s="166">
        <f t="shared" ca="1" si="97"/>
        <v>56</v>
      </c>
      <c r="Q575" s="166"/>
      <c r="R575" s="166"/>
      <c r="S575" s="166"/>
      <c r="T575" s="171"/>
    </row>
    <row r="576" spans="1:20">
      <c r="A576" s="166" t="b">
        <v>0</v>
      </c>
      <c r="B576" s="166">
        <f t="shared" ca="1" si="94"/>
        <v>-123</v>
      </c>
      <c r="C576" s="413" t="s">
        <v>3452</v>
      </c>
      <c r="D576" s="166" t="s">
        <v>3450</v>
      </c>
      <c r="E576" s="166">
        <f t="shared" ca="1" si="95"/>
        <v>3</v>
      </c>
      <c r="F576" s="177">
        <v>10</v>
      </c>
      <c r="G576" s="171"/>
      <c r="H576" s="166">
        <f t="shared" ca="1" si="96"/>
        <v>27</v>
      </c>
      <c r="I576" s="168"/>
      <c r="J576" s="177"/>
      <c r="K576" s="177"/>
      <c r="L576" s="171"/>
      <c r="M576" s="166" t="str">
        <f ca="1">IFERROR(IF(COUNTIF($B$517:$B575,"&lt;0")&lt;&gt;1,OFFSET($C574,-COUNTIF($B$517:$B575,"&lt;0")+3,0),""),"")</f>
        <v/>
      </c>
      <c r="N576" s="166">
        <f ca="1">IFERROR(IF(COUNTA($D$517:D575)=1,0,OFFSET($F574,-COUNTA($D$517:D575)+3,0)),"")</f>
        <v>1</v>
      </c>
      <c r="O576" s="166"/>
      <c r="P576" s="166">
        <f t="shared" ca="1" si="97"/>
        <v>57</v>
      </c>
      <c r="Q576" s="166"/>
      <c r="R576" s="166"/>
      <c r="S576" s="166"/>
      <c r="T576" s="171"/>
    </row>
    <row r="577" spans="1:20">
      <c r="A577" s="166" t="b">
        <v>0</v>
      </c>
      <c r="B577" s="166">
        <f t="shared" ca="1" si="94"/>
        <v>-122</v>
      </c>
      <c r="C577" s="413" t="s">
        <v>3453</v>
      </c>
      <c r="D577" s="166" t="s">
        <v>3450</v>
      </c>
      <c r="E577" s="166">
        <f t="shared" ca="1" si="95"/>
        <v>4</v>
      </c>
      <c r="F577" s="177">
        <v>10</v>
      </c>
      <c r="G577" s="171"/>
      <c r="H577" s="166">
        <f t="shared" ca="1" si="96"/>
        <v>27</v>
      </c>
      <c r="I577" s="168"/>
      <c r="J577" s="177"/>
      <c r="K577" s="177"/>
      <c r="L577" s="171"/>
      <c r="M577" s="166" t="str">
        <f ca="1">IFERROR(IF(COUNTIF($B$517:$B576,"&lt;0")&lt;&gt;1,OFFSET($C575,-COUNTIF($B$517:$B576,"&lt;0")+3,0),""),"")</f>
        <v/>
      </c>
      <c r="N577" s="166">
        <f ca="1">IFERROR(IF(COUNTA($D$517:D576)=1,0,OFFSET($F575,-COUNTA($D$517:D576)+3,0)),"")</f>
        <v>1</v>
      </c>
      <c r="O577" s="166"/>
      <c r="P577" s="166">
        <f t="shared" ca="1" si="97"/>
        <v>58</v>
      </c>
      <c r="Q577" s="166"/>
      <c r="R577" s="166"/>
      <c r="S577" s="166"/>
      <c r="T577" s="171"/>
    </row>
    <row r="578" spans="1:20">
      <c r="A578" s="166" t="b">
        <v>0</v>
      </c>
      <c r="B578" s="166">
        <f t="shared" ca="1" si="94"/>
        <v>-121</v>
      </c>
      <c r="C578" s="413" t="s">
        <v>3454</v>
      </c>
      <c r="D578" s="166" t="s">
        <v>3450</v>
      </c>
      <c r="E578" s="166">
        <f t="shared" ca="1" si="95"/>
        <v>5</v>
      </c>
      <c r="F578" s="177">
        <v>10</v>
      </c>
      <c r="G578" s="171"/>
      <c r="H578" s="166">
        <f t="shared" ca="1" si="96"/>
        <v>27</v>
      </c>
      <c r="I578" s="168"/>
      <c r="J578" s="177"/>
      <c r="K578" s="177"/>
      <c r="L578" s="171"/>
      <c r="M578" s="166" t="str">
        <f ca="1">IFERROR(IF(COUNTIF($B$517:$B577,"&lt;0")&lt;&gt;1,OFFSET($C576,-COUNTIF($B$517:$B577,"&lt;0")+3,0),""),"")</f>
        <v/>
      </c>
      <c r="N578" s="166">
        <f ca="1">IFERROR(IF(COUNTA($D$517:D577)=1,0,OFFSET($F576,-COUNTA($D$517:D577)+3,0)),"")</f>
        <v>1</v>
      </c>
      <c r="O578" s="166"/>
      <c r="P578" s="166">
        <f t="shared" ca="1" si="97"/>
        <v>59</v>
      </c>
      <c r="Q578" s="166"/>
      <c r="R578" s="166"/>
      <c r="S578" s="166"/>
      <c r="T578" s="171"/>
    </row>
    <row r="579" spans="1:20">
      <c r="A579" s="166" t="b">
        <v>0</v>
      </c>
      <c r="B579" s="166">
        <f t="shared" ca="1" si="94"/>
        <v>-120</v>
      </c>
      <c r="C579" s="413" t="s">
        <v>3455</v>
      </c>
      <c r="D579" s="166" t="s">
        <v>3450</v>
      </c>
      <c r="E579" s="166">
        <f t="shared" ca="1" si="95"/>
        <v>6</v>
      </c>
      <c r="F579" s="177">
        <v>10</v>
      </c>
      <c r="G579" s="171"/>
      <c r="H579" s="166">
        <f t="shared" ca="1" si="96"/>
        <v>27</v>
      </c>
      <c r="I579" s="168"/>
      <c r="J579" s="177"/>
      <c r="K579" s="177"/>
      <c r="L579" s="171"/>
      <c r="M579" s="166" t="str">
        <f ca="1">IFERROR(IF(COUNTIF($B$517:$B578,"&lt;0")&lt;&gt;1,OFFSET($C577,-COUNTIF($B$517:$B578,"&lt;0")+3,0),""),"")</f>
        <v/>
      </c>
      <c r="N579" s="166">
        <f ca="1">IFERROR(IF(COUNTA($D$517:D578)=1,0,OFFSET($F577,-COUNTA($D$517:D578)+3,0)),"")</f>
        <v>1</v>
      </c>
      <c r="O579" s="166"/>
      <c r="P579" s="166">
        <f t="shared" ca="1" si="97"/>
        <v>60</v>
      </c>
      <c r="Q579" s="166"/>
      <c r="R579" s="166"/>
      <c r="S579" s="166"/>
      <c r="T579" s="171"/>
    </row>
    <row r="580" spans="1:20">
      <c r="A580" s="166" t="b">
        <v>0</v>
      </c>
      <c r="B580" s="166">
        <f t="shared" ca="1" si="94"/>
        <v>-119</v>
      </c>
      <c r="C580" s="413" t="s">
        <v>3456</v>
      </c>
      <c r="D580" s="166" t="s">
        <v>3457</v>
      </c>
      <c r="E580" s="166">
        <f t="shared" ca="1" si="95"/>
        <v>1</v>
      </c>
      <c r="F580" s="177">
        <v>11</v>
      </c>
      <c r="G580" s="171"/>
      <c r="H580" s="166">
        <f t="shared" ca="1" si="96"/>
        <v>29</v>
      </c>
      <c r="I580" s="168"/>
      <c r="J580" s="177"/>
      <c r="K580" s="177"/>
      <c r="L580" s="171"/>
      <c r="M580" s="166" t="str">
        <f ca="1">IFERROR(IF(COUNTIF($B$517:$B579,"&lt;0")&lt;&gt;1,OFFSET($C578,-COUNTIF($B$517:$B579,"&lt;0")+3,0),""),"")</f>
        <v/>
      </c>
      <c r="N580" s="166">
        <f ca="1">IFERROR(IF(COUNTA($D$517:D579)=1,0,OFFSET($F578,-COUNTA($D$517:D579)+3,0)),"")</f>
        <v>1</v>
      </c>
      <c r="O580" s="166"/>
      <c r="P580" s="166">
        <f t="shared" ca="1" si="97"/>
        <v>61</v>
      </c>
      <c r="Q580" s="166"/>
      <c r="R580" s="166"/>
      <c r="S580" s="166"/>
      <c r="T580" s="171"/>
    </row>
    <row r="581" spans="1:20">
      <c r="A581" s="166" t="b">
        <v>0</v>
      </c>
      <c r="B581" s="166">
        <f t="shared" ca="1" si="94"/>
        <v>-118</v>
      </c>
      <c r="C581" s="413" t="s">
        <v>3458</v>
      </c>
      <c r="D581" s="166" t="s">
        <v>3457</v>
      </c>
      <c r="E581" s="166">
        <f t="shared" ca="1" si="95"/>
        <v>2</v>
      </c>
      <c r="F581" s="177">
        <v>11</v>
      </c>
      <c r="G581" s="171"/>
      <c r="H581" s="166">
        <f t="shared" ca="1" si="96"/>
        <v>29</v>
      </c>
      <c r="I581" s="168"/>
      <c r="J581" s="177"/>
      <c r="K581" s="177"/>
      <c r="L581" s="171"/>
      <c r="M581" s="166" t="str">
        <f ca="1">IFERROR(IF(COUNTIF($B$517:$B580,"&lt;0")&lt;&gt;1,OFFSET($C579,-COUNTIF($B$517:$B580,"&lt;0")+3,0),""),"")</f>
        <v/>
      </c>
      <c r="N581" s="166">
        <f ca="1">IFERROR(IF(COUNTA($D$517:D580)=1,0,OFFSET($F579,-COUNTA($D$517:D580)+3,0)),"")</f>
        <v>1</v>
      </c>
      <c r="O581" s="166"/>
      <c r="P581" s="166">
        <f t="shared" ca="1" si="97"/>
        <v>62</v>
      </c>
      <c r="Q581" s="166"/>
      <c r="R581" s="166"/>
      <c r="S581" s="166"/>
      <c r="T581" s="171"/>
    </row>
    <row r="582" spans="1:20">
      <c r="A582" s="166" t="b">
        <v>0</v>
      </c>
      <c r="B582" s="166">
        <f t="shared" ca="1" si="94"/>
        <v>-117</v>
      </c>
      <c r="C582" s="413" t="s">
        <v>3459</v>
      </c>
      <c r="D582" s="166" t="s">
        <v>3457</v>
      </c>
      <c r="E582" s="166">
        <f t="shared" ca="1" si="95"/>
        <v>3</v>
      </c>
      <c r="F582" s="177">
        <v>11</v>
      </c>
      <c r="G582" s="171"/>
      <c r="H582" s="166">
        <f t="shared" ca="1" si="96"/>
        <v>29</v>
      </c>
      <c r="I582" s="168"/>
      <c r="J582" s="177"/>
      <c r="K582" s="177"/>
      <c r="L582" s="171"/>
      <c r="M582" s="166" t="str">
        <f ca="1">IFERROR(IF(COUNTIF($B$517:$B581,"&lt;0")&lt;&gt;1,OFFSET($C580,-COUNTIF($B$517:$B581,"&lt;0")+3,0),""),"")</f>
        <v/>
      </c>
      <c r="N582" s="166">
        <f ca="1">IFERROR(IF(COUNTA($D$517:D581)=1,0,OFFSET($F580,-COUNTA($D$517:D581)+3,0)),"")</f>
        <v>1</v>
      </c>
      <c r="O582" s="166"/>
      <c r="P582" s="166">
        <f t="shared" ca="1" si="97"/>
        <v>63</v>
      </c>
      <c r="Q582" s="166"/>
      <c r="R582" s="166"/>
      <c r="S582" s="166"/>
      <c r="T582" s="171"/>
    </row>
    <row r="583" spans="1:20">
      <c r="A583" s="166" t="b">
        <v>0</v>
      </c>
      <c r="B583" s="166">
        <f t="shared" ca="1" si="94"/>
        <v>-116</v>
      </c>
      <c r="C583" s="413" t="s">
        <v>3460</v>
      </c>
      <c r="D583" s="166" t="s">
        <v>3457</v>
      </c>
      <c r="E583" s="166">
        <f t="shared" ca="1" si="95"/>
        <v>4</v>
      </c>
      <c r="F583" s="177">
        <v>11</v>
      </c>
      <c r="G583" s="171"/>
      <c r="H583" s="166">
        <f t="shared" ca="1" si="96"/>
        <v>29</v>
      </c>
      <c r="I583" s="168"/>
      <c r="J583" s="177"/>
      <c r="K583" s="177"/>
      <c r="L583" s="171"/>
      <c r="M583" s="166" t="str">
        <f ca="1">IFERROR(IF(COUNTIF($B$517:$B582,"&lt;0")&lt;&gt;1,OFFSET($C581,-COUNTIF($B$517:$B582,"&lt;0")+3,0),""),"")</f>
        <v/>
      </c>
      <c r="N583" s="166">
        <f ca="1">IFERROR(IF(COUNTA($D$517:D582)=1,0,OFFSET($F581,-COUNTA($D$517:D582)+3,0)),"")</f>
        <v>1</v>
      </c>
      <c r="O583" s="166"/>
      <c r="P583" s="166">
        <f t="shared" ca="1" si="97"/>
        <v>64</v>
      </c>
      <c r="Q583" s="166"/>
      <c r="R583" s="166"/>
      <c r="S583" s="166"/>
      <c r="T583" s="171"/>
    </row>
    <row r="584" spans="1:20">
      <c r="A584" s="166" t="b">
        <v>0</v>
      </c>
      <c r="B584" s="166">
        <f t="shared" ref="B584:B647" ca="1" si="98">B583+1</f>
        <v>-115</v>
      </c>
      <c r="C584" s="413" t="s">
        <v>3461</v>
      </c>
      <c r="D584" s="166" t="s">
        <v>3457</v>
      </c>
      <c r="E584" s="166">
        <f t="shared" ref="E584:E647" ca="1" si="99">COUNTIF(F517:F584,F584)</f>
        <v>5</v>
      </c>
      <c r="F584" s="177">
        <v>11</v>
      </c>
      <c r="G584" s="171"/>
      <c r="H584" s="166">
        <f t="shared" ref="H584:H647" ca="1" si="100">IF(F584=1,9,IF(E583=MAX(E582:E584),H582+2,H583))</f>
        <v>29</v>
      </c>
      <c r="I584" s="168"/>
      <c r="J584" s="177"/>
      <c r="K584" s="177"/>
      <c r="L584" s="171"/>
      <c r="M584" s="166" t="str">
        <f ca="1">IFERROR(IF(COUNTIF($B$517:$B583,"&lt;0")&lt;&gt;1,OFFSET($C582,-COUNTIF($B$517:$B583,"&lt;0")+3,0),""),"")</f>
        <v/>
      </c>
      <c r="N584" s="166">
        <f ca="1">IFERROR(IF(COUNTA($D$517:D583)=1,0,OFFSET($F582,-COUNTA($D$517:D583)+3,0)),"")</f>
        <v>1</v>
      </c>
      <c r="O584" s="166"/>
      <c r="P584" s="166">
        <f t="shared" ref="P584:P647" ca="1" si="101">IF(NOT(_xlfn.ISFORMULA(I584)),P583+1,0)</f>
        <v>65</v>
      </c>
      <c r="Q584" s="166"/>
      <c r="R584" s="166"/>
      <c r="S584" s="166"/>
      <c r="T584" s="171"/>
    </row>
    <row r="585" spans="1:20">
      <c r="A585" s="166" t="b">
        <v>0</v>
      </c>
      <c r="B585" s="166">
        <f t="shared" ca="1" si="98"/>
        <v>-114</v>
      </c>
      <c r="C585" s="413" t="s">
        <v>3462</v>
      </c>
      <c r="D585" s="166" t="s">
        <v>3457</v>
      </c>
      <c r="E585" s="166">
        <f t="shared" ca="1" si="99"/>
        <v>6</v>
      </c>
      <c r="F585" s="177">
        <v>11</v>
      </c>
      <c r="G585" s="171"/>
      <c r="H585" s="166">
        <f t="shared" ca="1" si="100"/>
        <v>29</v>
      </c>
      <c r="I585" s="168"/>
      <c r="J585" s="177"/>
      <c r="K585" s="177"/>
      <c r="L585" s="171"/>
      <c r="M585" s="166" t="str">
        <f ca="1">IFERROR(IF(COUNTIF($B$517:$B584,"&lt;0")&lt;&gt;1,OFFSET($C583,-COUNTIF($B$517:$B584,"&lt;0")+3,0),""),"")</f>
        <v/>
      </c>
      <c r="N585" s="166">
        <f ca="1">IFERROR(IF(COUNTA($D$517:D584)=1,0,OFFSET($F583,-COUNTA($D$517:D584)+3,0)),"")</f>
        <v>1</v>
      </c>
      <c r="O585" s="166"/>
      <c r="P585" s="166">
        <f t="shared" ca="1" si="101"/>
        <v>66</v>
      </c>
      <c r="Q585" s="166"/>
      <c r="R585" s="166"/>
      <c r="S585" s="166"/>
      <c r="T585" s="171"/>
    </row>
    <row r="586" spans="1:20">
      <c r="A586" s="166" t="b">
        <v>0</v>
      </c>
      <c r="B586" s="166">
        <f t="shared" ca="1" si="98"/>
        <v>-113</v>
      </c>
      <c r="C586" s="413" t="s">
        <v>3463</v>
      </c>
      <c r="D586" s="166" t="s">
        <v>3464</v>
      </c>
      <c r="E586" s="166">
        <f t="shared" ca="1" si="99"/>
        <v>1</v>
      </c>
      <c r="F586" s="177">
        <v>12</v>
      </c>
      <c r="G586" s="171"/>
      <c r="H586" s="166">
        <f t="shared" ca="1" si="100"/>
        <v>31</v>
      </c>
      <c r="I586" s="168"/>
      <c r="J586" s="177"/>
      <c r="K586" s="177"/>
      <c r="L586" s="171"/>
      <c r="M586" s="166" t="str">
        <f ca="1">IFERROR(IF(COUNTIF($B$517:$B585,"&lt;0")&lt;&gt;1,OFFSET($C584,-COUNTIF($B$517:$B585,"&lt;0")+3,0),""),"")</f>
        <v/>
      </c>
      <c r="N586" s="166">
        <f ca="1">IFERROR(IF(COUNTA($D$517:D585)=1,0,OFFSET($F584,-COUNTA($D$517:D585)+3,0)),"")</f>
        <v>1</v>
      </c>
      <c r="O586" s="166"/>
      <c r="P586" s="166">
        <f t="shared" ca="1" si="101"/>
        <v>67</v>
      </c>
      <c r="Q586" s="166"/>
      <c r="R586" s="166"/>
      <c r="S586" s="166"/>
      <c r="T586" s="171"/>
    </row>
    <row r="587" spans="1:20">
      <c r="A587" s="166" t="b">
        <v>0</v>
      </c>
      <c r="B587" s="166">
        <f t="shared" ca="1" si="98"/>
        <v>-112</v>
      </c>
      <c r="C587" s="413" t="s">
        <v>3465</v>
      </c>
      <c r="D587" s="166" t="s">
        <v>3464</v>
      </c>
      <c r="E587" s="166">
        <f t="shared" si="99"/>
        <v>2</v>
      </c>
      <c r="F587" s="177">
        <v>12</v>
      </c>
      <c r="G587" s="171"/>
      <c r="H587" s="166">
        <f t="shared" ca="1" si="100"/>
        <v>31</v>
      </c>
      <c r="I587" s="168"/>
      <c r="J587" s="177"/>
      <c r="K587" s="177"/>
      <c r="L587" s="171"/>
      <c r="M587" s="166" t="str">
        <f ca="1">IFERROR(IF(COUNTIF($B$517:$B586,"&lt;0")&lt;&gt;1,OFFSET($C585,-COUNTIF($B$517:$B586,"&lt;0")+3,0),""),"")</f>
        <v/>
      </c>
      <c r="N587" s="166">
        <f ca="1">IFERROR(IF(COUNTA($D$517:D586)=1,0,OFFSET($F585,-COUNTA($D$517:D586)+3,0)),"")</f>
        <v>1</v>
      </c>
      <c r="O587" s="166"/>
      <c r="P587" s="166">
        <f t="shared" ca="1" si="101"/>
        <v>68</v>
      </c>
      <c r="Q587" s="166"/>
      <c r="R587" s="166"/>
      <c r="S587" s="166"/>
      <c r="T587" s="171"/>
    </row>
    <row r="588" spans="1:20">
      <c r="A588" s="166" t="b">
        <v>0</v>
      </c>
      <c r="B588" s="166">
        <f t="shared" ca="1" si="98"/>
        <v>-111</v>
      </c>
      <c r="C588" s="413" t="s">
        <v>3466</v>
      </c>
      <c r="D588" s="166" t="s">
        <v>3464</v>
      </c>
      <c r="E588" s="166">
        <f t="shared" si="99"/>
        <v>3</v>
      </c>
      <c r="F588" s="177">
        <v>12</v>
      </c>
      <c r="G588" s="171"/>
      <c r="H588" s="166">
        <f t="shared" ca="1" si="100"/>
        <v>31</v>
      </c>
      <c r="I588" s="168"/>
      <c r="J588" s="177"/>
      <c r="K588" s="177"/>
      <c r="L588" s="171"/>
      <c r="M588" s="166" t="str">
        <f ca="1">IFERROR(IF(COUNTIF($B$517:$B587,"&lt;0")&lt;&gt;1,OFFSET($C586,-COUNTIF($B$517:$B587,"&lt;0")+3,0),""),"")</f>
        <v/>
      </c>
      <c r="N588" s="166">
        <f ca="1">IFERROR(IF(COUNTA($D$517:D587)=1,0,OFFSET($F586,-COUNTA($D$517:D587)+3,0)),"")</f>
        <v>1</v>
      </c>
      <c r="O588" s="166"/>
      <c r="P588" s="166">
        <f t="shared" ca="1" si="101"/>
        <v>69</v>
      </c>
      <c r="Q588" s="166"/>
      <c r="R588" s="166"/>
      <c r="S588" s="166"/>
      <c r="T588" s="171"/>
    </row>
    <row r="589" spans="1:20">
      <c r="A589" s="166" t="b">
        <v>0</v>
      </c>
      <c r="B589" s="166">
        <f t="shared" ca="1" si="98"/>
        <v>-110</v>
      </c>
      <c r="C589" s="413" t="s">
        <v>3467</v>
      </c>
      <c r="D589" s="166" t="s">
        <v>3464</v>
      </c>
      <c r="E589" s="166">
        <f t="shared" si="99"/>
        <v>4</v>
      </c>
      <c r="F589" s="177">
        <v>12</v>
      </c>
      <c r="G589" s="171"/>
      <c r="H589" s="166">
        <f t="shared" ca="1" si="100"/>
        <v>31</v>
      </c>
      <c r="I589" s="168"/>
      <c r="J589" s="177"/>
      <c r="K589" s="177"/>
      <c r="L589" s="171"/>
      <c r="M589" s="166" t="str">
        <f ca="1">IFERROR(IF(COUNTIF($B$517:$B588,"&lt;0")&lt;&gt;1,OFFSET($C587,-COUNTIF($B$517:$B588,"&lt;0")+3,0),""),"")</f>
        <v/>
      </c>
      <c r="N589" s="166">
        <f ca="1">IFERROR(IF(COUNTA($D$517:D588)=1,0,OFFSET($F587,-COUNTA($D$517:D588)+3,0)),"")</f>
        <v>1</v>
      </c>
      <c r="O589" s="166"/>
      <c r="P589" s="166">
        <f t="shared" ca="1" si="101"/>
        <v>70</v>
      </c>
      <c r="Q589" s="166"/>
      <c r="R589" s="166"/>
      <c r="S589" s="166"/>
      <c r="T589" s="171"/>
    </row>
    <row r="590" spans="1:20">
      <c r="A590" s="166" t="b">
        <v>0</v>
      </c>
      <c r="B590" s="166">
        <f t="shared" ca="1" si="98"/>
        <v>-109</v>
      </c>
      <c r="C590" s="413" t="s">
        <v>3468</v>
      </c>
      <c r="D590" s="166" t="s">
        <v>3464</v>
      </c>
      <c r="E590" s="166">
        <f t="shared" si="99"/>
        <v>5</v>
      </c>
      <c r="F590" s="177">
        <v>12</v>
      </c>
      <c r="G590" s="171"/>
      <c r="H590" s="166">
        <f t="shared" ca="1" si="100"/>
        <v>31</v>
      </c>
      <c r="I590" s="168"/>
      <c r="J590" s="177"/>
      <c r="K590" s="177"/>
      <c r="L590" s="171"/>
      <c r="M590" s="166" t="str">
        <f ca="1">IFERROR(IF(COUNTIF($B$517:$B589,"&lt;0")&lt;&gt;1,OFFSET($C588,-COUNTIF($B$517:$B589,"&lt;0")+3,0),""),"")</f>
        <v/>
      </c>
      <c r="N590" s="166">
        <f ca="1">IFERROR(IF(COUNTA($D$517:D589)=1,0,OFFSET($F588,-COUNTA($D$517:D589)+3,0)),"")</f>
        <v>1</v>
      </c>
      <c r="O590" s="166"/>
      <c r="P590" s="166">
        <f t="shared" ca="1" si="101"/>
        <v>71</v>
      </c>
      <c r="Q590" s="166"/>
      <c r="R590" s="166"/>
      <c r="S590" s="166"/>
      <c r="T590" s="171"/>
    </row>
    <row r="591" spans="1:20">
      <c r="A591" s="166" t="b">
        <v>0</v>
      </c>
      <c r="B591" s="166">
        <f t="shared" ca="1" si="98"/>
        <v>-108</v>
      </c>
      <c r="C591" s="413" t="s">
        <v>3469</v>
      </c>
      <c r="D591" s="166" t="s">
        <v>3464</v>
      </c>
      <c r="E591" s="166">
        <f t="shared" si="99"/>
        <v>6</v>
      </c>
      <c r="F591" s="177">
        <v>12</v>
      </c>
      <c r="G591" s="171"/>
      <c r="H591" s="166">
        <f t="shared" ca="1" si="100"/>
        <v>31</v>
      </c>
      <c r="I591" s="168"/>
      <c r="J591" s="177"/>
      <c r="K591" s="177"/>
      <c r="L591" s="171"/>
      <c r="M591" s="166" t="str">
        <f ca="1">IFERROR(IF(COUNTIF($B$517:$B590,"&lt;0")&lt;&gt;1,OFFSET($C589,-COUNTIF($B$517:$B590,"&lt;0")+3,0),""),"")</f>
        <v/>
      </c>
      <c r="N591" s="166">
        <f ca="1">IFERROR(IF(COUNTA($D$517:D590)=1,0,OFFSET($F589,-COUNTA($D$517:D590)+3,0)),"")</f>
        <v>1</v>
      </c>
      <c r="O591" s="166"/>
      <c r="P591" s="166">
        <f t="shared" ca="1" si="101"/>
        <v>72</v>
      </c>
      <c r="Q591" s="166"/>
      <c r="R591" s="166"/>
      <c r="S591" s="166"/>
      <c r="T591" s="171"/>
    </row>
    <row r="592" spans="1:20">
      <c r="A592" s="166" t="b">
        <v>0</v>
      </c>
      <c r="B592" s="166">
        <f t="shared" ca="1" si="98"/>
        <v>-107</v>
      </c>
      <c r="C592" s="413" t="s">
        <v>3470</v>
      </c>
      <c r="D592" s="166" t="s">
        <v>3471</v>
      </c>
      <c r="E592" s="166">
        <f t="shared" si="99"/>
        <v>1</v>
      </c>
      <c r="F592" s="177">
        <v>13</v>
      </c>
      <c r="G592" s="171"/>
      <c r="H592" s="166">
        <f t="shared" ca="1" si="100"/>
        <v>33</v>
      </c>
      <c r="I592" s="168"/>
      <c r="J592" s="177"/>
      <c r="K592" s="177"/>
      <c r="L592" s="171"/>
      <c r="M592" s="166" t="str">
        <f ca="1">IFERROR(IF(COUNTIF($B$517:$B591,"&lt;0")&lt;&gt;1,OFFSET($C590,-COUNTIF($B$517:$B591,"&lt;0")+3,0),""),"")</f>
        <v/>
      </c>
      <c r="N592" s="166">
        <f ca="1">IFERROR(IF(COUNTA($D$517:D591)=1,0,OFFSET($F590,-COUNTA($D$517:D591)+3,0)),"")</f>
        <v>1</v>
      </c>
      <c r="O592" s="166"/>
      <c r="P592" s="166">
        <f t="shared" ca="1" si="101"/>
        <v>73</v>
      </c>
      <c r="Q592" s="166"/>
      <c r="R592" s="166"/>
      <c r="S592" s="166"/>
      <c r="T592" s="171"/>
    </row>
    <row r="593" spans="1:20">
      <c r="A593" s="166" t="b">
        <v>0</v>
      </c>
      <c r="B593" s="166">
        <f t="shared" ca="1" si="98"/>
        <v>-106</v>
      </c>
      <c r="C593" s="413" t="s">
        <v>3472</v>
      </c>
      <c r="D593" s="166" t="s">
        <v>3471</v>
      </c>
      <c r="E593" s="166">
        <f t="shared" si="99"/>
        <v>2</v>
      </c>
      <c r="F593" s="177">
        <v>13</v>
      </c>
      <c r="G593" s="171"/>
      <c r="H593" s="166">
        <f t="shared" ca="1" si="100"/>
        <v>33</v>
      </c>
      <c r="I593" s="168"/>
      <c r="J593" s="177"/>
      <c r="K593" s="177"/>
      <c r="L593" s="171"/>
      <c r="M593" s="166" t="str">
        <f ca="1">IFERROR(IF(COUNTIF($B$517:$B592,"&lt;0")&lt;&gt;1,OFFSET($C591,-COUNTIF($B$517:$B592,"&lt;0")+3,0),""),"")</f>
        <v/>
      </c>
      <c r="N593" s="166">
        <f ca="1">IFERROR(IF(COUNTA($D$517:D592)=1,0,OFFSET($F591,-COUNTA($D$517:D592)+3,0)),"")</f>
        <v>1</v>
      </c>
      <c r="O593" s="166"/>
      <c r="P593" s="166">
        <f t="shared" ca="1" si="101"/>
        <v>74</v>
      </c>
      <c r="Q593" s="166"/>
      <c r="R593" s="166"/>
      <c r="S593" s="166"/>
      <c r="T593" s="171"/>
    </row>
    <row r="594" spans="1:20">
      <c r="A594" s="166" t="b">
        <v>0</v>
      </c>
      <c r="B594" s="166">
        <f t="shared" ca="1" si="98"/>
        <v>-105</v>
      </c>
      <c r="C594" s="413" t="s">
        <v>3473</v>
      </c>
      <c r="D594" s="166" t="s">
        <v>3471</v>
      </c>
      <c r="E594" s="166">
        <f t="shared" si="99"/>
        <v>3</v>
      </c>
      <c r="F594" s="177">
        <v>13</v>
      </c>
      <c r="G594" s="171"/>
      <c r="H594" s="166">
        <f t="shared" ca="1" si="100"/>
        <v>33</v>
      </c>
      <c r="I594" s="168"/>
      <c r="J594" s="177"/>
      <c r="K594" s="177"/>
      <c r="L594" s="171"/>
      <c r="M594" s="166" t="str">
        <f ca="1">IFERROR(IF(COUNTIF($B$517:$B593,"&lt;0")&lt;&gt;1,OFFSET($C592,-COUNTIF($B$517:$B593,"&lt;0")+3,0),""),"")</f>
        <v/>
      </c>
      <c r="N594" s="166">
        <f ca="1">IFERROR(IF(COUNTA($D$517:D593)=1,0,OFFSET($F592,-COUNTA($D$517:D593)+3,0)),"")</f>
        <v>1</v>
      </c>
      <c r="O594" s="166"/>
      <c r="P594" s="166">
        <f t="shared" ca="1" si="101"/>
        <v>75</v>
      </c>
      <c r="Q594" s="166"/>
      <c r="R594" s="166"/>
      <c r="S594" s="166"/>
      <c r="T594" s="171"/>
    </row>
    <row r="595" spans="1:20">
      <c r="A595" s="166" t="b">
        <v>0</v>
      </c>
      <c r="B595" s="166">
        <f t="shared" ca="1" si="98"/>
        <v>-104</v>
      </c>
      <c r="C595" s="413" t="s">
        <v>3474</v>
      </c>
      <c r="D595" s="166" t="s">
        <v>3471</v>
      </c>
      <c r="E595" s="166">
        <f t="shared" si="99"/>
        <v>4</v>
      </c>
      <c r="F595" s="177">
        <v>13</v>
      </c>
      <c r="G595" s="171"/>
      <c r="H595" s="166">
        <f t="shared" ca="1" si="100"/>
        <v>33</v>
      </c>
      <c r="I595" s="168"/>
      <c r="J595" s="177"/>
      <c r="K595" s="177"/>
      <c r="L595" s="171"/>
      <c r="M595" s="166" t="str">
        <f ca="1">IFERROR(IF(COUNTIF($B$517:$B594,"&lt;0")&lt;&gt;1,OFFSET($C593,-COUNTIF($B$517:$B594,"&lt;0")+3,0),""),"")</f>
        <v/>
      </c>
      <c r="N595" s="166">
        <f ca="1">IFERROR(IF(COUNTA($D$517:D594)=1,0,OFFSET($F593,-COUNTA($D$517:D594)+3,0)),"")</f>
        <v>1</v>
      </c>
      <c r="O595" s="166"/>
      <c r="P595" s="166">
        <f t="shared" ca="1" si="101"/>
        <v>76</v>
      </c>
      <c r="Q595" s="166"/>
      <c r="R595" s="166"/>
      <c r="S595" s="166"/>
      <c r="T595" s="171"/>
    </row>
    <row r="596" spans="1:20">
      <c r="A596" s="166" t="b">
        <v>0</v>
      </c>
      <c r="B596" s="166">
        <f t="shared" ca="1" si="98"/>
        <v>-103</v>
      </c>
      <c r="C596" s="413" t="s">
        <v>3475</v>
      </c>
      <c r="D596" s="166" t="s">
        <v>3471</v>
      </c>
      <c r="E596" s="166">
        <f t="shared" si="99"/>
        <v>5</v>
      </c>
      <c r="F596" s="177">
        <v>13</v>
      </c>
      <c r="G596" s="171"/>
      <c r="H596" s="166">
        <f t="shared" ca="1" si="100"/>
        <v>33</v>
      </c>
      <c r="I596" s="168"/>
      <c r="J596" s="177"/>
      <c r="K596" s="177"/>
      <c r="L596" s="171"/>
      <c r="M596" s="166" t="str">
        <f ca="1">IFERROR(IF(COUNTIF($B$517:$B595,"&lt;0")&lt;&gt;1,OFFSET($C594,-COUNTIF($B$517:$B595,"&lt;0")+3,0),""),"")</f>
        <v/>
      </c>
      <c r="N596" s="166">
        <f ca="1">IFERROR(IF(COUNTA($D$517:D595)=1,0,OFFSET($F594,-COUNTA($D$517:D595)+3,0)),"")</f>
        <v>1</v>
      </c>
      <c r="O596" s="166"/>
      <c r="P596" s="166">
        <f t="shared" ca="1" si="101"/>
        <v>77</v>
      </c>
      <c r="Q596" s="166"/>
      <c r="R596" s="166"/>
      <c r="S596" s="166"/>
      <c r="T596" s="171"/>
    </row>
    <row r="597" spans="1:20">
      <c r="A597" s="166" t="b">
        <v>0</v>
      </c>
      <c r="B597" s="166">
        <f t="shared" ca="1" si="98"/>
        <v>-102</v>
      </c>
      <c r="C597" s="413" t="s">
        <v>3476</v>
      </c>
      <c r="D597" s="166" t="s">
        <v>3471</v>
      </c>
      <c r="E597" s="166">
        <f t="shared" si="99"/>
        <v>6</v>
      </c>
      <c r="F597" s="177">
        <v>13</v>
      </c>
      <c r="G597" s="171"/>
      <c r="H597" s="166">
        <f t="shared" ca="1" si="100"/>
        <v>33</v>
      </c>
      <c r="I597" s="168"/>
      <c r="J597" s="177"/>
      <c r="K597" s="177"/>
      <c r="L597" s="171"/>
      <c r="M597" s="166" t="str">
        <f ca="1">IFERROR(IF(COUNTIF($B$517:$B596,"&lt;0")&lt;&gt;1,OFFSET($C595,-COUNTIF($B$517:$B596,"&lt;0")+3,0),""),"")</f>
        <v/>
      </c>
      <c r="N597" s="166">
        <f ca="1">IFERROR(IF(COUNTA($D$517:D596)=1,0,OFFSET($F595,-COUNTA($D$517:D596)+3,0)),"")</f>
        <v>1</v>
      </c>
      <c r="O597" s="166"/>
      <c r="P597" s="166">
        <f t="shared" ca="1" si="101"/>
        <v>78</v>
      </c>
      <c r="Q597" s="166"/>
      <c r="R597" s="166"/>
      <c r="S597" s="166"/>
      <c r="T597" s="171"/>
    </row>
    <row r="598" spans="1:20">
      <c r="A598" s="166" t="b">
        <v>0</v>
      </c>
      <c r="B598" s="166">
        <f t="shared" ca="1" si="98"/>
        <v>-101</v>
      </c>
      <c r="C598" s="413" t="s">
        <v>3477</v>
      </c>
      <c r="D598" s="166" t="s">
        <v>3478</v>
      </c>
      <c r="E598" s="166">
        <f t="shared" si="99"/>
        <v>1</v>
      </c>
      <c r="F598" s="177">
        <v>14</v>
      </c>
      <c r="G598" s="171"/>
      <c r="H598" s="166">
        <f t="shared" ca="1" si="100"/>
        <v>35</v>
      </c>
      <c r="I598" s="168"/>
      <c r="J598" s="177"/>
      <c r="K598" s="177"/>
      <c r="L598" s="171"/>
      <c r="M598" s="166" t="str">
        <f ca="1">IFERROR(IF(COUNTIF($B$517:$B597,"&lt;0")&lt;&gt;1,OFFSET($C596,-COUNTIF($B$517:$B597,"&lt;0")+3,0),""),"")</f>
        <v/>
      </c>
      <c r="N598" s="166">
        <f ca="1">IFERROR(IF(COUNTA($D$517:D597)=1,0,OFFSET($F596,-COUNTA($D$517:D597)+3,0)),"")</f>
        <v>1</v>
      </c>
      <c r="O598" s="166"/>
      <c r="P598" s="166">
        <f t="shared" ca="1" si="101"/>
        <v>79</v>
      </c>
      <c r="Q598" s="166"/>
      <c r="R598" s="166"/>
      <c r="S598" s="166"/>
      <c r="T598" s="171"/>
    </row>
    <row r="599" spans="1:20">
      <c r="A599" s="166" t="b">
        <v>0</v>
      </c>
      <c r="B599" s="166">
        <f t="shared" ca="1" si="98"/>
        <v>-100</v>
      </c>
      <c r="C599" s="413" t="s">
        <v>3479</v>
      </c>
      <c r="D599" s="166" t="s">
        <v>3478</v>
      </c>
      <c r="E599" s="166">
        <f t="shared" si="99"/>
        <v>2</v>
      </c>
      <c r="F599" s="177">
        <v>14</v>
      </c>
      <c r="G599" s="171"/>
      <c r="H599" s="166">
        <f t="shared" ca="1" si="100"/>
        <v>35</v>
      </c>
      <c r="I599" s="168"/>
      <c r="J599" s="177"/>
      <c r="K599" s="177"/>
      <c r="L599" s="171"/>
      <c r="M599" s="166" t="str">
        <f ca="1">IFERROR(IF(COUNTIF($B$517:$B598,"&lt;0")&lt;&gt;1,OFFSET($C597,-COUNTIF($B$517:$B598,"&lt;0")+3,0),""),"")</f>
        <v/>
      </c>
      <c r="N599" s="166">
        <f ca="1">IFERROR(IF(COUNTA($D$517:D598)=1,0,OFFSET($F597,-COUNTA($D$517:D598)+3,0)),"")</f>
        <v>1</v>
      </c>
      <c r="O599" s="166"/>
      <c r="P599" s="166">
        <f t="shared" ca="1" si="101"/>
        <v>80</v>
      </c>
      <c r="Q599" s="166"/>
      <c r="R599" s="166"/>
      <c r="S599" s="166"/>
      <c r="T599" s="171"/>
    </row>
    <row r="600" spans="1:20">
      <c r="A600" s="166" t="b">
        <v>0</v>
      </c>
      <c r="B600" s="166">
        <f t="shared" ca="1" si="98"/>
        <v>-99</v>
      </c>
      <c r="C600" s="413" t="s">
        <v>3480</v>
      </c>
      <c r="D600" s="166" t="s">
        <v>3478</v>
      </c>
      <c r="E600" s="166">
        <f t="shared" si="99"/>
        <v>3</v>
      </c>
      <c r="F600" s="177">
        <v>14</v>
      </c>
      <c r="G600" s="171"/>
      <c r="H600" s="166">
        <f t="shared" ca="1" si="100"/>
        <v>35</v>
      </c>
      <c r="I600" s="168"/>
      <c r="J600" s="177"/>
      <c r="K600" s="177"/>
      <c r="L600" s="171"/>
      <c r="M600" s="166" t="str">
        <f ca="1">IFERROR(IF(COUNTIF($B$517:$B599,"&lt;0")&lt;&gt;1,OFFSET($C598,-COUNTIF($B$517:$B599,"&lt;0")+3,0),""),"")</f>
        <v/>
      </c>
      <c r="N600" s="166">
        <f ca="1">IFERROR(IF(COUNTA($D$517:D599)=1,0,OFFSET($F598,-COUNTA($D$517:D599)+3,0)),"")</f>
        <v>1</v>
      </c>
      <c r="O600" s="166"/>
      <c r="P600" s="166">
        <f t="shared" ca="1" si="101"/>
        <v>81</v>
      </c>
      <c r="Q600" s="166"/>
      <c r="R600" s="166"/>
      <c r="S600" s="166"/>
      <c r="T600" s="171"/>
    </row>
    <row r="601" spans="1:20">
      <c r="A601" s="166" t="b">
        <v>0</v>
      </c>
      <c r="B601" s="166">
        <f t="shared" ca="1" si="98"/>
        <v>-98</v>
      </c>
      <c r="C601" s="413" t="s">
        <v>3481</v>
      </c>
      <c r="D601" s="166" t="s">
        <v>3478</v>
      </c>
      <c r="E601" s="166">
        <f t="shared" si="99"/>
        <v>4</v>
      </c>
      <c r="F601" s="177">
        <v>14</v>
      </c>
      <c r="G601" s="171"/>
      <c r="H601" s="166">
        <f t="shared" ca="1" si="100"/>
        <v>35</v>
      </c>
      <c r="I601" s="168"/>
      <c r="J601" s="177"/>
      <c r="K601" s="177"/>
      <c r="L601" s="171"/>
      <c r="M601" s="166" t="str">
        <f ca="1">IFERROR(IF(COUNTIF($B$517:$B600,"&lt;0")&lt;&gt;1,OFFSET($C599,-COUNTIF($B$517:$B600,"&lt;0")+3,0),""),"")</f>
        <v/>
      </c>
      <c r="N601" s="166">
        <f ca="1">IFERROR(IF(COUNTA($D$517:D600)=1,0,OFFSET($F599,-COUNTA($D$517:D600)+3,0)),"")</f>
        <v>1</v>
      </c>
      <c r="O601" s="166"/>
      <c r="P601" s="166">
        <f t="shared" ca="1" si="101"/>
        <v>82</v>
      </c>
      <c r="Q601" s="166"/>
      <c r="R601" s="166"/>
      <c r="S601" s="166"/>
      <c r="T601" s="171"/>
    </row>
    <row r="602" spans="1:20">
      <c r="A602" s="166" t="b">
        <v>0</v>
      </c>
      <c r="B602" s="166">
        <f t="shared" ca="1" si="98"/>
        <v>-97</v>
      </c>
      <c r="C602" s="413" t="s">
        <v>3482</v>
      </c>
      <c r="D602" s="166" t="s">
        <v>3478</v>
      </c>
      <c r="E602" s="166">
        <f t="shared" si="99"/>
        <v>5</v>
      </c>
      <c r="F602" s="177">
        <v>14</v>
      </c>
      <c r="G602" s="171"/>
      <c r="H602" s="166">
        <f t="shared" ca="1" si="100"/>
        <v>35</v>
      </c>
      <c r="I602" s="168"/>
      <c r="J602" s="177"/>
      <c r="K602" s="177"/>
      <c r="L602" s="171"/>
      <c r="M602" s="166" t="str">
        <f ca="1">IFERROR(IF(COUNTIF($B$517:$B601,"&lt;0")&lt;&gt;1,OFFSET($C600,-COUNTIF($B$517:$B601,"&lt;0")+3,0),""),"")</f>
        <v/>
      </c>
      <c r="N602" s="166">
        <f ca="1">IFERROR(IF(COUNTA($D$517:D601)=1,0,OFFSET($F600,-COUNTA($D$517:D601)+3,0)),"")</f>
        <v>1</v>
      </c>
      <c r="O602" s="166"/>
      <c r="P602" s="166">
        <f t="shared" ca="1" si="101"/>
        <v>83</v>
      </c>
      <c r="Q602" s="166"/>
      <c r="R602" s="166"/>
      <c r="S602" s="166"/>
      <c r="T602" s="171"/>
    </row>
    <row r="603" spans="1:20">
      <c r="A603" s="166" t="b">
        <v>0</v>
      </c>
      <c r="B603" s="166">
        <f t="shared" ca="1" si="98"/>
        <v>-96</v>
      </c>
      <c r="C603" s="413" t="s">
        <v>3483</v>
      </c>
      <c r="D603" s="166" t="s">
        <v>3478</v>
      </c>
      <c r="E603" s="166">
        <f t="shared" si="99"/>
        <v>6</v>
      </c>
      <c r="F603" s="177">
        <v>14</v>
      </c>
      <c r="G603" s="171"/>
      <c r="H603" s="166">
        <f t="shared" ca="1" si="100"/>
        <v>35</v>
      </c>
      <c r="I603" s="168"/>
      <c r="J603" s="177"/>
      <c r="K603" s="177"/>
      <c r="L603" s="171"/>
      <c r="M603" s="166" t="str">
        <f ca="1">IFERROR(IF(COUNTIF($B$517:$B602,"&lt;0")&lt;&gt;1,OFFSET($C601,-COUNTIF($B$517:$B602,"&lt;0")+3,0),""),"")</f>
        <v/>
      </c>
      <c r="N603" s="166">
        <f ca="1">IFERROR(IF(COUNTA($D$517:D602)=1,0,OFFSET($F601,-COUNTA($D$517:D602)+3,0)),"")</f>
        <v>1</v>
      </c>
      <c r="O603" s="166"/>
      <c r="P603" s="166">
        <f t="shared" ca="1" si="101"/>
        <v>84</v>
      </c>
      <c r="Q603" s="166"/>
      <c r="R603" s="166"/>
      <c r="S603" s="166"/>
      <c r="T603" s="171"/>
    </row>
    <row r="604" spans="1:20">
      <c r="A604" s="166" t="b">
        <v>0</v>
      </c>
      <c r="B604" s="166">
        <f t="shared" ca="1" si="98"/>
        <v>-95</v>
      </c>
      <c r="C604" s="413" t="s">
        <v>3484</v>
      </c>
      <c r="D604" s="166" t="s">
        <v>3485</v>
      </c>
      <c r="E604" s="166">
        <f t="shared" si="99"/>
        <v>1</v>
      </c>
      <c r="F604" s="177">
        <v>15</v>
      </c>
      <c r="G604" s="171"/>
      <c r="H604" s="166">
        <f t="shared" ca="1" si="100"/>
        <v>37</v>
      </c>
      <c r="I604" s="168"/>
      <c r="J604" s="177"/>
      <c r="K604" s="177"/>
      <c r="L604" s="171"/>
      <c r="M604" s="166" t="str">
        <f ca="1">IFERROR(IF(COUNTIF($B$517:$B603,"&lt;0")&lt;&gt;1,OFFSET($C602,-COUNTIF($B$517:$B603,"&lt;0")+3,0),""),"")</f>
        <v/>
      </c>
      <c r="N604" s="166">
        <f ca="1">IFERROR(IF(COUNTA($D$517:D603)=1,0,OFFSET($F602,-COUNTA($D$517:D603)+3,0)),"")</f>
        <v>1</v>
      </c>
      <c r="O604" s="166"/>
      <c r="P604" s="166">
        <f t="shared" ca="1" si="101"/>
        <v>85</v>
      </c>
      <c r="Q604" s="166"/>
      <c r="R604" s="166"/>
      <c r="S604" s="166"/>
      <c r="T604" s="171"/>
    </row>
    <row r="605" spans="1:20">
      <c r="A605" s="166" t="b">
        <v>0</v>
      </c>
      <c r="B605" s="166">
        <f t="shared" ca="1" si="98"/>
        <v>-94</v>
      </c>
      <c r="C605" s="413" t="s">
        <v>3486</v>
      </c>
      <c r="D605" s="166" t="s">
        <v>3485</v>
      </c>
      <c r="E605" s="166">
        <f t="shared" si="99"/>
        <v>2</v>
      </c>
      <c r="F605" s="177">
        <v>15</v>
      </c>
      <c r="G605" s="171"/>
      <c r="H605" s="166">
        <f t="shared" ca="1" si="100"/>
        <v>37</v>
      </c>
      <c r="I605" s="168"/>
      <c r="J605" s="177"/>
      <c r="K605" s="177"/>
      <c r="L605" s="171"/>
      <c r="M605" s="166" t="str">
        <f ca="1">IFERROR(IF(COUNTIF($B$517:$B604,"&lt;0")&lt;&gt;1,OFFSET($C603,-COUNTIF($B$517:$B604,"&lt;0")+3,0),""),"")</f>
        <v/>
      </c>
      <c r="N605" s="166">
        <f ca="1">IFERROR(IF(COUNTA($D$517:D604)=1,0,OFFSET($F603,-COUNTA($D$517:D604)+3,0)),"")</f>
        <v>1</v>
      </c>
      <c r="O605" s="166"/>
      <c r="P605" s="166">
        <f t="shared" ca="1" si="101"/>
        <v>86</v>
      </c>
      <c r="Q605" s="166"/>
      <c r="R605" s="166"/>
      <c r="S605" s="166"/>
      <c r="T605" s="171"/>
    </row>
    <row r="606" spans="1:20">
      <c r="A606" s="166" t="b">
        <v>0</v>
      </c>
      <c r="B606" s="166">
        <f t="shared" ca="1" si="98"/>
        <v>-93</v>
      </c>
      <c r="C606" s="413" t="s">
        <v>3487</v>
      </c>
      <c r="D606" s="166" t="s">
        <v>3485</v>
      </c>
      <c r="E606" s="166">
        <f t="shared" si="99"/>
        <v>3</v>
      </c>
      <c r="F606" s="177">
        <v>15</v>
      </c>
      <c r="G606" s="171"/>
      <c r="H606" s="166">
        <f t="shared" ca="1" si="100"/>
        <v>37</v>
      </c>
      <c r="I606" s="168"/>
      <c r="J606" s="177"/>
      <c r="K606" s="177"/>
      <c r="L606" s="171"/>
      <c r="M606" s="166" t="str">
        <f ca="1">IFERROR(IF(COUNTIF($B$517:$B605,"&lt;0")&lt;&gt;1,OFFSET($C604,-COUNTIF($B$517:$B605,"&lt;0")+3,0),""),"")</f>
        <v/>
      </c>
      <c r="N606" s="166">
        <f ca="1">IFERROR(IF(COUNTA($D$517:D605)=1,0,OFFSET($F604,-COUNTA($D$517:D605)+3,0)),"")</f>
        <v>1</v>
      </c>
      <c r="O606" s="166"/>
      <c r="P606" s="166">
        <f t="shared" ca="1" si="101"/>
        <v>87</v>
      </c>
      <c r="Q606" s="166"/>
      <c r="R606" s="166"/>
      <c r="S606" s="166"/>
      <c r="T606" s="171"/>
    </row>
    <row r="607" spans="1:20">
      <c r="A607" s="166" t="b">
        <v>0</v>
      </c>
      <c r="B607" s="166">
        <f t="shared" ca="1" si="98"/>
        <v>-92</v>
      </c>
      <c r="C607" s="413" t="s">
        <v>3488</v>
      </c>
      <c r="D607" s="166" t="s">
        <v>3485</v>
      </c>
      <c r="E607" s="166">
        <f t="shared" si="99"/>
        <v>4</v>
      </c>
      <c r="F607" s="177">
        <v>15</v>
      </c>
      <c r="G607" s="171"/>
      <c r="H607" s="166">
        <f t="shared" ca="1" si="100"/>
        <v>37</v>
      </c>
      <c r="I607" s="168"/>
      <c r="J607" s="177"/>
      <c r="K607" s="177"/>
      <c r="L607" s="171"/>
      <c r="M607" s="166" t="str">
        <f ca="1">IFERROR(IF(COUNTIF($B$517:$B606,"&lt;0")&lt;&gt;1,OFFSET($C605,-COUNTIF($B$517:$B606,"&lt;0")+3,0),""),"")</f>
        <v/>
      </c>
      <c r="N607" s="166">
        <f ca="1">IFERROR(IF(COUNTA($D$517:D606)=1,0,OFFSET($F605,-COUNTA($D$517:D606)+3,0)),"")</f>
        <v>1</v>
      </c>
      <c r="O607" s="166"/>
      <c r="P607" s="166">
        <f t="shared" ca="1" si="101"/>
        <v>88</v>
      </c>
      <c r="Q607" s="166"/>
      <c r="R607" s="166"/>
      <c r="S607" s="166"/>
      <c r="T607" s="171"/>
    </row>
    <row r="608" spans="1:20">
      <c r="A608" s="166" t="b">
        <v>0</v>
      </c>
      <c r="B608" s="166">
        <f t="shared" ca="1" si="98"/>
        <v>-91</v>
      </c>
      <c r="C608" s="413" t="s">
        <v>3489</v>
      </c>
      <c r="D608" s="166" t="s">
        <v>3485</v>
      </c>
      <c r="E608" s="166">
        <f t="shared" si="99"/>
        <v>5</v>
      </c>
      <c r="F608" s="177">
        <v>15</v>
      </c>
      <c r="G608" s="171"/>
      <c r="H608" s="166">
        <f t="shared" ca="1" si="100"/>
        <v>37</v>
      </c>
      <c r="I608" s="168"/>
      <c r="J608" s="177"/>
      <c r="K608" s="177"/>
      <c r="L608" s="171"/>
      <c r="M608" s="166" t="str">
        <f ca="1">IFERROR(IF(COUNTIF($B$517:$B607,"&lt;0")&lt;&gt;1,OFFSET($C606,-COUNTIF($B$517:$B607,"&lt;0")+3,0),""),"")</f>
        <v/>
      </c>
      <c r="N608" s="166">
        <f ca="1">IFERROR(IF(COUNTA($D$517:D607)=1,0,OFFSET($F606,-COUNTA($D$517:D607)+3,0)),"")</f>
        <v>1</v>
      </c>
      <c r="O608" s="166"/>
      <c r="P608" s="166">
        <f t="shared" ca="1" si="101"/>
        <v>89</v>
      </c>
      <c r="Q608" s="166"/>
      <c r="R608" s="166"/>
      <c r="S608" s="166"/>
      <c r="T608" s="171"/>
    </row>
    <row r="609" spans="1:20">
      <c r="A609" s="166" t="b">
        <v>0</v>
      </c>
      <c r="B609" s="166">
        <f t="shared" ca="1" si="98"/>
        <v>-90</v>
      </c>
      <c r="C609" s="413" t="s">
        <v>3490</v>
      </c>
      <c r="D609" s="166" t="s">
        <v>3485</v>
      </c>
      <c r="E609" s="166">
        <f t="shared" si="99"/>
        <v>6</v>
      </c>
      <c r="F609" s="177">
        <v>15</v>
      </c>
      <c r="G609" s="171"/>
      <c r="H609" s="166">
        <f t="shared" ca="1" si="100"/>
        <v>37</v>
      </c>
      <c r="I609" s="168"/>
      <c r="J609" s="177"/>
      <c r="K609" s="177"/>
      <c r="L609" s="171"/>
      <c r="M609" s="166" t="str">
        <f ca="1">IFERROR(IF(COUNTIF($B$517:$B608,"&lt;0")&lt;&gt;1,OFFSET($C607,-COUNTIF($B$517:$B608,"&lt;0")+3,0),""),"")</f>
        <v/>
      </c>
      <c r="N609" s="166">
        <f ca="1">IFERROR(IF(COUNTA($D$517:D608)=1,0,OFFSET($F607,-COUNTA($D$517:D608)+3,0)),"")</f>
        <v>1</v>
      </c>
      <c r="O609" s="166"/>
      <c r="P609" s="166">
        <f t="shared" ca="1" si="101"/>
        <v>90</v>
      </c>
      <c r="Q609" s="166"/>
      <c r="R609" s="166"/>
      <c r="S609" s="166"/>
      <c r="T609" s="171"/>
    </row>
    <row r="610" spans="1:20">
      <c r="A610" s="166" t="b">
        <v>0</v>
      </c>
      <c r="B610" s="166">
        <f t="shared" ca="1" si="98"/>
        <v>-89</v>
      </c>
      <c r="C610" s="413" t="s">
        <v>3491</v>
      </c>
      <c r="D610" s="166" t="s">
        <v>3492</v>
      </c>
      <c r="E610" s="166">
        <f t="shared" si="99"/>
        <v>1</v>
      </c>
      <c r="F610" s="177">
        <v>16</v>
      </c>
      <c r="G610" s="171"/>
      <c r="H610" s="166">
        <f t="shared" ca="1" si="100"/>
        <v>39</v>
      </c>
      <c r="I610" s="168"/>
      <c r="J610" s="177"/>
      <c r="K610" s="177"/>
      <c r="L610" s="171"/>
      <c r="M610" s="166" t="str">
        <f ca="1">IFERROR(IF(COUNTIF($B$517:$B609,"&lt;0")&lt;&gt;1,OFFSET($C608,-COUNTIF($B$517:$B609,"&lt;0")+3,0),""),"")</f>
        <v/>
      </c>
      <c r="N610" s="166">
        <f ca="1">IFERROR(IF(COUNTA($D$517:D609)=1,0,OFFSET($F608,-COUNTA($D$517:D609)+3,0)),"")</f>
        <v>1</v>
      </c>
      <c r="O610" s="166"/>
      <c r="P610" s="166">
        <f t="shared" ca="1" si="101"/>
        <v>91</v>
      </c>
      <c r="Q610" s="166"/>
      <c r="R610" s="166"/>
      <c r="S610" s="166"/>
      <c r="T610" s="171"/>
    </row>
    <row r="611" spans="1:20">
      <c r="A611" s="166" t="b">
        <v>0</v>
      </c>
      <c r="B611" s="166">
        <f t="shared" ca="1" si="98"/>
        <v>-88</v>
      </c>
      <c r="C611" s="413" t="s">
        <v>3493</v>
      </c>
      <c r="D611" s="166" t="s">
        <v>3492</v>
      </c>
      <c r="E611" s="166">
        <f t="shared" si="99"/>
        <v>2</v>
      </c>
      <c r="F611" s="177">
        <v>16</v>
      </c>
      <c r="G611" s="171"/>
      <c r="H611" s="166">
        <f t="shared" ca="1" si="100"/>
        <v>39</v>
      </c>
      <c r="I611" s="168"/>
      <c r="J611" s="177"/>
      <c r="K611" s="177"/>
      <c r="L611" s="171"/>
      <c r="M611" s="166" t="str">
        <f ca="1">IFERROR(IF(COUNTIF($B$517:$B610,"&lt;0")&lt;&gt;1,OFFSET($C609,-COUNTIF($B$517:$B610,"&lt;0")+3,0),""),"")</f>
        <v/>
      </c>
      <c r="N611" s="166">
        <f ca="1">IFERROR(IF(COUNTA($D$517:D610)=1,0,OFFSET($F609,-COUNTA($D$517:D610)+3,0)),"")</f>
        <v>1</v>
      </c>
      <c r="O611" s="166"/>
      <c r="P611" s="166">
        <f t="shared" ca="1" si="101"/>
        <v>92</v>
      </c>
      <c r="Q611" s="166"/>
      <c r="R611" s="166"/>
      <c r="S611" s="166"/>
      <c r="T611" s="171"/>
    </row>
    <row r="612" spans="1:20">
      <c r="A612" s="166" t="b">
        <v>0</v>
      </c>
      <c r="B612" s="166">
        <f t="shared" ca="1" si="98"/>
        <v>-87</v>
      </c>
      <c r="C612" s="413" t="s">
        <v>3494</v>
      </c>
      <c r="D612" s="166" t="s">
        <v>3492</v>
      </c>
      <c r="E612" s="166">
        <f t="shared" si="99"/>
        <v>3</v>
      </c>
      <c r="F612" s="177">
        <v>16</v>
      </c>
      <c r="G612" s="171"/>
      <c r="H612" s="166">
        <f t="shared" ca="1" si="100"/>
        <v>39</v>
      </c>
      <c r="I612" s="168"/>
      <c r="J612" s="177"/>
      <c r="K612" s="177"/>
      <c r="L612" s="171"/>
      <c r="M612" s="166" t="str">
        <f ca="1">IFERROR(IF(COUNTIF($B$517:$B611,"&lt;0")&lt;&gt;1,OFFSET($C610,-COUNTIF($B$517:$B611,"&lt;0")+3,0),""),"")</f>
        <v/>
      </c>
      <c r="N612" s="166">
        <f ca="1">IFERROR(IF(COUNTA($D$517:D611)=1,0,OFFSET($F610,-COUNTA($D$517:D611)+3,0)),"")</f>
        <v>1</v>
      </c>
      <c r="O612" s="166"/>
      <c r="P612" s="166">
        <f t="shared" ca="1" si="101"/>
        <v>93</v>
      </c>
      <c r="Q612" s="166"/>
      <c r="R612" s="166"/>
      <c r="S612" s="166"/>
      <c r="T612" s="171"/>
    </row>
    <row r="613" spans="1:20">
      <c r="A613" s="166" t="b">
        <v>0</v>
      </c>
      <c r="B613" s="166">
        <f t="shared" ca="1" si="98"/>
        <v>-86</v>
      </c>
      <c r="C613" s="413" t="s">
        <v>3495</v>
      </c>
      <c r="D613" s="166" t="s">
        <v>3492</v>
      </c>
      <c r="E613" s="166">
        <f t="shared" si="99"/>
        <v>4</v>
      </c>
      <c r="F613" s="177">
        <v>16</v>
      </c>
      <c r="G613" s="171"/>
      <c r="H613" s="166">
        <f t="shared" ca="1" si="100"/>
        <v>39</v>
      </c>
      <c r="I613" s="168"/>
      <c r="J613" s="177"/>
      <c r="K613" s="177"/>
      <c r="L613" s="171"/>
      <c r="M613" s="166" t="str">
        <f ca="1">IFERROR(IF(COUNTIF($B$517:$B612,"&lt;0")&lt;&gt;1,OFFSET($C611,-COUNTIF($B$517:$B612,"&lt;0")+3,0),""),"")</f>
        <v/>
      </c>
      <c r="N613" s="166">
        <f ca="1">IFERROR(IF(COUNTA($D$517:D612)=1,0,OFFSET($F611,-COUNTA($D$517:D612)+3,0)),"")</f>
        <v>1</v>
      </c>
      <c r="O613" s="166"/>
      <c r="P613" s="166">
        <f t="shared" ca="1" si="101"/>
        <v>94</v>
      </c>
      <c r="Q613" s="166"/>
      <c r="R613" s="166"/>
      <c r="S613" s="166"/>
      <c r="T613" s="171"/>
    </row>
    <row r="614" spans="1:20">
      <c r="A614" s="166" t="b">
        <v>0</v>
      </c>
      <c r="B614" s="166">
        <f t="shared" ca="1" si="98"/>
        <v>-85</v>
      </c>
      <c r="C614" s="413" t="s">
        <v>3496</v>
      </c>
      <c r="D614" s="166" t="s">
        <v>3492</v>
      </c>
      <c r="E614" s="166">
        <f t="shared" si="99"/>
        <v>5</v>
      </c>
      <c r="F614" s="177">
        <v>16</v>
      </c>
      <c r="G614" s="171"/>
      <c r="H614" s="166">
        <f t="shared" ca="1" si="100"/>
        <v>39</v>
      </c>
      <c r="I614" s="168"/>
      <c r="J614" s="177"/>
      <c r="K614" s="177"/>
      <c r="L614" s="171"/>
      <c r="M614" s="166" t="str">
        <f ca="1">IFERROR(IF(COUNTIF($B$517:$B613,"&lt;0")&lt;&gt;1,OFFSET($C612,-COUNTIF($B$517:$B613,"&lt;0")+3,0),""),"")</f>
        <v/>
      </c>
      <c r="N614" s="166">
        <f ca="1">IFERROR(IF(COUNTA($D$517:D613)=1,0,OFFSET($F612,-COUNTA($D$517:D613)+3,0)),"")</f>
        <v>1</v>
      </c>
      <c r="O614" s="166"/>
      <c r="P614" s="166">
        <f t="shared" ca="1" si="101"/>
        <v>95</v>
      </c>
      <c r="Q614" s="166"/>
      <c r="R614" s="166"/>
      <c r="S614" s="166"/>
      <c r="T614" s="171"/>
    </row>
    <row r="615" spans="1:20">
      <c r="A615" s="166" t="b">
        <v>0</v>
      </c>
      <c r="B615" s="166">
        <f t="shared" ca="1" si="98"/>
        <v>-84</v>
      </c>
      <c r="C615" s="413" t="s">
        <v>3497</v>
      </c>
      <c r="D615" s="166" t="s">
        <v>3492</v>
      </c>
      <c r="E615" s="166">
        <f t="shared" si="99"/>
        <v>6</v>
      </c>
      <c r="F615" s="177">
        <v>16</v>
      </c>
      <c r="G615" s="171"/>
      <c r="H615" s="166">
        <f t="shared" ca="1" si="100"/>
        <v>39</v>
      </c>
      <c r="I615" s="168"/>
      <c r="J615" s="177"/>
      <c r="K615" s="177"/>
      <c r="L615" s="171"/>
      <c r="M615" s="166" t="str">
        <f ca="1">IFERROR(IF(COUNTIF($B$517:$B614,"&lt;0")&lt;&gt;1,OFFSET($C613,-COUNTIF($B$517:$B614,"&lt;0")+3,0),""),"")</f>
        <v/>
      </c>
      <c r="N615" s="166">
        <f ca="1">IFERROR(IF(COUNTA($D$517:D614)=1,0,OFFSET($F613,-COUNTA($D$517:D614)+3,0)),"")</f>
        <v>1</v>
      </c>
      <c r="O615" s="166"/>
      <c r="P615" s="166">
        <f t="shared" ca="1" si="101"/>
        <v>96</v>
      </c>
      <c r="Q615" s="166"/>
      <c r="R615" s="166"/>
      <c r="S615" s="166"/>
      <c r="T615" s="171"/>
    </row>
    <row r="616" spans="1:20">
      <c r="A616" s="166" t="b">
        <v>0</v>
      </c>
      <c r="B616" s="166">
        <f t="shared" ca="1" si="98"/>
        <v>-83</v>
      </c>
      <c r="C616" s="413" t="s">
        <v>3498</v>
      </c>
      <c r="D616" s="166" t="s">
        <v>3499</v>
      </c>
      <c r="E616" s="166">
        <f t="shared" si="99"/>
        <v>1</v>
      </c>
      <c r="F616" s="177">
        <v>17</v>
      </c>
      <c r="G616" s="171"/>
      <c r="H616" s="166">
        <f t="shared" ca="1" si="100"/>
        <v>41</v>
      </c>
      <c r="I616" s="168"/>
      <c r="J616" s="177"/>
      <c r="K616" s="177"/>
      <c r="L616" s="171"/>
      <c r="M616" s="166" t="str">
        <f ca="1">IFERROR(IF(COUNTIF($B$517:$B615,"&lt;0")&lt;&gt;1,OFFSET($C614,-COUNTIF($B$517:$B615,"&lt;0")+3,0),""),"")</f>
        <v/>
      </c>
      <c r="N616" s="166">
        <f ca="1">IFERROR(IF(COUNTA($D$517:D615)=1,0,OFFSET($F614,-COUNTA($D$517:D615)+3,0)),"")</f>
        <v>1</v>
      </c>
      <c r="O616" s="166"/>
      <c r="P616" s="166">
        <f t="shared" ca="1" si="101"/>
        <v>97</v>
      </c>
      <c r="Q616" s="166"/>
      <c r="R616" s="166"/>
      <c r="S616" s="166"/>
      <c r="T616" s="171"/>
    </row>
    <row r="617" spans="1:20">
      <c r="A617" s="166" t="b">
        <v>0</v>
      </c>
      <c r="B617" s="166">
        <f t="shared" ca="1" si="98"/>
        <v>-82</v>
      </c>
      <c r="C617" s="413" t="s">
        <v>3500</v>
      </c>
      <c r="D617" s="166" t="s">
        <v>3499</v>
      </c>
      <c r="E617" s="166">
        <f t="shared" si="99"/>
        <v>2</v>
      </c>
      <c r="F617" s="177">
        <v>17</v>
      </c>
      <c r="G617" s="171"/>
      <c r="H617" s="166">
        <f t="shared" ca="1" si="100"/>
        <v>41</v>
      </c>
      <c r="I617" s="168"/>
      <c r="J617" s="177"/>
      <c r="K617" s="177"/>
      <c r="L617" s="171"/>
      <c r="M617" s="166" t="str">
        <f ca="1">IFERROR(IF(COUNTIF($B$517:$B616,"&lt;0")&lt;&gt;1,OFFSET($C615,-COUNTIF($B$517:$B616,"&lt;0")+3,0),""),"")</f>
        <v/>
      </c>
      <c r="N617" s="166">
        <f ca="1">IFERROR(IF(COUNTA($D$517:D616)=1,0,OFFSET($F615,-COUNTA($D$517:D616)+3,0)),"")</f>
        <v>1</v>
      </c>
      <c r="O617" s="166"/>
      <c r="P617" s="166">
        <f t="shared" ca="1" si="101"/>
        <v>98</v>
      </c>
      <c r="Q617" s="166"/>
      <c r="R617" s="166"/>
      <c r="S617" s="166"/>
      <c r="T617" s="171"/>
    </row>
    <row r="618" spans="1:20">
      <c r="A618" s="166" t="b">
        <v>0</v>
      </c>
      <c r="B618" s="166">
        <f t="shared" ca="1" si="98"/>
        <v>-81</v>
      </c>
      <c r="C618" s="413" t="s">
        <v>3501</v>
      </c>
      <c r="D618" s="166" t="s">
        <v>3499</v>
      </c>
      <c r="E618" s="166">
        <f t="shared" si="99"/>
        <v>3</v>
      </c>
      <c r="F618" s="177">
        <v>17</v>
      </c>
      <c r="G618" s="171"/>
      <c r="H618" s="166">
        <f t="shared" ca="1" si="100"/>
        <v>41</v>
      </c>
      <c r="I618" s="168"/>
      <c r="J618" s="177"/>
      <c r="K618" s="177"/>
      <c r="L618" s="171"/>
      <c r="M618" s="166" t="str">
        <f ca="1">IFERROR(IF(COUNTIF($B$517:$B617,"&lt;0")&lt;&gt;1,OFFSET($C616,-COUNTIF($B$517:$B617,"&lt;0")+3,0),""),"")</f>
        <v/>
      </c>
      <c r="N618" s="166">
        <f ca="1">IFERROR(IF(COUNTA($D$517:D617)=1,0,OFFSET($F616,-COUNTA($D$517:D617)+3,0)),"")</f>
        <v>1</v>
      </c>
      <c r="O618" s="166"/>
      <c r="P618" s="166">
        <f t="shared" ca="1" si="101"/>
        <v>99</v>
      </c>
      <c r="Q618" s="166"/>
      <c r="R618" s="166"/>
      <c r="S618" s="166"/>
      <c r="T618" s="171"/>
    </row>
    <row r="619" spans="1:20">
      <c r="A619" s="166" t="b">
        <v>0</v>
      </c>
      <c r="B619" s="166">
        <f t="shared" ca="1" si="98"/>
        <v>-80</v>
      </c>
      <c r="C619" s="413" t="s">
        <v>3502</v>
      </c>
      <c r="D619" s="166" t="s">
        <v>3499</v>
      </c>
      <c r="E619" s="166">
        <f t="shared" si="99"/>
        <v>4</v>
      </c>
      <c r="F619" s="177">
        <v>17</v>
      </c>
      <c r="G619" s="171"/>
      <c r="H619" s="166">
        <f t="shared" ca="1" si="100"/>
        <v>41</v>
      </c>
      <c r="I619" s="168"/>
      <c r="J619" s="177"/>
      <c r="K619" s="177"/>
      <c r="L619" s="171"/>
      <c r="M619" s="166" t="str">
        <f ca="1">IFERROR(IF(COUNTIF($B$517:$B618,"&lt;0")&lt;&gt;1,OFFSET($C617,-COUNTIF($B$517:$B618,"&lt;0")+3,0),""),"")</f>
        <v/>
      </c>
      <c r="N619" s="166">
        <f ca="1">IFERROR(IF(COUNTA($D$517:D618)=1,0,OFFSET($F617,-COUNTA($D$517:D618)+3,0)),"")</f>
        <v>1</v>
      </c>
      <c r="O619" s="166"/>
      <c r="P619" s="166">
        <f t="shared" ca="1" si="101"/>
        <v>100</v>
      </c>
      <c r="Q619" s="166"/>
      <c r="R619" s="166"/>
      <c r="S619" s="166"/>
      <c r="T619" s="171"/>
    </row>
    <row r="620" spans="1:20">
      <c r="A620" s="166" t="b">
        <v>0</v>
      </c>
      <c r="B620" s="166">
        <f t="shared" ca="1" si="98"/>
        <v>-79</v>
      </c>
      <c r="C620" s="413" t="s">
        <v>3503</v>
      </c>
      <c r="D620" s="166" t="s">
        <v>3499</v>
      </c>
      <c r="E620" s="166">
        <f t="shared" si="99"/>
        <v>5</v>
      </c>
      <c r="F620" s="177">
        <v>17</v>
      </c>
      <c r="G620" s="171"/>
      <c r="H620" s="166">
        <f t="shared" ca="1" si="100"/>
        <v>41</v>
      </c>
      <c r="I620" s="168"/>
      <c r="J620" s="177"/>
      <c r="K620" s="177"/>
      <c r="L620" s="171"/>
      <c r="M620" s="166" t="str">
        <f ca="1">IFERROR(IF(COUNTIF($B$517:$B619,"&lt;0")&lt;&gt;1,OFFSET($C618,-COUNTIF($B$517:$B619,"&lt;0")+3,0),""),"")</f>
        <v/>
      </c>
      <c r="N620" s="166">
        <f ca="1">IFERROR(IF(COUNTA($D$517:D619)=1,0,OFFSET($F618,-COUNTA($D$517:D619)+3,0)),"")</f>
        <v>1</v>
      </c>
      <c r="O620" s="166"/>
      <c r="P620" s="166">
        <f t="shared" ca="1" si="101"/>
        <v>101</v>
      </c>
      <c r="Q620" s="166"/>
      <c r="R620" s="166"/>
      <c r="S620" s="166"/>
      <c r="T620" s="171"/>
    </row>
    <row r="621" spans="1:20">
      <c r="A621" s="166" t="b">
        <v>0</v>
      </c>
      <c r="B621" s="166">
        <f t="shared" ca="1" si="98"/>
        <v>-78</v>
      </c>
      <c r="C621" s="413" t="s">
        <v>3504</v>
      </c>
      <c r="D621" s="166" t="s">
        <v>3499</v>
      </c>
      <c r="E621" s="166">
        <f t="shared" si="99"/>
        <v>6</v>
      </c>
      <c r="F621" s="177">
        <v>17</v>
      </c>
      <c r="G621" s="171"/>
      <c r="H621" s="166">
        <f t="shared" ca="1" si="100"/>
        <v>41</v>
      </c>
      <c r="I621" s="168"/>
      <c r="J621" s="177"/>
      <c r="K621" s="177"/>
      <c r="L621" s="171"/>
      <c r="M621" s="166" t="str">
        <f ca="1">IFERROR(IF(COUNTIF($B$517:$B620,"&lt;0")&lt;&gt;1,OFFSET($C619,-COUNTIF($B$517:$B620,"&lt;0")+3,0),""),"")</f>
        <v/>
      </c>
      <c r="N621" s="166">
        <f ca="1">IFERROR(IF(COUNTA($D$517:D620)=1,0,OFFSET($F619,-COUNTA($D$517:D620)+3,0)),"")</f>
        <v>1</v>
      </c>
      <c r="O621" s="166"/>
      <c r="P621" s="166">
        <f t="shared" ca="1" si="101"/>
        <v>102</v>
      </c>
      <c r="Q621" s="166"/>
      <c r="R621" s="166"/>
      <c r="S621" s="166"/>
      <c r="T621" s="171"/>
    </row>
    <row r="622" spans="1:20">
      <c r="A622" s="166" t="b">
        <v>0</v>
      </c>
      <c r="B622" s="166">
        <f t="shared" ca="1" si="98"/>
        <v>-77</v>
      </c>
      <c r="C622" s="413" t="s">
        <v>3505</v>
      </c>
      <c r="D622" s="166" t="s">
        <v>3506</v>
      </c>
      <c r="E622" s="166">
        <f t="shared" si="99"/>
        <v>1</v>
      </c>
      <c r="F622" s="177">
        <v>18</v>
      </c>
      <c r="G622" s="171"/>
      <c r="H622" s="166">
        <f t="shared" ca="1" si="100"/>
        <v>43</v>
      </c>
      <c r="I622" s="168"/>
      <c r="J622" s="177"/>
      <c r="K622" s="177"/>
      <c r="L622" s="171"/>
      <c r="M622" s="166" t="str">
        <f ca="1">IFERROR(IF(COUNTIF($B$517:$B621,"&lt;0")&lt;&gt;1,OFFSET($C620,-COUNTIF($B$517:$B621,"&lt;0")+3,0),""),"")</f>
        <v/>
      </c>
      <c r="N622" s="166">
        <f ca="1">IFERROR(IF(COUNTA($D$517:D621)=1,0,OFFSET($F620,-COUNTA($D$517:D621)+3,0)),"")</f>
        <v>1</v>
      </c>
      <c r="O622" s="166"/>
      <c r="P622" s="166">
        <f t="shared" ca="1" si="101"/>
        <v>103</v>
      </c>
      <c r="Q622" s="166"/>
      <c r="R622" s="166"/>
      <c r="S622" s="166"/>
      <c r="T622" s="171"/>
    </row>
    <row r="623" spans="1:20">
      <c r="A623" s="166" t="b">
        <v>0</v>
      </c>
      <c r="B623" s="166">
        <f t="shared" ca="1" si="98"/>
        <v>-76</v>
      </c>
      <c r="C623" s="413" t="s">
        <v>3507</v>
      </c>
      <c r="D623" s="166" t="s">
        <v>3506</v>
      </c>
      <c r="E623" s="166">
        <f t="shared" si="99"/>
        <v>2</v>
      </c>
      <c r="F623" s="177">
        <v>18</v>
      </c>
      <c r="G623" s="171"/>
      <c r="H623" s="166">
        <f t="shared" ca="1" si="100"/>
        <v>43</v>
      </c>
      <c r="I623" s="168"/>
      <c r="J623" s="177"/>
      <c r="K623" s="177"/>
      <c r="L623" s="171"/>
      <c r="M623" s="166" t="str">
        <f ca="1">IFERROR(IF(COUNTIF($B$517:$B622,"&lt;0")&lt;&gt;1,OFFSET($C621,-COUNTIF($B$517:$B622,"&lt;0")+3,0),""),"")</f>
        <v/>
      </c>
      <c r="N623" s="166">
        <f ca="1">IFERROR(IF(COUNTA($D$517:D622)=1,0,OFFSET($F621,-COUNTA($D$517:D622)+3,0)),"")</f>
        <v>1</v>
      </c>
      <c r="O623" s="166"/>
      <c r="P623" s="166">
        <f t="shared" ca="1" si="101"/>
        <v>104</v>
      </c>
      <c r="Q623" s="166"/>
      <c r="R623" s="166"/>
      <c r="S623" s="166"/>
      <c r="T623" s="171"/>
    </row>
    <row r="624" spans="1:20">
      <c r="A624" s="166" t="b">
        <v>0</v>
      </c>
      <c r="B624" s="166">
        <f t="shared" ca="1" si="98"/>
        <v>-75</v>
      </c>
      <c r="C624" s="413" t="s">
        <v>3508</v>
      </c>
      <c r="D624" s="166" t="s">
        <v>3506</v>
      </c>
      <c r="E624" s="166">
        <f t="shared" si="99"/>
        <v>3</v>
      </c>
      <c r="F624" s="177">
        <v>18</v>
      </c>
      <c r="G624" s="171"/>
      <c r="H624" s="166">
        <f t="shared" ca="1" si="100"/>
        <v>43</v>
      </c>
      <c r="I624" s="168"/>
      <c r="J624" s="177"/>
      <c r="K624" s="177"/>
      <c r="L624" s="171"/>
      <c r="M624" s="166" t="str">
        <f ca="1">IFERROR(IF(COUNTIF($B$517:$B623,"&lt;0")&lt;&gt;1,OFFSET($C622,-COUNTIF($B$517:$B623,"&lt;0")+3,0),""),"")</f>
        <v/>
      </c>
      <c r="N624" s="166">
        <f ca="1">IFERROR(IF(COUNTA($D$517:D623)=1,0,OFFSET($F622,-COUNTA($D$517:D623)+3,0)),"")</f>
        <v>1</v>
      </c>
      <c r="O624" s="166"/>
      <c r="P624" s="166">
        <f t="shared" ca="1" si="101"/>
        <v>105</v>
      </c>
      <c r="Q624" s="166"/>
      <c r="R624" s="166"/>
      <c r="S624" s="166"/>
      <c r="T624" s="171"/>
    </row>
    <row r="625" spans="1:20">
      <c r="A625" s="166" t="b">
        <v>0</v>
      </c>
      <c r="B625" s="166">
        <f t="shared" ca="1" si="98"/>
        <v>-74</v>
      </c>
      <c r="C625" s="413" t="s">
        <v>3509</v>
      </c>
      <c r="D625" s="166" t="s">
        <v>3506</v>
      </c>
      <c r="E625" s="166">
        <f t="shared" si="99"/>
        <v>4</v>
      </c>
      <c r="F625" s="177">
        <v>18</v>
      </c>
      <c r="G625" s="171"/>
      <c r="H625" s="166">
        <f t="shared" ca="1" si="100"/>
        <v>43</v>
      </c>
      <c r="I625" s="168"/>
      <c r="J625" s="177"/>
      <c r="K625" s="177"/>
      <c r="L625" s="171"/>
      <c r="M625" s="166" t="str">
        <f ca="1">IFERROR(IF(COUNTIF($B$517:$B624,"&lt;0")&lt;&gt;1,OFFSET($C623,-COUNTIF($B$517:$B624,"&lt;0")+3,0),""),"")</f>
        <v/>
      </c>
      <c r="N625" s="166">
        <f ca="1">IFERROR(IF(COUNTA($D$517:D624)=1,0,OFFSET($F623,-COUNTA($D$517:D624)+3,0)),"")</f>
        <v>1</v>
      </c>
      <c r="O625" s="166"/>
      <c r="P625" s="166">
        <f t="shared" ca="1" si="101"/>
        <v>106</v>
      </c>
      <c r="Q625" s="166"/>
      <c r="R625" s="166"/>
      <c r="S625" s="166"/>
      <c r="T625" s="171"/>
    </row>
    <row r="626" spans="1:20">
      <c r="A626" s="166" t="b">
        <v>0</v>
      </c>
      <c r="B626" s="166">
        <f t="shared" ca="1" si="98"/>
        <v>-73</v>
      </c>
      <c r="C626" s="413" t="s">
        <v>3510</v>
      </c>
      <c r="D626" s="166" t="s">
        <v>3506</v>
      </c>
      <c r="E626" s="166">
        <f t="shared" si="99"/>
        <v>5</v>
      </c>
      <c r="F626" s="177">
        <v>18</v>
      </c>
      <c r="G626" s="171"/>
      <c r="H626" s="166">
        <f t="shared" ca="1" si="100"/>
        <v>43</v>
      </c>
      <c r="I626" s="168"/>
      <c r="J626" s="177"/>
      <c r="K626" s="177"/>
      <c r="L626" s="171"/>
      <c r="M626" s="166" t="str">
        <f ca="1">IFERROR(IF(COUNTIF($B$517:$B625,"&lt;0")&lt;&gt;1,OFFSET($C624,-COUNTIF($B$517:$B625,"&lt;0")+3,0),""),"")</f>
        <v/>
      </c>
      <c r="N626" s="166">
        <f ca="1">IFERROR(IF(COUNTA($D$517:D625)=1,0,OFFSET($F624,-COUNTA($D$517:D625)+3,0)),"")</f>
        <v>1</v>
      </c>
      <c r="O626" s="166"/>
      <c r="P626" s="166">
        <f t="shared" ca="1" si="101"/>
        <v>107</v>
      </c>
      <c r="Q626" s="166"/>
      <c r="R626" s="166"/>
      <c r="S626" s="166"/>
      <c r="T626" s="171"/>
    </row>
    <row r="627" spans="1:20">
      <c r="A627" s="166" t="b">
        <v>0</v>
      </c>
      <c r="B627" s="166">
        <f t="shared" ca="1" si="98"/>
        <v>-72</v>
      </c>
      <c r="C627" s="413" t="s">
        <v>3511</v>
      </c>
      <c r="D627" s="166" t="s">
        <v>3506</v>
      </c>
      <c r="E627" s="166">
        <f t="shared" si="99"/>
        <v>6</v>
      </c>
      <c r="F627" s="177">
        <v>18</v>
      </c>
      <c r="G627" s="171"/>
      <c r="H627" s="166">
        <f t="shared" ca="1" si="100"/>
        <v>43</v>
      </c>
      <c r="I627" s="168"/>
      <c r="J627" s="177"/>
      <c r="K627" s="177"/>
      <c r="L627" s="171"/>
      <c r="M627" s="166" t="str">
        <f ca="1">IFERROR(IF(COUNTIF($B$517:$B626,"&lt;0")&lt;&gt;1,OFFSET($C625,-COUNTIF($B$517:$B626,"&lt;0")+3,0),""),"")</f>
        <v/>
      </c>
      <c r="N627" s="166">
        <f ca="1">IFERROR(IF(COUNTA($D$517:D626)=1,0,OFFSET($F625,-COUNTA($D$517:D626)+3,0)),"")</f>
        <v>1</v>
      </c>
      <c r="O627" s="166"/>
      <c r="P627" s="166">
        <f t="shared" ca="1" si="101"/>
        <v>108</v>
      </c>
      <c r="Q627" s="166"/>
      <c r="R627" s="166"/>
      <c r="S627" s="166"/>
      <c r="T627" s="171"/>
    </row>
    <row r="628" spans="1:20">
      <c r="A628" s="166" t="b">
        <v>0</v>
      </c>
      <c r="B628" s="166">
        <f t="shared" ca="1" si="98"/>
        <v>-71</v>
      </c>
      <c r="C628" s="413" t="s">
        <v>3512</v>
      </c>
      <c r="D628" s="166" t="s">
        <v>3513</v>
      </c>
      <c r="E628" s="166">
        <f t="shared" si="99"/>
        <v>1</v>
      </c>
      <c r="F628" s="177">
        <v>19</v>
      </c>
      <c r="G628" s="171"/>
      <c r="H628" s="166">
        <f t="shared" ca="1" si="100"/>
        <v>45</v>
      </c>
      <c r="I628" s="168"/>
      <c r="J628" s="177"/>
      <c r="K628" s="177"/>
      <c r="L628" s="171"/>
      <c r="M628" s="166" t="str">
        <f ca="1">IFERROR(IF(COUNTIF($B$517:$B627,"&lt;0")&lt;&gt;1,OFFSET($C626,-COUNTIF($B$517:$B627,"&lt;0")+3,0),""),"")</f>
        <v/>
      </c>
      <c r="N628" s="166">
        <f ca="1">IFERROR(IF(COUNTA($D$517:D627)=1,0,OFFSET($F626,-COUNTA($D$517:D627)+3,0)),"")</f>
        <v>1</v>
      </c>
      <c r="O628" s="166"/>
      <c r="P628" s="166">
        <f t="shared" ca="1" si="101"/>
        <v>109</v>
      </c>
      <c r="Q628" s="166"/>
      <c r="R628" s="166"/>
      <c r="S628" s="166"/>
      <c r="T628" s="171"/>
    </row>
    <row r="629" spans="1:20">
      <c r="A629" s="166" t="b">
        <v>0</v>
      </c>
      <c r="B629" s="166">
        <f t="shared" ca="1" si="98"/>
        <v>-70</v>
      </c>
      <c r="C629" s="413" t="s">
        <v>3514</v>
      </c>
      <c r="D629" s="166" t="s">
        <v>3513</v>
      </c>
      <c r="E629" s="166">
        <f t="shared" si="99"/>
        <v>2</v>
      </c>
      <c r="F629" s="177">
        <v>19</v>
      </c>
      <c r="G629" s="171"/>
      <c r="H629" s="166">
        <f t="shared" ca="1" si="100"/>
        <v>45</v>
      </c>
      <c r="I629" s="168"/>
      <c r="J629" s="177"/>
      <c r="K629" s="177"/>
      <c r="L629" s="171"/>
      <c r="M629" s="166" t="str">
        <f ca="1">IFERROR(IF(COUNTIF($B$517:$B628,"&lt;0")&lt;&gt;1,OFFSET($C627,-COUNTIF($B$517:$B628,"&lt;0")+3,0),""),"")</f>
        <v/>
      </c>
      <c r="N629" s="166">
        <f ca="1">IFERROR(IF(COUNTA($D$517:D628)=1,0,OFFSET($F627,-COUNTA($D$517:D628)+3,0)),"")</f>
        <v>1</v>
      </c>
      <c r="O629" s="166"/>
      <c r="P629" s="166">
        <f t="shared" ca="1" si="101"/>
        <v>110</v>
      </c>
      <c r="Q629" s="166"/>
      <c r="R629" s="166"/>
      <c r="S629" s="166"/>
      <c r="T629" s="171"/>
    </row>
    <row r="630" spans="1:20">
      <c r="A630" s="166" t="b">
        <v>0</v>
      </c>
      <c r="B630" s="166">
        <f t="shared" ca="1" si="98"/>
        <v>-69</v>
      </c>
      <c r="C630" s="413" t="s">
        <v>3515</v>
      </c>
      <c r="D630" s="166" t="s">
        <v>3513</v>
      </c>
      <c r="E630" s="166">
        <f t="shared" si="99"/>
        <v>3</v>
      </c>
      <c r="F630" s="177">
        <v>19</v>
      </c>
      <c r="G630" s="171"/>
      <c r="H630" s="166">
        <f t="shared" ca="1" si="100"/>
        <v>45</v>
      </c>
      <c r="I630" s="168"/>
      <c r="J630" s="177"/>
      <c r="K630" s="177"/>
      <c r="L630" s="171"/>
      <c r="M630" s="166" t="str">
        <f ca="1">IFERROR(IF(COUNTIF($B$517:$B629,"&lt;0")&lt;&gt;1,OFFSET($C628,-COUNTIF($B$517:$B629,"&lt;0")+3,0),""),"")</f>
        <v/>
      </c>
      <c r="N630" s="166">
        <f ca="1">IFERROR(IF(COUNTA($D$517:D629)=1,0,OFFSET($F628,-COUNTA($D$517:D629)+3,0)),"")</f>
        <v>1</v>
      </c>
      <c r="O630" s="166"/>
      <c r="P630" s="166">
        <f t="shared" ca="1" si="101"/>
        <v>111</v>
      </c>
      <c r="Q630" s="166"/>
      <c r="R630" s="166"/>
      <c r="S630" s="166"/>
      <c r="T630" s="171"/>
    </row>
    <row r="631" spans="1:20">
      <c r="A631" s="166" t="b">
        <v>0</v>
      </c>
      <c r="B631" s="166">
        <f t="shared" ca="1" si="98"/>
        <v>-68</v>
      </c>
      <c r="C631" s="413" t="s">
        <v>3516</v>
      </c>
      <c r="D631" s="166" t="s">
        <v>3513</v>
      </c>
      <c r="E631" s="166">
        <f t="shared" si="99"/>
        <v>4</v>
      </c>
      <c r="F631" s="177">
        <v>19</v>
      </c>
      <c r="G631" s="171"/>
      <c r="H631" s="166">
        <f t="shared" ca="1" si="100"/>
        <v>45</v>
      </c>
      <c r="I631" s="168"/>
      <c r="J631" s="177"/>
      <c r="K631" s="177"/>
      <c r="L631" s="171"/>
      <c r="M631" s="166" t="str">
        <f ca="1">IFERROR(IF(COUNTIF($B$517:$B630,"&lt;0")&lt;&gt;1,OFFSET($C629,-COUNTIF($B$517:$B630,"&lt;0")+3,0),""),"")</f>
        <v/>
      </c>
      <c r="N631" s="166">
        <f ca="1">IFERROR(IF(COUNTA($D$517:D630)=1,0,OFFSET($F629,-COUNTA($D$517:D630)+3,0)),"")</f>
        <v>1</v>
      </c>
      <c r="O631" s="166"/>
      <c r="P631" s="166">
        <f t="shared" ca="1" si="101"/>
        <v>112</v>
      </c>
      <c r="Q631" s="166"/>
      <c r="R631" s="166"/>
      <c r="S631" s="166"/>
      <c r="T631" s="171"/>
    </row>
    <row r="632" spans="1:20">
      <c r="A632" s="166" t="b">
        <v>0</v>
      </c>
      <c r="B632" s="166">
        <f t="shared" ca="1" si="98"/>
        <v>-67</v>
      </c>
      <c r="C632" s="413" t="s">
        <v>3517</v>
      </c>
      <c r="D632" s="166" t="s">
        <v>3513</v>
      </c>
      <c r="E632" s="166">
        <f t="shared" si="99"/>
        <v>5</v>
      </c>
      <c r="F632" s="177">
        <v>19</v>
      </c>
      <c r="G632" s="171"/>
      <c r="H632" s="166">
        <f t="shared" ca="1" si="100"/>
        <v>45</v>
      </c>
      <c r="I632" s="168"/>
      <c r="J632" s="177"/>
      <c r="K632" s="177"/>
      <c r="L632" s="171"/>
      <c r="M632" s="166" t="str">
        <f ca="1">IFERROR(IF(COUNTIF($B$517:$B631,"&lt;0")&lt;&gt;1,OFFSET($C630,-COUNTIF($B$517:$B631,"&lt;0")+3,0),""),"")</f>
        <v/>
      </c>
      <c r="N632" s="166">
        <f ca="1">IFERROR(IF(COUNTA($D$517:D631)=1,0,OFFSET($F630,-COUNTA($D$517:D631)+3,0)),"")</f>
        <v>1</v>
      </c>
      <c r="O632" s="166"/>
      <c r="P632" s="166">
        <f t="shared" ca="1" si="101"/>
        <v>113</v>
      </c>
      <c r="Q632" s="166"/>
      <c r="R632" s="166"/>
      <c r="S632" s="166"/>
      <c r="T632" s="171"/>
    </row>
    <row r="633" spans="1:20">
      <c r="A633" s="166" t="b">
        <v>0</v>
      </c>
      <c r="B633" s="166">
        <f t="shared" ca="1" si="98"/>
        <v>-66</v>
      </c>
      <c r="C633" s="413" t="s">
        <v>3518</v>
      </c>
      <c r="D633" s="166" t="s">
        <v>3513</v>
      </c>
      <c r="E633" s="166">
        <f t="shared" si="99"/>
        <v>6</v>
      </c>
      <c r="F633" s="177">
        <v>19</v>
      </c>
      <c r="G633" s="171"/>
      <c r="H633" s="166">
        <f t="shared" ca="1" si="100"/>
        <v>45</v>
      </c>
      <c r="I633" s="168"/>
      <c r="J633" s="177"/>
      <c r="K633" s="177"/>
      <c r="L633" s="171"/>
      <c r="M633" s="166" t="str">
        <f ca="1">IFERROR(IF(COUNTIF($B$517:$B632,"&lt;0")&lt;&gt;1,OFFSET($C631,-COUNTIF($B$517:$B632,"&lt;0")+3,0),""),"")</f>
        <v/>
      </c>
      <c r="N633" s="166">
        <f ca="1">IFERROR(IF(COUNTA($D$517:D632)=1,0,OFFSET($F631,-COUNTA($D$517:D632)+3,0)),"")</f>
        <v>1</v>
      </c>
      <c r="O633" s="166"/>
      <c r="P633" s="166">
        <f t="shared" ca="1" si="101"/>
        <v>114</v>
      </c>
      <c r="Q633" s="166"/>
      <c r="R633" s="166"/>
      <c r="S633" s="166"/>
      <c r="T633" s="171"/>
    </row>
    <row r="634" spans="1:20">
      <c r="A634" s="166" t="b">
        <v>0</v>
      </c>
      <c r="B634" s="166">
        <f t="shared" ca="1" si="98"/>
        <v>-65</v>
      </c>
      <c r="C634" s="413" t="s">
        <v>3519</v>
      </c>
      <c r="D634" s="166" t="s">
        <v>3520</v>
      </c>
      <c r="E634" s="166">
        <f t="shared" si="99"/>
        <v>1</v>
      </c>
      <c r="F634" s="177">
        <v>20</v>
      </c>
      <c r="G634" s="171"/>
      <c r="H634" s="166">
        <f t="shared" ca="1" si="100"/>
        <v>47</v>
      </c>
      <c r="I634" s="168"/>
      <c r="J634" s="177"/>
      <c r="K634" s="177"/>
      <c r="L634" s="171"/>
      <c r="M634" s="166" t="str">
        <f ca="1">IFERROR(IF(COUNTIF($B$517:$B633,"&lt;0")&lt;&gt;1,OFFSET($C632,-COUNTIF($B$517:$B633,"&lt;0")+3,0),""),"")</f>
        <v/>
      </c>
      <c r="N634" s="166">
        <f ca="1">IFERROR(IF(COUNTA($D$517:D633)=1,0,OFFSET($F632,-COUNTA($D$517:D633)+3,0)),"")</f>
        <v>1</v>
      </c>
      <c r="O634" s="166"/>
      <c r="P634" s="166">
        <f t="shared" ca="1" si="101"/>
        <v>115</v>
      </c>
      <c r="Q634" s="166"/>
      <c r="R634" s="166"/>
      <c r="S634" s="166"/>
      <c r="T634" s="171"/>
    </row>
    <row r="635" spans="1:20">
      <c r="A635" s="166" t="b">
        <v>0</v>
      </c>
      <c r="B635" s="166">
        <f t="shared" ca="1" si="98"/>
        <v>-64</v>
      </c>
      <c r="C635" s="413" t="s">
        <v>3521</v>
      </c>
      <c r="D635" s="166" t="s">
        <v>3520</v>
      </c>
      <c r="E635" s="166">
        <f t="shared" si="99"/>
        <v>2</v>
      </c>
      <c r="F635" s="177">
        <v>20</v>
      </c>
      <c r="G635" s="171"/>
      <c r="H635" s="166">
        <f t="shared" ca="1" si="100"/>
        <v>47</v>
      </c>
      <c r="I635" s="168"/>
      <c r="J635" s="177"/>
      <c r="K635" s="177"/>
      <c r="L635" s="171"/>
      <c r="M635" s="166" t="str">
        <f ca="1">IFERROR(IF(COUNTIF($B$517:$B634,"&lt;0")&lt;&gt;1,OFFSET($C633,-COUNTIF($B$517:$B634,"&lt;0")+3,0),""),"")</f>
        <v/>
      </c>
      <c r="N635" s="166">
        <f ca="1">IFERROR(IF(COUNTA($D$517:D634)=1,0,OFFSET($F633,-COUNTA($D$517:D634)+3,0)),"")</f>
        <v>1</v>
      </c>
      <c r="O635" s="166"/>
      <c r="P635" s="166">
        <f t="shared" ca="1" si="101"/>
        <v>116</v>
      </c>
      <c r="Q635" s="166"/>
      <c r="R635" s="166"/>
      <c r="S635" s="166"/>
      <c r="T635" s="171"/>
    </row>
    <row r="636" spans="1:20">
      <c r="A636" s="166" t="b">
        <v>0</v>
      </c>
      <c r="B636" s="166">
        <f t="shared" ca="1" si="98"/>
        <v>-63</v>
      </c>
      <c r="C636" s="413" t="s">
        <v>3522</v>
      </c>
      <c r="D636" s="166" t="s">
        <v>3520</v>
      </c>
      <c r="E636" s="166">
        <f t="shared" si="99"/>
        <v>3</v>
      </c>
      <c r="F636" s="177">
        <v>20</v>
      </c>
      <c r="G636" s="171"/>
      <c r="H636" s="166">
        <f t="shared" ca="1" si="100"/>
        <v>47</v>
      </c>
      <c r="I636" s="168"/>
      <c r="J636" s="177"/>
      <c r="K636" s="177"/>
      <c r="L636" s="171"/>
      <c r="M636" s="166" t="str">
        <f ca="1">IFERROR(IF(COUNTIF($B$517:$B635,"&lt;0")&lt;&gt;1,OFFSET($C634,-COUNTIF($B$517:$B635,"&lt;0")+3,0),""),"")</f>
        <v/>
      </c>
      <c r="N636" s="166">
        <f ca="1">IFERROR(IF(COUNTA($D$517:D635)=1,0,OFFSET($F634,-COUNTA($D$517:D635)+3,0)),"")</f>
        <v>1</v>
      </c>
      <c r="O636" s="166"/>
      <c r="P636" s="166">
        <f t="shared" ca="1" si="101"/>
        <v>117</v>
      </c>
      <c r="Q636" s="166"/>
      <c r="R636" s="166"/>
      <c r="S636" s="166"/>
      <c r="T636" s="171"/>
    </row>
    <row r="637" spans="1:20">
      <c r="A637" s="166" t="b">
        <v>0</v>
      </c>
      <c r="B637" s="166">
        <f t="shared" ca="1" si="98"/>
        <v>-62</v>
      </c>
      <c r="C637" s="413" t="s">
        <v>3523</v>
      </c>
      <c r="D637" s="166" t="s">
        <v>3520</v>
      </c>
      <c r="E637" s="166">
        <f t="shared" si="99"/>
        <v>4</v>
      </c>
      <c r="F637" s="177">
        <v>20</v>
      </c>
      <c r="G637" s="171"/>
      <c r="H637" s="166">
        <f t="shared" ca="1" si="100"/>
        <v>47</v>
      </c>
      <c r="I637" s="168"/>
      <c r="J637" s="177"/>
      <c r="K637" s="177"/>
      <c r="L637" s="171"/>
      <c r="M637" s="166" t="str">
        <f ca="1">IFERROR(IF(COUNTIF($B$517:$B636,"&lt;0")&lt;&gt;1,OFFSET($C635,-COUNTIF($B$517:$B636,"&lt;0")+3,0),""),"")</f>
        <v/>
      </c>
      <c r="N637" s="166">
        <f ca="1">IFERROR(IF(COUNTA($D$517:D636)=1,0,OFFSET($F635,-COUNTA($D$517:D636)+3,0)),"")</f>
        <v>1</v>
      </c>
      <c r="O637" s="166"/>
      <c r="P637" s="166">
        <f t="shared" ca="1" si="101"/>
        <v>118</v>
      </c>
      <c r="Q637" s="166"/>
      <c r="R637" s="166"/>
      <c r="S637" s="166"/>
      <c r="T637" s="171"/>
    </row>
    <row r="638" spans="1:20">
      <c r="A638" s="166" t="b">
        <v>0</v>
      </c>
      <c r="B638" s="166">
        <f t="shared" ca="1" si="98"/>
        <v>-61</v>
      </c>
      <c r="C638" s="413" t="s">
        <v>3524</v>
      </c>
      <c r="D638" s="166" t="s">
        <v>3520</v>
      </c>
      <c r="E638" s="166">
        <f t="shared" si="99"/>
        <v>5</v>
      </c>
      <c r="F638" s="177">
        <v>20</v>
      </c>
      <c r="G638" s="171"/>
      <c r="H638" s="166">
        <f t="shared" ca="1" si="100"/>
        <v>47</v>
      </c>
      <c r="I638" s="168"/>
      <c r="J638" s="177"/>
      <c r="K638" s="177"/>
      <c r="L638" s="171"/>
      <c r="M638" s="166" t="str">
        <f ca="1">IFERROR(IF(COUNTIF($B$517:$B637,"&lt;0")&lt;&gt;1,OFFSET($C636,-COUNTIF($B$517:$B637,"&lt;0")+3,0),""),"")</f>
        <v/>
      </c>
      <c r="N638" s="166">
        <f ca="1">IFERROR(IF(COUNTA($D$517:D637)=1,0,OFFSET($F636,-COUNTA($D$517:D637)+3,0)),"")</f>
        <v>1</v>
      </c>
      <c r="O638" s="166"/>
      <c r="P638" s="166">
        <f t="shared" ca="1" si="101"/>
        <v>119</v>
      </c>
      <c r="Q638" s="166"/>
      <c r="R638" s="166"/>
      <c r="S638" s="166"/>
      <c r="T638" s="171"/>
    </row>
    <row r="639" spans="1:20">
      <c r="A639" s="166" t="b">
        <v>0</v>
      </c>
      <c r="B639" s="166">
        <f t="shared" ca="1" si="98"/>
        <v>-60</v>
      </c>
      <c r="C639" s="413" t="s">
        <v>3525</v>
      </c>
      <c r="D639" s="166" t="s">
        <v>3520</v>
      </c>
      <c r="E639" s="166">
        <f t="shared" si="99"/>
        <v>6</v>
      </c>
      <c r="F639" s="177">
        <v>20</v>
      </c>
      <c r="G639" s="171"/>
      <c r="H639" s="166">
        <f t="shared" ca="1" si="100"/>
        <v>47</v>
      </c>
      <c r="I639" s="168"/>
      <c r="J639" s="177"/>
      <c r="K639" s="177"/>
      <c r="L639" s="171"/>
      <c r="M639" s="166" t="str">
        <f ca="1">IFERROR(IF(COUNTIF($B$517:$B638,"&lt;0")&lt;&gt;1,OFFSET($C637,-COUNTIF($B$517:$B638,"&lt;0")+3,0),""),"")</f>
        <v/>
      </c>
      <c r="N639" s="166">
        <f ca="1">IFERROR(IF(COUNTA($D$517:D638)=1,0,OFFSET($F637,-COUNTA($D$517:D638)+3,0)),"")</f>
        <v>1</v>
      </c>
      <c r="O639" s="166"/>
      <c r="P639" s="166">
        <f t="shared" ca="1" si="101"/>
        <v>120</v>
      </c>
      <c r="Q639" s="166"/>
      <c r="R639" s="166"/>
      <c r="S639" s="166"/>
      <c r="T639" s="171"/>
    </row>
    <row r="640" spans="1:20">
      <c r="A640" s="166" t="b">
        <v>0</v>
      </c>
      <c r="B640" s="166">
        <f t="shared" ca="1" si="98"/>
        <v>-59</v>
      </c>
      <c r="C640" s="413" t="s">
        <v>3526</v>
      </c>
      <c r="D640" s="166" t="s">
        <v>3527</v>
      </c>
      <c r="E640" s="166">
        <f t="shared" si="99"/>
        <v>1</v>
      </c>
      <c r="F640" s="177">
        <v>21</v>
      </c>
      <c r="G640" s="171"/>
      <c r="H640" s="166">
        <f t="shared" ca="1" si="100"/>
        <v>49</v>
      </c>
      <c r="I640" s="168"/>
      <c r="J640" s="177"/>
      <c r="K640" s="177"/>
      <c r="L640" s="171"/>
      <c r="M640" s="166" t="str">
        <f ca="1">IFERROR(IF(COUNTIF($B$517:$B639,"&lt;0")&lt;&gt;1,OFFSET($C638,-COUNTIF($B$517:$B639,"&lt;0")+3,0),""),"")</f>
        <v/>
      </c>
      <c r="N640" s="166">
        <f ca="1">IFERROR(IF(COUNTA($D$517:D639)=1,0,OFFSET($F638,-COUNTA($D$517:D639)+3,0)),"")</f>
        <v>1</v>
      </c>
      <c r="O640" s="166"/>
      <c r="P640" s="166">
        <f t="shared" ca="1" si="101"/>
        <v>121</v>
      </c>
      <c r="Q640" s="166"/>
      <c r="R640" s="166"/>
      <c r="S640" s="166"/>
      <c r="T640" s="171"/>
    </row>
    <row r="641" spans="1:20">
      <c r="A641" s="166" t="b">
        <v>0</v>
      </c>
      <c r="B641" s="166">
        <f t="shared" ca="1" si="98"/>
        <v>-58</v>
      </c>
      <c r="C641" s="413" t="s">
        <v>3528</v>
      </c>
      <c r="D641" s="166" t="s">
        <v>3527</v>
      </c>
      <c r="E641" s="166">
        <f t="shared" si="99"/>
        <v>2</v>
      </c>
      <c r="F641" s="177">
        <v>21</v>
      </c>
      <c r="G641" s="171"/>
      <c r="H641" s="166">
        <f t="shared" ca="1" si="100"/>
        <v>49</v>
      </c>
      <c r="I641" s="168"/>
      <c r="J641" s="177"/>
      <c r="K641" s="177"/>
      <c r="L641" s="171"/>
      <c r="M641" s="166" t="str">
        <f ca="1">IFERROR(IF(COUNTIF($B$517:$B640,"&lt;0")&lt;&gt;1,OFFSET($C639,-COUNTIF($B$517:$B640,"&lt;0")+3,0),""),"")</f>
        <v/>
      </c>
      <c r="N641" s="166">
        <f ca="1">IFERROR(IF(COUNTA($D$517:D640)=1,0,OFFSET($F639,-COUNTA($D$517:D640)+3,0)),"")</f>
        <v>1</v>
      </c>
      <c r="O641" s="166"/>
      <c r="P641" s="166">
        <f t="shared" ca="1" si="101"/>
        <v>122</v>
      </c>
      <c r="Q641" s="166"/>
      <c r="R641" s="166"/>
      <c r="S641" s="166"/>
      <c r="T641" s="171"/>
    </row>
    <row r="642" spans="1:20">
      <c r="A642" s="166" t="b">
        <v>0</v>
      </c>
      <c r="B642" s="166">
        <f t="shared" ca="1" si="98"/>
        <v>-57</v>
      </c>
      <c r="C642" s="413" t="s">
        <v>3529</v>
      </c>
      <c r="D642" s="166" t="s">
        <v>3527</v>
      </c>
      <c r="E642" s="166">
        <f t="shared" si="99"/>
        <v>3</v>
      </c>
      <c r="F642" s="177">
        <v>21</v>
      </c>
      <c r="G642" s="171"/>
      <c r="H642" s="166">
        <f t="shared" ca="1" si="100"/>
        <v>49</v>
      </c>
      <c r="I642" s="168"/>
      <c r="J642" s="177"/>
      <c r="K642" s="177"/>
      <c r="L642" s="171"/>
      <c r="M642" s="166" t="str">
        <f ca="1">IFERROR(IF(COUNTIF($B$517:$B641,"&lt;0")&lt;&gt;1,OFFSET($C640,-COUNTIF($B$517:$B641,"&lt;0")+3,0),""),"")</f>
        <v/>
      </c>
      <c r="N642" s="166">
        <f ca="1">IFERROR(IF(COUNTA($D$517:D641)=1,0,OFFSET($F640,-COUNTA($D$517:D641)+3,0)),"")</f>
        <v>1</v>
      </c>
      <c r="O642" s="166"/>
      <c r="P642" s="166">
        <f t="shared" ca="1" si="101"/>
        <v>123</v>
      </c>
      <c r="Q642" s="166"/>
      <c r="R642" s="166"/>
      <c r="S642" s="166"/>
      <c r="T642" s="171"/>
    </row>
    <row r="643" spans="1:20">
      <c r="A643" s="166" t="b">
        <v>0</v>
      </c>
      <c r="B643" s="166">
        <f t="shared" ca="1" si="98"/>
        <v>-56</v>
      </c>
      <c r="C643" s="413" t="s">
        <v>3530</v>
      </c>
      <c r="D643" s="166" t="s">
        <v>3527</v>
      </c>
      <c r="E643" s="166">
        <f t="shared" si="99"/>
        <v>4</v>
      </c>
      <c r="F643" s="177">
        <v>21</v>
      </c>
      <c r="G643" s="171"/>
      <c r="H643" s="166">
        <f t="shared" ca="1" si="100"/>
        <v>49</v>
      </c>
      <c r="I643" s="168"/>
      <c r="J643" s="177"/>
      <c r="K643" s="177"/>
      <c r="L643" s="171"/>
      <c r="M643" s="166" t="str">
        <f ca="1">IFERROR(IF(COUNTIF($B$517:$B642,"&lt;0")&lt;&gt;1,OFFSET($C641,-COUNTIF($B$517:$B642,"&lt;0")+3,0),""),"")</f>
        <v/>
      </c>
      <c r="N643" s="166">
        <f ca="1">IFERROR(IF(COUNTA($D$517:D642)=1,0,OFFSET($F641,-COUNTA($D$517:D642)+3,0)),"")</f>
        <v>1</v>
      </c>
      <c r="O643" s="166"/>
      <c r="P643" s="166">
        <f t="shared" ca="1" si="101"/>
        <v>124</v>
      </c>
      <c r="Q643" s="166"/>
      <c r="R643" s="166"/>
      <c r="S643" s="166"/>
      <c r="T643" s="171"/>
    </row>
    <row r="644" spans="1:20">
      <c r="A644" s="166" t="b">
        <v>0</v>
      </c>
      <c r="B644" s="166">
        <f t="shared" ca="1" si="98"/>
        <v>-55</v>
      </c>
      <c r="C644" s="413" t="s">
        <v>3531</v>
      </c>
      <c r="D644" s="166" t="s">
        <v>3527</v>
      </c>
      <c r="E644" s="166">
        <f t="shared" si="99"/>
        <v>5</v>
      </c>
      <c r="F644" s="177">
        <v>21</v>
      </c>
      <c r="G644" s="171"/>
      <c r="H644" s="166">
        <f t="shared" ca="1" si="100"/>
        <v>49</v>
      </c>
      <c r="I644" s="168"/>
      <c r="J644" s="177"/>
      <c r="K644" s="177"/>
      <c r="L644" s="171"/>
      <c r="M644" s="166" t="str">
        <f ca="1">IFERROR(IF(COUNTIF($B$517:$B643,"&lt;0")&lt;&gt;1,OFFSET($C642,-COUNTIF($B$517:$B643,"&lt;0")+3,0),""),"")</f>
        <v/>
      </c>
      <c r="N644" s="166">
        <f ca="1">IFERROR(IF(COUNTA($D$517:D643)=1,0,OFFSET($F642,-COUNTA($D$517:D643)+3,0)),"")</f>
        <v>1</v>
      </c>
      <c r="O644" s="166"/>
      <c r="P644" s="166">
        <f t="shared" ca="1" si="101"/>
        <v>125</v>
      </c>
      <c r="Q644" s="166"/>
      <c r="R644" s="166"/>
      <c r="S644" s="166"/>
      <c r="T644" s="171"/>
    </row>
    <row r="645" spans="1:20">
      <c r="A645" s="166" t="b">
        <v>0</v>
      </c>
      <c r="B645" s="166">
        <f t="shared" ca="1" si="98"/>
        <v>-54</v>
      </c>
      <c r="C645" s="413" t="s">
        <v>3532</v>
      </c>
      <c r="D645" s="166" t="s">
        <v>3527</v>
      </c>
      <c r="E645" s="166">
        <f t="shared" si="99"/>
        <v>6</v>
      </c>
      <c r="F645" s="177">
        <v>21</v>
      </c>
      <c r="G645" s="171"/>
      <c r="H645" s="166">
        <f t="shared" ca="1" si="100"/>
        <v>49</v>
      </c>
      <c r="I645" s="168"/>
      <c r="J645" s="177"/>
      <c r="K645" s="177"/>
      <c r="L645" s="171"/>
      <c r="M645" s="166" t="str">
        <f ca="1">IFERROR(IF(COUNTIF($B$517:$B644,"&lt;0")&lt;&gt;1,OFFSET($C643,-COUNTIF($B$517:$B644,"&lt;0")+3,0),""),"")</f>
        <v/>
      </c>
      <c r="N645" s="166">
        <f ca="1">IFERROR(IF(COUNTA($D$517:D644)=1,0,OFFSET($F643,-COUNTA($D$517:D644)+3,0)),"")</f>
        <v>1</v>
      </c>
      <c r="O645" s="166"/>
      <c r="P645" s="166">
        <f t="shared" ca="1" si="101"/>
        <v>126</v>
      </c>
      <c r="Q645" s="166"/>
      <c r="R645" s="166"/>
      <c r="S645" s="166"/>
      <c r="T645" s="171"/>
    </row>
    <row r="646" spans="1:20">
      <c r="A646" s="166" t="b">
        <v>0</v>
      </c>
      <c r="B646" s="166">
        <f t="shared" ca="1" si="98"/>
        <v>-53</v>
      </c>
      <c r="C646" s="413" t="s">
        <v>3533</v>
      </c>
      <c r="D646" s="166" t="s">
        <v>3534</v>
      </c>
      <c r="E646" s="166">
        <f t="shared" si="99"/>
        <v>1</v>
      </c>
      <c r="F646" s="177">
        <v>22</v>
      </c>
      <c r="G646" s="171"/>
      <c r="H646" s="166">
        <f t="shared" ca="1" si="100"/>
        <v>51</v>
      </c>
      <c r="I646" s="168"/>
      <c r="J646" s="177"/>
      <c r="K646" s="177"/>
      <c r="L646" s="171"/>
      <c r="M646" s="166" t="str">
        <f ca="1">IFERROR(IF(COUNTIF($B$517:$B645,"&lt;0")&lt;&gt;1,OFFSET($C644,-COUNTIF($B$517:$B645,"&lt;0")+3,0),""),"")</f>
        <v/>
      </c>
      <c r="N646" s="166">
        <f ca="1">IFERROR(IF(COUNTA($D$517:D645)=1,0,OFFSET($F644,-COUNTA($D$517:D645)+3,0)),"")</f>
        <v>1</v>
      </c>
      <c r="O646" s="166"/>
      <c r="P646" s="166">
        <f t="shared" ca="1" si="101"/>
        <v>127</v>
      </c>
      <c r="Q646" s="166"/>
      <c r="R646" s="166"/>
      <c r="S646" s="166"/>
      <c r="T646" s="171"/>
    </row>
    <row r="647" spans="1:20">
      <c r="A647" s="166" t="b">
        <v>0</v>
      </c>
      <c r="B647" s="166">
        <f t="shared" ca="1" si="98"/>
        <v>-52</v>
      </c>
      <c r="C647" s="413" t="s">
        <v>3535</v>
      </c>
      <c r="D647" s="166" t="s">
        <v>3534</v>
      </c>
      <c r="E647" s="166">
        <f t="shared" si="99"/>
        <v>2</v>
      </c>
      <c r="F647" s="177">
        <v>22</v>
      </c>
      <c r="G647" s="171"/>
      <c r="H647" s="166">
        <f t="shared" ca="1" si="100"/>
        <v>51</v>
      </c>
      <c r="I647" s="168"/>
      <c r="J647" s="177"/>
      <c r="K647" s="177"/>
      <c r="L647" s="171"/>
      <c r="M647" s="166" t="str">
        <f ca="1">IFERROR(IF(COUNTIF($B$517:$B646,"&lt;0")&lt;&gt;1,OFFSET($C645,-COUNTIF($B$517:$B646,"&lt;0")+3,0),""),"")</f>
        <v/>
      </c>
      <c r="N647" s="166">
        <f ca="1">IFERROR(IF(COUNTA($D$517:D646)=1,0,OFFSET($F645,-COUNTA($D$517:D646)+3,0)),"")</f>
        <v>1</v>
      </c>
      <c r="O647" s="166"/>
      <c r="P647" s="166">
        <f t="shared" ca="1" si="101"/>
        <v>128</v>
      </c>
      <c r="Q647" s="166"/>
      <c r="R647" s="166"/>
      <c r="S647" s="166"/>
      <c r="T647" s="171"/>
    </row>
    <row r="648" spans="1:20">
      <c r="A648" s="166" t="b">
        <v>0</v>
      </c>
      <c r="B648" s="166">
        <f t="shared" ref="B648:B711" ca="1" si="102">B647+1</f>
        <v>-51</v>
      </c>
      <c r="C648" s="413" t="s">
        <v>3536</v>
      </c>
      <c r="D648" s="166" t="s">
        <v>3534</v>
      </c>
      <c r="E648" s="166">
        <f t="shared" ref="E648:E711" si="103">COUNTIF(F581:F648,F648)</f>
        <v>3</v>
      </c>
      <c r="F648" s="177">
        <v>22</v>
      </c>
      <c r="G648" s="171"/>
      <c r="H648" s="166">
        <f t="shared" ref="H648:H711" ca="1" si="104">IF(F648=1,9,IF(E647=MAX(E646:E648),H646+2,H647))</f>
        <v>51</v>
      </c>
      <c r="I648" s="168"/>
      <c r="J648" s="177"/>
      <c r="K648" s="177"/>
      <c r="L648" s="171"/>
      <c r="M648" s="166" t="str">
        <f ca="1">IFERROR(IF(COUNTIF($B$517:$B647,"&lt;0")&lt;&gt;1,OFFSET($C646,-COUNTIF($B$517:$B647,"&lt;0")+3,0),""),"")</f>
        <v/>
      </c>
      <c r="N648" s="166">
        <f ca="1">IFERROR(IF(COUNTA($D$517:D647)=1,0,OFFSET($F646,-COUNTA($D$517:D647)+3,0)),"")</f>
        <v>1</v>
      </c>
      <c r="O648" s="166"/>
      <c r="P648" s="166">
        <f t="shared" ref="P648:P711" ca="1" si="105">IF(NOT(_xlfn.ISFORMULA(I648)),P647+1,0)</f>
        <v>129</v>
      </c>
      <c r="Q648" s="166"/>
      <c r="R648" s="166"/>
      <c r="S648" s="166"/>
      <c r="T648" s="171"/>
    </row>
    <row r="649" spans="1:20">
      <c r="A649" s="166" t="b">
        <v>0</v>
      </c>
      <c r="B649" s="166">
        <f t="shared" ca="1" si="102"/>
        <v>-50</v>
      </c>
      <c r="C649" s="413" t="s">
        <v>3537</v>
      </c>
      <c r="D649" s="166" t="s">
        <v>3534</v>
      </c>
      <c r="E649" s="166">
        <f t="shared" si="103"/>
        <v>4</v>
      </c>
      <c r="F649" s="177">
        <v>22</v>
      </c>
      <c r="G649" s="171"/>
      <c r="H649" s="166">
        <f t="shared" ca="1" si="104"/>
        <v>51</v>
      </c>
      <c r="I649" s="168"/>
      <c r="J649" s="177"/>
      <c r="K649" s="177"/>
      <c r="L649" s="171"/>
      <c r="M649" s="166" t="str">
        <f ca="1">IFERROR(IF(COUNTIF($B$517:$B648,"&lt;0")&lt;&gt;1,OFFSET($C647,-COUNTIF($B$517:$B648,"&lt;0")+3,0),""),"")</f>
        <v/>
      </c>
      <c r="N649" s="166">
        <f ca="1">IFERROR(IF(COUNTA($D$517:D648)=1,0,OFFSET($F647,-COUNTA($D$517:D648)+3,0)),"")</f>
        <v>1</v>
      </c>
      <c r="O649" s="166"/>
      <c r="P649" s="166">
        <f t="shared" ca="1" si="105"/>
        <v>130</v>
      </c>
      <c r="Q649" s="166"/>
      <c r="R649" s="166"/>
      <c r="S649" s="166"/>
      <c r="T649" s="171"/>
    </row>
    <row r="650" spans="1:20">
      <c r="A650" s="166" t="b">
        <v>0</v>
      </c>
      <c r="B650" s="166">
        <f t="shared" ca="1" si="102"/>
        <v>-49</v>
      </c>
      <c r="C650" s="413" t="s">
        <v>3538</v>
      </c>
      <c r="D650" s="166" t="s">
        <v>3534</v>
      </c>
      <c r="E650" s="166">
        <f t="shared" si="103"/>
        <v>5</v>
      </c>
      <c r="F650" s="177">
        <v>22</v>
      </c>
      <c r="G650" s="171"/>
      <c r="H650" s="166">
        <f t="shared" ca="1" si="104"/>
        <v>51</v>
      </c>
      <c r="I650" s="168"/>
      <c r="J650" s="177"/>
      <c r="K650" s="177"/>
      <c r="L650" s="171"/>
      <c r="M650" s="166" t="str">
        <f ca="1">IFERROR(IF(COUNTIF($B$517:$B649,"&lt;0")&lt;&gt;1,OFFSET($C648,-COUNTIF($B$517:$B649,"&lt;0")+3,0),""),"")</f>
        <v/>
      </c>
      <c r="N650" s="166">
        <f ca="1">IFERROR(IF(COUNTA($D$517:D649)=1,0,OFFSET($F648,-COUNTA($D$517:D649)+3,0)),"")</f>
        <v>1</v>
      </c>
      <c r="O650" s="166"/>
      <c r="P650" s="166">
        <f t="shared" ca="1" si="105"/>
        <v>131</v>
      </c>
      <c r="Q650" s="166"/>
      <c r="R650" s="166"/>
      <c r="S650" s="166"/>
      <c r="T650" s="171"/>
    </row>
    <row r="651" spans="1:20">
      <c r="A651" s="166" t="b">
        <v>0</v>
      </c>
      <c r="B651" s="166">
        <f t="shared" ca="1" si="102"/>
        <v>-48</v>
      </c>
      <c r="C651" s="413" t="s">
        <v>3539</v>
      </c>
      <c r="D651" s="166" t="s">
        <v>3534</v>
      </c>
      <c r="E651" s="166">
        <f t="shared" si="103"/>
        <v>6</v>
      </c>
      <c r="F651" s="177">
        <v>22</v>
      </c>
      <c r="G651" s="171"/>
      <c r="H651" s="166">
        <f t="shared" ca="1" si="104"/>
        <v>51</v>
      </c>
      <c r="I651" s="168"/>
      <c r="J651" s="177"/>
      <c r="K651" s="177"/>
      <c r="L651" s="171"/>
      <c r="M651" s="166" t="str">
        <f ca="1">IFERROR(IF(COUNTIF($B$517:$B650,"&lt;0")&lt;&gt;1,OFFSET($C649,-COUNTIF($B$517:$B650,"&lt;0")+3,0),""),"")</f>
        <v/>
      </c>
      <c r="N651" s="166">
        <f ca="1">IFERROR(IF(COUNTA($D$517:D650)=1,0,OFFSET($F649,-COUNTA($D$517:D650)+3,0)),"")</f>
        <v>1</v>
      </c>
      <c r="O651" s="166"/>
      <c r="P651" s="166">
        <f t="shared" ca="1" si="105"/>
        <v>132</v>
      </c>
      <c r="Q651" s="166"/>
      <c r="R651" s="166"/>
      <c r="S651" s="166"/>
      <c r="T651" s="171"/>
    </row>
    <row r="652" spans="1:20">
      <c r="A652" s="166" t="b">
        <v>0</v>
      </c>
      <c r="B652" s="166">
        <f t="shared" ca="1" si="102"/>
        <v>-47</v>
      </c>
      <c r="C652" s="413" t="s">
        <v>3540</v>
      </c>
      <c r="D652" s="166" t="s">
        <v>3541</v>
      </c>
      <c r="E652" s="166">
        <f t="shared" si="103"/>
        <v>1</v>
      </c>
      <c r="F652" s="177">
        <v>23</v>
      </c>
      <c r="G652" s="171"/>
      <c r="H652" s="166">
        <f t="shared" ca="1" si="104"/>
        <v>53</v>
      </c>
      <c r="I652" s="168"/>
      <c r="J652" s="177"/>
      <c r="K652" s="177"/>
      <c r="L652" s="171"/>
      <c r="M652" s="166" t="str">
        <f ca="1">IFERROR(IF(COUNTIF($B$517:$B651,"&lt;0")&lt;&gt;1,OFFSET($C650,-COUNTIF($B$517:$B651,"&lt;0")+3,0),""),"")</f>
        <v/>
      </c>
      <c r="N652" s="166">
        <f ca="1">IFERROR(IF(COUNTA($D$517:D651)=1,0,OFFSET($F650,-COUNTA($D$517:D651)+3,0)),"")</f>
        <v>1</v>
      </c>
      <c r="O652" s="166"/>
      <c r="P652" s="166">
        <f t="shared" ca="1" si="105"/>
        <v>133</v>
      </c>
      <c r="Q652" s="166"/>
      <c r="R652" s="166"/>
      <c r="S652" s="166"/>
      <c r="T652" s="171"/>
    </row>
    <row r="653" spans="1:20">
      <c r="A653" s="166" t="b">
        <v>0</v>
      </c>
      <c r="B653" s="166">
        <f t="shared" ca="1" si="102"/>
        <v>-46</v>
      </c>
      <c r="C653" s="413" t="s">
        <v>3542</v>
      </c>
      <c r="D653" s="166" t="s">
        <v>3541</v>
      </c>
      <c r="E653" s="166">
        <f t="shared" si="103"/>
        <v>2</v>
      </c>
      <c r="F653" s="177">
        <v>23</v>
      </c>
      <c r="G653" s="171"/>
      <c r="H653" s="166">
        <f t="shared" ca="1" si="104"/>
        <v>53</v>
      </c>
      <c r="I653" s="168"/>
      <c r="J653" s="177"/>
      <c r="K653" s="177"/>
      <c r="L653" s="171"/>
      <c r="M653" s="166" t="str">
        <f ca="1">IFERROR(IF(COUNTIF($B$517:$B652,"&lt;0")&lt;&gt;1,OFFSET($C651,-COUNTIF($B$517:$B652,"&lt;0")+3,0),""),"")</f>
        <v/>
      </c>
      <c r="N653" s="166">
        <f ca="1">IFERROR(IF(COUNTA($D$517:D652)=1,0,OFFSET($F651,-COUNTA($D$517:D652)+3,0)),"")</f>
        <v>1</v>
      </c>
      <c r="O653" s="166"/>
      <c r="P653" s="166">
        <f t="shared" ca="1" si="105"/>
        <v>134</v>
      </c>
      <c r="Q653" s="166"/>
      <c r="R653" s="166"/>
      <c r="S653" s="166"/>
      <c r="T653" s="171"/>
    </row>
    <row r="654" spans="1:20">
      <c r="A654" s="166" t="b">
        <v>0</v>
      </c>
      <c r="B654" s="166">
        <f t="shared" ca="1" si="102"/>
        <v>-45</v>
      </c>
      <c r="C654" s="413" t="s">
        <v>3543</v>
      </c>
      <c r="D654" s="166" t="s">
        <v>3541</v>
      </c>
      <c r="E654" s="166">
        <f t="shared" si="103"/>
        <v>3</v>
      </c>
      <c r="F654" s="177">
        <v>23</v>
      </c>
      <c r="G654" s="171"/>
      <c r="H654" s="166">
        <f t="shared" ca="1" si="104"/>
        <v>53</v>
      </c>
      <c r="I654" s="168"/>
      <c r="J654" s="177"/>
      <c r="K654" s="177"/>
      <c r="L654" s="171"/>
      <c r="M654" s="166" t="str">
        <f ca="1">IFERROR(IF(COUNTIF($B$517:$B653,"&lt;0")&lt;&gt;1,OFFSET($C652,-COUNTIF($B$517:$B653,"&lt;0")+3,0),""),"")</f>
        <v/>
      </c>
      <c r="N654" s="166">
        <f ca="1">IFERROR(IF(COUNTA($D$517:D653)=1,0,OFFSET($F652,-COUNTA($D$517:D653)+3,0)),"")</f>
        <v>1</v>
      </c>
      <c r="O654" s="166"/>
      <c r="P654" s="166">
        <f t="shared" ca="1" si="105"/>
        <v>135</v>
      </c>
      <c r="Q654" s="166"/>
      <c r="R654" s="166"/>
      <c r="S654" s="166"/>
      <c r="T654" s="171"/>
    </row>
    <row r="655" spans="1:20">
      <c r="A655" s="166" t="b">
        <v>0</v>
      </c>
      <c r="B655" s="166">
        <f t="shared" ca="1" si="102"/>
        <v>-44</v>
      </c>
      <c r="C655" s="413" t="s">
        <v>3544</v>
      </c>
      <c r="D655" s="166" t="s">
        <v>3541</v>
      </c>
      <c r="E655" s="166">
        <f t="shared" si="103"/>
        <v>4</v>
      </c>
      <c r="F655" s="177">
        <v>23</v>
      </c>
      <c r="G655" s="171"/>
      <c r="H655" s="166">
        <f t="shared" ca="1" si="104"/>
        <v>53</v>
      </c>
      <c r="I655" s="168"/>
      <c r="J655" s="177"/>
      <c r="K655" s="177"/>
      <c r="L655" s="171"/>
      <c r="M655" s="166" t="str">
        <f ca="1">IFERROR(IF(COUNTIF($B$517:$B654,"&lt;0")&lt;&gt;1,OFFSET($C653,-COUNTIF($B$517:$B654,"&lt;0")+3,0),""),"")</f>
        <v/>
      </c>
      <c r="N655" s="166">
        <f ca="1">IFERROR(IF(COUNTA($D$517:D654)=1,0,OFFSET($F653,-COUNTA($D$517:D654)+3,0)),"")</f>
        <v>1</v>
      </c>
      <c r="O655" s="166"/>
      <c r="P655" s="166">
        <f t="shared" ca="1" si="105"/>
        <v>136</v>
      </c>
      <c r="Q655" s="166"/>
      <c r="R655" s="166"/>
      <c r="S655" s="166"/>
      <c r="T655" s="171"/>
    </row>
    <row r="656" spans="1:20">
      <c r="A656" s="166" t="b">
        <v>0</v>
      </c>
      <c r="B656" s="166">
        <f t="shared" ca="1" si="102"/>
        <v>-43</v>
      </c>
      <c r="C656" s="413" t="s">
        <v>3545</v>
      </c>
      <c r="D656" s="166" t="s">
        <v>3541</v>
      </c>
      <c r="E656" s="166">
        <f t="shared" si="103"/>
        <v>5</v>
      </c>
      <c r="F656" s="177">
        <v>23</v>
      </c>
      <c r="G656" s="171"/>
      <c r="H656" s="166">
        <f t="shared" ca="1" si="104"/>
        <v>53</v>
      </c>
      <c r="I656" s="168"/>
      <c r="J656" s="177"/>
      <c r="K656" s="177"/>
      <c r="L656" s="171"/>
      <c r="M656" s="166" t="str">
        <f ca="1">IFERROR(IF(COUNTIF($B$517:$B655,"&lt;0")&lt;&gt;1,OFFSET($C654,-COUNTIF($B$517:$B655,"&lt;0")+3,0),""),"")</f>
        <v/>
      </c>
      <c r="N656" s="166">
        <f ca="1">IFERROR(IF(COUNTA($D$517:D655)=1,0,OFFSET($F654,-COUNTA($D$517:D655)+3,0)),"")</f>
        <v>1</v>
      </c>
      <c r="O656" s="166"/>
      <c r="P656" s="166">
        <f t="shared" ca="1" si="105"/>
        <v>137</v>
      </c>
      <c r="Q656" s="166"/>
      <c r="R656" s="166"/>
      <c r="S656" s="166"/>
      <c r="T656" s="171"/>
    </row>
    <row r="657" spans="1:20">
      <c r="A657" s="166" t="b">
        <v>0</v>
      </c>
      <c r="B657" s="166">
        <f t="shared" ca="1" si="102"/>
        <v>-42</v>
      </c>
      <c r="C657" s="413" t="s">
        <v>3546</v>
      </c>
      <c r="D657" s="166" t="s">
        <v>3541</v>
      </c>
      <c r="E657" s="166">
        <f t="shared" si="103"/>
        <v>6</v>
      </c>
      <c r="F657" s="177">
        <v>23</v>
      </c>
      <c r="G657" s="171"/>
      <c r="H657" s="166">
        <f t="shared" ca="1" si="104"/>
        <v>53</v>
      </c>
      <c r="I657" s="168"/>
      <c r="J657" s="177"/>
      <c r="K657" s="177"/>
      <c r="L657" s="171"/>
      <c r="M657" s="166" t="str">
        <f ca="1">IFERROR(IF(COUNTIF($B$517:$B656,"&lt;0")&lt;&gt;1,OFFSET($C655,-COUNTIF($B$517:$B656,"&lt;0")+3,0),""),"")</f>
        <v/>
      </c>
      <c r="N657" s="166">
        <f ca="1">IFERROR(IF(COUNTA($D$517:D656)=1,0,OFFSET($F655,-COUNTA($D$517:D656)+3,0)),"")</f>
        <v>1</v>
      </c>
      <c r="O657" s="166"/>
      <c r="P657" s="166">
        <f t="shared" ca="1" si="105"/>
        <v>138</v>
      </c>
      <c r="Q657" s="166"/>
      <c r="R657" s="166"/>
      <c r="S657" s="166"/>
      <c r="T657" s="171"/>
    </row>
    <row r="658" spans="1:20">
      <c r="A658" s="166" t="b">
        <v>0</v>
      </c>
      <c r="B658" s="166">
        <f t="shared" ca="1" si="102"/>
        <v>-41</v>
      </c>
      <c r="C658" s="413" t="s">
        <v>3547</v>
      </c>
      <c r="D658" s="166" t="s">
        <v>3548</v>
      </c>
      <c r="E658" s="166">
        <f t="shared" si="103"/>
        <v>1</v>
      </c>
      <c r="F658" s="177">
        <v>24</v>
      </c>
      <c r="G658" s="171"/>
      <c r="H658" s="166">
        <f t="shared" ca="1" si="104"/>
        <v>55</v>
      </c>
      <c r="I658" s="168"/>
      <c r="J658" s="177"/>
      <c r="K658" s="177"/>
      <c r="L658" s="171"/>
      <c r="M658" s="166" t="str">
        <f ca="1">IFERROR(IF(COUNTIF($B$517:$B657,"&lt;0")&lt;&gt;1,OFFSET($C656,-COUNTIF($B$517:$B657,"&lt;0")+3,0),""),"")</f>
        <v/>
      </c>
      <c r="N658" s="166">
        <f ca="1">IFERROR(IF(COUNTA($D$517:D657)=1,0,OFFSET($F656,-COUNTA($D$517:D657)+3,0)),"")</f>
        <v>1</v>
      </c>
      <c r="O658" s="166"/>
      <c r="P658" s="166">
        <f t="shared" ca="1" si="105"/>
        <v>139</v>
      </c>
      <c r="Q658" s="166"/>
      <c r="R658" s="166"/>
      <c r="S658" s="166"/>
      <c r="T658" s="171"/>
    </row>
    <row r="659" spans="1:20">
      <c r="A659" s="166" t="b">
        <v>0</v>
      </c>
      <c r="B659" s="166">
        <f t="shared" ca="1" si="102"/>
        <v>-40</v>
      </c>
      <c r="C659" s="413" t="s">
        <v>3549</v>
      </c>
      <c r="D659" s="166" t="s">
        <v>3548</v>
      </c>
      <c r="E659" s="166">
        <f t="shared" si="103"/>
        <v>2</v>
      </c>
      <c r="F659" s="177">
        <v>24</v>
      </c>
      <c r="G659" s="171"/>
      <c r="H659" s="166">
        <f t="shared" ca="1" si="104"/>
        <v>55</v>
      </c>
      <c r="I659" s="168"/>
      <c r="J659" s="177"/>
      <c r="K659" s="177"/>
      <c r="L659" s="171"/>
      <c r="M659" s="166" t="str">
        <f ca="1">IFERROR(IF(COUNTIF($B$517:$B658,"&lt;0")&lt;&gt;1,OFFSET($C657,-COUNTIF($B$517:$B658,"&lt;0")+3,0),""),"")</f>
        <v/>
      </c>
      <c r="N659" s="166">
        <f ca="1">IFERROR(IF(COUNTA($D$517:D658)=1,0,OFFSET($F657,-COUNTA($D$517:D658)+3,0)),"")</f>
        <v>1</v>
      </c>
      <c r="O659" s="166"/>
      <c r="P659" s="166">
        <f t="shared" ca="1" si="105"/>
        <v>140</v>
      </c>
      <c r="Q659" s="166"/>
      <c r="R659" s="166"/>
      <c r="S659" s="166"/>
      <c r="T659" s="171"/>
    </row>
    <row r="660" spans="1:20">
      <c r="A660" s="166" t="b">
        <v>0</v>
      </c>
      <c r="B660" s="166">
        <f t="shared" ca="1" si="102"/>
        <v>-39</v>
      </c>
      <c r="C660" s="413" t="s">
        <v>3550</v>
      </c>
      <c r="D660" s="166" t="s">
        <v>3548</v>
      </c>
      <c r="E660" s="166">
        <f t="shared" si="103"/>
        <v>3</v>
      </c>
      <c r="F660" s="177">
        <v>24</v>
      </c>
      <c r="G660" s="171"/>
      <c r="H660" s="166">
        <f t="shared" ca="1" si="104"/>
        <v>55</v>
      </c>
      <c r="I660" s="168"/>
      <c r="J660" s="177"/>
      <c r="K660" s="177"/>
      <c r="L660" s="171"/>
      <c r="M660" s="166" t="str">
        <f ca="1">IFERROR(IF(COUNTIF($B$517:$B659,"&lt;0")&lt;&gt;1,OFFSET($C658,-COUNTIF($B$517:$B659,"&lt;0")+3,0),""),"")</f>
        <v/>
      </c>
      <c r="N660" s="166">
        <f ca="1">IFERROR(IF(COUNTA($D$517:D659)=1,0,OFFSET($F658,-COUNTA($D$517:D659)+3,0)),"")</f>
        <v>1</v>
      </c>
      <c r="O660" s="166"/>
      <c r="P660" s="166">
        <f t="shared" ca="1" si="105"/>
        <v>141</v>
      </c>
      <c r="Q660" s="166"/>
      <c r="R660" s="166"/>
      <c r="S660" s="166"/>
      <c r="T660" s="171"/>
    </row>
    <row r="661" spans="1:20">
      <c r="A661" s="166" t="b">
        <v>0</v>
      </c>
      <c r="B661" s="166">
        <f t="shared" ca="1" si="102"/>
        <v>-38</v>
      </c>
      <c r="C661" s="413" t="s">
        <v>3551</v>
      </c>
      <c r="D661" s="166" t="s">
        <v>3548</v>
      </c>
      <c r="E661" s="166">
        <f t="shared" si="103"/>
        <v>4</v>
      </c>
      <c r="F661" s="177">
        <v>24</v>
      </c>
      <c r="G661" s="171"/>
      <c r="H661" s="166">
        <f t="shared" ca="1" si="104"/>
        <v>55</v>
      </c>
      <c r="I661" s="168"/>
      <c r="J661" s="177"/>
      <c r="K661" s="177"/>
      <c r="L661" s="171"/>
      <c r="M661" s="166" t="str">
        <f ca="1">IFERROR(IF(COUNTIF($B$517:$B660,"&lt;0")&lt;&gt;1,OFFSET($C659,-COUNTIF($B$517:$B660,"&lt;0")+3,0),""),"")</f>
        <v/>
      </c>
      <c r="N661" s="166">
        <f ca="1">IFERROR(IF(COUNTA($D$517:D660)=1,0,OFFSET($F659,-COUNTA($D$517:D660)+3,0)),"")</f>
        <v>1</v>
      </c>
      <c r="O661" s="166"/>
      <c r="P661" s="166">
        <f t="shared" ca="1" si="105"/>
        <v>142</v>
      </c>
      <c r="Q661" s="166"/>
      <c r="R661" s="166"/>
      <c r="S661" s="166"/>
      <c r="T661" s="171"/>
    </row>
    <row r="662" spans="1:20">
      <c r="A662" s="166" t="b">
        <v>0</v>
      </c>
      <c r="B662" s="166">
        <f t="shared" ca="1" si="102"/>
        <v>-37</v>
      </c>
      <c r="C662" s="413" t="s">
        <v>3552</v>
      </c>
      <c r="D662" s="166" t="s">
        <v>3548</v>
      </c>
      <c r="E662" s="166">
        <f t="shared" si="103"/>
        <v>5</v>
      </c>
      <c r="F662" s="177">
        <v>24</v>
      </c>
      <c r="G662" s="171"/>
      <c r="H662" s="166">
        <f t="shared" ca="1" si="104"/>
        <v>55</v>
      </c>
      <c r="I662" s="168"/>
      <c r="J662" s="177"/>
      <c r="K662" s="177"/>
      <c r="L662" s="171"/>
      <c r="M662" s="166" t="str">
        <f ca="1">IFERROR(IF(COUNTIF($B$517:$B661,"&lt;0")&lt;&gt;1,OFFSET($C660,-COUNTIF($B$517:$B661,"&lt;0")+3,0),""),"")</f>
        <v/>
      </c>
      <c r="N662" s="166">
        <f ca="1">IFERROR(IF(COUNTA($D$517:D661)=1,0,OFFSET($F660,-COUNTA($D$517:D661)+3,0)),"")</f>
        <v>1</v>
      </c>
      <c r="O662" s="166"/>
      <c r="P662" s="166">
        <f t="shared" ca="1" si="105"/>
        <v>143</v>
      </c>
      <c r="Q662" s="166"/>
      <c r="R662" s="166"/>
      <c r="S662" s="166"/>
      <c r="T662" s="171"/>
    </row>
    <row r="663" spans="1:20">
      <c r="A663" s="166" t="b">
        <v>0</v>
      </c>
      <c r="B663" s="166">
        <f t="shared" ca="1" si="102"/>
        <v>-36</v>
      </c>
      <c r="C663" s="413" t="s">
        <v>3553</v>
      </c>
      <c r="D663" s="166" t="s">
        <v>3548</v>
      </c>
      <c r="E663" s="166">
        <f t="shared" si="103"/>
        <v>6</v>
      </c>
      <c r="F663" s="177">
        <v>24</v>
      </c>
      <c r="G663" s="171"/>
      <c r="H663" s="166">
        <f t="shared" ca="1" si="104"/>
        <v>55</v>
      </c>
      <c r="I663" s="168"/>
      <c r="J663" s="177"/>
      <c r="K663" s="177"/>
      <c r="L663" s="171"/>
      <c r="M663" s="166" t="str">
        <f ca="1">IFERROR(IF(COUNTIF($B$517:$B662,"&lt;0")&lt;&gt;1,OFFSET($C661,-COUNTIF($B$517:$B662,"&lt;0")+3,0),""),"")</f>
        <v/>
      </c>
      <c r="N663" s="166">
        <f ca="1">IFERROR(IF(COUNTA($D$517:D662)=1,0,OFFSET($F661,-COUNTA($D$517:D662)+3,0)),"")</f>
        <v>1</v>
      </c>
      <c r="O663" s="166"/>
      <c r="P663" s="166">
        <f t="shared" ca="1" si="105"/>
        <v>144</v>
      </c>
      <c r="Q663" s="166"/>
      <c r="R663" s="166"/>
      <c r="S663" s="166"/>
      <c r="T663" s="171"/>
    </row>
    <row r="664" spans="1:20">
      <c r="A664" s="166" t="b">
        <v>0</v>
      </c>
      <c r="B664" s="166">
        <f t="shared" ca="1" si="102"/>
        <v>-35</v>
      </c>
      <c r="C664" s="413" t="s">
        <v>3554</v>
      </c>
      <c r="D664" s="166" t="s">
        <v>3555</v>
      </c>
      <c r="E664" s="166">
        <f t="shared" si="103"/>
        <v>1</v>
      </c>
      <c r="F664" s="177">
        <v>25</v>
      </c>
      <c r="G664" s="171"/>
      <c r="H664" s="166">
        <f t="shared" ca="1" si="104"/>
        <v>57</v>
      </c>
      <c r="I664" s="168"/>
      <c r="J664" s="177"/>
      <c r="K664" s="177"/>
      <c r="L664" s="171"/>
      <c r="M664" s="166" t="str">
        <f ca="1">IFERROR(IF(COUNTIF($B$517:$B663,"&lt;0")&lt;&gt;1,OFFSET($C662,-COUNTIF($B$517:$B663,"&lt;0")+3,0),""),"")</f>
        <v/>
      </c>
      <c r="N664" s="166">
        <f ca="1">IFERROR(IF(COUNTA($D$517:D663)=1,0,OFFSET($F662,-COUNTA($D$517:D663)+3,0)),"")</f>
        <v>1</v>
      </c>
      <c r="O664" s="166"/>
      <c r="P664" s="166">
        <f t="shared" ca="1" si="105"/>
        <v>145</v>
      </c>
      <c r="Q664" s="166"/>
      <c r="R664" s="166"/>
      <c r="S664" s="166"/>
      <c r="T664" s="171"/>
    </row>
    <row r="665" spans="1:20">
      <c r="A665" s="166" t="b">
        <v>0</v>
      </c>
      <c r="B665" s="166">
        <f t="shared" ca="1" si="102"/>
        <v>-34</v>
      </c>
      <c r="C665" s="413" t="s">
        <v>3556</v>
      </c>
      <c r="D665" s="166" t="s">
        <v>3555</v>
      </c>
      <c r="E665" s="166">
        <f t="shared" si="103"/>
        <v>2</v>
      </c>
      <c r="F665" s="177">
        <v>25</v>
      </c>
      <c r="G665" s="171"/>
      <c r="H665" s="166">
        <f t="shared" ca="1" si="104"/>
        <v>57</v>
      </c>
      <c r="I665" s="168"/>
      <c r="J665" s="177"/>
      <c r="K665" s="177"/>
      <c r="L665" s="171"/>
      <c r="M665" s="166" t="str">
        <f ca="1">IFERROR(IF(COUNTIF($B$517:$B664,"&lt;0")&lt;&gt;1,OFFSET($C663,-COUNTIF($B$517:$B664,"&lt;0")+3,0),""),"")</f>
        <v/>
      </c>
      <c r="N665" s="166">
        <f ca="1">IFERROR(IF(COUNTA($D$517:D664)=1,0,OFFSET($F663,-COUNTA($D$517:D664)+3,0)),"")</f>
        <v>1</v>
      </c>
      <c r="O665" s="166"/>
      <c r="P665" s="166">
        <f t="shared" ca="1" si="105"/>
        <v>146</v>
      </c>
      <c r="Q665" s="166"/>
      <c r="R665" s="166"/>
      <c r="S665" s="166"/>
      <c r="T665" s="171"/>
    </row>
    <row r="666" spans="1:20">
      <c r="A666" s="166" t="b">
        <v>0</v>
      </c>
      <c r="B666" s="166">
        <f t="shared" ca="1" si="102"/>
        <v>-33</v>
      </c>
      <c r="C666" s="413" t="s">
        <v>3557</v>
      </c>
      <c r="D666" s="166" t="s">
        <v>3555</v>
      </c>
      <c r="E666" s="166">
        <f t="shared" si="103"/>
        <v>3</v>
      </c>
      <c r="F666" s="177">
        <v>25</v>
      </c>
      <c r="G666" s="171"/>
      <c r="H666" s="166">
        <f t="shared" ca="1" si="104"/>
        <v>57</v>
      </c>
      <c r="I666" s="168"/>
      <c r="J666" s="177"/>
      <c r="K666" s="177"/>
      <c r="L666" s="171"/>
      <c r="M666" s="166" t="str">
        <f ca="1">IFERROR(IF(COUNTIF($B$517:$B665,"&lt;0")&lt;&gt;1,OFFSET($C664,-COUNTIF($B$517:$B665,"&lt;0")+3,0),""),"")</f>
        <v/>
      </c>
      <c r="N666" s="166">
        <f ca="1">IFERROR(IF(COUNTA($D$517:D665)=1,0,OFFSET($F664,-COUNTA($D$517:D665)+3,0)),"")</f>
        <v>1</v>
      </c>
      <c r="O666" s="166"/>
      <c r="P666" s="166">
        <f t="shared" ca="1" si="105"/>
        <v>147</v>
      </c>
      <c r="Q666" s="166"/>
      <c r="R666" s="166"/>
      <c r="S666" s="166"/>
      <c r="T666" s="171"/>
    </row>
    <row r="667" spans="1:20">
      <c r="A667" s="166" t="b">
        <v>0</v>
      </c>
      <c r="B667" s="166">
        <f t="shared" ca="1" si="102"/>
        <v>-32</v>
      </c>
      <c r="C667" s="413" t="s">
        <v>3558</v>
      </c>
      <c r="D667" s="166" t="s">
        <v>3555</v>
      </c>
      <c r="E667" s="166">
        <f t="shared" si="103"/>
        <v>4</v>
      </c>
      <c r="F667" s="177">
        <v>25</v>
      </c>
      <c r="G667" s="171"/>
      <c r="H667" s="166">
        <f t="shared" ca="1" si="104"/>
        <v>57</v>
      </c>
      <c r="I667" s="168"/>
      <c r="J667" s="177"/>
      <c r="K667" s="177"/>
      <c r="L667" s="171"/>
      <c r="M667" s="166" t="str">
        <f ca="1">IFERROR(IF(COUNTIF($B$517:$B666,"&lt;0")&lt;&gt;1,OFFSET($C665,-COUNTIF($B$517:$B666,"&lt;0")+3,0),""),"")</f>
        <v/>
      </c>
      <c r="N667" s="166">
        <f ca="1">IFERROR(IF(COUNTA($D$517:D666)=1,0,OFFSET($F665,-COUNTA($D$517:D666)+3,0)),"")</f>
        <v>1</v>
      </c>
      <c r="O667" s="166"/>
      <c r="P667" s="166">
        <f t="shared" ca="1" si="105"/>
        <v>148</v>
      </c>
      <c r="Q667" s="166"/>
      <c r="R667" s="166"/>
      <c r="S667" s="166"/>
      <c r="T667" s="171"/>
    </row>
    <row r="668" spans="1:20">
      <c r="A668" s="166" t="b">
        <v>0</v>
      </c>
      <c r="B668" s="166">
        <f t="shared" ca="1" si="102"/>
        <v>-31</v>
      </c>
      <c r="C668" s="413" t="s">
        <v>3559</v>
      </c>
      <c r="D668" s="166" t="s">
        <v>3555</v>
      </c>
      <c r="E668" s="166">
        <f t="shared" si="103"/>
        <v>5</v>
      </c>
      <c r="F668" s="177">
        <v>25</v>
      </c>
      <c r="G668" s="171"/>
      <c r="H668" s="166">
        <f t="shared" ca="1" si="104"/>
        <v>57</v>
      </c>
      <c r="I668" s="168"/>
      <c r="J668" s="177"/>
      <c r="K668" s="177"/>
      <c r="L668" s="171"/>
      <c r="M668" s="166" t="str">
        <f ca="1">IFERROR(IF(COUNTIF($B$517:$B667,"&lt;0")&lt;&gt;1,OFFSET($C666,-COUNTIF($B$517:$B667,"&lt;0")+3,0),""),"")</f>
        <v/>
      </c>
      <c r="N668" s="166">
        <f ca="1">IFERROR(IF(COUNTA($D$517:D667)=1,0,OFFSET($F666,-COUNTA($D$517:D667)+3,0)),"")</f>
        <v>1</v>
      </c>
      <c r="O668" s="166"/>
      <c r="P668" s="166">
        <f t="shared" ca="1" si="105"/>
        <v>149</v>
      </c>
      <c r="Q668" s="166"/>
      <c r="R668" s="166"/>
      <c r="S668" s="166"/>
      <c r="T668" s="171"/>
    </row>
    <row r="669" spans="1:20">
      <c r="A669" s="166" t="b">
        <v>0</v>
      </c>
      <c r="B669" s="166">
        <f t="shared" ca="1" si="102"/>
        <v>-30</v>
      </c>
      <c r="C669" s="413" t="s">
        <v>3560</v>
      </c>
      <c r="D669" s="166" t="s">
        <v>3555</v>
      </c>
      <c r="E669" s="166">
        <f t="shared" si="103"/>
        <v>6</v>
      </c>
      <c r="F669" s="177">
        <v>25</v>
      </c>
      <c r="G669" s="171"/>
      <c r="H669" s="166">
        <f t="shared" ca="1" si="104"/>
        <v>57</v>
      </c>
      <c r="I669" s="168"/>
      <c r="J669" s="177"/>
      <c r="K669" s="177"/>
      <c r="L669" s="171"/>
      <c r="M669" s="166" t="str">
        <f ca="1">IFERROR(IF(COUNTIF($B$517:$B668,"&lt;0")&lt;&gt;1,OFFSET($C667,-COUNTIF($B$517:$B668,"&lt;0")+3,0),""),"")</f>
        <v/>
      </c>
      <c r="N669" s="166">
        <f ca="1">IFERROR(IF(COUNTA($D$517:D668)=1,0,OFFSET($F667,-COUNTA($D$517:D668)+3,0)),"")</f>
        <v>1</v>
      </c>
      <c r="O669" s="166"/>
      <c r="P669" s="166">
        <f t="shared" ca="1" si="105"/>
        <v>150</v>
      </c>
      <c r="Q669" s="166"/>
      <c r="R669" s="166"/>
      <c r="S669" s="166"/>
      <c r="T669" s="171"/>
    </row>
    <row r="670" spans="1:20">
      <c r="A670" s="166" t="b">
        <v>0</v>
      </c>
      <c r="B670" s="166">
        <f t="shared" ca="1" si="102"/>
        <v>-29</v>
      </c>
      <c r="C670" s="413" t="s">
        <v>3561</v>
      </c>
      <c r="D670" s="166" t="s">
        <v>3562</v>
      </c>
      <c r="E670" s="166">
        <f t="shared" si="103"/>
        <v>1</v>
      </c>
      <c r="F670" s="177">
        <v>26</v>
      </c>
      <c r="G670" s="171"/>
      <c r="H670" s="166">
        <f t="shared" ca="1" si="104"/>
        <v>59</v>
      </c>
      <c r="I670" s="168"/>
      <c r="J670" s="177"/>
      <c r="K670" s="177"/>
      <c r="L670" s="171"/>
      <c r="M670" s="166" t="str">
        <f ca="1">IFERROR(IF(COUNTIF($B$517:$B669,"&lt;0")&lt;&gt;1,OFFSET($C668,-COUNTIF($B$517:$B669,"&lt;0")+3,0),""),"")</f>
        <v/>
      </c>
      <c r="N670" s="166">
        <f ca="1">IFERROR(IF(COUNTA($D$517:D669)=1,0,OFFSET($F668,-COUNTA($D$517:D669)+3,0)),"")</f>
        <v>1</v>
      </c>
      <c r="O670" s="166"/>
      <c r="P670" s="166">
        <f t="shared" ca="1" si="105"/>
        <v>151</v>
      </c>
      <c r="Q670" s="166"/>
      <c r="R670" s="166"/>
      <c r="S670" s="166"/>
      <c r="T670" s="171"/>
    </row>
    <row r="671" spans="1:20">
      <c r="A671" s="166" t="b">
        <v>0</v>
      </c>
      <c r="B671" s="166">
        <f t="shared" ca="1" si="102"/>
        <v>-28</v>
      </c>
      <c r="C671" s="413" t="s">
        <v>3563</v>
      </c>
      <c r="D671" s="166" t="s">
        <v>3562</v>
      </c>
      <c r="E671" s="166">
        <f t="shared" si="103"/>
        <v>2</v>
      </c>
      <c r="F671" s="177">
        <v>26</v>
      </c>
      <c r="G671" s="171"/>
      <c r="H671" s="166">
        <f t="shared" ca="1" si="104"/>
        <v>59</v>
      </c>
      <c r="I671" s="168"/>
      <c r="J671" s="177"/>
      <c r="K671" s="177"/>
      <c r="L671" s="171"/>
      <c r="M671" s="166" t="str">
        <f ca="1">IFERROR(IF(COUNTIF($B$517:$B670,"&lt;0")&lt;&gt;1,OFFSET($C669,-COUNTIF($B$517:$B670,"&lt;0")+3,0),""),"")</f>
        <v/>
      </c>
      <c r="N671" s="166">
        <f ca="1">IFERROR(IF(COUNTA($D$517:D670)=1,0,OFFSET($F669,-COUNTA($D$517:D670)+3,0)),"")</f>
        <v>1</v>
      </c>
      <c r="O671" s="166"/>
      <c r="P671" s="166">
        <f t="shared" ca="1" si="105"/>
        <v>152</v>
      </c>
      <c r="Q671" s="166"/>
      <c r="R671" s="166"/>
      <c r="S671" s="166"/>
      <c r="T671" s="171"/>
    </row>
    <row r="672" spans="1:20">
      <c r="A672" s="166" t="b">
        <v>0</v>
      </c>
      <c r="B672" s="166">
        <f t="shared" ca="1" si="102"/>
        <v>-27</v>
      </c>
      <c r="C672" s="413" t="s">
        <v>3564</v>
      </c>
      <c r="D672" s="166" t="s">
        <v>3562</v>
      </c>
      <c r="E672" s="166">
        <f t="shared" si="103"/>
        <v>3</v>
      </c>
      <c r="F672" s="177">
        <v>26</v>
      </c>
      <c r="G672" s="171"/>
      <c r="H672" s="166">
        <f t="shared" ca="1" si="104"/>
        <v>59</v>
      </c>
      <c r="I672" s="168"/>
      <c r="J672" s="177"/>
      <c r="K672" s="177"/>
      <c r="L672" s="171"/>
      <c r="M672" s="166" t="str">
        <f ca="1">IFERROR(IF(COUNTIF($B$517:$B671,"&lt;0")&lt;&gt;1,OFFSET($C670,-COUNTIF($B$517:$B671,"&lt;0")+3,0),""),"")</f>
        <v/>
      </c>
      <c r="N672" s="166">
        <f ca="1">IFERROR(IF(COUNTA($D$517:D671)=1,0,OFFSET($F670,-COUNTA($D$517:D671)+3,0)),"")</f>
        <v>1</v>
      </c>
      <c r="O672" s="166"/>
      <c r="P672" s="166">
        <f t="shared" ca="1" si="105"/>
        <v>153</v>
      </c>
      <c r="Q672" s="166"/>
      <c r="R672" s="166"/>
      <c r="S672" s="166"/>
      <c r="T672" s="171"/>
    </row>
    <row r="673" spans="1:20">
      <c r="A673" s="166" t="b">
        <v>0</v>
      </c>
      <c r="B673" s="166">
        <f t="shared" ca="1" si="102"/>
        <v>-26</v>
      </c>
      <c r="C673" s="413" t="s">
        <v>3565</v>
      </c>
      <c r="D673" s="166" t="s">
        <v>3562</v>
      </c>
      <c r="E673" s="166">
        <f t="shared" si="103"/>
        <v>4</v>
      </c>
      <c r="F673" s="177">
        <v>26</v>
      </c>
      <c r="G673" s="171"/>
      <c r="H673" s="166">
        <f t="shared" ca="1" si="104"/>
        <v>59</v>
      </c>
      <c r="I673" s="168"/>
      <c r="J673" s="177"/>
      <c r="K673" s="177"/>
      <c r="L673" s="171"/>
      <c r="M673" s="166" t="str">
        <f ca="1">IFERROR(IF(COUNTIF($B$517:$B672,"&lt;0")&lt;&gt;1,OFFSET($C671,-COUNTIF($B$517:$B672,"&lt;0")+3,0),""),"")</f>
        <v/>
      </c>
      <c r="N673" s="166">
        <f ca="1">IFERROR(IF(COUNTA($D$517:D672)=1,0,OFFSET($F671,-COUNTA($D$517:D672)+3,0)),"")</f>
        <v>1</v>
      </c>
      <c r="O673" s="166"/>
      <c r="P673" s="166">
        <f t="shared" ca="1" si="105"/>
        <v>154</v>
      </c>
      <c r="Q673" s="166"/>
      <c r="R673" s="166"/>
      <c r="S673" s="166"/>
      <c r="T673" s="171"/>
    </row>
    <row r="674" spans="1:20">
      <c r="A674" s="166" t="b">
        <v>0</v>
      </c>
      <c r="B674" s="166">
        <f t="shared" ca="1" si="102"/>
        <v>-25</v>
      </c>
      <c r="C674" s="413" t="s">
        <v>3566</v>
      </c>
      <c r="D674" s="166" t="s">
        <v>3562</v>
      </c>
      <c r="E674" s="166">
        <f t="shared" si="103"/>
        <v>5</v>
      </c>
      <c r="F674" s="177">
        <v>26</v>
      </c>
      <c r="G674" s="171"/>
      <c r="H674" s="166">
        <f t="shared" ca="1" si="104"/>
        <v>59</v>
      </c>
      <c r="I674" s="168"/>
      <c r="J674" s="177"/>
      <c r="K674" s="177"/>
      <c r="L674" s="171"/>
      <c r="M674" s="166" t="str">
        <f ca="1">IFERROR(IF(COUNTIF($B$517:$B673,"&lt;0")&lt;&gt;1,OFFSET($C672,-COUNTIF($B$517:$B673,"&lt;0")+3,0),""),"")</f>
        <v/>
      </c>
      <c r="N674" s="166">
        <f ca="1">IFERROR(IF(COUNTA($D$517:D673)=1,0,OFFSET($F672,-COUNTA($D$517:D673)+3,0)),"")</f>
        <v>1</v>
      </c>
      <c r="O674" s="166"/>
      <c r="P674" s="166">
        <f t="shared" ca="1" si="105"/>
        <v>155</v>
      </c>
      <c r="Q674" s="166"/>
      <c r="R674" s="166"/>
      <c r="S674" s="166"/>
      <c r="T674" s="171"/>
    </row>
    <row r="675" spans="1:20">
      <c r="A675" s="166" t="b">
        <v>0</v>
      </c>
      <c r="B675" s="166">
        <f t="shared" ca="1" si="102"/>
        <v>-24</v>
      </c>
      <c r="C675" s="413" t="s">
        <v>3567</v>
      </c>
      <c r="D675" s="166" t="s">
        <v>3562</v>
      </c>
      <c r="E675" s="166">
        <f t="shared" si="103"/>
        <v>6</v>
      </c>
      <c r="F675" s="177">
        <v>26</v>
      </c>
      <c r="G675" s="171"/>
      <c r="H675" s="166">
        <f t="shared" ca="1" si="104"/>
        <v>59</v>
      </c>
      <c r="I675" s="168"/>
      <c r="J675" s="177"/>
      <c r="K675" s="177"/>
      <c r="L675" s="171"/>
      <c r="M675" s="166" t="str">
        <f ca="1">IFERROR(IF(COUNTIF($B$517:$B674,"&lt;0")&lt;&gt;1,OFFSET($C673,-COUNTIF($B$517:$B674,"&lt;0")+3,0),""),"")</f>
        <v/>
      </c>
      <c r="N675" s="166">
        <f ca="1">IFERROR(IF(COUNTA($D$517:D674)=1,0,OFFSET($F673,-COUNTA($D$517:D674)+3,0)),"")</f>
        <v>1</v>
      </c>
      <c r="O675" s="166"/>
      <c r="P675" s="166">
        <f t="shared" ca="1" si="105"/>
        <v>156</v>
      </c>
      <c r="Q675" s="166"/>
      <c r="R675" s="166"/>
      <c r="S675" s="166"/>
      <c r="T675" s="171"/>
    </row>
    <row r="676" spans="1:20">
      <c r="A676" s="166" t="b">
        <v>0</v>
      </c>
      <c r="B676" s="166">
        <f t="shared" ca="1" si="102"/>
        <v>-23</v>
      </c>
      <c r="C676" s="413" t="s">
        <v>3568</v>
      </c>
      <c r="D676" s="166" t="s">
        <v>3569</v>
      </c>
      <c r="E676" s="166">
        <f t="shared" si="103"/>
        <v>1</v>
      </c>
      <c r="F676" s="177">
        <v>27</v>
      </c>
      <c r="G676" s="171"/>
      <c r="H676" s="166">
        <f t="shared" ca="1" si="104"/>
        <v>61</v>
      </c>
      <c r="I676" s="168"/>
      <c r="J676" s="177"/>
      <c r="K676" s="177"/>
      <c r="L676" s="171"/>
      <c r="M676" s="166" t="str">
        <f ca="1">IFERROR(IF(COUNTIF($B$517:$B675,"&lt;0")&lt;&gt;1,OFFSET($C674,-COUNTIF($B$517:$B675,"&lt;0")+3,0),""),"")</f>
        <v/>
      </c>
      <c r="N676" s="166">
        <f ca="1">IFERROR(IF(COUNTA($D$517:D675)=1,0,OFFSET($F674,-COUNTA($D$517:D675)+3,0)),"")</f>
        <v>1</v>
      </c>
      <c r="O676" s="166"/>
      <c r="P676" s="166">
        <f t="shared" ca="1" si="105"/>
        <v>157</v>
      </c>
      <c r="Q676" s="166"/>
      <c r="R676" s="166"/>
      <c r="S676" s="166"/>
      <c r="T676" s="171"/>
    </row>
    <row r="677" spans="1:20">
      <c r="A677" s="166" t="b">
        <v>0</v>
      </c>
      <c r="B677" s="166">
        <f t="shared" ca="1" si="102"/>
        <v>-22</v>
      </c>
      <c r="C677" s="413" t="s">
        <v>3570</v>
      </c>
      <c r="D677" s="166" t="s">
        <v>3569</v>
      </c>
      <c r="E677" s="166">
        <f t="shared" si="103"/>
        <v>2</v>
      </c>
      <c r="F677" s="177">
        <v>27</v>
      </c>
      <c r="G677" s="171"/>
      <c r="H677" s="166">
        <f t="shared" ca="1" si="104"/>
        <v>61</v>
      </c>
      <c r="I677" s="168"/>
      <c r="J677" s="177"/>
      <c r="K677" s="177"/>
      <c r="L677" s="171"/>
      <c r="M677" s="166" t="str">
        <f ca="1">IFERROR(IF(COUNTIF($B$517:$B676,"&lt;0")&lt;&gt;1,OFFSET($C675,-COUNTIF($B$517:$B676,"&lt;0")+3,0),""),"")</f>
        <v/>
      </c>
      <c r="N677" s="166">
        <f ca="1">IFERROR(IF(COUNTA($D$517:D676)=1,0,OFFSET($F675,-COUNTA($D$517:D676)+3,0)),"")</f>
        <v>1</v>
      </c>
      <c r="O677" s="166"/>
      <c r="P677" s="166">
        <f t="shared" ca="1" si="105"/>
        <v>158</v>
      </c>
      <c r="Q677" s="166"/>
      <c r="R677" s="166"/>
      <c r="S677" s="166"/>
      <c r="T677" s="171"/>
    </row>
    <row r="678" spans="1:20">
      <c r="A678" s="166" t="b">
        <v>0</v>
      </c>
      <c r="B678" s="166">
        <f t="shared" ca="1" si="102"/>
        <v>-21</v>
      </c>
      <c r="C678" s="413" t="s">
        <v>3571</v>
      </c>
      <c r="D678" s="166" t="s">
        <v>3569</v>
      </c>
      <c r="E678" s="166">
        <f t="shared" si="103"/>
        <v>3</v>
      </c>
      <c r="F678" s="177">
        <v>27</v>
      </c>
      <c r="G678" s="171"/>
      <c r="H678" s="166">
        <f t="shared" ca="1" si="104"/>
        <v>61</v>
      </c>
      <c r="I678" s="168"/>
      <c r="J678" s="177"/>
      <c r="K678" s="177"/>
      <c r="L678" s="171"/>
      <c r="M678" s="166" t="str">
        <f ca="1">IFERROR(IF(COUNTIF($B$517:$B677,"&lt;0")&lt;&gt;1,OFFSET($C676,-COUNTIF($B$517:$B677,"&lt;0")+3,0),""),"")</f>
        <v/>
      </c>
      <c r="N678" s="166">
        <f ca="1">IFERROR(IF(COUNTA($D$517:D677)=1,0,OFFSET($F676,-COUNTA($D$517:D677)+3,0)),"")</f>
        <v>1</v>
      </c>
      <c r="O678" s="166"/>
      <c r="P678" s="166">
        <f t="shared" ca="1" si="105"/>
        <v>159</v>
      </c>
      <c r="Q678" s="166"/>
      <c r="R678" s="166"/>
      <c r="S678" s="166"/>
      <c r="T678" s="171"/>
    </row>
    <row r="679" spans="1:20">
      <c r="A679" s="166" t="b">
        <v>0</v>
      </c>
      <c r="B679" s="166">
        <f t="shared" ca="1" si="102"/>
        <v>-20</v>
      </c>
      <c r="C679" s="413" t="s">
        <v>3572</v>
      </c>
      <c r="D679" s="166" t="s">
        <v>3569</v>
      </c>
      <c r="E679" s="166">
        <f t="shared" si="103"/>
        <v>4</v>
      </c>
      <c r="F679" s="177">
        <v>27</v>
      </c>
      <c r="G679" s="171"/>
      <c r="H679" s="166">
        <f t="shared" ca="1" si="104"/>
        <v>61</v>
      </c>
      <c r="I679" s="168"/>
      <c r="J679" s="177"/>
      <c r="K679" s="177"/>
      <c r="L679" s="171"/>
      <c r="M679" s="166" t="str">
        <f ca="1">IFERROR(IF(COUNTIF($B$517:$B678,"&lt;0")&lt;&gt;1,OFFSET($C677,-COUNTIF($B$517:$B678,"&lt;0")+3,0),""),"")</f>
        <v/>
      </c>
      <c r="N679" s="166">
        <f ca="1">IFERROR(IF(COUNTA($D$517:D678)=1,0,OFFSET($F677,-COUNTA($D$517:D678)+3,0)),"")</f>
        <v>1</v>
      </c>
      <c r="O679" s="166"/>
      <c r="P679" s="166">
        <f t="shared" ca="1" si="105"/>
        <v>160</v>
      </c>
      <c r="Q679" s="166"/>
      <c r="R679" s="166"/>
      <c r="S679" s="166"/>
      <c r="T679" s="171"/>
    </row>
    <row r="680" spans="1:20">
      <c r="A680" s="166" t="b">
        <v>0</v>
      </c>
      <c r="B680" s="166">
        <f t="shared" ca="1" si="102"/>
        <v>-19</v>
      </c>
      <c r="C680" s="413" t="s">
        <v>3573</v>
      </c>
      <c r="D680" s="166" t="s">
        <v>3569</v>
      </c>
      <c r="E680" s="166">
        <f t="shared" si="103"/>
        <v>5</v>
      </c>
      <c r="F680" s="177">
        <v>27</v>
      </c>
      <c r="G680" s="171"/>
      <c r="H680" s="166">
        <f t="shared" ca="1" si="104"/>
        <v>61</v>
      </c>
      <c r="I680" s="168"/>
      <c r="J680" s="177"/>
      <c r="K680" s="177"/>
      <c r="L680" s="171"/>
      <c r="M680" s="166" t="str">
        <f ca="1">IFERROR(IF(COUNTIF($B$517:$B679,"&lt;0")&lt;&gt;1,OFFSET($C678,-COUNTIF($B$517:$B679,"&lt;0")+3,0),""),"")</f>
        <v/>
      </c>
      <c r="N680" s="166">
        <f ca="1">IFERROR(IF(COUNTA($D$517:D679)=1,0,OFFSET($F678,-COUNTA($D$517:D679)+3,0)),"")</f>
        <v>1</v>
      </c>
      <c r="O680" s="166"/>
      <c r="P680" s="166">
        <f t="shared" ca="1" si="105"/>
        <v>161</v>
      </c>
      <c r="Q680" s="166"/>
      <c r="R680" s="166"/>
      <c r="S680" s="166"/>
      <c r="T680" s="171"/>
    </row>
    <row r="681" spans="1:20">
      <c r="A681" s="166" t="b">
        <v>0</v>
      </c>
      <c r="B681" s="166">
        <f t="shared" ca="1" si="102"/>
        <v>-18</v>
      </c>
      <c r="C681" s="413" t="s">
        <v>3574</v>
      </c>
      <c r="D681" s="166" t="s">
        <v>3569</v>
      </c>
      <c r="E681" s="166">
        <f t="shared" si="103"/>
        <v>6</v>
      </c>
      <c r="F681" s="177">
        <v>27</v>
      </c>
      <c r="G681" s="171"/>
      <c r="H681" s="166">
        <f t="shared" ca="1" si="104"/>
        <v>61</v>
      </c>
      <c r="I681" s="168"/>
      <c r="J681" s="177"/>
      <c r="K681" s="177"/>
      <c r="L681" s="171"/>
      <c r="M681" s="166" t="str">
        <f ca="1">IFERROR(IF(COUNTIF($B$517:$B680,"&lt;0")&lt;&gt;1,OFFSET($C679,-COUNTIF($B$517:$B680,"&lt;0")+3,0),""),"")</f>
        <v/>
      </c>
      <c r="N681" s="166">
        <f ca="1">IFERROR(IF(COUNTA($D$517:D680)=1,0,OFFSET($F679,-COUNTA($D$517:D680)+3,0)),"")</f>
        <v>1</v>
      </c>
      <c r="O681" s="166"/>
      <c r="P681" s="166">
        <f t="shared" ca="1" si="105"/>
        <v>162</v>
      </c>
      <c r="Q681" s="166"/>
      <c r="R681" s="166"/>
      <c r="S681" s="166"/>
      <c r="T681" s="171"/>
    </row>
    <row r="682" spans="1:20">
      <c r="A682" s="166" t="b">
        <v>0</v>
      </c>
      <c r="B682" s="166">
        <f t="shared" ca="1" si="102"/>
        <v>-17</v>
      </c>
      <c r="C682" s="413" t="s">
        <v>3575</v>
      </c>
      <c r="D682" s="166" t="s">
        <v>3576</v>
      </c>
      <c r="E682" s="166">
        <f t="shared" si="103"/>
        <v>1</v>
      </c>
      <c r="F682" s="177">
        <v>28</v>
      </c>
      <c r="G682" s="171"/>
      <c r="H682" s="166">
        <f t="shared" ca="1" si="104"/>
        <v>63</v>
      </c>
      <c r="I682" s="168"/>
      <c r="J682" s="177"/>
      <c r="K682" s="177"/>
      <c r="L682" s="171"/>
      <c r="M682" s="166" t="str">
        <f ca="1">IFERROR(IF(COUNTIF($B$517:$B681,"&lt;0")&lt;&gt;1,OFFSET($C680,-COUNTIF($B$517:$B681,"&lt;0")+3,0),""),"")</f>
        <v/>
      </c>
      <c r="N682" s="166">
        <f ca="1">IFERROR(IF(COUNTA($D$517:D681)=1,0,OFFSET($F680,-COUNTA($D$517:D681)+3,0)),"")</f>
        <v>1</v>
      </c>
      <c r="O682" s="166"/>
      <c r="P682" s="166">
        <f t="shared" ca="1" si="105"/>
        <v>163</v>
      </c>
      <c r="Q682" s="166"/>
      <c r="R682" s="166"/>
      <c r="S682" s="166"/>
      <c r="T682" s="171"/>
    </row>
    <row r="683" spans="1:20">
      <c r="A683" s="166" t="b">
        <v>0</v>
      </c>
      <c r="B683" s="166">
        <f t="shared" ca="1" si="102"/>
        <v>-16</v>
      </c>
      <c r="C683" s="413" t="s">
        <v>3577</v>
      </c>
      <c r="D683" s="166" t="s">
        <v>3576</v>
      </c>
      <c r="E683" s="166">
        <f t="shared" si="103"/>
        <v>2</v>
      </c>
      <c r="F683" s="177">
        <v>28</v>
      </c>
      <c r="G683" s="171"/>
      <c r="H683" s="166">
        <f t="shared" ca="1" si="104"/>
        <v>63</v>
      </c>
      <c r="I683" s="168"/>
      <c r="J683" s="177"/>
      <c r="K683" s="177"/>
      <c r="L683" s="171"/>
      <c r="M683" s="166" t="str">
        <f ca="1">IFERROR(IF(COUNTIF($B$517:$B682,"&lt;0")&lt;&gt;1,OFFSET($C681,-COUNTIF($B$517:$B682,"&lt;0")+3,0),""),"")</f>
        <v/>
      </c>
      <c r="N683" s="166">
        <f ca="1">IFERROR(IF(COUNTA($D$517:D682)=1,0,OFFSET($F681,-COUNTA($D$517:D682)+3,0)),"")</f>
        <v>1</v>
      </c>
      <c r="O683" s="166"/>
      <c r="P683" s="166">
        <f t="shared" ca="1" si="105"/>
        <v>164</v>
      </c>
      <c r="Q683" s="166"/>
      <c r="R683" s="166"/>
      <c r="S683" s="166"/>
      <c r="T683" s="171"/>
    </row>
    <row r="684" spans="1:20">
      <c r="A684" s="166" t="b">
        <v>0</v>
      </c>
      <c r="B684" s="166">
        <f t="shared" ca="1" si="102"/>
        <v>-15</v>
      </c>
      <c r="C684" s="413" t="s">
        <v>3578</v>
      </c>
      <c r="D684" s="166" t="s">
        <v>3576</v>
      </c>
      <c r="E684" s="166">
        <f t="shared" si="103"/>
        <v>3</v>
      </c>
      <c r="F684" s="177">
        <v>28</v>
      </c>
      <c r="G684" s="171"/>
      <c r="H684" s="166">
        <f t="shared" ca="1" si="104"/>
        <v>63</v>
      </c>
      <c r="I684" s="168"/>
      <c r="J684" s="177"/>
      <c r="K684" s="177"/>
      <c r="L684" s="171"/>
      <c r="M684" s="166" t="str">
        <f ca="1">IFERROR(IF(COUNTIF($B$517:$B683,"&lt;0")&lt;&gt;1,OFFSET($C682,-COUNTIF($B$517:$B683,"&lt;0")+3,0),""),"")</f>
        <v/>
      </c>
      <c r="N684" s="166">
        <f ca="1">IFERROR(IF(COUNTA($D$517:D683)=1,0,OFFSET($F682,-COUNTA($D$517:D683)+3,0)),"")</f>
        <v>1</v>
      </c>
      <c r="O684" s="166"/>
      <c r="P684" s="166">
        <f t="shared" ca="1" si="105"/>
        <v>165</v>
      </c>
      <c r="Q684" s="166"/>
      <c r="R684" s="166"/>
      <c r="S684" s="166"/>
      <c r="T684" s="171"/>
    </row>
    <row r="685" spans="1:20">
      <c r="A685" s="166" t="b">
        <v>0</v>
      </c>
      <c r="B685" s="166">
        <f t="shared" ca="1" si="102"/>
        <v>-14</v>
      </c>
      <c r="C685" s="413" t="s">
        <v>3579</v>
      </c>
      <c r="D685" s="166" t="s">
        <v>3576</v>
      </c>
      <c r="E685" s="166">
        <f t="shared" si="103"/>
        <v>4</v>
      </c>
      <c r="F685" s="177">
        <v>28</v>
      </c>
      <c r="G685" s="171"/>
      <c r="H685" s="166">
        <f t="shared" ca="1" si="104"/>
        <v>63</v>
      </c>
      <c r="I685" s="168"/>
      <c r="J685" s="177"/>
      <c r="K685" s="177"/>
      <c r="L685" s="171"/>
      <c r="M685" s="166" t="str">
        <f ca="1">IFERROR(IF(COUNTIF($B$517:$B684,"&lt;0")&lt;&gt;1,OFFSET($C683,-COUNTIF($B$517:$B684,"&lt;0")+3,0),""),"")</f>
        <v/>
      </c>
      <c r="N685" s="166">
        <f ca="1">IFERROR(IF(COUNTA($D$517:D684)=1,0,OFFSET($F683,-COUNTA($D$517:D684)+3,0)),"")</f>
        <v>1</v>
      </c>
      <c r="O685" s="166"/>
      <c r="P685" s="166">
        <f t="shared" ca="1" si="105"/>
        <v>166</v>
      </c>
      <c r="Q685" s="166"/>
      <c r="R685" s="166"/>
      <c r="S685" s="166"/>
      <c r="T685" s="171"/>
    </row>
    <row r="686" spans="1:20">
      <c r="A686" s="166" t="b">
        <v>0</v>
      </c>
      <c r="B686" s="166">
        <f t="shared" ca="1" si="102"/>
        <v>-13</v>
      </c>
      <c r="C686" s="413" t="s">
        <v>3580</v>
      </c>
      <c r="D686" s="166" t="s">
        <v>3576</v>
      </c>
      <c r="E686" s="166">
        <f t="shared" si="103"/>
        <v>5</v>
      </c>
      <c r="F686" s="177">
        <v>28</v>
      </c>
      <c r="G686" s="171"/>
      <c r="H686" s="166">
        <f t="shared" ca="1" si="104"/>
        <v>63</v>
      </c>
      <c r="I686" s="168"/>
      <c r="J686" s="177"/>
      <c r="K686" s="177"/>
      <c r="L686" s="171"/>
      <c r="M686" s="166" t="str">
        <f ca="1">IFERROR(IF(COUNTIF($B$517:$B685,"&lt;0")&lt;&gt;1,OFFSET($C684,-COUNTIF($B$517:$B685,"&lt;0")+3,0),""),"")</f>
        <v/>
      </c>
      <c r="N686" s="166">
        <f ca="1">IFERROR(IF(COUNTA($D$517:D685)=1,0,OFFSET($F684,-COUNTA($D$517:D685)+3,0)),"")</f>
        <v>1</v>
      </c>
      <c r="O686" s="166"/>
      <c r="P686" s="166">
        <f t="shared" ca="1" si="105"/>
        <v>167</v>
      </c>
      <c r="Q686" s="166"/>
      <c r="R686" s="166"/>
      <c r="S686" s="166"/>
      <c r="T686" s="171"/>
    </row>
    <row r="687" spans="1:20">
      <c r="A687" s="166" t="b">
        <v>0</v>
      </c>
      <c r="B687" s="166">
        <f t="shared" ca="1" si="102"/>
        <v>-12</v>
      </c>
      <c r="C687" s="413" t="s">
        <v>3581</v>
      </c>
      <c r="D687" s="166" t="s">
        <v>3576</v>
      </c>
      <c r="E687" s="166">
        <f t="shared" si="103"/>
        <v>6</v>
      </c>
      <c r="F687" s="177">
        <v>28</v>
      </c>
      <c r="G687" s="171"/>
      <c r="H687" s="166">
        <f t="shared" ca="1" si="104"/>
        <v>63</v>
      </c>
      <c r="I687" s="168"/>
      <c r="J687" s="177"/>
      <c r="K687" s="177"/>
      <c r="L687" s="171"/>
      <c r="M687" s="166" t="str">
        <f ca="1">IFERROR(IF(COUNTIF($B$517:$B686,"&lt;0")&lt;&gt;1,OFFSET($C685,-COUNTIF($B$517:$B686,"&lt;0")+3,0),""),"")</f>
        <v/>
      </c>
      <c r="N687" s="166">
        <f ca="1">IFERROR(IF(COUNTA($D$517:D686)=1,0,OFFSET($F685,-COUNTA($D$517:D686)+3,0)),"")</f>
        <v>1</v>
      </c>
      <c r="O687" s="166"/>
      <c r="P687" s="166">
        <f t="shared" ca="1" si="105"/>
        <v>168</v>
      </c>
      <c r="Q687" s="166"/>
      <c r="R687" s="166"/>
      <c r="S687" s="166"/>
      <c r="T687" s="171"/>
    </row>
    <row r="688" spans="1:20">
      <c r="A688" s="166" t="b">
        <v>0</v>
      </c>
      <c r="B688" s="166">
        <f t="shared" ca="1" si="102"/>
        <v>-11</v>
      </c>
      <c r="C688" s="413" t="s">
        <v>3582</v>
      </c>
      <c r="D688" s="166" t="s">
        <v>3583</v>
      </c>
      <c r="E688" s="166">
        <f t="shared" si="103"/>
        <v>1</v>
      </c>
      <c r="F688" s="177">
        <v>29</v>
      </c>
      <c r="G688" s="171"/>
      <c r="H688" s="166">
        <f t="shared" ca="1" si="104"/>
        <v>65</v>
      </c>
      <c r="I688" s="168"/>
      <c r="J688" s="177"/>
      <c r="K688" s="177"/>
      <c r="L688" s="171"/>
      <c r="M688" s="166" t="str">
        <f ca="1">IFERROR(IF(COUNTIF($B$517:$B687,"&lt;0")&lt;&gt;1,OFFSET($C686,-COUNTIF($B$517:$B687,"&lt;0")+3,0),""),"")</f>
        <v/>
      </c>
      <c r="N688" s="166">
        <f ca="1">IFERROR(IF(COUNTA($D$517:D687)=1,0,OFFSET($F686,-COUNTA($D$517:D687)+3,0)),"")</f>
        <v>1</v>
      </c>
      <c r="O688" s="166"/>
      <c r="P688" s="166">
        <f t="shared" ca="1" si="105"/>
        <v>169</v>
      </c>
      <c r="Q688" s="166"/>
      <c r="R688" s="166"/>
      <c r="S688" s="166"/>
      <c r="T688" s="171"/>
    </row>
    <row r="689" spans="1:20">
      <c r="A689" s="166" t="b">
        <v>0</v>
      </c>
      <c r="B689" s="166">
        <f t="shared" ca="1" si="102"/>
        <v>-10</v>
      </c>
      <c r="C689" s="413" t="s">
        <v>3584</v>
      </c>
      <c r="D689" s="166" t="s">
        <v>3583</v>
      </c>
      <c r="E689" s="166">
        <f t="shared" si="103"/>
        <v>2</v>
      </c>
      <c r="F689" s="177">
        <v>29</v>
      </c>
      <c r="G689" s="171"/>
      <c r="H689" s="166">
        <f t="shared" ca="1" si="104"/>
        <v>65</v>
      </c>
      <c r="I689" s="168"/>
      <c r="J689" s="177"/>
      <c r="K689" s="177"/>
      <c r="L689" s="171"/>
      <c r="M689" s="166" t="str">
        <f ca="1">IFERROR(IF(COUNTIF($B$517:$B688,"&lt;0")&lt;&gt;1,OFFSET($C687,-COUNTIF($B$517:$B688,"&lt;0")+3,0),""),"")</f>
        <v/>
      </c>
      <c r="N689" s="166">
        <f ca="1">IFERROR(IF(COUNTA($D$517:D688)=1,0,OFFSET($F687,-COUNTA($D$517:D688)+3,0)),"")</f>
        <v>1</v>
      </c>
      <c r="O689" s="166"/>
      <c r="P689" s="166">
        <f t="shared" ca="1" si="105"/>
        <v>170</v>
      </c>
      <c r="Q689" s="166"/>
      <c r="R689" s="166"/>
      <c r="S689" s="166"/>
      <c r="T689" s="171"/>
    </row>
    <row r="690" spans="1:20">
      <c r="A690" s="166" t="b">
        <v>0</v>
      </c>
      <c r="B690" s="166">
        <f t="shared" ca="1" si="102"/>
        <v>-9</v>
      </c>
      <c r="C690" s="413" t="s">
        <v>3585</v>
      </c>
      <c r="D690" s="166" t="s">
        <v>3583</v>
      </c>
      <c r="E690" s="166">
        <f t="shared" si="103"/>
        <v>3</v>
      </c>
      <c r="F690" s="177">
        <v>29</v>
      </c>
      <c r="G690" s="171"/>
      <c r="H690" s="166">
        <f t="shared" ca="1" si="104"/>
        <v>65</v>
      </c>
      <c r="I690" s="168"/>
      <c r="J690" s="177"/>
      <c r="K690" s="177"/>
      <c r="L690" s="171"/>
      <c r="M690" s="166" t="str">
        <f ca="1">IFERROR(IF(COUNTIF($B$517:$B689,"&lt;0")&lt;&gt;1,OFFSET($C688,-COUNTIF($B$517:$B689,"&lt;0")+3,0),""),"")</f>
        <v/>
      </c>
      <c r="N690" s="166">
        <f ca="1">IFERROR(IF(COUNTA($D$517:D689)=1,0,OFFSET($F688,-COUNTA($D$517:D689)+3,0)),"")</f>
        <v>1</v>
      </c>
      <c r="O690" s="166"/>
      <c r="P690" s="166">
        <f t="shared" ca="1" si="105"/>
        <v>171</v>
      </c>
      <c r="Q690" s="166"/>
      <c r="R690" s="166"/>
      <c r="S690" s="166"/>
      <c r="T690" s="171"/>
    </row>
    <row r="691" spans="1:20">
      <c r="A691" s="166" t="b">
        <v>0</v>
      </c>
      <c r="B691" s="166">
        <f t="shared" ca="1" si="102"/>
        <v>-8</v>
      </c>
      <c r="C691" s="413" t="s">
        <v>3586</v>
      </c>
      <c r="D691" s="166" t="s">
        <v>3583</v>
      </c>
      <c r="E691" s="166">
        <f t="shared" si="103"/>
        <v>4</v>
      </c>
      <c r="F691" s="177">
        <v>29</v>
      </c>
      <c r="G691" s="171"/>
      <c r="H691" s="166">
        <f t="shared" ca="1" si="104"/>
        <v>65</v>
      </c>
      <c r="I691" s="168"/>
      <c r="J691" s="177"/>
      <c r="K691" s="177"/>
      <c r="L691" s="171"/>
      <c r="M691" s="166" t="str">
        <f ca="1">IFERROR(IF(COUNTIF($B$517:$B690,"&lt;0")&lt;&gt;1,OFFSET($C689,-COUNTIF($B$517:$B690,"&lt;0")+3,0),""),"")</f>
        <v/>
      </c>
      <c r="N691" s="166">
        <f ca="1">IFERROR(IF(COUNTA($D$517:D690)=1,0,OFFSET($F689,-COUNTA($D$517:D690)+3,0)),"")</f>
        <v>1</v>
      </c>
      <c r="O691" s="166"/>
      <c r="P691" s="166">
        <f t="shared" ca="1" si="105"/>
        <v>172</v>
      </c>
      <c r="Q691" s="166"/>
      <c r="R691" s="166"/>
      <c r="S691" s="166"/>
      <c r="T691" s="171"/>
    </row>
    <row r="692" spans="1:20">
      <c r="A692" s="166" t="b">
        <v>0</v>
      </c>
      <c r="B692" s="166">
        <f t="shared" ca="1" si="102"/>
        <v>-7</v>
      </c>
      <c r="C692" s="413" t="s">
        <v>3587</v>
      </c>
      <c r="D692" s="166" t="s">
        <v>3583</v>
      </c>
      <c r="E692" s="166">
        <f t="shared" si="103"/>
        <v>5</v>
      </c>
      <c r="F692" s="177">
        <v>29</v>
      </c>
      <c r="G692" s="171"/>
      <c r="H692" s="166">
        <f t="shared" ca="1" si="104"/>
        <v>65</v>
      </c>
      <c r="I692" s="168"/>
      <c r="J692" s="177"/>
      <c r="K692" s="177"/>
      <c r="L692" s="171"/>
      <c r="M692" s="166" t="str">
        <f ca="1">IFERROR(IF(COUNTIF($B$517:$B691,"&lt;0")&lt;&gt;1,OFFSET($C690,-COUNTIF($B$517:$B691,"&lt;0")+3,0),""),"")</f>
        <v/>
      </c>
      <c r="N692" s="166">
        <f ca="1">IFERROR(IF(COUNTA($D$517:D691)=1,0,OFFSET($F690,-COUNTA($D$517:D691)+3,0)),"")</f>
        <v>1</v>
      </c>
      <c r="O692" s="166"/>
      <c r="P692" s="166">
        <f t="shared" ca="1" si="105"/>
        <v>173</v>
      </c>
      <c r="Q692" s="166"/>
      <c r="R692" s="166"/>
      <c r="S692" s="166"/>
      <c r="T692" s="171"/>
    </row>
    <row r="693" spans="1:20">
      <c r="A693" s="166" t="b">
        <v>0</v>
      </c>
      <c r="B693" s="166">
        <f t="shared" ca="1" si="102"/>
        <v>-6</v>
      </c>
      <c r="C693" s="413" t="s">
        <v>3588</v>
      </c>
      <c r="D693" s="166" t="s">
        <v>3583</v>
      </c>
      <c r="E693" s="166">
        <f t="shared" si="103"/>
        <v>6</v>
      </c>
      <c r="F693" s="177">
        <v>29</v>
      </c>
      <c r="G693" s="171"/>
      <c r="H693" s="166">
        <f t="shared" ca="1" si="104"/>
        <v>65</v>
      </c>
      <c r="I693" s="168"/>
      <c r="J693" s="177"/>
      <c r="K693" s="177"/>
      <c r="L693" s="171"/>
      <c r="M693" s="166" t="str">
        <f ca="1">IFERROR(IF(COUNTIF($B$517:$B692,"&lt;0")&lt;&gt;1,OFFSET($C691,-COUNTIF($B$517:$B692,"&lt;0")+3,0),""),"")</f>
        <v/>
      </c>
      <c r="N693" s="166">
        <f ca="1">IFERROR(IF(COUNTA($D$517:D692)=1,0,OFFSET($F691,-COUNTA($D$517:D692)+3,0)),"")</f>
        <v>1</v>
      </c>
      <c r="O693" s="166"/>
      <c r="P693" s="166">
        <f t="shared" ca="1" si="105"/>
        <v>174</v>
      </c>
      <c r="Q693" s="166"/>
      <c r="R693" s="166"/>
      <c r="S693" s="166"/>
      <c r="T693" s="171"/>
    </row>
    <row r="694" spans="1:20">
      <c r="A694" s="166" t="b">
        <v>0</v>
      </c>
      <c r="B694" s="166">
        <f t="shared" ca="1" si="102"/>
        <v>-5</v>
      </c>
      <c r="C694" s="413" t="s">
        <v>3589</v>
      </c>
      <c r="D694" s="166" t="s">
        <v>3590</v>
      </c>
      <c r="E694" s="166">
        <f t="shared" si="103"/>
        <v>1</v>
      </c>
      <c r="F694" s="177">
        <v>30</v>
      </c>
      <c r="G694" s="171"/>
      <c r="H694" s="166">
        <f t="shared" ca="1" si="104"/>
        <v>67</v>
      </c>
      <c r="I694" s="168"/>
      <c r="J694" s="177"/>
      <c r="K694" s="177"/>
      <c r="L694" s="171"/>
      <c r="M694" s="166" t="str">
        <f ca="1">IFERROR(IF(COUNTIF($B$517:$B693,"&lt;0")&lt;&gt;1,OFFSET($C692,-COUNTIF($B$517:$B693,"&lt;0")+3,0),""),"")</f>
        <v/>
      </c>
      <c r="N694" s="166">
        <f ca="1">IFERROR(IF(COUNTA($D$517:D693)=1,0,OFFSET($F692,-COUNTA($D$517:D693)+3,0)),"")</f>
        <v>1</v>
      </c>
      <c r="O694" s="166"/>
      <c r="P694" s="166">
        <f t="shared" ca="1" si="105"/>
        <v>175</v>
      </c>
      <c r="Q694" s="166"/>
      <c r="R694" s="166"/>
      <c r="S694" s="166"/>
      <c r="T694" s="171"/>
    </row>
    <row r="695" spans="1:20">
      <c r="A695" s="166" t="b">
        <v>0</v>
      </c>
      <c r="B695" s="166">
        <f t="shared" ca="1" si="102"/>
        <v>-4</v>
      </c>
      <c r="C695" s="413" t="s">
        <v>3591</v>
      </c>
      <c r="D695" s="166" t="s">
        <v>3590</v>
      </c>
      <c r="E695" s="166">
        <f t="shared" si="103"/>
        <v>2</v>
      </c>
      <c r="F695" s="177">
        <v>30</v>
      </c>
      <c r="G695" s="171"/>
      <c r="H695" s="166">
        <f t="shared" ca="1" si="104"/>
        <v>67</v>
      </c>
      <c r="I695" s="168"/>
      <c r="J695" s="177"/>
      <c r="K695" s="177"/>
      <c r="L695" s="171"/>
      <c r="M695" s="166" t="str">
        <f ca="1">IFERROR(IF(COUNTIF($B$517:$B694,"&lt;0")&lt;&gt;1,OFFSET($C693,-COUNTIF($B$517:$B694,"&lt;0")+3,0),""),"")</f>
        <v/>
      </c>
      <c r="N695" s="166">
        <f ca="1">IFERROR(IF(COUNTA($D$517:D694)=1,0,OFFSET($F693,-COUNTA($D$517:D694)+3,0)),"")</f>
        <v>1</v>
      </c>
      <c r="O695" s="166"/>
      <c r="P695" s="166">
        <f t="shared" ca="1" si="105"/>
        <v>176</v>
      </c>
      <c r="Q695" s="166"/>
      <c r="R695" s="166"/>
      <c r="S695" s="166"/>
      <c r="T695" s="171"/>
    </row>
    <row r="696" spans="1:20">
      <c r="A696" s="166" t="b">
        <v>0</v>
      </c>
      <c r="B696" s="166">
        <f t="shared" ca="1" si="102"/>
        <v>-3</v>
      </c>
      <c r="C696" s="413" t="s">
        <v>3592</v>
      </c>
      <c r="D696" s="166" t="s">
        <v>3590</v>
      </c>
      <c r="E696" s="166">
        <f t="shared" si="103"/>
        <v>3</v>
      </c>
      <c r="F696" s="177">
        <v>30</v>
      </c>
      <c r="G696" s="171"/>
      <c r="H696" s="166">
        <f t="shared" ca="1" si="104"/>
        <v>67</v>
      </c>
      <c r="I696" s="168"/>
      <c r="J696" s="177"/>
      <c r="K696" s="177"/>
      <c r="L696" s="171"/>
      <c r="M696" s="166" t="str">
        <f ca="1">IFERROR(IF(COUNTIF($B$517:$B695,"&lt;0")&lt;&gt;1,OFFSET($C694,-COUNTIF($B$517:$B695,"&lt;0")+3,0),""),"")</f>
        <v/>
      </c>
      <c r="N696" s="166">
        <f ca="1">IFERROR(IF(COUNTA($D$517:D695)=1,0,OFFSET($F694,-COUNTA($D$517:D695)+3,0)),"")</f>
        <v>1</v>
      </c>
      <c r="O696" s="166"/>
      <c r="P696" s="166">
        <f t="shared" ca="1" si="105"/>
        <v>177</v>
      </c>
      <c r="Q696" s="166"/>
      <c r="R696" s="166"/>
      <c r="S696" s="166"/>
      <c r="T696" s="171"/>
    </row>
    <row r="697" spans="1:20">
      <c r="A697" s="166" t="b">
        <v>0</v>
      </c>
      <c r="B697" s="166">
        <f t="shared" ca="1" si="102"/>
        <v>-2</v>
      </c>
      <c r="C697" s="413" t="s">
        <v>3593</v>
      </c>
      <c r="D697" s="166" t="s">
        <v>3590</v>
      </c>
      <c r="E697" s="166">
        <f t="shared" si="103"/>
        <v>4</v>
      </c>
      <c r="F697" s="177">
        <v>30</v>
      </c>
      <c r="G697" s="171"/>
      <c r="H697" s="166">
        <f t="shared" ca="1" si="104"/>
        <v>67</v>
      </c>
      <c r="I697" s="168"/>
      <c r="J697" s="177"/>
      <c r="K697" s="177"/>
      <c r="L697" s="171"/>
      <c r="M697" s="166" t="str">
        <f ca="1">IFERROR(IF(COUNTIF($B$517:$B696,"&lt;0")&lt;&gt;1,OFFSET($C695,-COUNTIF($B$517:$B696,"&lt;0")+3,0),""),"")</f>
        <v/>
      </c>
      <c r="N697" s="166">
        <f ca="1">IFERROR(IF(COUNTA($D$517:D696)=1,0,OFFSET($F695,-COUNTA($D$517:D696)+3,0)),"")</f>
        <v>1</v>
      </c>
      <c r="O697" s="166"/>
      <c r="P697" s="166">
        <f t="shared" ca="1" si="105"/>
        <v>178</v>
      </c>
      <c r="Q697" s="166"/>
      <c r="R697" s="166"/>
      <c r="S697" s="166"/>
      <c r="T697" s="171"/>
    </row>
    <row r="698" spans="1:20">
      <c r="A698" s="166" t="b">
        <v>0</v>
      </c>
      <c r="B698" s="166">
        <f t="shared" ca="1" si="102"/>
        <v>-1</v>
      </c>
      <c r="C698" s="413" t="s">
        <v>3594</v>
      </c>
      <c r="D698" s="166" t="s">
        <v>3590</v>
      </c>
      <c r="E698" s="166">
        <f t="shared" si="103"/>
        <v>5</v>
      </c>
      <c r="F698" s="177">
        <v>30</v>
      </c>
      <c r="G698" s="171"/>
      <c r="H698" s="166">
        <f t="shared" ca="1" si="104"/>
        <v>67</v>
      </c>
      <c r="I698" s="168"/>
      <c r="J698" s="177"/>
      <c r="K698" s="177"/>
      <c r="L698" s="171"/>
      <c r="M698" s="166" t="str">
        <f ca="1">IFERROR(IF(COUNTIF($B$517:$B697,"&lt;0")&lt;&gt;1,OFFSET($C696,-COUNTIF($B$517:$B697,"&lt;0")+3,0),""),"")</f>
        <v/>
      </c>
      <c r="N698" s="166">
        <f ca="1">IFERROR(IF(COUNTA($D$517:D697)=1,0,OFFSET($F696,-COUNTA($D$517:D697)+3,0)),"")</f>
        <v>1</v>
      </c>
      <c r="O698" s="166"/>
      <c r="P698" s="166">
        <f t="shared" ca="1" si="105"/>
        <v>179</v>
      </c>
      <c r="Q698" s="166"/>
      <c r="R698" s="166"/>
      <c r="S698" s="166"/>
      <c r="T698" s="171"/>
    </row>
    <row r="699" spans="1:20">
      <c r="A699" s="166" t="b">
        <v>0</v>
      </c>
      <c r="B699" s="166">
        <f t="shared" ca="1" si="102"/>
        <v>0</v>
      </c>
      <c r="C699" s="413" t="s">
        <v>3595</v>
      </c>
      <c r="D699" s="166" t="s">
        <v>3590</v>
      </c>
      <c r="E699" s="166">
        <f t="shared" si="103"/>
        <v>6</v>
      </c>
      <c r="F699" s="177">
        <v>30</v>
      </c>
      <c r="G699" s="171"/>
      <c r="H699" s="166">
        <f t="shared" ca="1" si="104"/>
        <v>67</v>
      </c>
      <c r="I699" s="168"/>
      <c r="J699" s="177"/>
      <c r="K699" s="177"/>
      <c r="L699" s="171"/>
      <c r="M699" s="166" t="str">
        <f ca="1">IFERROR(IF(COUNTIF($B$517:$B698,"&lt;0")&lt;&gt;1,OFFSET($C697,-COUNTIF($B$517:$B698,"&lt;0")+3,0),""),"")</f>
        <v/>
      </c>
      <c r="N699" s="166">
        <f ca="1">IFERROR(IF(COUNTA($D$517:D698)=1,0,OFFSET($F697,-COUNTA($D$517:D698)+3,0)),"")</f>
        <v>1</v>
      </c>
      <c r="O699" s="166"/>
      <c r="P699" s="166">
        <f t="shared" ca="1" si="105"/>
        <v>180</v>
      </c>
      <c r="Q699" s="166"/>
      <c r="R699" s="166"/>
      <c r="S699" s="166"/>
      <c r="T699" s="171"/>
    </row>
    <row r="700" spans="1:20">
      <c r="A700" s="166" t="e">
        <f t="shared" ref="A700:A763" ca="1" si="106">IF(OR(I700&lt;&gt;"",J700&lt;&gt;"",K700&lt;&gt;"",L700&lt;&gt;""),TRUE,FALSE)</f>
        <v>#VALUE!</v>
      </c>
      <c r="B700" s="166">
        <f t="shared" ca="1" si="102"/>
        <v>1</v>
      </c>
      <c r="C700" s="172" t="str">
        <f t="shared" ref="C700:C763" ca="1" si="107">M700</f>
        <v>a173p00000BI4yzAAD</v>
      </c>
      <c r="D700" s="166"/>
      <c r="E700" s="166">
        <f t="shared" ca="1" si="103"/>
        <v>1</v>
      </c>
      <c r="F700" s="177">
        <f ca="1">IF(COUNTA(D$518:D700)=1,"",OFFSET(F698,-COUNTA(D$518:D700)+3,0))</f>
        <v>1</v>
      </c>
      <c r="G700" s="171" t="str">
        <f t="shared" ref="G700:G763" ca="1" si="108">IFERROR(IF(INDIRECT("'Coverage Indicators - Section I'!G"&amp;$I184)=0,"",INDIRECT("'Coverage Indicators - Section I'!G"&amp;$I184)),"")</f>
        <v/>
      </c>
      <c r="H700" s="166">
        <f t="shared" ca="1" si="104"/>
        <v>9</v>
      </c>
      <c r="I700" s="168">
        <f t="shared" ref="I700:I763" ca="1" si="109">IFERROR(CHOOSE(E700,IFERROR(IF(INDIRECT("'Coverage Indicators - Section D'!P"&amp;H700)="","",INDIRECT("'Coverage Indicators - Section D'!P"&amp;H700)*100),""),IFERROR(IF(INDIRECT("'Coverage Indicators - Section D'!S"&amp;H700)="","",INDIRECT("'Coverage Indicators - Section D'!S"&amp;H700)*100),""),IFERROR(IF(INDIRECT("'Coverage Indicators - Section D'!V"&amp;H700)="","",INDIRECT("'Coverage Indicators - Section D'!V"&amp;H700)*100),""),IFERROR(IF(INDIRECT("'Coverage Indicators - Section D'!Y"&amp;H700)="","",INDIRECT("'Coverage Indicators - Section D'!Y"&amp;H700)*100),""),IFERROR(IF(INDIRECT("'Coverage Indicators - Section D'!AB"&amp;H700)="","",INDIRECT("'Coverage Indicators - Section D'!AB"&amp;H700)*100),""),IFERROR(IF(INDIRECT("'Coverage Indicators - Section D'!AE"&amp;H700)="","",INDIRECT("'Coverage Indicators - Section D'!AE"&amp;H700)*100),""),IFERROR(IF(INDIRECT("'Coverage Indicators - SectionD'!AH"&amp;H700)="","",INDIRECT("'CoverageIndicators-SectionD'!AH"&amp;H700)*100),"")),"")</f>
        <v>47.854045162255119</v>
      </c>
      <c r="J700" s="177">
        <f t="shared" ref="J700:J763" ca="1" si="110">IFERROR(CHOOSE(E700,IFERROR(IF(INDIRECT("'Coverage Indicators - Section D'!O"&amp;H700+1)="","",INDIRECT("'Coverage Indicators - Section D'!O"&amp;H700+1)),""),IFERROR(IF(INDIRECT("'Coverage Indicators - Section D'!R"&amp;H700+1)="","",INDIRECT("'Coverage Indicators - Section D'!R"&amp;H700+1)),""),IFERROR(IF(INDIRECT("'Coverage Indicators - Section D'!U"&amp;H700+1)="","",INDIRECT("'Coverage Indicators - Section D'!U"&amp;H700+1)),""),IFERROR(IF(INDIRECT("'Coverage Indicators - Section D'!X"&amp;H700+1)="","",INDIRECT("'Coverage Indicators - Section D'!X"&amp;H700+1)),""),IFERROR(IF(INDIRECT("'Coverage Indicators - Section D'!AA"&amp;H700+1)="","",INDIRECT("'Coverage Indicators - Section D'!AA"&amp;H700+1)),""),IFERROR(IF(INDIRECT("'Coverage Indicators - Section D'!AD"&amp;H700+1)="","",INDIRECT("'Coverage Indicators - Section D'!AD"&amp;H700+1)),""),IFERROR(IF(INDIRECT("'Coverage Indicators - Section D'!AG"&amp;H700+1)="","",INDIRECT("'Coverage Indicators - Section D'!AG"&amp;H700+1)),""),IFERROR(IF(INDIRECT("'Coverage Indicators - Section D'!AJ"&amp;H700+1)="","",INDIRECT("'Coverage Indicators - Section D'!AJ"&amp;H700+1)),"")),"")</f>
        <v>33435</v>
      </c>
      <c r="K700" s="177">
        <f t="shared" ref="K700:K763" ca="1" si="111">IFERROR(CHOOSE(E700,IFERROR(IF(INDIRECT("'Coverage Indicators - Section D'!O"&amp;H700)="","",INDIRECT("'Coverage Indicators - Section D'!O"&amp;H700)),""),IFERROR(IF(INDIRECT("'Coverage Indicators - Section D'!R"&amp;H700)="","",INDIRECT("'Coverage Indicators - Section D'!R"&amp;H700)),""),IFERROR(IF(INDIRECT("'Coverage Indicators - Section D'!U"&amp;H700)="","",INDIRECT("'Coverage Indicators - Section D'!U"&amp;H700)),""),IFERROR(IF(INDIRECT("'Coverage Indicators - Section D'!X"&amp;H700)="","",INDIRECT("'Coverage Indicators - Section D'!X"&amp;H700)),""),IFERROR(IF(INDIRECT("'Coverage Indicators - Section D'!AA"&amp;H700)="","",INDIRECT("'Coverage Indicators - Section D'!AA"&amp;H700)),""),IFERROR(IF(INDIRECT("'Coverage Indicators - Section D'!AD"&amp;H700)="","",INDIRECT("'Coverage Indicators - Section D'!AD"&amp;H700)),""),IFERROR(IF(INDIRECT("'Coverage Indicators - Section D'!AG"&amp;H700)="","",INDIRECT("'Coverage Indicators - Section D'!AG"&amp;H700)),""),IFERROR(IF(INDIRECT("'Coverage Indicators - Section D'!AJ"&amp;H700)="","",INDIRECT("'Coverage Indicators - Section D'!AJ"&amp;H700)),"")),"")</f>
        <v>16000</v>
      </c>
      <c r="L700" s="171" t="e">
        <f t="shared" ref="L700" si="112">#VALUE!</f>
        <v>#VALUE!</v>
      </c>
      <c r="M700" s="166" t="str">
        <f ca="1">IFERROR(IF(COUNTIF($B$517:$B699,"&lt;0")&lt;&gt;1,OFFSET($C698,-COUNTIF($B$517:$B699,"&lt;0")+3,0),""),"")</f>
        <v>a173p00000BI4yzAAD</v>
      </c>
      <c r="N700" s="166">
        <f ca="1">IFERROR(IF(COUNTA($D$517:D699)=1,0,OFFSET($F698,-COUNTA($D$517:D699)+3,0)),"")</f>
        <v>1</v>
      </c>
      <c r="O700" s="166"/>
      <c r="P700" s="166">
        <f t="shared" ca="1" si="105"/>
        <v>0</v>
      </c>
      <c r="Q700" s="166"/>
      <c r="R700" s="166"/>
      <c r="S700" s="166"/>
      <c r="T700" s="171"/>
    </row>
    <row r="701" spans="1:20">
      <c r="A701" s="166" t="e">
        <f t="shared" ca="1" si="106"/>
        <v>#VALUE!</v>
      </c>
      <c r="B701" s="166">
        <f t="shared" ca="1" si="102"/>
        <v>2</v>
      </c>
      <c r="C701" s="172" t="str">
        <f t="shared" ca="1" si="107"/>
        <v>a173p00000BI4zTAAT</v>
      </c>
      <c r="D701" s="166"/>
      <c r="E701" s="166">
        <f t="shared" ca="1" si="103"/>
        <v>2</v>
      </c>
      <c r="F701" s="177">
        <f ca="1">IF(COUNTA(D$518:D701)=1,"",OFFSET(F699,-COUNTA(D$518:D701)+3,0))</f>
        <v>1</v>
      </c>
      <c r="G701" s="171" t="str">
        <f t="shared" ca="1" si="108"/>
        <v/>
      </c>
      <c r="H701" s="166">
        <f t="shared" ca="1" si="104"/>
        <v>9</v>
      </c>
      <c r="I701" s="168">
        <f t="shared" ca="1" si="109"/>
        <v>48.165056550424126</v>
      </c>
      <c r="J701" s="177">
        <f t="shared" ca="1" si="110"/>
        <v>33952</v>
      </c>
      <c r="K701" s="177">
        <f t="shared" ca="1" si="111"/>
        <v>16353</v>
      </c>
      <c r="L701" s="171" t="e">
        <f>#VALUE!</f>
        <v>#VALUE!</v>
      </c>
      <c r="M701" s="166" t="str">
        <f ca="1">IFERROR(IF(COUNTIF($B$517:$B700,"&lt;0")&lt;&gt;1,OFFSET($C699,-COUNTIF($B$517:$B700,"&lt;0")+3,0),""),"")</f>
        <v>a173p00000BI4zTAAT</v>
      </c>
      <c r="N701" s="166">
        <f ca="1">IFERROR(IF(COUNTA($D$517:D700)=1,0,OFFSET($F699,-COUNTA($D$517:D700)+3,0)),"")</f>
        <v>1</v>
      </c>
      <c r="O701" s="166"/>
      <c r="P701" s="166">
        <f t="shared" ca="1" si="105"/>
        <v>0</v>
      </c>
      <c r="Q701" s="166"/>
      <c r="R701" s="166"/>
      <c r="S701" s="166"/>
      <c r="T701" s="171"/>
    </row>
    <row r="702" spans="1:20">
      <c r="A702" s="166" t="e">
        <f t="shared" ca="1" si="106"/>
        <v>#VALUE!</v>
      </c>
      <c r="B702" s="166">
        <f t="shared" ca="1" si="102"/>
        <v>3</v>
      </c>
      <c r="C702" s="172" t="str">
        <f t="shared" ca="1" si="107"/>
        <v>a173p00000BI4zxAAD</v>
      </c>
      <c r="D702" s="166"/>
      <c r="E702" s="166">
        <f t="shared" ca="1" si="103"/>
        <v>3</v>
      </c>
      <c r="F702" s="177">
        <f ca="1">IF(COUNTA(D$518:D702)=1,"",OFFSET(F700,-COUNTA(D$518:D702)+3,0))</f>
        <v>1</v>
      </c>
      <c r="G702" s="171" t="str">
        <f t="shared" ca="1" si="108"/>
        <v/>
      </c>
      <c r="H702" s="166">
        <f t="shared" ca="1" si="104"/>
        <v>9</v>
      </c>
      <c r="I702" s="168">
        <f t="shared" ca="1" si="109"/>
        <v>48.443438651463723</v>
      </c>
      <c r="J702" s="177">
        <f t="shared" ca="1" si="110"/>
        <v>34467</v>
      </c>
      <c r="K702" s="177">
        <f t="shared" ca="1" si="111"/>
        <v>16697</v>
      </c>
      <c r="L702" s="171" t="e">
        <f>#VALUE!</f>
        <v>#VALUE!</v>
      </c>
      <c r="M702" s="166" t="str">
        <f ca="1">IFERROR(IF(COUNTIF($B$517:$B701,"&lt;0")&lt;&gt;1,OFFSET($C700,-COUNTIF($B$517:$B701,"&lt;0")+3,0),""),"")</f>
        <v>a173p00000BI4zxAAD</v>
      </c>
      <c r="N702" s="166">
        <f ca="1">IFERROR(IF(COUNTA($D$517:D701)=1,0,OFFSET($F700,-COUNTA($D$517:D701)+3,0)),"")</f>
        <v>1</v>
      </c>
      <c r="O702" s="166"/>
      <c r="P702" s="166">
        <f t="shared" ca="1" si="105"/>
        <v>0</v>
      </c>
      <c r="Q702" s="166"/>
      <c r="R702" s="166"/>
      <c r="S702" s="166"/>
      <c r="T702" s="171"/>
    </row>
    <row r="703" spans="1:20">
      <c r="A703" s="166" t="e">
        <f t="shared" ca="1" si="106"/>
        <v>#VALUE!</v>
      </c>
      <c r="B703" s="166">
        <f t="shared" ca="1" si="102"/>
        <v>4</v>
      </c>
      <c r="C703" s="172" t="str">
        <f t="shared" ca="1" si="107"/>
        <v>a173p00000BI50RAAT</v>
      </c>
      <c r="D703" s="166"/>
      <c r="E703" s="166">
        <f t="shared" ca="1" si="103"/>
        <v>4</v>
      </c>
      <c r="F703" s="177">
        <f ca="1">IF(COUNTA(D$518:D703)=1,"",OFFSET(F701,-COUNTA(D$518:D703)+3,0))</f>
        <v>1</v>
      </c>
      <c r="G703" s="171" t="str">
        <f t="shared" ca="1" si="108"/>
        <v/>
      </c>
      <c r="H703" s="166">
        <f t="shared" ca="1" si="104"/>
        <v>9</v>
      </c>
      <c r="I703" s="168" t="str">
        <f t="shared" ca="1" si="109"/>
        <v/>
      </c>
      <c r="J703" s="177" t="str">
        <f t="shared" ca="1" si="110"/>
        <v/>
      </c>
      <c r="K703" s="177" t="str">
        <f t="shared" ca="1" si="111"/>
        <v/>
      </c>
      <c r="L703" s="171" t="e">
        <f>#VALUE!</f>
        <v>#VALUE!</v>
      </c>
      <c r="M703" s="166" t="str">
        <f ca="1">IFERROR(IF(COUNTIF($B$517:$B702,"&lt;0")&lt;&gt;1,OFFSET($C701,-COUNTIF($B$517:$B702,"&lt;0")+3,0),""),"")</f>
        <v>a173p00000BI50RAAT</v>
      </c>
      <c r="N703" s="166">
        <f ca="1">IFERROR(IF(COUNTA($D$517:D702)=1,0,OFFSET($F701,-COUNTA($D$517:D702)+3,0)),"")</f>
        <v>1</v>
      </c>
      <c r="O703" s="166"/>
      <c r="P703" s="166">
        <f t="shared" ca="1" si="105"/>
        <v>0</v>
      </c>
      <c r="Q703" s="166"/>
      <c r="R703" s="166"/>
      <c r="S703" s="166"/>
      <c r="T703" s="171"/>
    </row>
    <row r="704" spans="1:20">
      <c r="A704" s="166" t="e">
        <f t="shared" ca="1" si="106"/>
        <v>#VALUE!</v>
      </c>
      <c r="B704" s="166">
        <f t="shared" ca="1" si="102"/>
        <v>5</v>
      </c>
      <c r="C704" s="172" t="str">
        <f t="shared" ca="1" si="107"/>
        <v>a173p00000BI50vAAD</v>
      </c>
      <c r="D704" s="166"/>
      <c r="E704" s="166">
        <f t="shared" ca="1" si="103"/>
        <v>5</v>
      </c>
      <c r="F704" s="177">
        <f ca="1">IF(COUNTA(D$518:D704)=1,"",OFFSET(F702,-COUNTA(D$518:D704)+3,0))</f>
        <v>1</v>
      </c>
      <c r="G704" s="171" t="str">
        <f t="shared" ca="1" si="108"/>
        <v/>
      </c>
      <c r="H704" s="166">
        <f t="shared" ca="1" si="104"/>
        <v>9</v>
      </c>
      <c r="I704" s="168" t="str">
        <f t="shared" ca="1" si="109"/>
        <v/>
      </c>
      <c r="J704" s="177" t="str">
        <f t="shared" ca="1" si="110"/>
        <v/>
      </c>
      <c r="K704" s="177" t="str">
        <f t="shared" ca="1" si="111"/>
        <v/>
      </c>
      <c r="L704" s="171" t="e">
        <f>#VALUE!</f>
        <v>#VALUE!</v>
      </c>
      <c r="M704" s="166" t="str">
        <f ca="1">IFERROR(IF(COUNTIF($B$517:$B703,"&lt;0")&lt;&gt;1,OFFSET($C702,-COUNTIF($B$517:$B703,"&lt;0")+3,0),""),"")</f>
        <v>a173p00000BI50vAAD</v>
      </c>
      <c r="N704" s="166">
        <f ca="1">IFERROR(IF(COUNTA($D$517:D703)=1,0,OFFSET($F702,-COUNTA($D$517:D703)+3,0)),"")</f>
        <v>1</v>
      </c>
      <c r="O704" s="166"/>
      <c r="P704" s="166">
        <f t="shared" ca="1" si="105"/>
        <v>0</v>
      </c>
      <c r="Q704" s="166"/>
      <c r="R704" s="166"/>
      <c r="S704" s="166"/>
      <c r="T704" s="171"/>
    </row>
    <row r="705" spans="1:20">
      <c r="A705" s="166" t="e">
        <f t="shared" ca="1" si="106"/>
        <v>#VALUE!</v>
      </c>
      <c r="B705" s="166">
        <f t="shared" ca="1" si="102"/>
        <v>6</v>
      </c>
      <c r="C705" s="172" t="str">
        <f t="shared" ca="1" si="107"/>
        <v>a173p00000BI51PAAT</v>
      </c>
      <c r="D705" s="166"/>
      <c r="E705" s="166">
        <f t="shared" ca="1" si="103"/>
        <v>6</v>
      </c>
      <c r="F705" s="177">
        <f ca="1">IF(COUNTA(D$518:D705)=1,"",OFFSET(F703,-COUNTA(D$518:D705)+3,0))</f>
        <v>1</v>
      </c>
      <c r="G705" s="171" t="str">
        <f t="shared" ca="1" si="108"/>
        <v/>
      </c>
      <c r="H705" s="166">
        <f t="shared" ca="1" si="104"/>
        <v>9</v>
      </c>
      <c r="I705" s="168" t="str">
        <f t="shared" ca="1" si="109"/>
        <v/>
      </c>
      <c r="J705" s="177" t="str">
        <f t="shared" ca="1" si="110"/>
        <v/>
      </c>
      <c r="K705" s="177" t="str">
        <f t="shared" ca="1" si="111"/>
        <v/>
      </c>
      <c r="L705" s="171" t="e">
        <f>#VALUE!</f>
        <v>#VALUE!</v>
      </c>
      <c r="M705" s="166" t="str">
        <f ca="1">IFERROR(IF(COUNTIF($B$517:$B704,"&lt;0")&lt;&gt;1,OFFSET($C703,-COUNTIF($B$517:$B704,"&lt;0")+3,0),""),"")</f>
        <v>a173p00000BI51PAAT</v>
      </c>
      <c r="N705" s="166">
        <f ca="1">IFERROR(IF(COUNTA($D$517:D704)=1,0,OFFSET($F703,-COUNTA($D$517:D704)+3,0)),"")</f>
        <v>1</v>
      </c>
      <c r="O705" s="166"/>
      <c r="P705" s="166">
        <f t="shared" ca="1" si="105"/>
        <v>0</v>
      </c>
      <c r="Q705" s="166"/>
      <c r="R705" s="166"/>
      <c r="S705" s="166"/>
      <c r="T705" s="171"/>
    </row>
    <row r="706" spans="1:20">
      <c r="A706" s="166" t="e">
        <f t="shared" ca="1" si="106"/>
        <v>#VALUE!</v>
      </c>
      <c r="B706" s="166">
        <f t="shared" ca="1" si="102"/>
        <v>7</v>
      </c>
      <c r="C706" s="172" t="str">
        <f t="shared" ca="1" si="107"/>
        <v>a173p00000BI4z0AAD</v>
      </c>
      <c r="D706" s="166"/>
      <c r="E706" s="166">
        <f t="shared" ca="1" si="103"/>
        <v>1</v>
      </c>
      <c r="F706" s="177">
        <f ca="1">IF(COUNTA(D$518:D706)=1,"",OFFSET(F704,-COUNTA(D$518:D706)+3,0))</f>
        <v>2</v>
      </c>
      <c r="G706" s="171" t="str">
        <f t="shared" ca="1" si="108"/>
        <v/>
      </c>
      <c r="H706" s="166">
        <f t="shared" ca="1" si="104"/>
        <v>11</v>
      </c>
      <c r="I706" s="168">
        <f t="shared" ca="1" si="109"/>
        <v>44.262000897263349</v>
      </c>
      <c r="J706" s="177">
        <f t="shared" ca="1" si="110"/>
        <v>33435</v>
      </c>
      <c r="K706" s="177">
        <f t="shared" ca="1" si="111"/>
        <v>14799</v>
      </c>
      <c r="L706" s="171" t="e">
        <f>#VALUE!</f>
        <v>#VALUE!</v>
      </c>
      <c r="M706" s="166" t="str">
        <f ca="1">IFERROR(IF(COUNTIF($B$517:$B705,"&lt;0")&lt;&gt;1,OFFSET($C704,-COUNTIF($B$517:$B705,"&lt;0")+3,0),""),"")</f>
        <v>a173p00000BI4z0AAD</v>
      </c>
      <c r="N706" s="166">
        <f ca="1">IFERROR(IF(COUNTA($D$517:D705)=1,0,OFFSET($F704,-COUNTA($D$517:D705)+3,0)),"")</f>
        <v>2</v>
      </c>
      <c r="O706" s="166"/>
      <c r="P706" s="166">
        <f t="shared" ca="1" si="105"/>
        <v>0</v>
      </c>
      <c r="Q706" s="166"/>
      <c r="R706" s="166"/>
      <c r="S706" s="166"/>
      <c r="T706" s="171"/>
    </row>
    <row r="707" spans="1:20">
      <c r="A707" s="166" t="e">
        <f t="shared" ca="1" si="106"/>
        <v>#VALUE!</v>
      </c>
      <c r="B707" s="166">
        <f t="shared" ca="1" si="102"/>
        <v>8</v>
      </c>
      <c r="C707" s="172" t="str">
        <f t="shared" ca="1" si="107"/>
        <v>a173p00000BI4zUAAT</v>
      </c>
      <c r="D707" s="166"/>
      <c r="E707" s="166">
        <f t="shared" ca="1" si="103"/>
        <v>2</v>
      </c>
      <c r="F707" s="177">
        <f ca="1">IF(COUNTA(D$518:D707)=1,"",OFFSET(F705,-COUNTA(D$518:D707)+3,0))</f>
        <v>2</v>
      </c>
      <c r="G707" s="171" t="str">
        <f t="shared" ca="1" si="108"/>
        <v/>
      </c>
      <c r="H707" s="166">
        <f t="shared" ca="1" si="104"/>
        <v>11</v>
      </c>
      <c r="I707" s="168">
        <f t="shared" ca="1" si="109"/>
        <v>44.551131008482564</v>
      </c>
      <c r="J707" s="177">
        <f t="shared" ca="1" si="110"/>
        <v>33952</v>
      </c>
      <c r="K707" s="177">
        <f t="shared" ca="1" si="111"/>
        <v>15126</v>
      </c>
      <c r="L707" s="171" t="e">
        <f>#VALUE!</f>
        <v>#VALUE!</v>
      </c>
      <c r="M707" s="166" t="str">
        <f ca="1">IFERROR(IF(COUNTIF($B$517:$B706,"&lt;0")&lt;&gt;1,OFFSET($C705,-COUNTIF($B$517:$B706,"&lt;0")+3,0),""),"")</f>
        <v>a173p00000BI4zUAAT</v>
      </c>
      <c r="N707" s="166">
        <f ca="1">IFERROR(IF(COUNTA($D$517:D706)=1,0,OFFSET($F705,-COUNTA($D$517:D706)+3,0)),"")</f>
        <v>2</v>
      </c>
      <c r="O707" s="166"/>
      <c r="P707" s="166">
        <f t="shared" ca="1" si="105"/>
        <v>0</v>
      </c>
      <c r="Q707" s="166"/>
      <c r="R707" s="166"/>
      <c r="S707" s="166"/>
      <c r="T707" s="171"/>
    </row>
    <row r="708" spans="1:20">
      <c r="A708" s="166" t="e">
        <f t="shared" ca="1" si="106"/>
        <v>#VALUE!</v>
      </c>
      <c r="B708" s="166">
        <f t="shared" ca="1" si="102"/>
        <v>9</v>
      </c>
      <c r="C708" s="172" t="str">
        <f t="shared" ca="1" si="107"/>
        <v>a173p00000BI4zyAAD</v>
      </c>
      <c r="D708" s="166"/>
      <c r="E708" s="166">
        <f t="shared" ca="1" si="103"/>
        <v>3</v>
      </c>
      <c r="F708" s="177">
        <f ca="1">IF(COUNTA(D$518:D708)=1,"",OFFSET(F706,-COUNTA(D$518:D708)+3,0))</f>
        <v>2</v>
      </c>
      <c r="G708" s="171" t="str">
        <f t="shared" ca="1" si="108"/>
        <v/>
      </c>
      <c r="H708" s="166">
        <f t="shared" ca="1" si="104"/>
        <v>11</v>
      </c>
      <c r="I708" s="168">
        <f t="shared" ca="1" si="109"/>
        <v>44.808077291322135</v>
      </c>
      <c r="J708" s="177">
        <f t="shared" ca="1" si="110"/>
        <v>34467</v>
      </c>
      <c r="K708" s="177">
        <f t="shared" ca="1" si="111"/>
        <v>15444</v>
      </c>
      <c r="L708" s="171" t="e">
        <f>#VALUE!</f>
        <v>#VALUE!</v>
      </c>
      <c r="M708" s="166" t="str">
        <f ca="1">IFERROR(IF(COUNTIF($B$517:$B707,"&lt;0")&lt;&gt;1,OFFSET($C706,-COUNTIF($B$517:$B707,"&lt;0")+3,0),""),"")</f>
        <v>a173p00000BI4zyAAD</v>
      </c>
      <c r="N708" s="166">
        <f ca="1">IFERROR(IF(COUNTA($D$517:D707)=1,0,OFFSET($F706,-COUNTA($D$517:D707)+3,0)),"")</f>
        <v>2</v>
      </c>
      <c r="O708" s="166"/>
      <c r="P708" s="166">
        <f t="shared" ca="1" si="105"/>
        <v>0</v>
      </c>
      <c r="Q708" s="166"/>
      <c r="R708" s="166"/>
      <c r="S708" s="166"/>
      <c r="T708" s="171"/>
    </row>
    <row r="709" spans="1:20">
      <c r="A709" s="166" t="e">
        <f t="shared" ca="1" si="106"/>
        <v>#VALUE!</v>
      </c>
      <c r="B709" s="166">
        <f t="shared" ca="1" si="102"/>
        <v>10</v>
      </c>
      <c r="C709" s="172" t="str">
        <f t="shared" ca="1" si="107"/>
        <v>a173p00000BI50SAAT</v>
      </c>
      <c r="D709" s="166"/>
      <c r="E709" s="166">
        <f t="shared" ca="1" si="103"/>
        <v>4</v>
      </c>
      <c r="F709" s="177">
        <f ca="1">IF(COUNTA(D$518:D709)=1,"",OFFSET(F707,-COUNTA(D$518:D709)+3,0))</f>
        <v>2</v>
      </c>
      <c r="G709" s="171" t="str">
        <f t="shared" ca="1" si="108"/>
        <v/>
      </c>
      <c r="H709" s="166">
        <f t="shared" ca="1" si="104"/>
        <v>11</v>
      </c>
      <c r="I709" s="168" t="str">
        <f t="shared" ca="1" si="109"/>
        <v/>
      </c>
      <c r="J709" s="177" t="str">
        <f t="shared" ca="1" si="110"/>
        <v/>
      </c>
      <c r="K709" s="177" t="str">
        <f t="shared" ca="1" si="111"/>
        <v/>
      </c>
      <c r="L709" s="171" t="e">
        <f>#VALUE!</f>
        <v>#VALUE!</v>
      </c>
      <c r="M709" s="166" t="str">
        <f ca="1">IFERROR(IF(COUNTIF($B$517:$B708,"&lt;0")&lt;&gt;1,OFFSET($C707,-COUNTIF($B$517:$B708,"&lt;0")+3,0),""),"")</f>
        <v>a173p00000BI50SAAT</v>
      </c>
      <c r="N709" s="166">
        <f ca="1">IFERROR(IF(COUNTA($D$517:D708)=1,0,OFFSET($F707,-COUNTA($D$517:D708)+3,0)),"")</f>
        <v>2</v>
      </c>
      <c r="O709" s="166"/>
      <c r="P709" s="166">
        <f t="shared" ca="1" si="105"/>
        <v>0</v>
      </c>
      <c r="Q709" s="166"/>
      <c r="R709" s="166"/>
      <c r="S709" s="166"/>
      <c r="T709" s="171"/>
    </row>
    <row r="710" spans="1:20">
      <c r="A710" s="166" t="e">
        <f t="shared" ca="1" si="106"/>
        <v>#VALUE!</v>
      </c>
      <c r="B710" s="166">
        <f t="shared" ca="1" si="102"/>
        <v>11</v>
      </c>
      <c r="C710" s="172" t="str">
        <f t="shared" ca="1" si="107"/>
        <v>a173p00000BI50wAAD</v>
      </c>
      <c r="D710" s="166"/>
      <c r="E710" s="166">
        <f t="shared" ca="1" si="103"/>
        <v>5</v>
      </c>
      <c r="F710" s="177">
        <f ca="1">IF(COUNTA(D$518:D710)=1,"",OFFSET(F708,-COUNTA(D$518:D710)+3,0))</f>
        <v>2</v>
      </c>
      <c r="G710" s="171" t="str">
        <f t="shared" ca="1" si="108"/>
        <v/>
      </c>
      <c r="H710" s="166">
        <f t="shared" ca="1" si="104"/>
        <v>11</v>
      </c>
      <c r="I710" s="168" t="str">
        <f t="shared" ca="1" si="109"/>
        <v/>
      </c>
      <c r="J710" s="177" t="str">
        <f t="shared" ca="1" si="110"/>
        <v/>
      </c>
      <c r="K710" s="177" t="str">
        <f t="shared" ca="1" si="111"/>
        <v/>
      </c>
      <c r="L710" s="171" t="e">
        <f>#VALUE!</f>
        <v>#VALUE!</v>
      </c>
      <c r="M710" s="166" t="str">
        <f ca="1">IFERROR(IF(COUNTIF($B$517:$B709,"&lt;0")&lt;&gt;1,OFFSET($C708,-COUNTIF($B$517:$B709,"&lt;0")+3,0),""),"")</f>
        <v>a173p00000BI50wAAD</v>
      </c>
      <c r="N710" s="166">
        <f ca="1">IFERROR(IF(COUNTA($D$517:D709)=1,0,OFFSET($F708,-COUNTA($D$517:D709)+3,0)),"")</f>
        <v>2</v>
      </c>
      <c r="O710" s="166"/>
      <c r="P710" s="166">
        <f t="shared" ca="1" si="105"/>
        <v>0</v>
      </c>
      <c r="Q710" s="166"/>
      <c r="R710" s="166"/>
      <c r="S710" s="166"/>
      <c r="T710" s="171"/>
    </row>
    <row r="711" spans="1:20">
      <c r="A711" s="166" t="e">
        <f t="shared" ca="1" si="106"/>
        <v>#VALUE!</v>
      </c>
      <c r="B711" s="166">
        <f t="shared" ca="1" si="102"/>
        <v>12</v>
      </c>
      <c r="C711" s="172" t="str">
        <f t="shared" ca="1" si="107"/>
        <v>a173p00000BI51QAAT</v>
      </c>
      <c r="D711" s="166"/>
      <c r="E711" s="166">
        <f t="shared" ca="1" si="103"/>
        <v>6</v>
      </c>
      <c r="F711" s="177">
        <f ca="1">IF(COUNTA(D$518:D711)=1,"",OFFSET(F709,-COUNTA(D$518:D711)+3,0))</f>
        <v>2</v>
      </c>
      <c r="G711" s="171" t="str">
        <f t="shared" ca="1" si="108"/>
        <v/>
      </c>
      <c r="H711" s="166">
        <f t="shared" ca="1" si="104"/>
        <v>11</v>
      </c>
      <c r="I711" s="168" t="str">
        <f t="shared" ca="1" si="109"/>
        <v/>
      </c>
      <c r="J711" s="177" t="str">
        <f t="shared" ca="1" si="110"/>
        <v/>
      </c>
      <c r="K711" s="177" t="str">
        <f t="shared" ca="1" si="111"/>
        <v/>
      </c>
      <c r="L711" s="171" t="e">
        <f>#VALUE!</f>
        <v>#VALUE!</v>
      </c>
      <c r="M711" s="166" t="str">
        <f ca="1">IFERROR(IF(COUNTIF($B$517:$B710,"&lt;0")&lt;&gt;1,OFFSET($C709,-COUNTIF($B$517:$B710,"&lt;0")+3,0),""),"")</f>
        <v>a173p00000BI51QAAT</v>
      </c>
      <c r="N711" s="166">
        <f ca="1">IFERROR(IF(COUNTA($D$517:D710)=1,0,OFFSET($F709,-COUNTA($D$517:D710)+3,0)),"")</f>
        <v>2</v>
      </c>
      <c r="O711" s="166"/>
      <c r="P711" s="166">
        <f t="shared" ca="1" si="105"/>
        <v>0</v>
      </c>
      <c r="Q711" s="166"/>
      <c r="R711" s="166"/>
      <c r="S711" s="166"/>
      <c r="T711" s="171"/>
    </row>
    <row r="712" spans="1:20">
      <c r="A712" s="166" t="e">
        <f t="shared" ca="1" si="106"/>
        <v>#VALUE!</v>
      </c>
      <c r="B712" s="166">
        <f t="shared" ref="B712:B775" ca="1" si="113">B711+1</f>
        <v>13</v>
      </c>
      <c r="C712" s="172" t="str">
        <f t="shared" ca="1" si="107"/>
        <v>a173p00000BI4z1AAD</v>
      </c>
      <c r="D712" s="166"/>
      <c r="E712" s="166">
        <f t="shared" ref="E712:E775" ca="1" si="114">COUNTIF(F645:F712,F712)</f>
        <v>1</v>
      </c>
      <c r="F712" s="177">
        <f ca="1">IF(COUNTA(D$518:D712)=1,"",OFFSET(F710,-COUNTA(D$518:D712)+3,0))</f>
        <v>3</v>
      </c>
      <c r="G712" s="171" t="str">
        <f t="shared" ca="1" si="108"/>
        <v/>
      </c>
      <c r="H712" s="166">
        <f t="shared" ref="H712:H775" ca="1" si="115">IF(F712=1,9,IF(E711=MAX(E710:E712),H710+2,H711))</f>
        <v>13</v>
      </c>
      <c r="I712" s="168">
        <f t="shared" ca="1" si="109"/>
        <v>75.724843661171121</v>
      </c>
      <c r="J712" s="177">
        <f t="shared" ca="1" si="110"/>
        <v>1759</v>
      </c>
      <c r="K712" s="177">
        <f t="shared" ca="1" si="111"/>
        <v>1332</v>
      </c>
      <c r="L712" s="171" t="e">
        <f>#VALUE!</f>
        <v>#VALUE!</v>
      </c>
      <c r="M712" s="166" t="str">
        <f ca="1">IFERROR(IF(COUNTIF($B$517:$B711,"&lt;0")&lt;&gt;1,OFFSET($C710,-COUNTIF($B$517:$B711,"&lt;0")+3,0),""),"")</f>
        <v>a173p00000BI4z1AAD</v>
      </c>
      <c r="N712" s="166">
        <f ca="1">IFERROR(IF(COUNTA($D$517:D711)=1,0,OFFSET($F710,-COUNTA($D$517:D711)+3,0)),"")</f>
        <v>3</v>
      </c>
      <c r="O712" s="166"/>
      <c r="P712" s="166">
        <f t="shared" ref="P712:P775" ca="1" si="116">IF(NOT(_xlfn.ISFORMULA(I712)),P711+1,0)</f>
        <v>0</v>
      </c>
      <c r="Q712" s="166"/>
      <c r="R712" s="166"/>
      <c r="S712" s="166"/>
      <c r="T712" s="171"/>
    </row>
    <row r="713" spans="1:20">
      <c r="A713" s="166" t="e">
        <f t="shared" ca="1" si="106"/>
        <v>#VALUE!</v>
      </c>
      <c r="B713" s="166">
        <f t="shared" ca="1" si="113"/>
        <v>14</v>
      </c>
      <c r="C713" s="172" t="str">
        <f t="shared" ca="1" si="107"/>
        <v>a173p00000BI4zVAAT</v>
      </c>
      <c r="D713" s="166"/>
      <c r="E713" s="166">
        <f t="shared" ca="1" si="114"/>
        <v>2</v>
      </c>
      <c r="F713" s="177">
        <f ca="1">IF(COUNTA(D$518:D713)=1,"",OFFSET(F711,-COUNTA(D$518:D713)+3,0))</f>
        <v>3</v>
      </c>
      <c r="G713" s="171" t="str">
        <f t="shared" ca="1" si="108"/>
        <v/>
      </c>
      <c r="H713" s="166">
        <f t="shared" ca="1" si="115"/>
        <v>13</v>
      </c>
      <c r="I713" s="168">
        <f t="shared" ca="1" si="109"/>
        <v>77.827547592385216</v>
      </c>
      <c r="J713" s="177">
        <f t="shared" ca="1" si="110"/>
        <v>1786</v>
      </c>
      <c r="K713" s="177">
        <f t="shared" ca="1" si="111"/>
        <v>1390</v>
      </c>
      <c r="L713" s="171" t="e">
        <f>#VALUE!</f>
        <v>#VALUE!</v>
      </c>
      <c r="M713" s="166" t="str">
        <f ca="1">IFERROR(IF(COUNTIF($B$517:$B712,"&lt;0")&lt;&gt;1,OFFSET($C711,-COUNTIF($B$517:$B712,"&lt;0")+3,0),""),"")</f>
        <v>a173p00000BI4zVAAT</v>
      </c>
      <c r="N713" s="166">
        <f ca="1">IFERROR(IF(COUNTA($D$517:D712)=1,0,OFFSET($F711,-COUNTA($D$517:D712)+3,0)),"")</f>
        <v>3</v>
      </c>
      <c r="O713" s="166"/>
      <c r="P713" s="166">
        <f t="shared" ca="1" si="116"/>
        <v>0</v>
      </c>
      <c r="Q713" s="166"/>
      <c r="R713" s="166"/>
      <c r="S713" s="166"/>
      <c r="T713" s="171"/>
    </row>
    <row r="714" spans="1:20">
      <c r="A714" s="166" t="e">
        <f t="shared" ca="1" si="106"/>
        <v>#VALUE!</v>
      </c>
      <c r="B714" s="166">
        <f t="shared" ca="1" si="113"/>
        <v>15</v>
      </c>
      <c r="C714" s="172" t="str">
        <f t="shared" ca="1" si="107"/>
        <v>a173p00000BI4zzAAD</v>
      </c>
      <c r="D714" s="166"/>
      <c r="E714" s="166">
        <f t="shared" ca="1" si="114"/>
        <v>3</v>
      </c>
      <c r="F714" s="177">
        <f ca="1">IF(COUNTA(D$518:D714)=1,"",OFFSET(F712,-COUNTA(D$518:D714)+3,0))</f>
        <v>3</v>
      </c>
      <c r="G714" s="171" t="str">
        <f t="shared" ca="1" si="108"/>
        <v/>
      </c>
      <c r="H714" s="166">
        <f t="shared" ca="1" si="115"/>
        <v>13</v>
      </c>
      <c r="I714" s="168">
        <f t="shared" ca="1" si="109"/>
        <v>80.099228224917312</v>
      </c>
      <c r="J714" s="177">
        <f t="shared" ca="1" si="110"/>
        <v>1814</v>
      </c>
      <c r="K714" s="177">
        <f t="shared" ca="1" si="111"/>
        <v>1453</v>
      </c>
      <c r="L714" s="171" t="e">
        <f>#VALUE!</f>
        <v>#VALUE!</v>
      </c>
      <c r="M714" s="166" t="str">
        <f ca="1">IFERROR(IF(COUNTIF($B$517:$B713,"&lt;0")&lt;&gt;1,OFFSET($C712,-COUNTIF($B$517:$B713,"&lt;0")+3,0),""),"")</f>
        <v>a173p00000BI4zzAAD</v>
      </c>
      <c r="N714" s="166">
        <f ca="1">IFERROR(IF(COUNTA($D$517:D713)=1,0,OFFSET($F712,-COUNTA($D$517:D713)+3,0)),"")</f>
        <v>3</v>
      </c>
      <c r="O714" s="166"/>
      <c r="P714" s="166">
        <f t="shared" ca="1" si="116"/>
        <v>0</v>
      </c>
      <c r="Q714" s="166"/>
      <c r="R714" s="166"/>
      <c r="S714" s="166"/>
      <c r="T714" s="171"/>
    </row>
    <row r="715" spans="1:20">
      <c r="A715" s="166" t="e">
        <f t="shared" ca="1" si="106"/>
        <v>#VALUE!</v>
      </c>
      <c r="B715" s="166">
        <f t="shared" ca="1" si="113"/>
        <v>16</v>
      </c>
      <c r="C715" s="172" t="str">
        <f t="shared" ca="1" si="107"/>
        <v>a173p00000BI50TAAT</v>
      </c>
      <c r="D715" s="166"/>
      <c r="E715" s="166">
        <f t="shared" ca="1" si="114"/>
        <v>4</v>
      </c>
      <c r="F715" s="177">
        <f ca="1">IF(COUNTA(D$518:D715)=1,"",OFFSET(F713,-COUNTA(D$518:D715)+3,0))</f>
        <v>3</v>
      </c>
      <c r="G715" s="171" t="str">
        <f t="shared" ca="1" si="108"/>
        <v/>
      </c>
      <c r="H715" s="166">
        <f t="shared" ca="1" si="115"/>
        <v>13</v>
      </c>
      <c r="I715" s="168" t="str">
        <f t="shared" ca="1" si="109"/>
        <v/>
      </c>
      <c r="J715" s="177" t="str">
        <f t="shared" ca="1" si="110"/>
        <v/>
      </c>
      <c r="K715" s="177" t="str">
        <f t="shared" ca="1" si="111"/>
        <v/>
      </c>
      <c r="L715" s="171" t="e">
        <f>#VALUE!</f>
        <v>#VALUE!</v>
      </c>
      <c r="M715" s="166" t="str">
        <f ca="1">IFERROR(IF(COUNTIF($B$517:$B714,"&lt;0")&lt;&gt;1,OFFSET($C713,-COUNTIF($B$517:$B714,"&lt;0")+3,0),""),"")</f>
        <v>a173p00000BI50TAAT</v>
      </c>
      <c r="N715" s="166">
        <f ca="1">IFERROR(IF(COUNTA($D$517:D714)=1,0,OFFSET($F713,-COUNTA($D$517:D714)+3,0)),"")</f>
        <v>3</v>
      </c>
      <c r="O715" s="166"/>
      <c r="P715" s="166">
        <f t="shared" ca="1" si="116"/>
        <v>0</v>
      </c>
      <c r="Q715" s="166"/>
      <c r="R715" s="166"/>
      <c r="S715" s="166"/>
      <c r="T715" s="171"/>
    </row>
    <row r="716" spans="1:20">
      <c r="A716" s="166" t="e">
        <f t="shared" ca="1" si="106"/>
        <v>#VALUE!</v>
      </c>
      <c r="B716" s="166">
        <f t="shared" ca="1" si="113"/>
        <v>17</v>
      </c>
      <c r="C716" s="172" t="str">
        <f t="shared" ca="1" si="107"/>
        <v>a173p00000BI50xAAD</v>
      </c>
      <c r="D716" s="166"/>
      <c r="E716" s="166">
        <f t="shared" ca="1" si="114"/>
        <v>5</v>
      </c>
      <c r="F716" s="177">
        <f ca="1">IF(COUNTA(D$518:D716)=1,"",OFFSET(F714,-COUNTA(D$518:D716)+3,0))</f>
        <v>3</v>
      </c>
      <c r="G716" s="171" t="str">
        <f t="shared" ca="1" si="108"/>
        <v/>
      </c>
      <c r="H716" s="166">
        <f t="shared" ca="1" si="115"/>
        <v>13</v>
      </c>
      <c r="I716" s="168" t="str">
        <f t="shared" ca="1" si="109"/>
        <v/>
      </c>
      <c r="J716" s="177" t="str">
        <f t="shared" ca="1" si="110"/>
        <v/>
      </c>
      <c r="K716" s="177" t="str">
        <f t="shared" ca="1" si="111"/>
        <v/>
      </c>
      <c r="L716" s="171" t="e">
        <f>#VALUE!</f>
        <v>#VALUE!</v>
      </c>
      <c r="M716" s="166" t="str">
        <f ca="1">IFERROR(IF(COUNTIF($B$517:$B715,"&lt;0")&lt;&gt;1,OFFSET($C714,-COUNTIF($B$517:$B715,"&lt;0")+3,0),""),"")</f>
        <v>a173p00000BI50xAAD</v>
      </c>
      <c r="N716" s="166">
        <f ca="1">IFERROR(IF(COUNTA($D$517:D715)=1,0,OFFSET($F714,-COUNTA($D$517:D715)+3,0)),"")</f>
        <v>3</v>
      </c>
      <c r="O716" s="166"/>
      <c r="P716" s="166">
        <f t="shared" ca="1" si="116"/>
        <v>0</v>
      </c>
      <c r="Q716" s="166"/>
      <c r="R716" s="166"/>
      <c r="S716" s="166"/>
      <c r="T716" s="171"/>
    </row>
    <row r="717" spans="1:20">
      <c r="A717" s="166" t="e">
        <f t="shared" ca="1" si="106"/>
        <v>#VALUE!</v>
      </c>
      <c r="B717" s="166">
        <f t="shared" ca="1" si="113"/>
        <v>18</v>
      </c>
      <c r="C717" s="172" t="str">
        <f t="shared" ca="1" si="107"/>
        <v>a173p00000BI51RAAT</v>
      </c>
      <c r="D717" s="166"/>
      <c r="E717" s="166">
        <f t="shared" ca="1" si="114"/>
        <v>6</v>
      </c>
      <c r="F717" s="177">
        <f ca="1">IF(COUNTA(D$518:D717)=1,"",OFFSET(F715,-COUNTA(D$518:D717)+3,0))</f>
        <v>3</v>
      </c>
      <c r="G717" s="171" t="str">
        <f t="shared" ca="1" si="108"/>
        <v/>
      </c>
      <c r="H717" s="166">
        <f t="shared" ca="1" si="115"/>
        <v>13</v>
      </c>
      <c r="I717" s="168" t="str">
        <f t="shared" ca="1" si="109"/>
        <v/>
      </c>
      <c r="J717" s="177" t="str">
        <f t="shared" ca="1" si="110"/>
        <v/>
      </c>
      <c r="K717" s="177" t="str">
        <f t="shared" ca="1" si="111"/>
        <v/>
      </c>
      <c r="L717" s="171" t="e">
        <f>#VALUE!</f>
        <v>#VALUE!</v>
      </c>
      <c r="M717" s="166" t="str">
        <f ca="1">IFERROR(IF(COUNTIF($B$517:$B716,"&lt;0")&lt;&gt;1,OFFSET($C715,-COUNTIF($B$517:$B716,"&lt;0")+3,0),""),"")</f>
        <v>a173p00000BI51RAAT</v>
      </c>
      <c r="N717" s="166">
        <f ca="1">IFERROR(IF(COUNTA($D$517:D716)=1,0,OFFSET($F715,-COUNTA($D$517:D716)+3,0)),"")</f>
        <v>3</v>
      </c>
      <c r="O717" s="166"/>
      <c r="P717" s="166">
        <f t="shared" ca="1" si="116"/>
        <v>0</v>
      </c>
      <c r="Q717" s="166"/>
      <c r="R717" s="166"/>
      <c r="S717" s="166"/>
      <c r="T717" s="171"/>
    </row>
    <row r="718" spans="1:20">
      <c r="A718" s="166" t="e">
        <f t="shared" ca="1" si="106"/>
        <v>#VALUE!</v>
      </c>
      <c r="B718" s="166">
        <f t="shared" ca="1" si="113"/>
        <v>19</v>
      </c>
      <c r="C718" s="172" t="str">
        <f t="shared" ca="1" si="107"/>
        <v>a173p00000BI4z2AAD</v>
      </c>
      <c r="D718" s="166"/>
      <c r="E718" s="166">
        <f t="shared" ca="1" si="114"/>
        <v>1</v>
      </c>
      <c r="F718" s="177">
        <f ca="1">IF(COUNTA(D$518:D718)=1,"",OFFSET(F716,-COUNTA(D$518:D718)+3,0))</f>
        <v>4</v>
      </c>
      <c r="G718" s="171" t="str">
        <f t="shared" ca="1" si="108"/>
        <v/>
      </c>
      <c r="H718" s="166">
        <f t="shared" ca="1" si="115"/>
        <v>15</v>
      </c>
      <c r="I718" s="168">
        <f t="shared" ca="1" si="109"/>
        <v>42.524161455372372</v>
      </c>
      <c r="J718" s="177">
        <f t="shared" ca="1" si="110"/>
        <v>1759</v>
      </c>
      <c r="K718" s="177">
        <f t="shared" ca="1" si="111"/>
        <v>748</v>
      </c>
      <c r="L718" s="171" t="e">
        <f>#VALUE!</f>
        <v>#VALUE!</v>
      </c>
      <c r="M718" s="166" t="str">
        <f ca="1">IFERROR(IF(COUNTIF($B$517:$B717,"&lt;0")&lt;&gt;1,OFFSET($C716,-COUNTIF($B$517:$B717,"&lt;0")+3,0),""),"")</f>
        <v>a173p00000BI4z2AAD</v>
      </c>
      <c r="N718" s="166">
        <f ca="1">IFERROR(IF(COUNTA($D$517:D717)=1,0,OFFSET($F716,-COUNTA($D$517:D717)+3,0)),"")</f>
        <v>4</v>
      </c>
      <c r="O718" s="166"/>
      <c r="P718" s="166">
        <f t="shared" ca="1" si="116"/>
        <v>0</v>
      </c>
      <c r="Q718" s="166"/>
      <c r="R718" s="166"/>
      <c r="S718" s="166"/>
      <c r="T718" s="171"/>
    </row>
    <row r="719" spans="1:20">
      <c r="A719" s="166" t="e">
        <f t="shared" ca="1" si="106"/>
        <v>#VALUE!</v>
      </c>
      <c r="B719" s="166">
        <f t="shared" ca="1" si="113"/>
        <v>20</v>
      </c>
      <c r="C719" s="172" t="str">
        <f t="shared" ca="1" si="107"/>
        <v>a173p00000BI4zWAAT</v>
      </c>
      <c r="D719" s="166"/>
      <c r="E719" s="166">
        <f t="shared" ca="1" si="114"/>
        <v>2</v>
      </c>
      <c r="F719" s="177">
        <f ca="1">IF(COUNTA(D$518:D719)=1,"",OFFSET(F717,-COUNTA(D$518:D719)+3,0))</f>
        <v>4</v>
      </c>
      <c r="G719" s="171" t="str">
        <f t="shared" ca="1" si="108"/>
        <v/>
      </c>
      <c r="H719" s="166">
        <f t="shared" ca="1" si="115"/>
        <v>15</v>
      </c>
      <c r="I719" s="168">
        <f t="shared" ca="1" si="109"/>
        <v>43.225083986562154</v>
      </c>
      <c r="J719" s="177">
        <f t="shared" ca="1" si="110"/>
        <v>1786</v>
      </c>
      <c r="K719" s="177">
        <f t="shared" ca="1" si="111"/>
        <v>772</v>
      </c>
      <c r="L719" s="171" t="e">
        <f>#VALUE!</f>
        <v>#VALUE!</v>
      </c>
      <c r="M719" s="166" t="str">
        <f ca="1">IFERROR(IF(COUNTIF($B$517:$B718,"&lt;0")&lt;&gt;1,OFFSET($C717,-COUNTIF($B$517:$B718,"&lt;0")+3,0),""),"")</f>
        <v>a173p00000BI4zWAAT</v>
      </c>
      <c r="N719" s="166">
        <f ca="1">IFERROR(IF(COUNTA($D$517:D718)=1,0,OFFSET($F717,-COUNTA($D$517:D718)+3,0)),"")</f>
        <v>4</v>
      </c>
      <c r="O719" s="166"/>
      <c r="P719" s="166">
        <f t="shared" ca="1" si="116"/>
        <v>0</v>
      </c>
      <c r="Q719" s="166"/>
      <c r="R719" s="166"/>
      <c r="S719" s="166"/>
      <c r="T719" s="171"/>
    </row>
    <row r="720" spans="1:20">
      <c r="A720" s="166" t="e">
        <f t="shared" ca="1" si="106"/>
        <v>#VALUE!</v>
      </c>
      <c r="B720" s="166">
        <f t="shared" ca="1" si="113"/>
        <v>21</v>
      </c>
      <c r="C720" s="172" t="str">
        <f t="shared" ca="1" si="107"/>
        <v>a173p00000BI500AAD</v>
      </c>
      <c r="D720" s="166"/>
      <c r="E720" s="166">
        <f t="shared" ca="1" si="114"/>
        <v>3</v>
      </c>
      <c r="F720" s="177">
        <f ca="1">IF(COUNTA(D$518:D720)=1,"",OFFSET(F718,-COUNTA(D$518:D720)+3,0))</f>
        <v>4</v>
      </c>
      <c r="G720" s="171" t="str">
        <f t="shared" ca="1" si="108"/>
        <v/>
      </c>
      <c r="H720" s="166">
        <f t="shared" ca="1" si="115"/>
        <v>15</v>
      </c>
      <c r="I720" s="168">
        <f t="shared" ca="1" si="109"/>
        <v>43.880926130099226</v>
      </c>
      <c r="J720" s="177">
        <f t="shared" ca="1" si="110"/>
        <v>1814</v>
      </c>
      <c r="K720" s="177">
        <f t="shared" ca="1" si="111"/>
        <v>796</v>
      </c>
      <c r="L720" s="171" t="e">
        <f>#VALUE!</f>
        <v>#VALUE!</v>
      </c>
      <c r="M720" s="166" t="str">
        <f ca="1">IFERROR(IF(COUNTIF($B$517:$B719,"&lt;0")&lt;&gt;1,OFFSET($C718,-COUNTIF($B$517:$B719,"&lt;0")+3,0),""),"")</f>
        <v>a173p00000BI500AAD</v>
      </c>
      <c r="N720" s="166">
        <f ca="1">IFERROR(IF(COUNTA($D$517:D719)=1,0,OFFSET($F718,-COUNTA($D$517:D719)+3,0)),"")</f>
        <v>4</v>
      </c>
      <c r="O720" s="166"/>
      <c r="P720" s="166">
        <f t="shared" ca="1" si="116"/>
        <v>0</v>
      </c>
      <c r="Q720" s="166"/>
      <c r="R720" s="166"/>
      <c r="S720" s="166"/>
      <c r="T720" s="171"/>
    </row>
    <row r="721" spans="1:20">
      <c r="A721" s="166" t="e">
        <f t="shared" ca="1" si="106"/>
        <v>#VALUE!</v>
      </c>
      <c r="B721" s="166">
        <f t="shared" ca="1" si="113"/>
        <v>22</v>
      </c>
      <c r="C721" s="172" t="str">
        <f t="shared" ca="1" si="107"/>
        <v>a173p00000BI50UAAT</v>
      </c>
      <c r="D721" s="166"/>
      <c r="E721" s="166">
        <f t="shared" ca="1" si="114"/>
        <v>4</v>
      </c>
      <c r="F721" s="177">
        <f ca="1">IF(COUNTA(D$518:D721)=1,"",OFFSET(F719,-COUNTA(D$518:D721)+3,0))</f>
        <v>4</v>
      </c>
      <c r="G721" s="171" t="str">
        <f t="shared" ca="1" si="108"/>
        <v/>
      </c>
      <c r="H721" s="166">
        <f t="shared" ca="1" si="115"/>
        <v>15</v>
      </c>
      <c r="I721" s="168" t="str">
        <f t="shared" ca="1" si="109"/>
        <v/>
      </c>
      <c r="J721" s="177" t="str">
        <f t="shared" ca="1" si="110"/>
        <v/>
      </c>
      <c r="K721" s="177" t="str">
        <f t="shared" ca="1" si="111"/>
        <v/>
      </c>
      <c r="L721" s="171" t="e">
        <f>#VALUE!</f>
        <v>#VALUE!</v>
      </c>
      <c r="M721" s="166" t="str">
        <f ca="1">IFERROR(IF(COUNTIF($B$517:$B720,"&lt;0")&lt;&gt;1,OFFSET($C719,-COUNTIF($B$517:$B720,"&lt;0")+3,0),""),"")</f>
        <v>a173p00000BI50UAAT</v>
      </c>
      <c r="N721" s="166">
        <f ca="1">IFERROR(IF(COUNTA($D$517:D720)=1,0,OFFSET($F719,-COUNTA($D$517:D720)+3,0)),"")</f>
        <v>4</v>
      </c>
      <c r="O721" s="166"/>
      <c r="P721" s="166">
        <f t="shared" ca="1" si="116"/>
        <v>0</v>
      </c>
      <c r="Q721" s="166"/>
      <c r="R721" s="166"/>
      <c r="S721" s="166"/>
      <c r="T721" s="171"/>
    </row>
    <row r="722" spans="1:20">
      <c r="A722" s="166" t="e">
        <f t="shared" ca="1" si="106"/>
        <v>#VALUE!</v>
      </c>
      <c r="B722" s="166">
        <f t="shared" ca="1" si="113"/>
        <v>23</v>
      </c>
      <c r="C722" s="172" t="str">
        <f t="shared" ca="1" si="107"/>
        <v>a173p00000BI50yAAD</v>
      </c>
      <c r="D722" s="166"/>
      <c r="E722" s="166">
        <f t="shared" ca="1" si="114"/>
        <v>5</v>
      </c>
      <c r="F722" s="177">
        <f ca="1">IF(COUNTA(D$518:D722)=1,"",OFFSET(F720,-COUNTA(D$518:D722)+3,0))</f>
        <v>4</v>
      </c>
      <c r="G722" s="171" t="str">
        <f t="shared" ca="1" si="108"/>
        <v/>
      </c>
      <c r="H722" s="166">
        <f t="shared" ca="1" si="115"/>
        <v>15</v>
      </c>
      <c r="I722" s="168" t="str">
        <f t="shared" ca="1" si="109"/>
        <v/>
      </c>
      <c r="J722" s="177" t="str">
        <f t="shared" ca="1" si="110"/>
        <v/>
      </c>
      <c r="K722" s="177" t="str">
        <f t="shared" ca="1" si="111"/>
        <v/>
      </c>
      <c r="L722" s="171" t="e">
        <f>#VALUE!</f>
        <v>#VALUE!</v>
      </c>
      <c r="M722" s="166" t="str">
        <f ca="1">IFERROR(IF(COUNTIF($B$517:$B721,"&lt;0")&lt;&gt;1,OFFSET($C720,-COUNTIF($B$517:$B721,"&lt;0")+3,0),""),"")</f>
        <v>a173p00000BI50yAAD</v>
      </c>
      <c r="N722" s="166">
        <f ca="1">IFERROR(IF(COUNTA($D$517:D721)=1,0,OFFSET($F720,-COUNTA($D$517:D721)+3,0)),"")</f>
        <v>4</v>
      </c>
      <c r="O722" s="166"/>
      <c r="P722" s="166">
        <f t="shared" ca="1" si="116"/>
        <v>0</v>
      </c>
      <c r="Q722" s="166"/>
      <c r="R722" s="166"/>
      <c r="S722" s="166"/>
      <c r="T722" s="171"/>
    </row>
    <row r="723" spans="1:20">
      <c r="A723" s="166" t="e">
        <f t="shared" ca="1" si="106"/>
        <v>#VALUE!</v>
      </c>
      <c r="B723" s="166">
        <f t="shared" ca="1" si="113"/>
        <v>24</v>
      </c>
      <c r="C723" s="172" t="str">
        <f t="shared" ca="1" si="107"/>
        <v>a173p00000BI51SAAT</v>
      </c>
      <c r="D723" s="166"/>
      <c r="E723" s="166">
        <f t="shared" ca="1" si="114"/>
        <v>6</v>
      </c>
      <c r="F723" s="177">
        <f ca="1">IF(COUNTA(D$518:D723)=1,"",OFFSET(F721,-COUNTA(D$518:D723)+3,0))</f>
        <v>4</v>
      </c>
      <c r="G723" s="171" t="str">
        <f t="shared" ca="1" si="108"/>
        <v/>
      </c>
      <c r="H723" s="166">
        <f t="shared" ca="1" si="115"/>
        <v>15</v>
      </c>
      <c r="I723" s="168" t="str">
        <f t="shared" ca="1" si="109"/>
        <v/>
      </c>
      <c r="J723" s="177" t="str">
        <f t="shared" ca="1" si="110"/>
        <v/>
      </c>
      <c r="K723" s="177" t="str">
        <f t="shared" ca="1" si="111"/>
        <v/>
      </c>
      <c r="L723" s="171" t="e">
        <f>#VALUE!</f>
        <v>#VALUE!</v>
      </c>
      <c r="M723" s="166" t="str">
        <f ca="1">IFERROR(IF(COUNTIF($B$517:$B722,"&lt;0")&lt;&gt;1,OFFSET($C721,-COUNTIF($B$517:$B722,"&lt;0")+3,0),""),"")</f>
        <v>a173p00000BI51SAAT</v>
      </c>
      <c r="N723" s="166">
        <f ca="1">IFERROR(IF(COUNTA($D$517:D722)=1,0,OFFSET($F721,-COUNTA($D$517:D722)+3,0)),"")</f>
        <v>4</v>
      </c>
      <c r="O723" s="166"/>
      <c r="P723" s="166">
        <f t="shared" ca="1" si="116"/>
        <v>0</v>
      </c>
      <c r="Q723" s="166"/>
      <c r="R723" s="166"/>
      <c r="S723" s="166"/>
      <c r="T723" s="171"/>
    </row>
    <row r="724" spans="1:20">
      <c r="A724" s="166" t="e">
        <f t="shared" ca="1" si="106"/>
        <v>#VALUE!</v>
      </c>
      <c r="B724" s="166">
        <f t="shared" ca="1" si="113"/>
        <v>25</v>
      </c>
      <c r="C724" s="172" t="str">
        <f t="shared" ca="1" si="107"/>
        <v>a173p00000BI4z3AAD</v>
      </c>
      <c r="D724" s="166"/>
      <c r="E724" s="166">
        <f t="shared" ca="1" si="114"/>
        <v>1</v>
      </c>
      <c r="F724" s="177">
        <f ca="1">IF(COUNTA(D$518:D724)=1,"",OFFSET(F722,-COUNTA(D$518:D724)+3,0))</f>
        <v>5</v>
      </c>
      <c r="G724" s="171" t="str">
        <f t="shared" ca="1" si="108"/>
        <v/>
      </c>
      <c r="H724" s="166">
        <f t="shared" ca="1" si="115"/>
        <v>17</v>
      </c>
      <c r="I724" s="168">
        <f t="shared" ca="1" si="109"/>
        <v>58.819913952058997</v>
      </c>
      <c r="J724" s="177">
        <f t="shared" ca="1" si="110"/>
        <v>27659</v>
      </c>
      <c r="K724" s="177">
        <f t="shared" ca="1" si="111"/>
        <v>16269</v>
      </c>
      <c r="L724" s="171" t="e">
        <f>#VALUE!</f>
        <v>#VALUE!</v>
      </c>
      <c r="M724" s="166" t="str">
        <f ca="1">IFERROR(IF(COUNTIF($B$517:$B723,"&lt;0")&lt;&gt;1,OFFSET($C722,-COUNTIF($B$517:$B723,"&lt;0")+3,0),""),"")</f>
        <v>a173p00000BI4z3AAD</v>
      </c>
      <c r="N724" s="166">
        <f ca="1">IFERROR(IF(COUNTA($D$517:D723)=1,0,OFFSET($F722,-COUNTA($D$517:D723)+3,0)),"")</f>
        <v>5</v>
      </c>
      <c r="O724" s="166"/>
      <c r="P724" s="166">
        <f t="shared" ca="1" si="116"/>
        <v>0</v>
      </c>
      <c r="Q724" s="166"/>
      <c r="R724" s="166"/>
      <c r="S724" s="166"/>
      <c r="T724" s="171"/>
    </row>
    <row r="725" spans="1:20">
      <c r="A725" s="166" t="e">
        <f t="shared" ca="1" si="106"/>
        <v>#VALUE!</v>
      </c>
      <c r="B725" s="166">
        <f t="shared" ca="1" si="113"/>
        <v>26</v>
      </c>
      <c r="C725" s="172" t="str">
        <f t="shared" ca="1" si="107"/>
        <v>a173p00000BI4zXAAT</v>
      </c>
      <c r="D725" s="166"/>
      <c r="E725" s="166">
        <f t="shared" ca="1" si="114"/>
        <v>2</v>
      </c>
      <c r="F725" s="177">
        <f ca="1">IF(COUNTA(D$518:D725)=1,"",OFFSET(F723,-COUNTA(D$518:D725)+3,0))</f>
        <v>5</v>
      </c>
      <c r="G725" s="171" t="str">
        <f t="shared" ca="1" si="108"/>
        <v/>
      </c>
      <c r="H725" s="166">
        <f t="shared" ca="1" si="115"/>
        <v>17</v>
      </c>
      <c r="I725" s="168">
        <f t="shared" ca="1" si="109"/>
        <v>61.013254579334109</v>
      </c>
      <c r="J725" s="177">
        <f t="shared" ca="1" si="110"/>
        <v>28443</v>
      </c>
      <c r="K725" s="177">
        <f t="shared" ca="1" si="111"/>
        <v>17354</v>
      </c>
      <c r="L725" s="171" t="e">
        <f>#VALUE!</f>
        <v>#VALUE!</v>
      </c>
      <c r="M725" s="166" t="str">
        <f ca="1">IFERROR(IF(COUNTIF($B$517:$B724,"&lt;0")&lt;&gt;1,OFFSET($C723,-COUNTIF($B$517:$B724,"&lt;0")+3,0),""),"")</f>
        <v>a173p00000BI4zXAAT</v>
      </c>
      <c r="N725" s="166">
        <f ca="1">IFERROR(IF(COUNTA($D$517:D724)=1,0,OFFSET($F723,-COUNTA($D$517:D724)+3,0)),"")</f>
        <v>5</v>
      </c>
      <c r="O725" s="166"/>
      <c r="P725" s="166">
        <f t="shared" ca="1" si="116"/>
        <v>0</v>
      </c>
      <c r="Q725" s="166"/>
      <c r="R725" s="166"/>
      <c r="S725" s="166"/>
      <c r="T725" s="171"/>
    </row>
    <row r="726" spans="1:20">
      <c r="A726" s="166" t="e">
        <f t="shared" ca="1" si="106"/>
        <v>#VALUE!</v>
      </c>
      <c r="B726" s="166">
        <f t="shared" ca="1" si="113"/>
        <v>27</v>
      </c>
      <c r="C726" s="172" t="str">
        <f t="shared" ca="1" si="107"/>
        <v>a173p00000BI501AAD</v>
      </c>
      <c r="D726" s="166"/>
      <c r="E726" s="166">
        <f t="shared" ca="1" si="114"/>
        <v>3</v>
      </c>
      <c r="F726" s="177">
        <f ca="1">IF(COUNTA(D$518:D726)=1,"",OFFSET(F724,-COUNTA(D$518:D726)+3,0))</f>
        <v>5</v>
      </c>
      <c r="G726" s="171" t="str">
        <f t="shared" ca="1" si="108"/>
        <v/>
      </c>
      <c r="H726" s="166">
        <f t="shared" ca="1" si="115"/>
        <v>17</v>
      </c>
      <c r="I726" s="168">
        <f t="shared" ca="1" si="109"/>
        <v>0</v>
      </c>
      <c r="J726" s="177">
        <f t="shared" ca="1" si="110"/>
        <v>29227</v>
      </c>
      <c r="K726" s="177">
        <f t="shared" ca="1" si="111"/>
        <v>18433</v>
      </c>
      <c r="L726" s="171" t="e">
        <f>#VALUE!</f>
        <v>#VALUE!</v>
      </c>
      <c r="M726" s="166" t="str">
        <f ca="1">IFERROR(IF(COUNTIF($B$517:$B725,"&lt;0")&lt;&gt;1,OFFSET($C724,-COUNTIF($B$517:$B725,"&lt;0")+3,0),""),"")</f>
        <v>a173p00000BI501AAD</v>
      </c>
      <c r="N726" s="166">
        <f ca="1">IFERROR(IF(COUNTA($D$517:D725)=1,0,OFFSET($F724,-COUNTA($D$517:D725)+3,0)),"")</f>
        <v>5</v>
      </c>
      <c r="O726" s="166"/>
      <c r="P726" s="166">
        <f t="shared" ca="1" si="116"/>
        <v>0</v>
      </c>
      <c r="Q726" s="166"/>
      <c r="R726" s="166"/>
      <c r="S726" s="166"/>
      <c r="T726" s="171"/>
    </row>
    <row r="727" spans="1:20">
      <c r="A727" s="166" t="e">
        <f t="shared" ca="1" si="106"/>
        <v>#VALUE!</v>
      </c>
      <c r="B727" s="166">
        <f t="shared" ca="1" si="113"/>
        <v>28</v>
      </c>
      <c r="C727" s="172" t="str">
        <f t="shared" ca="1" si="107"/>
        <v>a173p00000BI50VAAT</v>
      </c>
      <c r="D727" s="166"/>
      <c r="E727" s="166">
        <f t="shared" ca="1" si="114"/>
        <v>4</v>
      </c>
      <c r="F727" s="177">
        <f ca="1">IF(COUNTA(D$518:D727)=1,"",OFFSET(F725,-COUNTA(D$518:D727)+3,0))</f>
        <v>5</v>
      </c>
      <c r="G727" s="171" t="str">
        <f t="shared" ca="1" si="108"/>
        <v/>
      </c>
      <c r="H727" s="166">
        <f t="shared" ca="1" si="115"/>
        <v>17</v>
      </c>
      <c r="I727" s="168" t="str">
        <f t="shared" ca="1" si="109"/>
        <v/>
      </c>
      <c r="J727" s="177" t="str">
        <f t="shared" ca="1" si="110"/>
        <v/>
      </c>
      <c r="K727" s="177" t="str">
        <f t="shared" ca="1" si="111"/>
        <v/>
      </c>
      <c r="L727" s="171" t="e">
        <f>#VALUE!</f>
        <v>#VALUE!</v>
      </c>
      <c r="M727" s="166" t="str">
        <f ca="1">IFERROR(IF(COUNTIF($B$517:$B726,"&lt;0")&lt;&gt;1,OFFSET($C725,-COUNTIF($B$517:$B726,"&lt;0")+3,0),""),"")</f>
        <v>a173p00000BI50VAAT</v>
      </c>
      <c r="N727" s="166">
        <f ca="1">IFERROR(IF(COUNTA($D$517:D726)=1,0,OFFSET($F725,-COUNTA($D$517:D726)+3,0)),"")</f>
        <v>5</v>
      </c>
      <c r="O727" s="166"/>
      <c r="P727" s="166">
        <f t="shared" ca="1" si="116"/>
        <v>0</v>
      </c>
      <c r="Q727" s="166"/>
      <c r="R727" s="166"/>
      <c r="S727" s="166"/>
      <c r="T727" s="171"/>
    </row>
    <row r="728" spans="1:20">
      <c r="A728" s="166" t="e">
        <f t="shared" ca="1" si="106"/>
        <v>#VALUE!</v>
      </c>
      <c r="B728" s="166">
        <f t="shared" ca="1" si="113"/>
        <v>29</v>
      </c>
      <c r="C728" s="172" t="str">
        <f t="shared" ca="1" si="107"/>
        <v>a173p00000BI50zAAD</v>
      </c>
      <c r="D728" s="166"/>
      <c r="E728" s="166">
        <f t="shared" ca="1" si="114"/>
        <v>5</v>
      </c>
      <c r="F728" s="177">
        <f ca="1">IF(COUNTA(D$518:D728)=1,"",OFFSET(F726,-COUNTA(D$518:D728)+3,0))</f>
        <v>5</v>
      </c>
      <c r="G728" s="171" t="str">
        <f t="shared" ca="1" si="108"/>
        <v/>
      </c>
      <c r="H728" s="166">
        <f t="shared" ca="1" si="115"/>
        <v>17</v>
      </c>
      <c r="I728" s="168" t="str">
        <f t="shared" ca="1" si="109"/>
        <v/>
      </c>
      <c r="J728" s="177" t="str">
        <f t="shared" ca="1" si="110"/>
        <v/>
      </c>
      <c r="K728" s="177" t="str">
        <f t="shared" ca="1" si="111"/>
        <v/>
      </c>
      <c r="L728" s="171" t="e">
        <f>#VALUE!</f>
        <v>#VALUE!</v>
      </c>
      <c r="M728" s="166" t="str">
        <f ca="1">IFERROR(IF(COUNTIF($B$517:$B727,"&lt;0")&lt;&gt;1,OFFSET($C726,-COUNTIF($B$517:$B727,"&lt;0")+3,0),""),"")</f>
        <v>a173p00000BI50zAAD</v>
      </c>
      <c r="N728" s="166">
        <f ca="1">IFERROR(IF(COUNTA($D$517:D727)=1,0,OFFSET($F726,-COUNTA($D$517:D727)+3,0)),"")</f>
        <v>5</v>
      </c>
      <c r="O728" s="166"/>
      <c r="P728" s="166">
        <f t="shared" ca="1" si="116"/>
        <v>0</v>
      </c>
      <c r="Q728" s="166"/>
      <c r="R728" s="166"/>
      <c r="S728" s="166"/>
      <c r="T728" s="171"/>
    </row>
    <row r="729" spans="1:20">
      <c r="A729" s="166" t="e">
        <f t="shared" ca="1" si="106"/>
        <v>#VALUE!</v>
      </c>
      <c r="B729" s="166">
        <f t="shared" ca="1" si="113"/>
        <v>30</v>
      </c>
      <c r="C729" s="172" t="str">
        <f t="shared" ca="1" si="107"/>
        <v>a173p00000BI51TAAT</v>
      </c>
      <c r="D729" s="166"/>
      <c r="E729" s="166">
        <f t="shared" ca="1" si="114"/>
        <v>6</v>
      </c>
      <c r="F729" s="177">
        <f ca="1">IF(COUNTA(D$518:D729)=1,"",OFFSET(F727,-COUNTA(D$518:D729)+3,0))</f>
        <v>5</v>
      </c>
      <c r="G729" s="171" t="str">
        <f t="shared" ca="1" si="108"/>
        <v/>
      </c>
      <c r="H729" s="166">
        <f t="shared" ca="1" si="115"/>
        <v>17</v>
      </c>
      <c r="I729" s="168" t="str">
        <f t="shared" ca="1" si="109"/>
        <v/>
      </c>
      <c r="J729" s="177" t="str">
        <f t="shared" ca="1" si="110"/>
        <v/>
      </c>
      <c r="K729" s="177" t="str">
        <f t="shared" ca="1" si="111"/>
        <v/>
      </c>
      <c r="L729" s="171" t="e">
        <f>#VALUE!</f>
        <v>#VALUE!</v>
      </c>
      <c r="M729" s="166" t="str">
        <f ca="1">IFERROR(IF(COUNTIF($B$517:$B728,"&lt;0")&lt;&gt;1,OFFSET($C727,-COUNTIF($B$517:$B728,"&lt;0")+3,0),""),"")</f>
        <v>a173p00000BI51TAAT</v>
      </c>
      <c r="N729" s="166">
        <f ca="1">IFERROR(IF(COUNTA($D$517:D728)=1,0,OFFSET($F727,-COUNTA($D$517:D728)+3,0)),"")</f>
        <v>5</v>
      </c>
      <c r="O729" s="166"/>
      <c r="P729" s="166">
        <f t="shared" ca="1" si="116"/>
        <v>0</v>
      </c>
      <c r="Q729" s="166"/>
      <c r="R729" s="166"/>
      <c r="S729" s="166"/>
      <c r="T729" s="171"/>
    </row>
    <row r="730" spans="1:20">
      <c r="A730" s="166" t="e">
        <f t="shared" ca="1" si="106"/>
        <v>#VALUE!</v>
      </c>
      <c r="B730" s="166">
        <f t="shared" ca="1" si="113"/>
        <v>31</v>
      </c>
      <c r="C730" s="172" t="str">
        <f t="shared" ca="1" si="107"/>
        <v>a173p00000BI4z4AAD</v>
      </c>
      <c r="D730" s="166"/>
      <c r="E730" s="166">
        <f t="shared" ca="1" si="114"/>
        <v>1</v>
      </c>
      <c r="F730" s="177">
        <f ca="1">IF(COUNTA(D$518:D730)=1,"",OFFSET(F728,-COUNTA(D$518:D730)+3,0))</f>
        <v>6</v>
      </c>
      <c r="G730" s="171" t="str">
        <f t="shared" ca="1" si="108"/>
        <v/>
      </c>
      <c r="H730" s="166">
        <f t="shared" ca="1" si="115"/>
        <v>19</v>
      </c>
      <c r="I730" s="168">
        <f t="shared" ca="1" si="109"/>
        <v>11.001136578897519</v>
      </c>
      <c r="J730" s="177">
        <f t="shared" ca="1" si="110"/>
        <v>21116</v>
      </c>
      <c r="K730" s="177">
        <f t="shared" ca="1" si="111"/>
        <v>2323</v>
      </c>
      <c r="L730" s="171" t="e">
        <f>#VALUE!</f>
        <v>#VALUE!</v>
      </c>
      <c r="M730" s="166" t="str">
        <f ca="1">IFERROR(IF(COUNTIF($B$517:$B729,"&lt;0")&lt;&gt;1,OFFSET($C728,-COUNTIF($B$517:$B729,"&lt;0")+3,0),""),"")</f>
        <v>a173p00000BI4z4AAD</v>
      </c>
      <c r="N730" s="166">
        <f ca="1">IFERROR(IF(COUNTA($D$517:D729)=1,0,OFFSET($F728,-COUNTA($D$517:D729)+3,0)),"")</f>
        <v>6</v>
      </c>
      <c r="O730" s="166"/>
      <c r="P730" s="166">
        <f t="shared" ca="1" si="116"/>
        <v>0</v>
      </c>
      <c r="Q730" s="166"/>
      <c r="R730" s="166"/>
      <c r="S730" s="166"/>
      <c r="T730" s="171"/>
    </row>
    <row r="731" spans="1:20">
      <c r="A731" s="166" t="e">
        <f t="shared" ca="1" si="106"/>
        <v>#VALUE!</v>
      </c>
      <c r="B731" s="166">
        <f t="shared" ca="1" si="113"/>
        <v>32</v>
      </c>
      <c r="C731" s="172" t="str">
        <f t="shared" ca="1" si="107"/>
        <v>a173p00000BI4zYAAT</v>
      </c>
      <c r="D731" s="166"/>
      <c r="E731" s="166">
        <f t="shared" ca="1" si="114"/>
        <v>2</v>
      </c>
      <c r="F731" s="177">
        <f ca="1">IF(COUNTA(D$518:D731)=1,"",OFFSET(F729,-COUNTA(D$518:D731)+3,0))</f>
        <v>6</v>
      </c>
      <c r="G731" s="171" t="str">
        <f t="shared" ca="1" si="108"/>
        <v/>
      </c>
      <c r="H731" s="166">
        <f t="shared" ca="1" si="115"/>
        <v>19</v>
      </c>
      <c r="I731" s="168">
        <f t="shared" ca="1" si="109"/>
        <v>24.111556757765136</v>
      </c>
      <c r="J731" s="177">
        <f t="shared" ca="1" si="110"/>
        <v>21442</v>
      </c>
      <c r="K731" s="177">
        <f t="shared" ca="1" si="111"/>
        <v>5170</v>
      </c>
      <c r="L731" s="171" t="e">
        <f>#VALUE!</f>
        <v>#VALUE!</v>
      </c>
      <c r="M731" s="166" t="str">
        <f ca="1">IFERROR(IF(COUNTIF($B$517:$B730,"&lt;0")&lt;&gt;1,OFFSET($C729,-COUNTIF($B$517:$B730,"&lt;0")+3,0),""),"")</f>
        <v>a173p00000BI4zYAAT</v>
      </c>
      <c r="N731" s="166">
        <f ca="1">IFERROR(IF(COUNTA($D$517:D730)=1,0,OFFSET($F729,-COUNTA($D$517:D730)+3,0)),"")</f>
        <v>6</v>
      </c>
      <c r="O731" s="166"/>
      <c r="P731" s="166">
        <f t="shared" ca="1" si="116"/>
        <v>0</v>
      </c>
      <c r="Q731" s="166"/>
      <c r="R731" s="166"/>
      <c r="S731" s="166"/>
      <c r="T731" s="171"/>
    </row>
    <row r="732" spans="1:20">
      <c r="A732" s="166" t="e">
        <f t="shared" ca="1" si="106"/>
        <v>#VALUE!</v>
      </c>
      <c r="B732" s="166">
        <f t="shared" ca="1" si="113"/>
        <v>33</v>
      </c>
      <c r="C732" s="172" t="str">
        <f t="shared" ca="1" si="107"/>
        <v>a173p00000BI502AAD</v>
      </c>
      <c r="D732" s="166"/>
      <c r="E732" s="166">
        <f t="shared" ca="1" si="114"/>
        <v>3</v>
      </c>
      <c r="F732" s="177">
        <f ca="1">IF(COUNTA(D$518:D732)=1,"",OFFSET(F730,-COUNTA(D$518:D732)+3,0))</f>
        <v>6</v>
      </c>
      <c r="G732" s="171" t="str">
        <f t="shared" ca="1" si="108"/>
        <v/>
      </c>
      <c r="H732" s="166">
        <f t="shared" ca="1" si="115"/>
        <v>19</v>
      </c>
      <c r="I732" s="168">
        <f t="shared" ca="1" si="109"/>
        <v>31.918412348401322</v>
      </c>
      <c r="J732" s="177">
        <f t="shared" ca="1" si="110"/>
        <v>21768</v>
      </c>
      <c r="K732" s="177">
        <f t="shared" ca="1" si="111"/>
        <v>6948</v>
      </c>
      <c r="L732" s="171" t="e">
        <f>#VALUE!</f>
        <v>#VALUE!</v>
      </c>
      <c r="M732" s="166" t="str">
        <f ca="1">IFERROR(IF(COUNTIF($B$517:$B731,"&lt;0")&lt;&gt;1,OFFSET($C730,-COUNTIF($B$517:$B731,"&lt;0")+3,0),""),"")</f>
        <v>a173p00000BI502AAD</v>
      </c>
      <c r="N732" s="166">
        <f ca="1">IFERROR(IF(COUNTA($D$517:D731)=1,0,OFFSET($F730,-COUNTA($D$517:D731)+3,0)),"")</f>
        <v>6</v>
      </c>
      <c r="O732" s="166"/>
      <c r="P732" s="166">
        <f t="shared" ca="1" si="116"/>
        <v>0</v>
      </c>
      <c r="Q732" s="166"/>
      <c r="R732" s="166"/>
      <c r="S732" s="166"/>
      <c r="T732" s="171"/>
    </row>
    <row r="733" spans="1:20">
      <c r="A733" s="166" t="e">
        <f t="shared" ca="1" si="106"/>
        <v>#VALUE!</v>
      </c>
      <c r="B733" s="166">
        <f t="shared" ca="1" si="113"/>
        <v>34</v>
      </c>
      <c r="C733" s="172" t="str">
        <f t="shared" ca="1" si="107"/>
        <v>a173p00000BI50WAAT</v>
      </c>
      <c r="D733" s="166"/>
      <c r="E733" s="166">
        <f t="shared" ca="1" si="114"/>
        <v>4</v>
      </c>
      <c r="F733" s="177">
        <f ca="1">IF(COUNTA(D$518:D733)=1,"",OFFSET(F731,-COUNTA(D$518:D733)+3,0))</f>
        <v>6</v>
      </c>
      <c r="G733" s="171" t="str">
        <f t="shared" ca="1" si="108"/>
        <v/>
      </c>
      <c r="H733" s="166">
        <f t="shared" ca="1" si="115"/>
        <v>19</v>
      </c>
      <c r="I733" s="168" t="str">
        <f t="shared" ca="1" si="109"/>
        <v/>
      </c>
      <c r="J733" s="177" t="str">
        <f t="shared" ca="1" si="110"/>
        <v/>
      </c>
      <c r="K733" s="177" t="str">
        <f t="shared" ca="1" si="111"/>
        <v/>
      </c>
      <c r="L733" s="171" t="e">
        <f>#VALUE!</f>
        <v>#VALUE!</v>
      </c>
      <c r="M733" s="166" t="str">
        <f ca="1">IFERROR(IF(COUNTIF($B$517:$B732,"&lt;0")&lt;&gt;1,OFFSET($C731,-COUNTIF($B$517:$B732,"&lt;0")+3,0),""),"")</f>
        <v>a173p00000BI50WAAT</v>
      </c>
      <c r="N733" s="166">
        <f ca="1">IFERROR(IF(COUNTA($D$517:D732)=1,0,OFFSET($F731,-COUNTA($D$517:D732)+3,0)),"")</f>
        <v>6</v>
      </c>
      <c r="O733" s="166"/>
      <c r="P733" s="166">
        <f t="shared" ca="1" si="116"/>
        <v>0</v>
      </c>
      <c r="Q733" s="166"/>
      <c r="R733" s="166"/>
      <c r="S733" s="166"/>
      <c r="T733" s="171"/>
    </row>
    <row r="734" spans="1:20">
      <c r="A734" s="166" t="e">
        <f t="shared" ca="1" si="106"/>
        <v>#VALUE!</v>
      </c>
      <c r="B734" s="166">
        <f t="shared" ca="1" si="113"/>
        <v>35</v>
      </c>
      <c r="C734" s="172" t="str">
        <f t="shared" ca="1" si="107"/>
        <v>a173p00000BI510AAD</v>
      </c>
      <c r="D734" s="166"/>
      <c r="E734" s="166">
        <f t="shared" ca="1" si="114"/>
        <v>5</v>
      </c>
      <c r="F734" s="177">
        <f ca="1">IF(COUNTA(D$518:D734)=1,"",OFFSET(F732,-COUNTA(D$518:D734)+3,0))</f>
        <v>6</v>
      </c>
      <c r="G734" s="171" t="str">
        <f t="shared" ca="1" si="108"/>
        <v/>
      </c>
      <c r="H734" s="166">
        <f t="shared" ca="1" si="115"/>
        <v>19</v>
      </c>
      <c r="I734" s="168" t="str">
        <f t="shared" ca="1" si="109"/>
        <v/>
      </c>
      <c r="J734" s="177" t="str">
        <f t="shared" ca="1" si="110"/>
        <v/>
      </c>
      <c r="K734" s="177" t="str">
        <f t="shared" ca="1" si="111"/>
        <v/>
      </c>
      <c r="L734" s="171" t="e">
        <f>#VALUE!</f>
        <v>#VALUE!</v>
      </c>
      <c r="M734" s="166" t="str">
        <f ca="1">IFERROR(IF(COUNTIF($B$517:$B733,"&lt;0")&lt;&gt;1,OFFSET($C732,-COUNTIF($B$517:$B733,"&lt;0")+3,0),""),"")</f>
        <v>a173p00000BI510AAD</v>
      </c>
      <c r="N734" s="166">
        <f ca="1">IFERROR(IF(COUNTA($D$517:D733)=1,0,OFFSET($F732,-COUNTA($D$517:D733)+3,0)),"")</f>
        <v>6</v>
      </c>
      <c r="O734" s="166"/>
      <c r="P734" s="166">
        <f t="shared" ca="1" si="116"/>
        <v>0</v>
      </c>
      <c r="Q734" s="166"/>
      <c r="R734" s="166"/>
      <c r="S734" s="166"/>
      <c r="T734" s="171"/>
    </row>
    <row r="735" spans="1:20">
      <c r="A735" s="166" t="e">
        <f t="shared" ca="1" si="106"/>
        <v>#VALUE!</v>
      </c>
      <c r="B735" s="166">
        <f t="shared" ca="1" si="113"/>
        <v>36</v>
      </c>
      <c r="C735" s="172" t="str">
        <f t="shared" ca="1" si="107"/>
        <v>a173p00000BI51UAAT</v>
      </c>
      <c r="D735" s="166"/>
      <c r="E735" s="166">
        <f t="shared" ca="1" si="114"/>
        <v>6</v>
      </c>
      <c r="F735" s="177">
        <f ca="1">IF(COUNTA(D$518:D735)=1,"",OFFSET(F733,-COUNTA(D$518:D735)+3,0))</f>
        <v>6</v>
      </c>
      <c r="G735" s="171" t="str">
        <f t="shared" ca="1" si="108"/>
        <v/>
      </c>
      <c r="H735" s="166">
        <f t="shared" ca="1" si="115"/>
        <v>19</v>
      </c>
      <c r="I735" s="168" t="str">
        <f t="shared" ca="1" si="109"/>
        <v/>
      </c>
      <c r="J735" s="177" t="str">
        <f t="shared" ca="1" si="110"/>
        <v/>
      </c>
      <c r="K735" s="177" t="str">
        <f t="shared" ca="1" si="111"/>
        <v/>
      </c>
      <c r="L735" s="171" t="e">
        <f>#VALUE!</f>
        <v>#VALUE!</v>
      </c>
      <c r="M735" s="166" t="str">
        <f ca="1">IFERROR(IF(COUNTIF($B$517:$B734,"&lt;0")&lt;&gt;1,OFFSET($C733,-COUNTIF($B$517:$B734,"&lt;0")+3,0),""),"")</f>
        <v>a173p00000BI51UAAT</v>
      </c>
      <c r="N735" s="166">
        <f ca="1">IFERROR(IF(COUNTA($D$517:D734)=1,0,OFFSET($F733,-COUNTA($D$517:D734)+3,0)),"")</f>
        <v>6</v>
      </c>
      <c r="O735" s="166"/>
      <c r="P735" s="166">
        <f t="shared" ca="1" si="116"/>
        <v>0</v>
      </c>
      <c r="Q735" s="166"/>
      <c r="R735" s="166"/>
      <c r="S735" s="166"/>
      <c r="T735" s="171"/>
    </row>
    <row r="736" spans="1:20">
      <c r="A736" s="166" t="e">
        <f t="shared" ca="1" si="106"/>
        <v>#VALUE!</v>
      </c>
      <c r="B736" s="166">
        <f t="shared" ca="1" si="113"/>
        <v>37</v>
      </c>
      <c r="C736" s="172" t="str">
        <f t="shared" ca="1" si="107"/>
        <v>a173p00000BI4z5AAD</v>
      </c>
      <c r="D736" s="166"/>
      <c r="E736" s="166">
        <f t="shared" ca="1" si="114"/>
        <v>1</v>
      </c>
      <c r="F736" s="177">
        <f ca="1">IF(COUNTA(D$518:D736)=1,"",OFFSET(F734,-COUNTA(D$518:D736)+3,0))</f>
        <v>7</v>
      </c>
      <c r="G736" s="171" t="str">
        <f t="shared" ca="1" si="108"/>
        <v/>
      </c>
      <c r="H736" s="166">
        <f t="shared" ca="1" si="115"/>
        <v>21</v>
      </c>
      <c r="I736" s="168">
        <f t="shared" ca="1" si="109"/>
        <v>10.001894298162531</v>
      </c>
      <c r="J736" s="177">
        <f t="shared" ca="1" si="110"/>
        <v>21116</v>
      </c>
      <c r="K736" s="177">
        <f t="shared" ca="1" si="111"/>
        <v>2112</v>
      </c>
      <c r="L736" s="171" t="e">
        <f>#VALUE!</f>
        <v>#VALUE!</v>
      </c>
      <c r="M736" s="166" t="str">
        <f ca="1">IFERROR(IF(COUNTIF($B$517:$B735,"&lt;0")&lt;&gt;1,OFFSET($C734,-COUNTIF($B$517:$B735,"&lt;0")+3,0),""),"")</f>
        <v>a173p00000BI4z5AAD</v>
      </c>
      <c r="N736" s="166">
        <f ca="1">IFERROR(IF(COUNTA($D$517:D735)=1,0,OFFSET($F734,-COUNTA($D$517:D735)+3,0)),"")</f>
        <v>7</v>
      </c>
      <c r="O736" s="166"/>
      <c r="P736" s="166">
        <f t="shared" ca="1" si="116"/>
        <v>0</v>
      </c>
      <c r="Q736" s="166"/>
      <c r="R736" s="166"/>
      <c r="S736" s="166"/>
      <c r="T736" s="171"/>
    </row>
    <row r="737" spans="1:20">
      <c r="A737" s="166" t="e">
        <f t="shared" ca="1" si="106"/>
        <v>#VALUE!</v>
      </c>
      <c r="B737" s="166">
        <f t="shared" ca="1" si="113"/>
        <v>38</v>
      </c>
      <c r="C737" s="172" t="str">
        <f t="shared" ca="1" si="107"/>
        <v>a173p00000BI4zZAAT</v>
      </c>
      <c r="D737" s="166"/>
      <c r="E737" s="166">
        <f t="shared" ca="1" si="114"/>
        <v>2</v>
      </c>
      <c r="F737" s="177">
        <f ca="1">IF(COUNTA(D$518:D737)=1,"",OFFSET(F735,-COUNTA(D$518:D737)+3,0))</f>
        <v>7</v>
      </c>
      <c r="G737" s="171" t="str">
        <f t="shared" ca="1" si="108"/>
        <v/>
      </c>
      <c r="H737" s="166">
        <f t="shared" ca="1" si="115"/>
        <v>21</v>
      </c>
      <c r="I737" s="168">
        <f t="shared" ca="1" si="109"/>
        <v>21.010166962037125</v>
      </c>
      <c r="J737" s="177">
        <f t="shared" ca="1" si="110"/>
        <v>21442</v>
      </c>
      <c r="K737" s="177">
        <f t="shared" ca="1" si="111"/>
        <v>4505</v>
      </c>
      <c r="L737" s="171" t="e">
        <f>#VALUE!</f>
        <v>#VALUE!</v>
      </c>
      <c r="M737" s="166" t="str">
        <f ca="1">IFERROR(IF(COUNTIF($B$517:$B736,"&lt;0")&lt;&gt;1,OFFSET($C735,-COUNTIF($B$517:$B736,"&lt;0")+3,0),""),"")</f>
        <v>a173p00000BI4zZAAT</v>
      </c>
      <c r="N737" s="166">
        <f ca="1">IFERROR(IF(COUNTA($D$517:D736)=1,0,OFFSET($F735,-COUNTA($D$517:D736)+3,0)),"")</f>
        <v>7</v>
      </c>
      <c r="O737" s="166"/>
      <c r="P737" s="166">
        <f t="shared" ca="1" si="116"/>
        <v>0</v>
      </c>
      <c r="Q737" s="166"/>
      <c r="R737" s="166"/>
      <c r="S737" s="166"/>
      <c r="T737" s="171"/>
    </row>
    <row r="738" spans="1:20">
      <c r="A738" s="166" t="e">
        <f t="shared" ca="1" si="106"/>
        <v>#VALUE!</v>
      </c>
      <c r="B738" s="166">
        <f t="shared" ca="1" si="113"/>
        <v>39</v>
      </c>
      <c r="C738" s="172" t="str">
        <f t="shared" ca="1" si="107"/>
        <v>a173p00000BI503AAD</v>
      </c>
      <c r="D738" s="166"/>
      <c r="E738" s="166">
        <f t="shared" ca="1" si="114"/>
        <v>3</v>
      </c>
      <c r="F738" s="177">
        <f ca="1">IF(COUNTA(D$518:D738)=1,"",OFFSET(F736,-COUNTA(D$518:D738)+3,0))</f>
        <v>7</v>
      </c>
      <c r="G738" s="171" t="str">
        <f t="shared" ca="1" si="108"/>
        <v/>
      </c>
      <c r="H738" s="166">
        <f t="shared" ca="1" si="115"/>
        <v>21</v>
      </c>
      <c r="I738" s="168">
        <f t="shared" ca="1" si="109"/>
        <v>27.600147004777654</v>
      </c>
      <c r="J738" s="177">
        <f t="shared" ca="1" si="110"/>
        <v>21768</v>
      </c>
      <c r="K738" s="177">
        <f t="shared" ca="1" si="111"/>
        <v>6008</v>
      </c>
      <c r="L738" s="171" t="e">
        <f>#VALUE!</f>
        <v>#VALUE!</v>
      </c>
      <c r="M738" s="166" t="str">
        <f ca="1">IFERROR(IF(COUNTIF($B$517:$B737,"&lt;0")&lt;&gt;1,OFFSET($C736,-COUNTIF($B$517:$B737,"&lt;0")+3,0),""),"")</f>
        <v>a173p00000BI503AAD</v>
      </c>
      <c r="N738" s="166">
        <f ca="1">IFERROR(IF(COUNTA($D$517:D737)=1,0,OFFSET($F736,-COUNTA($D$517:D737)+3,0)),"")</f>
        <v>7</v>
      </c>
      <c r="O738" s="166"/>
      <c r="P738" s="166">
        <f t="shared" ca="1" si="116"/>
        <v>0</v>
      </c>
      <c r="Q738" s="166"/>
      <c r="R738" s="166"/>
      <c r="S738" s="166"/>
      <c r="T738" s="171"/>
    </row>
    <row r="739" spans="1:20">
      <c r="A739" s="166" t="e">
        <f t="shared" ca="1" si="106"/>
        <v>#VALUE!</v>
      </c>
      <c r="B739" s="166">
        <f t="shared" ca="1" si="113"/>
        <v>40</v>
      </c>
      <c r="C739" s="172" t="str">
        <f t="shared" ca="1" si="107"/>
        <v>a173p00000BI50XAAT</v>
      </c>
      <c r="D739" s="166"/>
      <c r="E739" s="166">
        <f t="shared" ca="1" si="114"/>
        <v>4</v>
      </c>
      <c r="F739" s="177">
        <f ca="1">IF(COUNTA(D$518:D739)=1,"",OFFSET(F737,-COUNTA(D$518:D739)+3,0))</f>
        <v>7</v>
      </c>
      <c r="G739" s="171" t="str">
        <f t="shared" ca="1" si="108"/>
        <v/>
      </c>
      <c r="H739" s="166">
        <f t="shared" ca="1" si="115"/>
        <v>21</v>
      </c>
      <c r="I739" s="168" t="str">
        <f t="shared" ca="1" si="109"/>
        <v/>
      </c>
      <c r="J739" s="177" t="str">
        <f t="shared" ca="1" si="110"/>
        <v/>
      </c>
      <c r="K739" s="177" t="str">
        <f t="shared" ca="1" si="111"/>
        <v/>
      </c>
      <c r="L739" s="171" t="e">
        <f>#VALUE!</f>
        <v>#VALUE!</v>
      </c>
      <c r="M739" s="166" t="str">
        <f ca="1">IFERROR(IF(COUNTIF($B$517:$B738,"&lt;0")&lt;&gt;1,OFFSET($C737,-COUNTIF($B$517:$B738,"&lt;0")+3,0),""),"")</f>
        <v>a173p00000BI50XAAT</v>
      </c>
      <c r="N739" s="166">
        <f ca="1">IFERROR(IF(COUNTA($D$517:D738)=1,0,OFFSET($F737,-COUNTA($D$517:D738)+3,0)),"")</f>
        <v>7</v>
      </c>
      <c r="O739" s="166"/>
      <c r="P739" s="166">
        <f t="shared" ca="1" si="116"/>
        <v>0</v>
      </c>
      <c r="Q739" s="166"/>
      <c r="R739" s="166"/>
      <c r="S739" s="166"/>
      <c r="T739" s="171"/>
    </row>
    <row r="740" spans="1:20">
      <c r="A740" s="166" t="e">
        <f t="shared" ca="1" si="106"/>
        <v>#VALUE!</v>
      </c>
      <c r="B740" s="166">
        <f t="shared" ca="1" si="113"/>
        <v>41</v>
      </c>
      <c r="C740" s="172" t="str">
        <f t="shared" ca="1" si="107"/>
        <v>a173p00000BI511AAD</v>
      </c>
      <c r="D740" s="166"/>
      <c r="E740" s="166">
        <f t="shared" ca="1" si="114"/>
        <v>5</v>
      </c>
      <c r="F740" s="177">
        <f ca="1">IF(COUNTA(D$518:D740)=1,"",OFFSET(F738,-COUNTA(D$518:D740)+3,0))</f>
        <v>7</v>
      </c>
      <c r="G740" s="171" t="str">
        <f t="shared" ca="1" si="108"/>
        <v/>
      </c>
      <c r="H740" s="166">
        <f t="shared" ca="1" si="115"/>
        <v>21</v>
      </c>
      <c r="I740" s="168" t="str">
        <f t="shared" ca="1" si="109"/>
        <v/>
      </c>
      <c r="J740" s="177" t="str">
        <f t="shared" ca="1" si="110"/>
        <v/>
      </c>
      <c r="K740" s="177" t="str">
        <f t="shared" ca="1" si="111"/>
        <v/>
      </c>
      <c r="L740" s="171" t="e">
        <f>#VALUE!</f>
        <v>#VALUE!</v>
      </c>
      <c r="M740" s="166" t="str">
        <f ca="1">IFERROR(IF(COUNTIF($B$517:$B739,"&lt;0")&lt;&gt;1,OFFSET($C738,-COUNTIF($B$517:$B739,"&lt;0")+3,0),""),"")</f>
        <v>a173p00000BI511AAD</v>
      </c>
      <c r="N740" s="166">
        <f ca="1">IFERROR(IF(COUNTA($D$517:D739)=1,0,OFFSET($F738,-COUNTA($D$517:D739)+3,0)),"")</f>
        <v>7</v>
      </c>
      <c r="O740" s="166"/>
      <c r="P740" s="166">
        <f t="shared" ca="1" si="116"/>
        <v>0</v>
      </c>
      <c r="Q740" s="166"/>
      <c r="R740" s="166"/>
      <c r="S740" s="166"/>
      <c r="T740" s="171"/>
    </row>
    <row r="741" spans="1:20">
      <c r="A741" s="166" t="e">
        <f t="shared" ca="1" si="106"/>
        <v>#VALUE!</v>
      </c>
      <c r="B741" s="166">
        <f t="shared" ca="1" si="113"/>
        <v>42</v>
      </c>
      <c r="C741" s="172" t="str">
        <f t="shared" ca="1" si="107"/>
        <v>a173p00000BI51VAAT</v>
      </c>
      <c r="D741" s="166"/>
      <c r="E741" s="166">
        <f t="shared" ca="1" si="114"/>
        <v>6</v>
      </c>
      <c r="F741" s="177">
        <f ca="1">IF(COUNTA(D$518:D741)=1,"",OFFSET(F739,-COUNTA(D$518:D741)+3,0))</f>
        <v>7</v>
      </c>
      <c r="G741" s="171" t="str">
        <f t="shared" ca="1" si="108"/>
        <v/>
      </c>
      <c r="H741" s="166">
        <f t="shared" ca="1" si="115"/>
        <v>21</v>
      </c>
      <c r="I741" s="168" t="str">
        <f t="shared" ca="1" si="109"/>
        <v/>
      </c>
      <c r="J741" s="177" t="str">
        <f t="shared" ca="1" si="110"/>
        <v/>
      </c>
      <c r="K741" s="177" t="str">
        <f t="shared" ca="1" si="111"/>
        <v/>
      </c>
      <c r="L741" s="171" t="e">
        <f>#VALUE!</f>
        <v>#VALUE!</v>
      </c>
      <c r="M741" s="166" t="str">
        <f ca="1">IFERROR(IF(COUNTIF($B$517:$B740,"&lt;0")&lt;&gt;1,OFFSET($C739,-COUNTIF($B$517:$B740,"&lt;0")+3,0),""),"")</f>
        <v>a173p00000BI51VAAT</v>
      </c>
      <c r="N741" s="166">
        <f ca="1">IFERROR(IF(COUNTA($D$517:D740)=1,0,OFFSET($F739,-COUNTA($D$517:D740)+3,0)),"")</f>
        <v>7</v>
      </c>
      <c r="O741" s="166"/>
      <c r="P741" s="166">
        <f t="shared" ca="1" si="116"/>
        <v>0</v>
      </c>
      <c r="Q741" s="166"/>
      <c r="R741" s="166"/>
      <c r="S741" s="166"/>
      <c r="T741" s="171"/>
    </row>
    <row r="742" spans="1:20">
      <c r="A742" s="166" t="e">
        <f t="shared" ca="1" si="106"/>
        <v>#VALUE!</v>
      </c>
      <c r="B742" s="166">
        <f t="shared" ca="1" si="113"/>
        <v>43</v>
      </c>
      <c r="C742" s="172" t="str">
        <f t="shared" ca="1" si="107"/>
        <v>a173p00000BI4z6AAD</v>
      </c>
      <c r="D742" s="166"/>
      <c r="E742" s="166">
        <f t="shared" ca="1" si="114"/>
        <v>1</v>
      </c>
      <c r="F742" s="177">
        <f ca="1">IF(COUNTA(D$518:D742)=1,"",OFFSET(F740,-COUNTA(D$518:D742)+3,0))</f>
        <v>8</v>
      </c>
      <c r="G742" s="171" t="str">
        <f t="shared" ca="1" si="108"/>
        <v/>
      </c>
      <c r="H742" s="166">
        <f t="shared" ca="1" si="115"/>
        <v>23</v>
      </c>
      <c r="I742" s="168" t="str">
        <f t="shared" ca="1" si="109"/>
        <v/>
      </c>
      <c r="J742" s="177" t="str">
        <f t="shared" ca="1" si="110"/>
        <v/>
      </c>
      <c r="K742" s="177">
        <f t="shared" ca="1" si="111"/>
        <v>7800</v>
      </c>
      <c r="L742" s="171" t="e">
        <f>#VALUE!</f>
        <v>#VALUE!</v>
      </c>
      <c r="M742" s="166" t="str">
        <f ca="1">IFERROR(IF(COUNTIF($B$517:$B741,"&lt;0")&lt;&gt;1,OFFSET($C740,-COUNTIF($B$517:$B741,"&lt;0")+3,0),""),"")</f>
        <v>a173p00000BI4z6AAD</v>
      </c>
      <c r="N742" s="166">
        <f ca="1">IFERROR(IF(COUNTA($D$517:D741)=1,0,OFFSET($F740,-COUNTA($D$517:D741)+3,0)),"")</f>
        <v>8</v>
      </c>
      <c r="O742" s="166"/>
      <c r="P742" s="166">
        <f t="shared" ca="1" si="116"/>
        <v>0</v>
      </c>
      <c r="Q742" s="166"/>
      <c r="R742" s="166"/>
      <c r="S742" s="166"/>
      <c r="T742" s="171"/>
    </row>
    <row r="743" spans="1:20">
      <c r="A743" s="166" t="e">
        <f t="shared" ca="1" si="106"/>
        <v>#VALUE!</v>
      </c>
      <c r="B743" s="166">
        <f t="shared" ca="1" si="113"/>
        <v>44</v>
      </c>
      <c r="C743" s="172" t="str">
        <f t="shared" ca="1" si="107"/>
        <v>a173p00000BI4zaAAD</v>
      </c>
      <c r="D743" s="166"/>
      <c r="E743" s="166">
        <f t="shared" ca="1" si="114"/>
        <v>2</v>
      </c>
      <c r="F743" s="177">
        <f ca="1">IF(COUNTA(D$518:D743)=1,"",OFFSET(F741,-COUNTA(D$518:D743)+3,0))</f>
        <v>8</v>
      </c>
      <c r="G743" s="171" t="str">
        <f t="shared" ca="1" si="108"/>
        <v/>
      </c>
      <c r="H743" s="166">
        <f t="shared" ca="1" si="115"/>
        <v>23</v>
      </c>
      <c r="I743" s="168" t="str">
        <f t="shared" ca="1" si="109"/>
        <v/>
      </c>
      <c r="J743" s="177" t="str">
        <f t="shared" ca="1" si="110"/>
        <v/>
      </c>
      <c r="K743" s="177">
        <f t="shared" ca="1" si="111"/>
        <v>8400</v>
      </c>
      <c r="L743" s="171" t="e">
        <f>#VALUE!</f>
        <v>#VALUE!</v>
      </c>
      <c r="M743" s="166" t="str">
        <f ca="1">IFERROR(IF(COUNTIF($B$517:$B742,"&lt;0")&lt;&gt;1,OFFSET($C741,-COUNTIF($B$517:$B742,"&lt;0")+3,0),""),"")</f>
        <v>a173p00000BI4zaAAD</v>
      </c>
      <c r="N743" s="166">
        <f ca="1">IFERROR(IF(COUNTA($D$517:D742)=1,0,OFFSET($F741,-COUNTA($D$517:D742)+3,0)),"")</f>
        <v>8</v>
      </c>
      <c r="O743" s="166"/>
      <c r="P743" s="166">
        <f t="shared" ca="1" si="116"/>
        <v>0</v>
      </c>
      <c r="Q743" s="166"/>
      <c r="R743" s="166"/>
      <c r="S743" s="166"/>
      <c r="T743" s="171"/>
    </row>
    <row r="744" spans="1:20">
      <c r="A744" s="166" t="e">
        <f t="shared" ca="1" si="106"/>
        <v>#VALUE!</v>
      </c>
      <c r="B744" s="166">
        <f t="shared" ca="1" si="113"/>
        <v>45</v>
      </c>
      <c r="C744" s="172" t="str">
        <f t="shared" ca="1" si="107"/>
        <v>a173p00000BI504AAD</v>
      </c>
      <c r="D744" s="166"/>
      <c r="E744" s="166">
        <f t="shared" ca="1" si="114"/>
        <v>3</v>
      </c>
      <c r="F744" s="177">
        <f ca="1">IF(COUNTA(D$518:D744)=1,"",OFFSET(F742,-COUNTA(D$518:D744)+3,0))</f>
        <v>8</v>
      </c>
      <c r="G744" s="171" t="str">
        <f t="shared" ca="1" si="108"/>
        <v/>
      </c>
      <c r="H744" s="166">
        <f t="shared" ca="1" si="115"/>
        <v>23</v>
      </c>
      <c r="I744" s="168" t="str">
        <f t="shared" ca="1" si="109"/>
        <v/>
      </c>
      <c r="J744" s="177" t="str">
        <f t="shared" ca="1" si="110"/>
        <v/>
      </c>
      <c r="K744" s="177">
        <f t="shared" ca="1" si="111"/>
        <v>9000</v>
      </c>
      <c r="L744" s="171" t="e">
        <f>#VALUE!</f>
        <v>#VALUE!</v>
      </c>
      <c r="M744" s="166" t="str">
        <f ca="1">IFERROR(IF(COUNTIF($B$517:$B743,"&lt;0")&lt;&gt;1,OFFSET($C742,-COUNTIF($B$517:$B743,"&lt;0")+3,0),""),"")</f>
        <v>a173p00000BI504AAD</v>
      </c>
      <c r="N744" s="166">
        <f ca="1">IFERROR(IF(COUNTA($D$517:D743)=1,0,OFFSET($F742,-COUNTA($D$517:D743)+3,0)),"")</f>
        <v>8</v>
      </c>
      <c r="O744" s="166"/>
      <c r="P744" s="166">
        <f t="shared" ca="1" si="116"/>
        <v>0</v>
      </c>
      <c r="Q744" s="166"/>
      <c r="R744" s="166"/>
      <c r="S744" s="166"/>
      <c r="T744" s="171"/>
    </row>
    <row r="745" spans="1:20">
      <c r="A745" s="166" t="e">
        <f t="shared" ca="1" si="106"/>
        <v>#VALUE!</v>
      </c>
      <c r="B745" s="166">
        <f t="shared" ca="1" si="113"/>
        <v>46</v>
      </c>
      <c r="C745" s="172" t="str">
        <f t="shared" ca="1" si="107"/>
        <v>a173p00000BI50YAAT</v>
      </c>
      <c r="D745" s="166"/>
      <c r="E745" s="166">
        <f t="shared" ca="1" si="114"/>
        <v>4</v>
      </c>
      <c r="F745" s="177">
        <f ca="1">IF(COUNTA(D$518:D745)=1,"",OFFSET(F743,-COUNTA(D$518:D745)+3,0))</f>
        <v>8</v>
      </c>
      <c r="G745" s="171" t="str">
        <f t="shared" ca="1" si="108"/>
        <v/>
      </c>
      <c r="H745" s="166">
        <f t="shared" ca="1" si="115"/>
        <v>23</v>
      </c>
      <c r="I745" s="168" t="str">
        <f t="shared" ca="1" si="109"/>
        <v/>
      </c>
      <c r="J745" s="177" t="str">
        <f t="shared" ca="1" si="110"/>
        <v/>
      </c>
      <c r="K745" s="177" t="str">
        <f t="shared" ca="1" si="111"/>
        <v/>
      </c>
      <c r="L745" s="171" t="e">
        <f>#VALUE!</f>
        <v>#VALUE!</v>
      </c>
      <c r="M745" s="166" t="str">
        <f ca="1">IFERROR(IF(COUNTIF($B$517:$B744,"&lt;0")&lt;&gt;1,OFFSET($C743,-COUNTIF($B$517:$B744,"&lt;0")+3,0),""),"")</f>
        <v>a173p00000BI50YAAT</v>
      </c>
      <c r="N745" s="166">
        <f ca="1">IFERROR(IF(COUNTA($D$517:D744)=1,0,OFFSET($F743,-COUNTA($D$517:D744)+3,0)),"")</f>
        <v>8</v>
      </c>
      <c r="O745" s="166"/>
      <c r="P745" s="166">
        <f t="shared" ca="1" si="116"/>
        <v>0</v>
      </c>
      <c r="Q745" s="166"/>
      <c r="R745" s="166"/>
      <c r="S745" s="166"/>
      <c r="T745" s="171"/>
    </row>
    <row r="746" spans="1:20">
      <c r="A746" s="166" t="e">
        <f t="shared" ca="1" si="106"/>
        <v>#VALUE!</v>
      </c>
      <c r="B746" s="166">
        <f t="shared" ca="1" si="113"/>
        <v>47</v>
      </c>
      <c r="C746" s="172" t="str">
        <f t="shared" ca="1" si="107"/>
        <v>a173p00000BI512AAD</v>
      </c>
      <c r="D746" s="166"/>
      <c r="E746" s="166">
        <f t="shared" ca="1" si="114"/>
        <v>5</v>
      </c>
      <c r="F746" s="177">
        <f ca="1">IF(COUNTA(D$518:D746)=1,"",OFFSET(F744,-COUNTA(D$518:D746)+3,0))</f>
        <v>8</v>
      </c>
      <c r="G746" s="171" t="str">
        <f t="shared" ca="1" si="108"/>
        <v/>
      </c>
      <c r="H746" s="166">
        <f t="shared" ca="1" si="115"/>
        <v>23</v>
      </c>
      <c r="I746" s="168" t="str">
        <f t="shared" ca="1" si="109"/>
        <v/>
      </c>
      <c r="J746" s="177" t="str">
        <f t="shared" ca="1" si="110"/>
        <v/>
      </c>
      <c r="K746" s="177" t="str">
        <f t="shared" ca="1" si="111"/>
        <v/>
      </c>
      <c r="L746" s="171" t="e">
        <f>#VALUE!</f>
        <v>#VALUE!</v>
      </c>
      <c r="M746" s="166" t="str">
        <f ca="1">IFERROR(IF(COUNTIF($B$517:$B745,"&lt;0")&lt;&gt;1,OFFSET($C744,-COUNTIF($B$517:$B745,"&lt;0")+3,0),""),"")</f>
        <v>a173p00000BI512AAD</v>
      </c>
      <c r="N746" s="166">
        <f ca="1">IFERROR(IF(COUNTA($D$517:D745)=1,0,OFFSET($F744,-COUNTA($D$517:D745)+3,0)),"")</f>
        <v>8</v>
      </c>
      <c r="O746" s="166"/>
      <c r="P746" s="166">
        <f t="shared" ca="1" si="116"/>
        <v>0</v>
      </c>
      <c r="Q746" s="166"/>
      <c r="R746" s="166"/>
      <c r="S746" s="166"/>
      <c r="T746" s="171"/>
    </row>
    <row r="747" spans="1:20">
      <c r="A747" s="166" t="e">
        <f t="shared" ca="1" si="106"/>
        <v>#VALUE!</v>
      </c>
      <c r="B747" s="166">
        <f t="shared" ca="1" si="113"/>
        <v>48</v>
      </c>
      <c r="C747" s="172" t="str">
        <f t="shared" ca="1" si="107"/>
        <v>a173p00000BI51WAAT</v>
      </c>
      <c r="D747" s="166"/>
      <c r="E747" s="166">
        <f t="shared" ca="1" si="114"/>
        <v>6</v>
      </c>
      <c r="F747" s="177">
        <f ca="1">IF(COUNTA(D$518:D747)=1,"",OFFSET(F745,-COUNTA(D$518:D747)+3,0))</f>
        <v>8</v>
      </c>
      <c r="G747" s="171" t="str">
        <f t="shared" ca="1" si="108"/>
        <v/>
      </c>
      <c r="H747" s="166">
        <f t="shared" ca="1" si="115"/>
        <v>23</v>
      </c>
      <c r="I747" s="168" t="str">
        <f t="shared" ca="1" si="109"/>
        <v/>
      </c>
      <c r="J747" s="177" t="str">
        <f t="shared" ca="1" si="110"/>
        <v/>
      </c>
      <c r="K747" s="177" t="str">
        <f t="shared" ca="1" si="111"/>
        <v/>
      </c>
      <c r="L747" s="171" t="e">
        <f>#VALUE!</f>
        <v>#VALUE!</v>
      </c>
      <c r="M747" s="166" t="str">
        <f ca="1">IFERROR(IF(COUNTIF($B$517:$B746,"&lt;0")&lt;&gt;1,OFFSET($C745,-COUNTIF($B$517:$B746,"&lt;0")+3,0),""),"")</f>
        <v>a173p00000BI51WAAT</v>
      </c>
      <c r="N747" s="166">
        <f ca="1">IFERROR(IF(COUNTA($D$517:D746)=1,0,OFFSET($F745,-COUNTA($D$517:D746)+3,0)),"")</f>
        <v>8</v>
      </c>
      <c r="O747" s="166"/>
      <c r="P747" s="166">
        <f t="shared" ca="1" si="116"/>
        <v>0</v>
      </c>
      <c r="Q747" s="166"/>
      <c r="R747" s="166"/>
      <c r="S747" s="166"/>
      <c r="T747" s="171"/>
    </row>
    <row r="748" spans="1:20">
      <c r="A748" s="166" t="e">
        <f t="shared" ca="1" si="106"/>
        <v>#VALUE!</v>
      </c>
      <c r="B748" s="166">
        <f t="shared" ca="1" si="113"/>
        <v>49</v>
      </c>
      <c r="C748" s="172" t="str">
        <f t="shared" ca="1" si="107"/>
        <v>a173p00000BI4z7AAD</v>
      </c>
      <c r="D748" s="166"/>
      <c r="E748" s="166">
        <f t="shared" ca="1" si="114"/>
        <v>1</v>
      </c>
      <c r="F748" s="177">
        <f ca="1">IF(COUNTA(D$518:D748)=1,"",OFFSET(F746,-COUNTA(D$518:D748)+3,0))</f>
        <v>9</v>
      </c>
      <c r="G748" s="171" t="str">
        <f t="shared" ca="1" si="108"/>
        <v/>
      </c>
      <c r="H748" s="166">
        <f t="shared" ca="1" si="115"/>
        <v>25</v>
      </c>
      <c r="I748" s="168">
        <f t="shared" ca="1" si="109"/>
        <v>90</v>
      </c>
      <c r="J748" s="177">
        <f t="shared" ca="1" si="110"/>
        <v>7800</v>
      </c>
      <c r="K748" s="177">
        <f t="shared" ca="1" si="111"/>
        <v>7020</v>
      </c>
      <c r="L748" s="171" t="e">
        <f>#VALUE!</f>
        <v>#VALUE!</v>
      </c>
      <c r="M748" s="166" t="str">
        <f ca="1">IFERROR(IF(COUNTIF($B$517:$B747,"&lt;0")&lt;&gt;1,OFFSET($C746,-COUNTIF($B$517:$B747,"&lt;0")+3,0),""),"")</f>
        <v>a173p00000BI4z7AAD</v>
      </c>
      <c r="N748" s="166">
        <f ca="1">IFERROR(IF(COUNTA($D$517:D747)=1,0,OFFSET($F746,-COUNTA($D$517:D747)+3,0)),"")</f>
        <v>9</v>
      </c>
      <c r="O748" s="166"/>
      <c r="P748" s="166">
        <f t="shared" ca="1" si="116"/>
        <v>0</v>
      </c>
      <c r="Q748" s="166"/>
      <c r="R748" s="166"/>
      <c r="S748" s="166"/>
      <c r="T748" s="171"/>
    </row>
    <row r="749" spans="1:20">
      <c r="A749" s="166" t="e">
        <f t="shared" ca="1" si="106"/>
        <v>#VALUE!</v>
      </c>
      <c r="B749" s="166">
        <f t="shared" ca="1" si="113"/>
        <v>50</v>
      </c>
      <c r="C749" s="172" t="str">
        <f t="shared" ca="1" si="107"/>
        <v>a173p00000BI4zbAAD</v>
      </c>
      <c r="D749" s="166"/>
      <c r="E749" s="166">
        <f t="shared" ca="1" si="114"/>
        <v>2</v>
      </c>
      <c r="F749" s="177">
        <f ca="1">IF(COUNTA(D$518:D749)=1,"",OFFSET(F747,-COUNTA(D$518:D749)+3,0))</f>
        <v>9</v>
      </c>
      <c r="G749" s="171" t="str">
        <f t="shared" ca="1" si="108"/>
        <v/>
      </c>
      <c r="H749" s="166">
        <f t="shared" ca="1" si="115"/>
        <v>25</v>
      </c>
      <c r="I749" s="168">
        <f t="shared" ca="1" si="109"/>
        <v>90</v>
      </c>
      <c r="J749" s="177">
        <f t="shared" ca="1" si="110"/>
        <v>8400</v>
      </c>
      <c r="K749" s="177">
        <f t="shared" ca="1" si="111"/>
        <v>7560</v>
      </c>
      <c r="L749" s="171" t="e">
        <f>#VALUE!</f>
        <v>#VALUE!</v>
      </c>
      <c r="M749" s="166" t="str">
        <f ca="1">IFERROR(IF(COUNTIF($B$517:$B748,"&lt;0")&lt;&gt;1,OFFSET($C747,-COUNTIF($B$517:$B748,"&lt;0")+3,0),""),"")</f>
        <v>a173p00000BI4zbAAD</v>
      </c>
      <c r="N749" s="166">
        <f ca="1">IFERROR(IF(COUNTA($D$517:D748)=1,0,OFFSET($F747,-COUNTA($D$517:D748)+3,0)),"")</f>
        <v>9</v>
      </c>
      <c r="O749" s="166"/>
      <c r="P749" s="166">
        <f t="shared" ca="1" si="116"/>
        <v>0</v>
      </c>
      <c r="Q749" s="166"/>
      <c r="R749" s="166"/>
      <c r="S749" s="166"/>
      <c r="T749" s="171"/>
    </row>
    <row r="750" spans="1:20">
      <c r="A750" s="166" t="e">
        <f t="shared" ca="1" si="106"/>
        <v>#VALUE!</v>
      </c>
      <c r="B750" s="166">
        <f t="shared" ca="1" si="113"/>
        <v>51</v>
      </c>
      <c r="C750" s="172" t="str">
        <f t="shared" ca="1" si="107"/>
        <v>a173p00000BI505AAD</v>
      </c>
      <c r="D750" s="166"/>
      <c r="E750" s="166">
        <f t="shared" ca="1" si="114"/>
        <v>3</v>
      </c>
      <c r="F750" s="177">
        <f ca="1">IF(COUNTA(D$518:D750)=1,"",OFFSET(F748,-COUNTA(D$518:D750)+3,0))</f>
        <v>9</v>
      </c>
      <c r="G750" s="171" t="str">
        <f t="shared" ca="1" si="108"/>
        <v/>
      </c>
      <c r="H750" s="166">
        <f t="shared" ca="1" si="115"/>
        <v>25</v>
      </c>
      <c r="I750" s="168">
        <f t="shared" ca="1" si="109"/>
        <v>90</v>
      </c>
      <c r="J750" s="177">
        <f t="shared" ca="1" si="110"/>
        <v>9000</v>
      </c>
      <c r="K750" s="177">
        <f t="shared" ca="1" si="111"/>
        <v>8100</v>
      </c>
      <c r="L750" s="171" t="e">
        <f>#VALUE!</f>
        <v>#VALUE!</v>
      </c>
      <c r="M750" s="166" t="str">
        <f ca="1">IFERROR(IF(COUNTIF($B$517:$B749,"&lt;0")&lt;&gt;1,OFFSET($C748,-COUNTIF($B$517:$B749,"&lt;0")+3,0),""),"")</f>
        <v>a173p00000BI505AAD</v>
      </c>
      <c r="N750" s="166">
        <f ca="1">IFERROR(IF(COUNTA($D$517:D749)=1,0,OFFSET($F748,-COUNTA($D$517:D749)+3,0)),"")</f>
        <v>9</v>
      </c>
      <c r="O750" s="166"/>
      <c r="P750" s="166">
        <f t="shared" ca="1" si="116"/>
        <v>0</v>
      </c>
      <c r="Q750" s="166"/>
      <c r="R750" s="166"/>
      <c r="S750" s="166"/>
      <c r="T750" s="171"/>
    </row>
    <row r="751" spans="1:20">
      <c r="A751" s="166" t="e">
        <f t="shared" ca="1" si="106"/>
        <v>#VALUE!</v>
      </c>
      <c r="B751" s="166">
        <f t="shared" ca="1" si="113"/>
        <v>52</v>
      </c>
      <c r="C751" s="172" t="str">
        <f t="shared" ca="1" si="107"/>
        <v>a173p00000BI50ZAAT</v>
      </c>
      <c r="D751" s="166"/>
      <c r="E751" s="166">
        <f t="shared" ca="1" si="114"/>
        <v>4</v>
      </c>
      <c r="F751" s="177">
        <f ca="1">IF(COUNTA(D$518:D751)=1,"",OFFSET(F749,-COUNTA(D$518:D751)+3,0))</f>
        <v>9</v>
      </c>
      <c r="G751" s="171" t="str">
        <f t="shared" ca="1" si="108"/>
        <v/>
      </c>
      <c r="H751" s="166">
        <f t="shared" ca="1" si="115"/>
        <v>25</v>
      </c>
      <c r="I751" s="168" t="str">
        <f t="shared" ca="1" si="109"/>
        <v/>
      </c>
      <c r="J751" s="177" t="str">
        <f t="shared" ca="1" si="110"/>
        <v/>
      </c>
      <c r="K751" s="177" t="str">
        <f t="shared" ca="1" si="111"/>
        <v/>
      </c>
      <c r="L751" s="171" t="e">
        <f>#VALUE!</f>
        <v>#VALUE!</v>
      </c>
      <c r="M751" s="166" t="str">
        <f ca="1">IFERROR(IF(COUNTIF($B$517:$B750,"&lt;0")&lt;&gt;1,OFFSET($C749,-COUNTIF($B$517:$B750,"&lt;0")+3,0),""),"")</f>
        <v>a173p00000BI50ZAAT</v>
      </c>
      <c r="N751" s="166">
        <f ca="1">IFERROR(IF(COUNTA($D$517:D750)=1,0,OFFSET($F749,-COUNTA($D$517:D750)+3,0)),"")</f>
        <v>9</v>
      </c>
      <c r="O751" s="166"/>
      <c r="P751" s="166">
        <f t="shared" ca="1" si="116"/>
        <v>0</v>
      </c>
      <c r="Q751" s="166"/>
      <c r="R751" s="166"/>
      <c r="S751" s="166"/>
      <c r="T751" s="171"/>
    </row>
    <row r="752" spans="1:20">
      <c r="A752" s="166" t="e">
        <f t="shared" ca="1" si="106"/>
        <v>#VALUE!</v>
      </c>
      <c r="B752" s="166">
        <f t="shared" ca="1" si="113"/>
        <v>53</v>
      </c>
      <c r="C752" s="172" t="str">
        <f t="shared" ca="1" si="107"/>
        <v>a173p00000BI513AAD</v>
      </c>
      <c r="D752" s="166"/>
      <c r="E752" s="166">
        <f t="shared" ca="1" si="114"/>
        <v>5</v>
      </c>
      <c r="F752" s="177">
        <f ca="1">IF(COUNTA(D$518:D752)=1,"",OFFSET(F750,-COUNTA(D$518:D752)+3,0))</f>
        <v>9</v>
      </c>
      <c r="G752" s="171" t="str">
        <f t="shared" ca="1" si="108"/>
        <v/>
      </c>
      <c r="H752" s="166">
        <f t="shared" ca="1" si="115"/>
        <v>25</v>
      </c>
      <c r="I752" s="168" t="str">
        <f t="shared" ca="1" si="109"/>
        <v/>
      </c>
      <c r="J752" s="177" t="str">
        <f t="shared" ca="1" si="110"/>
        <v/>
      </c>
      <c r="K752" s="177" t="str">
        <f t="shared" ca="1" si="111"/>
        <v/>
      </c>
      <c r="L752" s="171" t="e">
        <f>#VALUE!</f>
        <v>#VALUE!</v>
      </c>
      <c r="M752" s="166" t="str">
        <f ca="1">IFERROR(IF(COUNTIF($B$517:$B751,"&lt;0")&lt;&gt;1,OFFSET($C750,-COUNTIF($B$517:$B751,"&lt;0")+3,0),""),"")</f>
        <v>a173p00000BI513AAD</v>
      </c>
      <c r="N752" s="166">
        <f ca="1">IFERROR(IF(COUNTA($D$517:D751)=1,0,OFFSET($F750,-COUNTA($D$517:D751)+3,0)),"")</f>
        <v>9</v>
      </c>
      <c r="O752" s="166"/>
      <c r="P752" s="166">
        <f t="shared" ca="1" si="116"/>
        <v>0</v>
      </c>
      <c r="Q752" s="166"/>
      <c r="R752" s="166"/>
      <c r="S752" s="166"/>
      <c r="T752" s="171"/>
    </row>
    <row r="753" spans="1:20">
      <c r="A753" s="166" t="e">
        <f t="shared" ca="1" si="106"/>
        <v>#VALUE!</v>
      </c>
      <c r="B753" s="166">
        <f t="shared" ca="1" si="113"/>
        <v>54</v>
      </c>
      <c r="C753" s="172" t="str">
        <f t="shared" ca="1" si="107"/>
        <v>a173p00000BI51XAAT</v>
      </c>
      <c r="D753" s="166"/>
      <c r="E753" s="166">
        <f t="shared" ca="1" si="114"/>
        <v>6</v>
      </c>
      <c r="F753" s="177">
        <f ca="1">IF(COUNTA(D$518:D753)=1,"",OFFSET(F751,-COUNTA(D$518:D753)+3,0))</f>
        <v>9</v>
      </c>
      <c r="G753" s="171" t="str">
        <f t="shared" ca="1" si="108"/>
        <v/>
      </c>
      <c r="H753" s="166">
        <f t="shared" ca="1" si="115"/>
        <v>25</v>
      </c>
      <c r="I753" s="168" t="str">
        <f t="shared" ca="1" si="109"/>
        <v/>
      </c>
      <c r="J753" s="177" t="str">
        <f t="shared" ca="1" si="110"/>
        <v/>
      </c>
      <c r="K753" s="177" t="str">
        <f t="shared" ca="1" si="111"/>
        <v/>
      </c>
      <c r="L753" s="171" t="e">
        <f>#VALUE!</f>
        <v>#VALUE!</v>
      </c>
      <c r="M753" s="166" t="str">
        <f ca="1">IFERROR(IF(COUNTIF($B$517:$B752,"&lt;0")&lt;&gt;1,OFFSET($C751,-COUNTIF($B$517:$B752,"&lt;0")+3,0),""),"")</f>
        <v>a173p00000BI51XAAT</v>
      </c>
      <c r="N753" s="166">
        <f ca="1">IFERROR(IF(COUNTA($D$517:D752)=1,0,OFFSET($F751,-COUNTA($D$517:D752)+3,0)),"")</f>
        <v>9</v>
      </c>
      <c r="O753" s="166"/>
      <c r="P753" s="166">
        <f t="shared" ca="1" si="116"/>
        <v>0</v>
      </c>
      <c r="Q753" s="166"/>
      <c r="R753" s="166"/>
      <c r="S753" s="166"/>
      <c r="T753" s="171"/>
    </row>
    <row r="754" spans="1:20">
      <c r="A754" s="166" t="e">
        <f t="shared" ca="1" si="106"/>
        <v>#VALUE!</v>
      </c>
      <c r="B754" s="166">
        <f t="shared" ca="1" si="113"/>
        <v>55</v>
      </c>
      <c r="C754" s="172" t="str">
        <f t="shared" ca="1" si="107"/>
        <v>a173p00000BI4z8AAD</v>
      </c>
      <c r="D754" s="166"/>
      <c r="E754" s="166">
        <f t="shared" ca="1" si="114"/>
        <v>1</v>
      </c>
      <c r="F754" s="177">
        <f ca="1">IF(COUNTA(D$518:D754)=1,"",OFFSET(F752,-COUNTA(D$518:D754)+3,0))</f>
        <v>10</v>
      </c>
      <c r="G754" s="171" t="str">
        <f t="shared" ca="1" si="108"/>
        <v/>
      </c>
      <c r="H754" s="166">
        <f t="shared" ca="1" si="115"/>
        <v>27</v>
      </c>
      <c r="I754" s="168">
        <f t="shared" ca="1" si="109"/>
        <v>50</v>
      </c>
      <c r="J754" s="177">
        <f t="shared" ca="1" si="110"/>
        <v>6600</v>
      </c>
      <c r="K754" s="177">
        <f t="shared" ca="1" si="111"/>
        <v>3300</v>
      </c>
      <c r="L754" s="171" t="e">
        <f>#VALUE!</f>
        <v>#VALUE!</v>
      </c>
      <c r="M754" s="166" t="str">
        <f ca="1">IFERROR(IF(COUNTIF($B$517:$B753,"&lt;0")&lt;&gt;1,OFFSET($C752,-COUNTIF($B$517:$B753,"&lt;0")+3,0),""),"")</f>
        <v>a173p00000BI4z8AAD</v>
      </c>
      <c r="N754" s="166">
        <f ca="1">IFERROR(IF(COUNTA($D$517:D753)=1,0,OFFSET($F752,-COUNTA($D$517:D753)+3,0)),"")</f>
        <v>10</v>
      </c>
      <c r="O754" s="166"/>
      <c r="P754" s="166">
        <f t="shared" ca="1" si="116"/>
        <v>0</v>
      </c>
      <c r="Q754" s="166"/>
      <c r="R754" s="166"/>
      <c r="S754" s="166"/>
      <c r="T754" s="171"/>
    </row>
    <row r="755" spans="1:20">
      <c r="A755" s="166" t="e">
        <f t="shared" ca="1" si="106"/>
        <v>#VALUE!</v>
      </c>
      <c r="B755" s="166">
        <f t="shared" ca="1" si="113"/>
        <v>56</v>
      </c>
      <c r="C755" s="172" t="str">
        <f t="shared" ca="1" si="107"/>
        <v>a173p00000BI4zcAAD</v>
      </c>
      <c r="D755" s="166"/>
      <c r="E755" s="166">
        <f t="shared" ca="1" si="114"/>
        <v>2</v>
      </c>
      <c r="F755" s="177">
        <f ca="1">IF(COUNTA(D$518:D755)=1,"",OFFSET(F753,-COUNTA(D$518:D755)+3,0))</f>
        <v>10</v>
      </c>
      <c r="G755" s="171" t="str">
        <f t="shared" ca="1" si="108"/>
        <v/>
      </c>
      <c r="H755" s="166">
        <f t="shared" ca="1" si="115"/>
        <v>27</v>
      </c>
      <c r="I755" s="168">
        <f t="shared" ca="1" si="109"/>
        <v>60</v>
      </c>
      <c r="J755" s="177">
        <f t="shared" ca="1" si="110"/>
        <v>7800</v>
      </c>
      <c r="K755" s="177">
        <f t="shared" ca="1" si="111"/>
        <v>4680</v>
      </c>
      <c r="L755" s="171" t="e">
        <f>#VALUE!</f>
        <v>#VALUE!</v>
      </c>
      <c r="M755" s="166" t="str">
        <f ca="1">IFERROR(IF(COUNTIF($B$517:$B754,"&lt;0")&lt;&gt;1,OFFSET($C753,-COUNTIF($B$517:$B754,"&lt;0")+3,0),""),"")</f>
        <v>a173p00000BI4zcAAD</v>
      </c>
      <c r="N755" s="166">
        <f ca="1">IFERROR(IF(COUNTA($D$517:D754)=1,0,OFFSET($F753,-COUNTA($D$517:D754)+3,0)),"")</f>
        <v>10</v>
      </c>
      <c r="O755" s="166"/>
      <c r="P755" s="166">
        <f t="shared" ca="1" si="116"/>
        <v>0</v>
      </c>
      <c r="Q755" s="166"/>
      <c r="R755" s="166"/>
      <c r="S755" s="166"/>
      <c r="T755" s="171"/>
    </row>
    <row r="756" spans="1:20">
      <c r="A756" s="166" t="e">
        <f t="shared" ca="1" si="106"/>
        <v>#VALUE!</v>
      </c>
      <c r="B756" s="166">
        <f t="shared" ca="1" si="113"/>
        <v>57</v>
      </c>
      <c r="C756" s="172" t="str">
        <f t="shared" ca="1" si="107"/>
        <v>a173p00000BI506AAD</v>
      </c>
      <c r="D756" s="166"/>
      <c r="E756" s="166">
        <f t="shared" ca="1" si="114"/>
        <v>3</v>
      </c>
      <c r="F756" s="177">
        <f ca="1">IF(COUNTA(D$518:D756)=1,"",OFFSET(F754,-COUNTA(D$518:D756)+3,0))</f>
        <v>10</v>
      </c>
      <c r="G756" s="171" t="str">
        <f t="shared" ca="1" si="108"/>
        <v/>
      </c>
      <c r="H756" s="166">
        <f t="shared" ca="1" si="115"/>
        <v>27</v>
      </c>
      <c r="I756" s="168">
        <f t="shared" ca="1" si="109"/>
        <v>70</v>
      </c>
      <c r="J756" s="177">
        <f t="shared" ca="1" si="110"/>
        <v>9000</v>
      </c>
      <c r="K756" s="177">
        <f t="shared" ca="1" si="111"/>
        <v>6300</v>
      </c>
      <c r="L756" s="171" t="e">
        <f>#VALUE!</f>
        <v>#VALUE!</v>
      </c>
      <c r="M756" s="166" t="str">
        <f ca="1">IFERROR(IF(COUNTIF($B$517:$B755,"&lt;0")&lt;&gt;1,OFFSET($C754,-COUNTIF($B$517:$B755,"&lt;0")+3,0),""),"")</f>
        <v>a173p00000BI506AAD</v>
      </c>
      <c r="N756" s="166">
        <f ca="1">IFERROR(IF(COUNTA($D$517:D755)=1,0,OFFSET($F754,-COUNTA($D$517:D755)+3,0)),"")</f>
        <v>10</v>
      </c>
      <c r="O756" s="166"/>
      <c r="P756" s="166">
        <f t="shared" ca="1" si="116"/>
        <v>0</v>
      </c>
      <c r="Q756" s="166"/>
      <c r="R756" s="166"/>
      <c r="S756" s="166"/>
      <c r="T756" s="171"/>
    </row>
    <row r="757" spans="1:20">
      <c r="A757" s="166" t="e">
        <f t="shared" ca="1" si="106"/>
        <v>#VALUE!</v>
      </c>
      <c r="B757" s="166">
        <f t="shared" ca="1" si="113"/>
        <v>58</v>
      </c>
      <c r="C757" s="172" t="str">
        <f t="shared" ca="1" si="107"/>
        <v>a173p00000BI50aAAD</v>
      </c>
      <c r="D757" s="166"/>
      <c r="E757" s="166">
        <f t="shared" ca="1" si="114"/>
        <v>4</v>
      </c>
      <c r="F757" s="177">
        <f ca="1">IF(COUNTA(D$518:D757)=1,"",OFFSET(F755,-COUNTA(D$518:D757)+3,0))</f>
        <v>10</v>
      </c>
      <c r="G757" s="171" t="str">
        <f t="shared" ca="1" si="108"/>
        <v/>
      </c>
      <c r="H757" s="166">
        <f t="shared" ca="1" si="115"/>
        <v>27</v>
      </c>
      <c r="I757" s="168" t="str">
        <f t="shared" ca="1" si="109"/>
        <v/>
      </c>
      <c r="J757" s="177" t="str">
        <f t="shared" ca="1" si="110"/>
        <v/>
      </c>
      <c r="K757" s="177" t="str">
        <f t="shared" ca="1" si="111"/>
        <v/>
      </c>
      <c r="L757" s="171" t="e">
        <f>#VALUE!</f>
        <v>#VALUE!</v>
      </c>
      <c r="M757" s="166" t="str">
        <f ca="1">IFERROR(IF(COUNTIF($B$517:$B756,"&lt;0")&lt;&gt;1,OFFSET($C755,-COUNTIF($B$517:$B756,"&lt;0")+3,0),""),"")</f>
        <v>a173p00000BI50aAAD</v>
      </c>
      <c r="N757" s="166">
        <f ca="1">IFERROR(IF(COUNTA($D$517:D756)=1,0,OFFSET($F755,-COUNTA($D$517:D756)+3,0)),"")</f>
        <v>10</v>
      </c>
      <c r="O757" s="166"/>
      <c r="P757" s="166">
        <f t="shared" ca="1" si="116"/>
        <v>0</v>
      </c>
      <c r="Q757" s="166"/>
      <c r="R757" s="166"/>
      <c r="S757" s="166"/>
      <c r="T757" s="171"/>
    </row>
    <row r="758" spans="1:20">
      <c r="A758" s="166" t="e">
        <f t="shared" ca="1" si="106"/>
        <v>#VALUE!</v>
      </c>
      <c r="B758" s="166">
        <f t="shared" ca="1" si="113"/>
        <v>59</v>
      </c>
      <c r="C758" s="172" t="str">
        <f t="shared" ca="1" si="107"/>
        <v>a173p00000BI514AAD</v>
      </c>
      <c r="D758" s="166"/>
      <c r="E758" s="166">
        <f t="shared" ca="1" si="114"/>
        <v>5</v>
      </c>
      <c r="F758" s="177">
        <f ca="1">IF(COUNTA(D$518:D758)=1,"",OFFSET(F756,-COUNTA(D$518:D758)+3,0))</f>
        <v>10</v>
      </c>
      <c r="G758" s="171" t="str">
        <f t="shared" ca="1" si="108"/>
        <v/>
      </c>
      <c r="H758" s="166">
        <f t="shared" ca="1" si="115"/>
        <v>27</v>
      </c>
      <c r="I758" s="168" t="str">
        <f t="shared" ca="1" si="109"/>
        <v/>
      </c>
      <c r="J758" s="177" t="str">
        <f t="shared" ca="1" si="110"/>
        <v/>
      </c>
      <c r="K758" s="177" t="str">
        <f t="shared" ca="1" si="111"/>
        <v/>
      </c>
      <c r="L758" s="171" t="e">
        <f>#VALUE!</f>
        <v>#VALUE!</v>
      </c>
      <c r="M758" s="166" t="str">
        <f ca="1">IFERROR(IF(COUNTIF($B$517:$B757,"&lt;0")&lt;&gt;1,OFFSET($C756,-COUNTIF($B$517:$B757,"&lt;0")+3,0),""),"")</f>
        <v>a173p00000BI514AAD</v>
      </c>
      <c r="N758" s="166">
        <f ca="1">IFERROR(IF(COUNTA($D$517:D757)=1,0,OFFSET($F756,-COUNTA($D$517:D757)+3,0)),"")</f>
        <v>10</v>
      </c>
      <c r="O758" s="166"/>
      <c r="P758" s="166">
        <f t="shared" ca="1" si="116"/>
        <v>0</v>
      </c>
      <c r="Q758" s="166"/>
      <c r="R758" s="166"/>
      <c r="S758" s="166"/>
      <c r="T758" s="171"/>
    </row>
    <row r="759" spans="1:20">
      <c r="A759" s="166" t="e">
        <f t="shared" ca="1" si="106"/>
        <v>#VALUE!</v>
      </c>
      <c r="B759" s="166">
        <f t="shared" ca="1" si="113"/>
        <v>60</v>
      </c>
      <c r="C759" s="172" t="str">
        <f t="shared" ca="1" si="107"/>
        <v>a173p00000BI51YAAT</v>
      </c>
      <c r="D759" s="166"/>
      <c r="E759" s="166">
        <f t="shared" ca="1" si="114"/>
        <v>6</v>
      </c>
      <c r="F759" s="177">
        <f ca="1">IF(COUNTA(D$518:D759)=1,"",OFFSET(F757,-COUNTA(D$518:D759)+3,0))</f>
        <v>10</v>
      </c>
      <c r="G759" s="171" t="str">
        <f t="shared" ca="1" si="108"/>
        <v/>
      </c>
      <c r="H759" s="166">
        <f t="shared" ca="1" si="115"/>
        <v>27</v>
      </c>
      <c r="I759" s="168" t="str">
        <f t="shared" ca="1" si="109"/>
        <v/>
      </c>
      <c r="J759" s="177" t="str">
        <f t="shared" ca="1" si="110"/>
        <v/>
      </c>
      <c r="K759" s="177" t="str">
        <f t="shared" ca="1" si="111"/>
        <v/>
      </c>
      <c r="L759" s="171" t="e">
        <f>#VALUE!</f>
        <v>#VALUE!</v>
      </c>
      <c r="M759" s="166" t="str">
        <f ca="1">IFERROR(IF(COUNTIF($B$517:$B758,"&lt;0")&lt;&gt;1,OFFSET($C757,-COUNTIF($B$517:$B758,"&lt;0")+3,0),""),"")</f>
        <v>a173p00000BI51YAAT</v>
      </c>
      <c r="N759" s="166">
        <f ca="1">IFERROR(IF(COUNTA($D$517:D758)=1,0,OFFSET($F757,-COUNTA($D$517:D758)+3,0)),"")</f>
        <v>10</v>
      </c>
      <c r="O759" s="166"/>
      <c r="P759" s="166">
        <f t="shared" ca="1" si="116"/>
        <v>0</v>
      </c>
      <c r="Q759" s="166"/>
      <c r="R759" s="166"/>
      <c r="S759" s="166"/>
      <c r="T759" s="171"/>
    </row>
    <row r="760" spans="1:20">
      <c r="A760" s="166" t="e">
        <f t="shared" ca="1" si="106"/>
        <v>#VALUE!</v>
      </c>
      <c r="B760" s="166">
        <f t="shared" ca="1" si="113"/>
        <v>61</v>
      </c>
      <c r="C760" s="172" t="str">
        <f t="shared" ca="1" si="107"/>
        <v>a173p00000BI4z9AAD</v>
      </c>
      <c r="D760" s="166"/>
      <c r="E760" s="166">
        <f t="shared" ca="1" si="114"/>
        <v>1</v>
      </c>
      <c r="F760" s="177">
        <f ca="1">IF(COUNTA(D$518:D760)=1,"",OFFSET(F758,-COUNTA(D$518:D760)+3,0))</f>
        <v>11</v>
      </c>
      <c r="G760" s="171" t="str">
        <f t="shared" ca="1" si="108"/>
        <v/>
      </c>
      <c r="H760" s="166">
        <f t="shared" ca="1" si="115"/>
        <v>29</v>
      </c>
      <c r="I760" s="168" t="str">
        <f t="shared" ca="1" si="109"/>
        <v/>
      </c>
      <c r="J760" s="177" t="str">
        <f t="shared" ca="1" si="110"/>
        <v/>
      </c>
      <c r="K760" s="177">
        <f t="shared" ca="1" si="111"/>
        <v>148</v>
      </c>
      <c r="L760" s="171" t="e">
        <f>#VALUE!</f>
        <v>#VALUE!</v>
      </c>
      <c r="M760" s="166" t="str">
        <f ca="1">IFERROR(IF(COUNTIF($B$517:$B759,"&lt;0")&lt;&gt;1,OFFSET($C758,-COUNTIF($B$517:$B759,"&lt;0")+3,0),""),"")</f>
        <v>a173p00000BI4z9AAD</v>
      </c>
      <c r="N760" s="166">
        <f ca="1">IFERROR(IF(COUNTA($D$517:D759)=1,0,OFFSET($F758,-COUNTA($D$517:D759)+3,0)),"")</f>
        <v>11</v>
      </c>
      <c r="O760" s="166"/>
      <c r="P760" s="166">
        <f t="shared" ca="1" si="116"/>
        <v>0</v>
      </c>
      <c r="Q760" s="166"/>
      <c r="R760" s="166"/>
      <c r="S760" s="166"/>
      <c r="T760" s="171"/>
    </row>
    <row r="761" spans="1:20">
      <c r="A761" s="166" t="e">
        <f t="shared" ca="1" si="106"/>
        <v>#VALUE!</v>
      </c>
      <c r="B761" s="166">
        <f t="shared" ca="1" si="113"/>
        <v>62</v>
      </c>
      <c r="C761" s="172" t="str">
        <f t="shared" ca="1" si="107"/>
        <v>a173p00000BI4zdAAD</v>
      </c>
      <c r="D761" s="166"/>
      <c r="E761" s="166">
        <f t="shared" ca="1" si="114"/>
        <v>2</v>
      </c>
      <c r="F761" s="177">
        <f ca="1">IF(COUNTA(D$518:D761)=1,"",OFFSET(F759,-COUNTA(D$518:D761)+3,0))</f>
        <v>11</v>
      </c>
      <c r="G761" s="171" t="str">
        <f t="shared" ca="1" si="108"/>
        <v/>
      </c>
      <c r="H761" s="166">
        <f t="shared" ca="1" si="115"/>
        <v>29</v>
      </c>
      <c r="I761" s="168" t="str">
        <f t="shared" ca="1" si="109"/>
        <v/>
      </c>
      <c r="J761" s="177" t="str">
        <f t="shared" ca="1" si="110"/>
        <v/>
      </c>
      <c r="K761" s="177">
        <f t="shared" ca="1" si="111"/>
        <v>171</v>
      </c>
      <c r="L761" s="171" t="e">
        <f>#VALUE!</f>
        <v>#VALUE!</v>
      </c>
      <c r="M761" s="166" t="str">
        <f ca="1">IFERROR(IF(COUNTIF($B$517:$B760,"&lt;0")&lt;&gt;1,OFFSET($C759,-COUNTIF($B$517:$B760,"&lt;0")+3,0),""),"")</f>
        <v>a173p00000BI4zdAAD</v>
      </c>
      <c r="N761" s="166">
        <f ca="1">IFERROR(IF(COUNTA($D$517:D760)=1,0,OFFSET($F759,-COUNTA($D$517:D760)+3,0)),"")</f>
        <v>11</v>
      </c>
      <c r="O761" s="166"/>
      <c r="P761" s="166">
        <f t="shared" ca="1" si="116"/>
        <v>0</v>
      </c>
      <c r="Q761" s="166"/>
      <c r="R761" s="166"/>
      <c r="S761" s="166"/>
      <c r="T761" s="171"/>
    </row>
    <row r="762" spans="1:20">
      <c r="A762" s="166" t="e">
        <f t="shared" ca="1" si="106"/>
        <v>#VALUE!</v>
      </c>
      <c r="B762" s="166">
        <f t="shared" ca="1" si="113"/>
        <v>63</v>
      </c>
      <c r="C762" s="172" t="str">
        <f t="shared" ca="1" si="107"/>
        <v>a173p00000BI507AAD</v>
      </c>
      <c r="D762" s="166"/>
      <c r="E762" s="166">
        <f t="shared" ca="1" si="114"/>
        <v>3</v>
      </c>
      <c r="F762" s="177">
        <f ca="1">IF(COUNTA(D$518:D762)=1,"",OFFSET(F760,-COUNTA(D$518:D762)+3,0))</f>
        <v>11</v>
      </c>
      <c r="G762" s="171" t="str">
        <f t="shared" ca="1" si="108"/>
        <v/>
      </c>
      <c r="H762" s="166">
        <f t="shared" ca="1" si="115"/>
        <v>29</v>
      </c>
      <c r="I762" s="168" t="str">
        <f t="shared" ca="1" si="109"/>
        <v/>
      </c>
      <c r="J762" s="177" t="str">
        <f t="shared" ca="1" si="110"/>
        <v/>
      </c>
      <c r="K762" s="177">
        <f t="shared" ca="1" si="111"/>
        <v>192</v>
      </c>
      <c r="L762" s="171" t="e">
        <f>#VALUE!</f>
        <v>#VALUE!</v>
      </c>
      <c r="M762" s="166" t="str">
        <f ca="1">IFERROR(IF(COUNTIF($B$517:$B761,"&lt;0")&lt;&gt;1,OFFSET($C760,-COUNTIF($B$517:$B761,"&lt;0")+3,0),""),"")</f>
        <v>a173p00000BI507AAD</v>
      </c>
      <c r="N762" s="166">
        <f ca="1">IFERROR(IF(COUNTA($D$517:D761)=1,0,OFFSET($F760,-COUNTA($D$517:D761)+3,0)),"")</f>
        <v>11</v>
      </c>
      <c r="O762" s="166"/>
      <c r="P762" s="166">
        <f t="shared" ca="1" si="116"/>
        <v>0</v>
      </c>
      <c r="Q762" s="166"/>
      <c r="R762" s="166"/>
      <c r="S762" s="166"/>
      <c r="T762" s="171"/>
    </row>
    <row r="763" spans="1:20">
      <c r="A763" s="166" t="e">
        <f t="shared" ca="1" si="106"/>
        <v>#VALUE!</v>
      </c>
      <c r="B763" s="166">
        <f t="shared" ca="1" si="113"/>
        <v>64</v>
      </c>
      <c r="C763" s="172" t="str">
        <f t="shared" ca="1" si="107"/>
        <v>a173p00000BI50bAAD</v>
      </c>
      <c r="D763" s="166"/>
      <c r="E763" s="166">
        <f t="shared" ca="1" si="114"/>
        <v>4</v>
      </c>
      <c r="F763" s="177">
        <f ca="1">IF(COUNTA(D$518:D763)=1,"",OFFSET(F761,-COUNTA(D$518:D763)+3,0))</f>
        <v>11</v>
      </c>
      <c r="G763" s="171" t="str">
        <f t="shared" ca="1" si="108"/>
        <v/>
      </c>
      <c r="H763" s="166">
        <f t="shared" ca="1" si="115"/>
        <v>29</v>
      </c>
      <c r="I763" s="168" t="str">
        <f t="shared" ca="1" si="109"/>
        <v/>
      </c>
      <c r="J763" s="177" t="str">
        <f t="shared" ca="1" si="110"/>
        <v/>
      </c>
      <c r="K763" s="177" t="str">
        <f t="shared" ca="1" si="111"/>
        <v/>
      </c>
      <c r="L763" s="171" t="e">
        <f>#VALUE!</f>
        <v>#VALUE!</v>
      </c>
      <c r="M763" s="166" t="str">
        <f ca="1">IFERROR(IF(COUNTIF($B$517:$B762,"&lt;0")&lt;&gt;1,OFFSET($C761,-COUNTIF($B$517:$B762,"&lt;0")+3,0),""),"")</f>
        <v>a173p00000BI50bAAD</v>
      </c>
      <c r="N763" s="166">
        <f ca="1">IFERROR(IF(COUNTA($D$517:D762)=1,0,OFFSET($F761,-COUNTA($D$517:D762)+3,0)),"")</f>
        <v>11</v>
      </c>
      <c r="O763" s="166"/>
      <c r="P763" s="166">
        <f t="shared" ca="1" si="116"/>
        <v>0</v>
      </c>
      <c r="Q763" s="166"/>
      <c r="R763" s="166"/>
      <c r="S763" s="166"/>
      <c r="T763" s="171"/>
    </row>
    <row r="764" spans="1:20">
      <c r="A764" s="166" t="e">
        <f t="shared" ref="A764:A827" ca="1" si="117">IF(OR(I764&lt;&gt;"",J764&lt;&gt;"",K764&lt;&gt;"",L764&lt;&gt;""),TRUE,FALSE)</f>
        <v>#VALUE!</v>
      </c>
      <c r="B764" s="166">
        <f t="shared" ca="1" si="113"/>
        <v>65</v>
      </c>
      <c r="C764" s="172" t="str">
        <f t="shared" ref="C764:C827" ca="1" si="118">M764</f>
        <v>a173p00000BI515AAD</v>
      </c>
      <c r="D764" s="166"/>
      <c r="E764" s="166">
        <f t="shared" ca="1" si="114"/>
        <v>5</v>
      </c>
      <c r="F764" s="177">
        <f ca="1">IF(COUNTA(D$518:D764)=1,"",OFFSET(F762,-COUNTA(D$518:D764)+3,0))</f>
        <v>11</v>
      </c>
      <c r="G764" s="171" t="str">
        <f t="shared" ref="G764:G827" ca="1" si="119">IFERROR(IF(INDIRECT("'Coverage Indicators - Section I'!G"&amp;$I248)=0,"",INDIRECT("'Coverage Indicators - Section I'!G"&amp;$I248)),"")</f>
        <v/>
      </c>
      <c r="H764" s="166">
        <f t="shared" ca="1" si="115"/>
        <v>29</v>
      </c>
      <c r="I764" s="168" t="str">
        <f t="shared" ref="I764:I827" ca="1" si="120">IFERROR(CHOOSE(E764,IFERROR(IF(INDIRECT("'Coverage Indicators - Section D'!P"&amp;H764)="","",INDIRECT("'Coverage Indicators - Section D'!P"&amp;H764)*100),""),IFERROR(IF(INDIRECT("'Coverage Indicators - Section D'!S"&amp;H764)="","",INDIRECT("'Coverage Indicators - Section D'!S"&amp;H764)*100),""),IFERROR(IF(INDIRECT("'Coverage Indicators - Section D'!V"&amp;H764)="","",INDIRECT("'Coverage Indicators - Section D'!V"&amp;H764)*100),""),IFERROR(IF(INDIRECT("'Coverage Indicators - Section D'!Y"&amp;H764)="","",INDIRECT("'Coverage Indicators - Section D'!Y"&amp;H764)*100),""),IFERROR(IF(INDIRECT("'Coverage Indicators - Section D'!AB"&amp;H764)="","",INDIRECT("'Coverage Indicators - Section D'!AB"&amp;H764)*100),""),IFERROR(IF(INDIRECT("'Coverage Indicators - Section D'!AE"&amp;H764)="","",INDIRECT("'Coverage Indicators - Section D'!AE"&amp;H764)*100),""),IFERROR(IF(INDIRECT("'Coverage Indicators - SectionD'!AH"&amp;H764)="","",INDIRECT("'CoverageIndicators-SectionD'!AH"&amp;H764)*100),"")),"")</f>
        <v/>
      </c>
      <c r="J764" s="177" t="str">
        <f t="shared" ref="J764:J827" ca="1" si="121">IFERROR(CHOOSE(E764,IFERROR(IF(INDIRECT("'Coverage Indicators - Section D'!O"&amp;H764+1)="","",INDIRECT("'Coverage Indicators - Section D'!O"&amp;H764+1)),""),IFERROR(IF(INDIRECT("'Coverage Indicators - Section D'!R"&amp;H764+1)="","",INDIRECT("'Coverage Indicators - Section D'!R"&amp;H764+1)),""),IFERROR(IF(INDIRECT("'Coverage Indicators - Section D'!U"&amp;H764+1)="","",INDIRECT("'Coverage Indicators - Section D'!U"&amp;H764+1)),""),IFERROR(IF(INDIRECT("'Coverage Indicators - Section D'!X"&amp;H764+1)="","",INDIRECT("'Coverage Indicators - Section D'!X"&amp;H764+1)),""),IFERROR(IF(INDIRECT("'Coverage Indicators - Section D'!AA"&amp;H764+1)="","",INDIRECT("'Coverage Indicators - Section D'!AA"&amp;H764+1)),""),IFERROR(IF(INDIRECT("'Coverage Indicators - Section D'!AD"&amp;H764+1)="","",INDIRECT("'Coverage Indicators - Section D'!AD"&amp;H764+1)),""),IFERROR(IF(INDIRECT("'Coverage Indicators - Section D'!AG"&amp;H764+1)="","",INDIRECT("'Coverage Indicators - Section D'!AG"&amp;H764+1)),""),IFERROR(IF(INDIRECT("'Coverage Indicators - Section D'!AJ"&amp;H764+1)="","",INDIRECT("'Coverage Indicators - Section D'!AJ"&amp;H764+1)),"")),"")</f>
        <v/>
      </c>
      <c r="K764" s="177" t="str">
        <f t="shared" ref="K764:K827" ca="1" si="122">IFERROR(CHOOSE(E764,IFERROR(IF(INDIRECT("'Coverage Indicators - Section D'!O"&amp;H764)="","",INDIRECT("'Coverage Indicators - Section D'!O"&amp;H764)),""),IFERROR(IF(INDIRECT("'Coverage Indicators - Section D'!R"&amp;H764)="","",INDIRECT("'Coverage Indicators - Section D'!R"&amp;H764)),""),IFERROR(IF(INDIRECT("'Coverage Indicators - Section D'!U"&amp;H764)="","",INDIRECT("'Coverage Indicators - Section D'!U"&amp;H764)),""),IFERROR(IF(INDIRECT("'Coverage Indicators - Section D'!X"&amp;H764)="","",INDIRECT("'Coverage Indicators - Section D'!X"&amp;H764)),""),IFERROR(IF(INDIRECT("'Coverage Indicators - Section D'!AA"&amp;H764)="","",INDIRECT("'Coverage Indicators - Section D'!AA"&amp;H764)),""),IFERROR(IF(INDIRECT("'Coverage Indicators - Section D'!AD"&amp;H764)="","",INDIRECT("'Coverage Indicators - Section D'!AD"&amp;H764)),""),IFERROR(IF(INDIRECT("'Coverage Indicators - Section D'!AG"&amp;H764)="","",INDIRECT("'Coverage Indicators - Section D'!AG"&amp;H764)),""),IFERROR(IF(INDIRECT("'Coverage Indicators - Section D'!AJ"&amp;H764)="","",INDIRECT("'Coverage Indicators - Section D'!AJ"&amp;H764)),"")),"")</f>
        <v/>
      </c>
      <c r="L764" s="171" t="e">
        <f t="shared" ref="L764" si="123">#VALUE!</f>
        <v>#VALUE!</v>
      </c>
      <c r="M764" s="166" t="str">
        <f ca="1">IFERROR(IF(COUNTIF($B$517:$B763,"&lt;0")&lt;&gt;1,OFFSET($C762,-COUNTIF($B$517:$B763,"&lt;0")+3,0),""),"")</f>
        <v>a173p00000BI515AAD</v>
      </c>
      <c r="N764" s="166">
        <f ca="1">IFERROR(IF(COUNTA($D$517:D763)=1,0,OFFSET($F762,-COUNTA($D$517:D763)+3,0)),"")</f>
        <v>11</v>
      </c>
      <c r="O764" s="166"/>
      <c r="P764" s="166">
        <f t="shared" ca="1" si="116"/>
        <v>0</v>
      </c>
      <c r="Q764" s="166"/>
      <c r="R764" s="166"/>
      <c r="S764" s="166"/>
      <c r="T764" s="171"/>
    </row>
    <row r="765" spans="1:20">
      <c r="A765" s="166" t="e">
        <f t="shared" ca="1" si="117"/>
        <v>#VALUE!</v>
      </c>
      <c r="B765" s="166">
        <f t="shared" ca="1" si="113"/>
        <v>66</v>
      </c>
      <c r="C765" s="172" t="str">
        <f t="shared" ca="1" si="118"/>
        <v>a173p00000BI51ZAAT</v>
      </c>
      <c r="D765" s="166"/>
      <c r="E765" s="166">
        <f t="shared" ca="1" si="114"/>
        <v>6</v>
      </c>
      <c r="F765" s="177">
        <f ca="1">IF(COUNTA(D$518:D765)=1,"",OFFSET(F763,-COUNTA(D$518:D765)+3,0))</f>
        <v>11</v>
      </c>
      <c r="G765" s="171" t="str">
        <f t="shared" ca="1" si="119"/>
        <v/>
      </c>
      <c r="H765" s="166">
        <f t="shared" ca="1" si="115"/>
        <v>29</v>
      </c>
      <c r="I765" s="168" t="str">
        <f t="shared" ca="1" si="120"/>
        <v/>
      </c>
      <c r="J765" s="177" t="str">
        <f t="shared" ca="1" si="121"/>
        <v/>
      </c>
      <c r="K765" s="177" t="str">
        <f t="shared" ca="1" si="122"/>
        <v/>
      </c>
      <c r="L765" s="171" t="e">
        <f>#VALUE!</f>
        <v>#VALUE!</v>
      </c>
      <c r="M765" s="166" t="str">
        <f ca="1">IFERROR(IF(COUNTIF($B$517:$B764,"&lt;0")&lt;&gt;1,OFFSET($C763,-COUNTIF($B$517:$B764,"&lt;0")+3,0),""),"")</f>
        <v>a173p00000BI51ZAAT</v>
      </c>
      <c r="N765" s="166">
        <f ca="1">IFERROR(IF(COUNTA($D$517:D764)=1,0,OFFSET($F763,-COUNTA($D$517:D764)+3,0)),"")</f>
        <v>11</v>
      </c>
      <c r="O765" s="166"/>
      <c r="P765" s="166">
        <f t="shared" ca="1" si="116"/>
        <v>0</v>
      </c>
      <c r="Q765" s="166"/>
      <c r="R765" s="166"/>
      <c r="S765" s="166"/>
      <c r="T765" s="171"/>
    </row>
    <row r="766" spans="1:20">
      <c r="A766" s="166" t="e">
        <f t="shared" ca="1" si="117"/>
        <v>#VALUE!</v>
      </c>
      <c r="B766" s="166">
        <f t="shared" ca="1" si="113"/>
        <v>67</v>
      </c>
      <c r="C766" s="172" t="str">
        <f t="shared" ca="1" si="118"/>
        <v>a173p00000BI4zAAAT</v>
      </c>
      <c r="D766" s="166"/>
      <c r="E766" s="166">
        <f t="shared" ca="1" si="114"/>
        <v>1</v>
      </c>
      <c r="F766" s="177">
        <f ca="1">IF(COUNTA(D$518:D766)=1,"",OFFSET(F764,-COUNTA(D$518:D766)+3,0))</f>
        <v>12</v>
      </c>
      <c r="G766" s="171" t="str">
        <f t="shared" ca="1" si="119"/>
        <v/>
      </c>
      <c r="H766" s="166">
        <f t="shared" ca="1" si="115"/>
        <v>31</v>
      </c>
      <c r="I766" s="168" t="str">
        <f t="shared" ca="1" si="120"/>
        <v/>
      </c>
      <c r="J766" s="177" t="str">
        <f t="shared" ca="1" si="121"/>
        <v/>
      </c>
      <c r="K766" s="177">
        <f t="shared" ca="1" si="122"/>
        <v>126</v>
      </c>
      <c r="L766" s="171" t="e">
        <f>#VALUE!</f>
        <v>#VALUE!</v>
      </c>
      <c r="M766" s="166" t="str">
        <f ca="1">IFERROR(IF(COUNTIF($B$517:$B765,"&lt;0")&lt;&gt;1,OFFSET($C764,-COUNTIF($B$517:$B765,"&lt;0")+3,0),""),"")</f>
        <v>a173p00000BI4zAAAT</v>
      </c>
      <c r="N766" s="166">
        <f ca="1">IFERROR(IF(COUNTA($D$517:D765)=1,0,OFFSET($F764,-COUNTA($D$517:D765)+3,0)),"")</f>
        <v>12</v>
      </c>
      <c r="O766" s="166"/>
      <c r="P766" s="166">
        <f t="shared" ca="1" si="116"/>
        <v>0</v>
      </c>
      <c r="Q766" s="166"/>
      <c r="R766" s="166"/>
      <c r="S766" s="166"/>
      <c r="T766" s="171"/>
    </row>
    <row r="767" spans="1:20">
      <c r="A767" s="166" t="e">
        <f t="shared" ca="1" si="117"/>
        <v>#VALUE!</v>
      </c>
      <c r="B767" s="166">
        <f t="shared" ca="1" si="113"/>
        <v>68</v>
      </c>
      <c r="C767" s="172" t="str">
        <f t="shared" ca="1" si="118"/>
        <v>a173p00000BI4zeAAD</v>
      </c>
      <c r="D767" s="166"/>
      <c r="E767" s="166">
        <f t="shared" ca="1" si="114"/>
        <v>2</v>
      </c>
      <c r="F767" s="177">
        <f ca="1">IF(COUNTA(D$518:D767)=1,"",OFFSET(F765,-COUNTA(D$518:D767)+3,0))</f>
        <v>12</v>
      </c>
      <c r="G767" s="171" t="str">
        <f t="shared" ca="1" si="119"/>
        <v/>
      </c>
      <c r="H767" s="166">
        <f t="shared" ca="1" si="115"/>
        <v>31</v>
      </c>
      <c r="I767" s="168" t="str">
        <f t="shared" ca="1" si="120"/>
        <v/>
      </c>
      <c r="J767" s="177" t="str">
        <f t="shared" ca="1" si="121"/>
        <v/>
      </c>
      <c r="K767" s="177">
        <f t="shared" ca="1" si="122"/>
        <v>154</v>
      </c>
      <c r="L767" s="171" t="e">
        <f>#VALUE!</f>
        <v>#VALUE!</v>
      </c>
      <c r="M767" s="166" t="str">
        <f ca="1">IFERROR(IF(COUNTIF($B$517:$B766,"&lt;0")&lt;&gt;1,OFFSET($C765,-COUNTIF($B$517:$B766,"&lt;0")+3,0),""),"")</f>
        <v>a173p00000BI4zeAAD</v>
      </c>
      <c r="N767" s="166">
        <f ca="1">IFERROR(IF(COUNTA($D$517:D766)=1,0,OFFSET($F765,-COUNTA($D$517:D766)+3,0)),"")</f>
        <v>12</v>
      </c>
      <c r="O767" s="166"/>
      <c r="P767" s="166">
        <f t="shared" ca="1" si="116"/>
        <v>0</v>
      </c>
      <c r="Q767" s="166"/>
      <c r="R767" s="166"/>
      <c r="S767" s="166"/>
      <c r="T767" s="171"/>
    </row>
    <row r="768" spans="1:20">
      <c r="A768" s="166" t="e">
        <f t="shared" ca="1" si="117"/>
        <v>#VALUE!</v>
      </c>
      <c r="B768" s="166">
        <f t="shared" ca="1" si="113"/>
        <v>69</v>
      </c>
      <c r="C768" s="172" t="str">
        <f t="shared" ca="1" si="118"/>
        <v>a173p00000BI508AAD</v>
      </c>
      <c r="D768" s="166"/>
      <c r="E768" s="166">
        <f t="shared" ca="1" si="114"/>
        <v>3</v>
      </c>
      <c r="F768" s="177">
        <f ca="1">IF(COUNTA(D$518:D768)=1,"",OFFSET(F766,-COUNTA(D$518:D768)+3,0))</f>
        <v>12</v>
      </c>
      <c r="G768" s="171" t="str">
        <f t="shared" ca="1" si="119"/>
        <v/>
      </c>
      <c r="H768" s="166">
        <f t="shared" ca="1" si="115"/>
        <v>31</v>
      </c>
      <c r="I768" s="168" t="str">
        <f t="shared" ca="1" si="120"/>
        <v/>
      </c>
      <c r="J768" s="177" t="str">
        <f t="shared" ca="1" si="121"/>
        <v/>
      </c>
      <c r="K768" s="177">
        <f t="shared" ca="1" si="122"/>
        <v>183</v>
      </c>
      <c r="L768" s="171" t="e">
        <f>#VALUE!</f>
        <v>#VALUE!</v>
      </c>
      <c r="M768" s="166" t="str">
        <f ca="1">IFERROR(IF(COUNTIF($B$517:$B767,"&lt;0")&lt;&gt;1,OFFSET($C766,-COUNTIF($B$517:$B767,"&lt;0")+3,0),""),"")</f>
        <v>a173p00000BI508AAD</v>
      </c>
      <c r="N768" s="166">
        <f ca="1">IFERROR(IF(COUNTA($D$517:D767)=1,0,OFFSET($F766,-COUNTA($D$517:D767)+3,0)),"")</f>
        <v>12</v>
      </c>
      <c r="O768" s="166"/>
      <c r="P768" s="166">
        <f t="shared" ca="1" si="116"/>
        <v>0</v>
      </c>
      <c r="Q768" s="166"/>
      <c r="R768" s="166"/>
      <c r="S768" s="166"/>
      <c r="T768" s="171"/>
    </row>
    <row r="769" spans="1:20">
      <c r="A769" s="166" t="e">
        <f t="shared" ca="1" si="117"/>
        <v>#VALUE!</v>
      </c>
      <c r="B769" s="166">
        <f t="shared" ca="1" si="113"/>
        <v>70</v>
      </c>
      <c r="C769" s="172" t="str">
        <f t="shared" ca="1" si="118"/>
        <v>a173p00000BI50cAAD</v>
      </c>
      <c r="D769" s="166"/>
      <c r="E769" s="166">
        <f t="shared" ca="1" si="114"/>
        <v>4</v>
      </c>
      <c r="F769" s="177">
        <f ca="1">IF(COUNTA(D$518:D769)=1,"",OFFSET(F767,-COUNTA(D$518:D769)+3,0))</f>
        <v>12</v>
      </c>
      <c r="G769" s="171" t="str">
        <f t="shared" ca="1" si="119"/>
        <v/>
      </c>
      <c r="H769" s="166">
        <f t="shared" ca="1" si="115"/>
        <v>31</v>
      </c>
      <c r="I769" s="168" t="str">
        <f t="shared" ca="1" si="120"/>
        <v/>
      </c>
      <c r="J769" s="177" t="str">
        <f t="shared" ca="1" si="121"/>
        <v/>
      </c>
      <c r="K769" s="177" t="str">
        <f t="shared" ca="1" si="122"/>
        <v/>
      </c>
      <c r="L769" s="171" t="e">
        <f>#VALUE!</f>
        <v>#VALUE!</v>
      </c>
      <c r="M769" s="166" t="str">
        <f ca="1">IFERROR(IF(COUNTIF($B$517:$B768,"&lt;0")&lt;&gt;1,OFFSET($C767,-COUNTIF($B$517:$B768,"&lt;0")+3,0),""),"")</f>
        <v>a173p00000BI50cAAD</v>
      </c>
      <c r="N769" s="166">
        <f ca="1">IFERROR(IF(COUNTA($D$517:D768)=1,0,OFFSET($F767,-COUNTA($D$517:D768)+3,0)),"")</f>
        <v>12</v>
      </c>
      <c r="O769" s="166"/>
      <c r="P769" s="166">
        <f t="shared" ca="1" si="116"/>
        <v>0</v>
      </c>
      <c r="Q769" s="166"/>
      <c r="R769" s="166"/>
      <c r="S769" s="166"/>
      <c r="T769" s="171"/>
    </row>
    <row r="770" spans="1:20">
      <c r="A770" s="166" t="e">
        <f t="shared" ca="1" si="117"/>
        <v>#VALUE!</v>
      </c>
      <c r="B770" s="166">
        <f t="shared" ca="1" si="113"/>
        <v>71</v>
      </c>
      <c r="C770" s="172" t="str">
        <f t="shared" ca="1" si="118"/>
        <v>a173p00000BI516AAD</v>
      </c>
      <c r="D770" s="166"/>
      <c r="E770" s="166">
        <f t="shared" ca="1" si="114"/>
        <v>5</v>
      </c>
      <c r="F770" s="177">
        <f ca="1">IF(COUNTA(D$518:D770)=1,"",OFFSET(F768,-COUNTA(D$518:D770)+3,0))</f>
        <v>12</v>
      </c>
      <c r="G770" s="171" t="str">
        <f t="shared" ca="1" si="119"/>
        <v/>
      </c>
      <c r="H770" s="166">
        <f t="shared" ca="1" si="115"/>
        <v>31</v>
      </c>
      <c r="I770" s="168" t="str">
        <f t="shared" ca="1" si="120"/>
        <v/>
      </c>
      <c r="J770" s="177" t="str">
        <f t="shared" ca="1" si="121"/>
        <v/>
      </c>
      <c r="K770" s="177" t="str">
        <f t="shared" ca="1" si="122"/>
        <v/>
      </c>
      <c r="L770" s="171" t="e">
        <f>#VALUE!</f>
        <v>#VALUE!</v>
      </c>
      <c r="M770" s="166" t="str">
        <f ca="1">IFERROR(IF(COUNTIF($B$517:$B769,"&lt;0")&lt;&gt;1,OFFSET($C768,-COUNTIF($B$517:$B769,"&lt;0")+3,0),""),"")</f>
        <v>a173p00000BI516AAD</v>
      </c>
      <c r="N770" s="166">
        <f ca="1">IFERROR(IF(COUNTA($D$517:D769)=1,0,OFFSET($F768,-COUNTA($D$517:D769)+3,0)),"")</f>
        <v>12</v>
      </c>
      <c r="O770" s="166"/>
      <c r="P770" s="166">
        <f t="shared" ca="1" si="116"/>
        <v>0</v>
      </c>
      <c r="Q770" s="166"/>
      <c r="R770" s="166"/>
      <c r="S770" s="166"/>
      <c r="T770" s="171"/>
    </row>
    <row r="771" spans="1:20">
      <c r="A771" s="166" t="e">
        <f t="shared" ca="1" si="117"/>
        <v>#VALUE!</v>
      </c>
      <c r="B771" s="166">
        <f t="shared" ca="1" si="113"/>
        <v>72</v>
      </c>
      <c r="C771" s="172" t="str">
        <f t="shared" ca="1" si="118"/>
        <v>a173p00000BI51aAAD</v>
      </c>
      <c r="D771" s="166"/>
      <c r="E771" s="166">
        <f t="shared" ca="1" si="114"/>
        <v>6</v>
      </c>
      <c r="F771" s="177">
        <f ca="1">IF(COUNTA(D$518:D771)=1,"",OFFSET(F769,-COUNTA(D$518:D771)+3,0))</f>
        <v>12</v>
      </c>
      <c r="G771" s="171" t="str">
        <f t="shared" ca="1" si="119"/>
        <v/>
      </c>
      <c r="H771" s="166">
        <f t="shared" ca="1" si="115"/>
        <v>31</v>
      </c>
      <c r="I771" s="168" t="str">
        <f t="shared" ca="1" si="120"/>
        <v/>
      </c>
      <c r="J771" s="177" t="str">
        <f t="shared" ca="1" si="121"/>
        <v/>
      </c>
      <c r="K771" s="177" t="str">
        <f t="shared" ca="1" si="122"/>
        <v/>
      </c>
      <c r="L771" s="171" t="e">
        <f>#VALUE!</f>
        <v>#VALUE!</v>
      </c>
      <c r="M771" s="166" t="str">
        <f ca="1">IFERROR(IF(COUNTIF($B$517:$B770,"&lt;0")&lt;&gt;1,OFFSET($C769,-COUNTIF($B$517:$B770,"&lt;0")+3,0),""),"")</f>
        <v>a173p00000BI51aAAD</v>
      </c>
      <c r="N771" s="166">
        <f ca="1">IFERROR(IF(COUNTA($D$517:D770)=1,0,OFFSET($F769,-COUNTA($D$517:D770)+3,0)),"")</f>
        <v>12</v>
      </c>
      <c r="O771" s="166"/>
      <c r="P771" s="166">
        <f t="shared" ca="1" si="116"/>
        <v>0</v>
      </c>
      <c r="Q771" s="166"/>
      <c r="R771" s="166"/>
      <c r="S771" s="166"/>
      <c r="T771" s="171"/>
    </row>
    <row r="772" spans="1:20">
      <c r="A772" s="166" t="e">
        <f t="shared" ca="1" si="117"/>
        <v>#VALUE!</v>
      </c>
      <c r="B772" s="166">
        <f t="shared" ca="1" si="113"/>
        <v>73</v>
      </c>
      <c r="C772" s="172" t="str">
        <f t="shared" ca="1" si="118"/>
        <v>a173p00000BI4zBAAT</v>
      </c>
      <c r="D772" s="166"/>
      <c r="E772" s="166">
        <f t="shared" ca="1" si="114"/>
        <v>1</v>
      </c>
      <c r="F772" s="177">
        <f ca="1">IF(COUNTA(D$518:D772)=1,"",OFFSET(F770,-COUNTA(D$518:D772)+3,0))</f>
        <v>13</v>
      </c>
      <c r="G772" s="171" t="str">
        <f t="shared" ca="1" si="119"/>
        <v/>
      </c>
      <c r="H772" s="166">
        <f t="shared" ca="1" si="115"/>
        <v>33</v>
      </c>
      <c r="I772" s="168" t="str">
        <f t="shared" ca="1" si="120"/>
        <v/>
      </c>
      <c r="J772" s="177" t="str">
        <f t="shared" ca="1" si="121"/>
        <v/>
      </c>
      <c r="K772" s="177" t="str">
        <f t="shared" ca="1" si="122"/>
        <v/>
      </c>
      <c r="L772" s="171" t="e">
        <f>#VALUE!</f>
        <v>#VALUE!</v>
      </c>
      <c r="M772" s="166" t="str">
        <f ca="1">IFERROR(IF(COUNTIF($B$517:$B771,"&lt;0")&lt;&gt;1,OFFSET($C770,-COUNTIF($B$517:$B771,"&lt;0")+3,0),""),"")</f>
        <v>a173p00000BI4zBAAT</v>
      </c>
      <c r="N772" s="166">
        <f ca="1">IFERROR(IF(COUNTA($D$517:D771)=1,0,OFFSET($F770,-COUNTA($D$517:D771)+3,0)),"")</f>
        <v>13</v>
      </c>
      <c r="O772" s="166"/>
      <c r="P772" s="166">
        <f t="shared" ca="1" si="116"/>
        <v>0</v>
      </c>
      <c r="Q772" s="166"/>
      <c r="R772" s="166"/>
      <c r="S772" s="166"/>
      <c r="T772" s="171"/>
    </row>
    <row r="773" spans="1:20">
      <c r="A773" s="166" t="e">
        <f t="shared" ca="1" si="117"/>
        <v>#VALUE!</v>
      </c>
      <c r="B773" s="166">
        <f t="shared" ca="1" si="113"/>
        <v>74</v>
      </c>
      <c r="C773" s="172" t="str">
        <f t="shared" ca="1" si="118"/>
        <v>a173p00000BI4zfAAD</v>
      </c>
      <c r="D773" s="166"/>
      <c r="E773" s="166">
        <f t="shared" ca="1" si="114"/>
        <v>2</v>
      </c>
      <c r="F773" s="177">
        <f ca="1">IF(COUNTA(D$518:D773)=1,"",OFFSET(F771,-COUNTA(D$518:D773)+3,0))</f>
        <v>13</v>
      </c>
      <c r="G773" s="171" t="str">
        <f t="shared" ca="1" si="119"/>
        <v/>
      </c>
      <c r="H773" s="166">
        <f t="shared" ca="1" si="115"/>
        <v>33</v>
      </c>
      <c r="I773" s="168" t="str">
        <f t="shared" ca="1" si="120"/>
        <v/>
      </c>
      <c r="J773" s="177" t="str">
        <f t="shared" ca="1" si="121"/>
        <v/>
      </c>
      <c r="K773" s="177" t="str">
        <f t="shared" ca="1" si="122"/>
        <v/>
      </c>
      <c r="L773" s="171" t="e">
        <f>#VALUE!</f>
        <v>#VALUE!</v>
      </c>
      <c r="M773" s="166" t="str">
        <f ca="1">IFERROR(IF(COUNTIF($B$517:$B772,"&lt;0")&lt;&gt;1,OFFSET($C771,-COUNTIF($B$517:$B772,"&lt;0")+3,0),""),"")</f>
        <v>a173p00000BI4zfAAD</v>
      </c>
      <c r="N773" s="166">
        <f ca="1">IFERROR(IF(COUNTA($D$517:D772)=1,0,OFFSET($F771,-COUNTA($D$517:D772)+3,0)),"")</f>
        <v>13</v>
      </c>
      <c r="O773" s="166"/>
      <c r="P773" s="166">
        <f t="shared" ca="1" si="116"/>
        <v>0</v>
      </c>
      <c r="Q773" s="166"/>
      <c r="R773" s="166"/>
      <c r="S773" s="166"/>
      <c r="T773" s="171"/>
    </row>
    <row r="774" spans="1:20">
      <c r="A774" s="166" t="e">
        <f t="shared" ca="1" si="117"/>
        <v>#VALUE!</v>
      </c>
      <c r="B774" s="166">
        <f t="shared" ca="1" si="113"/>
        <v>75</v>
      </c>
      <c r="C774" s="172" t="str">
        <f t="shared" ca="1" si="118"/>
        <v>a173p00000BI509AAD</v>
      </c>
      <c r="D774" s="166"/>
      <c r="E774" s="166">
        <f t="shared" ca="1" si="114"/>
        <v>3</v>
      </c>
      <c r="F774" s="177">
        <f ca="1">IF(COUNTA(D$518:D774)=1,"",OFFSET(F772,-COUNTA(D$518:D774)+3,0))</f>
        <v>13</v>
      </c>
      <c r="G774" s="171" t="str">
        <f t="shared" ca="1" si="119"/>
        <v/>
      </c>
      <c r="H774" s="166">
        <f t="shared" ca="1" si="115"/>
        <v>33</v>
      </c>
      <c r="I774" s="168" t="str">
        <f t="shared" ca="1" si="120"/>
        <v/>
      </c>
      <c r="J774" s="177" t="str">
        <f t="shared" ca="1" si="121"/>
        <v/>
      </c>
      <c r="K774" s="177" t="str">
        <f t="shared" ca="1" si="122"/>
        <v/>
      </c>
      <c r="L774" s="171" t="e">
        <f>#VALUE!</f>
        <v>#VALUE!</v>
      </c>
      <c r="M774" s="166" t="str">
        <f ca="1">IFERROR(IF(COUNTIF($B$517:$B773,"&lt;0")&lt;&gt;1,OFFSET($C772,-COUNTIF($B$517:$B773,"&lt;0")+3,0),""),"")</f>
        <v>a173p00000BI509AAD</v>
      </c>
      <c r="N774" s="166">
        <f ca="1">IFERROR(IF(COUNTA($D$517:D773)=1,0,OFFSET($F772,-COUNTA($D$517:D773)+3,0)),"")</f>
        <v>13</v>
      </c>
      <c r="O774" s="166"/>
      <c r="P774" s="166">
        <f t="shared" ca="1" si="116"/>
        <v>0</v>
      </c>
      <c r="Q774" s="166"/>
      <c r="R774" s="166"/>
      <c r="S774" s="166"/>
      <c r="T774" s="171"/>
    </row>
    <row r="775" spans="1:20">
      <c r="A775" s="166" t="e">
        <f t="shared" ca="1" si="117"/>
        <v>#VALUE!</v>
      </c>
      <c r="B775" s="166">
        <f t="shared" ca="1" si="113"/>
        <v>76</v>
      </c>
      <c r="C775" s="172" t="str">
        <f t="shared" ca="1" si="118"/>
        <v>a173p00000BI50dAAD</v>
      </c>
      <c r="D775" s="166"/>
      <c r="E775" s="166">
        <f t="shared" ca="1" si="114"/>
        <v>4</v>
      </c>
      <c r="F775" s="177">
        <f ca="1">IF(COUNTA(D$518:D775)=1,"",OFFSET(F773,-COUNTA(D$518:D775)+3,0))</f>
        <v>13</v>
      </c>
      <c r="G775" s="171" t="str">
        <f t="shared" ca="1" si="119"/>
        <v/>
      </c>
      <c r="H775" s="166">
        <f t="shared" ca="1" si="115"/>
        <v>33</v>
      </c>
      <c r="I775" s="168" t="str">
        <f t="shared" ca="1" si="120"/>
        <v/>
      </c>
      <c r="J775" s="177" t="str">
        <f t="shared" ca="1" si="121"/>
        <v/>
      </c>
      <c r="K775" s="177" t="str">
        <f t="shared" ca="1" si="122"/>
        <v/>
      </c>
      <c r="L775" s="171" t="e">
        <f>#VALUE!</f>
        <v>#VALUE!</v>
      </c>
      <c r="M775" s="166" t="str">
        <f ca="1">IFERROR(IF(COUNTIF($B$517:$B774,"&lt;0")&lt;&gt;1,OFFSET($C773,-COUNTIF($B$517:$B774,"&lt;0")+3,0),""),"")</f>
        <v>a173p00000BI50dAAD</v>
      </c>
      <c r="N775" s="166">
        <f ca="1">IFERROR(IF(COUNTA($D$517:D774)=1,0,OFFSET($F773,-COUNTA($D$517:D774)+3,0)),"")</f>
        <v>13</v>
      </c>
      <c r="O775" s="166"/>
      <c r="P775" s="166">
        <f t="shared" ca="1" si="116"/>
        <v>0</v>
      </c>
      <c r="Q775" s="166"/>
      <c r="R775" s="166"/>
      <c r="S775" s="166"/>
      <c r="T775" s="171"/>
    </row>
    <row r="776" spans="1:20">
      <c r="A776" s="166" t="e">
        <f t="shared" ca="1" si="117"/>
        <v>#VALUE!</v>
      </c>
      <c r="B776" s="166">
        <f t="shared" ref="B776:B839" ca="1" si="124">B775+1</f>
        <v>77</v>
      </c>
      <c r="C776" s="172" t="str">
        <f t="shared" ca="1" si="118"/>
        <v>a173p00000BI517AAD</v>
      </c>
      <c r="D776" s="166"/>
      <c r="E776" s="166">
        <f t="shared" ref="E776:E839" ca="1" si="125">COUNTIF(F709:F776,F776)</f>
        <v>5</v>
      </c>
      <c r="F776" s="177">
        <f ca="1">IF(COUNTA(D$518:D776)=1,"",OFFSET(F774,-COUNTA(D$518:D776)+3,0))</f>
        <v>13</v>
      </c>
      <c r="G776" s="171" t="str">
        <f t="shared" ca="1" si="119"/>
        <v/>
      </c>
      <c r="H776" s="166">
        <f t="shared" ref="H776:H839" ca="1" si="126">IF(F776=1,9,IF(E775=MAX(E774:E776),H774+2,H775))</f>
        <v>33</v>
      </c>
      <c r="I776" s="168" t="str">
        <f t="shared" ca="1" si="120"/>
        <v/>
      </c>
      <c r="J776" s="177" t="str">
        <f t="shared" ca="1" si="121"/>
        <v/>
      </c>
      <c r="K776" s="177" t="str">
        <f t="shared" ca="1" si="122"/>
        <v/>
      </c>
      <c r="L776" s="171" t="e">
        <f>#VALUE!</f>
        <v>#VALUE!</v>
      </c>
      <c r="M776" s="166" t="str">
        <f ca="1">IFERROR(IF(COUNTIF($B$517:$B775,"&lt;0")&lt;&gt;1,OFFSET($C774,-COUNTIF($B$517:$B775,"&lt;0")+3,0),""),"")</f>
        <v>a173p00000BI517AAD</v>
      </c>
      <c r="N776" s="166">
        <f ca="1">IFERROR(IF(COUNTA($D$517:D775)=1,0,OFFSET($F774,-COUNTA($D$517:D775)+3,0)),"")</f>
        <v>13</v>
      </c>
      <c r="O776" s="166"/>
      <c r="P776" s="166">
        <f t="shared" ref="P776:P839" ca="1" si="127">IF(NOT(_xlfn.ISFORMULA(I776)),P775+1,0)</f>
        <v>0</v>
      </c>
      <c r="Q776" s="166"/>
      <c r="R776" s="166"/>
      <c r="S776" s="166"/>
      <c r="T776" s="171"/>
    </row>
    <row r="777" spans="1:20">
      <c r="A777" s="166" t="e">
        <f t="shared" ca="1" si="117"/>
        <v>#VALUE!</v>
      </c>
      <c r="B777" s="166">
        <f t="shared" ca="1" si="124"/>
        <v>78</v>
      </c>
      <c r="C777" s="172" t="str">
        <f t="shared" ca="1" si="118"/>
        <v>a173p00000BI51bAAD</v>
      </c>
      <c r="D777" s="166"/>
      <c r="E777" s="166">
        <f t="shared" ca="1" si="125"/>
        <v>6</v>
      </c>
      <c r="F777" s="177">
        <f ca="1">IF(COUNTA(D$518:D777)=1,"",OFFSET(F775,-COUNTA(D$518:D777)+3,0))</f>
        <v>13</v>
      </c>
      <c r="G777" s="171" t="str">
        <f t="shared" ca="1" si="119"/>
        <v/>
      </c>
      <c r="H777" s="166">
        <f t="shared" ca="1" si="126"/>
        <v>33</v>
      </c>
      <c r="I777" s="168" t="str">
        <f t="shared" ca="1" si="120"/>
        <v/>
      </c>
      <c r="J777" s="177" t="str">
        <f t="shared" ca="1" si="121"/>
        <v/>
      </c>
      <c r="K777" s="177" t="str">
        <f t="shared" ca="1" si="122"/>
        <v/>
      </c>
      <c r="L777" s="171" t="e">
        <f>#VALUE!</f>
        <v>#VALUE!</v>
      </c>
      <c r="M777" s="166" t="str">
        <f ca="1">IFERROR(IF(COUNTIF($B$517:$B776,"&lt;0")&lt;&gt;1,OFFSET($C775,-COUNTIF($B$517:$B776,"&lt;0")+3,0),""),"")</f>
        <v>a173p00000BI51bAAD</v>
      </c>
      <c r="N777" s="166">
        <f ca="1">IFERROR(IF(COUNTA($D$517:D776)=1,0,OFFSET($F775,-COUNTA($D$517:D776)+3,0)),"")</f>
        <v>13</v>
      </c>
      <c r="O777" s="166"/>
      <c r="P777" s="166">
        <f t="shared" ca="1" si="127"/>
        <v>0</v>
      </c>
      <c r="Q777" s="166"/>
      <c r="R777" s="166"/>
      <c r="S777" s="166"/>
      <c r="T777" s="171"/>
    </row>
    <row r="778" spans="1:20">
      <c r="A778" s="166" t="e">
        <f t="shared" ca="1" si="117"/>
        <v>#VALUE!</v>
      </c>
      <c r="B778" s="166">
        <f t="shared" ca="1" si="124"/>
        <v>79</v>
      </c>
      <c r="C778" s="172" t="str">
        <f t="shared" ca="1" si="118"/>
        <v>a173p00000BI4zCAAT</v>
      </c>
      <c r="D778" s="166"/>
      <c r="E778" s="166">
        <f t="shared" ca="1" si="125"/>
        <v>1</v>
      </c>
      <c r="F778" s="177">
        <f ca="1">IF(COUNTA(D$518:D778)=1,"",OFFSET(F776,-COUNTA(D$518:D778)+3,0))</f>
        <v>14</v>
      </c>
      <c r="G778" s="171" t="str">
        <f t="shared" ca="1" si="119"/>
        <v/>
      </c>
      <c r="H778" s="166">
        <f t="shared" ca="1" si="126"/>
        <v>35</v>
      </c>
      <c r="I778" s="168" t="str">
        <f t="shared" ca="1" si="120"/>
        <v/>
      </c>
      <c r="J778" s="177" t="str">
        <f t="shared" ca="1" si="121"/>
        <v/>
      </c>
      <c r="K778" s="177" t="str">
        <f t="shared" ca="1" si="122"/>
        <v/>
      </c>
      <c r="L778" s="171" t="e">
        <f>#VALUE!</f>
        <v>#VALUE!</v>
      </c>
      <c r="M778" s="166" t="str">
        <f ca="1">IFERROR(IF(COUNTIF($B$517:$B777,"&lt;0")&lt;&gt;1,OFFSET($C776,-COUNTIF($B$517:$B777,"&lt;0")+3,0),""),"")</f>
        <v>a173p00000BI4zCAAT</v>
      </c>
      <c r="N778" s="166">
        <f ca="1">IFERROR(IF(COUNTA($D$517:D777)=1,0,OFFSET($F776,-COUNTA($D$517:D777)+3,0)),"")</f>
        <v>14</v>
      </c>
      <c r="O778" s="166"/>
      <c r="P778" s="166">
        <f t="shared" ca="1" si="127"/>
        <v>0</v>
      </c>
      <c r="Q778" s="166"/>
      <c r="R778" s="166"/>
      <c r="S778" s="166"/>
      <c r="T778" s="171"/>
    </row>
    <row r="779" spans="1:20">
      <c r="A779" s="166" t="e">
        <f t="shared" ca="1" si="117"/>
        <v>#VALUE!</v>
      </c>
      <c r="B779" s="166">
        <f t="shared" ca="1" si="124"/>
        <v>80</v>
      </c>
      <c r="C779" s="172" t="str">
        <f t="shared" ca="1" si="118"/>
        <v>a173p00000BI4zgAAD</v>
      </c>
      <c r="D779" s="166"/>
      <c r="E779" s="166">
        <f t="shared" ca="1" si="125"/>
        <v>2</v>
      </c>
      <c r="F779" s="177">
        <f ca="1">IF(COUNTA(D$518:D779)=1,"",OFFSET(F777,-COUNTA(D$518:D779)+3,0))</f>
        <v>14</v>
      </c>
      <c r="G779" s="171" t="str">
        <f t="shared" ca="1" si="119"/>
        <v/>
      </c>
      <c r="H779" s="166">
        <f t="shared" ca="1" si="126"/>
        <v>35</v>
      </c>
      <c r="I779" s="168" t="str">
        <f t="shared" ca="1" si="120"/>
        <v/>
      </c>
      <c r="J779" s="177" t="str">
        <f t="shared" ca="1" si="121"/>
        <v/>
      </c>
      <c r="K779" s="177" t="str">
        <f t="shared" ca="1" si="122"/>
        <v/>
      </c>
      <c r="L779" s="171" t="e">
        <f>#VALUE!</f>
        <v>#VALUE!</v>
      </c>
      <c r="M779" s="166" t="str">
        <f ca="1">IFERROR(IF(COUNTIF($B$517:$B778,"&lt;0")&lt;&gt;1,OFFSET($C777,-COUNTIF($B$517:$B778,"&lt;0")+3,0),""),"")</f>
        <v>a173p00000BI4zgAAD</v>
      </c>
      <c r="N779" s="166">
        <f ca="1">IFERROR(IF(COUNTA($D$517:D778)=1,0,OFFSET($F777,-COUNTA($D$517:D778)+3,0)),"")</f>
        <v>14</v>
      </c>
      <c r="O779" s="166"/>
      <c r="P779" s="166">
        <f t="shared" ca="1" si="127"/>
        <v>0</v>
      </c>
      <c r="Q779" s="166"/>
      <c r="R779" s="166"/>
      <c r="S779" s="166"/>
      <c r="T779" s="171"/>
    </row>
    <row r="780" spans="1:20">
      <c r="A780" s="166" t="e">
        <f t="shared" ca="1" si="117"/>
        <v>#VALUE!</v>
      </c>
      <c r="B780" s="166">
        <f t="shared" ca="1" si="124"/>
        <v>81</v>
      </c>
      <c r="C780" s="172" t="str">
        <f t="shared" ca="1" si="118"/>
        <v>a173p00000BI50AAAT</v>
      </c>
      <c r="D780" s="166"/>
      <c r="E780" s="166">
        <f t="shared" ca="1" si="125"/>
        <v>3</v>
      </c>
      <c r="F780" s="177">
        <f ca="1">IF(COUNTA(D$518:D780)=1,"",OFFSET(F778,-COUNTA(D$518:D780)+3,0))</f>
        <v>14</v>
      </c>
      <c r="G780" s="171" t="str">
        <f t="shared" ca="1" si="119"/>
        <v/>
      </c>
      <c r="H780" s="166">
        <f t="shared" ca="1" si="126"/>
        <v>35</v>
      </c>
      <c r="I780" s="168" t="str">
        <f t="shared" ca="1" si="120"/>
        <v/>
      </c>
      <c r="J780" s="177" t="str">
        <f t="shared" ca="1" si="121"/>
        <v/>
      </c>
      <c r="K780" s="177" t="str">
        <f t="shared" ca="1" si="122"/>
        <v/>
      </c>
      <c r="L780" s="171" t="e">
        <f>#VALUE!</f>
        <v>#VALUE!</v>
      </c>
      <c r="M780" s="166" t="str">
        <f ca="1">IFERROR(IF(COUNTIF($B$517:$B779,"&lt;0")&lt;&gt;1,OFFSET($C778,-COUNTIF($B$517:$B779,"&lt;0")+3,0),""),"")</f>
        <v>a173p00000BI50AAAT</v>
      </c>
      <c r="N780" s="166">
        <f ca="1">IFERROR(IF(COUNTA($D$517:D779)=1,0,OFFSET($F778,-COUNTA($D$517:D779)+3,0)),"")</f>
        <v>14</v>
      </c>
      <c r="O780" s="166"/>
      <c r="P780" s="166">
        <f t="shared" ca="1" si="127"/>
        <v>0</v>
      </c>
      <c r="Q780" s="166"/>
      <c r="R780" s="166"/>
      <c r="S780" s="166"/>
      <c r="T780" s="171"/>
    </row>
    <row r="781" spans="1:20">
      <c r="A781" s="166" t="e">
        <f t="shared" ca="1" si="117"/>
        <v>#VALUE!</v>
      </c>
      <c r="B781" s="166">
        <f t="shared" ca="1" si="124"/>
        <v>82</v>
      </c>
      <c r="C781" s="172" t="str">
        <f t="shared" ca="1" si="118"/>
        <v>a173p00000BI50eAAD</v>
      </c>
      <c r="D781" s="166"/>
      <c r="E781" s="166">
        <f t="shared" ca="1" si="125"/>
        <v>4</v>
      </c>
      <c r="F781" s="177">
        <f ca="1">IF(COUNTA(D$518:D781)=1,"",OFFSET(F779,-COUNTA(D$518:D781)+3,0))</f>
        <v>14</v>
      </c>
      <c r="G781" s="171" t="str">
        <f t="shared" ca="1" si="119"/>
        <v/>
      </c>
      <c r="H781" s="166">
        <f t="shared" ca="1" si="126"/>
        <v>35</v>
      </c>
      <c r="I781" s="168" t="str">
        <f t="shared" ca="1" si="120"/>
        <v/>
      </c>
      <c r="J781" s="177" t="str">
        <f t="shared" ca="1" si="121"/>
        <v/>
      </c>
      <c r="K781" s="177" t="str">
        <f t="shared" ca="1" si="122"/>
        <v/>
      </c>
      <c r="L781" s="171" t="e">
        <f>#VALUE!</f>
        <v>#VALUE!</v>
      </c>
      <c r="M781" s="166" t="str">
        <f ca="1">IFERROR(IF(COUNTIF($B$517:$B780,"&lt;0")&lt;&gt;1,OFFSET($C779,-COUNTIF($B$517:$B780,"&lt;0")+3,0),""),"")</f>
        <v>a173p00000BI50eAAD</v>
      </c>
      <c r="N781" s="166">
        <f ca="1">IFERROR(IF(COUNTA($D$517:D780)=1,0,OFFSET($F779,-COUNTA($D$517:D780)+3,0)),"")</f>
        <v>14</v>
      </c>
      <c r="O781" s="166"/>
      <c r="P781" s="166">
        <f t="shared" ca="1" si="127"/>
        <v>0</v>
      </c>
      <c r="Q781" s="166"/>
      <c r="R781" s="166"/>
      <c r="S781" s="166"/>
      <c r="T781" s="171"/>
    </row>
    <row r="782" spans="1:20">
      <c r="A782" s="166" t="e">
        <f t="shared" ca="1" si="117"/>
        <v>#VALUE!</v>
      </c>
      <c r="B782" s="166">
        <f t="shared" ca="1" si="124"/>
        <v>83</v>
      </c>
      <c r="C782" s="172" t="str">
        <f t="shared" ca="1" si="118"/>
        <v>a173p00000BI518AAD</v>
      </c>
      <c r="D782" s="166"/>
      <c r="E782" s="166">
        <f t="shared" ca="1" si="125"/>
        <v>5</v>
      </c>
      <c r="F782" s="177">
        <f ca="1">IF(COUNTA(D$518:D782)=1,"",OFFSET(F780,-COUNTA(D$518:D782)+3,0))</f>
        <v>14</v>
      </c>
      <c r="G782" s="171" t="str">
        <f t="shared" ca="1" si="119"/>
        <v/>
      </c>
      <c r="H782" s="166">
        <f t="shared" ca="1" si="126"/>
        <v>35</v>
      </c>
      <c r="I782" s="168" t="str">
        <f t="shared" ca="1" si="120"/>
        <v/>
      </c>
      <c r="J782" s="177" t="str">
        <f t="shared" ca="1" si="121"/>
        <v/>
      </c>
      <c r="K782" s="177" t="str">
        <f t="shared" ca="1" si="122"/>
        <v/>
      </c>
      <c r="L782" s="171" t="e">
        <f>#VALUE!</f>
        <v>#VALUE!</v>
      </c>
      <c r="M782" s="166" t="str">
        <f ca="1">IFERROR(IF(COUNTIF($B$517:$B781,"&lt;0")&lt;&gt;1,OFFSET($C780,-COUNTIF($B$517:$B781,"&lt;0")+3,0),""),"")</f>
        <v>a173p00000BI518AAD</v>
      </c>
      <c r="N782" s="166">
        <f ca="1">IFERROR(IF(COUNTA($D$517:D781)=1,0,OFFSET($F780,-COUNTA($D$517:D781)+3,0)),"")</f>
        <v>14</v>
      </c>
      <c r="O782" s="166"/>
      <c r="P782" s="166">
        <f t="shared" ca="1" si="127"/>
        <v>0</v>
      </c>
      <c r="Q782" s="166"/>
      <c r="R782" s="166"/>
      <c r="S782" s="166"/>
      <c r="T782" s="171"/>
    </row>
    <row r="783" spans="1:20">
      <c r="A783" s="166" t="e">
        <f t="shared" ca="1" si="117"/>
        <v>#VALUE!</v>
      </c>
      <c r="B783" s="166">
        <f t="shared" ca="1" si="124"/>
        <v>84</v>
      </c>
      <c r="C783" s="172" t="str">
        <f t="shared" ca="1" si="118"/>
        <v>a173p00000BI51cAAD</v>
      </c>
      <c r="D783" s="166"/>
      <c r="E783" s="166">
        <f t="shared" ca="1" si="125"/>
        <v>6</v>
      </c>
      <c r="F783" s="177">
        <f ca="1">IF(COUNTA(D$518:D783)=1,"",OFFSET(F781,-COUNTA(D$518:D783)+3,0))</f>
        <v>14</v>
      </c>
      <c r="G783" s="171" t="str">
        <f t="shared" ca="1" si="119"/>
        <v/>
      </c>
      <c r="H783" s="166">
        <f t="shared" ca="1" si="126"/>
        <v>35</v>
      </c>
      <c r="I783" s="168" t="str">
        <f t="shared" ca="1" si="120"/>
        <v/>
      </c>
      <c r="J783" s="177" t="str">
        <f t="shared" ca="1" si="121"/>
        <v/>
      </c>
      <c r="K783" s="177" t="str">
        <f t="shared" ca="1" si="122"/>
        <v/>
      </c>
      <c r="L783" s="171" t="e">
        <f>#VALUE!</f>
        <v>#VALUE!</v>
      </c>
      <c r="M783" s="166" t="str">
        <f ca="1">IFERROR(IF(COUNTIF($B$517:$B782,"&lt;0")&lt;&gt;1,OFFSET($C781,-COUNTIF($B$517:$B782,"&lt;0")+3,0),""),"")</f>
        <v>a173p00000BI51cAAD</v>
      </c>
      <c r="N783" s="166">
        <f ca="1">IFERROR(IF(COUNTA($D$517:D782)=1,0,OFFSET($F781,-COUNTA($D$517:D782)+3,0)),"")</f>
        <v>14</v>
      </c>
      <c r="O783" s="166"/>
      <c r="P783" s="166">
        <f t="shared" ca="1" si="127"/>
        <v>0</v>
      </c>
      <c r="Q783" s="166"/>
      <c r="R783" s="166"/>
      <c r="S783" s="166"/>
      <c r="T783" s="171"/>
    </row>
    <row r="784" spans="1:20">
      <c r="A784" s="166" t="e">
        <f t="shared" ca="1" si="117"/>
        <v>#VALUE!</v>
      </c>
      <c r="B784" s="166">
        <f t="shared" ca="1" si="124"/>
        <v>85</v>
      </c>
      <c r="C784" s="172" t="str">
        <f t="shared" ca="1" si="118"/>
        <v>a173p00000BI4zDAAT</v>
      </c>
      <c r="D784" s="166"/>
      <c r="E784" s="166">
        <f t="shared" ca="1" si="125"/>
        <v>1</v>
      </c>
      <c r="F784" s="177">
        <f ca="1">IF(COUNTA(D$518:D784)=1,"",OFFSET(F782,-COUNTA(D$518:D784)+3,0))</f>
        <v>15</v>
      </c>
      <c r="G784" s="171" t="str">
        <f t="shared" ca="1" si="119"/>
        <v/>
      </c>
      <c r="H784" s="166">
        <f t="shared" ca="1" si="126"/>
        <v>37</v>
      </c>
      <c r="I784" s="168" t="str">
        <f t="shared" ca="1" si="120"/>
        <v/>
      </c>
      <c r="J784" s="177" t="str">
        <f t="shared" ca="1" si="121"/>
        <v/>
      </c>
      <c r="K784" s="177" t="str">
        <f t="shared" ca="1" si="122"/>
        <v/>
      </c>
      <c r="L784" s="171" t="e">
        <f>#VALUE!</f>
        <v>#VALUE!</v>
      </c>
      <c r="M784" s="166" t="str">
        <f ca="1">IFERROR(IF(COUNTIF($B$517:$B783,"&lt;0")&lt;&gt;1,OFFSET($C782,-COUNTIF($B$517:$B783,"&lt;0")+3,0),""),"")</f>
        <v>a173p00000BI4zDAAT</v>
      </c>
      <c r="N784" s="166">
        <f ca="1">IFERROR(IF(COUNTA($D$517:D783)=1,0,OFFSET($F782,-COUNTA($D$517:D783)+3,0)),"")</f>
        <v>15</v>
      </c>
      <c r="O784" s="166"/>
      <c r="P784" s="166">
        <f t="shared" ca="1" si="127"/>
        <v>0</v>
      </c>
      <c r="Q784" s="166"/>
      <c r="R784" s="166"/>
      <c r="S784" s="166"/>
      <c r="T784" s="171"/>
    </row>
    <row r="785" spans="1:20">
      <c r="A785" s="166" t="e">
        <f t="shared" ca="1" si="117"/>
        <v>#VALUE!</v>
      </c>
      <c r="B785" s="166">
        <f t="shared" ca="1" si="124"/>
        <v>86</v>
      </c>
      <c r="C785" s="172" t="str">
        <f t="shared" ca="1" si="118"/>
        <v>a173p00000BI4zhAAD</v>
      </c>
      <c r="D785" s="166"/>
      <c r="E785" s="166">
        <f t="shared" ca="1" si="125"/>
        <v>2</v>
      </c>
      <c r="F785" s="177">
        <f ca="1">IF(COUNTA(D$518:D785)=1,"",OFFSET(F783,-COUNTA(D$518:D785)+3,0))</f>
        <v>15</v>
      </c>
      <c r="G785" s="171" t="str">
        <f t="shared" ca="1" si="119"/>
        <v/>
      </c>
      <c r="H785" s="166">
        <f t="shared" ca="1" si="126"/>
        <v>37</v>
      </c>
      <c r="I785" s="168" t="str">
        <f t="shared" ca="1" si="120"/>
        <v/>
      </c>
      <c r="J785" s="177" t="str">
        <f t="shared" ca="1" si="121"/>
        <v/>
      </c>
      <c r="K785" s="177" t="str">
        <f t="shared" ca="1" si="122"/>
        <v/>
      </c>
      <c r="L785" s="171" t="e">
        <f>#VALUE!</f>
        <v>#VALUE!</v>
      </c>
      <c r="M785" s="166" t="str">
        <f ca="1">IFERROR(IF(COUNTIF($B$517:$B784,"&lt;0")&lt;&gt;1,OFFSET($C783,-COUNTIF($B$517:$B784,"&lt;0")+3,0),""),"")</f>
        <v>a173p00000BI4zhAAD</v>
      </c>
      <c r="N785" s="166">
        <f ca="1">IFERROR(IF(COUNTA($D$517:D784)=1,0,OFFSET($F783,-COUNTA($D$517:D784)+3,0)),"")</f>
        <v>15</v>
      </c>
      <c r="O785" s="166"/>
      <c r="P785" s="166">
        <f t="shared" ca="1" si="127"/>
        <v>0</v>
      </c>
      <c r="Q785" s="166"/>
      <c r="R785" s="166"/>
      <c r="S785" s="166"/>
      <c r="T785" s="171"/>
    </row>
    <row r="786" spans="1:20">
      <c r="A786" s="166" t="e">
        <f t="shared" ca="1" si="117"/>
        <v>#VALUE!</v>
      </c>
      <c r="B786" s="166">
        <f t="shared" ca="1" si="124"/>
        <v>87</v>
      </c>
      <c r="C786" s="172" t="str">
        <f t="shared" ca="1" si="118"/>
        <v>a173p00000BI50BAAT</v>
      </c>
      <c r="D786" s="166"/>
      <c r="E786" s="166">
        <f t="shared" ca="1" si="125"/>
        <v>3</v>
      </c>
      <c r="F786" s="177">
        <f ca="1">IF(COUNTA(D$518:D786)=1,"",OFFSET(F784,-COUNTA(D$518:D786)+3,0))</f>
        <v>15</v>
      </c>
      <c r="G786" s="171" t="str">
        <f t="shared" ca="1" si="119"/>
        <v/>
      </c>
      <c r="H786" s="166">
        <f t="shared" ca="1" si="126"/>
        <v>37</v>
      </c>
      <c r="I786" s="168" t="str">
        <f t="shared" ca="1" si="120"/>
        <v/>
      </c>
      <c r="J786" s="177" t="str">
        <f t="shared" ca="1" si="121"/>
        <v/>
      </c>
      <c r="K786" s="177" t="str">
        <f t="shared" ca="1" si="122"/>
        <v/>
      </c>
      <c r="L786" s="171" t="e">
        <f>#VALUE!</f>
        <v>#VALUE!</v>
      </c>
      <c r="M786" s="166" t="str">
        <f ca="1">IFERROR(IF(COUNTIF($B$517:$B785,"&lt;0")&lt;&gt;1,OFFSET($C784,-COUNTIF($B$517:$B785,"&lt;0")+3,0),""),"")</f>
        <v>a173p00000BI50BAAT</v>
      </c>
      <c r="N786" s="166">
        <f ca="1">IFERROR(IF(COUNTA($D$517:D785)=1,0,OFFSET($F784,-COUNTA($D$517:D785)+3,0)),"")</f>
        <v>15</v>
      </c>
      <c r="O786" s="166"/>
      <c r="P786" s="166">
        <f t="shared" ca="1" si="127"/>
        <v>0</v>
      </c>
      <c r="Q786" s="166"/>
      <c r="R786" s="166"/>
      <c r="S786" s="166"/>
      <c r="T786" s="171"/>
    </row>
    <row r="787" spans="1:20">
      <c r="A787" s="166" t="e">
        <f t="shared" ca="1" si="117"/>
        <v>#VALUE!</v>
      </c>
      <c r="B787" s="166">
        <f t="shared" ca="1" si="124"/>
        <v>88</v>
      </c>
      <c r="C787" s="172" t="str">
        <f t="shared" ca="1" si="118"/>
        <v>a173p00000BI50fAAD</v>
      </c>
      <c r="D787" s="166"/>
      <c r="E787" s="166">
        <f t="shared" ca="1" si="125"/>
        <v>4</v>
      </c>
      <c r="F787" s="177">
        <f ca="1">IF(COUNTA(D$518:D787)=1,"",OFFSET(F785,-COUNTA(D$518:D787)+3,0))</f>
        <v>15</v>
      </c>
      <c r="G787" s="171" t="str">
        <f t="shared" ca="1" si="119"/>
        <v/>
      </c>
      <c r="H787" s="166">
        <f t="shared" ca="1" si="126"/>
        <v>37</v>
      </c>
      <c r="I787" s="168" t="str">
        <f t="shared" ca="1" si="120"/>
        <v/>
      </c>
      <c r="J787" s="177" t="str">
        <f t="shared" ca="1" si="121"/>
        <v/>
      </c>
      <c r="K787" s="177" t="str">
        <f t="shared" ca="1" si="122"/>
        <v/>
      </c>
      <c r="L787" s="171" t="e">
        <f>#VALUE!</f>
        <v>#VALUE!</v>
      </c>
      <c r="M787" s="166" t="str">
        <f ca="1">IFERROR(IF(COUNTIF($B$517:$B786,"&lt;0")&lt;&gt;1,OFFSET($C785,-COUNTIF($B$517:$B786,"&lt;0")+3,0),""),"")</f>
        <v>a173p00000BI50fAAD</v>
      </c>
      <c r="N787" s="166">
        <f ca="1">IFERROR(IF(COUNTA($D$517:D786)=1,0,OFFSET($F785,-COUNTA($D$517:D786)+3,0)),"")</f>
        <v>15</v>
      </c>
      <c r="O787" s="166"/>
      <c r="P787" s="166">
        <f t="shared" ca="1" si="127"/>
        <v>0</v>
      </c>
      <c r="Q787" s="166"/>
      <c r="R787" s="166"/>
      <c r="S787" s="166"/>
      <c r="T787" s="171"/>
    </row>
    <row r="788" spans="1:20">
      <c r="A788" s="166" t="e">
        <f t="shared" ca="1" si="117"/>
        <v>#VALUE!</v>
      </c>
      <c r="B788" s="166">
        <f t="shared" ca="1" si="124"/>
        <v>89</v>
      </c>
      <c r="C788" s="172" t="str">
        <f t="shared" ca="1" si="118"/>
        <v>a173p00000BI519AAD</v>
      </c>
      <c r="D788" s="166"/>
      <c r="E788" s="166">
        <f t="shared" ca="1" si="125"/>
        <v>5</v>
      </c>
      <c r="F788" s="177">
        <f ca="1">IF(COUNTA(D$518:D788)=1,"",OFFSET(F786,-COUNTA(D$518:D788)+3,0))</f>
        <v>15</v>
      </c>
      <c r="G788" s="171" t="str">
        <f t="shared" ca="1" si="119"/>
        <v/>
      </c>
      <c r="H788" s="166">
        <f t="shared" ca="1" si="126"/>
        <v>37</v>
      </c>
      <c r="I788" s="168" t="str">
        <f t="shared" ca="1" si="120"/>
        <v/>
      </c>
      <c r="J788" s="177" t="str">
        <f t="shared" ca="1" si="121"/>
        <v/>
      </c>
      <c r="K788" s="177" t="str">
        <f t="shared" ca="1" si="122"/>
        <v/>
      </c>
      <c r="L788" s="171" t="e">
        <f>#VALUE!</f>
        <v>#VALUE!</v>
      </c>
      <c r="M788" s="166" t="str">
        <f ca="1">IFERROR(IF(COUNTIF($B$517:$B787,"&lt;0")&lt;&gt;1,OFFSET($C786,-COUNTIF($B$517:$B787,"&lt;0")+3,0),""),"")</f>
        <v>a173p00000BI519AAD</v>
      </c>
      <c r="N788" s="166">
        <f ca="1">IFERROR(IF(COUNTA($D$517:D787)=1,0,OFFSET($F786,-COUNTA($D$517:D787)+3,0)),"")</f>
        <v>15</v>
      </c>
      <c r="O788" s="166"/>
      <c r="P788" s="166">
        <f t="shared" ca="1" si="127"/>
        <v>0</v>
      </c>
      <c r="Q788" s="166"/>
      <c r="R788" s="166"/>
      <c r="S788" s="166"/>
      <c r="T788" s="171"/>
    </row>
    <row r="789" spans="1:20">
      <c r="A789" s="166" t="e">
        <f t="shared" ca="1" si="117"/>
        <v>#VALUE!</v>
      </c>
      <c r="B789" s="166">
        <f t="shared" ca="1" si="124"/>
        <v>90</v>
      </c>
      <c r="C789" s="172" t="str">
        <f t="shared" ca="1" si="118"/>
        <v>a173p00000BI51dAAD</v>
      </c>
      <c r="D789" s="166"/>
      <c r="E789" s="166">
        <f t="shared" ca="1" si="125"/>
        <v>6</v>
      </c>
      <c r="F789" s="177">
        <f ca="1">IF(COUNTA(D$518:D789)=1,"",OFFSET(F787,-COUNTA(D$518:D789)+3,0))</f>
        <v>15</v>
      </c>
      <c r="G789" s="171" t="str">
        <f t="shared" ca="1" si="119"/>
        <v/>
      </c>
      <c r="H789" s="166">
        <f t="shared" ca="1" si="126"/>
        <v>37</v>
      </c>
      <c r="I789" s="168" t="str">
        <f t="shared" ca="1" si="120"/>
        <v/>
      </c>
      <c r="J789" s="177" t="str">
        <f t="shared" ca="1" si="121"/>
        <v/>
      </c>
      <c r="K789" s="177" t="str">
        <f t="shared" ca="1" si="122"/>
        <v/>
      </c>
      <c r="L789" s="171" t="e">
        <f>#VALUE!</f>
        <v>#VALUE!</v>
      </c>
      <c r="M789" s="166" t="str">
        <f ca="1">IFERROR(IF(COUNTIF($B$517:$B788,"&lt;0")&lt;&gt;1,OFFSET($C787,-COUNTIF($B$517:$B788,"&lt;0")+3,0),""),"")</f>
        <v>a173p00000BI51dAAD</v>
      </c>
      <c r="N789" s="166">
        <f ca="1">IFERROR(IF(COUNTA($D$517:D788)=1,0,OFFSET($F787,-COUNTA($D$517:D788)+3,0)),"")</f>
        <v>15</v>
      </c>
      <c r="O789" s="166"/>
      <c r="P789" s="166">
        <f t="shared" ca="1" si="127"/>
        <v>0</v>
      </c>
      <c r="Q789" s="166"/>
      <c r="R789" s="166"/>
      <c r="S789" s="166"/>
      <c r="T789" s="171"/>
    </row>
    <row r="790" spans="1:20">
      <c r="A790" s="166" t="e">
        <f t="shared" ca="1" si="117"/>
        <v>#VALUE!</v>
      </c>
      <c r="B790" s="166">
        <f t="shared" ca="1" si="124"/>
        <v>91</v>
      </c>
      <c r="C790" s="172" t="str">
        <f t="shared" ca="1" si="118"/>
        <v>a173p00000BI4zEAAT</v>
      </c>
      <c r="D790" s="166"/>
      <c r="E790" s="166">
        <f t="shared" ca="1" si="125"/>
        <v>1</v>
      </c>
      <c r="F790" s="177">
        <f ca="1">IF(COUNTA(D$518:D790)=1,"",OFFSET(F788,-COUNTA(D$518:D790)+3,0))</f>
        <v>16</v>
      </c>
      <c r="G790" s="171" t="str">
        <f t="shared" ca="1" si="119"/>
        <v/>
      </c>
      <c r="H790" s="166">
        <f t="shared" ca="1" si="126"/>
        <v>39</v>
      </c>
      <c r="I790" s="168" t="str">
        <f t="shared" ca="1" si="120"/>
        <v/>
      </c>
      <c r="J790" s="177" t="str">
        <f t="shared" ca="1" si="121"/>
        <v/>
      </c>
      <c r="K790" s="177" t="str">
        <f t="shared" ca="1" si="122"/>
        <v/>
      </c>
      <c r="L790" s="171" t="e">
        <f>#VALUE!</f>
        <v>#VALUE!</v>
      </c>
      <c r="M790" s="166" t="str">
        <f ca="1">IFERROR(IF(COUNTIF($B$517:$B789,"&lt;0")&lt;&gt;1,OFFSET($C788,-COUNTIF($B$517:$B789,"&lt;0")+3,0),""),"")</f>
        <v>a173p00000BI4zEAAT</v>
      </c>
      <c r="N790" s="166">
        <f ca="1">IFERROR(IF(COUNTA($D$517:D789)=1,0,OFFSET($F788,-COUNTA($D$517:D789)+3,0)),"")</f>
        <v>16</v>
      </c>
      <c r="O790" s="166"/>
      <c r="P790" s="166">
        <f t="shared" ca="1" si="127"/>
        <v>0</v>
      </c>
      <c r="Q790" s="166"/>
      <c r="R790" s="166"/>
      <c r="S790" s="166"/>
      <c r="T790" s="171"/>
    </row>
    <row r="791" spans="1:20">
      <c r="A791" s="166" t="e">
        <f t="shared" ca="1" si="117"/>
        <v>#VALUE!</v>
      </c>
      <c r="B791" s="166">
        <f t="shared" ca="1" si="124"/>
        <v>92</v>
      </c>
      <c r="C791" s="172" t="str">
        <f t="shared" ca="1" si="118"/>
        <v>a173p00000BI4ziAAD</v>
      </c>
      <c r="D791" s="166"/>
      <c r="E791" s="166">
        <f t="shared" ca="1" si="125"/>
        <v>2</v>
      </c>
      <c r="F791" s="177">
        <f ca="1">IF(COUNTA(D$518:D791)=1,"",OFFSET(F789,-COUNTA(D$518:D791)+3,0))</f>
        <v>16</v>
      </c>
      <c r="G791" s="171" t="str">
        <f t="shared" ca="1" si="119"/>
        <v/>
      </c>
      <c r="H791" s="166">
        <f t="shared" ca="1" si="126"/>
        <v>39</v>
      </c>
      <c r="I791" s="168" t="str">
        <f t="shared" ca="1" si="120"/>
        <v/>
      </c>
      <c r="J791" s="177" t="str">
        <f t="shared" ca="1" si="121"/>
        <v/>
      </c>
      <c r="K791" s="177" t="str">
        <f t="shared" ca="1" si="122"/>
        <v/>
      </c>
      <c r="L791" s="171" t="e">
        <f>#VALUE!</f>
        <v>#VALUE!</v>
      </c>
      <c r="M791" s="166" t="str">
        <f ca="1">IFERROR(IF(COUNTIF($B$517:$B790,"&lt;0")&lt;&gt;1,OFFSET($C789,-COUNTIF($B$517:$B790,"&lt;0")+3,0),""),"")</f>
        <v>a173p00000BI4ziAAD</v>
      </c>
      <c r="N791" s="166">
        <f ca="1">IFERROR(IF(COUNTA($D$517:D790)=1,0,OFFSET($F789,-COUNTA($D$517:D790)+3,0)),"")</f>
        <v>16</v>
      </c>
      <c r="O791" s="166"/>
      <c r="P791" s="166">
        <f t="shared" ca="1" si="127"/>
        <v>0</v>
      </c>
      <c r="Q791" s="166"/>
      <c r="R791" s="166"/>
      <c r="S791" s="166"/>
      <c r="T791" s="171"/>
    </row>
    <row r="792" spans="1:20">
      <c r="A792" s="166" t="e">
        <f t="shared" ca="1" si="117"/>
        <v>#VALUE!</v>
      </c>
      <c r="B792" s="166">
        <f t="shared" ca="1" si="124"/>
        <v>93</v>
      </c>
      <c r="C792" s="172" t="str">
        <f t="shared" ca="1" si="118"/>
        <v>a173p00000BI50CAAT</v>
      </c>
      <c r="D792" s="166"/>
      <c r="E792" s="166">
        <f t="shared" ca="1" si="125"/>
        <v>3</v>
      </c>
      <c r="F792" s="177">
        <f ca="1">IF(COUNTA(D$518:D792)=1,"",OFFSET(F790,-COUNTA(D$518:D792)+3,0))</f>
        <v>16</v>
      </c>
      <c r="G792" s="171" t="str">
        <f t="shared" ca="1" si="119"/>
        <v/>
      </c>
      <c r="H792" s="166">
        <f t="shared" ca="1" si="126"/>
        <v>39</v>
      </c>
      <c r="I792" s="168" t="str">
        <f t="shared" ca="1" si="120"/>
        <v/>
      </c>
      <c r="J792" s="177" t="str">
        <f t="shared" ca="1" si="121"/>
        <v/>
      </c>
      <c r="K792" s="177" t="str">
        <f t="shared" ca="1" si="122"/>
        <v/>
      </c>
      <c r="L792" s="171" t="e">
        <f>#VALUE!</f>
        <v>#VALUE!</v>
      </c>
      <c r="M792" s="166" t="str">
        <f ca="1">IFERROR(IF(COUNTIF($B$517:$B791,"&lt;0")&lt;&gt;1,OFFSET($C790,-COUNTIF($B$517:$B791,"&lt;0")+3,0),""),"")</f>
        <v>a173p00000BI50CAAT</v>
      </c>
      <c r="N792" s="166">
        <f ca="1">IFERROR(IF(COUNTA($D$517:D791)=1,0,OFFSET($F790,-COUNTA($D$517:D791)+3,0)),"")</f>
        <v>16</v>
      </c>
      <c r="O792" s="166"/>
      <c r="P792" s="166">
        <f t="shared" ca="1" si="127"/>
        <v>0</v>
      </c>
      <c r="Q792" s="166"/>
      <c r="R792" s="166"/>
      <c r="S792" s="166"/>
      <c r="T792" s="171"/>
    </row>
    <row r="793" spans="1:20">
      <c r="A793" s="166" t="e">
        <f t="shared" ca="1" si="117"/>
        <v>#VALUE!</v>
      </c>
      <c r="B793" s="166">
        <f t="shared" ca="1" si="124"/>
        <v>94</v>
      </c>
      <c r="C793" s="172" t="str">
        <f t="shared" ca="1" si="118"/>
        <v>a173p00000BI50gAAD</v>
      </c>
      <c r="D793" s="166"/>
      <c r="E793" s="166">
        <f t="shared" ca="1" si="125"/>
        <v>4</v>
      </c>
      <c r="F793" s="177">
        <f ca="1">IF(COUNTA(D$518:D793)=1,"",OFFSET(F791,-COUNTA(D$518:D793)+3,0))</f>
        <v>16</v>
      </c>
      <c r="G793" s="171" t="str">
        <f t="shared" ca="1" si="119"/>
        <v/>
      </c>
      <c r="H793" s="166">
        <f t="shared" ca="1" si="126"/>
        <v>39</v>
      </c>
      <c r="I793" s="168" t="str">
        <f t="shared" ca="1" si="120"/>
        <v/>
      </c>
      <c r="J793" s="177" t="str">
        <f t="shared" ca="1" si="121"/>
        <v/>
      </c>
      <c r="K793" s="177" t="str">
        <f t="shared" ca="1" si="122"/>
        <v/>
      </c>
      <c r="L793" s="171" t="e">
        <f>#VALUE!</f>
        <v>#VALUE!</v>
      </c>
      <c r="M793" s="166" t="str">
        <f ca="1">IFERROR(IF(COUNTIF($B$517:$B792,"&lt;0")&lt;&gt;1,OFFSET($C791,-COUNTIF($B$517:$B792,"&lt;0")+3,0),""),"")</f>
        <v>a173p00000BI50gAAD</v>
      </c>
      <c r="N793" s="166">
        <f ca="1">IFERROR(IF(COUNTA($D$517:D792)=1,0,OFFSET($F791,-COUNTA($D$517:D792)+3,0)),"")</f>
        <v>16</v>
      </c>
      <c r="O793" s="166"/>
      <c r="P793" s="166">
        <f t="shared" ca="1" si="127"/>
        <v>0</v>
      </c>
      <c r="Q793" s="166"/>
      <c r="R793" s="166"/>
      <c r="S793" s="166"/>
      <c r="T793" s="171"/>
    </row>
    <row r="794" spans="1:20">
      <c r="A794" s="166" t="e">
        <f t="shared" ca="1" si="117"/>
        <v>#VALUE!</v>
      </c>
      <c r="B794" s="166">
        <f t="shared" ca="1" si="124"/>
        <v>95</v>
      </c>
      <c r="C794" s="172" t="str">
        <f t="shared" ca="1" si="118"/>
        <v>a173p00000BI51AAAT</v>
      </c>
      <c r="D794" s="166"/>
      <c r="E794" s="166">
        <f t="shared" ca="1" si="125"/>
        <v>5</v>
      </c>
      <c r="F794" s="177">
        <f ca="1">IF(COUNTA(D$518:D794)=1,"",OFFSET(F792,-COUNTA(D$518:D794)+3,0))</f>
        <v>16</v>
      </c>
      <c r="G794" s="171" t="str">
        <f t="shared" ca="1" si="119"/>
        <v/>
      </c>
      <c r="H794" s="166">
        <f t="shared" ca="1" si="126"/>
        <v>39</v>
      </c>
      <c r="I794" s="168" t="str">
        <f t="shared" ca="1" si="120"/>
        <v/>
      </c>
      <c r="J794" s="177" t="str">
        <f t="shared" ca="1" si="121"/>
        <v/>
      </c>
      <c r="K794" s="177" t="str">
        <f t="shared" ca="1" si="122"/>
        <v/>
      </c>
      <c r="L794" s="171" t="e">
        <f>#VALUE!</f>
        <v>#VALUE!</v>
      </c>
      <c r="M794" s="166" t="str">
        <f ca="1">IFERROR(IF(COUNTIF($B$517:$B793,"&lt;0")&lt;&gt;1,OFFSET($C792,-COUNTIF($B$517:$B793,"&lt;0")+3,0),""),"")</f>
        <v>a173p00000BI51AAAT</v>
      </c>
      <c r="N794" s="166">
        <f ca="1">IFERROR(IF(COUNTA($D$517:D793)=1,0,OFFSET($F792,-COUNTA($D$517:D793)+3,0)),"")</f>
        <v>16</v>
      </c>
      <c r="O794" s="166"/>
      <c r="P794" s="166">
        <f t="shared" ca="1" si="127"/>
        <v>0</v>
      </c>
      <c r="Q794" s="166"/>
      <c r="R794" s="166"/>
      <c r="S794" s="166"/>
      <c r="T794" s="171"/>
    </row>
    <row r="795" spans="1:20">
      <c r="A795" s="166" t="e">
        <f t="shared" ca="1" si="117"/>
        <v>#VALUE!</v>
      </c>
      <c r="B795" s="166">
        <f t="shared" ca="1" si="124"/>
        <v>96</v>
      </c>
      <c r="C795" s="172" t="str">
        <f t="shared" ca="1" si="118"/>
        <v>a173p00000BI51eAAD</v>
      </c>
      <c r="D795" s="166"/>
      <c r="E795" s="166">
        <f t="shared" ca="1" si="125"/>
        <v>6</v>
      </c>
      <c r="F795" s="177">
        <f ca="1">IF(COUNTA(D$518:D795)=1,"",OFFSET(F793,-COUNTA(D$518:D795)+3,0))</f>
        <v>16</v>
      </c>
      <c r="G795" s="171" t="str">
        <f t="shared" ca="1" si="119"/>
        <v/>
      </c>
      <c r="H795" s="166">
        <f t="shared" ca="1" si="126"/>
        <v>39</v>
      </c>
      <c r="I795" s="168" t="str">
        <f t="shared" ca="1" si="120"/>
        <v/>
      </c>
      <c r="J795" s="177" t="str">
        <f t="shared" ca="1" si="121"/>
        <v/>
      </c>
      <c r="K795" s="177" t="str">
        <f t="shared" ca="1" si="122"/>
        <v/>
      </c>
      <c r="L795" s="171" t="e">
        <f>#VALUE!</f>
        <v>#VALUE!</v>
      </c>
      <c r="M795" s="166" t="str">
        <f ca="1">IFERROR(IF(COUNTIF($B$517:$B794,"&lt;0")&lt;&gt;1,OFFSET($C793,-COUNTIF($B$517:$B794,"&lt;0")+3,0),""),"")</f>
        <v>a173p00000BI51eAAD</v>
      </c>
      <c r="N795" s="166">
        <f ca="1">IFERROR(IF(COUNTA($D$517:D794)=1,0,OFFSET($F793,-COUNTA($D$517:D794)+3,0)),"")</f>
        <v>16</v>
      </c>
      <c r="O795" s="166"/>
      <c r="P795" s="166">
        <f t="shared" ca="1" si="127"/>
        <v>0</v>
      </c>
      <c r="Q795" s="166"/>
      <c r="R795" s="166"/>
      <c r="S795" s="166"/>
      <c r="T795" s="171"/>
    </row>
    <row r="796" spans="1:20">
      <c r="A796" s="166" t="e">
        <f t="shared" ca="1" si="117"/>
        <v>#VALUE!</v>
      </c>
      <c r="B796" s="166">
        <f t="shared" ca="1" si="124"/>
        <v>97</v>
      </c>
      <c r="C796" s="172" t="str">
        <f t="shared" ca="1" si="118"/>
        <v>a173p00000BI4zFAAT</v>
      </c>
      <c r="D796" s="166"/>
      <c r="E796" s="166">
        <f t="shared" ca="1" si="125"/>
        <v>1</v>
      </c>
      <c r="F796" s="177">
        <f ca="1">IF(COUNTA(D$518:D796)=1,"",OFFSET(F794,-COUNTA(D$518:D796)+3,0))</f>
        <v>17</v>
      </c>
      <c r="G796" s="171" t="str">
        <f t="shared" ca="1" si="119"/>
        <v/>
      </c>
      <c r="H796" s="166">
        <f t="shared" ca="1" si="126"/>
        <v>41</v>
      </c>
      <c r="I796" s="168" t="str">
        <f t="shared" ca="1" si="120"/>
        <v/>
      </c>
      <c r="J796" s="177" t="str">
        <f t="shared" ca="1" si="121"/>
        <v/>
      </c>
      <c r="K796" s="177" t="str">
        <f t="shared" ca="1" si="122"/>
        <v/>
      </c>
      <c r="L796" s="171" t="e">
        <f>#VALUE!</f>
        <v>#VALUE!</v>
      </c>
      <c r="M796" s="166" t="str">
        <f ca="1">IFERROR(IF(COUNTIF($B$517:$B795,"&lt;0")&lt;&gt;1,OFFSET($C794,-COUNTIF($B$517:$B795,"&lt;0")+3,0),""),"")</f>
        <v>a173p00000BI4zFAAT</v>
      </c>
      <c r="N796" s="166">
        <f ca="1">IFERROR(IF(COUNTA($D$517:D795)=1,0,OFFSET($F794,-COUNTA($D$517:D795)+3,0)),"")</f>
        <v>17</v>
      </c>
      <c r="O796" s="166"/>
      <c r="P796" s="166">
        <f t="shared" ca="1" si="127"/>
        <v>0</v>
      </c>
      <c r="Q796" s="166"/>
      <c r="R796" s="166"/>
      <c r="S796" s="166"/>
      <c r="T796" s="171"/>
    </row>
    <row r="797" spans="1:20">
      <c r="A797" s="166" t="e">
        <f t="shared" ca="1" si="117"/>
        <v>#VALUE!</v>
      </c>
      <c r="B797" s="166">
        <f t="shared" ca="1" si="124"/>
        <v>98</v>
      </c>
      <c r="C797" s="172" t="str">
        <f t="shared" ca="1" si="118"/>
        <v>a173p00000BI4zjAAD</v>
      </c>
      <c r="D797" s="166"/>
      <c r="E797" s="166">
        <f t="shared" ca="1" si="125"/>
        <v>2</v>
      </c>
      <c r="F797" s="177">
        <f ca="1">IF(COUNTA(D$518:D797)=1,"",OFFSET(F795,-COUNTA(D$518:D797)+3,0))</f>
        <v>17</v>
      </c>
      <c r="G797" s="171" t="str">
        <f t="shared" ca="1" si="119"/>
        <v/>
      </c>
      <c r="H797" s="166">
        <f t="shared" ca="1" si="126"/>
        <v>41</v>
      </c>
      <c r="I797" s="168" t="str">
        <f t="shared" ca="1" si="120"/>
        <v/>
      </c>
      <c r="J797" s="177" t="str">
        <f t="shared" ca="1" si="121"/>
        <v/>
      </c>
      <c r="K797" s="177" t="str">
        <f t="shared" ca="1" si="122"/>
        <v/>
      </c>
      <c r="L797" s="171" t="e">
        <f>#VALUE!</f>
        <v>#VALUE!</v>
      </c>
      <c r="M797" s="166" t="str">
        <f ca="1">IFERROR(IF(COUNTIF($B$517:$B796,"&lt;0")&lt;&gt;1,OFFSET($C795,-COUNTIF($B$517:$B796,"&lt;0")+3,0),""),"")</f>
        <v>a173p00000BI4zjAAD</v>
      </c>
      <c r="N797" s="166">
        <f ca="1">IFERROR(IF(COUNTA($D$517:D796)=1,0,OFFSET($F795,-COUNTA($D$517:D796)+3,0)),"")</f>
        <v>17</v>
      </c>
      <c r="O797" s="166"/>
      <c r="P797" s="166">
        <f t="shared" ca="1" si="127"/>
        <v>0</v>
      </c>
      <c r="Q797" s="166"/>
      <c r="R797" s="166"/>
      <c r="S797" s="166"/>
      <c r="T797" s="171"/>
    </row>
    <row r="798" spans="1:20">
      <c r="A798" s="166" t="e">
        <f t="shared" ca="1" si="117"/>
        <v>#VALUE!</v>
      </c>
      <c r="B798" s="166">
        <f t="shared" ca="1" si="124"/>
        <v>99</v>
      </c>
      <c r="C798" s="172" t="str">
        <f t="shared" ca="1" si="118"/>
        <v>a173p00000BI50DAAT</v>
      </c>
      <c r="D798" s="166"/>
      <c r="E798" s="166">
        <f t="shared" ca="1" si="125"/>
        <v>3</v>
      </c>
      <c r="F798" s="177">
        <f ca="1">IF(COUNTA(D$518:D798)=1,"",OFFSET(F796,-COUNTA(D$518:D798)+3,0))</f>
        <v>17</v>
      </c>
      <c r="G798" s="171" t="str">
        <f t="shared" ca="1" si="119"/>
        <v/>
      </c>
      <c r="H798" s="166">
        <f t="shared" ca="1" si="126"/>
        <v>41</v>
      </c>
      <c r="I798" s="168" t="str">
        <f t="shared" ca="1" si="120"/>
        <v/>
      </c>
      <c r="J798" s="177" t="str">
        <f t="shared" ca="1" si="121"/>
        <v/>
      </c>
      <c r="K798" s="177" t="str">
        <f t="shared" ca="1" si="122"/>
        <v/>
      </c>
      <c r="L798" s="171" t="e">
        <f>#VALUE!</f>
        <v>#VALUE!</v>
      </c>
      <c r="M798" s="166" t="str">
        <f ca="1">IFERROR(IF(COUNTIF($B$517:$B797,"&lt;0")&lt;&gt;1,OFFSET($C796,-COUNTIF($B$517:$B797,"&lt;0")+3,0),""),"")</f>
        <v>a173p00000BI50DAAT</v>
      </c>
      <c r="N798" s="166">
        <f ca="1">IFERROR(IF(COUNTA($D$517:D797)=1,0,OFFSET($F796,-COUNTA($D$517:D797)+3,0)),"")</f>
        <v>17</v>
      </c>
      <c r="O798" s="166"/>
      <c r="P798" s="166">
        <f t="shared" ca="1" si="127"/>
        <v>0</v>
      </c>
      <c r="Q798" s="166"/>
      <c r="R798" s="166"/>
      <c r="S798" s="166"/>
      <c r="T798" s="171"/>
    </row>
    <row r="799" spans="1:20">
      <c r="A799" s="166" t="e">
        <f t="shared" ca="1" si="117"/>
        <v>#VALUE!</v>
      </c>
      <c r="B799" s="166">
        <f t="shared" ca="1" si="124"/>
        <v>100</v>
      </c>
      <c r="C799" s="172" t="str">
        <f t="shared" ca="1" si="118"/>
        <v>a173p00000BI50hAAD</v>
      </c>
      <c r="D799" s="166"/>
      <c r="E799" s="166">
        <f t="shared" ca="1" si="125"/>
        <v>4</v>
      </c>
      <c r="F799" s="177">
        <f ca="1">IF(COUNTA(D$518:D799)=1,"",OFFSET(F797,-COUNTA(D$518:D799)+3,0))</f>
        <v>17</v>
      </c>
      <c r="G799" s="171" t="str">
        <f t="shared" ca="1" si="119"/>
        <v/>
      </c>
      <c r="H799" s="166">
        <f t="shared" ca="1" si="126"/>
        <v>41</v>
      </c>
      <c r="I799" s="168" t="str">
        <f t="shared" ca="1" si="120"/>
        <v/>
      </c>
      <c r="J799" s="177" t="str">
        <f t="shared" ca="1" si="121"/>
        <v/>
      </c>
      <c r="K799" s="177" t="str">
        <f t="shared" ca="1" si="122"/>
        <v/>
      </c>
      <c r="L799" s="171" t="e">
        <f>#VALUE!</f>
        <v>#VALUE!</v>
      </c>
      <c r="M799" s="166" t="str">
        <f ca="1">IFERROR(IF(COUNTIF($B$517:$B798,"&lt;0")&lt;&gt;1,OFFSET($C797,-COUNTIF($B$517:$B798,"&lt;0")+3,0),""),"")</f>
        <v>a173p00000BI50hAAD</v>
      </c>
      <c r="N799" s="166">
        <f ca="1">IFERROR(IF(COUNTA($D$517:D798)=1,0,OFFSET($F797,-COUNTA($D$517:D798)+3,0)),"")</f>
        <v>17</v>
      </c>
      <c r="O799" s="166"/>
      <c r="P799" s="166">
        <f t="shared" ca="1" si="127"/>
        <v>0</v>
      </c>
      <c r="Q799" s="166"/>
      <c r="R799" s="166"/>
      <c r="S799" s="166"/>
      <c r="T799" s="171"/>
    </row>
    <row r="800" spans="1:20">
      <c r="A800" s="166" t="e">
        <f t="shared" ca="1" si="117"/>
        <v>#VALUE!</v>
      </c>
      <c r="B800" s="166">
        <f t="shared" ca="1" si="124"/>
        <v>101</v>
      </c>
      <c r="C800" s="172" t="str">
        <f t="shared" ca="1" si="118"/>
        <v>a173p00000BI51BAAT</v>
      </c>
      <c r="D800" s="166"/>
      <c r="E800" s="166">
        <f t="shared" ca="1" si="125"/>
        <v>5</v>
      </c>
      <c r="F800" s="177">
        <f ca="1">IF(COUNTA(D$518:D800)=1,"",OFFSET(F798,-COUNTA(D$518:D800)+3,0))</f>
        <v>17</v>
      </c>
      <c r="G800" s="171" t="str">
        <f t="shared" ca="1" si="119"/>
        <v/>
      </c>
      <c r="H800" s="166">
        <f t="shared" ca="1" si="126"/>
        <v>41</v>
      </c>
      <c r="I800" s="168" t="str">
        <f t="shared" ca="1" si="120"/>
        <v/>
      </c>
      <c r="J800" s="177" t="str">
        <f t="shared" ca="1" si="121"/>
        <v/>
      </c>
      <c r="K800" s="177" t="str">
        <f t="shared" ca="1" si="122"/>
        <v/>
      </c>
      <c r="L800" s="171" t="e">
        <f>#VALUE!</f>
        <v>#VALUE!</v>
      </c>
      <c r="M800" s="166" t="str">
        <f ca="1">IFERROR(IF(COUNTIF($B$517:$B799,"&lt;0")&lt;&gt;1,OFFSET($C798,-COUNTIF($B$517:$B799,"&lt;0")+3,0),""),"")</f>
        <v>a173p00000BI51BAAT</v>
      </c>
      <c r="N800" s="166">
        <f ca="1">IFERROR(IF(COUNTA($D$517:D799)=1,0,OFFSET($F798,-COUNTA($D$517:D799)+3,0)),"")</f>
        <v>17</v>
      </c>
      <c r="O800" s="166"/>
      <c r="P800" s="166">
        <f t="shared" ca="1" si="127"/>
        <v>0</v>
      </c>
      <c r="Q800" s="166"/>
      <c r="R800" s="166"/>
      <c r="S800" s="166"/>
      <c r="T800" s="171"/>
    </row>
    <row r="801" spans="1:20">
      <c r="A801" s="166" t="e">
        <f t="shared" ca="1" si="117"/>
        <v>#VALUE!</v>
      </c>
      <c r="B801" s="166">
        <f t="shared" ca="1" si="124"/>
        <v>102</v>
      </c>
      <c r="C801" s="172" t="str">
        <f t="shared" ca="1" si="118"/>
        <v>a173p00000BI51fAAD</v>
      </c>
      <c r="D801" s="166"/>
      <c r="E801" s="166">
        <f t="shared" ca="1" si="125"/>
        <v>6</v>
      </c>
      <c r="F801" s="177">
        <f ca="1">IF(COUNTA(D$518:D801)=1,"",OFFSET(F799,-COUNTA(D$518:D801)+3,0))</f>
        <v>17</v>
      </c>
      <c r="G801" s="171" t="str">
        <f t="shared" ca="1" si="119"/>
        <v/>
      </c>
      <c r="H801" s="166">
        <f t="shared" ca="1" si="126"/>
        <v>41</v>
      </c>
      <c r="I801" s="168" t="str">
        <f t="shared" ca="1" si="120"/>
        <v/>
      </c>
      <c r="J801" s="177" t="str">
        <f t="shared" ca="1" si="121"/>
        <v/>
      </c>
      <c r="K801" s="177" t="str">
        <f t="shared" ca="1" si="122"/>
        <v/>
      </c>
      <c r="L801" s="171" t="e">
        <f>#VALUE!</f>
        <v>#VALUE!</v>
      </c>
      <c r="M801" s="166" t="str">
        <f ca="1">IFERROR(IF(COUNTIF($B$517:$B800,"&lt;0")&lt;&gt;1,OFFSET($C799,-COUNTIF($B$517:$B800,"&lt;0")+3,0),""),"")</f>
        <v>a173p00000BI51fAAD</v>
      </c>
      <c r="N801" s="166">
        <f ca="1">IFERROR(IF(COUNTA($D$517:D800)=1,0,OFFSET($F799,-COUNTA($D$517:D800)+3,0)),"")</f>
        <v>17</v>
      </c>
      <c r="O801" s="166"/>
      <c r="P801" s="166">
        <f t="shared" ca="1" si="127"/>
        <v>0</v>
      </c>
      <c r="Q801" s="166"/>
      <c r="R801" s="166"/>
      <c r="S801" s="166"/>
      <c r="T801" s="171"/>
    </row>
    <row r="802" spans="1:20">
      <c r="A802" s="166" t="e">
        <f t="shared" ca="1" si="117"/>
        <v>#VALUE!</v>
      </c>
      <c r="B802" s="166">
        <f t="shared" ca="1" si="124"/>
        <v>103</v>
      </c>
      <c r="C802" s="172" t="str">
        <f t="shared" ca="1" si="118"/>
        <v>a173p00000BI4zGAAT</v>
      </c>
      <c r="D802" s="166"/>
      <c r="E802" s="166">
        <f t="shared" ca="1" si="125"/>
        <v>1</v>
      </c>
      <c r="F802" s="177">
        <f ca="1">IF(COUNTA(D$518:D802)=1,"",OFFSET(F800,-COUNTA(D$518:D802)+3,0))</f>
        <v>18</v>
      </c>
      <c r="G802" s="171" t="str">
        <f t="shared" ca="1" si="119"/>
        <v/>
      </c>
      <c r="H802" s="166">
        <f t="shared" ca="1" si="126"/>
        <v>43</v>
      </c>
      <c r="I802" s="168" t="str">
        <f t="shared" ca="1" si="120"/>
        <v/>
      </c>
      <c r="J802" s="177" t="str">
        <f t="shared" ca="1" si="121"/>
        <v/>
      </c>
      <c r="K802" s="177" t="str">
        <f t="shared" ca="1" si="122"/>
        <v/>
      </c>
      <c r="L802" s="171" t="e">
        <f>#VALUE!</f>
        <v>#VALUE!</v>
      </c>
      <c r="M802" s="166" t="str">
        <f ca="1">IFERROR(IF(COUNTIF($B$517:$B801,"&lt;0")&lt;&gt;1,OFFSET($C800,-COUNTIF($B$517:$B801,"&lt;0")+3,0),""),"")</f>
        <v>a173p00000BI4zGAAT</v>
      </c>
      <c r="N802" s="166">
        <f ca="1">IFERROR(IF(COUNTA($D$517:D801)=1,0,OFFSET($F800,-COUNTA($D$517:D801)+3,0)),"")</f>
        <v>18</v>
      </c>
      <c r="O802" s="166"/>
      <c r="P802" s="166">
        <f t="shared" ca="1" si="127"/>
        <v>0</v>
      </c>
      <c r="Q802" s="166"/>
      <c r="R802" s="166"/>
      <c r="S802" s="166"/>
      <c r="T802" s="171"/>
    </row>
    <row r="803" spans="1:20">
      <c r="A803" s="166" t="e">
        <f t="shared" ca="1" si="117"/>
        <v>#VALUE!</v>
      </c>
      <c r="B803" s="166">
        <f t="shared" ca="1" si="124"/>
        <v>104</v>
      </c>
      <c r="C803" s="172" t="str">
        <f t="shared" ca="1" si="118"/>
        <v>a173p00000BI4zkAAD</v>
      </c>
      <c r="D803" s="166"/>
      <c r="E803" s="166">
        <f t="shared" ca="1" si="125"/>
        <v>2</v>
      </c>
      <c r="F803" s="177">
        <f ca="1">IF(COUNTA(D$518:D803)=1,"",OFFSET(F801,-COUNTA(D$518:D803)+3,0))</f>
        <v>18</v>
      </c>
      <c r="G803" s="171" t="str">
        <f t="shared" ca="1" si="119"/>
        <v/>
      </c>
      <c r="H803" s="166">
        <f t="shared" ca="1" si="126"/>
        <v>43</v>
      </c>
      <c r="I803" s="168" t="str">
        <f t="shared" ca="1" si="120"/>
        <v/>
      </c>
      <c r="J803" s="177" t="str">
        <f t="shared" ca="1" si="121"/>
        <v/>
      </c>
      <c r="K803" s="177" t="str">
        <f t="shared" ca="1" si="122"/>
        <v/>
      </c>
      <c r="L803" s="171" t="e">
        <f>#VALUE!</f>
        <v>#VALUE!</v>
      </c>
      <c r="M803" s="166" t="str">
        <f ca="1">IFERROR(IF(COUNTIF($B$517:$B802,"&lt;0")&lt;&gt;1,OFFSET($C801,-COUNTIF($B$517:$B802,"&lt;0")+3,0),""),"")</f>
        <v>a173p00000BI4zkAAD</v>
      </c>
      <c r="N803" s="166">
        <f ca="1">IFERROR(IF(COUNTA($D$517:D802)=1,0,OFFSET($F801,-COUNTA($D$517:D802)+3,0)),"")</f>
        <v>18</v>
      </c>
      <c r="O803" s="166"/>
      <c r="P803" s="166">
        <f t="shared" ca="1" si="127"/>
        <v>0</v>
      </c>
      <c r="Q803" s="166"/>
      <c r="R803" s="166"/>
      <c r="S803" s="166"/>
      <c r="T803" s="171"/>
    </row>
    <row r="804" spans="1:20">
      <c r="A804" s="166" t="e">
        <f t="shared" ca="1" si="117"/>
        <v>#VALUE!</v>
      </c>
      <c r="B804" s="166">
        <f t="shared" ca="1" si="124"/>
        <v>105</v>
      </c>
      <c r="C804" s="172" t="str">
        <f t="shared" ca="1" si="118"/>
        <v>a173p00000BI50EAAT</v>
      </c>
      <c r="D804" s="166"/>
      <c r="E804" s="166">
        <f t="shared" ca="1" si="125"/>
        <v>3</v>
      </c>
      <c r="F804" s="177">
        <f ca="1">IF(COUNTA(D$518:D804)=1,"",OFFSET(F802,-COUNTA(D$518:D804)+3,0))</f>
        <v>18</v>
      </c>
      <c r="G804" s="171" t="str">
        <f t="shared" ca="1" si="119"/>
        <v/>
      </c>
      <c r="H804" s="166">
        <f t="shared" ca="1" si="126"/>
        <v>43</v>
      </c>
      <c r="I804" s="168" t="str">
        <f t="shared" ca="1" si="120"/>
        <v/>
      </c>
      <c r="J804" s="177" t="str">
        <f t="shared" ca="1" si="121"/>
        <v/>
      </c>
      <c r="K804" s="177" t="str">
        <f t="shared" ca="1" si="122"/>
        <v/>
      </c>
      <c r="L804" s="171" t="e">
        <f>#VALUE!</f>
        <v>#VALUE!</v>
      </c>
      <c r="M804" s="166" t="str">
        <f ca="1">IFERROR(IF(COUNTIF($B$517:$B803,"&lt;0")&lt;&gt;1,OFFSET($C802,-COUNTIF($B$517:$B803,"&lt;0")+3,0),""),"")</f>
        <v>a173p00000BI50EAAT</v>
      </c>
      <c r="N804" s="166">
        <f ca="1">IFERROR(IF(COUNTA($D$517:D803)=1,0,OFFSET($F802,-COUNTA($D$517:D803)+3,0)),"")</f>
        <v>18</v>
      </c>
      <c r="O804" s="166"/>
      <c r="P804" s="166">
        <f t="shared" ca="1" si="127"/>
        <v>0</v>
      </c>
      <c r="Q804" s="166"/>
      <c r="R804" s="166"/>
      <c r="S804" s="166"/>
      <c r="T804" s="171"/>
    </row>
    <row r="805" spans="1:20">
      <c r="A805" s="166" t="e">
        <f t="shared" ca="1" si="117"/>
        <v>#VALUE!</v>
      </c>
      <c r="B805" s="166">
        <f t="shared" ca="1" si="124"/>
        <v>106</v>
      </c>
      <c r="C805" s="172" t="str">
        <f t="shared" ca="1" si="118"/>
        <v>a173p00000BI50iAAD</v>
      </c>
      <c r="D805" s="166"/>
      <c r="E805" s="166">
        <f t="shared" ca="1" si="125"/>
        <v>4</v>
      </c>
      <c r="F805" s="177">
        <f ca="1">IF(COUNTA(D$518:D805)=1,"",OFFSET(F803,-COUNTA(D$518:D805)+3,0))</f>
        <v>18</v>
      </c>
      <c r="G805" s="171" t="str">
        <f t="shared" ca="1" si="119"/>
        <v/>
      </c>
      <c r="H805" s="166">
        <f t="shared" ca="1" si="126"/>
        <v>43</v>
      </c>
      <c r="I805" s="168" t="str">
        <f t="shared" ca="1" si="120"/>
        <v/>
      </c>
      <c r="J805" s="177" t="str">
        <f t="shared" ca="1" si="121"/>
        <v/>
      </c>
      <c r="K805" s="177" t="str">
        <f t="shared" ca="1" si="122"/>
        <v/>
      </c>
      <c r="L805" s="171" t="e">
        <f>#VALUE!</f>
        <v>#VALUE!</v>
      </c>
      <c r="M805" s="166" t="str">
        <f ca="1">IFERROR(IF(COUNTIF($B$517:$B804,"&lt;0")&lt;&gt;1,OFFSET($C803,-COUNTIF($B$517:$B804,"&lt;0")+3,0),""),"")</f>
        <v>a173p00000BI50iAAD</v>
      </c>
      <c r="N805" s="166">
        <f ca="1">IFERROR(IF(COUNTA($D$517:D804)=1,0,OFFSET($F803,-COUNTA($D$517:D804)+3,0)),"")</f>
        <v>18</v>
      </c>
      <c r="O805" s="166"/>
      <c r="P805" s="166">
        <f t="shared" ca="1" si="127"/>
        <v>0</v>
      </c>
      <c r="Q805" s="166"/>
      <c r="R805" s="166"/>
      <c r="S805" s="166"/>
      <c r="T805" s="171"/>
    </row>
    <row r="806" spans="1:20">
      <c r="A806" s="166" t="e">
        <f t="shared" ca="1" si="117"/>
        <v>#VALUE!</v>
      </c>
      <c r="B806" s="166">
        <f t="shared" ca="1" si="124"/>
        <v>107</v>
      </c>
      <c r="C806" s="172" t="str">
        <f t="shared" ca="1" si="118"/>
        <v>a173p00000BI51CAAT</v>
      </c>
      <c r="D806" s="166"/>
      <c r="E806" s="166">
        <f t="shared" ca="1" si="125"/>
        <v>5</v>
      </c>
      <c r="F806" s="177">
        <f ca="1">IF(COUNTA(D$518:D806)=1,"",OFFSET(F804,-COUNTA(D$518:D806)+3,0))</f>
        <v>18</v>
      </c>
      <c r="G806" s="171" t="str">
        <f t="shared" ca="1" si="119"/>
        <v/>
      </c>
      <c r="H806" s="166">
        <f t="shared" ca="1" si="126"/>
        <v>43</v>
      </c>
      <c r="I806" s="168" t="str">
        <f t="shared" ca="1" si="120"/>
        <v/>
      </c>
      <c r="J806" s="177" t="str">
        <f t="shared" ca="1" si="121"/>
        <v/>
      </c>
      <c r="K806" s="177" t="str">
        <f t="shared" ca="1" si="122"/>
        <v/>
      </c>
      <c r="L806" s="171" t="e">
        <f>#VALUE!</f>
        <v>#VALUE!</v>
      </c>
      <c r="M806" s="166" t="str">
        <f ca="1">IFERROR(IF(COUNTIF($B$517:$B805,"&lt;0")&lt;&gt;1,OFFSET($C804,-COUNTIF($B$517:$B805,"&lt;0")+3,0),""),"")</f>
        <v>a173p00000BI51CAAT</v>
      </c>
      <c r="N806" s="166">
        <f ca="1">IFERROR(IF(COUNTA($D$517:D805)=1,0,OFFSET($F804,-COUNTA($D$517:D805)+3,0)),"")</f>
        <v>18</v>
      </c>
      <c r="O806" s="166"/>
      <c r="P806" s="166">
        <f t="shared" ca="1" si="127"/>
        <v>0</v>
      </c>
      <c r="Q806" s="166"/>
      <c r="R806" s="166"/>
      <c r="S806" s="166"/>
      <c r="T806" s="171"/>
    </row>
    <row r="807" spans="1:20">
      <c r="A807" s="166" t="e">
        <f t="shared" ca="1" si="117"/>
        <v>#VALUE!</v>
      </c>
      <c r="B807" s="166">
        <f t="shared" ca="1" si="124"/>
        <v>108</v>
      </c>
      <c r="C807" s="172" t="str">
        <f t="shared" ca="1" si="118"/>
        <v>a173p00000BI51gAAD</v>
      </c>
      <c r="D807" s="166"/>
      <c r="E807" s="166">
        <f t="shared" ca="1" si="125"/>
        <v>6</v>
      </c>
      <c r="F807" s="177">
        <f ca="1">IF(COUNTA(D$518:D807)=1,"",OFFSET(F805,-COUNTA(D$518:D807)+3,0))</f>
        <v>18</v>
      </c>
      <c r="G807" s="171" t="str">
        <f t="shared" ca="1" si="119"/>
        <v/>
      </c>
      <c r="H807" s="166">
        <f t="shared" ca="1" si="126"/>
        <v>43</v>
      </c>
      <c r="I807" s="168" t="str">
        <f t="shared" ca="1" si="120"/>
        <v/>
      </c>
      <c r="J807" s="177" t="str">
        <f t="shared" ca="1" si="121"/>
        <v/>
      </c>
      <c r="K807" s="177" t="str">
        <f t="shared" ca="1" si="122"/>
        <v/>
      </c>
      <c r="L807" s="171" t="e">
        <f>#VALUE!</f>
        <v>#VALUE!</v>
      </c>
      <c r="M807" s="166" t="str">
        <f ca="1">IFERROR(IF(COUNTIF($B$517:$B806,"&lt;0")&lt;&gt;1,OFFSET($C805,-COUNTIF($B$517:$B806,"&lt;0")+3,0),""),"")</f>
        <v>a173p00000BI51gAAD</v>
      </c>
      <c r="N807" s="166">
        <f ca="1">IFERROR(IF(COUNTA($D$517:D806)=1,0,OFFSET($F805,-COUNTA($D$517:D806)+3,0)),"")</f>
        <v>18</v>
      </c>
      <c r="O807" s="166"/>
      <c r="P807" s="166">
        <f t="shared" ca="1" si="127"/>
        <v>0</v>
      </c>
      <c r="Q807" s="166"/>
      <c r="R807" s="166"/>
      <c r="S807" s="166"/>
      <c r="T807" s="171"/>
    </row>
    <row r="808" spans="1:20">
      <c r="A808" s="166" t="e">
        <f t="shared" ca="1" si="117"/>
        <v>#VALUE!</v>
      </c>
      <c r="B808" s="166">
        <f t="shared" ca="1" si="124"/>
        <v>109</v>
      </c>
      <c r="C808" s="172" t="str">
        <f t="shared" ca="1" si="118"/>
        <v>a173p00000BI4zHAAT</v>
      </c>
      <c r="D808" s="166"/>
      <c r="E808" s="166">
        <f t="shared" ca="1" si="125"/>
        <v>1</v>
      </c>
      <c r="F808" s="177">
        <f ca="1">IF(COUNTA(D$518:D808)=1,"",OFFSET(F806,-COUNTA(D$518:D808)+3,0))</f>
        <v>19</v>
      </c>
      <c r="G808" s="171" t="str">
        <f t="shared" ca="1" si="119"/>
        <v/>
      </c>
      <c r="H808" s="166">
        <f t="shared" ca="1" si="126"/>
        <v>45</v>
      </c>
      <c r="I808" s="168" t="str">
        <f t="shared" ca="1" si="120"/>
        <v/>
      </c>
      <c r="J808" s="177" t="str">
        <f t="shared" ca="1" si="121"/>
        <v/>
      </c>
      <c r="K808" s="177" t="str">
        <f t="shared" ca="1" si="122"/>
        <v/>
      </c>
      <c r="L808" s="171" t="e">
        <f>#VALUE!</f>
        <v>#VALUE!</v>
      </c>
      <c r="M808" s="166" t="str">
        <f ca="1">IFERROR(IF(COUNTIF($B$517:$B807,"&lt;0")&lt;&gt;1,OFFSET($C806,-COUNTIF($B$517:$B807,"&lt;0")+3,0),""),"")</f>
        <v>a173p00000BI4zHAAT</v>
      </c>
      <c r="N808" s="166">
        <f ca="1">IFERROR(IF(COUNTA($D$517:D807)=1,0,OFFSET($F806,-COUNTA($D$517:D807)+3,0)),"")</f>
        <v>19</v>
      </c>
      <c r="O808" s="166"/>
      <c r="P808" s="166">
        <f t="shared" ca="1" si="127"/>
        <v>0</v>
      </c>
      <c r="Q808" s="166"/>
      <c r="R808" s="166"/>
      <c r="S808" s="166"/>
      <c r="T808" s="171"/>
    </row>
    <row r="809" spans="1:20">
      <c r="A809" s="166" t="e">
        <f t="shared" ca="1" si="117"/>
        <v>#VALUE!</v>
      </c>
      <c r="B809" s="166">
        <f t="shared" ca="1" si="124"/>
        <v>110</v>
      </c>
      <c r="C809" s="172" t="str">
        <f t="shared" ca="1" si="118"/>
        <v>a173p00000BI4zlAAD</v>
      </c>
      <c r="D809" s="166"/>
      <c r="E809" s="166">
        <f t="shared" ca="1" si="125"/>
        <v>2</v>
      </c>
      <c r="F809" s="177">
        <f ca="1">IF(COUNTA(D$518:D809)=1,"",OFFSET(F807,-COUNTA(D$518:D809)+3,0))</f>
        <v>19</v>
      </c>
      <c r="G809" s="171" t="str">
        <f t="shared" ca="1" si="119"/>
        <v/>
      </c>
      <c r="H809" s="166">
        <f t="shared" ca="1" si="126"/>
        <v>45</v>
      </c>
      <c r="I809" s="168" t="str">
        <f t="shared" ca="1" si="120"/>
        <v/>
      </c>
      <c r="J809" s="177" t="str">
        <f t="shared" ca="1" si="121"/>
        <v/>
      </c>
      <c r="K809" s="177" t="str">
        <f t="shared" ca="1" si="122"/>
        <v/>
      </c>
      <c r="L809" s="171" t="e">
        <f>#VALUE!</f>
        <v>#VALUE!</v>
      </c>
      <c r="M809" s="166" t="str">
        <f ca="1">IFERROR(IF(COUNTIF($B$517:$B808,"&lt;0")&lt;&gt;1,OFFSET($C807,-COUNTIF($B$517:$B808,"&lt;0")+3,0),""),"")</f>
        <v>a173p00000BI4zlAAD</v>
      </c>
      <c r="N809" s="166">
        <f ca="1">IFERROR(IF(COUNTA($D$517:D808)=1,0,OFFSET($F807,-COUNTA($D$517:D808)+3,0)),"")</f>
        <v>19</v>
      </c>
      <c r="O809" s="166"/>
      <c r="P809" s="166">
        <f t="shared" ca="1" si="127"/>
        <v>0</v>
      </c>
      <c r="Q809" s="166"/>
      <c r="R809" s="166"/>
      <c r="S809" s="166"/>
      <c r="T809" s="171"/>
    </row>
    <row r="810" spans="1:20">
      <c r="A810" s="166" t="e">
        <f t="shared" ca="1" si="117"/>
        <v>#VALUE!</v>
      </c>
      <c r="B810" s="166">
        <f t="shared" ca="1" si="124"/>
        <v>111</v>
      </c>
      <c r="C810" s="172" t="str">
        <f t="shared" ca="1" si="118"/>
        <v>a173p00000BI50FAAT</v>
      </c>
      <c r="D810" s="166"/>
      <c r="E810" s="166">
        <f t="shared" ca="1" si="125"/>
        <v>3</v>
      </c>
      <c r="F810" s="177">
        <f ca="1">IF(COUNTA(D$518:D810)=1,"",OFFSET(F808,-COUNTA(D$518:D810)+3,0))</f>
        <v>19</v>
      </c>
      <c r="G810" s="171" t="str">
        <f t="shared" ca="1" si="119"/>
        <v/>
      </c>
      <c r="H810" s="166">
        <f t="shared" ca="1" si="126"/>
        <v>45</v>
      </c>
      <c r="I810" s="168" t="str">
        <f t="shared" ca="1" si="120"/>
        <v/>
      </c>
      <c r="J810" s="177" t="str">
        <f t="shared" ca="1" si="121"/>
        <v/>
      </c>
      <c r="K810" s="177" t="str">
        <f t="shared" ca="1" si="122"/>
        <v/>
      </c>
      <c r="L810" s="171" t="e">
        <f>#VALUE!</f>
        <v>#VALUE!</v>
      </c>
      <c r="M810" s="166" t="str">
        <f ca="1">IFERROR(IF(COUNTIF($B$517:$B809,"&lt;0")&lt;&gt;1,OFFSET($C808,-COUNTIF($B$517:$B809,"&lt;0")+3,0),""),"")</f>
        <v>a173p00000BI50FAAT</v>
      </c>
      <c r="N810" s="166">
        <f ca="1">IFERROR(IF(COUNTA($D$517:D809)=1,0,OFFSET($F808,-COUNTA($D$517:D809)+3,0)),"")</f>
        <v>19</v>
      </c>
      <c r="O810" s="166"/>
      <c r="P810" s="166">
        <f t="shared" ca="1" si="127"/>
        <v>0</v>
      </c>
      <c r="Q810" s="166"/>
      <c r="R810" s="166"/>
      <c r="S810" s="166"/>
      <c r="T810" s="171"/>
    </row>
    <row r="811" spans="1:20">
      <c r="A811" s="166" t="e">
        <f t="shared" ca="1" si="117"/>
        <v>#VALUE!</v>
      </c>
      <c r="B811" s="166">
        <f t="shared" ca="1" si="124"/>
        <v>112</v>
      </c>
      <c r="C811" s="172" t="str">
        <f t="shared" ca="1" si="118"/>
        <v>a173p00000BI50jAAD</v>
      </c>
      <c r="D811" s="166"/>
      <c r="E811" s="166">
        <f t="shared" ca="1" si="125"/>
        <v>4</v>
      </c>
      <c r="F811" s="177">
        <f ca="1">IF(COUNTA(D$518:D811)=1,"",OFFSET(F809,-COUNTA(D$518:D811)+3,0))</f>
        <v>19</v>
      </c>
      <c r="G811" s="171" t="str">
        <f t="shared" ca="1" si="119"/>
        <v/>
      </c>
      <c r="H811" s="166">
        <f t="shared" ca="1" si="126"/>
        <v>45</v>
      </c>
      <c r="I811" s="168" t="str">
        <f t="shared" ca="1" si="120"/>
        <v/>
      </c>
      <c r="J811" s="177" t="str">
        <f t="shared" ca="1" si="121"/>
        <v/>
      </c>
      <c r="K811" s="177" t="str">
        <f t="shared" ca="1" si="122"/>
        <v/>
      </c>
      <c r="L811" s="171" t="e">
        <f>#VALUE!</f>
        <v>#VALUE!</v>
      </c>
      <c r="M811" s="166" t="str">
        <f ca="1">IFERROR(IF(COUNTIF($B$517:$B810,"&lt;0")&lt;&gt;1,OFFSET($C809,-COUNTIF($B$517:$B810,"&lt;0")+3,0),""),"")</f>
        <v>a173p00000BI50jAAD</v>
      </c>
      <c r="N811" s="166">
        <f ca="1">IFERROR(IF(COUNTA($D$517:D810)=1,0,OFFSET($F809,-COUNTA($D$517:D810)+3,0)),"")</f>
        <v>19</v>
      </c>
      <c r="O811" s="166"/>
      <c r="P811" s="166">
        <f t="shared" ca="1" si="127"/>
        <v>0</v>
      </c>
      <c r="Q811" s="166"/>
      <c r="R811" s="166"/>
      <c r="S811" s="166"/>
      <c r="T811" s="171"/>
    </row>
    <row r="812" spans="1:20">
      <c r="A812" s="166" t="e">
        <f t="shared" ca="1" si="117"/>
        <v>#VALUE!</v>
      </c>
      <c r="B812" s="166">
        <f t="shared" ca="1" si="124"/>
        <v>113</v>
      </c>
      <c r="C812" s="172" t="str">
        <f t="shared" ca="1" si="118"/>
        <v>a173p00000BI51DAAT</v>
      </c>
      <c r="D812" s="166"/>
      <c r="E812" s="166">
        <f t="shared" ca="1" si="125"/>
        <v>5</v>
      </c>
      <c r="F812" s="177">
        <f ca="1">IF(COUNTA(D$518:D812)=1,"",OFFSET(F810,-COUNTA(D$518:D812)+3,0))</f>
        <v>19</v>
      </c>
      <c r="G812" s="171" t="str">
        <f t="shared" ca="1" si="119"/>
        <v/>
      </c>
      <c r="H812" s="166">
        <f t="shared" ca="1" si="126"/>
        <v>45</v>
      </c>
      <c r="I812" s="168" t="str">
        <f t="shared" ca="1" si="120"/>
        <v/>
      </c>
      <c r="J812" s="177" t="str">
        <f t="shared" ca="1" si="121"/>
        <v/>
      </c>
      <c r="K812" s="177" t="str">
        <f t="shared" ca="1" si="122"/>
        <v/>
      </c>
      <c r="L812" s="171" t="e">
        <f>#VALUE!</f>
        <v>#VALUE!</v>
      </c>
      <c r="M812" s="166" t="str">
        <f ca="1">IFERROR(IF(COUNTIF($B$517:$B811,"&lt;0")&lt;&gt;1,OFFSET($C810,-COUNTIF($B$517:$B811,"&lt;0")+3,0),""),"")</f>
        <v>a173p00000BI51DAAT</v>
      </c>
      <c r="N812" s="166">
        <f ca="1">IFERROR(IF(COUNTA($D$517:D811)=1,0,OFFSET($F810,-COUNTA($D$517:D811)+3,0)),"")</f>
        <v>19</v>
      </c>
      <c r="O812" s="166"/>
      <c r="P812" s="166">
        <f t="shared" ca="1" si="127"/>
        <v>0</v>
      </c>
      <c r="Q812" s="166"/>
      <c r="R812" s="166"/>
      <c r="S812" s="166"/>
      <c r="T812" s="171"/>
    </row>
    <row r="813" spans="1:20">
      <c r="A813" s="166" t="e">
        <f t="shared" ca="1" si="117"/>
        <v>#VALUE!</v>
      </c>
      <c r="B813" s="166">
        <f t="shared" ca="1" si="124"/>
        <v>114</v>
      </c>
      <c r="C813" s="172" t="str">
        <f t="shared" ca="1" si="118"/>
        <v>a173p00000BI51hAAD</v>
      </c>
      <c r="D813" s="166"/>
      <c r="E813" s="166">
        <f t="shared" ca="1" si="125"/>
        <v>6</v>
      </c>
      <c r="F813" s="177">
        <f ca="1">IF(COUNTA(D$518:D813)=1,"",OFFSET(F811,-COUNTA(D$518:D813)+3,0))</f>
        <v>19</v>
      </c>
      <c r="G813" s="171" t="str">
        <f t="shared" ca="1" si="119"/>
        <v/>
      </c>
      <c r="H813" s="166">
        <f t="shared" ca="1" si="126"/>
        <v>45</v>
      </c>
      <c r="I813" s="168" t="str">
        <f t="shared" ca="1" si="120"/>
        <v/>
      </c>
      <c r="J813" s="177" t="str">
        <f t="shared" ca="1" si="121"/>
        <v/>
      </c>
      <c r="K813" s="177" t="str">
        <f t="shared" ca="1" si="122"/>
        <v/>
      </c>
      <c r="L813" s="171" t="e">
        <f>#VALUE!</f>
        <v>#VALUE!</v>
      </c>
      <c r="M813" s="166" t="str">
        <f ca="1">IFERROR(IF(COUNTIF($B$517:$B812,"&lt;0")&lt;&gt;1,OFFSET($C811,-COUNTIF($B$517:$B812,"&lt;0")+3,0),""),"")</f>
        <v>a173p00000BI51hAAD</v>
      </c>
      <c r="N813" s="166">
        <f ca="1">IFERROR(IF(COUNTA($D$517:D812)=1,0,OFFSET($F811,-COUNTA($D$517:D812)+3,0)),"")</f>
        <v>19</v>
      </c>
      <c r="O813" s="166"/>
      <c r="P813" s="166">
        <f t="shared" ca="1" si="127"/>
        <v>0</v>
      </c>
      <c r="Q813" s="166"/>
      <c r="R813" s="166"/>
      <c r="S813" s="166"/>
      <c r="T813" s="171"/>
    </row>
    <row r="814" spans="1:20">
      <c r="A814" s="166" t="e">
        <f t="shared" ca="1" si="117"/>
        <v>#VALUE!</v>
      </c>
      <c r="B814" s="166">
        <f t="shared" ca="1" si="124"/>
        <v>115</v>
      </c>
      <c r="C814" s="172" t="str">
        <f t="shared" ca="1" si="118"/>
        <v>a173p00000BI4zIAAT</v>
      </c>
      <c r="D814" s="166"/>
      <c r="E814" s="166">
        <f t="shared" ca="1" si="125"/>
        <v>1</v>
      </c>
      <c r="F814" s="177">
        <f ca="1">IF(COUNTA(D$518:D814)=1,"",OFFSET(F812,-COUNTA(D$518:D814)+3,0))</f>
        <v>20</v>
      </c>
      <c r="G814" s="171" t="str">
        <f t="shared" ca="1" si="119"/>
        <v/>
      </c>
      <c r="H814" s="166">
        <f t="shared" ca="1" si="126"/>
        <v>47</v>
      </c>
      <c r="I814" s="168" t="str">
        <f t="shared" ca="1" si="120"/>
        <v/>
      </c>
      <c r="J814" s="177" t="str">
        <f t="shared" ca="1" si="121"/>
        <v/>
      </c>
      <c r="K814" s="177" t="str">
        <f t="shared" ca="1" si="122"/>
        <v/>
      </c>
      <c r="L814" s="171" t="e">
        <f>#VALUE!</f>
        <v>#VALUE!</v>
      </c>
      <c r="M814" s="166" t="str">
        <f ca="1">IFERROR(IF(COUNTIF($B$517:$B813,"&lt;0")&lt;&gt;1,OFFSET($C812,-COUNTIF($B$517:$B813,"&lt;0")+3,0),""),"")</f>
        <v>a173p00000BI4zIAAT</v>
      </c>
      <c r="N814" s="166">
        <f ca="1">IFERROR(IF(COUNTA($D$517:D813)=1,0,OFFSET($F812,-COUNTA($D$517:D813)+3,0)),"")</f>
        <v>20</v>
      </c>
      <c r="O814" s="166"/>
      <c r="P814" s="166">
        <f t="shared" ca="1" si="127"/>
        <v>0</v>
      </c>
      <c r="Q814" s="166"/>
      <c r="R814" s="166"/>
      <c r="S814" s="166"/>
      <c r="T814" s="171"/>
    </row>
    <row r="815" spans="1:20">
      <c r="A815" s="166" t="e">
        <f t="shared" ca="1" si="117"/>
        <v>#VALUE!</v>
      </c>
      <c r="B815" s="166">
        <f t="shared" ca="1" si="124"/>
        <v>116</v>
      </c>
      <c r="C815" s="172" t="str">
        <f t="shared" ca="1" si="118"/>
        <v>a173p00000BI4zmAAD</v>
      </c>
      <c r="D815" s="166"/>
      <c r="E815" s="166">
        <f t="shared" ca="1" si="125"/>
        <v>2</v>
      </c>
      <c r="F815" s="177">
        <f ca="1">IF(COUNTA(D$518:D815)=1,"",OFFSET(F813,-COUNTA(D$518:D815)+3,0))</f>
        <v>20</v>
      </c>
      <c r="G815" s="171" t="str">
        <f t="shared" ca="1" si="119"/>
        <v/>
      </c>
      <c r="H815" s="166">
        <f t="shared" ca="1" si="126"/>
        <v>47</v>
      </c>
      <c r="I815" s="168" t="str">
        <f t="shared" ca="1" si="120"/>
        <v/>
      </c>
      <c r="J815" s="177" t="str">
        <f t="shared" ca="1" si="121"/>
        <v/>
      </c>
      <c r="K815" s="177" t="str">
        <f t="shared" ca="1" si="122"/>
        <v/>
      </c>
      <c r="L815" s="171" t="e">
        <f>#VALUE!</f>
        <v>#VALUE!</v>
      </c>
      <c r="M815" s="166" t="str">
        <f ca="1">IFERROR(IF(COUNTIF($B$517:$B814,"&lt;0")&lt;&gt;1,OFFSET($C813,-COUNTIF($B$517:$B814,"&lt;0")+3,0),""),"")</f>
        <v>a173p00000BI4zmAAD</v>
      </c>
      <c r="N815" s="166">
        <f ca="1">IFERROR(IF(COUNTA($D$517:D814)=1,0,OFFSET($F813,-COUNTA($D$517:D814)+3,0)),"")</f>
        <v>20</v>
      </c>
      <c r="O815" s="166"/>
      <c r="P815" s="166">
        <f t="shared" ca="1" si="127"/>
        <v>0</v>
      </c>
      <c r="Q815" s="166"/>
      <c r="R815" s="166"/>
      <c r="S815" s="166"/>
      <c r="T815" s="171"/>
    </row>
    <row r="816" spans="1:20">
      <c r="A816" s="166" t="e">
        <f t="shared" ca="1" si="117"/>
        <v>#VALUE!</v>
      </c>
      <c r="B816" s="166">
        <f t="shared" ca="1" si="124"/>
        <v>117</v>
      </c>
      <c r="C816" s="172" t="str">
        <f t="shared" ca="1" si="118"/>
        <v>a173p00000BI50GAAT</v>
      </c>
      <c r="D816" s="166"/>
      <c r="E816" s="166">
        <f t="shared" ca="1" si="125"/>
        <v>3</v>
      </c>
      <c r="F816" s="177">
        <f ca="1">IF(COUNTA(D$518:D816)=1,"",OFFSET(F814,-COUNTA(D$518:D816)+3,0))</f>
        <v>20</v>
      </c>
      <c r="G816" s="171" t="str">
        <f t="shared" ca="1" si="119"/>
        <v/>
      </c>
      <c r="H816" s="166">
        <f t="shared" ca="1" si="126"/>
        <v>47</v>
      </c>
      <c r="I816" s="168" t="str">
        <f t="shared" ca="1" si="120"/>
        <v/>
      </c>
      <c r="J816" s="177" t="str">
        <f t="shared" ca="1" si="121"/>
        <v/>
      </c>
      <c r="K816" s="177" t="str">
        <f t="shared" ca="1" si="122"/>
        <v/>
      </c>
      <c r="L816" s="171" t="e">
        <f>#VALUE!</f>
        <v>#VALUE!</v>
      </c>
      <c r="M816" s="166" t="str">
        <f ca="1">IFERROR(IF(COUNTIF($B$517:$B815,"&lt;0")&lt;&gt;1,OFFSET($C814,-COUNTIF($B$517:$B815,"&lt;0")+3,0),""),"")</f>
        <v>a173p00000BI50GAAT</v>
      </c>
      <c r="N816" s="166">
        <f ca="1">IFERROR(IF(COUNTA($D$517:D815)=1,0,OFFSET($F814,-COUNTA($D$517:D815)+3,0)),"")</f>
        <v>20</v>
      </c>
      <c r="O816" s="166"/>
      <c r="P816" s="166">
        <f t="shared" ca="1" si="127"/>
        <v>0</v>
      </c>
      <c r="Q816" s="166"/>
      <c r="R816" s="166"/>
      <c r="S816" s="166"/>
      <c r="T816" s="171"/>
    </row>
    <row r="817" spans="1:20">
      <c r="A817" s="166" t="e">
        <f t="shared" ca="1" si="117"/>
        <v>#VALUE!</v>
      </c>
      <c r="B817" s="166">
        <f t="shared" ca="1" si="124"/>
        <v>118</v>
      </c>
      <c r="C817" s="172" t="str">
        <f t="shared" ca="1" si="118"/>
        <v>a173p00000BI50kAAD</v>
      </c>
      <c r="D817" s="166"/>
      <c r="E817" s="166">
        <f t="shared" ca="1" si="125"/>
        <v>4</v>
      </c>
      <c r="F817" s="177">
        <f ca="1">IF(COUNTA(D$518:D817)=1,"",OFFSET(F815,-COUNTA(D$518:D817)+3,0))</f>
        <v>20</v>
      </c>
      <c r="G817" s="171" t="str">
        <f t="shared" ca="1" si="119"/>
        <v/>
      </c>
      <c r="H817" s="166">
        <f t="shared" ca="1" si="126"/>
        <v>47</v>
      </c>
      <c r="I817" s="168" t="str">
        <f t="shared" ca="1" si="120"/>
        <v/>
      </c>
      <c r="J817" s="177" t="str">
        <f t="shared" ca="1" si="121"/>
        <v/>
      </c>
      <c r="K817" s="177" t="str">
        <f t="shared" ca="1" si="122"/>
        <v/>
      </c>
      <c r="L817" s="171" t="e">
        <f>#VALUE!</f>
        <v>#VALUE!</v>
      </c>
      <c r="M817" s="166" t="str">
        <f ca="1">IFERROR(IF(COUNTIF($B$517:$B816,"&lt;0")&lt;&gt;1,OFFSET($C815,-COUNTIF($B$517:$B816,"&lt;0")+3,0),""),"")</f>
        <v>a173p00000BI50kAAD</v>
      </c>
      <c r="N817" s="166">
        <f ca="1">IFERROR(IF(COUNTA($D$517:D816)=1,0,OFFSET($F815,-COUNTA($D$517:D816)+3,0)),"")</f>
        <v>20</v>
      </c>
      <c r="O817" s="166"/>
      <c r="P817" s="166">
        <f t="shared" ca="1" si="127"/>
        <v>0</v>
      </c>
      <c r="Q817" s="166"/>
      <c r="R817" s="166"/>
      <c r="S817" s="166"/>
      <c r="T817" s="171"/>
    </row>
    <row r="818" spans="1:20">
      <c r="A818" s="166" t="e">
        <f t="shared" ca="1" si="117"/>
        <v>#VALUE!</v>
      </c>
      <c r="B818" s="166">
        <f t="shared" ca="1" si="124"/>
        <v>119</v>
      </c>
      <c r="C818" s="172" t="str">
        <f t="shared" ca="1" si="118"/>
        <v>a173p00000BI51EAAT</v>
      </c>
      <c r="D818" s="166"/>
      <c r="E818" s="166">
        <f t="shared" ca="1" si="125"/>
        <v>5</v>
      </c>
      <c r="F818" s="177">
        <f ca="1">IF(COUNTA(D$518:D818)=1,"",OFFSET(F816,-COUNTA(D$518:D818)+3,0))</f>
        <v>20</v>
      </c>
      <c r="G818" s="171" t="str">
        <f t="shared" ca="1" si="119"/>
        <v/>
      </c>
      <c r="H818" s="166">
        <f t="shared" ca="1" si="126"/>
        <v>47</v>
      </c>
      <c r="I818" s="168" t="str">
        <f t="shared" ca="1" si="120"/>
        <v/>
      </c>
      <c r="J818" s="177" t="str">
        <f t="shared" ca="1" si="121"/>
        <v/>
      </c>
      <c r="K818" s="177" t="str">
        <f t="shared" ca="1" si="122"/>
        <v/>
      </c>
      <c r="L818" s="171" t="e">
        <f>#VALUE!</f>
        <v>#VALUE!</v>
      </c>
      <c r="M818" s="166" t="str">
        <f ca="1">IFERROR(IF(COUNTIF($B$517:$B817,"&lt;0")&lt;&gt;1,OFFSET($C816,-COUNTIF($B$517:$B817,"&lt;0")+3,0),""),"")</f>
        <v>a173p00000BI51EAAT</v>
      </c>
      <c r="N818" s="166">
        <f ca="1">IFERROR(IF(COUNTA($D$517:D817)=1,0,OFFSET($F816,-COUNTA($D$517:D817)+3,0)),"")</f>
        <v>20</v>
      </c>
      <c r="O818" s="166"/>
      <c r="P818" s="166">
        <f t="shared" ca="1" si="127"/>
        <v>0</v>
      </c>
      <c r="Q818" s="166"/>
      <c r="R818" s="166"/>
      <c r="S818" s="166"/>
      <c r="T818" s="171"/>
    </row>
    <row r="819" spans="1:20">
      <c r="A819" s="166" t="e">
        <f t="shared" ca="1" si="117"/>
        <v>#VALUE!</v>
      </c>
      <c r="B819" s="166">
        <f t="shared" ca="1" si="124"/>
        <v>120</v>
      </c>
      <c r="C819" s="172" t="str">
        <f t="shared" ca="1" si="118"/>
        <v>a173p00000BI51iAAD</v>
      </c>
      <c r="D819" s="166"/>
      <c r="E819" s="166">
        <f t="shared" ca="1" si="125"/>
        <v>6</v>
      </c>
      <c r="F819" s="177">
        <f ca="1">IF(COUNTA(D$518:D819)=1,"",OFFSET(F817,-COUNTA(D$518:D819)+3,0))</f>
        <v>20</v>
      </c>
      <c r="G819" s="171" t="str">
        <f t="shared" ca="1" si="119"/>
        <v/>
      </c>
      <c r="H819" s="166">
        <f t="shared" ca="1" si="126"/>
        <v>47</v>
      </c>
      <c r="I819" s="168" t="str">
        <f t="shared" ca="1" si="120"/>
        <v/>
      </c>
      <c r="J819" s="177" t="str">
        <f t="shared" ca="1" si="121"/>
        <v/>
      </c>
      <c r="K819" s="177" t="str">
        <f t="shared" ca="1" si="122"/>
        <v/>
      </c>
      <c r="L819" s="171" t="e">
        <f>#VALUE!</f>
        <v>#VALUE!</v>
      </c>
      <c r="M819" s="166" t="str">
        <f ca="1">IFERROR(IF(COUNTIF($B$517:$B818,"&lt;0")&lt;&gt;1,OFFSET($C817,-COUNTIF($B$517:$B818,"&lt;0")+3,0),""),"")</f>
        <v>a173p00000BI51iAAD</v>
      </c>
      <c r="N819" s="166">
        <f ca="1">IFERROR(IF(COUNTA($D$517:D818)=1,0,OFFSET($F817,-COUNTA($D$517:D818)+3,0)),"")</f>
        <v>20</v>
      </c>
      <c r="O819" s="166"/>
      <c r="P819" s="166">
        <f t="shared" ca="1" si="127"/>
        <v>0</v>
      </c>
      <c r="Q819" s="166"/>
      <c r="R819" s="166"/>
      <c r="S819" s="166"/>
      <c r="T819" s="171"/>
    </row>
    <row r="820" spans="1:20">
      <c r="A820" s="166" t="e">
        <f t="shared" ca="1" si="117"/>
        <v>#VALUE!</v>
      </c>
      <c r="B820" s="166">
        <f t="shared" ca="1" si="124"/>
        <v>121</v>
      </c>
      <c r="C820" s="172" t="str">
        <f t="shared" ca="1" si="118"/>
        <v>a173p00000BI4zJAAT</v>
      </c>
      <c r="D820" s="166"/>
      <c r="E820" s="166">
        <f t="shared" ca="1" si="125"/>
        <v>1</v>
      </c>
      <c r="F820" s="177">
        <f ca="1">IF(COUNTA(D$518:D820)=1,"",OFFSET(F818,-COUNTA(D$518:D820)+3,0))</f>
        <v>21</v>
      </c>
      <c r="G820" s="171" t="str">
        <f t="shared" ca="1" si="119"/>
        <v/>
      </c>
      <c r="H820" s="166">
        <f t="shared" ca="1" si="126"/>
        <v>49</v>
      </c>
      <c r="I820" s="168" t="str">
        <f t="shared" ca="1" si="120"/>
        <v/>
      </c>
      <c r="J820" s="177" t="str">
        <f t="shared" ca="1" si="121"/>
        <v/>
      </c>
      <c r="K820" s="177" t="str">
        <f t="shared" ca="1" si="122"/>
        <v/>
      </c>
      <c r="L820" s="171" t="e">
        <f>#VALUE!</f>
        <v>#VALUE!</v>
      </c>
      <c r="M820" s="166" t="str">
        <f ca="1">IFERROR(IF(COUNTIF($B$517:$B819,"&lt;0")&lt;&gt;1,OFFSET($C818,-COUNTIF($B$517:$B819,"&lt;0")+3,0),""),"")</f>
        <v>a173p00000BI4zJAAT</v>
      </c>
      <c r="N820" s="166">
        <f ca="1">IFERROR(IF(COUNTA($D$517:D819)=1,0,OFFSET($F818,-COUNTA($D$517:D819)+3,0)),"")</f>
        <v>21</v>
      </c>
      <c r="O820" s="166"/>
      <c r="P820" s="166">
        <f t="shared" ca="1" si="127"/>
        <v>0</v>
      </c>
      <c r="Q820" s="166"/>
      <c r="R820" s="166"/>
      <c r="S820" s="166"/>
      <c r="T820" s="171"/>
    </row>
    <row r="821" spans="1:20">
      <c r="A821" s="166" t="e">
        <f t="shared" ca="1" si="117"/>
        <v>#VALUE!</v>
      </c>
      <c r="B821" s="166">
        <f t="shared" ca="1" si="124"/>
        <v>122</v>
      </c>
      <c r="C821" s="172" t="str">
        <f t="shared" ca="1" si="118"/>
        <v>a173p00000BI4znAAD</v>
      </c>
      <c r="D821" s="166"/>
      <c r="E821" s="166">
        <f t="shared" ca="1" si="125"/>
        <v>2</v>
      </c>
      <c r="F821" s="177">
        <f ca="1">IF(COUNTA(D$518:D821)=1,"",OFFSET(F819,-COUNTA(D$518:D821)+3,0))</f>
        <v>21</v>
      </c>
      <c r="G821" s="171" t="str">
        <f t="shared" ca="1" si="119"/>
        <v/>
      </c>
      <c r="H821" s="166">
        <f t="shared" ca="1" si="126"/>
        <v>49</v>
      </c>
      <c r="I821" s="168" t="str">
        <f t="shared" ca="1" si="120"/>
        <v/>
      </c>
      <c r="J821" s="177" t="str">
        <f t="shared" ca="1" si="121"/>
        <v/>
      </c>
      <c r="K821" s="177" t="str">
        <f t="shared" ca="1" si="122"/>
        <v/>
      </c>
      <c r="L821" s="171" t="e">
        <f>#VALUE!</f>
        <v>#VALUE!</v>
      </c>
      <c r="M821" s="166" t="str">
        <f ca="1">IFERROR(IF(COUNTIF($B$517:$B820,"&lt;0")&lt;&gt;1,OFFSET($C819,-COUNTIF($B$517:$B820,"&lt;0")+3,0),""),"")</f>
        <v>a173p00000BI4znAAD</v>
      </c>
      <c r="N821" s="166">
        <f ca="1">IFERROR(IF(COUNTA($D$517:D820)=1,0,OFFSET($F819,-COUNTA($D$517:D820)+3,0)),"")</f>
        <v>21</v>
      </c>
      <c r="O821" s="166"/>
      <c r="P821" s="166">
        <f t="shared" ca="1" si="127"/>
        <v>0</v>
      </c>
      <c r="Q821" s="166"/>
      <c r="R821" s="166"/>
      <c r="S821" s="166"/>
      <c r="T821" s="171"/>
    </row>
    <row r="822" spans="1:20">
      <c r="A822" s="166" t="e">
        <f t="shared" ca="1" si="117"/>
        <v>#VALUE!</v>
      </c>
      <c r="B822" s="166">
        <f t="shared" ca="1" si="124"/>
        <v>123</v>
      </c>
      <c r="C822" s="172" t="str">
        <f t="shared" ca="1" si="118"/>
        <v>a173p00000BI50HAAT</v>
      </c>
      <c r="D822" s="166"/>
      <c r="E822" s="166">
        <f t="shared" ca="1" si="125"/>
        <v>3</v>
      </c>
      <c r="F822" s="177">
        <f ca="1">IF(COUNTA(D$518:D822)=1,"",OFFSET(F820,-COUNTA(D$518:D822)+3,0))</f>
        <v>21</v>
      </c>
      <c r="G822" s="171" t="str">
        <f t="shared" ca="1" si="119"/>
        <v/>
      </c>
      <c r="H822" s="166">
        <f t="shared" ca="1" si="126"/>
        <v>49</v>
      </c>
      <c r="I822" s="168" t="str">
        <f t="shared" ca="1" si="120"/>
        <v/>
      </c>
      <c r="J822" s="177" t="str">
        <f t="shared" ca="1" si="121"/>
        <v/>
      </c>
      <c r="K822" s="177" t="str">
        <f t="shared" ca="1" si="122"/>
        <v/>
      </c>
      <c r="L822" s="171" t="e">
        <f>#VALUE!</f>
        <v>#VALUE!</v>
      </c>
      <c r="M822" s="166" t="str">
        <f ca="1">IFERROR(IF(COUNTIF($B$517:$B821,"&lt;0")&lt;&gt;1,OFFSET($C820,-COUNTIF($B$517:$B821,"&lt;0")+3,0),""),"")</f>
        <v>a173p00000BI50HAAT</v>
      </c>
      <c r="N822" s="166">
        <f ca="1">IFERROR(IF(COUNTA($D$517:D821)=1,0,OFFSET($F820,-COUNTA($D$517:D821)+3,0)),"")</f>
        <v>21</v>
      </c>
      <c r="O822" s="166"/>
      <c r="P822" s="166">
        <f t="shared" ca="1" si="127"/>
        <v>0</v>
      </c>
      <c r="Q822" s="166"/>
      <c r="R822" s="166"/>
      <c r="S822" s="166"/>
      <c r="T822" s="171"/>
    </row>
    <row r="823" spans="1:20">
      <c r="A823" s="166" t="e">
        <f t="shared" ca="1" si="117"/>
        <v>#VALUE!</v>
      </c>
      <c r="B823" s="166">
        <f t="shared" ca="1" si="124"/>
        <v>124</v>
      </c>
      <c r="C823" s="172" t="str">
        <f t="shared" ca="1" si="118"/>
        <v>a173p00000BI50lAAD</v>
      </c>
      <c r="D823" s="166"/>
      <c r="E823" s="166">
        <f t="shared" ca="1" si="125"/>
        <v>4</v>
      </c>
      <c r="F823" s="177">
        <f ca="1">IF(COUNTA(D$518:D823)=1,"",OFFSET(F821,-COUNTA(D$518:D823)+3,0))</f>
        <v>21</v>
      </c>
      <c r="G823" s="171" t="str">
        <f t="shared" ca="1" si="119"/>
        <v/>
      </c>
      <c r="H823" s="166">
        <f t="shared" ca="1" si="126"/>
        <v>49</v>
      </c>
      <c r="I823" s="168" t="str">
        <f t="shared" ca="1" si="120"/>
        <v/>
      </c>
      <c r="J823" s="177" t="str">
        <f t="shared" ca="1" si="121"/>
        <v/>
      </c>
      <c r="K823" s="177" t="str">
        <f t="shared" ca="1" si="122"/>
        <v/>
      </c>
      <c r="L823" s="171" t="e">
        <f>#VALUE!</f>
        <v>#VALUE!</v>
      </c>
      <c r="M823" s="166" t="str">
        <f ca="1">IFERROR(IF(COUNTIF($B$517:$B822,"&lt;0")&lt;&gt;1,OFFSET($C821,-COUNTIF($B$517:$B822,"&lt;0")+3,0),""),"")</f>
        <v>a173p00000BI50lAAD</v>
      </c>
      <c r="N823" s="166">
        <f ca="1">IFERROR(IF(COUNTA($D$517:D822)=1,0,OFFSET($F821,-COUNTA($D$517:D822)+3,0)),"")</f>
        <v>21</v>
      </c>
      <c r="O823" s="166"/>
      <c r="P823" s="166">
        <f t="shared" ca="1" si="127"/>
        <v>0</v>
      </c>
      <c r="Q823" s="166"/>
      <c r="R823" s="166"/>
      <c r="S823" s="166"/>
      <c r="T823" s="171"/>
    </row>
    <row r="824" spans="1:20">
      <c r="A824" s="166" t="e">
        <f t="shared" ca="1" si="117"/>
        <v>#VALUE!</v>
      </c>
      <c r="B824" s="166">
        <f t="shared" ca="1" si="124"/>
        <v>125</v>
      </c>
      <c r="C824" s="172" t="str">
        <f t="shared" ca="1" si="118"/>
        <v>a173p00000BI51FAAT</v>
      </c>
      <c r="D824" s="166"/>
      <c r="E824" s="166">
        <f t="shared" ca="1" si="125"/>
        <v>5</v>
      </c>
      <c r="F824" s="177">
        <f ca="1">IF(COUNTA(D$518:D824)=1,"",OFFSET(F822,-COUNTA(D$518:D824)+3,0))</f>
        <v>21</v>
      </c>
      <c r="G824" s="171" t="str">
        <f t="shared" ca="1" si="119"/>
        <v/>
      </c>
      <c r="H824" s="166">
        <f t="shared" ca="1" si="126"/>
        <v>49</v>
      </c>
      <c r="I824" s="168" t="str">
        <f t="shared" ca="1" si="120"/>
        <v/>
      </c>
      <c r="J824" s="177" t="str">
        <f t="shared" ca="1" si="121"/>
        <v/>
      </c>
      <c r="K824" s="177" t="str">
        <f t="shared" ca="1" si="122"/>
        <v/>
      </c>
      <c r="L824" s="171" t="e">
        <f>#VALUE!</f>
        <v>#VALUE!</v>
      </c>
      <c r="M824" s="166" t="str">
        <f ca="1">IFERROR(IF(COUNTIF($B$517:$B823,"&lt;0")&lt;&gt;1,OFFSET($C822,-COUNTIF($B$517:$B823,"&lt;0")+3,0),""),"")</f>
        <v>a173p00000BI51FAAT</v>
      </c>
      <c r="N824" s="166">
        <f ca="1">IFERROR(IF(COUNTA($D$517:D823)=1,0,OFFSET($F822,-COUNTA($D$517:D823)+3,0)),"")</f>
        <v>21</v>
      </c>
      <c r="O824" s="166"/>
      <c r="P824" s="166">
        <f t="shared" ca="1" si="127"/>
        <v>0</v>
      </c>
      <c r="Q824" s="166"/>
      <c r="R824" s="166"/>
      <c r="S824" s="166"/>
      <c r="T824" s="171"/>
    </row>
    <row r="825" spans="1:20">
      <c r="A825" s="166" t="e">
        <f t="shared" ca="1" si="117"/>
        <v>#VALUE!</v>
      </c>
      <c r="B825" s="166">
        <f t="shared" ca="1" si="124"/>
        <v>126</v>
      </c>
      <c r="C825" s="172" t="str">
        <f t="shared" ca="1" si="118"/>
        <v>a173p00000BI51jAAD</v>
      </c>
      <c r="D825" s="166"/>
      <c r="E825" s="166">
        <f t="shared" ca="1" si="125"/>
        <v>6</v>
      </c>
      <c r="F825" s="177">
        <f ca="1">IF(COUNTA(D$518:D825)=1,"",OFFSET(F823,-COUNTA(D$518:D825)+3,0))</f>
        <v>21</v>
      </c>
      <c r="G825" s="171" t="str">
        <f t="shared" ca="1" si="119"/>
        <v/>
      </c>
      <c r="H825" s="166">
        <f t="shared" ca="1" si="126"/>
        <v>49</v>
      </c>
      <c r="I825" s="168" t="str">
        <f t="shared" ca="1" si="120"/>
        <v/>
      </c>
      <c r="J825" s="177" t="str">
        <f t="shared" ca="1" si="121"/>
        <v/>
      </c>
      <c r="K825" s="177" t="str">
        <f t="shared" ca="1" si="122"/>
        <v/>
      </c>
      <c r="L825" s="171" t="e">
        <f>#VALUE!</f>
        <v>#VALUE!</v>
      </c>
      <c r="M825" s="166" t="str">
        <f ca="1">IFERROR(IF(COUNTIF($B$517:$B824,"&lt;0")&lt;&gt;1,OFFSET($C823,-COUNTIF($B$517:$B824,"&lt;0")+3,0),""),"")</f>
        <v>a173p00000BI51jAAD</v>
      </c>
      <c r="N825" s="166">
        <f ca="1">IFERROR(IF(COUNTA($D$517:D824)=1,0,OFFSET($F823,-COUNTA($D$517:D824)+3,0)),"")</f>
        <v>21</v>
      </c>
      <c r="O825" s="166"/>
      <c r="P825" s="166">
        <f t="shared" ca="1" si="127"/>
        <v>0</v>
      </c>
      <c r="Q825" s="166"/>
      <c r="R825" s="166"/>
      <c r="S825" s="166"/>
      <c r="T825" s="171"/>
    </row>
    <row r="826" spans="1:20">
      <c r="A826" s="166" t="e">
        <f t="shared" ca="1" si="117"/>
        <v>#VALUE!</v>
      </c>
      <c r="B826" s="166">
        <f t="shared" ca="1" si="124"/>
        <v>127</v>
      </c>
      <c r="C826" s="172" t="str">
        <f t="shared" ca="1" si="118"/>
        <v>a173p00000BI4zKAAT</v>
      </c>
      <c r="D826" s="166"/>
      <c r="E826" s="166">
        <f t="shared" ca="1" si="125"/>
        <v>1</v>
      </c>
      <c r="F826" s="177">
        <f ca="1">IF(COUNTA(D$518:D826)=1,"",OFFSET(F824,-COUNTA(D$518:D826)+3,0))</f>
        <v>22</v>
      </c>
      <c r="G826" s="171" t="str">
        <f t="shared" ca="1" si="119"/>
        <v/>
      </c>
      <c r="H826" s="166">
        <f t="shared" ca="1" si="126"/>
        <v>51</v>
      </c>
      <c r="I826" s="168" t="str">
        <f t="shared" ca="1" si="120"/>
        <v/>
      </c>
      <c r="J826" s="177" t="str">
        <f t="shared" ca="1" si="121"/>
        <v/>
      </c>
      <c r="K826" s="177" t="str">
        <f t="shared" ca="1" si="122"/>
        <v/>
      </c>
      <c r="L826" s="171" t="e">
        <f>#VALUE!</f>
        <v>#VALUE!</v>
      </c>
      <c r="M826" s="166" t="str">
        <f ca="1">IFERROR(IF(COUNTIF($B$517:$B825,"&lt;0")&lt;&gt;1,OFFSET($C824,-COUNTIF($B$517:$B825,"&lt;0")+3,0),""),"")</f>
        <v>a173p00000BI4zKAAT</v>
      </c>
      <c r="N826" s="166">
        <f ca="1">IFERROR(IF(COUNTA($D$517:D825)=1,0,OFFSET($F824,-COUNTA($D$517:D825)+3,0)),"")</f>
        <v>22</v>
      </c>
      <c r="O826" s="166"/>
      <c r="P826" s="166">
        <f t="shared" ca="1" si="127"/>
        <v>0</v>
      </c>
      <c r="Q826" s="166"/>
      <c r="R826" s="166"/>
      <c r="S826" s="166"/>
      <c r="T826" s="171"/>
    </row>
    <row r="827" spans="1:20">
      <c r="A827" s="166" t="e">
        <f t="shared" ca="1" si="117"/>
        <v>#VALUE!</v>
      </c>
      <c r="B827" s="166">
        <f t="shared" ca="1" si="124"/>
        <v>128</v>
      </c>
      <c r="C827" s="172" t="str">
        <f t="shared" ca="1" si="118"/>
        <v>a173p00000BI4zoAAD</v>
      </c>
      <c r="D827" s="166"/>
      <c r="E827" s="166">
        <f t="shared" ca="1" si="125"/>
        <v>2</v>
      </c>
      <c r="F827" s="177">
        <f ca="1">IF(COUNTA(D$518:D827)=1,"",OFFSET(F825,-COUNTA(D$518:D827)+3,0))</f>
        <v>22</v>
      </c>
      <c r="G827" s="171" t="str">
        <f t="shared" ca="1" si="119"/>
        <v/>
      </c>
      <c r="H827" s="166">
        <f t="shared" ca="1" si="126"/>
        <v>51</v>
      </c>
      <c r="I827" s="168" t="str">
        <f t="shared" ca="1" si="120"/>
        <v/>
      </c>
      <c r="J827" s="177" t="str">
        <f t="shared" ca="1" si="121"/>
        <v/>
      </c>
      <c r="K827" s="177" t="str">
        <f t="shared" ca="1" si="122"/>
        <v/>
      </c>
      <c r="L827" s="171" t="e">
        <f>#VALUE!</f>
        <v>#VALUE!</v>
      </c>
      <c r="M827" s="166" t="str">
        <f ca="1">IFERROR(IF(COUNTIF($B$517:$B826,"&lt;0")&lt;&gt;1,OFFSET($C825,-COUNTIF($B$517:$B826,"&lt;0")+3,0),""),"")</f>
        <v>a173p00000BI4zoAAD</v>
      </c>
      <c r="N827" s="166">
        <f ca="1">IFERROR(IF(COUNTA($D$517:D826)=1,0,OFFSET($F825,-COUNTA($D$517:D826)+3,0)),"")</f>
        <v>22</v>
      </c>
      <c r="O827" s="166"/>
      <c r="P827" s="166">
        <f t="shared" ca="1" si="127"/>
        <v>0</v>
      </c>
      <c r="Q827" s="166"/>
      <c r="R827" s="166"/>
      <c r="S827" s="166"/>
      <c r="T827" s="171"/>
    </row>
    <row r="828" spans="1:20">
      <c r="A828" s="166" t="e">
        <f t="shared" ref="A828:A879" ca="1" si="128">IF(OR(I828&lt;&gt;"",J828&lt;&gt;"",K828&lt;&gt;"",L828&lt;&gt;""),TRUE,FALSE)</f>
        <v>#VALUE!</v>
      </c>
      <c r="B828" s="166">
        <f t="shared" ca="1" si="124"/>
        <v>129</v>
      </c>
      <c r="C828" s="172" t="str">
        <f t="shared" ref="C828:C879" ca="1" si="129">M828</f>
        <v>a173p00000BI50IAAT</v>
      </c>
      <c r="D828" s="166"/>
      <c r="E828" s="166">
        <f t="shared" ca="1" si="125"/>
        <v>3</v>
      </c>
      <c r="F828" s="177">
        <f ca="1">IF(COUNTA(D$518:D828)=1,"",OFFSET(F826,-COUNTA(D$518:D828)+3,0))</f>
        <v>22</v>
      </c>
      <c r="G828" s="171" t="str">
        <f t="shared" ref="G828:G879" ca="1" si="130">IFERROR(IF(INDIRECT("'Coverage Indicators - Section I'!G"&amp;$I312)=0,"",INDIRECT("'Coverage Indicators - Section I'!G"&amp;$I312)),"")</f>
        <v/>
      </c>
      <c r="H828" s="166">
        <f t="shared" ca="1" si="126"/>
        <v>51</v>
      </c>
      <c r="I828" s="168" t="str">
        <f t="shared" ref="I828:I879" ca="1" si="131">IFERROR(CHOOSE(E828,IFERROR(IF(INDIRECT("'Coverage Indicators - Section D'!P"&amp;H828)="","",INDIRECT("'Coverage Indicators - Section D'!P"&amp;H828)*100),""),IFERROR(IF(INDIRECT("'Coverage Indicators - Section D'!S"&amp;H828)="","",INDIRECT("'Coverage Indicators - Section D'!S"&amp;H828)*100),""),IFERROR(IF(INDIRECT("'Coverage Indicators - Section D'!V"&amp;H828)="","",INDIRECT("'Coverage Indicators - Section D'!V"&amp;H828)*100),""),IFERROR(IF(INDIRECT("'Coverage Indicators - Section D'!Y"&amp;H828)="","",INDIRECT("'Coverage Indicators - Section D'!Y"&amp;H828)*100),""),IFERROR(IF(INDIRECT("'Coverage Indicators - Section D'!AB"&amp;H828)="","",INDIRECT("'Coverage Indicators - Section D'!AB"&amp;H828)*100),""),IFERROR(IF(INDIRECT("'Coverage Indicators - Section D'!AE"&amp;H828)="","",INDIRECT("'Coverage Indicators - Section D'!AE"&amp;H828)*100),""),IFERROR(IF(INDIRECT("'Coverage Indicators - SectionD'!AH"&amp;H828)="","",INDIRECT("'CoverageIndicators-SectionD'!AH"&amp;H828)*100),"")),"")</f>
        <v/>
      </c>
      <c r="J828" s="177" t="str">
        <f t="shared" ref="J828:J879" ca="1" si="132">IFERROR(CHOOSE(E828,IFERROR(IF(INDIRECT("'Coverage Indicators - Section D'!O"&amp;H828+1)="","",INDIRECT("'Coverage Indicators - Section D'!O"&amp;H828+1)),""),IFERROR(IF(INDIRECT("'Coverage Indicators - Section D'!R"&amp;H828+1)="","",INDIRECT("'Coverage Indicators - Section D'!R"&amp;H828+1)),""),IFERROR(IF(INDIRECT("'Coverage Indicators - Section D'!U"&amp;H828+1)="","",INDIRECT("'Coverage Indicators - Section D'!U"&amp;H828+1)),""),IFERROR(IF(INDIRECT("'Coverage Indicators - Section D'!X"&amp;H828+1)="","",INDIRECT("'Coverage Indicators - Section D'!X"&amp;H828+1)),""),IFERROR(IF(INDIRECT("'Coverage Indicators - Section D'!AA"&amp;H828+1)="","",INDIRECT("'Coverage Indicators - Section D'!AA"&amp;H828+1)),""),IFERROR(IF(INDIRECT("'Coverage Indicators - Section D'!AD"&amp;H828+1)="","",INDIRECT("'Coverage Indicators - Section D'!AD"&amp;H828+1)),""),IFERROR(IF(INDIRECT("'Coverage Indicators - Section D'!AG"&amp;H828+1)="","",INDIRECT("'Coverage Indicators - Section D'!AG"&amp;H828+1)),""),IFERROR(IF(INDIRECT("'Coverage Indicators - Section D'!AJ"&amp;H828+1)="","",INDIRECT("'Coverage Indicators - Section D'!AJ"&amp;H828+1)),"")),"")</f>
        <v/>
      </c>
      <c r="K828" s="177" t="str">
        <f t="shared" ref="K828:K879" ca="1" si="133">IFERROR(CHOOSE(E828,IFERROR(IF(INDIRECT("'Coverage Indicators - Section D'!O"&amp;H828)="","",INDIRECT("'Coverage Indicators - Section D'!O"&amp;H828)),""),IFERROR(IF(INDIRECT("'Coverage Indicators - Section D'!R"&amp;H828)="","",INDIRECT("'Coverage Indicators - Section D'!R"&amp;H828)),""),IFERROR(IF(INDIRECT("'Coverage Indicators - Section D'!U"&amp;H828)="","",INDIRECT("'Coverage Indicators - Section D'!U"&amp;H828)),""),IFERROR(IF(INDIRECT("'Coverage Indicators - Section D'!X"&amp;H828)="","",INDIRECT("'Coverage Indicators - Section D'!X"&amp;H828)),""),IFERROR(IF(INDIRECT("'Coverage Indicators - Section D'!AA"&amp;H828)="","",INDIRECT("'Coverage Indicators - Section D'!AA"&amp;H828)),""),IFERROR(IF(INDIRECT("'Coverage Indicators - Section D'!AD"&amp;H828)="","",INDIRECT("'Coverage Indicators - Section D'!AD"&amp;H828)),""),IFERROR(IF(INDIRECT("'Coverage Indicators - Section D'!AG"&amp;H828)="","",INDIRECT("'Coverage Indicators - Section D'!AG"&amp;H828)),""),IFERROR(IF(INDIRECT("'Coverage Indicators - Section D'!AJ"&amp;H828)="","",INDIRECT("'Coverage Indicators - Section D'!AJ"&amp;H828)),"")),"")</f>
        <v/>
      </c>
      <c r="L828" s="171" t="e">
        <f t="shared" ref="L828" si="134">#VALUE!</f>
        <v>#VALUE!</v>
      </c>
      <c r="M828" s="166" t="str">
        <f ca="1">IFERROR(IF(COUNTIF($B$517:$B827,"&lt;0")&lt;&gt;1,OFFSET($C826,-COUNTIF($B$517:$B827,"&lt;0")+3,0),""),"")</f>
        <v>a173p00000BI50IAAT</v>
      </c>
      <c r="N828" s="166">
        <f ca="1">IFERROR(IF(COUNTA($D$517:D827)=1,0,OFFSET($F826,-COUNTA($D$517:D827)+3,0)),"")</f>
        <v>22</v>
      </c>
      <c r="O828" s="166"/>
      <c r="P828" s="166">
        <f t="shared" ca="1" si="127"/>
        <v>0</v>
      </c>
      <c r="Q828" s="166"/>
      <c r="R828" s="166"/>
      <c r="S828" s="166"/>
      <c r="T828" s="171"/>
    </row>
    <row r="829" spans="1:20">
      <c r="A829" s="166" t="e">
        <f t="shared" ca="1" si="128"/>
        <v>#VALUE!</v>
      </c>
      <c r="B829" s="166">
        <f t="shared" ca="1" si="124"/>
        <v>130</v>
      </c>
      <c r="C829" s="172" t="str">
        <f t="shared" ca="1" si="129"/>
        <v>a173p00000BI50mAAD</v>
      </c>
      <c r="D829" s="166"/>
      <c r="E829" s="166">
        <f t="shared" ca="1" si="125"/>
        <v>4</v>
      </c>
      <c r="F829" s="177">
        <f ca="1">IF(COUNTA(D$518:D829)=1,"",OFFSET(F827,-COUNTA(D$518:D829)+3,0))</f>
        <v>22</v>
      </c>
      <c r="G829" s="171" t="str">
        <f t="shared" ca="1" si="130"/>
        <v/>
      </c>
      <c r="H829" s="166">
        <f t="shared" ca="1" si="126"/>
        <v>51</v>
      </c>
      <c r="I829" s="168" t="str">
        <f t="shared" ca="1" si="131"/>
        <v/>
      </c>
      <c r="J829" s="177" t="str">
        <f t="shared" ca="1" si="132"/>
        <v/>
      </c>
      <c r="K829" s="177" t="str">
        <f t="shared" ca="1" si="133"/>
        <v/>
      </c>
      <c r="L829" s="171" t="e">
        <f>#VALUE!</f>
        <v>#VALUE!</v>
      </c>
      <c r="M829" s="166" t="str">
        <f ca="1">IFERROR(IF(COUNTIF($B$517:$B828,"&lt;0")&lt;&gt;1,OFFSET($C827,-COUNTIF($B$517:$B828,"&lt;0")+3,0),""),"")</f>
        <v>a173p00000BI50mAAD</v>
      </c>
      <c r="N829" s="166">
        <f ca="1">IFERROR(IF(COUNTA($D$517:D828)=1,0,OFFSET($F827,-COUNTA($D$517:D828)+3,0)),"")</f>
        <v>22</v>
      </c>
      <c r="O829" s="166"/>
      <c r="P829" s="166">
        <f t="shared" ca="1" si="127"/>
        <v>0</v>
      </c>
      <c r="Q829" s="166"/>
      <c r="R829" s="166"/>
      <c r="S829" s="166"/>
      <c r="T829" s="171"/>
    </row>
    <row r="830" spans="1:20">
      <c r="A830" s="166" t="e">
        <f t="shared" ca="1" si="128"/>
        <v>#VALUE!</v>
      </c>
      <c r="B830" s="166">
        <f t="shared" ca="1" si="124"/>
        <v>131</v>
      </c>
      <c r="C830" s="172" t="str">
        <f t="shared" ca="1" si="129"/>
        <v>a173p00000BI51GAAT</v>
      </c>
      <c r="D830" s="166"/>
      <c r="E830" s="166">
        <f t="shared" ca="1" si="125"/>
        <v>5</v>
      </c>
      <c r="F830" s="177">
        <f ca="1">IF(COUNTA(D$518:D830)=1,"",OFFSET(F828,-COUNTA(D$518:D830)+3,0))</f>
        <v>22</v>
      </c>
      <c r="G830" s="171" t="str">
        <f t="shared" ca="1" si="130"/>
        <v/>
      </c>
      <c r="H830" s="166">
        <f t="shared" ca="1" si="126"/>
        <v>51</v>
      </c>
      <c r="I830" s="168" t="str">
        <f t="shared" ca="1" si="131"/>
        <v/>
      </c>
      <c r="J830" s="177" t="str">
        <f t="shared" ca="1" si="132"/>
        <v/>
      </c>
      <c r="K830" s="177" t="str">
        <f t="shared" ca="1" si="133"/>
        <v/>
      </c>
      <c r="L830" s="171" t="e">
        <f>#VALUE!</f>
        <v>#VALUE!</v>
      </c>
      <c r="M830" s="166" t="str">
        <f ca="1">IFERROR(IF(COUNTIF($B$517:$B829,"&lt;0")&lt;&gt;1,OFFSET($C828,-COUNTIF($B$517:$B829,"&lt;0")+3,0),""),"")</f>
        <v>a173p00000BI51GAAT</v>
      </c>
      <c r="N830" s="166">
        <f ca="1">IFERROR(IF(COUNTA($D$517:D829)=1,0,OFFSET($F828,-COUNTA($D$517:D829)+3,0)),"")</f>
        <v>22</v>
      </c>
      <c r="O830" s="166"/>
      <c r="P830" s="166">
        <f t="shared" ca="1" si="127"/>
        <v>0</v>
      </c>
      <c r="Q830" s="166"/>
      <c r="R830" s="166"/>
      <c r="S830" s="166"/>
      <c r="T830" s="171"/>
    </row>
    <row r="831" spans="1:20">
      <c r="A831" s="166" t="e">
        <f t="shared" ca="1" si="128"/>
        <v>#VALUE!</v>
      </c>
      <c r="B831" s="166">
        <f t="shared" ca="1" si="124"/>
        <v>132</v>
      </c>
      <c r="C831" s="172" t="str">
        <f t="shared" ca="1" si="129"/>
        <v>a173p00000BI51kAAD</v>
      </c>
      <c r="D831" s="166"/>
      <c r="E831" s="166">
        <f t="shared" ca="1" si="125"/>
        <v>6</v>
      </c>
      <c r="F831" s="177">
        <f ca="1">IF(COUNTA(D$518:D831)=1,"",OFFSET(F829,-COUNTA(D$518:D831)+3,0))</f>
        <v>22</v>
      </c>
      <c r="G831" s="171" t="str">
        <f t="shared" ca="1" si="130"/>
        <v/>
      </c>
      <c r="H831" s="166">
        <f t="shared" ca="1" si="126"/>
        <v>51</v>
      </c>
      <c r="I831" s="168" t="str">
        <f t="shared" ca="1" si="131"/>
        <v/>
      </c>
      <c r="J831" s="177" t="str">
        <f t="shared" ca="1" si="132"/>
        <v/>
      </c>
      <c r="K831" s="177" t="str">
        <f t="shared" ca="1" si="133"/>
        <v/>
      </c>
      <c r="L831" s="171" t="e">
        <f>#VALUE!</f>
        <v>#VALUE!</v>
      </c>
      <c r="M831" s="166" t="str">
        <f ca="1">IFERROR(IF(COUNTIF($B$517:$B830,"&lt;0")&lt;&gt;1,OFFSET($C829,-COUNTIF($B$517:$B830,"&lt;0")+3,0),""),"")</f>
        <v>a173p00000BI51kAAD</v>
      </c>
      <c r="N831" s="166">
        <f ca="1">IFERROR(IF(COUNTA($D$517:D830)=1,0,OFFSET($F829,-COUNTA($D$517:D830)+3,0)),"")</f>
        <v>22</v>
      </c>
      <c r="O831" s="166"/>
      <c r="P831" s="166">
        <f t="shared" ca="1" si="127"/>
        <v>0</v>
      </c>
      <c r="Q831" s="166"/>
      <c r="R831" s="166"/>
      <c r="S831" s="166"/>
      <c r="T831" s="171"/>
    </row>
    <row r="832" spans="1:20">
      <c r="A832" s="166" t="e">
        <f t="shared" ca="1" si="128"/>
        <v>#VALUE!</v>
      </c>
      <c r="B832" s="166">
        <f t="shared" ca="1" si="124"/>
        <v>133</v>
      </c>
      <c r="C832" s="172" t="str">
        <f t="shared" ca="1" si="129"/>
        <v>a173p00000BI4zLAAT</v>
      </c>
      <c r="D832" s="166"/>
      <c r="E832" s="166">
        <f t="shared" ca="1" si="125"/>
        <v>1</v>
      </c>
      <c r="F832" s="177">
        <f ca="1">IF(COUNTA(D$518:D832)=1,"",OFFSET(F830,-COUNTA(D$518:D832)+3,0))</f>
        <v>23</v>
      </c>
      <c r="G832" s="171" t="str">
        <f t="shared" ca="1" si="130"/>
        <v/>
      </c>
      <c r="H832" s="166">
        <f t="shared" ca="1" si="126"/>
        <v>53</v>
      </c>
      <c r="I832" s="168" t="str">
        <f t="shared" ca="1" si="131"/>
        <v/>
      </c>
      <c r="J832" s="177" t="str">
        <f t="shared" ca="1" si="132"/>
        <v/>
      </c>
      <c r="K832" s="177" t="str">
        <f t="shared" ca="1" si="133"/>
        <v/>
      </c>
      <c r="L832" s="171" t="e">
        <f>#VALUE!</f>
        <v>#VALUE!</v>
      </c>
      <c r="M832" s="166" t="str">
        <f ca="1">IFERROR(IF(COUNTIF($B$517:$B831,"&lt;0")&lt;&gt;1,OFFSET($C830,-COUNTIF($B$517:$B831,"&lt;0")+3,0),""),"")</f>
        <v>a173p00000BI4zLAAT</v>
      </c>
      <c r="N832" s="166">
        <f ca="1">IFERROR(IF(COUNTA($D$517:D831)=1,0,OFFSET($F830,-COUNTA($D$517:D831)+3,0)),"")</f>
        <v>23</v>
      </c>
      <c r="O832" s="166"/>
      <c r="P832" s="166">
        <f t="shared" ca="1" si="127"/>
        <v>0</v>
      </c>
      <c r="Q832" s="166"/>
      <c r="R832" s="166"/>
      <c r="S832" s="166"/>
      <c r="T832" s="171"/>
    </row>
    <row r="833" spans="1:20">
      <c r="A833" s="166" t="e">
        <f t="shared" ca="1" si="128"/>
        <v>#VALUE!</v>
      </c>
      <c r="B833" s="166">
        <f t="shared" ca="1" si="124"/>
        <v>134</v>
      </c>
      <c r="C833" s="172" t="str">
        <f t="shared" ca="1" si="129"/>
        <v>a173p00000BI4zpAAD</v>
      </c>
      <c r="D833" s="166"/>
      <c r="E833" s="166">
        <f t="shared" ca="1" si="125"/>
        <v>2</v>
      </c>
      <c r="F833" s="177">
        <f ca="1">IF(COUNTA(D$518:D833)=1,"",OFFSET(F831,-COUNTA(D$518:D833)+3,0))</f>
        <v>23</v>
      </c>
      <c r="G833" s="171" t="str">
        <f t="shared" ca="1" si="130"/>
        <v/>
      </c>
      <c r="H833" s="166">
        <f t="shared" ca="1" si="126"/>
        <v>53</v>
      </c>
      <c r="I833" s="168" t="str">
        <f t="shared" ca="1" si="131"/>
        <v/>
      </c>
      <c r="J833" s="177" t="str">
        <f t="shared" ca="1" si="132"/>
        <v/>
      </c>
      <c r="K833" s="177" t="str">
        <f t="shared" ca="1" si="133"/>
        <v/>
      </c>
      <c r="L833" s="171" t="e">
        <f>#VALUE!</f>
        <v>#VALUE!</v>
      </c>
      <c r="M833" s="166" t="str">
        <f ca="1">IFERROR(IF(COUNTIF($B$517:$B832,"&lt;0")&lt;&gt;1,OFFSET($C831,-COUNTIF($B$517:$B832,"&lt;0")+3,0),""),"")</f>
        <v>a173p00000BI4zpAAD</v>
      </c>
      <c r="N833" s="166">
        <f ca="1">IFERROR(IF(COUNTA($D$517:D832)=1,0,OFFSET($F831,-COUNTA($D$517:D832)+3,0)),"")</f>
        <v>23</v>
      </c>
      <c r="O833" s="166"/>
      <c r="P833" s="166">
        <f t="shared" ca="1" si="127"/>
        <v>0</v>
      </c>
      <c r="Q833" s="166"/>
      <c r="R833" s="166"/>
      <c r="S833" s="166"/>
      <c r="T833" s="171"/>
    </row>
    <row r="834" spans="1:20">
      <c r="A834" s="166" t="e">
        <f t="shared" ca="1" si="128"/>
        <v>#VALUE!</v>
      </c>
      <c r="B834" s="166">
        <f t="shared" ca="1" si="124"/>
        <v>135</v>
      </c>
      <c r="C834" s="172" t="str">
        <f t="shared" ca="1" si="129"/>
        <v>a173p00000BI50JAAT</v>
      </c>
      <c r="D834" s="166"/>
      <c r="E834" s="166">
        <f t="shared" ca="1" si="125"/>
        <v>3</v>
      </c>
      <c r="F834" s="177">
        <f ca="1">IF(COUNTA(D$518:D834)=1,"",OFFSET(F832,-COUNTA(D$518:D834)+3,0))</f>
        <v>23</v>
      </c>
      <c r="G834" s="171" t="str">
        <f t="shared" ca="1" si="130"/>
        <v/>
      </c>
      <c r="H834" s="166">
        <f t="shared" ca="1" si="126"/>
        <v>53</v>
      </c>
      <c r="I834" s="168" t="str">
        <f t="shared" ca="1" si="131"/>
        <v/>
      </c>
      <c r="J834" s="177" t="str">
        <f t="shared" ca="1" si="132"/>
        <v/>
      </c>
      <c r="K834" s="177" t="str">
        <f t="shared" ca="1" si="133"/>
        <v/>
      </c>
      <c r="L834" s="171" t="e">
        <f>#VALUE!</f>
        <v>#VALUE!</v>
      </c>
      <c r="M834" s="166" t="str">
        <f ca="1">IFERROR(IF(COUNTIF($B$517:$B833,"&lt;0")&lt;&gt;1,OFFSET($C832,-COUNTIF($B$517:$B833,"&lt;0")+3,0),""),"")</f>
        <v>a173p00000BI50JAAT</v>
      </c>
      <c r="N834" s="166">
        <f ca="1">IFERROR(IF(COUNTA($D$517:D833)=1,0,OFFSET($F832,-COUNTA($D$517:D833)+3,0)),"")</f>
        <v>23</v>
      </c>
      <c r="O834" s="166"/>
      <c r="P834" s="166">
        <f t="shared" ca="1" si="127"/>
        <v>0</v>
      </c>
      <c r="Q834" s="166"/>
      <c r="R834" s="166"/>
      <c r="S834" s="166"/>
      <c r="T834" s="171"/>
    </row>
    <row r="835" spans="1:20">
      <c r="A835" s="166" t="e">
        <f t="shared" ca="1" si="128"/>
        <v>#VALUE!</v>
      </c>
      <c r="B835" s="166">
        <f t="shared" ca="1" si="124"/>
        <v>136</v>
      </c>
      <c r="C835" s="172" t="str">
        <f t="shared" ca="1" si="129"/>
        <v>a173p00000BI50nAAD</v>
      </c>
      <c r="D835" s="166"/>
      <c r="E835" s="166">
        <f t="shared" ca="1" si="125"/>
        <v>4</v>
      </c>
      <c r="F835" s="177">
        <f ca="1">IF(COUNTA(D$518:D835)=1,"",OFFSET(F833,-COUNTA(D$518:D835)+3,0))</f>
        <v>23</v>
      </c>
      <c r="G835" s="171" t="str">
        <f t="shared" ca="1" si="130"/>
        <v/>
      </c>
      <c r="H835" s="166">
        <f t="shared" ca="1" si="126"/>
        <v>53</v>
      </c>
      <c r="I835" s="168" t="str">
        <f t="shared" ca="1" si="131"/>
        <v/>
      </c>
      <c r="J835" s="177" t="str">
        <f t="shared" ca="1" si="132"/>
        <v/>
      </c>
      <c r="K835" s="177" t="str">
        <f t="shared" ca="1" si="133"/>
        <v/>
      </c>
      <c r="L835" s="171" t="e">
        <f>#VALUE!</f>
        <v>#VALUE!</v>
      </c>
      <c r="M835" s="166" t="str">
        <f ca="1">IFERROR(IF(COUNTIF($B$517:$B834,"&lt;0")&lt;&gt;1,OFFSET($C833,-COUNTIF($B$517:$B834,"&lt;0")+3,0),""),"")</f>
        <v>a173p00000BI50nAAD</v>
      </c>
      <c r="N835" s="166">
        <f ca="1">IFERROR(IF(COUNTA($D$517:D834)=1,0,OFFSET($F833,-COUNTA($D$517:D834)+3,0)),"")</f>
        <v>23</v>
      </c>
      <c r="O835" s="166"/>
      <c r="P835" s="166">
        <f t="shared" ca="1" si="127"/>
        <v>0</v>
      </c>
      <c r="Q835" s="166"/>
      <c r="R835" s="166"/>
      <c r="S835" s="166"/>
      <c r="T835" s="171"/>
    </row>
    <row r="836" spans="1:20">
      <c r="A836" s="166" t="e">
        <f t="shared" ca="1" si="128"/>
        <v>#VALUE!</v>
      </c>
      <c r="B836" s="166">
        <f t="shared" ca="1" si="124"/>
        <v>137</v>
      </c>
      <c r="C836" s="172" t="str">
        <f t="shared" ca="1" si="129"/>
        <v>a173p00000BI51HAAT</v>
      </c>
      <c r="D836" s="166"/>
      <c r="E836" s="166">
        <f t="shared" ca="1" si="125"/>
        <v>5</v>
      </c>
      <c r="F836" s="177">
        <f ca="1">IF(COUNTA(D$518:D836)=1,"",OFFSET(F834,-COUNTA(D$518:D836)+3,0))</f>
        <v>23</v>
      </c>
      <c r="G836" s="171" t="str">
        <f t="shared" ca="1" si="130"/>
        <v/>
      </c>
      <c r="H836" s="166">
        <f t="shared" ca="1" si="126"/>
        <v>53</v>
      </c>
      <c r="I836" s="168" t="str">
        <f t="shared" ca="1" si="131"/>
        <v/>
      </c>
      <c r="J836" s="177" t="str">
        <f t="shared" ca="1" si="132"/>
        <v/>
      </c>
      <c r="K836" s="177" t="str">
        <f t="shared" ca="1" si="133"/>
        <v/>
      </c>
      <c r="L836" s="171" t="e">
        <f>#VALUE!</f>
        <v>#VALUE!</v>
      </c>
      <c r="M836" s="166" t="str">
        <f ca="1">IFERROR(IF(COUNTIF($B$517:$B835,"&lt;0")&lt;&gt;1,OFFSET($C834,-COUNTIF($B$517:$B835,"&lt;0")+3,0),""),"")</f>
        <v>a173p00000BI51HAAT</v>
      </c>
      <c r="N836" s="166">
        <f ca="1">IFERROR(IF(COUNTA($D$517:D835)=1,0,OFFSET($F834,-COUNTA($D$517:D835)+3,0)),"")</f>
        <v>23</v>
      </c>
      <c r="O836" s="166"/>
      <c r="P836" s="166">
        <f t="shared" ca="1" si="127"/>
        <v>0</v>
      </c>
      <c r="Q836" s="166"/>
      <c r="R836" s="166"/>
      <c r="S836" s="166"/>
      <c r="T836" s="171"/>
    </row>
    <row r="837" spans="1:20">
      <c r="A837" s="166" t="e">
        <f t="shared" ca="1" si="128"/>
        <v>#VALUE!</v>
      </c>
      <c r="B837" s="166">
        <f t="shared" ca="1" si="124"/>
        <v>138</v>
      </c>
      <c r="C837" s="172" t="str">
        <f t="shared" ca="1" si="129"/>
        <v>a173p00000BI51lAAD</v>
      </c>
      <c r="D837" s="166"/>
      <c r="E837" s="166">
        <f t="shared" ca="1" si="125"/>
        <v>6</v>
      </c>
      <c r="F837" s="177">
        <f ca="1">IF(COUNTA(D$518:D837)=1,"",OFFSET(F835,-COUNTA(D$518:D837)+3,0))</f>
        <v>23</v>
      </c>
      <c r="G837" s="171" t="str">
        <f t="shared" ca="1" si="130"/>
        <v/>
      </c>
      <c r="H837" s="166">
        <f t="shared" ca="1" si="126"/>
        <v>53</v>
      </c>
      <c r="I837" s="168" t="str">
        <f t="shared" ca="1" si="131"/>
        <v/>
      </c>
      <c r="J837" s="177" t="str">
        <f t="shared" ca="1" si="132"/>
        <v/>
      </c>
      <c r="K837" s="177" t="str">
        <f t="shared" ca="1" si="133"/>
        <v/>
      </c>
      <c r="L837" s="171" t="e">
        <f>#VALUE!</f>
        <v>#VALUE!</v>
      </c>
      <c r="M837" s="166" t="str">
        <f ca="1">IFERROR(IF(COUNTIF($B$517:$B836,"&lt;0")&lt;&gt;1,OFFSET($C835,-COUNTIF($B$517:$B836,"&lt;0")+3,0),""),"")</f>
        <v>a173p00000BI51lAAD</v>
      </c>
      <c r="N837" s="166">
        <f ca="1">IFERROR(IF(COUNTA($D$517:D836)=1,0,OFFSET($F835,-COUNTA($D$517:D836)+3,0)),"")</f>
        <v>23</v>
      </c>
      <c r="O837" s="166"/>
      <c r="P837" s="166">
        <f t="shared" ca="1" si="127"/>
        <v>0</v>
      </c>
      <c r="Q837" s="166"/>
      <c r="R837" s="166"/>
      <c r="S837" s="166"/>
      <c r="T837" s="171"/>
    </row>
    <row r="838" spans="1:20">
      <c r="A838" s="166" t="e">
        <f t="shared" ca="1" si="128"/>
        <v>#VALUE!</v>
      </c>
      <c r="B838" s="166">
        <f t="shared" ca="1" si="124"/>
        <v>139</v>
      </c>
      <c r="C838" s="172" t="str">
        <f t="shared" ca="1" si="129"/>
        <v>a173p00000BI4zMAAT</v>
      </c>
      <c r="D838" s="166"/>
      <c r="E838" s="166">
        <f t="shared" ca="1" si="125"/>
        <v>1</v>
      </c>
      <c r="F838" s="177">
        <f ca="1">IF(COUNTA(D$518:D838)=1,"",OFFSET(F836,-COUNTA(D$518:D838)+3,0))</f>
        <v>24</v>
      </c>
      <c r="G838" s="171" t="str">
        <f t="shared" ca="1" si="130"/>
        <v/>
      </c>
      <c r="H838" s="166">
        <f t="shared" ca="1" si="126"/>
        <v>55</v>
      </c>
      <c r="I838" s="168" t="str">
        <f t="shared" ca="1" si="131"/>
        <v/>
      </c>
      <c r="J838" s="177" t="str">
        <f t="shared" ca="1" si="132"/>
        <v/>
      </c>
      <c r="K838" s="177" t="str">
        <f t="shared" ca="1" si="133"/>
        <v/>
      </c>
      <c r="L838" s="171" t="e">
        <f>#VALUE!</f>
        <v>#VALUE!</v>
      </c>
      <c r="M838" s="166" t="str">
        <f ca="1">IFERROR(IF(COUNTIF($B$517:$B837,"&lt;0")&lt;&gt;1,OFFSET($C836,-COUNTIF($B$517:$B837,"&lt;0")+3,0),""),"")</f>
        <v>a173p00000BI4zMAAT</v>
      </c>
      <c r="N838" s="166">
        <f ca="1">IFERROR(IF(COUNTA($D$517:D837)=1,0,OFFSET($F836,-COUNTA($D$517:D837)+3,0)),"")</f>
        <v>24</v>
      </c>
      <c r="O838" s="166"/>
      <c r="P838" s="166">
        <f t="shared" ca="1" si="127"/>
        <v>0</v>
      </c>
      <c r="Q838" s="166"/>
      <c r="R838" s="166"/>
      <c r="S838" s="166"/>
      <c r="T838" s="171"/>
    </row>
    <row r="839" spans="1:20">
      <c r="A839" s="166" t="e">
        <f t="shared" ca="1" si="128"/>
        <v>#VALUE!</v>
      </c>
      <c r="B839" s="166">
        <f t="shared" ca="1" si="124"/>
        <v>140</v>
      </c>
      <c r="C839" s="172" t="str">
        <f t="shared" ca="1" si="129"/>
        <v>a173p00000BI4zqAAD</v>
      </c>
      <c r="D839" s="166"/>
      <c r="E839" s="166">
        <f t="shared" ca="1" si="125"/>
        <v>2</v>
      </c>
      <c r="F839" s="177">
        <f ca="1">IF(COUNTA(D$518:D839)=1,"",OFFSET(F837,-COUNTA(D$518:D839)+3,0))</f>
        <v>24</v>
      </c>
      <c r="G839" s="171" t="str">
        <f t="shared" ca="1" si="130"/>
        <v/>
      </c>
      <c r="H839" s="166">
        <f t="shared" ca="1" si="126"/>
        <v>55</v>
      </c>
      <c r="I839" s="168" t="str">
        <f t="shared" ca="1" si="131"/>
        <v/>
      </c>
      <c r="J839" s="177" t="str">
        <f t="shared" ca="1" si="132"/>
        <v/>
      </c>
      <c r="K839" s="177" t="str">
        <f t="shared" ca="1" si="133"/>
        <v/>
      </c>
      <c r="L839" s="171" t="e">
        <f>#VALUE!</f>
        <v>#VALUE!</v>
      </c>
      <c r="M839" s="166" t="str">
        <f ca="1">IFERROR(IF(COUNTIF($B$517:$B838,"&lt;0")&lt;&gt;1,OFFSET($C837,-COUNTIF($B$517:$B838,"&lt;0")+3,0),""),"")</f>
        <v>a173p00000BI4zqAAD</v>
      </c>
      <c r="N839" s="166">
        <f ca="1">IFERROR(IF(COUNTA($D$517:D838)=1,0,OFFSET($F837,-COUNTA($D$517:D838)+3,0)),"")</f>
        <v>24</v>
      </c>
      <c r="O839" s="166"/>
      <c r="P839" s="166">
        <f t="shared" ca="1" si="127"/>
        <v>0</v>
      </c>
      <c r="Q839" s="166"/>
      <c r="R839" s="166"/>
      <c r="S839" s="166"/>
      <c r="T839" s="171"/>
    </row>
    <row r="840" spans="1:20">
      <c r="A840" s="166" t="e">
        <f t="shared" ca="1" si="128"/>
        <v>#VALUE!</v>
      </c>
      <c r="B840" s="166">
        <f t="shared" ref="B840:B879" ca="1" si="135">B839+1</f>
        <v>141</v>
      </c>
      <c r="C840" s="172" t="str">
        <f t="shared" ca="1" si="129"/>
        <v>a173p00000BI50KAAT</v>
      </c>
      <c r="D840" s="166"/>
      <c r="E840" s="166">
        <f t="shared" ref="E840:E879" ca="1" si="136">COUNTIF(F773:F840,F840)</f>
        <v>3</v>
      </c>
      <c r="F840" s="177">
        <f ca="1">IF(COUNTA(D$518:D840)=1,"",OFFSET(F838,-COUNTA(D$518:D840)+3,0))</f>
        <v>24</v>
      </c>
      <c r="G840" s="171" t="str">
        <f t="shared" ca="1" si="130"/>
        <v/>
      </c>
      <c r="H840" s="166">
        <f t="shared" ref="H840:H879" ca="1" si="137">IF(F840=1,9,IF(E839=MAX(E838:E840),H838+2,H839))</f>
        <v>55</v>
      </c>
      <c r="I840" s="168" t="str">
        <f t="shared" ca="1" si="131"/>
        <v/>
      </c>
      <c r="J840" s="177" t="str">
        <f t="shared" ca="1" si="132"/>
        <v/>
      </c>
      <c r="K840" s="177" t="str">
        <f t="shared" ca="1" si="133"/>
        <v/>
      </c>
      <c r="L840" s="171" t="e">
        <f>#VALUE!</f>
        <v>#VALUE!</v>
      </c>
      <c r="M840" s="166" t="str">
        <f ca="1">IFERROR(IF(COUNTIF($B$517:$B839,"&lt;0")&lt;&gt;1,OFFSET($C838,-COUNTIF($B$517:$B839,"&lt;0")+3,0),""),"")</f>
        <v>a173p00000BI50KAAT</v>
      </c>
      <c r="N840" s="166">
        <f ca="1">IFERROR(IF(COUNTA($D$517:D839)=1,0,OFFSET($F838,-COUNTA($D$517:D839)+3,0)),"")</f>
        <v>24</v>
      </c>
      <c r="O840" s="166"/>
      <c r="P840" s="166">
        <f t="shared" ref="P840:P879" ca="1" si="138">IF(NOT(_xlfn.ISFORMULA(I840)),P839+1,0)</f>
        <v>0</v>
      </c>
      <c r="Q840" s="166"/>
      <c r="R840" s="166"/>
      <c r="S840" s="166"/>
      <c r="T840" s="171"/>
    </row>
    <row r="841" spans="1:20">
      <c r="A841" s="166" t="e">
        <f t="shared" ca="1" si="128"/>
        <v>#VALUE!</v>
      </c>
      <c r="B841" s="166">
        <f t="shared" ca="1" si="135"/>
        <v>142</v>
      </c>
      <c r="C841" s="172" t="str">
        <f t="shared" ca="1" si="129"/>
        <v>a173p00000BI50oAAD</v>
      </c>
      <c r="D841" s="166"/>
      <c r="E841" s="166">
        <f t="shared" ca="1" si="136"/>
        <v>4</v>
      </c>
      <c r="F841" s="177">
        <f ca="1">IF(COUNTA(D$518:D841)=1,"",OFFSET(F839,-COUNTA(D$518:D841)+3,0))</f>
        <v>24</v>
      </c>
      <c r="G841" s="171" t="str">
        <f t="shared" ca="1" si="130"/>
        <v/>
      </c>
      <c r="H841" s="166">
        <f t="shared" ca="1" si="137"/>
        <v>55</v>
      </c>
      <c r="I841" s="168" t="str">
        <f t="shared" ca="1" si="131"/>
        <v/>
      </c>
      <c r="J841" s="177" t="str">
        <f t="shared" ca="1" si="132"/>
        <v/>
      </c>
      <c r="K841" s="177" t="str">
        <f t="shared" ca="1" si="133"/>
        <v/>
      </c>
      <c r="L841" s="171" t="e">
        <f>#VALUE!</f>
        <v>#VALUE!</v>
      </c>
      <c r="M841" s="166" t="str">
        <f ca="1">IFERROR(IF(COUNTIF($B$517:$B840,"&lt;0")&lt;&gt;1,OFFSET($C839,-COUNTIF($B$517:$B840,"&lt;0")+3,0),""),"")</f>
        <v>a173p00000BI50oAAD</v>
      </c>
      <c r="N841" s="166">
        <f ca="1">IFERROR(IF(COUNTA($D$517:D840)=1,0,OFFSET($F839,-COUNTA($D$517:D840)+3,0)),"")</f>
        <v>24</v>
      </c>
      <c r="O841" s="166"/>
      <c r="P841" s="166">
        <f t="shared" ca="1" si="138"/>
        <v>0</v>
      </c>
      <c r="Q841" s="166"/>
      <c r="R841" s="166"/>
      <c r="S841" s="166"/>
      <c r="T841" s="171"/>
    </row>
    <row r="842" spans="1:20">
      <c r="A842" s="166" t="e">
        <f t="shared" ca="1" si="128"/>
        <v>#VALUE!</v>
      </c>
      <c r="B842" s="166">
        <f t="shared" ca="1" si="135"/>
        <v>143</v>
      </c>
      <c r="C842" s="172" t="str">
        <f t="shared" ca="1" si="129"/>
        <v>a173p00000BI51IAAT</v>
      </c>
      <c r="D842" s="166"/>
      <c r="E842" s="166">
        <f t="shared" ca="1" si="136"/>
        <v>5</v>
      </c>
      <c r="F842" s="177">
        <f ca="1">IF(COUNTA(D$518:D842)=1,"",OFFSET(F840,-COUNTA(D$518:D842)+3,0))</f>
        <v>24</v>
      </c>
      <c r="G842" s="171" t="str">
        <f t="shared" ca="1" si="130"/>
        <v/>
      </c>
      <c r="H842" s="166">
        <f t="shared" ca="1" si="137"/>
        <v>55</v>
      </c>
      <c r="I842" s="168" t="str">
        <f t="shared" ca="1" si="131"/>
        <v/>
      </c>
      <c r="J842" s="177" t="str">
        <f t="shared" ca="1" si="132"/>
        <v/>
      </c>
      <c r="K842" s="177" t="str">
        <f t="shared" ca="1" si="133"/>
        <v/>
      </c>
      <c r="L842" s="171" t="e">
        <f>#VALUE!</f>
        <v>#VALUE!</v>
      </c>
      <c r="M842" s="166" t="str">
        <f ca="1">IFERROR(IF(COUNTIF($B$517:$B841,"&lt;0")&lt;&gt;1,OFFSET($C840,-COUNTIF($B$517:$B841,"&lt;0")+3,0),""),"")</f>
        <v>a173p00000BI51IAAT</v>
      </c>
      <c r="N842" s="166">
        <f ca="1">IFERROR(IF(COUNTA($D$517:D841)=1,0,OFFSET($F840,-COUNTA($D$517:D841)+3,0)),"")</f>
        <v>24</v>
      </c>
      <c r="O842" s="166"/>
      <c r="P842" s="166">
        <f t="shared" ca="1" si="138"/>
        <v>0</v>
      </c>
      <c r="Q842" s="166"/>
      <c r="R842" s="166"/>
      <c r="S842" s="166"/>
      <c r="T842" s="171"/>
    </row>
    <row r="843" spans="1:20">
      <c r="A843" s="166" t="e">
        <f t="shared" ca="1" si="128"/>
        <v>#VALUE!</v>
      </c>
      <c r="B843" s="166">
        <f t="shared" ca="1" si="135"/>
        <v>144</v>
      </c>
      <c r="C843" s="172" t="str">
        <f t="shared" ca="1" si="129"/>
        <v>a173p00000BI51mAAD</v>
      </c>
      <c r="D843" s="166"/>
      <c r="E843" s="166">
        <f t="shared" ca="1" si="136"/>
        <v>6</v>
      </c>
      <c r="F843" s="177">
        <f ca="1">IF(COUNTA(D$518:D843)=1,"",OFFSET(F841,-COUNTA(D$518:D843)+3,0))</f>
        <v>24</v>
      </c>
      <c r="G843" s="171" t="str">
        <f t="shared" ca="1" si="130"/>
        <v/>
      </c>
      <c r="H843" s="166">
        <f t="shared" ca="1" si="137"/>
        <v>55</v>
      </c>
      <c r="I843" s="168" t="str">
        <f t="shared" ca="1" si="131"/>
        <v/>
      </c>
      <c r="J843" s="177" t="str">
        <f t="shared" ca="1" si="132"/>
        <v/>
      </c>
      <c r="K843" s="177" t="str">
        <f t="shared" ca="1" si="133"/>
        <v/>
      </c>
      <c r="L843" s="171" t="e">
        <f>#VALUE!</f>
        <v>#VALUE!</v>
      </c>
      <c r="M843" s="166" t="str">
        <f ca="1">IFERROR(IF(COUNTIF($B$517:$B842,"&lt;0")&lt;&gt;1,OFFSET($C841,-COUNTIF($B$517:$B842,"&lt;0")+3,0),""),"")</f>
        <v>a173p00000BI51mAAD</v>
      </c>
      <c r="N843" s="166">
        <f ca="1">IFERROR(IF(COUNTA($D$517:D842)=1,0,OFFSET($F841,-COUNTA($D$517:D842)+3,0)),"")</f>
        <v>24</v>
      </c>
      <c r="O843" s="166"/>
      <c r="P843" s="166">
        <f t="shared" ca="1" si="138"/>
        <v>0</v>
      </c>
      <c r="Q843" s="166"/>
      <c r="R843" s="166"/>
      <c r="S843" s="166"/>
      <c r="T843" s="171"/>
    </row>
    <row r="844" spans="1:20">
      <c r="A844" s="166" t="e">
        <f t="shared" ca="1" si="128"/>
        <v>#VALUE!</v>
      </c>
      <c r="B844" s="166">
        <f t="shared" ca="1" si="135"/>
        <v>145</v>
      </c>
      <c r="C844" s="172" t="str">
        <f t="shared" ca="1" si="129"/>
        <v>a173p00000BI4zNAAT</v>
      </c>
      <c r="D844" s="166"/>
      <c r="E844" s="166">
        <f t="shared" ca="1" si="136"/>
        <v>1</v>
      </c>
      <c r="F844" s="177">
        <f ca="1">IF(COUNTA(D$518:D844)=1,"",OFFSET(F842,-COUNTA(D$518:D844)+3,0))</f>
        <v>25</v>
      </c>
      <c r="G844" s="171" t="str">
        <f t="shared" ca="1" si="130"/>
        <v/>
      </c>
      <c r="H844" s="166">
        <f t="shared" ca="1" si="137"/>
        <v>57</v>
      </c>
      <c r="I844" s="168" t="str">
        <f t="shared" ca="1" si="131"/>
        <v/>
      </c>
      <c r="J844" s="177" t="str">
        <f t="shared" ca="1" si="132"/>
        <v/>
      </c>
      <c r="K844" s="177" t="str">
        <f t="shared" ca="1" si="133"/>
        <v/>
      </c>
      <c r="L844" s="171" t="e">
        <f>#VALUE!</f>
        <v>#VALUE!</v>
      </c>
      <c r="M844" s="166" t="str">
        <f ca="1">IFERROR(IF(COUNTIF($B$517:$B843,"&lt;0")&lt;&gt;1,OFFSET($C842,-COUNTIF($B$517:$B843,"&lt;0")+3,0),""),"")</f>
        <v>a173p00000BI4zNAAT</v>
      </c>
      <c r="N844" s="166">
        <f ca="1">IFERROR(IF(COUNTA($D$517:D843)=1,0,OFFSET($F842,-COUNTA($D$517:D843)+3,0)),"")</f>
        <v>25</v>
      </c>
      <c r="O844" s="166"/>
      <c r="P844" s="166">
        <f t="shared" ca="1" si="138"/>
        <v>0</v>
      </c>
      <c r="Q844" s="166"/>
      <c r="R844" s="166"/>
      <c r="S844" s="166"/>
      <c r="T844" s="171"/>
    </row>
    <row r="845" spans="1:20">
      <c r="A845" s="166" t="e">
        <f t="shared" ca="1" si="128"/>
        <v>#VALUE!</v>
      </c>
      <c r="B845" s="166">
        <f t="shared" ca="1" si="135"/>
        <v>146</v>
      </c>
      <c r="C845" s="172" t="str">
        <f t="shared" ca="1" si="129"/>
        <v>a173p00000BI4zrAAD</v>
      </c>
      <c r="D845" s="166"/>
      <c r="E845" s="166">
        <f t="shared" ca="1" si="136"/>
        <v>2</v>
      </c>
      <c r="F845" s="177">
        <f ca="1">IF(COUNTA(D$518:D845)=1,"",OFFSET(F843,-COUNTA(D$518:D845)+3,0))</f>
        <v>25</v>
      </c>
      <c r="G845" s="171" t="str">
        <f t="shared" ca="1" si="130"/>
        <v/>
      </c>
      <c r="H845" s="166">
        <f t="shared" ca="1" si="137"/>
        <v>57</v>
      </c>
      <c r="I845" s="168" t="str">
        <f t="shared" ca="1" si="131"/>
        <v/>
      </c>
      <c r="J845" s="177" t="str">
        <f t="shared" ca="1" si="132"/>
        <v/>
      </c>
      <c r="K845" s="177" t="str">
        <f t="shared" ca="1" si="133"/>
        <v/>
      </c>
      <c r="L845" s="171" t="e">
        <f>#VALUE!</f>
        <v>#VALUE!</v>
      </c>
      <c r="M845" s="166" t="str">
        <f ca="1">IFERROR(IF(COUNTIF($B$517:$B844,"&lt;0")&lt;&gt;1,OFFSET($C843,-COUNTIF($B$517:$B844,"&lt;0")+3,0),""),"")</f>
        <v>a173p00000BI4zrAAD</v>
      </c>
      <c r="N845" s="166">
        <f ca="1">IFERROR(IF(COUNTA($D$517:D844)=1,0,OFFSET($F843,-COUNTA($D$517:D844)+3,0)),"")</f>
        <v>25</v>
      </c>
      <c r="O845" s="166"/>
      <c r="P845" s="166">
        <f t="shared" ca="1" si="138"/>
        <v>0</v>
      </c>
      <c r="Q845" s="166"/>
      <c r="R845" s="166"/>
      <c r="S845" s="166"/>
      <c r="T845" s="171"/>
    </row>
    <row r="846" spans="1:20">
      <c r="A846" s="166" t="e">
        <f t="shared" ca="1" si="128"/>
        <v>#VALUE!</v>
      </c>
      <c r="B846" s="166">
        <f t="shared" ca="1" si="135"/>
        <v>147</v>
      </c>
      <c r="C846" s="172" t="str">
        <f t="shared" ca="1" si="129"/>
        <v>a173p00000BI50LAAT</v>
      </c>
      <c r="D846" s="166"/>
      <c r="E846" s="166">
        <f t="shared" ca="1" si="136"/>
        <v>3</v>
      </c>
      <c r="F846" s="177">
        <f ca="1">IF(COUNTA(D$518:D846)=1,"",OFFSET(F844,-COUNTA(D$518:D846)+3,0))</f>
        <v>25</v>
      </c>
      <c r="G846" s="171" t="str">
        <f t="shared" ca="1" si="130"/>
        <v/>
      </c>
      <c r="H846" s="166">
        <f t="shared" ca="1" si="137"/>
        <v>57</v>
      </c>
      <c r="I846" s="168" t="str">
        <f t="shared" ca="1" si="131"/>
        <v/>
      </c>
      <c r="J846" s="177" t="str">
        <f t="shared" ca="1" si="132"/>
        <v/>
      </c>
      <c r="K846" s="177" t="str">
        <f t="shared" ca="1" si="133"/>
        <v/>
      </c>
      <c r="L846" s="171" t="e">
        <f>#VALUE!</f>
        <v>#VALUE!</v>
      </c>
      <c r="M846" s="166" t="str">
        <f ca="1">IFERROR(IF(COUNTIF($B$517:$B845,"&lt;0")&lt;&gt;1,OFFSET($C844,-COUNTIF($B$517:$B845,"&lt;0")+3,0),""),"")</f>
        <v>a173p00000BI50LAAT</v>
      </c>
      <c r="N846" s="166">
        <f ca="1">IFERROR(IF(COUNTA($D$517:D845)=1,0,OFFSET($F844,-COUNTA($D$517:D845)+3,0)),"")</f>
        <v>25</v>
      </c>
      <c r="O846" s="166"/>
      <c r="P846" s="166">
        <f t="shared" ca="1" si="138"/>
        <v>0</v>
      </c>
      <c r="Q846" s="166"/>
      <c r="R846" s="166"/>
      <c r="S846" s="166"/>
      <c r="T846" s="171"/>
    </row>
    <row r="847" spans="1:20">
      <c r="A847" s="166" t="e">
        <f t="shared" ca="1" si="128"/>
        <v>#VALUE!</v>
      </c>
      <c r="B847" s="166">
        <f t="shared" ca="1" si="135"/>
        <v>148</v>
      </c>
      <c r="C847" s="172" t="str">
        <f t="shared" ca="1" si="129"/>
        <v>a173p00000BI50pAAD</v>
      </c>
      <c r="D847" s="166"/>
      <c r="E847" s="166">
        <f t="shared" ca="1" si="136"/>
        <v>4</v>
      </c>
      <c r="F847" s="177">
        <f ca="1">IF(COUNTA(D$518:D847)=1,"",OFFSET(F845,-COUNTA(D$518:D847)+3,0))</f>
        <v>25</v>
      </c>
      <c r="G847" s="171" t="str">
        <f t="shared" ca="1" si="130"/>
        <v/>
      </c>
      <c r="H847" s="166">
        <f t="shared" ca="1" si="137"/>
        <v>57</v>
      </c>
      <c r="I847" s="168" t="str">
        <f t="shared" ca="1" si="131"/>
        <v/>
      </c>
      <c r="J847" s="177" t="str">
        <f t="shared" ca="1" si="132"/>
        <v/>
      </c>
      <c r="K847" s="177" t="str">
        <f t="shared" ca="1" si="133"/>
        <v/>
      </c>
      <c r="L847" s="171" t="e">
        <f>#VALUE!</f>
        <v>#VALUE!</v>
      </c>
      <c r="M847" s="166" t="str">
        <f ca="1">IFERROR(IF(COUNTIF($B$517:$B846,"&lt;0")&lt;&gt;1,OFFSET($C845,-COUNTIF($B$517:$B846,"&lt;0")+3,0),""),"")</f>
        <v>a173p00000BI50pAAD</v>
      </c>
      <c r="N847" s="166">
        <f ca="1">IFERROR(IF(COUNTA($D$517:D846)=1,0,OFFSET($F845,-COUNTA($D$517:D846)+3,0)),"")</f>
        <v>25</v>
      </c>
      <c r="O847" s="166"/>
      <c r="P847" s="166">
        <f t="shared" ca="1" si="138"/>
        <v>0</v>
      </c>
      <c r="Q847" s="166"/>
      <c r="R847" s="166"/>
      <c r="S847" s="166"/>
      <c r="T847" s="171"/>
    </row>
    <row r="848" spans="1:20">
      <c r="A848" s="166" t="e">
        <f t="shared" ca="1" si="128"/>
        <v>#VALUE!</v>
      </c>
      <c r="B848" s="166">
        <f t="shared" ca="1" si="135"/>
        <v>149</v>
      </c>
      <c r="C848" s="172" t="str">
        <f t="shared" ca="1" si="129"/>
        <v>a173p00000BI51JAAT</v>
      </c>
      <c r="D848" s="166"/>
      <c r="E848" s="166">
        <f t="shared" ca="1" si="136"/>
        <v>5</v>
      </c>
      <c r="F848" s="177">
        <f ca="1">IF(COUNTA(D$518:D848)=1,"",OFFSET(F846,-COUNTA(D$518:D848)+3,0))</f>
        <v>25</v>
      </c>
      <c r="G848" s="171" t="str">
        <f t="shared" ca="1" si="130"/>
        <v/>
      </c>
      <c r="H848" s="166">
        <f t="shared" ca="1" si="137"/>
        <v>57</v>
      </c>
      <c r="I848" s="168" t="str">
        <f t="shared" ca="1" si="131"/>
        <v/>
      </c>
      <c r="J848" s="177" t="str">
        <f t="shared" ca="1" si="132"/>
        <v/>
      </c>
      <c r="K848" s="177" t="str">
        <f t="shared" ca="1" si="133"/>
        <v/>
      </c>
      <c r="L848" s="171" t="e">
        <f>#VALUE!</f>
        <v>#VALUE!</v>
      </c>
      <c r="M848" s="166" t="str">
        <f ca="1">IFERROR(IF(COUNTIF($B$517:$B847,"&lt;0")&lt;&gt;1,OFFSET($C846,-COUNTIF($B$517:$B847,"&lt;0")+3,0),""),"")</f>
        <v>a173p00000BI51JAAT</v>
      </c>
      <c r="N848" s="166">
        <f ca="1">IFERROR(IF(COUNTA($D$517:D847)=1,0,OFFSET($F846,-COUNTA($D$517:D847)+3,0)),"")</f>
        <v>25</v>
      </c>
      <c r="O848" s="166"/>
      <c r="P848" s="166">
        <f t="shared" ca="1" si="138"/>
        <v>0</v>
      </c>
      <c r="Q848" s="166"/>
      <c r="R848" s="166"/>
      <c r="S848" s="166"/>
      <c r="T848" s="171"/>
    </row>
    <row r="849" spans="1:20">
      <c r="A849" s="166" t="e">
        <f t="shared" ca="1" si="128"/>
        <v>#VALUE!</v>
      </c>
      <c r="B849" s="166">
        <f t="shared" ca="1" si="135"/>
        <v>150</v>
      </c>
      <c r="C849" s="172" t="str">
        <f t="shared" ca="1" si="129"/>
        <v>a173p00000BI51nAAD</v>
      </c>
      <c r="D849" s="166"/>
      <c r="E849" s="166">
        <f t="shared" ca="1" si="136"/>
        <v>6</v>
      </c>
      <c r="F849" s="177">
        <f ca="1">IF(COUNTA(D$518:D849)=1,"",OFFSET(F847,-COUNTA(D$518:D849)+3,0))</f>
        <v>25</v>
      </c>
      <c r="G849" s="171" t="str">
        <f t="shared" ca="1" si="130"/>
        <v/>
      </c>
      <c r="H849" s="166">
        <f t="shared" ca="1" si="137"/>
        <v>57</v>
      </c>
      <c r="I849" s="168" t="str">
        <f t="shared" ca="1" si="131"/>
        <v/>
      </c>
      <c r="J849" s="177" t="str">
        <f t="shared" ca="1" si="132"/>
        <v/>
      </c>
      <c r="K849" s="177" t="str">
        <f t="shared" ca="1" si="133"/>
        <v/>
      </c>
      <c r="L849" s="171" t="e">
        <f>#VALUE!</f>
        <v>#VALUE!</v>
      </c>
      <c r="M849" s="166" t="str">
        <f ca="1">IFERROR(IF(COUNTIF($B$517:$B848,"&lt;0")&lt;&gt;1,OFFSET($C847,-COUNTIF($B$517:$B848,"&lt;0")+3,0),""),"")</f>
        <v>a173p00000BI51nAAD</v>
      </c>
      <c r="N849" s="166">
        <f ca="1">IFERROR(IF(COUNTA($D$517:D848)=1,0,OFFSET($F847,-COUNTA($D$517:D848)+3,0)),"")</f>
        <v>25</v>
      </c>
      <c r="O849" s="166"/>
      <c r="P849" s="166">
        <f t="shared" ca="1" si="138"/>
        <v>0</v>
      </c>
      <c r="Q849" s="166"/>
      <c r="R849" s="166"/>
      <c r="S849" s="166"/>
      <c r="T849" s="171"/>
    </row>
    <row r="850" spans="1:20">
      <c r="A850" s="166" t="e">
        <f t="shared" ca="1" si="128"/>
        <v>#VALUE!</v>
      </c>
      <c r="B850" s="166">
        <f t="shared" ca="1" si="135"/>
        <v>151</v>
      </c>
      <c r="C850" s="172" t="str">
        <f t="shared" ca="1" si="129"/>
        <v>a173p00000BI4zOAAT</v>
      </c>
      <c r="D850" s="166"/>
      <c r="E850" s="166">
        <f t="shared" ca="1" si="136"/>
        <v>1</v>
      </c>
      <c r="F850" s="177">
        <f ca="1">IF(COUNTA(D$518:D850)=1,"",OFFSET(F848,-COUNTA(D$518:D850)+3,0))</f>
        <v>26</v>
      </c>
      <c r="G850" s="171" t="str">
        <f t="shared" ca="1" si="130"/>
        <v/>
      </c>
      <c r="H850" s="166">
        <f t="shared" ca="1" si="137"/>
        <v>59</v>
      </c>
      <c r="I850" s="168" t="str">
        <f t="shared" ca="1" si="131"/>
        <v/>
      </c>
      <c r="J850" s="177" t="str">
        <f t="shared" ca="1" si="132"/>
        <v/>
      </c>
      <c r="K850" s="177" t="str">
        <f t="shared" ca="1" si="133"/>
        <v/>
      </c>
      <c r="L850" s="171" t="e">
        <f>#VALUE!</f>
        <v>#VALUE!</v>
      </c>
      <c r="M850" s="166" t="str">
        <f ca="1">IFERROR(IF(COUNTIF($B$517:$B849,"&lt;0")&lt;&gt;1,OFFSET($C848,-COUNTIF($B$517:$B849,"&lt;0")+3,0),""),"")</f>
        <v>a173p00000BI4zOAAT</v>
      </c>
      <c r="N850" s="166">
        <f ca="1">IFERROR(IF(COUNTA($D$517:D849)=1,0,OFFSET($F848,-COUNTA($D$517:D849)+3,0)),"")</f>
        <v>26</v>
      </c>
      <c r="O850" s="166"/>
      <c r="P850" s="166">
        <f t="shared" ca="1" si="138"/>
        <v>0</v>
      </c>
      <c r="Q850" s="166"/>
      <c r="R850" s="166"/>
      <c r="S850" s="166"/>
      <c r="T850" s="171"/>
    </row>
    <row r="851" spans="1:20">
      <c r="A851" s="166" t="e">
        <f t="shared" ca="1" si="128"/>
        <v>#VALUE!</v>
      </c>
      <c r="B851" s="166">
        <f t="shared" ca="1" si="135"/>
        <v>152</v>
      </c>
      <c r="C851" s="172" t="str">
        <f t="shared" ca="1" si="129"/>
        <v>a173p00000BI4zsAAD</v>
      </c>
      <c r="D851" s="166"/>
      <c r="E851" s="166">
        <f t="shared" ca="1" si="136"/>
        <v>2</v>
      </c>
      <c r="F851" s="177">
        <f ca="1">IF(COUNTA(D$518:D851)=1,"",OFFSET(F849,-COUNTA(D$518:D851)+3,0))</f>
        <v>26</v>
      </c>
      <c r="G851" s="171" t="str">
        <f t="shared" ca="1" si="130"/>
        <v/>
      </c>
      <c r="H851" s="166">
        <f t="shared" ca="1" si="137"/>
        <v>59</v>
      </c>
      <c r="I851" s="168" t="str">
        <f t="shared" ca="1" si="131"/>
        <v/>
      </c>
      <c r="J851" s="177" t="str">
        <f t="shared" ca="1" si="132"/>
        <v/>
      </c>
      <c r="K851" s="177" t="str">
        <f t="shared" ca="1" si="133"/>
        <v/>
      </c>
      <c r="L851" s="171" t="e">
        <f>#VALUE!</f>
        <v>#VALUE!</v>
      </c>
      <c r="M851" s="166" t="str">
        <f ca="1">IFERROR(IF(COUNTIF($B$517:$B850,"&lt;0")&lt;&gt;1,OFFSET($C849,-COUNTIF($B$517:$B850,"&lt;0")+3,0),""),"")</f>
        <v>a173p00000BI4zsAAD</v>
      </c>
      <c r="N851" s="166">
        <f ca="1">IFERROR(IF(COUNTA($D$517:D850)=1,0,OFFSET($F849,-COUNTA($D$517:D850)+3,0)),"")</f>
        <v>26</v>
      </c>
      <c r="O851" s="166"/>
      <c r="P851" s="166">
        <f t="shared" ca="1" si="138"/>
        <v>0</v>
      </c>
      <c r="Q851" s="166"/>
      <c r="R851" s="166"/>
      <c r="S851" s="166"/>
      <c r="T851" s="171"/>
    </row>
    <row r="852" spans="1:20">
      <c r="A852" s="166" t="e">
        <f t="shared" ca="1" si="128"/>
        <v>#VALUE!</v>
      </c>
      <c r="B852" s="166">
        <f t="shared" ca="1" si="135"/>
        <v>153</v>
      </c>
      <c r="C852" s="172" t="str">
        <f t="shared" ca="1" si="129"/>
        <v>a173p00000BI50MAAT</v>
      </c>
      <c r="D852" s="166"/>
      <c r="E852" s="166">
        <f t="shared" ca="1" si="136"/>
        <v>3</v>
      </c>
      <c r="F852" s="177">
        <f ca="1">IF(COUNTA(D$518:D852)=1,"",OFFSET(F850,-COUNTA(D$518:D852)+3,0))</f>
        <v>26</v>
      </c>
      <c r="G852" s="171" t="str">
        <f t="shared" ca="1" si="130"/>
        <v/>
      </c>
      <c r="H852" s="166">
        <f t="shared" ca="1" si="137"/>
        <v>59</v>
      </c>
      <c r="I852" s="168" t="str">
        <f t="shared" ca="1" si="131"/>
        <v/>
      </c>
      <c r="J852" s="177" t="str">
        <f t="shared" ca="1" si="132"/>
        <v/>
      </c>
      <c r="K852" s="177" t="str">
        <f t="shared" ca="1" si="133"/>
        <v/>
      </c>
      <c r="L852" s="171" t="e">
        <f>#VALUE!</f>
        <v>#VALUE!</v>
      </c>
      <c r="M852" s="166" t="str">
        <f ca="1">IFERROR(IF(COUNTIF($B$517:$B851,"&lt;0")&lt;&gt;1,OFFSET($C850,-COUNTIF($B$517:$B851,"&lt;0")+3,0),""),"")</f>
        <v>a173p00000BI50MAAT</v>
      </c>
      <c r="N852" s="166">
        <f ca="1">IFERROR(IF(COUNTA($D$517:D851)=1,0,OFFSET($F850,-COUNTA($D$517:D851)+3,0)),"")</f>
        <v>26</v>
      </c>
      <c r="O852" s="166"/>
      <c r="P852" s="166">
        <f t="shared" ca="1" si="138"/>
        <v>0</v>
      </c>
      <c r="Q852" s="166"/>
      <c r="R852" s="166"/>
      <c r="S852" s="166"/>
      <c r="T852" s="171"/>
    </row>
    <row r="853" spans="1:20">
      <c r="A853" s="166" t="e">
        <f t="shared" ca="1" si="128"/>
        <v>#VALUE!</v>
      </c>
      <c r="B853" s="166">
        <f t="shared" ca="1" si="135"/>
        <v>154</v>
      </c>
      <c r="C853" s="172" t="str">
        <f t="shared" ca="1" si="129"/>
        <v>a173p00000BI50qAAD</v>
      </c>
      <c r="D853" s="166"/>
      <c r="E853" s="166">
        <f t="shared" ca="1" si="136"/>
        <v>4</v>
      </c>
      <c r="F853" s="177">
        <f ca="1">IF(COUNTA(D$518:D853)=1,"",OFFSET(F851,-COUNTA(D$518:D853)+3,0))</f>
        <v>26</v>
      </c>
      <c r="G853" s="171" t="str">
        <f t="shared" ca="1" si="130"/>
        <v/>
      </c>
      <c r="H853" s="166">
        <f t="shared" ca="1" si="137"/>
        <v>59</v>
      </c>
      <c r="I853" s="168" t="str">
        <f t="shared" ca="1" si="131"/>
        <v/>
      </c>
      <c r="J853" s="177" t="str">
        <f t="shared" ca="1" si="132"/>
        <v/>
      </c>
      <c r="K853" s="177" t="str">
        <f t="shared" ca="1" si="133"/>
        <v/>
      </c>
      <c r="L853" s="171" t="e">
        <f>#VALUE!</f>
        <v>#VALUE!</v>
      </c>
      <c r="M853" s="166" t="str">
        <f ca="1">IFERROR(IF(COUNTIF($B$517:$B852,"&lt;0")&lt;&gt;1,OFFSET($C851,-COUNTIF($B$517:$B852,"&lt;0")+3,0),""),"")</f>
        <v>a173p00000BI50qAAD</v>
      </c>
      <c r="N853" s="166">
        <f ca="1">IFERROR(IF(COUNTA($D$517:D852)=1,0,OFFSET($F851,-COUNTA($D$517:D852)+3,0)),"")</f>
        <v>26</v>
      </c>
      <c r="O853" s="166"/>
      <c r="P853" s="166">
        <f t="shared" ca="1" si="138"/>
        <v>0</v>
      </c>
      <c r="Q853" s="166"/>
      <c r="R853" s="166"/>
      <c r="S853" s="166"/>
      <c r="T853" s="171"/>
    </row>
    <row r="854" spans="1:20">
      <c r="A854" s="166" t="e">
        <f t="shared" ca="1" si="128"/>
        <v>#VALUE!</v>
      </c>
      <c r="B854" s="166">
        <f t="shared" ca="1" si="135"/>
        <v>155</v>
      </c>
      <c r="C854" s="172" t="str">
        <f t="shared" ca="1" si="129"/>
        <v>a173p00000BI51KAAT</v>
      </c>
      <c r="D854" s="166"/>
      <c r="E854" s="166">
        <f t="shared" ca="1" si="136"/>
        <v>5</v>
      </c>
      <c r="F854" s="177">
        <f ca="1">IF(COUNTA(D$518:D854)=1,"",OFFSET(F852,-COUNTA(D$518:D854)+3,0))</f>
        <v>26</v>
      </c>
      <c r="G854" s="171" t="str">
        <f t="shared" ca="1" si="130"/>
        <v/>
      </c>
      <c r="H854" s="166">
        <f t="shared" ca="1" si="137"/>
        <v>59</v>
      </c>
      <c r="I854" s="168" t="str">
        <f t="shared" ca="1" si="131"/>
        <v/>
      </c>
      <c r="J854" s="177" t="str">
        <f t="shared" ca="1" si="132"/>
        <v/>
      </c>
      <c r="K854" s="177" t="str">
        <f t="shared" ca="1" si="133"/>
        <v/>
      </c>
      <c r="L854" s="171" t="e">
        <f>#VALUE!</f>
        <v>#VALUE!</v>
      </c>
      <c r="M854" s="166" t="str">
        <f ca="1">IFERROR(IF(COUNTIF($B$517:$B853,"&lt;0")&lt;&gt;1,OFFSET($C852,-COUNTIF($B$517:$B853,"&lt;0")+3,0),""),"")</f>
        <v>a173p00000BI51KAAT</v>
      </c>
      <c r="N854" s="166">
        <f ca="1">IFERROR(IF(COUNTA($D$517:D853)=1,0,OFFSET($F852,-COUNTA($D$517:D853)+3,0)),"")</f>
        <v>26</v>
      </c>
      <c r="O854" s="166"/>
      <c r="P854" s="166">
        <f t="shared" ca="1" si="138"/>
        <v>0</v>
      </c>
      <c r="Q854" s="166"/>
      <c r="R854" s="166"/>
      <c r="S854" s="166"/>
      <c r="T854" s="171"/>
    </row>
    <row r="855" spans="1:20">
      <c r="A855" s="166" t="e">
        <f t="shared" ca="1" si="128"/>
        <v>#VALUE!</v>
      </c>
      <c r="B855" s="166">
        <f t="shared" ca="1" si="135"/>
        <v>156</v>
      </c>
      <c r="C855" s="172" t="str">
        <f t="shared" ca="1" si="129"/>
        <v>a173p00000BI51oAAD</v>
      </c>
      <c r="D855" s="166"/>
      <c r="E855" s="166">
        <f t="shared" ca="1" si="136"/>
        <v>6</v>
      </c>
      <c r="F855" s="177">
        <f ca="1">IF(COUNTA(D$518:D855)=1,"",OFFSET(F853,-COUNTA(D$518:D855)+3,0))</f>
        <v>26</v>
      </c>
      <c r="G855" s="171" t="str">
        <f t="shared" ca="1" si="130"/>
        <v/>
      </c>
      <c r="H855" s="166">
        <f t="shared" ca="1" si="137"/>
        <v>59</v>
      </c>
      <c r="I855" s="168" t="str">
        <f t="shared" ca="1" si="131"/>
        <v/>
      </c>
      <c r="J855" s="177" t="str">
        <f t="shared" ca="1" si="132"/>
        <v/>
      </c>
      <c r="K855" s="177" t="str">
        <f t="shared" ca="1" si="133"/>
        <v/>
      </c>
      <c r="L855" s="171" t="e">
        <f>#VALUE!</f>
        <v>#VALUE!</v>
      </c>
      <c r="M855" s="166" t="str">
        <f ca="1">IFERROR(IF(COUNTIF($B$517:$B854,"&lt;0")&lt;&gt;1,OFFSET($C853,-COUNTIF($B$517:$B854,"&lt;0")+3,0),""),"")</f>
        <v>a173p00000BI51oAAD</v>
      </c>
      <c r="N855" s="166">
        <f ca="1">IFERROR(IF(COUNTA($D$517:D854)=1,0,OFFSET($F853,-COUNTA($D$517:D854)+3,0)),"")</f>
        <v>26</v>
      </c>
      <c r="O855" s="166"/>
      <c r="P855" s="166">
        <f t="shared" ca="1" si="138"/>
        <v>0</v>
      </c>
      <c r="Q855" s="166"/>
      <c r="R855" s="166"/>
      <c r="S855" s="166"/>
      <c r="T855" s="171"/>
    </row>
    <row r="856" spans="1:20">
      <c r="A856" s="166" t="e">
        <f t="shared" ca="1" si="128"/>
        <v>#VALUE!</v>
      </c>
      <c r="B856" s="166">
        <f t="shared" ca="1" si="135"/>
        <v>157</v>
      </c>
      <c r="C856" s="172" t="str">
        <f t="shared" ca="1" si="129"/>
        <v>a173p00000BI4zPAAT</v>
      </c>
      <c r="D856" s="166"/>
      <c r="E856" s="166">
        <f t="shared" ca="1" si="136"/>
        <v>1</v>
      </c>
      <c r="F856" s="177">
        <f ca="1">IF(COUNTA(D$518:D856)=1,"",OFFSET(F854,-COUNTA(D$518:D856)+3,0))</f>
        <v>27</v>
      </c>
      <c r="G856" s="171" t="str">
        <f t="shared" ca="1" si="130"/>
        <v/>
      </c>
      <c r="H856" s="166">
        <f t="shared" ca="1" si="137"/>
        <v>61</v>
      </c>
      <c r="I856" s="168" t="str">
        <f t="shared" ca="1" si="131"/>
        <v/>
      </c>
      <c r="J856" s="177" t="str">
        <f t="shared" ca="1" si="132"/>
        <v/>
      </c>
      <c r="K856" s="177" t="str">
        <f t="shared" ca="1" si="133"/>
        <v/>
      </c>
      <c r="L856" s="171" t="e">
        <f>#VALUE!</f>
        <v>#VALUE!</v>
      </c>
      <c r="M856" s="166" t="str">
        <f ca="1">IFERROR(IF(COUNTIF($B$517:$B855,"&lt;0")&lt;&gt;1,OFFSET($C854,-COUNTIF($B$517:$B855,"&lt;0")+3,0),""),"")</f>
        <v>a173p00000BI4zPAAT</v>
      </c>
      <c r="N856" s="166">
        <f ca="1">IFERROR(IF(COUNTA($D$517:D855)=1,0,OFFSET($F854,-COUNTA($D$517:D855)+3,0)),"")</f>
        <v>27</v>
      </c>
      <c r="O856" s="166"/>
      <c r="P856" s="166">
        <f t="shared" ca="1" si="138"/>
        <v>0</v>
      </c>
      <c r="Q856" s="166"/>
      <c r="R856" s="166"/>
      <c r="S856" s="166"/>
      <c r="T856" s="171"/>
    </row>
    <row r="857" spans="1:20">
      <c r="A857" s="166" t="e">
        <f t="shared" ca="1" si="128"/>
        <v>#VALUE!</v>
      </c>
      <c r="B857" s="166">
        <f t="shared" ca="1" si="135"/>
        <v>158</v>
      </c>
      <c r="C857" s="172" t="str">
        <f t="shared" ca="1" si="129"/>
        <v>a173p00000BI4ztAAD</v>
      </c>
      <c r="D857" s="166"/>
      <c r="E857" s="166">
        <f t="shared" ca="1" si="136"/>
        <v>2</v>
      </c>
      <c r="F857" s="177">
        <f ca="1">IF(COUNTA(D$518:D857)=1,"",OFFSET(F855,-COUNTA(D$518:D857)+3,0))</f>
        <v>27</v>
      </c>
      <c r="G857" s="171" t="str">
        <f t="shared" ca="1" si="130"/>
        <v/>
      </c>
      <c r="H857" s="166">
        <f t="shared" ca="1" si="137"/>
        <v>61</v>
      </c>
      <c r="I857" s="168" t="str">
        <f t="shared" ca="1" si="131"/>
        <v/>
      </c>
      <c r="J857" s="177" t="str">
        <f t="shared" ca="1" si="132"/>
        <v/>
      </c>
      <c r="K857" s="177" t="str">
        <f t="shared" ca="1" si="133"/>
        <v/>
      </c>
      <c r="L857" s="171" t="e">
        <f>#VALUE!</f>
        <v>#VALUE!</v>
      </c>
      <c r="M857" s="166" t="str">
        <f ca="1">IFERROR(IF(COUNTIF($B$517:$B856,"&lt;0")&lt;&gt;1,OFFSET($C855,-COUNTIF($B$517:$B856,"&lt;0")+3,0),""),"")</f>
        <v>a173p00000BI4ztAAD</v>
      </c>
      <c r="N857" s="166">
        <f ca="1">IFERROR(IF(COUNTA($D$517:D856)=1,0,OFFSET($F855,-COUNTA($D$517:D856)+3,0)),"")</f>
        <v>27</v>
      </c>
      <c r="O857" s="166"/>
      <c r="P857" s="166">
        <f t="shared" ca="1" si="138"/>
        <v>0</v>
      </c>
      <c r="Q857" s="166"/>
      <c r="R857" s="166"/>
      <c r="S857" s="166"/>
      <c r="T857" s="171"/>
    </row>
    <row r="858" spans="1:20">
      <c r="A858" s="166" t="e">
        <f t="shared" ca="1" si="128"/>
        <v>#VALUE!</v>
      </c>
      <c r="B858" s="166">
        <f t="shared" ca="1" si="135"/>
        <v>159</v>
      </c>
      <c r="C858" s="172" t="str">
        <f t="shared" ca="1" si="129"/>
        <v>a173p00000BI50NAAT</v>
      </c>
      <c r="D858" s="166"/>
      <c r="E858" s="166">
        <f t="shared" ca="1" si="136"/>
        <v>3</v>
      </c>
      <c r="F858" s="177">
        <f ca="1">IF(COUNTA(D$518:D858)=1,"",OFFSET(F856,-COUNTA(D$518:D858)+3,0))</f>
        <v>27</v>
      </c>
      <c r="G858" s="171" t="str">
        <f t="shared" ca="1" si="130"/>
        <v/>
      </c>
      <c r="H858" s="166">
        <f t="shared" ca="1" si="137"/>
        <v>61</v>
      </c>
      <c r="I858" s="168" t="str">
        <f t="shared" ca="1" si="131"/>
        <v/>
      </c>
      <c r="J858" s="177" t="str">
        <f t="shared" ca="1" si="132"/>
        <v/>
      </c>
      <c r="K858" s="177" t="str">
        <f t="shared" ca="1" si="133"/>
        <v/>
      </c>
      <c r="L858" s="171" t="e">
        <f>#VALUE!</f>
        <v>#VALUE!</v>
      </c>
      <c r="M858" s="166" t="str">
        <f ca="1">IFERROR(IF(COUNTIF($B$517:$B857,"&lt;0")&lt;&gt;1,OFFSET($C856,-COUNTIF($B$517:$B857,"&lt;0")+3,0),""),"")</f>
        <v>a173p00000BI50NAAT</v>
      </c>
      <c r="N858" s="166">
        <f ca="1">IFERROR(IF(COUNTA($D$517:D857)=1,0,OFFSET($F856,-COUNTA($D$517:D857)+3,0)),"")</f>
        <v>27</v>
      </c>
      <c r="O858" s="166"/>
      <c r="P858" s="166">
        <f t="shared" ca="1" si="138"/>
        <v>0</v>
      </c>
      <c r="Q858" s="166"/>
      <c r="R858" s="166"/>
      <c r="S858" s="166"/>
      <c r="T858" s="171"/>
    </row>
    <row r="859" spans="1:20">
      <c r="A859" s="166" t="e">
        <f t="shared" ca="1" si="128"/>
        <v>#VALUE!</v>
      </c>
      <c r="B859" s="166">
        <f t="shared" ca="1" si="135"/>
        <v>160</v>
      </c>
      <c r="C859" s="172" t="str">
        <f t="shared" ca="1" si="129"/>
        <v>a173p00000BI50rAAD</v>
      </c>
      <c r="D859" s="166"/>
      <c r="E859" s="166">
        <f t="shared" ca="1" si="136"/>
        <v>4</v>
      </c>
      <c r="F859" s="177">
        <f ca="1">IF(COUNTA(D$518:D859)=1,"",OFFSET(F857,-COUNTA(D$518:D859)+3,0))</f>
        <v>27</v>
      </c>
      <c r="G859" s="171" t="str">
        <f t="shared" ca="1" si="130"/>
        <v/>
      </c>
      <c r="H859" s="166">
        <f t="shared" ca="1" si="137"/>
        <v>61</v>
      </c>
      <c r="I859" s="168" t="str">
        <f t="shared" ca="1" si="131"/>
        <v/>
      </c>
      <c r="J859" s="177" t="str">
        <f t="shared" ca="1" si="132"/>
        <v/>
      </c>
      <c r="K859" s="177" t="str">
        <f t="shared" ca="1" si="133"/>
        <v/>
      </c>
      <c r="L859" s="171" t="e">
        <f>#VALUE!</f>
        <v>#VALUE!</v>
      </c>
      <c r="M859" s="166" t="str">
        <f ca="1">IFERROR(IF(COUNTIF($B$517:$B858,"&lt;0")&lt;&gt;1,OFFSET($C857,-COUNTIF($B$517:$B858,"&lt;0")+3,0),""),"")</f>
        <v>a173p00000BI50rAAD</v>
      </c>
      <c r="N859" s="166">
        <f ca="1">IFERROR(IF(COUNTA($D$517:D858)=1,0,OFFSET($F857,-COUNTA($D$517:D858)+3,0)),"")</f>
        <v>27</v>
      </c>
      <c r="O859" s="166"/>
      <c r="P859" s="166">
        <f t="shared" ca="1" si="138"/>
        <v>0</v>
      </c>
      <c r="Q859" s="166"/>
      <c r="R859" s="166"/>
      <c r="S859" s="166"/>
      <c r="T859" s="171"/>
    </row>
    <row r="860" spans="1:20">
      <c r="A860" s="166" t="e">
        <f t="shared" ca="1" si="128"/>
        <v>#VALUE!</v>
      </c>
      <c r="B860" s="166">
        <f t="shared" ca="1" si="135"/>
        <v>161</v>
      </c>
      <c r="C860" s="172" t="str">
        <f t="shared" ca="1" si="129"/>
        <v>a173p00000BI51LAAT</v>
      </c>
      <c r="D860" s="166"/>
      <c r="E860" s="166">
        <f t="shared" ca="1" si="136"/>
        <v>5</v>
      </c>
      <c r="F860" s="177">
        <f ca="1">IF(COUNTA(D$518:D860)=1,"",OFFSET(F858,-COUNTA(D$518:D860)+3,0))</f>
        <v>27</v>
      </c>
      <c r="G860" s="171" t="str">
        <f t="shared" ca="1" si="130"/>
        <v/>
      </c>
      <c r="H860" s="166">
        <f t="shared" ca="1" si="137"/>
        <v>61</v>
      </c>
      <c r="I860" s="168" t="str">
        <f t="shared" ca="1" si="131"/>
        <v/>
      </c>
      <c r="J860" s="177" t="str">
        <f t="shared" ca="1" si="132"/>
        <v/>
      </c>
      <c r="K860" s="177" t="str">
        <f t="shared" ca="1" si="133"/>
        <v/>
      </c>
      <c r="L860" s="171" t="e">
        <f>#VALUE!</f>
        <v>#VALUE!</v>
      </c>
      <c r="M860" s="166" t="str">
        <f ca="1">IFERROR(IF(COUNTIF($B$517:$B859,"&lt;0")&lt;&gt;1,OFFSET($C858,-COUNTIF($B$517:$B859,"&lt;0")+3,0),""),"")</f>
        <v>a173p00000BI51LAAT</v>
      </c>
      <c r="N860" s="166">
        <f ca="1">IFERROR(IF(COUNTA($D$517:D859)=1,0,OFFSET($F858,-COUNTA($D$517:D859)+3,0)),"")</f>
        <v>27</v>
      </c>
      <c r="O860" s="166"/>
      <c r="P860" s="166">
        <f t="shared" ca="1" si="138"/>
        <v>0</v>
      </c>
      <c r="Q860" s="166"/>
      <c r="R860" s="166"/>
      <c r="S860" s="166"/>
      <c r="T860" s="171"/>
    </row>
    <row r="861" spans="1:20">
      <c r="A861" s="166" t="e">
        <f t="shared" ca="1" si="128"/>
        <v>#VALUE!</v>
      </c>
      <c r="B861" s="166">
        <f t="shared" ca="1" si="135"/>
        <v>162</v>
      </c>
      <c r="C861" s="172" t="str">
        <f t="shared" ca="1" si="129"/>
        <v>a173p00000BI51pAAD</v>
      </c>
      <c r="D861" s="166"/>
      <c r="E861" s="166">
        <f t="shared" ca="1" si="136"/>
        <v>6</v>
      </c>
      <c r="F861" s="177">
        <f ca="1">IF(COUNTA(D$518:D861)=1,"",OFFSET(F859,-COUNTA(D$518:D861)+3,0))</f>
        <v>27</v>
      </c>
      <c r="G861" s="171" t="str">
        <f t="shared" ca="1" si="130"/>
        <v/>
      </c>
      <c r="H861" s="166">
        <f t="shared" ca="1" si="137"/>
        <v>61</v>
      </c>
      <c r="I861" s="168" t="str">
        <f t="shared" ca="1" si="131"/>
        <v/>
      </c>
      <c r="J861" s="177" t="str">
        <f t="shared" ca="1" si="132"/>
        <v/>
      </c>
      <c r="K861" s="177" t="str">
        <f t="shared" ca="1" si="133"/>
        <v/>
      </c>
      <c r="L861" s="171" t="e">
        <f>#VALUE!</f>
        <v>#VALUE!</v>
      </c>
      <c r="M861" s="166" t="str">
        <f ca="1">IFERROR(IF(COUNTIF($B$517:$B860,"&lt;0")&lt;&gt;1,OFFSET($C859,-COUNTIF($B$517:$B860,"&lt;0")+3,0),""),"")</f>
        <v>a173p00000BI51pAAD</v>
      </c>
      <c r="N861" s="166">
        <f ca="1">IFERROR(IF(COUNTA($D$517:D860)=1,0,OFFSET($F859,-COUNTA($D$517:D860)+3,0)),"")</f>
        <v>27</v>
      </c>
      <c r="O861" s="166"/>
      <c r="P861" s="166">
        <f t="shared" ca="1" si="138"/>
        <v>0</v>
      </c>
      <c r="Q861" s="166"/>
      <c r="R861" s="166"/>
      <c r="S861" s="166"/>
      <c r="T861" s="171"/>
    </row>
    <row r="862" spans="1:20">
      <c r="A862" s="166" t="e">
        <f t="shared" ca="1" si="128"/>
        <v>#VALUE!</v>
      </c>
      <c r="B862" s="166">
        <f t="shared" ca="1" si="135"/>
        <v>163</v>
      </c>
      <c r="C862" s="172" t="str">
        <f t="shared" ca="1" si="129"/>
        <v>a173p00000BI4zQAAT</v>
      </c>
      <c r="D862" s="166"/>
      <c r="E862" s="166">
        <f t="shared" ca="1" si="136"/>
        <v>1</v>
      </c>
      <c r="F862" s="177">
        <f ca="1">IF(COUNTA(D$518:D862)=1,"",OFFSET(F860,-COUNTA(D$518:D862)+3,0))</f>
        <v>28</v>
      </c>
      <c r="G862" s="171" t="str">
        <f t="shared" ca="1" si="130"/>
        <v/>
      </c>
      <c r="H862" s="166">
        <f t="shared" ca="1" si="137"/>
        <v>63</v>
      </c>
      <c r="I862" s="168" t="str">
        <f t="shared" ca="1" si="131"/>
        <v/>
      </c>
      <c r="J862" s="177" t="str">
        <f t="shared" ca="1" si="132"/>
        <v/>
      </c>
      <c r="K862" s="177" t="str">
        <f t="shared" ca="1" si="133"/>
        <v/>
      </c>
      <c r="L862" s="171" t="e">
        <f>#VALUE!</f>
        <v>#VALUE!</v>
      </c>
      <c r="M862" s="166" t="str">
        <f ca="1">IFERROR(IF(COUNTIF($B$517:$B861,"&lt;0")&lt;&gt;1,OFFSET($C860,-COUNTIF($B$517:$B861,"&lt;0")+3,0),""),"")</f>
        <v>a173p00000BI4zQAAT</v>
      </c>
      <c r="N862" s="166">
        <f ca="1">IFERROR(IF(COUNTA($D$517:D861)=1,0,OFFSET($F860,-COUNTA($D$517:D861)+3,0)),"")</f>
        <v>28</v>
      </c>
      <c r="O862" s="166"/>
      <c r="P862" s="166">
        <f t="shared" ca="1" si="138"/>
        <v>0</v>
      </c>
      <c r="Q862" s="166"/>
      <c r="R862" s="166"/>
      <c r="S862" s="166"/>
      <c r="T862" s="171"/>
    </row>
    <row r="863" spans="1:20">
      <c r="A863" s="166" t="e">
        <f t="shared" ca="1" si="128"/>
        <v>#VALUE!</v>
      </c>
      <c r="B863" s="166">
        <f t="shared" ca="1" si="135"/>
        <v>164</v>
      </c>
      <c r="C863" s="172" t="str">
        <f t="shared" ca="1" si="129"/>
        <v>a173p00000BI4zuAAD</v>
      </c>
      <c r="D863" s="166"/>
      <c r="E863" s="166">
        <f t="shared" ca="1" si="136"/>
        <v>2</v>
      </c>
      <c r="F863" s="177">
        <f ca="1">IF(COUNTA(D$518:D863)=1,"",OFFSET(F861,-COUNTA(D$518:D863)+3,0))</f>
        <v>28</v>
      </c>
      <c r="G863" s="171" t="str">
        <f t="shared" ca="1" si="130"/>
        <v/>
      </c>
      <c r="H863" s="166">
        <f t="shared" ca="1" si="137"/>
        <v>63</v>
      </c>
      <c r="I863" s="168" t="str">
        <f t="shared" ca="1" si="131"/>
        <v/>
      </c>
      <c r="J863" s="177" t="str">
        <f t="shared" ca="1" si="132"/>
        <v/>
      </c>
      <c r="K863" s="177" t="str">
        <f t="shared" ca="1" si="133"/>
        <v/>
      </c>
      <c r="L863" s="171" t="e">
        <f>#VALUE!</f>
        <v>#VALUE!</v>
      </c>
      <c r="M863" s="166" t="str">
        <f ca="1">IFERROR(IF(COUNTIF($B$517:$B862,"&lt;0")&lt;&gt;1,OFFSET($C861,-COUNTIF($B$517:$B862,"&lt;0")+3,0),""),"")</f>
        <v>a173p00000BI4zuAAD</v>
      </c>
      <c r="N863" s="166">
        <f ca="1">IFERROR(IF(COUNTA($D$517:D862)=1,0,OFFSET($F861,-COUNTA($D$517:D862)+3,0)),"")</f>
        <v>28</v>
      </c>
      <c r="O863" s="166"/>
      <c r="P863" s="166">
        <f t="shared" ca="1" si="138"/>
        <v>0</v>
      </c>
      <c r="Q863" s="166"/>
      <c r="R863" s="166"/>
      <c r="S863" s="166"/>
      <c r="T863" s="171"/>
    </row>
    <row r="864" spans="1:20">
      <c r="A864" s="166" t="e">
        <f t="shared" ca="1" si="128"/>
        <v>#VALUE!</v>
      </c>
      <c r="B864" s="166">
        <f t="shared" ca="1" si="135"/>
        <v>165</v>
      </c>
      <c r="C864" s="172" t="str">
        <f t="shared" ca="1" si="129"/>
        <v>a173p00000BI50OAAT</v>
      </c>
      <c r="D864" s="166"/>
      <c r="E864" s="166">
        <f t="shared" ca="1" si="136"/>
        <v>3</v>
      </c>
      <c r="F864" s="177">
        <f ca="1">IF(COUNTA(D$518:D864)=1,"",OFFSET(F862,-COUNTA(D$518:D864)+3,0))</f>
        <v>28</v>
      </c>
      <c r="G864" s="171" t="str">
        <f t="shared" ca="1" si="130"/>
        <v/>
      </c>
      <c r="H864" s="166">
        <f t="shared" ca="1" si="137"/>
        <v>63</v>
      </c>
      <c r="I864" s="168" t="str">
        <f t="shared" ca="1" si="131"/>
        <v/>
      </c>
      <c r="J864" s="177" t="str">
        <f t="shared" ca="1" si="132"/>
        <v/>
      </c>
      <c r="K864" s="177" t="str">
        <f t="shared" ca="1" si="133"/>
        <v/>
      </c>
      <c r="L864" s="171" t="e">
        <f>#VALUE!</f>
        <v>#VALUE!</v>
      </c>
      <c r="M864" s="166" t="str">
        <f ca="1">IFERROR(IF(COUNTIF($B$517:$B863,"&lt;0")&lt;&gt;1,OFFSET($C862,-COUNTIF($B$517:$B863,"&lt;0")+3,0),""),"")</f>
        <v>a173p00000BI50OAAT</v>
      </c>
      <c r="N864" s="166">
        <f ca="1">IFERROR(IF(COUNTA($D$517:D863)=1,0,OFFSET($F862,-COUNTA($D$517:D863)+3,0)),"")</f>
        <v>28</v>
      </c>
      <c r="O864" s="166"/>
      <c r="P864" s="166">
        <f t="shared" ca="1" si="138"/>
        <v>0</v>
      </c>
      <c r="Q864" s="166"/>
      <c r="R864" s="166"/>
      <c r="S864" s="166"/>
      <c r="T864" s="171"/>
    </row>
    <row r="865" spans="1:20">
      <c r="A865" s="166" t="e">
        <f t="shared" ca="1" si="128"/>
        <v>#VALUE!</v>
      </c>
      <c r="B865" s="166">
        <f t="shared" ca="1" si="135"/>
        <v>166</v>
      </c>
      <c r="C865" s="172" t="str">
        <f t="shared" ca="1" si="129"/>
        <v>a173p00000BI50sAAD</v>
      </c>
      <c r="D865" s="166"/>
      <c r="E865" s="166">
        <f t="shared" ca="1" si="136"/>
        <v>4</v>
      </c>
      <c r="F865" s="177">
        <f ca="1">IF(COUNTA(D$518:D865)=1,"",OFFSET(F863,-COUNTA(D$518:D865)+3,0))</f>
        <v>28</v>
      </c>
      <c r="G865" s="171" t="str">
        <f t="shared" ca="1" si="130"/>
        <v/>
      </c>
      <c r="H865" s="166">
        <f t="shared" ca="1" si="137"/>
        <v>63</v>
      </c>
      <c r="I865" s="168" t="str">
        <f t="shared" ca="1" si="131"/>
        <v/>
      </c>
      <c r="J865" s="177" t="str">
        <f t="shared" ca="1" si="132"/>
        <v/>
      </c>
      <c r="K865" s="177" t="str">
        <f t="shared" ca="1" si="133"/>
        <v/>
      </c>
      <c r="L865" s="171" t="e">
        <f>#VALUE!</f>
        <v>#VALUE!</v>
      </c>
      <c r="M865" s="166" t="str">
        <f ca="1">IFERROR(IF(COUNTIF($B$517:$B864,"&lt;0")&lt;&gt;1,OFFSET($C863,-COUNTIF($B$517:$B864,"&lt;0")+3,0),""),"")</f>
        <v>a173p00000BI50sAAD</v>
      </c>
      <c r="N865" s="166">
        <f ca="1">IFERROR(IF(COUNTA($D$517:D864)=1,0,OFFSET($F863,-COUNTA($D$517:D864)+3,0)),"")</f>
        <v>28</v>
      </c>
      <c r="O865" s="166"/>
      <c r="P865" s="166">
        <f t="shared" ca="1" si="138"/>
        <v>0</v>
      </c>
      <c r="Q865" s="166"/>
      <c r="R865" s="166"/>
      <c r="S865" s="166"/>
      <c r="T865" s="171"/>
    </row>
    <row r="866" spans="1:20">
      <c r="A866" s="166" t="e">
        <f t="shared" ca="1" si="128"/>
        <v>#VALUE!</v>
      </c>
      <c r="B866" s="166">
        <f t="shared" ca="1" si="135"/>
        <v>167</v>
      </c>
      <c r="C866" s="172" t="str">
        <f t="shared" ca="1" si="129"/>
        <v>a173p00000BI51MAAT</v>
      </c>
      <c r="D866" s="166"/>
      <c r="E866" s="166">
        <f t="shared" ca="1" si="136"/>
        <v>5</v>
      </c>
      <c r="F866" s="177">
        <f ca="1">IF(COUNTA(D$518:D866)=1,"",OFFSET(F864,-COUNTA(D$518:D866)+3,0))</f>
        <v>28</v>
      </c>
      <c r="G866" s="171" t="str">
        <f t="shared" ca="1" si="130"/>
        <v/>
      </c>
      <c r="H866" s="166">
        <f t="shared" ca="1" si="137"/>
        <v>63</v>
      </c>
      <c r="I866" s="168" t="str">
        <f t="shared" ca="1" si="131"/>
        <v/>
      </c>
      <c r="J866" s="177" t="str">
        <f t="shared" ca="1" si="132"/>
        <v/>
      </c>
      <c r="K866" s="177" t="str">
        <f t="shared" ca="1" si="133"/>
        <v/>
      </c>
      <c r="L866" s="171" t="e">
        <f>#VALUE!</f>
        <v>#VALUE!</v>
      </c>
      <c r="M866" s="166" t="str">
        <f ca="1">IFERROR(IF(COUNTIF($B$517:$B865,"&lt;0")&lt;&gt;1,OFFSET($C864,-COUNTIF($B$517:$B865,"&lt;0")+3,0),""),"")</f>
        <v>a173p00000BI51MAAT</v>
      </c>
      <c r="N866" s="166">
        <f ca="1">IFERROR(IF(COUNTA($D$517:D865)=1,0,OFFSET($F864,-COUNTA($D$517:D865)+3,0)),"")</f>
        <v>28</v>
      </c>
      <c r="O866" s="166"/>
      <c r="P866" s="166">
        <f t="shared" ca="1" si="138"/>
        <v>0</v>
      </c>
      <c r="Q866" s="166"/>
      <c r="R866" s="166"/>
      <c r="S866" s="166"/>
      <c r="T866" s="171"/>
    </row>
    <row r="867" spans="1:20">
      <c r="A867" s="166" t="e">
        <f t="shared" ca="1" si="128"/>
        <v>#VALUE!</v>
      </c>
      <c r="B867" s="166">
        <f t="shared" ca="1" si="135"/>
        <v>168</v>
      </c>
      <c r="C867" s="172" t="str">
        <f t="shared" ca="1" si="129"/>
        <v>a173p00000BI51qAAD</v>
      </c>
      <c r="D867" s="166"/>
      <c r="E867" s="166">
        <f t="shared" ca="1" si="136"/>
        <v>6</v>
      </c>
      <c r="F867" s="177">
        <f ca="1">IF(COUNTA(D$518:D867)=1,"",OFFSET(F865,-COUNTA(D$518:D867)+3,0))</f>
        <v>28</v>
      </c>
      <c r="G867" s="171" t="str">
        <f t="shared" ca="1" si="130"/>
        <v/>
      </c>
      <c r="H867" s="166">
        <f t="shared" ca="1" si="137"/>
        <v>63</v>
      </c>
      <c r="I867" s="168" t="str">
        <f t="shared" ca="1" si="131"/>
        <v/>
      </c>
      <c r="J867" s="177" t="str">
        <f t="shared" ca="1" si="132"/>
        <v/>
      </c>
      <c r="K867" s="177" t="str">
        <f t="shared" ca="1" si="133"/>
        <v/>
      </c>
      <c r="L867" s="171" t="e">
        <f>#VALUE!</f>
        <v>#VALUE!</v>
      </c>
      <c r="M867" s="166" t="str">
        <f ca="1">IFERROR(IF(COUNTIF($B$517:$B866,"&lt;0")&lt;&gt;1,OFFSET($C865,-COUNTIF($B$517:$B866,"&lt;0")+3,0),""),"")</f>
        <v>a173p00000BI51qAAD</v>
      </c>
      <c r="N867" s="166">
        <f ca="1">IFERROR(IF(COUNTA($D$517:D866)=1,0,OFFSET($F865,-COUNTA($D$517:D866)+3,0)),"")</f>
        <v>28</v>
      </c>
      <c r="O867" s="166"/>
      <c r="P867" s="166">
        <f t="shared" ca="1" si="138"/>
        <v>0</v>
      </c>
      <c r="Q867" s="166"/>
      <c r="R867" s="166"/>
      <c r="S867" s="166"/>
      <c r="T867" s="171"/>
    </row>
    <row r="868" spans="1:20">
      <c r="A868" s="166" t="e">
        <f t="shared" ca="1" si="128"/>
        <v>#VALUE!</v>
      </c>
      <c r="B868" s="166">
        <f t="shared" ca="1" si="135"/>
        <v>169</v>
      </c>
      <c r="C868" s="172" t="str">
        <f t="shared" ca="1" si="129"/>
        <v>a173p00000BI4zRAAT</v>
      </c>
      <c r="D868" s="166"/>
      <c r="E868" s="166">
        <f t="shared" ca="1" si="136"/>
        <v>1</v>
      </c>
      <c r="F868" s="177">
        <f ca="1">IF(COUNTA(D$518:D868)=1,"",OFFSET(F866,-COUNTA(D$518:D868)+3,0))</f>
        <v>29</v>
      </c>
      <c r="G868" s="171" t="str">
        <f t="shared" ca="1" si="130"/>
        <v/>
      </c>
      <c r="H868" s="166">
        <f t="shared" ca="1" si="137"/>
        <v>65</v>
      </c>
      <c r="I868" s="168" t="str">
        <f t="shared" ca="1" si="131"/>
        <v/>
      </c>
      <c r="J868" s="177" t="str">
        <f t="shared" ca="1" si="132"/>
        <v/>
      </c>
      <c r="K868" s="177" t="str">
        <f t="shared" ca="1" si="133"/>
        <v/>
      </c>
      <c r="L868" s="171" t="e">
        <f>#VALUE!</f>
        <v>#VALUE!</v>
      </c>
      <c r="M868" s="166" t="str">
        <f ca="1">IFERROR(IF(COUNTIF($B$517:$B867,"&lt;0")&lt;&gt;1,OFFSET($C866,-COUNTIF($B$517:$B867,"&lt;0")+3,0),""),"")</f>
        <v>a173p00000BI4zRAAT</v>
      </c>
      <c r="N868" s="166">
        <f ca="1">IFERROR(IF(COUNTA($D$517:D867)=1,0,OFFSET($F866,-COUNTA($D$517:D867)+3,0)),"")</f>
        <v>29</v>
      </c>
      <c r="O868" s="166"/>
      <c r="P868" s="166">
        <f t="shared" ca="1" si="138"/>
        <v>0</v>
      </c>
      <c r="Q868" s="166"/>
      <c r="R868" s="166"/>
      <c r="S868" s="166"/>
      <c r="T868" s="171"/>
    </row>
    <row r="869" spans="1:20">
      <c r="A869" s="166" t="e">
        <f t="shared" ca="1" si="128"/>
        <v>#VALUE!</v>
      </c>
      <c r="B869" s="166">
        <f t="shared" ca="1" si="135"/>
        <v>170</v>
      </c>
      <c r="C869" s="172" t="str">
        <f t="shared" ca="1" si="129"/>
        <v>a173p00000BI4zvAAD</v>
      </c>
      <c r="D869" s="166"/>
      <c r="E869" s="166">
        <f t="shared" ca="1" si="136"/>
        <v>2</v>
      </c>
      <c r="F869" s="177">
        <f ca="1">IF(COUNTA(D$518:D869)=1,"",OFFSET(F867,-COUNTA(D$518:D869)+3,0))</f>
        <v>29</v>
      </c>
      <c r="G869" s="171" t="str">
        <f t="shared" ca="1" si="130"/>
        <v/>
      </c>
      <c r="H869" s="166">
        <f t="shared" ca="1" si="137"/>
        <v>65</v>
      </c>
      <c r="I869" s="168" t="str">
        <f t="shared" ca="1" si="131"/>
        <v/>
      </c>
      <c r="J869" s="177" t="str">
        <f t="shared" ca="1" si="132"/>
        <v/>
      </c>
      <c r="K869" s="177" t="str">
        <f t="shared" ca="1" si="133"/>
        <v/>
      </c>
      <c r="L869" s="171" t="e">
        <f>#VALUE!</f>
        <v>#VALUE!</v>
      </c>
      <c r="M869" s="166" t="str">
        <f ca="1">IFERROR(IF(COUNTIF($B$517:$B868,"&lt;0")&lt;&gt;1,OFFSET($C867,-COUNTIF($B$517:$B868,"&lt;0")+3,0),""),"")</f>
        <v>a173p00000BI4zvAAD</v>
      </c>
      <c r="N869" s="166">
        <f ca="1">IFERROR(IF(COUNTA($D$517:D868)=1,0,OFFSET($F867,-COUNTA($D$517:D868)+3,0)),"")</f>
        <v>29</v>
      </c>
      <c r="O869" s="166"/>
      <c r="P869" s="166">
        <f t="shared" ca="1" si="138"/>
        <v>0</v>
      </c>
      <c r="Q869" s="166"/>
      <c r="R869" s="166"/>
      <c r="S869" s="166"/>
      <c r="T869" s="171"/>
    </row>
    <row r="870" spans="1:20">
      <c r="A870" s="166" t="e">
        <f t="shared" ca="1" si="128"/>
        <v>#VALUE!</v>
      </c>
      <c r="B870" s="166">
        <f t="shared" ca="1" si="135"/>
        <v>171</v>
      </c>
      <c r="C870" s="172" t="str">
        <f t="shared" ca="1" si="129"/>
        <v>a173p00000BI50PAAT</v>
      </c>
      <c r="D870" s="166"/>
      <c r="E870" s="166">
        <f t="shared" ca="1" si="136"/>
        <v>3</v>
      </c>
      <c r="F870" s="177">
        <f ca="1">IF(COUNTA(D$518:D870)=1,"",OFFSET(F868,-COUNTA(D$518:D870)+3,0))</f>
        <v>29</v>
      </c>
      <c r="G870" s="171" t="str">
        <f t="shared" ca="1" si="130"/>
        <v/>
      </c>
      <c r="H870" s="166">
        <f t="shared" ca="1" si="137"/>
        <v>65</v>
      </c>
      <c r="I870" s="168" t="str">
        <f t="shared" ca="1" si="131"/>
        <v/>
      </c>
      <c r="J870" s="177" t="str">
        <f t="shared" ca="1" si="132"/>
        <v/>
      </c>
      <c r="K870" s="177" t="str">
        <f t="shared" ca="1" si="133"/>
        <v/>
      </c>
      <c r="L870" s="171" t="e">
        <f>#VALUE!</f>
        <v>#VALUE!</v>
      </c>
      <c r="M870" s="166" t="str">
        <f ca="1">IFERROR(IF(COUNTIF($B$517:$B869,"&lt;0")&lt;&gt;1,OFFSET($C868,-COUNTIF($B$517:$B869,"&lt;0")+3,0),""),"")</f>
        <v>a173p00000BI50PAAT</v>
      </c>
      <c r="N870" s="166">
        <f ca="1">IFERROR(IF(COUNTA($D$517:D869)=1,0,OFFSET($F868,-COUNTA($D$517:D869)+3,0)),"")</f>
        <v>29</v>
      </c>
      <c r="O870" s="166"/>
      <c r="P870" s="166">
        <f t="shared" ca="1" si="138"/>
        <v>0</v>
      </c>
      <c r="Q870" s="166"/>
      <c r="R870" s="166"/>
      <c r="S870" s="166"/>
      <c r="T870" s="171"/>
    </row>
    <row r="871" spans="1:20">
      <c r="A871" s="166" t="e">
        <f t="shared" ca="1" si="128"/>
        <v>#VALUE!</v>
      </c>
      <c r="B871" s="166">
        <f t="shared" ca="1" si="135"/>
        <v>172</v>
      </c>
      <c r="C871" s="172" t="str">
        <f t="shared" ca="1" si="129"/>
        <v>a173p00000BI50tAAD</v>
      </c>
      <c r="D871" s="166"/>
      <c r="E871" s="166">
        <f t="shared" ca="1" si="136"/>
        <v>4</v>
      </c>
      <c r="F871" s="177">
        <f ca="1">IF(COUNTA(D$518:D871)=1,"",OFFSET(F869,-COUNTA(D$518:D871)+3,0))</f>
        <v>29</v>
      </c>
      <c r="G871" s="171" t="str">
        <f t="shared" ca="1" si="130"/>
        <v/>
      </c>
      <c r="H871" s="166">
        <f t="shared" ca="1" si="137"/>
        <v>65</v>
      </c>
      <c r="I871" s="168" t="str">
        <f t="shared" ca="1" si="131"/>
        <v/>
      </c>
      <c r="J871" s="177" t="str">
        <f t="shared" ca="1" si="132"/>
        <v/>
      </c>
      <c r="K871" s="177" t="str">
        <f t="shared" ca="1" si="133"/>
        <v/>
      </c>
      <c r="L871" s="171" t="e">
        <f>#VALUE!</f>
        <v>#VALUE!</v>
      </c>
      <c r="M871" s="166" t="str">
        <f ca="1">IFERROR(IF(COUNTIF($B$517:$B870,"&lt;0")&lt;&gt;1,OFFSET($C869,-COUNTIF($B$517:$B870,"&lt;0")+3,0),""),"")</f>
        <v>a173p00000BI50tAAD</v>
      </c>
      <c r="N871" s="166">
        <f ca="1">IFERROR(IF(COUNTA($D$517:D870)=1,0,OFFSET($F869,-COUNTA($D$517:D870)+3,0)),"")</f>
        <v>29</v>
      </c>
      <c r="O871" s="166"/>
      <c r="P871" s="166">
        <f t="shared" ca="1" si="138"/>
        <v>0</v>
      </c>
      <c r="Q871" s="166"/>
      <c r="R871" s="166"/>
      <c r="S871" s="166"/>
      <c r="T871" s="171"/>
    </row>
    <row r="872" spans="1:20">
      <c r="A872" s="166" t="e">
        <f t="shared" ca="1" si="128"/>
        <v>#VALUE!</v>
      </c>
      <c r="B872" s="166">
        <f t="shared" ca="1" si="135"/>
        <v>173</v>
      </c>
      <c r="C872" s="172" t="str">
        <f t="shared" ca="1" si="129"/>
        <v>a173p00000BI51NAAT</v>
      </c>
      <c r="D872" s="166"/>
      <c r="E872" s="166">
        <f t="shared" ca="1" si="136"/>
        <v>5</v>
      </c>
      <c r="F872" s="177">
        <f ca="1">IF(COUNTA(D$518:D872)=1,"",OFFSET(F870,-COUNTA(D$518:D872)+3,0))</f>
        <v>29</v>
      </c>
      <c r="G872" s="171" t="str">
        <f t="shared" ca="1" si="130"/>
        <v/>
      </c>
      <c r="H872" s="166">
        <f t="shared" ca="1" si="137"/>
        <v>65</v>
      </c>
      <c r="I872" s="168" t="str">
        <f t="shared" ca="1" si="131"/>
        <v/>
      </c>
      <c r="J872" s="177" t="str">
        <f t="shared" ca="1" si="132"/>
        <v/>
      </c>
      <c r="K872" s="177" t="str">
        <f t="shared" ca="1" si="133"/>
        <v/>
      </c>
      <c r="L872" s="171" t="e">
        <f>#VALUE!</f>
        <v>#VALUE!</v>
      </c>
      <c r="M872" s="166" t="str">
        <f ca="1">IFERROR(IF(COUNTIF($B$517:$B871,"&lt;0")&lt;&gt;1,OFFSET($C870,-COUNTIF($B$517:$B871,"&lt;0")+3,0),""),"")</f>
        <v>a173p00000BI51NAAT</v>
      </c>
      <c r="N872" s="166">
        <f ca="1">IFERROR(IF(COUNTA($D$517:D871)=1,0,OFFSET($F870,-COUNTA($D$517:D871)+3,0)),"")</f>
        <v>29</v>
      </c>
      <c r="O872" s="166"/>
      <c r="P872" s="166">
        <f t="shared" ca="1" si="138"/>
        <v>0</v>
      </c>
      <c r="Q872" s="166"/>
      <c r="R872" s="166"/>
      <c r="S872" s="166"/>
      <c r="T872" s="171"/>
    </row>
    <row r="873" spans="1:20">
      <c r="A873" s="166" t="e">
        <f t="shared" ca="1" si="128"/>
        <v>#VALUE!</v>
      </c>
      <c r="B873" s="166">
        <f t="shared" ca="1" si="135"/>
        <v>174</v>
      </c>
      <c r="C873" s="172" t="str">
        <f t="shared" ca="1" si="129"/>
        <v>a173p00000BI51rAAD</v>
      </c>
      <c r="D873" s="166"/>
      <c r="E873" s="166">
        <f t="shared" ca="1" si="136"/>
        <v>6</v>
      </c>
      <c r="F873" s="177">
        <f ca="1">IF(COUNTA(D$518:D873)=1,"",OFFSET(F871,-COUNTA(D$518:D873)+3,0))</f>
        <v>29</v>
      </c>
      <c r="G873" s="171" t="str">
        <f t="shared" ca="1" si="130"/>
        <v/>
      </c>
      <c r="H873" s="166">
        <f t="shared" ca="1" si="137"/>
        <v>65</v>
      </c>
      <c r="I873" s="168" t="str">
        <f t="shared" ca="1" si="131"/>
        <v/>
      </c>
      <c r="J873" s="177" t="str">
        <f t="shared" ca="1" si="132"/>
        <v/>
      </c>
      <c r="K873" s="177" t="str">
        <f t="shared" ca="1" si="133"/>
        <v/>
      </c>
      <c r="L873" s="171" t="e">
        <f>#VALUE!</f>
        <v>#VALUE!</v>
      </c>
      <c r="M873" s="166" t="str">
        <f ca="1">IFERROR(IF(COUNTIF($B$517:$B872,"&lt;0")&lt;&gt;1,OFFSET($C871,-COUNTIF($B$517:$B872,"&lt;0")+3,0),""),"")</f>
        <v>a173p00000BI51rAAD</v>
      </c>
      <c r="N873" s="166">
        <f ca="1">IFERROR(IF(COUNTA($D$517:D872)=1,0,OFFSET($F871,-COUNTA($D$517:D872)+3,0)),"")</f>
        <v>29</v>
      </c>
      <c r="O873" s="166"/>
      <c r="P873" s="166">
        <f t="shared" ca="1" si="138"/>
        <v>0</v>
      </c>
      <c r="Q873" s="166"/>
      <c r="R873" s="166"/>
      <c r="S873" s="166"/>
      <c r="T873" s="171"/>
    </row>
    <row r="874" spans="1:20">
      <c r="A874" s="166" t="e">
        <f t="shared" ca="1" si="128"/>
        <v>#VALUE!</v>
      </c>
      <c r="B874" s="166">
        <f t="shared" ca="1" si="135"/>
        <v>175</v>
      </c>
      <c r="C874" s="172" t="str">
        <f t="shared" ca="1" si="129"/>
        <v>a173p00000BI4zSAAT</v>
      </c>
      <c r="D874" s="166"/>
      <c r="E874" s="166">
        <f t="shared" ca="1" si="136"/>
        <v>1</v>
      </c>
      <c r="F874" s="177">
        <f ca="1">IF(COUNTA(D$518:D874)=1,"",OFFSET(F872,-COUNTA(D$518:D874)+3,0))</f>
        <v>30</v>
      </c>
      <c r="G874" s="171" t="str">
        <f t="shared" ca="1" si="130"/>
        <v/>
      </c>
      <c r="H874" s="166">
        <f t="shared" ca="1" si="137"/>
        <v>67</v>
      </c>
      <c r="I874" s="168" t="str">
        <f t="shared" ca="1" si="131"/>
        <v/>
      </c>
      <c r="J874" s="177" t="str">
        <f t="shared" ca="1" si="132"/>
        <v/>
      </c>
      <c r="K874" s="177" t="str">
        <f t="shared" ca="1" si="133"/>
        <v/>
      </c>
      <c r="L874" s="171" t="e">
        <f>#VALUE!</f>
        <v>#VALUE!</v>
      </c>
      <c r="M874" s="166" t="str">
        <f ca="1">IFERROR(IF(COUNTIF($B$517:$B873,"&lt;0")&lt;&gt;1,OFFSET($C872,-COUNTIF($B$517:$B873,"&lt;0")+3,0),""),"")</f>
        <v>a173p00000BI4zSAAT</v>
      </c>
      <c r="N874" s="166">
        <f ca="1">IFERROR(IF(COUNTA($D$517:D873)=1,0,OFFSET($F872,-COUNTA($D$517:D873)+3,0)),"")</f>
        <v>30</v>
      </c>
      <c r="O874" s="166"/>
      <c r="P874" s="166">
        <f t="shared" ca="1" si="138"/>
        <v>0</v>
      </c>
      <c r="Q874" s="166"/>
      <c r="R874" s="166"/>
      <c r="S874" s="166"/>
      <c r="T874" s="171"/>
    </row>
    <row r="875" spans="1:20">
      <c r="A875" s="166" t="e">
        <f t="shared" ca="1" si="128"/>
        <v>#VALUE!</v>
      </c>
      <c r="B875" s="166">
        <f t="shared" ca="1" si="135"/>
        <v>176</v>
      </c>
      <c r="C875" s="172" t="str">
        <f t="shared" ca="1" si="129"/>
        <v>a173p00000BI4zwAAD</v>
      </c>
      <c r="D875" s="166"/>
      <c r="E875" s="166">
        <f t="shared" ca="1" si="136"/>
        <v>2</v>
      </c>
      <c r="F875" s="177">
        <f ca="1">IF(COUNTA(D$518:D875)=1,"",OFFSET(F873,-COUNTA(D$518:D875)+3,0))</f>
        <v>30</v>
      </c>
      <c r="G875" s="171" t="str">
        <f t="shared" ca="1" si="130"/>
        <v/>
      </c>
      <c r="H875" s="166">
        <f t="shared" ca="1" si="137"/>
        <v>67</v>
      </c>
      <c r="I875" s="168" t="str">
        <f t="shared" ca="1" si="131"/>
        <v/>
      </c>
      <c r="J875" s="177" t="str">
        <f t="shared" ca="1" si="132"/>
        <v/>
      </c>
      <c r="K875" s="177" t="str">
        <f t="shared" ca="1" si="133"/>
        <v/>
      </c>
      <c r="L875" s="171" t="e">
        <f>#VALUE!</f>
        <v>#VALUE!</v>
      </c>
      <c r="M875" s="166" t="str">
        <f ca="1">IFERROR(IF(COUNTIF($B$517:$B874,"&lt;0")&lt;&gt;1,OFFSET($C873,-COUNTIF($B$517:$B874,"&lt;0")+3,0),""),"")</f>
        <v>a173p00000BI4zwAAD</v>
      </c>
      <c r="N875" s="166">
        <f ca="1">IFERROR(IF(COUNTA($D$517:D874)=1,0,OFFSET($F873,-COUNTA($D$517:D874)+3,0)),"")</f>
        <v>30</v>
      </c>
      <c r="O875" s="166"/>
      <c r="P875" s="166">
        <f t="shared" ca="1" si="138"/>
        <v>0</v>
      </c>
      <c r="Q875" s="166"/>
      <c r="R875" s="166"/>
      <c r="S875" s="166"/>
      <c r="T875" s="171"/>
    </row>
    <row r="876" spans="1:20">
      <c r="A876" s="166" t="e">
        <f t="shared" ca="1" si="128"/>
        <v>#VALUE!</v>
      </c>
      <c r="B876" s="166">
        <f t="shared" ca="1" si="135"/>
        <v>177</v>
      </c>
      <c r="C876" s="172" t="str">
        <f t="shared" ca="1" si="129"/>
        <v>a173p00000BI50QAAT</v>
      </c>
      <c r="D876" s="166"/>
      <c r="E876" s="166">
        <f t="shared" ca="1" si="136"/>
        <v>3</v>
      </c>
      <c r="F876" s="177">
        <f ca="1">IF(COUNTA(D$518:D876)=1,"",OFFSET(F874,-COUNTA(D$518:D876)+3,0))</f>
        <v>30</v>
      </c>
      <c r="G876" s="171" t="str">
        <f t="shared" ca="1" si="130"/>
        <v/>
      </c>
      <c r="H876" s="166">
        <f t="shared" ca="1" si="137"/>
        <v>67</v>
      </c>
      <c r="I876" s="168" t="str">
        <f t="shared" ca="1" si="131"/>
        <v/>
      </c>
      <c r="J876" s="177" t="str">
        <f t="shared" ca="1" si="132"/>
        <v/>
      </c>
      <c r="K876" s="177" t="str">
        <f t="shared" ca="1" si="133"/>
        <v/>
      </c>
      <c r="L876" s="171" t="e">
        <f>#VALUE!</f>
        <v>#VALUE!</v>
      </c>
      <c r="M876" s="166" t="str">
        <f ca="1">IFERROR(IF(COUNTIF($B$517:$B875,"&lt;0")&lt;&gt;1,OFFSET($C874,-COUNTIF($B$517:$B875,"&lt;0")+3,0),""),"")</f>
        <v>a173p00000BI50QAAT</v>
      </c>
      <c r="N876" s="166">
        <f ca="1">IFERROR(IF(COUNTA($D$517:D875)=1,0,OFFSET($F874,-COUNTA($D$517:D875)+3,0)),"")</f>
        <v>30</v>
      </c>
      <c r="O876" s="166"/>
      <c r="P876" s="166">
        <f t="shared" ca="1" si="138"/>
        <v>0</v>
      </c>
      <c r="Q876" s="166"/>
      <c r="R876" s="166"/>
      <c r="S876" s="166"/>
      <c r="T876" s="171"/>
    </row>
    <row r="877" spans="1:20">
      <c r="A877" s="166" t="e">
        <f t="shared" ca="1" si="128"/>
        <v>#VALUE!</v>
      </c>
      <c r="B877" s="166">
        <f t="shared" ca="1" si="135"/>
        <v>178</v>
      </c>
      <c r="C877" s="172" t="str">
        <f t="shared" ca="1" si="129"/>
        <v>a173p00000BI50uAAD</v>
      </c>
      <c r="D877" s="166"/>
      <c r="E877" s="166">
        <f t="shared" ca="1" si="136"/>
        <v>4</v>
      </c>
      <c r="F877" s="177">
        <f ca="1">IF(COUNTA(D$518:D877)=1,"",OFFSET(F875,-COUNTA(D$518:D877)+3,0))</f>
        <v>30</v>
      </c>
      <c r="G877" s="171" t="str">
        <f t="shared" ca="1" si="130"/>
        <v/>
      </c>
      <c r="H877" s="166">
        <f t="shared" ca="1" si="137"/>
        <v>67</v>
      </c>
      <c r="I877" s="168" t="str">
        <f t="shared" ca="1" si="131"/>
        <v/>
      </c>
      <c r="J877" s="177" t="str">
        <f t="shared" ca="1" si="132"/>
        <v/>
      </c>
      <c r="K877" s="177" t="str">
        <f t="shared" ca="1" si="133"/>
        <v/>
      </c>
      <c r="L877" s="171" t="e">
        <f>#VALUE!</f>
        <v>#VALUE!</v>
      </c>
      <c r="M877" s="166" t="str">
        <f ca="1">IFERROR(IF(COUNTIF($B$517:$B876,"&lt;0")&lt;&gt;1,OFFSET($C875,-COUNTIF($B$517:$B876,"&lt;0")+3,0),""),"")</f>
        <v>a173p00000BI50uAAD</v>
      </c>
      <c r="N877" s="166">
        <f ca="1">IFERROR(IF(COUNTA($D$517:D876)=1,0,OFFSET($F875,-COUNTA($D$517:D876)+3,0)),"")</f>
        <v>30</v>
      </c>
      <c r="O877" s="166"/>
      <c r="P877" s="166">
        <f t="shared" ca="1" si="138"/>
        <v>0</v>
      </c>
      <c r="Q877" s="166"/>
      <c r="R877" s="166"/>
      <c r="S877" s="166"/>
      <c r="T877" s="171"/>
    </row>
    <row r="878" spans="1:20">
      <c r="A878" s="166" t="e">
        <f t="shared" ca="1" si="128"/>
        <v>#VALUE!</v>
      </c>
      <c r="B878" s="166">
        <f t="shared" ca="1" si="135"/>
        <v>179</v>
      </c>
      <c r="C878" s="172" t="str">
        <f t="shared" ca="1" si="129"/>
        <v>a173p00000BI51OAAT</v>
      </c>
      <c r="D878" s="166"/>
      <c r="E878" s="166">
        <f t="shared" ca="1" si="136"/>
        <v>5</v>
      </c>
      <c r="F878" s="177">
        <f ca="1">IF(COUNTA(D$518:D878)=1,"",OFFSET(F876,-COUNTA(D$518:D878)+3,0))</f>
        <v>30</v>
      </c>
      <c r="G878" s="171" t="str">
        <f t="shared" ca="1" si="130"/>
        <v/>
      </c>
      <c r="H878" s="166">
        <f t="shared" ca="1" si="137"/>
        <v>67</v>
      </c>
      <c r="I878" s="168" t="str">
        <f t="shared" ca="1" si="131"/>
        <v/>
      </c>
      <c r="J878" s="177" t="str">
        <f t="shared" ca="1" si="132"/>
        <v/>
      </c>
      <c r="K878" s="177" t="str">
        <f t="shared" ca="1" si="133"/>
        <v/>
      </c>
      <c r="L878" s="171" t="e">
        <f>#VALUE!</f>
        <v>#VALUE!</v>
      </c>
      <c r="M878" s="166" t="str">
        <f ca="1">IFERROR(IF(COUNTIF($B$517:$B877,"&lt;0")&lt;&gt;1,OFFSET($C876,-COUNTIF($B$517:$B877,"&lt;0")+3,0),""),"")</f>
        <v>a173p00000BI51OAAT</v>
      </c>
      <c r="N878" s="166">
        <f ca="1">IFERROR(IF(COUNTA($D$517:D877)=1,0,OFFSET($F876,-COUNTA($D$517:D877)+3,0)),"")</f>
        <v>30</v>
      </c>
      <c r="O878" s="166"/>
      <c r="P878" s="166">
        <f t="shared" ca="1" si="138"/>
        <v>0</v>
      </c>
      <c r="Q878" s="166"/>
      <c r="R878" s="166"/>
      <c r="S878" s="166"/>
      <c r="T878" s="171"/>
    </row>
    <row r="879" spans="1:20">
      <c r="A879" s="166" t="e">
        <f t="shared" ca="1" si="128"/>
        <v>#VALUE!</v>
      </c>
      <c r="B879" s="166">
        <f t="shared" ca="1" si="135"/>
        <v>180</v>
      </c>
      <c r="C879" s="172" t="str">
        <f t="shared" ca="1" si="129"/>
        <v>a173p00000BI51sAAD</v>
      </c>
      <c r="D879" s="166"/>
      <c r="E879" s="166">
        <f t="shared" ca="1" si="136"/>
        <v>6</v>
      </c>
      <c r="F879" s="177">
        <f ca="1">IF(COUNTA(D$518:D879)=1,"",OFFSET(F877,-COUNTA(D$518:D879)+3,0))</f>
        <v>30</v>
      </c>
      <c r="G879" s="171" t="str">
        <f t="shared" ca="1" si="130"/>
        <v/>
      </c>
      <c r="H879" s="166">
        <f t="shared" ca="1" si="137"/>
        <v>67</v>
      </c>
      <c r="I879" s="168" t="str">
        <f t="shared" ca="1" si="131"/>
        <v/>
      </c>
      <c r="J879" s="177" t="str">
        <f t="shared" ca="1" si="132"/>
        <v/>
      </c>
      <c r="K879" s="177" t="str">
        <f t="shared" ca="1" si="133"/>
        <v/>
      </c>
      <c r="L879" s="171" t="e">
        <f>#VALUE!</f>
        <v>#VALUE!</v>
      </c>
      <c r="M879" s="166" t="str">
        <f ca="1">IFERROR(IF(COUNTIF($B$517:$B878,"&lt;0")&lt;&gt;1,OFFSET($C877,-COUNTIF($B$517:$B878,"&lt;0")+3,0),""),"")</f>
        <v>a173p00000BI51sAAD</v>
      </c>
      <c r="N879" s="166">
        <f ca="1">IFERROR(IF(COUNTA($D$517:D878)=1,0,OFFSET($F877,-COUNTA($D$517:D878)+3,0)),"")</f>
        <v>30</v>
      </c>
      <c r="O879" s="166"/>
      <c r="P879" s="166">
        <f t="shared" ca="1" si="138"/>
        <v>0</v>
      </c>
      <c r="Q879" s="166"/>
      <c r="R879" s="166"/>
      <c r="S879" s="166"/>
      <c r="T879" s="171"/>
    </row>
    <row r="881" spans="1:15">
      <c r="A881" s="165" t="s">
        <v>3596</v>
      </c>
      <c r="J881" s="164" t="str">
        <f ca="1">IF(ROW()&gt;'Impact Indicator Target Update'!A17,"",INDIRECT("'Impact Indicators - Section B'!A"&amp;'Impact Indicator Target Update'!D17))</f>
        <v/>
      </c>
    </row>
    <row r="882" spans="1:15">
      <c r="A882" s="165"/>
    </row>
    <row r="884" spans="1:15">
      <c r="A884" s="165" t="s">
        <v>3597</v>
      </c>
    </row>
    <row r="885" spans="1:15">
      <c r="A885" s="166" t="s">
        <v>348</v>
      </c>
      <c r="B885" s="166"/>
      <c r="C885" s="166" t="s">
        <v>341</v>
      </c>
      <c r="D885" s="166" t="s">
        <v>3222</v>
      </c>
      <c r="E885" s="166" t="s">
        <v>3046</v>
      </c>
      <c r="F885" s="166"/>
      <c r="G885" s="166" t="s">
        <v>3048</v>
      </c>
      <c r="H885" s="166" t="s">
        <v>3047</v>
      </c>
      <c r="I885" s="166" t="s">
        <v>3050</v>
      </c>
      <c r="J885" s="166" t="s">
        <v>3049</v>
      </c>
      <c r="K885" s="166" t="s">
        <v>3598</v>
      </c>
      <c r="L885" s="166" t="s">
        <v>3599</v>
      </c>
      <c r="M885" s="166" t="s">
        <v>3600</v>
      </c>
      <c r="N885" s="166" t="s">
        <v>3601</v>
      </c>
      <c r="O885" s="166" t="s">
        <v>3602</v>
      </c>
    </row>
    <row r="886" spans="1:15" hidden="1">
      <c r="A886" s="166" t="b">
        <f ca="1">IF(M886&lt;&gt;"",TRUE,FALSE)</f>
        <v>0</v>
      </c>
      <c r="B886" s="166"/>
      <c r="C886" s="166" t="str">
        <f ca="1">IF(COUNTA(D$885:D886)=1,"",OFFSET(C886,-COUNTA(D$885:D886)+1,0))</f>
        <v/>
      </c>
      <c r="D886" s="177"/>
      <c r="E886" s="168" t="str">
        <f ca="1">IFERROR(IF(VLOOKUP(C886,' Disaggregation - Section E '!A$316:N615,7,0)="","",VLOOKUP(C886,' Disaggregation - Section E '!A$316:N615,7,0)*100),"")</f>
        <v/>
      </c>
      <c r="F886" s="166"/>
      <c r="G886" s="170" t="str">
        <f ca="1">IFERROR(IF(VLOOKUP(C886,' Disaggregation - Section E '!A$316:N615,6,0)="","",VLOOKUP(C886,' Disaggregation - Section E '!A$316:N615,6,0)),"")</f>
        <v/>
      </c>
      <c r="H886" s="177" t="str">
        <f ca="1">IFERROR(IF(INDEX(' Disaggregation - Section E '!F$313:F615,MATCH(C886,' Disaggregation - Section E '!A$313:A615,0)+1,1)&lt;&gt;0,INDEX(' Disaggregation - Section E '!F$313:F615,MATCH(C886,' Disaggregation - Section E '!A$313:A615,0)+1,1),""),"")</f>
        <v/>
      </c>
      <c r="I886" s="171" t="str">
        <f ca="1">IFERROR(IF(VLOOKUP(C886,' Disaggregation - Section E '!A$316:N615,8,0)=0,"",VLOOKUP(C886,' Disaggregation - Section E '!A$316:N615,8,0)),"")</f>
        <v/>
      </c>
      <c r="J886" s="171" t="str">
        <f ca="1">IFERROR(IF(VLOOKUP(C886,' Disaggregation - Section E '!A$316:N615,13,0)=0,"",VLOOKUP(C886,' Disaggregation - Section E '!A$316:N615,13,0)),"")</f>
        <v/>
      </c>
      <c r="K886" s="166" t="str">
        <f ca="1">IFERROR(VLOOKUP(C886,' Disaggregation - Section E '!A$316:N615,3,0),"")</f>
        <v/>
      </c>
      <c r="L886" s="171" t="str">
        <f ca="1">IFERROR(IF(VLOOKUP(C886,' Disaggregation - Section E '!A$316:N615,14,0)=0,"",VLOOKUP(C886,' Disaggregation - Section E '!A$316:N615,14,0)),"")</f>
        <v/>
      </c>
      <c r="M886" s="166" t="str">
        <f ca="1">IFERROR(IF(VLOOKUP(C886,' Disaggregation - Section E '!A$316:T615,20,0)=0,"",VLOOKUP(C886,' Disaggregation - Section E '!A$316:T615,20,0)),"")</f>
        <v/>
      </c>
      <c r="N886" s="171" t="str">
        <f ca="1">IFERROR(IF(VLOOKUP(C886,' Disaggregation - Section E '!A$316:N615,9,0)=0,"",VLOOKUP(C886,' Disaggregation - Section E '!A$316:N615,9,0)),"")</f>
        <v/>
      </c>
      <c r="O886" s="171" t="str">
        <f ca="1">IFERROR(IF(VLOOKUP(C886,' Disaggregation - Section E '!A$315:N615,10,0)=0,"",VLOOKUP(C886,' Disaggregation - Section E '!A$316:N615,10,0)),"")</f>
        <v/>
      </c>
    </row>
    <row r="887" spans="1:15">
      <c r="A887" s="166" t="b">
        <v>0</v>
      </c>
      <c r="B887" s="166"/>
      <c r="C887" s="413" t="s">
        <v>3603</v>
      </c>
      <c r="D887" s="177">
        <v>1</v>
      </c>
      <c r="E887" s="168"/>
      <c r="F887" s="166"/>
      <c r="G887" s="170"/>
      <c r="H887" s="177"/>
      <c r="I887" s="171"/>
      <c r="J887" s="171"/>
      <c r="K887" s="166" t="str">
        <f ca="1">IFERROR(VLOOKUP(C887,' Disaggregation - Section E '!A$316:N616,3,0),"")</f>
        <v/>
      </c>
      <c r="L887" s="171"/>
      <c r="M887" s="166"/>
      <c r="N887" s="171"/>
      <c r="O887" s="171"/>
    </row>
    <row r="888" spans="1:15">
      <c r="A888" s="166" t="b">
        <v>0</v>
      </c>
      <c r="B888" s="166"/>
      <c r="C888" s="413" t="s">
        <v>3604</v>
      </c>
      <c r="D888" s="177">
        <v>1</v>
      </c>
      <c r="E888" s="168"/>
      <c r="F888" s="166"/>
      <c r="G888" s="170"/>
      <c r="H888" s="177"/>
      <c r="I888" s="171"/>
      <c r="J888" s="171"/>
      <c r="K888" s="166" t="str">
        <f ca="1">IFERROR(VLOOKUP(C888,' Disaggregation - Section E '!A$316:N617,3,0),"")</f>
        <v/>
      </c>
      <c r="L888" s="171"/>
      <c r="M888" s="166"/>
      <c r="N888" s="171"/>
      <c r="O888" s="171"/>
    </row>
    <row r="889" spans="1:15">
      <c r="A889" s="166" t="b">
        <v>0</v>
      </c>
      <c r="B889" s="166"/>
      <c r="C889" s="413" t="s">
        <v>3605</v>
      </c>
      <c r="D889" s="177">
        <v>1</v>
      </c>
      <c r="E889" s="168"/>
      <c r="F889" s="166"/>
      <c r="G889" s="170"/>
      <c r="H889" s="177"/>
      <c r="I889" s="171"/>
      <c r="J889" s="171"/>
      <c r="K889" s="166" t="str">
        <f ca="1">IFERROR(VLOOKUP(C889,' Disaggregation - Section E '!A$316:N618,3,0),"")</f>
        <v/>
      </c>
      <c r="L889" s="171"/>
      <c r="M889" s="166"/>
      <c r="N889" s="171"/>
      <c r="O889" s="171"/>
    </row>
    <row r="890" spans="1:15">
      <c r="A890" s="166" t="b">
        <v>0</v>
      </c>
      <c r="B890" s="166"/>
      <c r="C890" s="413" t="s">
        <v>3606</v>
      </c>
      <c r="D890" s="177">
        <v>1</v>
      </c>
      <c r="E890" s="168"/>
      <c r="F890" s="166"/>
      <c r="G890" s="170"/>
      <c r="H890" s="177"/>
      <c r="I890" s="171"/>
      <c r="J890" s="171"/>
      <c r="K890" s="166" t="str">
        <f ca="1">IFERROR(VLOOKUP(C890,' Disaggregation - Section E '!A$316:N619,3,0),"")</f>
        <v/>
      </c>
      <c r="L890" s="171"/>
      <c r="M890" s="166"/>
      <c r="N890" s="171"/>
      <c r="O890" s="171"/>
    </row>
    <row r="891" spans="1:15">
      <c r="A891" s="166" t="b">
        <v>0</v>
      </c>
      <c r="B891" s="166"/>
      <c r="C891" s="413" t="s">
        <v>3607</v>
      </c>
      <c r="D891" s="177">
        <v>1</v>
      </c>
      <c r="E891" s="168"/>
      <c r="F891" s="166"/>
      <c r="G891" s="170"/>
      <c r="H891" s="177"/>
      <c r="I891" s="171"/>
      <c r="J891" s="171"/>
      <c r="K891" s="166" t="str">
        <f ca="1">IFERROR(VLOOKUP(C891,' Disaggregation - Section E '!A$316:N620,3,0),"")</f>
        <v/>
      </c>
      <c r="L891" s="171"/>
      <c r="M891" s="166"/>
      <c r="N891" s="171"/>
      <c r="O891" s="171"/>
    </row>
    <row r="892" spans="1:15">
      <c r="A892" s="166" t="b">
        <v>0</v>
      </c>
      <c r="B892" s="166"/>
      <c r="C892" s="413" t="s">
        <v>3608</v>
      </c>
      <c r="D892" s="177">
        <v>1</v>
      </c>
      <c r="E892" s="168"/>
      <c r="F892" s="166"/>
      <c r="G892" s="170"/>
      <c r="H892" s="177"/>
      <c r="I892" s="171"/>
      <c r="J892" s="171"/>
      <c r="K892" s="166" t="str">
        <f ca="1">IFERROR(VLOOKUP(C892,' Disaggregation - Section E '!A$316:N621,3,0),"")</f>
        <v/>
      </c>
      <c r="L892" s="171"/>
      <c r="M892" s="166"/>
      <c r="N892" s="171"/>
      <c r="O892" s="171"/>
    </row>
    <row r="893" spans="1:15">
      <c r="A893" s="166" t="b">
        <v>0</v>
      </c>
      <c r="B893" s="166"/>
      <c r="C893" s="413" t="s">
        <v>3609</v>
      </c>
      <c r="D893" s="177">
        <v>1</v>
      </c>
      <c r="E893" s="168"/>
      <c r="F893" s="166"/>
      <c r="G893" s="170"/>
      <c r="H893" s="177"/>
      <c r="I893" s="171"/>
      <c r="J893" s="171"/>
      <c r="K893" s="166" t="str">
        <f ca="1">IFERROR(VLOOKUP(C893,' Disaggregation - Section E '!A$316:N622,3,0),"")</f>
        <v/>
      </c>
      <c r="L893" s="171"/>
      <c r="M893" s="166"/>
      <c r="N893" s="171"/>
      <c r="O893" s="171"/>
    </row>
    <row r="894" spans="1:15">
      <c r="A894" s="166" t="b">
        <v>0</v>
      </c>
      <c r="B894" s="166"/>
      <c r="C894" s="413" t="s">
        <v>3610</v>
      </c>
      <c r="D894" s="177">
        <v>1</v>
      </c>
      <c r="E894" s="168"/>
      <c r="F894" s="166"/>
      <c r="G894" s="170"/>
      <c r="H894" s="177"/>
      <c r="I894" s="171"/>
      <c r="J894" s="171"/>
      <c r="K894" s="166" t="str">
        <f ca="1">IFERROR(VLOOKUP(C894,' Disaggregation - Section E '!A$316:N623,3,0),"")</f>
        <v/>
      </c>
      <c r="L894" s="171"/>
      <c r="M894" s="166"/>
      <c r="N894" s="171"/>
      <c r="O894" s="171"/>
    </row>
    <row r="895" spans="1:15">
      <c r="A895" s="166" t="b">
        <v>0</v>
      </c>
      <c r="B895" s="166"/>
      <c r="C895" s="413" t="s">
        <v>3611</v>
      </c>
      <c r="D895" s="177">
        <v>1</v>
      </c>
      <c r="E895" s="168"/>
      <c r="F895" s="166"/>
      <c r="G895" s="170"/>
      <c r="H895" s="177"/>
      <c r="I895" s="171"/>
      <c r="J895" s="171"/>
      <c r="K895" s="166" t="str">
        <f ca="1">IFERROR(VLOOKUP(C895,' Disaggregation - Section E '!A$316:N624,3,0),"")</f>
        <v/>
      </c>
      <c r="L895" s="171"/>
      <c r="M895" s="166"/>
      <c r="N895" s="171"/>
      <c r="O895" s="171"/>
    </row>
    <row r="896" spans="1:15">
      <c r="A896" s="166" t="b">
        <v>0</v>
      </c>
      <c r="B896" s="166"/>
      <c r="C896" s="413" t="s">
        <v>3612</v>
      </c>
      <c r="D896" s="177">
        <v>1</v>
      </c>
      <c r="E896" s="168"/>
      <c r="F896" s="166"/>
      <c r="G896" s="170"/>
      <c r="H896" s="177"/>
      <c r="I896" s="171"/>
      <c r="J896" s="171"/>
      <c r="K896" s="166" t="str">
        <f ca="1">IFERROR(VLOOKUP(C896,' Disaggregation - Section E '!A$316:N625,3,0),"")</f>
        <v/>
      </c>
      <c r="L896" s="171"/>
      <c r="M896" s="166"/>
      <c r="N896" s="171"/>
      <c r="O896" s="171"/>
    </row>
    <row r="897" spans="1:15">
      <c r="A897" s="166" t="b">
        <v>0</v>
      </c>
      <c r="B897" s="166"/>
      <c r="C897" s="413" t="s">
        <v>3613</v>
      </c>
      <c r="D897" s="177">
        <v>2</v>
      </c>
      <c r="E897" s="168"/>
      <c r="F897" s="166"/>
      <c r="G897" s="170"/>
      <c r="H897" s="177"/>
      <c r="I897" s="171"/>
      <c r="J897" s="171"/>
      <c r="K897" s="166" t="str">
        <f ca="1">IFERROR(VLOOKUP(C897,' Disaggregation - Section E '!A$316:N626,3,0),"")</f>
        <v>HIV O-4a⁽ᴹ⁾ Porcentaje de hombres que afirman haber utilizado preservativo en su última relación de sexo anal con una pareja masculina no regular</v>
      </c>
      <c r="L897" s="171"/>
      <c r="M897" s="166"/>
      <c r="N897" s="171"/>
      <c r="O897" s="171"/>
    </row>
    <row r="898" spans="1:15">
      <c r="A898" s="166" t="b">
        <v>0</v>
      </c>
      <c r="B898" s="166"/>
      <c r="C898" s="413" t="s">
        <v>3614</v>
      </c>
      <c r="D898" s="177">
        <v>2</v>
      </c>
      <c r="E898" s="168"/>
      <c r="F898" s="166"/>
      <c r="G898" s="170"/>
      <c r="H898" s="177"/>
      <c r="I898" s="171"/>
      <c r="J898" s="171"/>
      <c r="K898" s="166" t="str">
        <f ca="1">IFERROR(VLOOKUP(C898,' Disaggregation - Section E '!A$316:N627,3,0),"")</f>
        <v>HIV O-4a⁽ᴹ⁾ Porcentaje de hombres que afirman haber utilizado preservativo en su última relación de sexo anal con una pareja masculina no regular</v>
      </c>
      <c r="L898" s="171"/>
      <c r="M898" s="166"/>
      <c r="N898" s="171"/>
      <c r="O898" s="171"/>
    </row>
    <row r="899" spans="1:15">
      <c r="A899" s="166" t="b">
        <v>0</v>
      </c>
      <c r="B899" s="166"/>
      <c r="C899" s="413" t="s">
        <v>3615</v>
      </c>
      <c r="D899" s="177">
        <v>2</v>
      </c>
      <c r="E899" s="168"/>
      <c r="F899" s="166"/>
      <c r="G899" s="170"/>
      <c r="H899" s="177"/>
      <c r="I899" s="171"/>
      <c r="J899" s="171"/>
      <c r="K899" s="166" t="str">
        <f ca="1">IFERROR(VLOOKUP(C899,' Disaggregation - Section E '!A$316:N628,3,0),"")</f>
        <v>HIV O-4a⁽ᴹ⁾ Porcentaje de hombres que afirman haber utilizado preservativo en su última relación de sexo anal con una pareja masculina no regular</v>
      </c>
      <c r="L899" s="171"/>
      <c r="M899" s="166"/>
      <c r="N899" s="171"/>
      <c r="O899" s="171"/>
    </row>
    <row r="900" spans="1:15">
      <c r="A900" s="166" t="b">
        <v>0</v>
      </c>
      <c r="B900" s="166"/>
      <c r="C900" s="413" t="s">
        <v>3616</v>
      </c>
      <c r="D900" s="177">
        <v>2</v>
      </c>
      <c r="E900" s="168"/>
      <c r="F900" s="166"/>
      <c r="G900" s="170"/>
      <c r="H900" s="177"/>
      <c r="I900" s="171"/>
      <c r="J900" s="171"/>
      <c r="K900" s="166" t="str">
        <f ca="1">IFERROR(VLOOKUP(C900,' Disaggregation - Section E '!A$316:N629,3,0),"")</f>
        <v>HIV O-4a⁽ᴹ⁾ Porcentaje de hombres que afirman haber utilizado preservativo en su última relación de sexo anal con una pareja masculina no regular</v>
      </c>
      <c r="L900" s="171"/>
      <c r="M900" s="166"/>
      <c r="N900" s="171"/>
      <c r="O900" s="171"/>
    </row>
    <row r="901" spans="1:15">
      <c r="A901" s="166" t="b">
        <v>0</v>
      </c>
      <c r="B901" s="166"/>
      <c r="C901" s="413" t="s">
        <v>3617</v>
      </c>
      <c r="D901" s="177">
        <v>2</v>
      </c>
      <c r="E901" s="168"/>
      <c r="F901" s="166"/>
      <c r="G901" s="170"/>
      <c r="H901" s="177"/>
      <c r="I901" s="171"/>
      <c r="J901" s="171"/>
      <c r="K901" s="166" t="str">
        <f ca="1">IFERROR(VLOOKUP(C901,' Disaggregation - Section E '!A$316:N630,3,0),"")</f>
        <v>HIV O-4a⁽ᴹ⁾ Porcentaje de hombres que afirman haber utilizado preservativo en su última relación de sexo anal con una pareja masculina no regular</v>
      </c>
      <c r="L901" s="171"/>
      <c r="M901" s="166"/>
      <c r="N901" s="171"/>
      <c r="O901" s="171"/>
    </row>
    <row r="902" spans="1:15">
      <c r="A902" s="166" t="b">
        <v>0</v>
      </c>
      <c r="B902" s="166"/>
      <c r="C902" s="413" t="s">
        <v>3618</v>
      </c>
      <c r="D902" s="177">
        <v>2</v>
      </c>
      <c r="E902" s="168"/>
      <c r="F902" s="166"/>
      <c r="G902" s="170"/>
      <c r="H902" s="177"/>
      <c r="I902" s="171"/>
      <c r="J902" s="171"/>
      <c r="K902" s="166" t="str">
        <f ca="1">IFERROR(VLOOKUP(C902,' Disaggregation - Section E '!A$316:N631,3,0),"")</f>
        <v>HIV O-4a⁽ᴹ⁾ Porcentaje de hombres que afirman haber utilizado preservativo en su última relación de sexo anal con una pareja masculina no regular</v>
      </c>
      <c r="L902" s="171"/>
      <c r="M902" s="166"/>
      <c r="N902" s="171"/>
      <c r="O902" s="171"/>
    </row>
    <row r="903" spans="1:15">
      <c r="A903" s="166" t="b">
        <v>0</v>
      </c>
      <c r="B903" s="166"/>
      <c r="C903" s="413" t="s">
        <v>3619</v>
      </c>
      <c r="D903" s="177">
        <v>2</v>
      </c>
      <c r="E903" s="168"/>
      <c r="F903" s="166"/>
      <c r="G903" s="170"/>
      <c r="H903" s="177"/>
      <c r="I903" s="171"/>
      <c r="J903" s="171"/>
      <c r="K903" s="166" t="str">
        <f ca="1">IFERROR(VLOOKUP(C903,' Disaggregation - Section E '!A$316:N632,3,0),"")</f>
        <v>HIV O-4a⁽ᴹ⁾ Porcentaje de hombres que afirman haber utilizado preservativo en su última relación de sexo anal con una pareja masculina no regular</v>
      </c>
      <c r="L903" s="171"/>
      <c r="M903" s="166"/>
      <c r="N903" s="171"/>
      <c r="O903" s="171"/>
    </row>
    <row r="904" spans="1:15">
      <c r="A904" s="166" t="b">
        <v>0</v>
      </c>
      <c r="B904" s="166"/>
      <c r="C904" s="413" t="s">
        <v>3620</v>
      </c>
      <c r="D904" s="177">
        <v>2</v>
      </c>
      <c r="E904" s="168"/>
      <c r="F904" s="166"/>
      <c r="G904" s="170"/>
      <c r="H904" s="177"/>
      <c r="I904" s="171"/>
      <c r="J904" s="171"/>
      <c r="K904" s="166" t="str">
        <f ca="1">IFERROR(VLOOKUP(C904,' Disaggregation - Section E '!A$316:N633,3,0),"")</f>
        <v>HIV O-4a⁽ᴹ⁾ Porcentaje de hombres que afirman haber utilizado preservativo en su última relación de sexo anal con una pareja masculina no regular</v>
      </c>
      <c r="L904" s="171"/>
      <c r="M904" s="166"/>
      <c r="N904" s="171"/>
      <c r="O904" s="171"/>
    </row>
    <row r="905" spans="1:15">
      <c r="A905" s="166" t="b">
        <v>0</v>
      </c>
      <c r="B905" s="166"/>
      <c r="C905" s="413" t="s">
        <v>3621</v>
      </c>
      <c r="D905" s="177">
        <v>2</v>
      </c>
      <c r="E905" s="168"/>
      <c r="F905" s="166"/>
      <c r="G905" s="170"/>
      <c r="H905" s="177"/>
      <c r="I905" s="171"/>
      <c r="J905" s="171"/>
      <c r="K905" s="166" t="str">
        <f ca="1">IFERROR(VLOOKUP(C905,' Disaggregation - Section E '!A$316:N634,3,0),"")</f>
        <v>HIV O-4a⁽ᴹ⁾ Porcentaje de hombres que afirman haber utilizado preservativo en su última relación de sexo anal con una pareja masculina no regular</v>
      </c>
      <c r="L905" s="171"/>
      <c r="M905" s="166"/>
      <c r="N905" s="171"/>
      <c r="O905" s="171"/>
    </row>
    <row r="906" spans="1:15">
      <c r="A906" s="166" t="b">
        <v>0</v>
      </c>
      <c r="B906" s="166"/>
      <c r="C906" s="413" t="s">
        <v>3622</v>
      </c>
      <c r="D906" s="177">
        <v>2</v>
      </c>
      <c r="E906" s="168"/>
      <c r="F906" s="166"/>
      <c r="G906" s="170"/>
      <c r="H906" s="177"/>
      <c r="I906" s="171"/>
      <c r="J906" s="171"/>
      <c r="K906" s="166" t="str">
        <f ca="1">IFERROR(VLOOKUP(C906,' Disaggregation - Section E '!A$316:N635,3,0),"")</f>
        <v>HIV O-4a⁽ᴹ⁾ Porcentaje de hombres que afirman haber utilizado preservativo en su última relación de sexo anal con una pareja masculina no regular</v>
      </c>
      <c r="L906" s="171"/>
      <c r="M906" s="166"/>
      <c r="N906" s="171"/>
      <c r="O906" s="171"/>
    </row>
    <row r="907" spans="1:15">
      <c r="A907" s="166" t="b">
        <v>0</v>
      </c>
      <c r="B907" s="166"/>
      <c r="C907" s="413" t="s">
        <v>3623</v>
      </c>
      <c r="D907" s="177">
        <v>3</v>
      </c>
      <c r="E907" s="168"/>
      <c r="F907" s="166"/>
      <c r="G907" s="170"/>
      <c r="H907" s="177"/>
      <c r="I907" s="171"/>
      <c r="J907" s="171"/>
      <c r="K907" s="166" t="str">
        <f ca="1">IFERROR(VLOOKUP(C907,' Disaggregation - Section E '!A$316:N636,3,0),"")</f>
        <v>HIV O-4.1b⁽ᴹ⁾ Porcentaje de personas transgénero que afirman haber utilizado preservativo en su último encuentro sexual o relación de sexo anal con una pareja masculina no regular</v>
      </c>
      <c r="L907" s="171"/>
      <c r="M907" s="166"/>
      <c r="N907" s="171"/>
      <c r="O907" s="171"/>
    </row>
    <row r="908" spans="1:15">
      <c r="A908" s="166" t="b">
        <v>0</v>
      </c>
      <c r="B908" s="166"/>
      <c r="C908" s="413" t="s">
        <v>3624</v>
      </c>
      <c r="D908" s="177">
        <v>3</v>
      </c>
      <c r="E908" s="168"/>
      <c r="F908" s="166"/>
      <c r="G908" s="170"/>
      <c r="H908" s="177"/>
      <c r="I908" s="171"/>
      <c r="J908" s="171"/>
      <c r="K908" s="166" t="str">
        <f ca="1">IFERROR(VLOOKUP(C908,' Disaggregation - Section E '!A$316:N637,3,0),"")</f>
        <v>HIV O-4.1b⁽ᴹ⁾ Porcentaje de personas transgénero que afirman haber utilizado preservativo en su último encuentro sexual o relación de sexo anal con una pareja masculina no regular</v>
      </c>
      <c r="L908" s="171"/>
      <c r="M908" s="166"/>
      <c r="N908" s="171"/>
      <c r="O908" s="171"/>
    </row>
    <row r="909" spans="1:15">
      <c r="A909" s="166" t="b">
        <v>0</v>
      </c>
      <c r="B909" s="166"/>
      <c r="C909" s="413" t="s">
        <v>3625</v>
      </c>
      <c r="D909" s="177">
        <v>3</v>
      </c>
      <c r="E909" s="168"/>
      <c r="F909" s="166"/>
      <c r="G909" s="170"/>
      <c r="H909" s="177"/>
      <c r="I909" s="171"/>
      <c r="J909" s="171"/>
      <c r="K909" s="166" t="str">
        <f ca="1">IFERROR(VLOOKUP(C909,' Disaggregation - Section E '!A$316:N638,3,0),"")</f>
        <v>HIV O-4.1b⁽ᴹ⁾ Porcentaje de personas transgénero que afirman haber utilizado preservativo en su último encuentro sexual o relación de sexo anal con una pareja masculina no regular</v>
      </c>
      <c r="L909" s="171"/>
      <c r="M909" s="166"/>
      <c r="N909" s="171"/>
      <c r="O909" s="171"/>
    </row>
    <row r="910" spans="1:15">
      <c r="A910" s="166" t="b">
        <v>0</v>
      </c>
      <c r="B910" s="166"/>
      <c r="C910" s="413" t="s">
        <v>3626</v>
      </c>
      <c r="D910" s="177">
        <v>3</v>
      </c>
      <c r="E910" s="168"/>
      <c r="F910" s="166"/>
      <c r="G910" s="170"/>
      <c r="H910" s="177"/>
      <c r="I910" s="171"/>
      <c r="J910" s="171"/>
      <c r="K910" s="166" t="str">
        <f ca="1">IFERROR(VLOOKUP(C910,' Disaggregation - Section E '!A$316:N639,3,0),"")</f>
        <v>HIV O-4.1b⁽ᴹ⁾ Porcentaje de personas transgénero que afirman haber utilizado preservativo en su último encuentro sexual o relación de sexo anal con una pareja masculina no regular</v>
      </c>
      <c r="L910" s="171"/>
      <c r="M910" s="166"/>
      <c r="N910" s="171"/>
      <c r="O910" s="171"/>
    </row>
    <row r="911" spans="1:15">
      <c r="A911" s="166" t="b">
        <v>0</v>
      </c>
      <c r="B911" s="166"/>
      <c r="C911" s="413" t="s">
        <v>3627</v>
      </c>
      <c r="D911" s="177">
        <v>3</v>
      </c>
      <c r="E911" s="168"/>
      <c r="F911" s="166"/>
      <c r="G911" s="170"/>
      <c r="H911" s="177"/>
      <c r="I911" s="171"/>
      <c r="J911" s="171"/>
      <c r="K911" s="166" t="str">
        <f ca="1">IFERROR(VLOOKUP(C911,' Disaggregation - Section E '!A$316:N640,3,0),"")</f>
        <v>HIV O-4.1b⁽ᴹ⁾ Porcentaje de personas transgénero que afirman haber utilizado preservativo en su último encuentro sexual o relación de sexo anal con una pareja masculina no regular</v>
      </c>
      <c r="L911" s="171"/>
      <c r="M911" s="166"/>
      <c r="N911" s="171"/>
      <c r="O911" s="171"/>
    </row>
    <row r="912" spans="1:15">
      <c r="A912" s="166" t="b">
        <v>0</v>
      </c>
      <c r="B912" s="166"/>
      <c r="C912" s="413" t="s">
        <v>3628</v>
      </c>
      <c r="D912" s="177">
        <v>3</v>
      </c>
      <c r="E912" s="168"/>
      <c r="F912" s="166"/>
      <c r="G912" s="170"/>
      <c r="H912" s="177"/>
      <c r="I912" s="171"/>
      <c r="J912" s="171"/>
      <c r="K912" s="166" t="str">
        <f ca="1">IFERROR(VLOOKUP(C912,' Disaggregation - Section E '!A$316:N641,3,0),"")</f>
        <v>HIV O-4.1b⁽ᴹ⁾ Porcentaje de personas transgénero que afirman haber utilizado preservativo en su último encuentro sexual o relación de sexo anal con una pareja masculina no regular</v>
      </c>
      <c r="L912" s="171"/>
      <c r="M912" s="166"/>
      <c r="N912" s="171"/>
      <c r="O912" s="171"/>
    </row>
    <row r="913" spans="1:15">
      <c r="A913" s="166" t="b">
        <v>0</v>
      </c>
      <c r="B913" s="166"/>
      <c r="C913" s="413" t="s">
        <v>3629</v>
      </c>
      <c r="D913" s="177">
        <v>3</v>
      </c>
      <c r="E913" s="168"/>
      <c r="F913" s="166"/>
      <c r="G913" s="170"/>
      <c r="H913" s="177"/>
      <c r="I913" s="171"/>
      <c r="J913" s="171"/>
      <c r="K913" s="166" t="str">
        <f ca="1">IFERROR(VLOOKUP(C913,' Disaggregation - Section E '!A$316:N642,3,0),"")</f>
        <v>HIV O-4.1b⁽ᴹ⁾ Porcentaje de personas transgénero que afirman haber utilizado preservativo en su último encuentro sexual o relación de sexo anal con una pareja masculina no regular</v>
      </c>
      <c r="L913" s="171"/>
      <c r="M913" s="166"/>
      <c r="N913" s="171"/>
      <c r="O913" s="171"/>
    </row>
    <row r="914" spans="1:15">
      <c r="A914" s="166" t="b">
        <v>0</v>
      </c>
      <c r="B914" s="166"/>
      <c r="C914" s="413" t="s">
        <v>3630</v>
      </c>
      <c r="D914" s="177">
        <v>3</v>
      </c>
      <c r="E914" s="168"/>
      <c r="F914" s="166"/>
      <c r="G914" s="170"/>
      <c r="H914" s="177"/>
      <c r="I914" s="171"/>
      <c r="J914" s="171"/>
      <c r="K914" s="166" t="str">
        <f ca="1">IFERROR(VLOOKUP(C914,' Disaggregation - Section E '!A$316:N643,3,0),"")</f>
        <v>HIV O-4.1b⁽ᴹ⁾ Porcentaje de personas transgénero que afirman haber utilizado preservativo en su último encuentro sexual o relación de sexo anal con una pareja masculina no regular</v>
      </c>
      <c r="L914" s="171"/>
      <c r="M914" s="166"/>
      <c r="N914" s="171"/>
      <c r="O914" s="171"/>
    </row>
    <row r="915" spans="1:15">
      <c r="A915" s="166" t="b">
        <v>0</v>
      </c>
      <c r="B915" s="166"/>
      <c r="C915" s="413" t="s">
        <v>3631</v>
      </c>
      <c r="D915" s="177">
        <v>3</v>
      </c>
      <c r="E915" s="168"/>
      <c r="F915" s="166"/>
      <c r="G915" s="170"/>
      <c r="H915" s="177"/>
      <c r="I915" s="171"/>
      <c r="J915" s="171"/>
      <c r="K915" s="166" t="str">
        <f ca="1">IFERROR(VLOOKUP(C915,' Disaggregation - Section E '!A$316:N644,3,0),"")</f>
        <v>HIV O-4.1b⁽ᴹ⁾ Porcentaje de personas transgénero que afirman haber utilizado preservativo en su último encuentro sexual o relación de sexo anal con una pareja masculina no regular</v>
      </c>
      <c r="L915" s="171"/>
      <c r="M915" s="166"/>
      <c r="N915" s="171"/>
      <c r="O915" s="171"/>
    </row>
    <row r="916" spans="1:15">
      <c r="A916" s="166" t="b">
        <v>0</v>
      </c>
      <c r="B916" s="166"/>
      <c r="C916" s="413" t="s">
        <v>3632</v>
      </c>
      <c r="D916" s="177">
        <v>3</v>
      </c>
      <c r="E916" s="168"/>
      <c r="F916" s="166"/>
      <c r="G916" s="170"/>
      <c r="H916" s="177"/>
      <c r="I916" s="171"/>
      <c r="J916" s="171"/>
      <c r="K916" s="166" t="str">
        <f ca="1">IFERROR(VLOOKUP(C916,' Disaggregation - Section E '!A$316:N645,3,0),"")</f>
        <v>HIV O-4.1b⁽ᴹ⁾ Porcentaje de personas transgénero que afirman haber utilizado preservativo en su último encuentro sexual o relación de sexo anal con una pareja masculina no regular</v>
      </c>
      <c r="L916" s="171"/>
      <c r="M916" s="166"/>
      <c r="N916" s="171"/>
      <c r="O916" s="171"/>
    </row>
    <row r="917" spans="1:15">
      <c r="A917" s="166" t="b">
        <v>0</v>
      </c>
      <c r="B917" s="166"/>
      <c r="C917" s="413" t="s">
        <v>3633</v>
      </c>
      <c r="D917" s="177">
        <v>4</v>
      </c>
      <c r="E917" s="168"/>
      <c r="F917" s="166"/>
      <c r="G917" s="170"/>
      <c r="H917" s="177"/>
      <c r="I917" s="171"/>
      <c r="J917" s="171"/>
      <c r="K917" s="166" t="str">
        <f ca="1">IFERROR(VLOOKUP(C917,' Disaggregation - Section E '!A$316:N646,3,0),"")</f>
        <v>HIV O-5⁽ᴹ⁾ Porcentaje de trabajadores sexuales que afirman haber utilizado preservativo con su último cliente</v>
      </c>
      <c r="L917" s="171"/>
      <c r="M917" s="166"/>
      <c r="N917" s="171"/>
      <c r="O917" s="171"/>
    </row>
    <row r="918" spans="1:15">
      <c r="A918" s="166" t="b">
        <v>0</v>
      </c>
      <c r="B918" s="166"/>
      <c r="C918" s="413" t="s">
        <v>3634</v>
      </c>
      <c r="D918" s="177">
        <v>4</v>
      </c>
      <c r="E918" s="168"/>
      <c r="F918" s="166"/>
      <c r="G918" s="170"/>
      <c r="H918" s="177"/>
      <c r="I918" s="171"/>
      <c r="J918" s="171"/>
      <c r="K918" s="166" t="str">
        <f ca="1">IFERROR(VLOOKUP(C918,' Disaggregation - Section E '!A$316:N647,3,0),"")</f>
        <v>HIV O-5⁽ᴹ⁾ Porcentaje de trabajadores sexuales que afirman haber utilizado preservativo con su último cliente</v>
      </c>
      <c r="L918" s="171"/>
      <c r="M918" s="166"/>
      <c r="N918" s="171"/>
      <c r="O918" s="171"/>
    </row>
    <row r="919" spans="1:15">
      <c r="A919" s="166" t="b">
        <v>0</v>
      </c>
      <c r="B919" s="166"/>
      <c r="C919" s="413" t="s">
        <v>3635</v>
      </c>
      <c r="D919" s="177">
        <v>4</v>
      </c>
      <c r="E919" s="168"/>
      <c r="F919" s="166"/>
      <c r="G919" s="170"/>
      <c r="H919" s="177"/>
      <c r="I919" s="171"/>
      <c r="J919" s="171"/>
      <c r="K919" s="166" t="str">
        <f ca="1">IFERROR(VLOOKUP(C919,' Disaggregation - Section E '!A$316:N648,3,0),"")</f>
        <v>HIV O-5⁽ᴹ⁾ Porcentaje de trabajadores sexuales que afirman haber utilizado preservativo con su último cliente</v>
      </c>
      <c r="L919" s="171"/>
      <c r="M919" s="166"/>
      <c r="N919" s="171"/>
      <c r="O919" s="171"/>
    </row>
    <row r="920" spans="1:15">
      <c r="A920" s="166" t="b">
        <v>0</v>
      </c>
      <c r="B920" s="166"/>
      <c r="C920" s="413" t="s">
        <v>3636</v>
      </c>
      <c r="D920" s="177">
        <v>4</v>
      </c>
      <c r="E920" s="168"/>
      <c r="F920" s="166"/>
      <c r="G920" s="170"/>
      <c r="H920" s="177"/>
      <c r="I920" s="171"/>
      <c r="J920" s="171"/>
      <c r="K920" s="166" t="str">
        <f ca="1">IFERROR(VLOOKUP(C920,' Disaggregation - Section E '!A$316:N649,3,0),"")</f>
        <v>HIV O-5⁽ᴹ⁾ Porcentaje de trabajadores sexuales que afirman haber utilizado preservativo con su último cliente</v>
      </c>
      <c r="L920" s="171"/>
      <c r="M920" s="166"/>
      <c r="N920" s="171"/>
      <c r="O920" s="171"/>
    </row>
    <row r="921" spans="1:15">
      <c r="A921" s="166" t="b">
        <v>0</v>
      </c>
      <c r="B921" s="166"/>
      <c r="C921" s="413" t="s">
        <v>3637</v>
      </c>
      <c r="D921" s="177">
        <v>4</v>
      </c>
      <c r="E921" s="168"/>
      <c r="F921" s="166"/>
      <c r="G921" s="170"/>
      <c r="H921" s="177"/>
      <c r="I921" s="171"/>
      <c r="J921" s="171"/>
      <c r="K921" s="166" t="str">
        <f ca="1">IFERROR(VLOOKUP(C921,' Disaggregation - Section E '!A$316:N650,3,0),"")</f>
        <v>HIV O-5⁽ᴹ⁾ Porcentaje de trabajadores sexuales que afirman haber utilizado preservativo con su último cliente</v>
      </c>
      <c r="L921" s="171"/>
      <c r="M921" s="166"/>
      <c r="N921" s="171"/>
      <c r="O921" s="171"/>
    </row>
    <row r="922" spans="1:15">
      <c r="A922" s="166" t="b">
        <v>0</v>
      </c>
      <c r="B922" s="166"/>
      <c r="C922" s="413" t="s">
        <v>3638</v>
      </c>
      <c r="D922" s="177">
        <v>4</v>
      </c>
      <c r="E922" s="168"/>
      <c r="F922" s="166"/>
      <c r="G922" s="170"/>
      <c r="H922" s="177"/>
      <c r="I922" s="171"/>
      <c r="J922" s="171"/>
      <c r="K922" s="166" t="str">
        <f ca="1">IFERROR(VLOOKUP(C922,' Disaggregation - Section E '!A$316:N651,3,0),"")</f>
        <v>HIV O-5⁽ᴹ⁾ Porcentaje de trabajadores sexuales que afirman haber utilizado preservativo con su último cliente</v>
      </c>
      <c r="L922" s="171"/>
      <c r="M922" s="166"/>
      <c r="N922" s="171"/>
      <c r="O922" s="171"/>
    </row>
    <row r="923" spans="1:15">
      <c r="A923" s="166" t="b">
        <v>0</v>
      </c>
      <c r="B923" s="166"/>
      <c r="C923" s="413" t="s">
        <v>3639</v>
      </c>
      <c r="D923" s="177">
        <v>4</v>
      </c>
      <c r="E923" s="168"/>
      <c r="F923" s="166"/>
      <c r="G923" s="170"/>
      <c r="H923" s="177"/>
      <c r="I923" s="171"/>
      <c r="J923" s="171"/>
      <c r="K923" s="166" t="str">
        <f ca="1">IFERROR(VLOOKUP(C923,' Disaggregation - Section E '!A$316:N652,3,0),"")</f>
        <v>HIV O-5⁽ᴹ⁾ Porcentaje de trabajadores sexuales que afirman haber utilizado preservativo con su último cliente</v>
      </c>
      <c r="L923" s="171"/>
      <c r="M923" s="166"/>
      <c r="N923" s="171"/>
      <c r="O923" s="171"/>
    </row>
    <row r="924" spans="1:15">
      <c r="A924" s="166" t="b">
        <v>0</v>
      </c>
      <c r="B924" s="166"/>
      <c r="C924" s="413" t="s">
        <v>3640</v>
      </c>
      <c r="D924" s="177">
        <v>4</v>
      </c>
      <c r="E924" s="168"/>
      <c r="F924" s="166"/>
      <c r="G924" s="170"/>
      <c r="H924" s="177"/>
      <c r="I924" s="171"/>
      <c r="J924" s="171"/>
      <c r="K924" s="166" t="str">
        <f ca="1">IFERROR(VLOOKUP(C924,' Disaggregation - Section E '!A$316:N653,3,0),"")</f>
        <v>HIV O-5⁽ᴹ⁾ Porcentaje de trabajadores sexuales que afirman haber utilizado preservativo con su último cliente</v>
      </c>
      <c r="L924" s="171"/>
      <c r="M924" s="166"/>
      <c r="N924" s="171"/>
      <c r="O924" s="171"/>
    </row>
    <row r="925" spans="1:15">
      <c r="A925" s="166" t="b">
        <v>0</v>
      </c>
      <c r="B925" s="166"/>
      <c r="C925" s="413" t="s">
        <v>3641</v>
      </c>
      <c r="D925" s="177">
        <v>4</v>
      </c>
      <c r="E925" s="168"/>
      <c r="F925" s="166"/>
      <c r="G925" s="170"/>
      <c r="H925" s="177"/>
      <c r="I925" s="171"/>
      <c r="J925" s="171"/>
      <c r="K925" s="166" t="str">
        <f ca="1">IFERROR(VLOOKUP(C925,' Disaggregation - Section E '!A$316:N654,3,0),"")</f>
        <v>HIV O-5⁽ᴹ⁾ Porcentaje de trabajadores sexuales que afirman haber utilizado preservativo con su último cliente</v>
      </c>
      <c r="L925" s="171"/>
      <c r="M925" s="166"/>
      <c r="N925" s="171"/>
      <c r="O925" s="171"/>
    </row>
    <row r="926" spans="1:15">
      <c r="A926" s="166" t="b">
        <v>0</v>
      </c>
      <c r="B926" s="166"/>
      <c r="C926" s="413" t="s">
        <v>3642</v>
      </c>
      <c r="D926" s="177">
        <v>4</v>
      </c>
      <c r="E926" s="168"/>
      <c r="F926" s="166"/>
      <c r="G926" s="170"/>
      <c r="H926" s="177"/>
      <c r="I926" s="171"/>
      <c r="J926" s="171"/>
      <c r="K926" s="166" t="str">
        <f ca="1">IFERROR(VLOOKUP(C926,' Disaggregation - Section E '!A$316:N655,3,0),"")</f>
        <v>HIV O-5⁽ᴹ⁾ Porcentaje de trabajadores sexuales que afirman haber utilizado preservativo con su último cliente</v>
      </c>
      <c r="L926" s="171"/>
      <c r="M926" s="166"/>
      <c r="N926" s="171"/>
      <c r="O926" s="171"/>
    </row>
    <row r="927" spans="1:15">
      <c r="A927" s="166" t="b">
        <v>0</v>
      </c>
      <c r="B927" s="166"/>
      <c r="C927" s="413" t="s">
        <v>3643</v>
      </c>
      <c r="D927" s="177">
        <v>5</v>
      </c>
      <c r="E927" s="168"/>
      <c r="F927" s="166"/>
      <c r="G927" s="170"/>
      <c r="H927" s="177"/>
      <c r="I927" s="171"/>
      <c r="J927" s="171"/>
      <c r="K927" s="166" t="str">
        <f ca="1">IFERROR(VLOOKUP(C927,' Disaggregation - Section E '!A$316:N656,3,0),"")</f>
        <v>HIV O-12 Porcentaje de personas que viven con VIH que reciben tratamiento antirretroviral y tienen carga viral suprimida</v>
      </c>
      <c r="L927" s="171"/>
      <c r="M927" s="166"/>
      <c r="N927" s="171"/>
      <c r="O927" s="171"/>
    </row>
    <row r="928" spans="1:15">
      <c r="A928" s="166" t="b">
        <v>0</v>
      </c>
      <c r="B928" s="166"/>
      <c r="C928" s="413" t="s">
        <v>3644</v>
      </c>
      <c r="D928" s="177">
        <v>5</v>
      </c>
      <c r="E928" s="168"/>
      <c r="F928" s="166"/>
      <c r="G928" s="170"/>
      <c r="H928" s="177"/>
      <c r="I928" s="171"/>
      <c r="J928" s="171"/>
      <c r="K928" s="166" t="str">
        <f ca="1">IFERROR(VLOOKUP(C928,' Disaggregation - Section E '!A$316:N657,3,0),"")</f>
        <v>HIV O-12 Porcentaje de personas que viven con VIH que reciben tratamiento antirretroviral y tienen carga viral suprimida</v>
      </c>
      <c r="L928" s="171"/>
      <c r="M928" s="166"/>
      <c r="N928" s="171"/>
      <c r="O928" s="171"/>
    </row>
    <row r="929" spans="1:15">
      <c r="A929" s="166" t="b">
        <v>0</v>
      </c>
      <c r="B929" s="166"/>
      <c r="C929" s="413" t="s">
        <v>3645</v>
      </c>
      <c r="D929" s="177">
        <v>5</v>
      </c>
      <c r="E929" s="168"/>
      <c r="F929" s="166"/>
      <c r="G929" s="170"/>
      <c r="H929" s="177"/>
      <c r="I929" s="171"/>
      <c r="J929" s="171"/>
      <c r="K929" s="166" t="str">
        <f ca="1">IFERROR(VLOOKUP(C929,' Disaggregation - Section E '!A$316:N658,3,0),"")</f>
        <v>HIV O-12 Porcentaje de personas que viven con VIH que reciben tratamiento antirretroviral y tienen carga viral suprimida</v>
      </c>
      <c r="L929" s="171"/>
      <c r="M929" s="166"/>
      <c r="N929" s="171"/>
      <c r="O929" s="171"/>
    </row>
    <row r="930" spans="1:15">
      <c r="A930" s="166" t="b">
        <v>0</v>
      </c>
      <c r="B930" s="166"/>
      <c r="C930" s="413" t="s">
        <v>3646</v>
      </c>
      <c r="D930" s="177">
        <v>5</v>
      </c>
      <c r="E930" s="168"/>
      <c r="F930" s="166"/>
      <c r="G930" s="170"/>
      <c r="H930" s="177"/>
      <c r="I930" s="171"/>
      <c r="J930" s="171"/>
      <c r="K930" s="166" t="str">
        <f ca="1">IFERROR(VLOOKUP(C930,' Disaggregation - Section E '!A$316:N659,3,0),"")</f>
        <v>HIV O-12 Porcentaje de personas que viven con VIH que reciben tratamiento antirretroviral y tienen carga viral suprimida</v>
      </c>
      <c r="L930" s="171"/>
      <c r="M930" s="166"/>
      <c r="N930" s="171"/>
      <c r="O930" s="171"/>
    </row>
    <row r="931" spans="1:15">
      <c r="A931" s="166" t="b">
        <v>0</v>
      </c>
      <c r="B931" s="166"/>
      <c r="C931" s="413" t="s">
        <v>3647</v>
      </c>
      <c r="D931" s="177">
        <v>5</v>
      </c>
      <c r="E931" s="168"/>
      <c r="F931" s="166"/>
      <c r="G931" s="170"/>
      <c r="H931" s="177"/>
      <c r="I931" s="171"/>
      <c r="J931" s="171"/>
      <c r="K931" s="166" t="str">
        <f ca="1">IFERROR(VLOOKUP(C931,' Disaggregation - Section E '!A$316:N660,3,0),"")</f>
        <v>HIV O-12 Porcentaje de personas que viven con VIH que reciben tratamiento antirretroviral y tienen carga viral suprimida</v>
      </c>
      <c r="L931" s="171"/>
      <c r="M931" s="166"/>
      <c r="N931" s="171"/>
      <c r="O931" s="171"/>
    </row>
    <row r="932" spans="1:15">
      <c r="A932" s="166" t="b">
        <v>0</v>
      </c>
      <c r="B932" s="166"/>
      <c r="C932" s="413" t="s">
        <v>3648</v>
      </c>
      <c r="D932" s="177">
        <v>5</v>
      </c>
      <c r="E932" s="168"/>
      <c r="F932" s="166"/>
      <c r="G932" s="170"/>
      <c r="H932" s="177"/>
      <c r="I932" s="171"/>
      <c r="J932" s="171"/>
      <c r="K932" s="166" t="str">
        <f ca="1">IFERROR(VLOOKUP(C932,' Disaggregation - Section E '!A$316:N661,3,0),"")</f>
        <v>HIV O-12 Porcentaje de personas que viven con VIH que reciben tratamiento antirretroviral y tienen carga viral suprimida</v>
      </c>
      <c r="L932" s="171"/>
      <c r="M932" s="166"/>
      <c r="N932" s="171"/>
      <c r="O932" s="171"/>
    </row>
    <row r="933" spans="1:15">
      <c r="A933" s="166" t="b">
        <v>0</v>
      </c>
      <c r="B933" s="166"/>
      <c r="C933" s="413" t="s">
        <v>3649</v>
      </c>
      <c r="D933" s="177">
        <v>5</v>
      </c>
      <c r="E933" s="168"/>
      <c r="F933" s="166"/>
      <c r="G933" s="170"/>
      <c r="H933" s="177"/>
      <c r="I933" s="171"/>
      <c r="J933" s="171"/>
      <c r="K933" s="166" t="str">
        <f ca="1">IFERROR(VLOOKUP(C933,' Disaggregation - Section E '!A$316:N662,3,0),"")</f>
        <v>HIV O-12 Porcentaje de personas que viven con VIH que reciben tratamiento antirretroviral y tienen carga viral suprimida</v>
      </c>
      <c r="L933" s="171"/>
      <c r="M933" s="166"/>
      <c r="N933" s="171"/>
      <c r="O933" s="171"/>
    </row>
    <row r="934" spans="1:15">
      <c r="A934" s="166" t="b">
        <v>0</v>
      </c>
      <c r="B934" s="166"/>
      <c r="C934" s="413" t="s">
        <v>3650</v>
      </c>
      <c r="D934" s="177">
        <v>5</v>
      </c>
      <c r="E934" s="168"/>
      <c r="F934" s="166"/>
      <c r="G934" s="170"/>
      <c r="H934" s="177"/>
      <c r="I934" s="171"/>
      <c r="J934" s="171"/>
      <c r="K934" s="166" t="str">
        <f ca="1">IFERROR(VLOOKUP(C934,' Disaggregation - Section E '!A$316:N663,3,0),"")</f>
        <v>HIV O-12 Porcentaje de personas que viven con VIH que reciben tratamiento antirretroviral y tienen carga viral suprimida</v>
      </c>
      <c r="L934" s="171"/>
      <c r="M934" s="166"/>
      <c r="N934" s="171"/>
      <c r="O934" s="171"/>
    </row>
    <row r="935" spans="1:15">
      <c r="A935" s="166" t="b">
        <v>0</v>
      </c>
      <c r="B935" s="166"/>
      <c r="C935" s="413" t="s">
        <v>3651</v>
      </c>
      <c r="D935" s="177">
        <v>5</v>
      </c>
      <c r="E935" s="168"/>
      <c r="F935" s="166"/>
      <c r="G935" s="170"/>
      <c r="H935" s="177"/>
      <c r="I935" s="171"/>
      <c r="J935" s="171"/>
      <c r="K935" s="166" t="str">
        <f ca="1">IFERROR(VLOOKUP(C935,' Disaggregation - Section E '!A$316:N664,3,0),"")</f>
        <v>HIV O-12 Porcentaje de personas que viven con VIH que reciben tratamiento antirretroviral y tienen carga viral suprimida</v>
      </c>
      <c r="L935" s="171"/>
      <c r="M935" s="166"/>
      <c r="N935" s="171"/>
      <c r="O935" s="171"/>
    </row>
    <row r="936" spans="1:15">
      <c r="A936" s="166" t="b">
        <v>0</v>
      </c>
      <c r="B936" s="166"/>
      <c r="C936" s="413" t="s">
        <v>3652</v>
      </c>
      <c r="D936" s="177">
        <v>5</v>
      </c>
      <c r="E936" s="168"/>
      <c r="F936" s="166"/>
      <c r="G936" s="170"/>
      <c r="H936" s="177"/>
      <c r="I936" s="171"/>
      <c r="J936" s="171"/>
      <c r="K936" s="166" t="str">
        <f ca="1">IFERROR(VLOOKUP(C936,' Disaggregation - Section E '!A$316:N665,3,0),"")</f>
        <v>HIV O-12 Porcentaje de personas que viven con VIH que reciben tratamiento antirretroviral y tienen carga viral suprimida</v>
      </c>
      <c r="L936" s="171"/>
      <c r="M936" s="166"/>
      <c r="N936" s="171"/>
      <c r="O936" s="171"/>
    </row>
    <row r="937" spans="1:15">
      <c r="A937" s="166" t="b">
        <v>0</v>
      </c>
      <c r="B937" s="166"/>
      <c r="C937" s="413" t="s">
        <v>3653</v>
      </c>
      <c r="D937" s="177">
        <v>6</v>
      </c>
      <c r="E937" s="168"/>
      <c r="F937" s="166"/>
      <c r="G937" s="170"/>
      <c r="H937" s="177"/>
      <c r="I937" s="171"/>
      <c r="J937" s="171"/>
      <c r="K937" s="166" t="str">
        <f ca="1">IFERROR(VLOOKUP(C937,' Disaggregation - Section E '!A$316:N666,3,0),"")</f>
        <v>TB O-4⁽ᴹ⁾ Tasa de éxito del tratamiento de los casos de tuberculosis resistente a la rifampicina y/o tuberculosis multirresistente: Porcentaje de casos de tuberculosis resistente a la rifampicina y/o tuberculosis multirresistente tratados con éxito.</v>
      </c>
      <c r="L937" s="171"/>
      <c r="M937" s="166"/>
      <c r="N937" s="171"/>
      <c r="O937" s="171"/>
    </row>
    <row r="938" spans="1:15">
      <c r="A938" s="166" t="b">
        <v>0</v>
      </c>
      <c r="B938" s="166"/>
      <c r="C938" s="413" t="s">
        <v>3654</v>
      </c>
      <c r="D938" s="177">
        <v>6</v>
      </c>
      <c r="E938" s="168"/>
      <c r="F938" s="166"/>
      <c r="G938" s="170"/>
      <c r="H938" s="177"/>
      <c r="I938" s="171"/>
      <c r="J938" s="171"/>
      <c r="K938" s="166" t="str">
        <f ca="1">IFERROR(VLOOKUP(C938,' Disaggregation - Section E '!A$316:N667,3,0),"")</f>
        <v>TB O-4⁽ᴹ⁾ Tasa de éxito del tratamiento de los casos de tuberculosis resistente a la rifampicina y/o tuberculosis multirresistente: Porcentaje de casos de tuberculosis resistente a la rifampicina y/o tuberculosis multirresistente tratados con éxito.</v>
      </c>
      <c r="L938" s="171"/>
      <c r="M938" s="166"/>
      <c r="N938" s="171"/>
      <c r="O938" s="171"/>
    </row>
    <row r="939" spans="1:15">
      <c r="A939" s="166" t="b">
        <v>0</v>
      </c>
      <c r="B939" s="166"/>
      <c r="C939" s="413" t="s">
        <v>3655</v>
      </c>
      <c r="D939" s="177">
        <v>6</v>
      </c>
      <c r="E939" s="168"/>
      <c r="F939" s="166"/>
      <c r="G939" s="170"/>
      <c r="H939" s="177"/>
      <c r="I939" s="171"/>
      <c r="J939" s="171"/>
      <c r="K939" s="166" t="str">
        <f ca="1">IFERROR(VLOOKUP(C939,' Disaggregation - Section E '!A$316:N668,3,0),"")</f>
        <v>TB O-4⁽ᴹ⁾ Tasa de éxito del tratamiento de los casos de tuberculosis resistente a la rifampicina y/o tuberculosis multirresistente: Porcentaje de casos de tuberculosis resistente a la rifampicina y/o tuberculosis multirresistente tratados con éxito.</v>
      </c>
      <c r="L939" s="171"/>
      <c r="M939" s="166"/>
      <c r="N939" s="171"/>
      <c r="O939" s="171"/>
    </row>
    <row r="940" spans="1:15">
      <c r="A940" s="166" t="b">
        <v>0</v>
      </c>
      <c r="B940" s="166"/>
      <c r="C940" s="413" t="s">
        <v>3656</v>
      </c>
      <c r="D940" s="177">
        <v>6</v>
      </c>
      <c r="E940" s="168"/>
      <c r="F940" s="166"/>
      <c r="G940" s="170"/>
      <c r="H940" s="177"/>
      <c r="I940" s="171"/>
      <c r="J940" s="171"/>
      <c r="K940" s="166" t="str">
        <f ca="1">IFERROR(VLOOKUP(C940,' Disaggregation - Section E '!A$316:N669,3,0),"")</f>
        <v>TB O-4⁽ᴹ⁾ Tasa de éxito del tratamiento de los casos de tuberculosis resistente a la rifampicina y/o tuberculosis multirresistente: Porcentaje de casos de tuberculosis resistente a la rifampicina y/o tuberculosis multirresistente tratados con éxito.</v>
      </c>
      <c r="L940" s="171"/>
      <c r="M940" s="166"/>
      <c r="N940" s="171"/>
      <c r="O940" s="171"/>
    </row>
    <row r="941" spans="1:15">
      <c r="A941" s="166" t="b">
        <v>0</v>
      </c>
      <c r="B941" s="166"/>
      <c r="C941" s="413" t="s">
        <v>3657</v>
      </c>
      <c r="D941" s="177">
        <v>6</v>
      </c>
      <c r="E941" s="168"/>
      <c r="F941" s="166"/>
      <c r="G941" s="170"/>
      <c r="H941" s="177"/>
      <c r="I941" s="171"/>
      <c r="J941" s="171"/>
      <c r="K941" s="166" t="str">
        <f ca="1">IFERROR(VLOOKUP(C941,' Disaggregation - Section E '!A$316:N670,3,0),"")</f>
        <v>TB O-4⁽ᴹ⁾ Tasa de éxito del tratamiento de los casos de tuberculosis resistente a la rifampicina y/o tuberculosis multirresistente: Porcentaje de casos de tuberculosis resistente a la rifampicina y/o tuberculosis multirresistente tratados con éxito.</v>
      </c>
      <c r="L941" s="171"/>
      <c r="M941" s="166"/>
      <c r="N941" s="171"/>
      <c r="O941" s="171"/>
    </row>
    <row r="942" spans="1:15">
      <c r="A942" s="166" t="b">
        <v>0</v>
      </c>
      <c r="B942" s="166"/>
      <c r="C942" s="413" t="s">
        <v>3658</v>
      </c>
      <c r="D942" s="177">
        <v>6</v>
      </c>
      <c r="E942" s="168"/>
      <c r="F942" s="166"/>
      <c r="G942" s="170"/>
      <c r="H942" s="177"/>
      <c r="I942" s="171"/>
      <c r="J942" s="171"/>
      <c r="K942" s="166" t="str">
        <f ca="1">IFERROR(VLOOKUP(C942,' Disaggregation - Section E '!A$316:N671,3,0),"")</f>
        <v>TB O-4⁽ᴹ⁾ Tasa de éxito del tratamiento de los casos de tuberculosis resistente a la rifampicina y/o tuberculosis multirresistente: Porcentaje de casos de tuberculosis resistente a la rifampicina y/o tuberculosis multirresistente tratados con éxito.</v>
      </c>
      <c r="L942" s="171"/>
      <c r="M942" s="166"/>
      <c r="N942" s="171"/>
      <c r="O942" s="171"/>
    </row>
    <row r="943" spans="1:15">
      <c r="A943" s="166" t="b">
        <v>0</v>
      </c>
      <c r="B943" s="166"/>
      <c r="C943" s="413" t="s">
        <v>3659</v>
      </c>
      <c r="D943" s="177">
        <v>6</v>
      </c>
      <c r="E943" s="168"/>
      <c r="F943" s="166"/>
      <c r="G943" s="170"/>
      <c r="H943" s="177"/>
      <c r="I943" s="171"/>
      <c r="J943" s="171"/>
      <c r="K943" s="166" t="str">
        <f ca="1">IFERROR(VLOOKUP(C943,' Disaggregation - Section E '!A$316:N672,3,0),"")</f>
        <v>TB O-4⁽ᴹ⁾ Tasa de éxito del tratamiento de los casos de tuberculosis resistente a la rifampicina y/o tuberculosis multirresistente: Porcentaje de casos de tuberculosis resistente a la rifampicina y/o tuberculosis multirresistente tratados con éxito.</v>
      </c>
      <c r="L943" s="171"/>
      <c r="M943" s="166"/>
      <c r="N943" s="171"/>
      <c r="O943" s="171"/>
    </row>
    <row r="944" spans="1:15">
      <c r="A944" s="166" t="b">
        <v>0</v>
      </c>
      <c r="B944" s="166"/>
      <c r="C944" s="413" t="s">
        <v>3660</v>
      </c>
      <c r="D944" s="177">
        <v>6</v>
      </c>
      <c r="E944" s="168"/>
      <c r="F944" s="166"/>
      <c r="G944" s="170"/>
      <c r="H944" s="177"/>
      <c r="I944" s="171"/>
      <c r="J944" s="171"/>
      <c r="K944" s="166" t="str">
        <f ca="1">IFERROR(VLOOKUP(C944,' Disaggregation - Section E '!A$316:N673,3,0),"")</f>
        <v>TB O-4⁽ᴹ⁾ Tasa de éxito del tratamiento de los casos de tuberculosis resistente a la rifampicina y/o tuberculosis multirresistente: Porcentaje de casos de tuberculosis resistente a la rifampicina y/o tuberculosis multirresistente tratados con éxito.</v>
      </c>
      <c r="L944" s="171"/>
      <c r="M944" s="166"/>
      <c r="N944" s="171"/>
      <c r="O944" s="171"/>
    </row>
    <row r="945" spans="1:15">
      <c r="A945" s="166" t="b">
        <v>0</v>
      </c>
      <c r="B945" s="166"/>
      <c r="C945" s="413" t="s">
        <v>3661</v>
      </c>
      <c r="D945" s="177">
        <v>6</v>
      </c>
      <c r="E945" s="168"/>
      <c r="F945" s="166"/>
      <c r="G945" s="170"/>
      <c r="H945" s="177"/>
      <c r="I945" s="171"/>
      <c r="J945" s="171"/>
      <c r="K945" s="166" t="str">
        <f ca="1">IFERROR(VLOOKUP(C945,' Disaggregation - Section E '!A$316:N674,3,0),"")</f>
        <v>TB O-4⁽ᴹ⁾ Tasa de éxito del tratamiento de los casos de tuberculosis resistente a la rifampicina y/o tuberculosis multirresistente: Porcentaje de casos de tuberculosis resistente a la rifampicina y/o tuberculosis multirresistente tratados con éxito.</v>
      </c>
      <c r="L945" s="171"/>
      <c r="M945" s="166"/>
      <c r="N945" s="171"/>
      <c r="O945" s="171"/>
    </row>
    <row r="946" spans="1:15">
      <c r="A946" s="166" t="b">
        <v>0</v>
      </c>
      <c r="B946" s="166"/>
      <c r="C946" s="413" t="s">
        <v>3662</v>
      </c>
      <c r="D946" s="177">
        <v>6</v>
      </c>
      <c r="E946" s="168"/>
      <c r="F946" s="166"/>
      <c r="G946" s="170"/>
      <c r="H946" s="177"/>
      <c r="I946" s="171"/>
      <c r="J946" s="171"/>
      <c r="K946" s="166" t="str">
        <f ca="1">IFERROR(VLOOKUP(C946,' Disaggregation - Section E '!A$316:N675,3,0),"")</f>
        <v>TB O-4⁽ᴹ⁾ Tasa de éxito del tratamiento de los casos de tuberculosis resistente a la rifampicina y/o tuberculosis multirresistente: Porcentaje de casos de tuberculosis resistente a la rifampicina y/o tuberculosis multirresistente tratados con éxito.</v>
      </c>
      <c r="L946" s="171"/>
      <c r="M946" s="166"/>
      <c r="N946" s="171"/>
      <c r="O946" s="171"/>
    </row>
    <row r="947" spans="1:15">
      <c r="A947" s="166" t="b">
        <v>0</v>
      </c>
      <c r="B947" s="166"/>
      <c r="C947" s="413" t="s">
        <v>3663</v>
      </c>
      <c r="D947" s="177">
        <v>7</v>
      </c>
      <c r="E947" s="168"/>
      <c r="F947" s="166"/>
      <c r="G947" s="170"/>
      <c r="H947" s="177"/>
      <c r="I947" s="171"/>
      <c r="J947" s="171"/>
      <c r="K947" s="166" t="str">
        <f ca="1">IFERROR(VLOOKUP(C947,' Disaggregation - Section E '!A$316:N676,3,0),"")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47" s="171"/>
      <c r="M947" s="166"/>
      <c r="N947" s="171"/>
      <c r="O947" s="171"/>
    </row>
    <row r="948" spans="1:15">
      <c r="A948" s="166" t="b">
        <v>0</v>
      </c>
      <c r="B948" s="166"/>
      <c r="C948" s="413" t="s">
        <v>3664</v>
      </c>
      <c r="D948" s="177">
        <v>7</v>
      </c>
      <c r="E948" s="168"/>
      <c r="F948" s="166"/>
      <c r="G948" s="170"/>
      <c r="H948" s="177"/>
      <c r="I948" s="171"/>
      <c r="J948" s="171"/>
      <c r="K948" s="166" t="str">
        <f ca="1">IFERROR(VLOOKUP(C948,' Disaggregation - Section E '!A$316:N677,3,0),"")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48" s="171"/>
      <c r="M948" s="166"/>
      <c r="N948" s="171"/>
      <c r="O948" s="171"/>
    </row>
    <row r="949" spans="1:15">
      <c r="A949" s="166" t="b">
        <v>0</v>
      </c>
      <c r="B949" s="166"/>
      <c r="C949" s="413" t="s">
        <v>3665</v>
      </c>
      <c r="D949" s="177">
        <v>7</v>
      </c>
      <c r="E949" s="168"/>
      <c r="F949" s="166"/>
      <c r="G949" s="170"/>
      <c r="H949" s="177"/>
      <c r="I949" s="171"/>
      <c r="J949" s="171"/>
      <c r="K949" s="166" t="str">
        <f ca="1">IFERROR(VLOOKUP(C949,' Disaggregation - Section E '!A$316:N678,3,0),"")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49" s="171"/>
      <c r="M949" s="166"/>
      <c r="N949" s="171"/>
      <c r="O949" s="171"/>
    </row>
    <row r="950" spans="1:15">
      <c r="A950" s="166" t="b">
        <v>0</v>
      </c>
      <c r="B950" s="166"/>
      <c r="C950" s="413" t="s">
        <v>3666</v>
      </c>
      <c r="D950" s="177">
        <v>7</v>
      </c>
      <c r="E950" s="168"/>
      <c r="F950" s="166"/>
      <c r="G950" s="170"/>
      <c r="H950" s="177"/>
      <c r="I950" s="171"/>
      <c r="J950" s="171"/>
      <c r="K950" s="166" t="str">
        <f ca="1">IFERROR(VLOOKUP(C950,' Disaggregation - Section E '!A$316:N679,3,0),"")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50" s="171"/>
      <c r="M950" s="166"/>
      <c r="N950" s="171"/>
      <c r="O950" s="171"/>
    </row>
    <row r="951" spans="1:15">
      <c r="A951" s="166" t="b">
        <v>0</v>
      </c>
      <c r="B951" s="166"/>
      <c r="C951" s="413" t="s">
        <v>3667</v>
      </c>
      <c r="D951" s="177">
        <v>7</v>
      </c>
      <c r="E951" s="168"/>
      <c r="F951" s="166"/>
      <c r="G951" s="170"/>
      <c r="H951" s="177"/>
      <c r="I951" s="171"/>
      <c r="J951" s="171"/>
      <c r="K951" s="166" t="str">
        <f ca="1">IFERROR(VLOOKUP(C951,' Disaggregation - Section E '!A$316:N680,3,0),"")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51" s="171"/>
      <c r="M951" s="166"/>
      <c r="N951" s="171"/>
      <c r="O951" s="171"/>
    </row>
    <row r="952" spans="1:15">
      <c r="A952" s="166" t="b">
        <v>0</v>
      </c>
      <c r="B952" s="166"/>
      <c r="C952" s="413" t="s">
        <v>3668</v>
      </c>
      <c r="D952" s="177">
        <v>7</v>
      </c>
      <c r="E952" s="168"/>
      <c r="F952" s="166"/>
      <c r="G952" s="170"/>
      <c r="H952" s="177"/>
      <c r="I952" s="171"/>
      <c r="J952" s="171"/>
      <c r="K952" s="166" t="str">
        <f ca="1">IFERROR(VLOOKUP(C952,' Disaggregation - Section E '!A$316:N681,3,0),"")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52" s="171"/>
      <c r="M952" s="166"/>
      <c r="N952" s="171"/>
      <c r="O952" s="171"/>
    </row>
    <row r="953" spans="1:15">
      <c r="A953" s="166" t="b">
        <v>0</v>
      </c>
      <c r="B953" s="166"/>
      <c r="C953" s="413" t="s">
        <v>3669</v>
      </c>
      <c r="D953" s="177">
        <v>7</v>
      </c>
      <c r="E953" s="168"/>
      <c r="F953" s="166"/>
      <c r="G953" s="170"/>
      <c r="H953" s="177"/>
      <c r="I953" s="171"/>
      <c r="J953" s="171"/>
      <c r="K953" s="166" t="str">
        <f ca="1">IFERROR(VLOOKUP(C953,' Disaggregation - Section E '!A$316:N682,3,0),"")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53" s="171"/>
      <c r="M953" s="166"/>
      <c r="N953" s="171"/>
      <c r="O953" s="171"/>
    </row>
    <row r="954" spans="1:15">
      <c r="A954" s="166" t="b">
        <v>0</v>
      </c>
      <c r="B954" s="166"/>
      <c r="C954" s="413" t="s">
        <v>3670</v>
      </c>
      <c r="D954" s="177">
        <v>7</v>
      </c>
      <c r="E954" s="168"/>
      <c r="F954" s="166"/>
      <c r="G954" s="170"/>
      <c r="H954" s="177"/>
      <c r="I954" s="171"/>
      <c r="J954" s="171"/>
      <c r="K954" s="166" t="str">
        <f ca="1">IFERROR(VLOOKUP(C954,' Disaggregation - Section E '!A$316:N683,3,0),"")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54" s="171"/>
      <c r="M954" s="166"/>
      <c r="N954" s="171"/>
      <c r="O954" s="171"/>
    </row>
    <row r="955" spans="1:15">
      <c r="A955" s="166" t="b">
        <v>0</v>
      </c>
      <c r="B955" s="166"/>
      <c r="C955" s="413" t="s">
        <v>3671</v>
      </c>
      <c r="D955" s="177">
        <v>7</v>
      </c>
      <c r="E955" s="168"/>
      <c r="F955" s="166"/>
      <c r="G955" s="170"/>
      <c r="H955" s="177"/>
      <c r="I955" s="171"/>
      <c r="J955" s="171"/>
      <c r="K955" s="166" t="str">
        <f ca="1">IFERROR(VLOOKUP(C955,' Disaggregation - Section E '!A$316:N684,3,0),"")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55" s="171"/>
      <c r="M955" s="166"/>
      <c r="N955" s="171"/>
      <c r="O955" s="171"/>
    </row>
    <row r="956" spans="1:15">
      <c r="A956" s="166" t="b">
        <v>0</v>
      </c>
      <c r="B956" s="166"/>
      <c r="C956" s="413" t="s">
        <v>3672</v>
      </c>
      <c r="D956" s="177">
        <v>7</v>
      </c>
      <c r="E956" s="168"/>
      <c r="F956" s="166"/>
      <c r="G956" s="170"/>
      <c r="H956" s="177"/>
      <c r="I956" s="171"/>
      <c r="J956" s="171"/>
      <c r="K956" s="166" t="str">
        <f ca="1">IFERROR(VLOOKUP(C956,' Disaggregation - Section E '!A$316:N685,3,0),"")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56" s="171"/>
      <c r="M956" s="166"/>
      <c r="N956" s="171"/>
      <c r="O956" s="171"/>
    </row>
    <row r="957" spans="1:15">
      <c r="A957" s="166" t="b">
        <v>0</v>
      </c>
      <c r="B957" s="166"/>
      <c r="C957" s="413" t="s">
        <v>3673</v>
      </c>
      <c r="D957" s="177">
        <v>8</v>
      </c>
      <c r="E957" s="168"/>
      <c r="F957" s="166"/>
      <c r="G957" s="170"/>
      <c r="H957" s="177"/>
      <c r="I957" s="171"/>
      <c r="J957" s="171"/>
      <c r="K957" s="166" t="str">
        <f ca="1">IFERROR(VLOOKUP(C957,' Disaggregation - Section E '!A$316:N686,3,0),"")</f>
        <v/>
      </c>
      <c r="L957" s="171"/>
      <c r="M957" s="166"/>
      <c r="N957" s="171"/>
      <c r="O957" s="171"/>
    </row>
    <row r="958" spans="1:15">
      <c r="A958" s="166" t="b">
        <v>0</v>
      </c>
      <c r="B958" s="166"/>
      <c r="C958" s="413" t="s">
        <v>3674</v>
      </c>
      <c r="D958" s="177">
        <v>8</v>
      </c>
      <c r="E958" s="168"/>
      <c r="F958" s="166"/>
      <c r="G958" s="170"/>
      <c r="H958" s="177"/>
      <c r="I958" s="171"/>
      <c r="J958" s="171"/>
      <c r="K958" s="166" t="str">
        <f ca="1">IFERROR(VLOOKUP(C958,' Disaggregation - Section E '!A$316:N687,3,0),"")</f>
        <v/>
      </c>
      <c r="L958" s="171"/>
      <c r="M958" s="166"/>
      <c r="N958" s="171"/>
      <c r="O958" s="171"/>
    </row>
    <row r="959" spans="1:15">
      <c r="A959" s="166" t="b">
        <v>0</v>
      </c>
      <c r="B959" s="166"/>
      <c r="C959" s="413" t="s">
        <v>3675</v>
      </c>
      <c r="D959" s="177">
        <v>8</v>
      </c>
      <c r="E959" s="168"/>
      <c r="F959" s="166"/>
      <c r="G959" s="170"/>
      <c r="H959" s="177"/>
      <c r="I959" s="171"/>
      <c r="J959" s="171"/>
      <c r="K959" s="166" t="str">
        <f ca="1">IFERROR(VLOOKUP(C959,' Disaggregation - Section E '!A$316:N688,3,0),"")</f>
        <v/>
      </c>
      <c r="L959" s="171"/>
      <c r="M959" s="166"/>
      <c r="N959" s="171"/>
      <c r="O959" s="171"/>
    </row>
    <row r="960" spans="1:15">
      <c r="A960" s="166" t="b">
        <v>0</v>
      </c>
      <c r="B960" s="166"/>
      <c r="C960" s="413" t="s">
        <v>3676</v>
      </c>
      <c r="D960" s="177">
        <v>8</v>
      </c>
      <c r="E960" s="168"/>
      <c r="F960" s="166"/>
      <c r="G960" s="170"/>
      <c r="H960" s="177"/>
      <c r="I960" s="171"/>
      <c r="J960" s="171"/>
      <c r="K960" s="166" t="str">
        <f ca="1">IFERROR(VLOOKUP(C960,' Disaggregation - Section E '!A$316:N689,3,0),"")</f>
        <v/>
      </c>
      <c r="L960" s="171"/>
      <c r="M960" s="166"/>
      <c r="N960" s="171"/>
      <c r="O960" s="171"/>
    </row>
    <row r="961" spans="1:15">
      <c r="A961" s="166" t="b">
        <v>0</v>
      </c>
      <c r="B961" s="166"/>
      <c r="C961" s="413" t="s">
        <v>3677</v>
      </c>
      <c r="D961" s="177">
        <v>8</v>
      </c>
      <c r="E961" s="168"/>
      <c r="F961" s="166"/>
      <c r="G961" s="170"/>
      <c r="H961" s="177"/>
      <c r="I961" s="171"/>
      <c r="J961" s="171"/>
      <c r="K961" s="166" t="str">
        <f ca="1">IFERROR(VLOOKUP(C961,' Disaggregation - Section E '!A$316:N690,3,0),"")</f>
        <v/>
      </c>
      <c r="L961" s="171"/>
      <c r="M961" s="166"/>
      <c r="N961" s="171"/>
      <c r="O961" s="171"/>
    </row>
    <row r="962" spans="1:15">
      <c r="A962" s="166" t="b">
        <v>0</v>
      </c>
      <c r="B962" s="166"/>
      <c r="C962" s="413" t="s">
        <v>3678</v>
      </c>
      <c r="D962" s="177">
        <v>8</v>
      </c>
      <c r="E962" s="168"/>
      <c r="F962" s="166"/>
      <c r="G962" s="170"/>
      <c r="H962" s="177"/>
      <c r="I962" s="171"/>
      <c r="J962" s="171"/>
      <c r="K962" s="166" t="str">
        <f ca="1">IFERROR(VLOOKUP(C962,' Disaggregation - Section E '!A$316:N691,3,0),"")</f>
        <v/>
      </c>
      <c r="L962" s="171"/>
      <c r="M962" s="166"/>
      <c r="N962" s="171"/>
      <c r="O962" s="171"/>
    </row>
    <row r="963" spans="1:15">
      <c r="A963" s="166" t="b">
        <v>0</v>
      </c>
      <c r="B963" s="166"/>
      <c r="C963" s="413" t="s">
        <v>3679</v>
      </c>
      <c r="D963" s="177">
        <v>8</v>
      </c>
      <c r="E963" s="168"/>
      <c r="F963" s="166"/>
      <c r="G963" s="170"/>
      <c r="H963" s="177"/>
      <c r="I963" s="171"/>
      <c r="J963" s="171"/>
      <c r="K963" s="166" t="str">
        <f ca="1">IFERROR(VLOOKUP(C963,' Disaggregation - Section E '!A$316:N692,3,0),"")</f>
        <v/>
      </c>
      <c r="L963" s="171"/>
      <c r="M963" s="166"/>
      <c r="N963" s="171"/>
      <c r="O963" s="171"/>
    </row>
    <row r="964" spans="1:15">
      <c r="A964" s="166" t="b">
        <v>0</v>
      </c>
      <c r="B964" s="166"/>
      <c r="C964" s="413" t="s">
        <v>3680</v>
      </c>
      <c r="D964" s="177">
        <v>8</v>
      </c>
      <c r="E964" s="168"/>
      <c r="F964" s="166"/>
      <c r="G964" s="170"/>
      <c r="H964" s="177"/>
      <c r="I964" s="171"/>
      <c r="J964" s="171"/>
      <c r="K964" s="166" t="str">
        <f ca="1">IFERROR(VLOOKUP(C964,' Disaggregation - Section E '!A$316:N693,3,0),"")</f>
        <v/>
      </c>
      <c r="L964" s="171"/>
      <c r="M964" s="166"/>
      <c r="N964" s="171"/>
      <c r="O964" s="171"/>
    </row>
    <row r="965" spans="1:15">
      <c r="A965" s="166" t="b">
        <v>0</v>
      </c>
      <c r="B965" s="166"/>
      <c r="C965" s="413" t="s">
        <v>3681</v>
      </c>
      <c r="D965" s="177">
        <v>8</v>
      </c>
      <c r="E965" s="168"/>
      <c r="F965" s="166"/>
      <c r="G965" s="170"/>
      <c r="H965" s="177"/>
      <c r="I965" s="171"/>
      <c r="J965" s="171"/>
      <c r="K965" s="166" t="str">
        <f ca="1">IFERROR(VLOOKUP(C965,' Disaggregation - Section E '!A$316:N694,3,0),"")</f>
        <v/>
      </c>
      <c r="L965" s="171"/>
      <c r="M965" s="166"/>
      <c r="N965" s="171"/>
      <c r="O965" s="171"/>
    </row>
    <row r="966" spans="1:15">
      <c r="A966" s="166" t="b">
        <v>0</v>
      </c>
      <c r="B966" s="166"/>
      <c r="C966" s="413" t="s">
        <v>3682</v>
      </c>
      <c r="D966" s="177">
        <v>8</v>
      </c>
      <c r="E966" s="168"/>
      <c r="F966" s="166"/>
      <c r="G966" s="170"/>
      <c r="H966" s="177"/>
      <c r="I966" s="171"/>
      <c r="J966" s="171"/>
      <c r="K966" s="166" t="str">
        <f ca="1">IFERROR(VLOOKUP(C966,' Disaggregation - Section E '!A$316:N695,3,0),"")</f>
        <v/>
      </c>
      <c r="L966" s="171"/>
      <c r="M966" s="166"/>
      <c r="N966" s="171"/>
      <c r="O966" s="171"/>
    </row>
    <row r="967" spans="1:15">
      <c r="A967" s="166" t="b">
        <v>0</v>
      </c>
      <c r="B967" s="166"/>
      <c r="C967" s="413" t="s">
        <v>3683</v>
      </c>
      <c r="D967" s="177">
        <v>9</v>
      </c>
      <c r="E967" s="168"/>
      <c r="F967" s="166"/>
      <c r="G967" s="170"/>
      <c r="H967" s="177"/>
      <c r="I967" s="171"/>
      <c r="J967" s="171"/>
      <c r="K967" s="166" t="str">
        <f ca="1">IFERROR(VLOOKUP(C967,' Disaggregation - Section E '!A$316:N696,3,0),"")</f>
        <v/>
      </c>
      <c r="L967" s="171"/>
      <c r="M967" s="166"/>
      <c r="N967" s="171"/>
      <c r="O967" s="171"/>
    </row>
    <row r="968" spans="1:15">
      <c r="A968" s="166" t="b">
        <v>0</v>
      </c>
      <c r="B968" s="166"/>
      <c r="C968" s="413" t="s">
        <v>3684</v>
      </c>
      <c r="D968" s="177">
        <v>9</v>
      </c>
      <c r="E968" s="168"/>
      <c r="F968" s="166"/>
      <c r="G968" s="170"/>
      <c r="H968" s="177"/>
      <c r="I968" s="171"/>
      <c r="J968" s="171"/>
      <c r="K968" s="166" t="str">
        <f ca="1">IFERROR(VLOOKUP(C968,' Disaggregation - Section E '!A$316:N697,3,0),"")</f>
        <v/>
      </c>
      <c r="L968" s="171"/>
      <c r="M968" s="166"/>
      <c r="N968" s="171"/>
      <c r="O968" s="171"/>
    </row>
    <row r="969" spans="1:15">
      <c r="A969" s="166" t="b">
        <v>0</v>
      </c>
      <c r="B969" s="166"/>
      <c r="C969" s="413" t="s">
        <v>3685</v>
      </c>
      <c r="D969" s="177">
        <v>9</v>
      </c>
      <c r="E969" s="168"/>
      <c r="F969" s="166"/>
      <c r="G969" s="170"/>
      <c r="H969" s="177"/>
      <c r="I969" s="171"/>
      <c r="J969" s="171"/>
      <c r="K969" s="166" t="str">
        <f ca="1">IFERROR(VLOOKUP(C969,' Disaggregation - Section E '!A$316:N698,3,0),"")</f>
        <v/>
      </c>
      <c r="L969" s="171"/>
      <c r="M969" s="166"/>
      <c r="N969" s="171"/>
      <c r="O969" s="171"/>
    </row>
    <row r="970" spans="1:15">
      <c r="A970" s="166" t="b">
        <v>0</v>
      </c>
      <c r="B970" s="166"/>
      <c r="C970" s="413" t="s">
        <v>3686</v>
      </c>
      <c r="D970" s="177">
        <v>9</v>
      </c>
      <c r="E970" s="168"/>
      <c r="F970" s="166"/>
      <c r="G970" s="170"/>
      <c r="H970" s="177"/>
      <c r="I970" s="171"/>
      <c r="J970" s="171"/>
      <c r="K970" s="166" t="str">
        <f ca="1">IFERROR(VLOOKUP(C970,' Disaggregation - Section E '!A$316:N699,3,0),"")</f>
        <v/>
      </c>
      <c r="L970" s="171"/>
      <c r="M970" s="166"/>
      <c r="N970" s="171"/>
      <c r="O970" s="171"/>
    </row>
    <row r="971" spans="1:15">
      <c r="A971" s="166" t="b">
        <v>0</v>
      </c>
      <c r="B971" s="166"/>
      <c r="C971" s="413" t="s">
        <v>3687</v>
      </c>
      <c r="D971" s="177">
        <v>9</v>
      </c>
      <c r="E971" s="168"/>
      <c r="F971" s="166"/>
      <c r="G971" s="170"/>
      <c r="H971" s="177"/>
      <c r="I971" s="171"/>
      <c r="J971" s="171"/>
      <c r="K971" s="166" t="str">
        <f ca="1">IFERROR(VLOOKUP(C971,' Disaggregation - Section E '!A$316:N700,3,0),"")</f>
        <v/>
      </c>
      <c r="L971" s="171"/>
      <c r="M971" s="166"/>
      <c r="N971" s="171"/>
      <c r="O971" s="171"/>
    </row>
    <row r="972" spans="1:15">
      <c r="A972" s="166" t="b">
        <v>0</v>
      </c>
      <c r="B972" s="166"/>
      <c r="C972" s="413" t="s">
        <v>3688</v>
      </c>
      <c r="D972" s="177">
        <v>9</v>
      </c>
      <c r="E972" s="168"/>
      <c r="F972" s="166"/>
      <c r="G972" s="170"/>
      <c r="H972" s="177"/>
      <c r="I972" s="171"/>
      <c r="J972" s="171"/>
      <c r="K972" s="166" t="str">
        <f ca="1">IFERROR(VLOOKUP(C972,' Disaggregation - Section E '!A$316:N701,3,0),"")</f>
        <v/>
      </c>
      <c r="L972" s="171"/>
      <c r="M972" s="166"/>
      <c r="N972" s="171"/>
      <c r="O972" s="171"/>
    </row>
    <row r="973" spans="1:15">
      <c r="A973" s="166" t="b">
        <v>0</v>
      </c>
      <c r="B973" s="166"/>
      <c r="C973" s="413" t="s">
        <v>3689</v>
      </c>
      <c r="D973" s="177">
        <v>9</v>
      </c>
      <c r="E973" s="168"/>
      <c r="F973" s="166"/>
      <c r="G973" s="170"/>
      <c r="H973" s="177"/>
      <c r="I973" s="171"/>
      <c r="J973" s="171"/>
      <c r="K973" s="166" t="str">
        <f ca="1">IFERROR(VLOOKUP(C973,' Disaggregation - Section E '!A$316:N702,3,0),"")</f>
        <v/>
      </c>
      <c r="L973" s="171"/>
      <c r="M973" s="166"/>
      <c r="N973" s="171"/>
      <c r="O973" s="171"/>
    </row>
    <row r="974" spans="1:15">
      <c r="A974" s="166" t="b">
        <v>0</v>
      </c>
      <c r="B974" s="166"/>
      <c r="C974" s="413" t="s">
        <v>3690</v>
      </c>
      <c r="D974" s="177">
        <v>9</v>
      </c>
      <c r="E974" s="168"/>
      <c r="F974" s="166"/>
      <c r="G974" s="170"/>
      <c r="H974" s="177"/>
      <c r="I974" s="171"/>
      <c r="J974" s="171"/>
      <c r="K974" s="166" t="str">
        <f ca="1">IFERROR(VLOOKUP(C974,' Disaggregation - Section E '!A$316:N703,3,0),"")</f>
        <v/>
      </c>
      <c r="L974" s="171"/>
      <c r="M974" s="166"/>
      <c r="N974" s="171"/>
      <c r="O974" s="171"/>
    </row>
    <row r="975" spans="1:15">
      <c r="A975" s="166" t="b">
        <v>0</v>
      </c>
      <c r="B975" s="166"/>
      <c r="C975" s="413" t="s">
        <v>3691</v>
      </c>
      <c r="D975" s="177">
        <v>9</v>
      </c>
      <c r="E975" s="168"/>
      <c r="F975" s="166"/>
      <c r="G975" s="170"/>
      <c r="H975" s="177"/>
      <c r="I975" s="171"/>
      <c r="J975" s="171"/>
      <c r="K975" s="166" t="str">
        <f ca="1">IFERROR(VLOOKUP(C975,' Disaggregation - Section E '!A$316:N704,3,0),"")</f>
        <v/>
      </c>
      <c r="L975" s="171"/>
      <c r="M975" s="166"/>
      <c r="N975" s="171"/>
      <c r="O975" s="171"/>
    </row>
    <row r="976" spans="1:15">
      <c r="A976" s="166" t="b">
        <v>0</v>
      </c>
      <c r="B976" s="166"/>
      <c r="C976" s="413" t="s">
        <v>3692</v>
      </c>
      <c r="D976" s="177">
        <v>9</v>
      </c>
      <c r="E976" s="168"/>
      <c r="F976" s="166"/>
      <c r="G976" s="170"/>
      <c r="H976" s="177"/>
      <c r="I976" s="171"/>
      <c r="J976" s="171"/>
      <c r="K976" s="166" t="str">
        <f ca="1">IFERROR(VLOOKUP(C976,' Disaggregation - Section E '!A$316:N705,3,0),"")</f>
        <v/>
      </c>
      <c r="L976" s="171"/>
      <c r="M976" s="166"/>
      <c r="N976" s="171"/>
      <c r="O976" s="171"/>
    </row>
    <row r="977" spans="1:15">
      <c r="A977" s="166" t="b">
        <v>0</v>
      </c>
      <c r="B977" s="166"/>
      <c r="C977" s="413" t="s">
        <v>3693</v>
      </c>
      <c r="D977" s="177">
        <v>10</v>
      </c>
      <c r="E977" s="168"/>
      <c r="F977" s="166"/>
      <c r="G977" s="170"/>
      <c r="H977" s="177"/>
      <c r="I977" s="171"/>
      <c r="J977" s="171"/>
      <c r="K977" s="166" t="str">
        <f ca="1">IFERROR(VLOOKUP(C977,' Disaggregation - Section E '!A$316:N706,3,0),"")</f>
        <v/>
      </c>
      <c r="L977" s="171"/>
      <c r="M977" s="166"/>
      <c r="N977" s="171"/>
      <c r="O977" s="171"/>
    </row>
    <row r="978" spans="1:15">
      <c r="A978" s="166" t="b">
        <v>0</v>
      </c>
      <c r="B978" s="166"/>
      <c r="C978" s="413" t="s">
        <v>3694</v>
      </c>
      <c r="D978" s="177">
        <v>10</v>
      </c>
      <c r="E978" s="168"/>
      <c r="F978" s="166"/>
      <c r="G978" s="170"/>
      <c r="H978" s="177"/>
      <c r="I978" s="171"/>
      <c r="J978" s="171"/>
      <c r="K978" s="166" t="str">
        <f ca="1">IFERROR(VLOOKUP(C978,' Disaggregation - Section E '!A$316:N707,3,0),"")</f>
        <v/>
      </c>
      <c r="L978" s="171"/>
      <c r="M978" s="166"/>
      <c r="N978" s="171"/>
      <c r="O978" s="171"/>
    </row>
    <row r="979" spans="1:15">
      <c r="A979" s="166" t="b">
        <v>0</v>
      </c>
      <c r="B979" s="166"/>
      <c r="C979" s="413" t="s">
        <v>3695</v>
      </c>
      <c r="D979" s="177">
        <v>10</v>
      </c>
      <c r="E979" s="168"/>
      <c r="F979" s="166"/>
      <c r="G979" s="170"/>
      <c r="H979" s="177"/>
      <c r="I979" s="171"/>
      <c r="J979" s="171"/>
      <c r="K979" s="166" t="str">
        <f ca="1">IFERROR(VLOOKUP(C979,' Disaggregation - Section E '!A$316:N708,3,0),"")</f>
        <v/>
      </c>
      <c r="L979" s="171"/>
      <c r="M979" s="166"/>
      <c r="N979" s="171"/>
      <c r="O979" s="171"/>
    </row>
    <row r="980" spans="1:15">
      <c r="A980" s="166" t="b">
        <v>0</v>
      </c>
      <c r="B980" s="166"/>
      <c r="C980" s="413" t="s">
        <v>3696</v>
      </c>
      <c r="D980" s="177">
        <v>10</v>
      </c>
      <c r="E980" s="168"/>
      <c r="F980" s="166"/>
      <c r="G980" s="170"/>
      <c r="H980" s="177"/>
      <c r="I980" s="171"/>
      <c r="J980" s="171"/>
      <c r="K980" s="166" t="str">
        <f ca="1">IFERROR(VLOOKUP(C980,' Disaggregation - Section E '!A$316:N709,3,0),"")</f>
        <v/>
      </c>
      <c r="L980" s="171"/>
      <c r="M980" s="166"/>
      <c r="N980" s="171"/>
      <c r="O980" s="171"/>
    </row>
    <row r="981" spans="1:15">
      <c r="A981" s="166" t="b">
        <v>0</v>
      </c>
      <c r="B981" s="166"/>
      <c r="C981" s="413" t="s">
        <v>3697</v>
      </c>
      <c r="D981" s="177">
        <v>10</v>
      </c>
      <c r="E981" s="168"/>
      <c r="F981" s="166"/>
      <c r="G981" s="170"/>
      <c r="H981" s="177"/>
      <c r="I981" s="171"/>
      <c r="J981" s="171"/>
      <c r="K981" s="166" t="str">
        <f ca="1">IFERROR(VLOOKUP(C981,' Disaggregation - Section E '!A$316:N710,3,0),"")</f>
        <v/>
      </c>
      <c r="L981" s="171"/>
      <c r="M981" s="166"/>
      <c r="N981" s="171"/>
      <c r="O981" s="171"/>
    </row>
    <row r="982" spans="1:15">
      <c r="A982" s="166" t="b">
        <v>0</v>
      </c>
      <c r="B982" s="166"/>
      <c r="C982" s="413" t="s">
        <v>3698</v>
      </c>
      <c r="D982" s="177">
        <v>10</v>
      </c>
      <c r="E982" s="168"/>
      <c r="F982" s="166"/>
      <c r="G982" s="170"/>
      <c r="H982" s="177"/>
      <c r="I982" s="171"/>
      <c r="J982" s="171"/>
      <c r="K982" s="166" t="str">
        <f ca="1">IFERROR(VLOOKUP(C982,' Disaggregation - Section E '!A$316:N711,3,0),"")</f>
        <v/>
      </c>
      <c r="L982" s="171"/>
      <c r="M982" s="166"/>
      <c r="N982" s="171"/>
      <c r="O982" s="171"/>
    </row>
    <row r="983" spans="1:15">
      <c r="A983" s="166" t="b">
        <v>0</v>
      </c>
      <c r="B983" s="166"/>
      <c r="C983" s="413" t="s">
        <v>3699</v>
      </c>
      <c r="D983" s="177">
        <v>10</v>
      </c>
      <c r="E983" s="168"/>
      <c r="F983" s="166"/>
      <c r="G983" s="170"/>
      <c r="H983" s="177"/>
      <c r="I983" s="171"/>
      <c r="J983" s="171"/>
      <c r="K983" s="166" t="str">
        <f ca="1">IFERROR(VLOOKUP(C983,' Disaggregation - Section E '!A$316:N712,3,0),"")</f>
        <v/>
      </c>
      <c r="L983" s="171"/>
      <c r="M983" s="166"/>
      <c r="N983" s="171"/>
      <c r="O983" s="171"/>
    </row>
    <row r="984" spans="1:15">
      <c r="A984" s="166" t="b">
        <v>0</v>
      </c>
      <c r="B984" s="166"/>
      <c r="C984" s="413" t="s">
        <v>3700</v>
      </c>
      <c r="D984" s="177">
        <v>10</v>
      </c>
      <c r="E984" s="168"/>
      <c r="F984" s="166"/>
      <c r="G984" s="170"/>
      <c r="H984" s="177"/>
      <c r="I984" s="171"/>
      <c r="J984" s="171"/>
      <c r="K984" s="166" t="str">
        <f ca="1">IFERROR(VLOOKUP(C984,' Disaggregation - Section E '!A$316:N713,3,0),"")</f>
        <v/>
      </c>
      <c r="L984" s="171"/>
      <c r="M984" s="166"/>
      <c r="N984" s="171"/>
      <c r="O984" s="171"/>
    </row>
    <row r="985" spans="1:15">
      <c r="A985" s="166" t="b">
        <v>0</v>
      </c>
      <c r="B985" s="166"/>
      <c r="C985" s="413" t="s">
        <v>3701</v>
      </c>
      <c r="D985" s="177">
        <v>10</v>
      </c>
      <c r="E985" s="168"/>
      <c r="F985" s="166"/>
      <c r="G985" s="170"/>
      <c r="H985" s="177"/>
      <c r="I985" s="171"/>
      <c r="J985" s="171"/>
      <c r="K985" s="166" t="str">
        <f ca="1">IFERROR(VLOOKUP(C985,' Disaggregation - Section E '!A$316:N714,3,0),"")</f>
        <v/>
      </c>
      <c r="L985" s="171"/>
      <c r="M985" s="166"/>
      <c r="N985" s="171"/>
      <c r="O985" s="171"/>
    </row>
    <row r="986" spans="1:15">
      <c r="A986" s="166" t="b">
        <v>0</v>
      </c>
      <c r="B986" s="166"/>
      <c r="C986" s="413" t="s">
        <v>3702</v>
      </c>
      <c r="D986" s="177">
        <v>10</v>
      </c>
      <c r="E986" s="168"/>
      <c r="F986" s="166"/>
      <c r="G986" s="170"/>
      <c r="H986" s="177"/>
      <c r="I986" s="171"/>
      <c r="J986" s="171"/>
      <c r="K986" s="166" t="str">
        <f ca="1">IFERROR(VLOOKUP(C986,' Disaggregation - Section E '!A$316:N715,3,0),"")</f>
        <v/>
      </c>
      <c r="L986" s="171"/>
      <c r="M986" s="166"/>
      <c r="N986" s="171"/>
      <c r="O986" s="171"/>
    </row>
    <row r="987" spans="1:15">
      <c r="A987" s="166" t="b">
        <v>0</v>
      </c>
      <c r="B987" s="166"/>
      <c r="C987" s="413" t="s">
        <v>3703</v>
      </c>
      <c r="D987" s="177">
        <v>11</v>
      </c>
      <c r="E987" s="168"/>
      <c r="F987" s="166"/>
      <c r="G987" s="170"/>
      <c r="H987" s="177"/>
      <c r="I987" s="171"/>
      <c r="J987" s="171"/>
      <c r="K987" s="166" t="str">
        <f ca="1">IFERROR(VLOOKUP(C987,' Disaggregation - Section E '!A$316:N716,3,0),"")</f>
        <v/>
      </c>
      <c r="L987" s="171"/>
      <c r="M987" s="166"/>
      <c r="N987" s="171"/>
      <c r="O987" s="171"/>
    </row>
    <row r="988" spans="1:15">
      <c r="A988" s="166" t="b">
        <v>0</v>
      </c>
      <c r="B988" s="166"/>
      <c r="C988" s="413" t="s">
        <v>3704</v>
      </c>
      <c r="D988" s="177">
        <v>11</v>
      </c>
      <c r="E988" s="168"/>
      <c r="F988" s="166"/>
      <c r="G988" s="170"/>
      <c r="H988" s="177"/>
      <c r="I988" s="171"/>
      <c r="J988" s="171"/>
      <c r="K988" s="166" t="str">
        <f ca="1">IFERROR(VLOOKUP(C988,' Disaggregation - Section E '!A$316:N717,3,0),"")</f>
        <v/>
      </c>
      <c r="L988" s="171"/>
      <c r="M988" s="166"/>
      <c r="N988" s="171"/>
      <c r="O988" s="171"/>
    </row>
    <row r="989" spans="1:15">
      <c r="A989" s="166" t="b">
        <v>0</v>
      </c>
      <c r="B989" s="166"/>
      <c r="C989" s="413" t="s">
        <v>3705</v>
      </c>
      <c r="D989" s="177">
        <v>11</v>
      </c>
      <c r="E989" s="168"/>
      <c r="F989" s="166"/>
      <c r="G989" s="170"/>
      <c r="H989" s="177"/>
      <c r="I989" s="171"/>
      <c r="J989" s="171"/>
      <c r="K989" s="166" t="str">
        <f ca="1">IFERROR(VLOOKUP(C989,' Disaggregation - Section E '!A$316:N718,3,0),"")</f>
        <v/>
      </c>
      <c r="L989" s="171"/>
      <c r="M989" s="166"/>
      <c r="N989" s="171"/>
      <c r="O989" s="171"/>
    </row>
    <row r="990" spans="1:15">
      <c r="A990" s="166" t="b">
        <v>0</v>
      </c>
      <c r="B990" s="166"/>
      <c r="C990" s="413" t="s">
        <v>3706</v>
      </c>
      <c r="D990" s="177">
        <v>11</v>
      </c>
      <c r="E990" s="168"/>
      <c r="F990" s="166"/>
      <c r="G990" s="170"/>
      <c r="H990" s="177"/>
      <c r="I990" s="171"/>
      <c r="J990" s="171"/>
      <c r="K990" s="166" t="str">
        <f ca="1">IFERROR(VLOOKUP(C990,' Disaggregation - Section E '!A$316:N719,3,0),"")</f>
        <v/>
      </c>
      <c r="L990" s="171"/>
      <c r="M990" s="166"/>
      <c r="N990" s="171"/>
      <c r="O990" s="171"/>
    </row>
    <row r="991" spans="1:15">
      <c r="A991" s="166" t="b">
        <v>0</v>
      </c>
      <c r="B991" s="166"/>
      <c r="C991" s="413" t="s">
        <v>3707</v>
      </c>
      <c r="D991" s="177">
        <v>11</v>
      </c>
      <c r="E991" s="168"/>
      <c r="F991" s="166"/>
      <c r="G991" s="170"/>
      <c r="H991" s="177"/>
      <c r="I991" s="171"/>
      <c r="J991" s="171"/>
      <c r="K991" s="166" t="str">
        <f ca="1">IFERROR(VLOOKUP(C991,' Disaggregation - Section E '!A$316:N720,3,0),"")</f>
        <v/>
      </c>
      <c r="L991" s="171"/>
      <c r="M991" s="166"/>
      <c r="N991" s="171"/>
      <c r="O991" s="171"/>
    </row>
    <row r="992" spans="1:15">
      <c r="A992" s="166" t="b">
        <v>0</v>
      </c>
      <c r="B992" s="166"/>
      <c r="C992" s="413" t="s">
        <v>3708</v>
      </c>
      <c r="D992" s="177">
        <v>11</v>
      </c>
      <c r="E992" s="168"/>
      <c r="F992" s="166"/>
      <c r="G992" s="170"/>
      <c r="H992" s="177"/>
      <c r="I992" s="171"/>
      <c r="J992" s="171"/>
      <c r="K992" s="166" t="str">
        <f ca="1">IFERROR(VLOOKUP(C992,' Disaggregation - Section E '!A$316:N721,3,0),"")</f>
        <v/>
      </c>
      <c r="L992" s="171"/>
      <c r="M992" s="166"/>
      <c r="N992" s="171"/>
      <c r="O992" s="171"/>
    </row>
    <row r="993" spans="1:15">
      <c r="A993" s="166" t="b">
        <v>0</v>
      </c>
      <c r="B993" s="166"/>
      <c r="C993" s="413" t="s">
        <v>3709</v>
      </c>
      <c r="D993" s="177">
        <v>11</v>
      </c>
      <c r="E993" s="168"/>
      <c r="F993" s="166"/>
      <c r="G993" s="170"/>
      <c r="H993" s="177"/>
      <c r="I993" s="171"/>
      <c r="J993" s="171"/>
      <c r="K993" s="166" t="str">
        <f ca="1">IFERROR(VLOOKUP(C993,' Disaggregation - Section E '!A$316:N722,3,0),"")</f>
        <v/>
      </c>
      <c r="L993" s="171"/>
      <c r="M993" s="166"/>
      <c r="N993" s="171"/>
      <c r="O993" s="171"/>
    </row>
    <row r="994" spans="1:15">
      <c r="A994" s="166" t="b">
        <v>0</v>
      </c>
      <c r="B994" s="166"/>
      <c r="C994" s="413" t="s">
        <v>3710</v>
      </c>
      <c r="D994" s="177">
        <v>11</v>
      </c>
      <c r="E994" s="168"/>
      <c r="F994" s="166"/>
      <c r="G994" s="170"/>
      <c r="H994" s="177"/>
      <c r="I994" s="171"/>
      <c r="J994" s="171"/>
      <c r="K994" s="166" t="str">
        <f ca="1">IFERROR(VLOOKUP(C994,' Disaggregation - Section E '!A$316:N723,3,0),"")</f>
        <v/>
      </c>
      <c r="L994" s="171"/>
      <c r="M994" s="166"/>
      <c r="N994" s="171"/>
      <c r="O994" s="171"/>
    </row>
    <row r="995" spans="1:15">
      <c r="A995" s="166" t="b">
        <v>0</v>
      </c>
      <c r="B995" s="166"/>
      <c r="C995" s="413" t="s">
        <v>3711</v>
      </c>
      <c r="D995" s="177">
        <v>11</v>
      </c>
      <c r="E995" s="168"/>
      <c r="F995" s="166"/>
      <c r="G995" s="170"/>
      <c r="H995" s="177"/>
      <c r="I995" s="171"/>
      <c r="J995" s="171"/>
      <c r="K995" s="166" t="str">
        <f ca="1">IFERROR(VLOOKUP(C995,' Disaggregation - Section E '!A$316:N724,3,0),"")</f>
        <v/>
      </c>
      <c r="L995" s="171"/>
      <c r="M995" s="166"/>
      <c r="N995" s="171"/>
      <c r="O995" s="171"/>
    </row>
    <row r="996" spans="1:15">
      <c r="A996" s="166" t="b">
        <v>0</v>
      </c>
      <c r="B996" s="166"/>
      <c r="C996" s="413" t="s">
        <v>3712</v>
      </c>
      <c r="D996" s="177">
        <v>11</v>
      </c>
      <c r="E996" s="168"/>
      <c r="F996" s="166"/>
      <c r="G996" s="170"/>
      <c r="H996" s="177"/>
      <c r="I996" s="171"/>
      <c r="J996" s="171"/>
      <c r="K996" s="166" t="str">
        <f ca="1">IFERROR(VLOOKUP(C996,' Disaggregation - Section E '!A$316:N725,3,0),"")</f>
        <v/>
      </c>
      <c r="L996" s="171"/>
      <c r="M996" s="166"/>
      <c r="N996" s="171"/>
      <c r="O996" s="171"/>
    </row>
    <row r="997" spans="1:15">
      <c r="A997" s="166" t="b">
        <v>0</v>
      </c>
      <c r="B997" s="166"/>
      <c r="C997" s="413" t="s">
        <v>3713</v>
      </c>
      <c r="D997" s="177">
        <v>12</v>
      </c>
      <c r="E997" s="168"/>
      <c r="F997" s="166"/>
      <c r="G997" s="170"/>
      <c r="H997" s="177"/>
      <c r="I997" s="171"/>
      <c r="J997" s="171"/>
      <c r="K997" s="166" t="str">
        <f ca="1">IFERROR(VLOOKUP(C997,' Disaggregation - Section E '!A$316:N726,3,0),"")</f>
        <v/>
      </c>
      <c r="L997" s="171"/>
      <c r="M997" s="166"/>
      <c r="N997" s="171"/>
      <c r="O997" s="171"/>
    </row>
    <row r="998" spans="1:15">
      <c r="A998" s="166" t="b">
        <v>0</v>
      </c>
      <c r="B998" s="166"/>
      <c r="C998" s="413" t="s">
        <v>3714</v>
      </c>
      <c r="D998" s="177">
        <v>12</v>
      </c>
      <c r="E998" s="168"/>
      <c r="F998" s="166"/>
      <c r="G998" s="170"/>
      <c r="H998" s="177"/>
      <c r="I998" s="171"/>
      <c r="J998" s="171"/>
      <c r="K998" s="166" t="str">
        <f ca="1">IFERROR(VLOOKUP(C998,' Disaggregation - Section E '!A$316:N727,3,0),"")</f>
        <v/>
      </c>
      <c r="L998" s="171"/>
      <c r="M998" s="166"/>
      <c r="N998" s="171"/>
      <c r="O998" s="171"/>
    </row>
    <row r="999" spans="1:15">
      <c r="A999" s="166" t="b">
        <v>0</v>
      </c>
      <c r="B999" s="166"/>
      <c r="C999" s="413" t="s">
        <v>3715</v>
      </c>
      <c r="D999" s="177">
        <v>12</v>
      </c>
      <c r="E999" s="168"/>
      <c r="F999" s="166"/>
      <c r="G999" s="170"/>
      <c r="H999" s="177"/>
      <c r="I999" s="171"/>
      <c r="J999" s="171"/>
      <c r="K999" s="166" t="str">
        <f ca="1">IFERROR(VLOOKUP(C999,' Disaggregation - Section E '!A$316:N728,3,0),"")</f>
        <v/>
      </c>
      <c r="L999" s="171"/>
      <c r="M999" s="166"/>
      <c r="N999" s="171"/>
      <c r="O999" s="171"/>
    </row>
    <row r="1000" spans="1:15">
      <c r="A1000" s="166" t="b">
        <v>0</v>
      </c>
      <c r="B1000" s="166"/>
      <c r="C1000" s="413" t="s">
        <v>3716</v>
      </c>
      <c r="D1000" s="177">
        <v>12</v>
      </c>
      <c r="E1000" s="168"/>
      <c r="F1000" s="166"/>
      <c r="G1000" s="170"/>
      <c r="H1000" s="177"/>
      <c r="I1000" s="171"/>
      <c r="J1000" s="171"/>
      <c r="K1000" s="166" t="str">
        <f ca="1">IFERROR(VLOOKUP(C1000,' Disaggregation - Section E '!A$316:N729,3,0),"")</f>
        <v/>
      </c>
      <c r="L1000" s="171"/>
      <c r="M1000" s="166"/>
      <c r="N1000" s="171"/>
      <c r="O1000" s="171"/>
    </row>
    <row r="1001" spans="1:15">
      <c r="A1001" s="166" t="b">
        <v>0</v>
      </c>
      <c r="B1001" s="166"/>
      <c r="C1001" s="413" t="s">
        <v>3717</v>
      </c>
      <c r="D1001" s="177">
        <v>12</v>
      </c>
      <c r="E1001" s="168"/>
      <c r="F1001" s="166"/>
      <c r="G1001" s="170"/>
      <c r="H1001" s="177"/>
      <c r="I1001" s="171"/>
      <c r="J1001" s="171"/>
      <c r="K1001" s="166" t="str">
        <f ca="1">IFERROR(VLOOKUP(C1001,' Disaggregation - Section E '!A$316:N730,3,0),"")</f>
        <v/>
      </c>
      <c r="L1001" s="171"/>
      <c r="M1001" s="166"/>
      <c r="N1001" s="171"/>
      <c r="O1001" s="171"/>
    </row>
    <row r="1002" spans="1:15">
      <c r="A1002" s="166" t="b">
        <v>0</v>
      </c>
      <c r="B1002" s="166"/>
      <c r="C1002" s="413" t="s">
        <v>3718</v>
      </c>
      <c r="D1002" s="177">
        <v>12</v>
      </c>
      <c r="E1002" s="168"/>
      <c r="F1002" s="166"/>
      <c r="G1002" s="170"/>
      <c r="H1002" s="177"/>
      <c r="I1002" s="171"/>
      <c r="J1002" s="171"/>
      <c r="K1002" s="166" t="str">
        <f ca="1">IFERROR(VLOOKUP(C1002,' Disaggregation - Section E '!A$316:N731,3,0),"")</f>
        <v/>
      </c>
      <c r="L1002" s="171"/>
      <c r="M1002" s="166"/>
      <c r="N1002" s="171"/>
      <c r="O1002" s="171"/>
    </row>
    <row r="1003" spans="1:15">
      <c r="A1003" s="166" t="b">
        <v>0</v>
      </c>
      <c r="B1003" s="166"/>
      <c r="C1003" s="413" t="s">
        <v>3719</v>
      </c>
      <c r="D1003" s="177">
        <v>12</v>
      </c>
      <c r="E1003" s="168"/>
      <c r="F1003" s="166"/>
      <c r="G1003" s="170"/>
      <c r="H1003" s="177"/>
      <c r="I1003" s="171"/>
      <c r="J1003" s="171"/>
      <c r="K1003" s="166" t="str">
        <f ca="1">IFERROR(VLOOKUP(C1003,' Disaggregation - Section E '!A$316:N732,3,0),"")</f>
        <v/>
      </c>
      <c r="L1003" s="171"/>
      <c r="M1003" s="166"/>
      <c r="N1003" s="171"/>
      <c r="O1003" s="171"/>
    </row>
    <row r="1004" spans="1:15">
      <c r="A1004" s="166" t="b">
        <v>0</v>
      </c>
      <c r="B1004" s="166"/>
      <c r="C1004" s="413" t="s">
        <v>3720</v>
      </c>
      <c r="D1004" s="177">
        <v>12</v>
      </c>
      <c r="E1004" s="168"/>
      <c r="F1004" s="166"/>
      <c r="G1004" s="170"/>
      <c r="H1004" s="177"/>
      <c r="I1004" s="171"/>
      <c r="J1004" s="171"/>
      <c r="K1004" s="166" t="str">
        <f ca="1">IFERROR(VLOOKUP(C1004,' Disaggregation - Section E '!A$316:N733,3,0),"")</f>
        <v/>
      </c>
      <c r="L1004" s="171"/>
      <c r="M1004" s="166"/>
      <c r="N1004" s="171"/>
      <c r="O1004" s="171"/>
    </row>
    <row r="1005" spans="1:15">
      <c r="A1005" s="166" t="b">
        <v>0</v>
      </c>
      <c r="B1005" s="166"/>
      <c r="C1005" s="413" t="s">
        <v>3721</v>
      </c>
      <c r="D1005" s="177">
        <v>12</v>
      </c>
      <c r="E1005" s="168"/>
      <c r="F1005" s="166"/>
      <c r="G1005" s="170"/>
      <c r="H1005" s="177"/>
      <c r="I1005" s="171"/>
      <c r="J1005" s="171"/>
      <c r="K1005" s="166" t="str">
        <f ca="1">IFERROR(VLOOKUP(C1005,' Disaggregation - Section E '!A$316:N734,3,0),"")</f>
        <v/>
      </c>
      <c r="L1005" s="171"/>
      <c r="M1005" s="166"/>
      <c r="N1005" s="171"/>
      <c r="O1005" s="171"/>
    </row>
    <row r="1006" spans="1:15">
      <c r="A1006" s="166" t="b">
        <v>0</v>
      </c>
      <c r="B1006" s="166"/>
      <c r="C1006" s="413" t="s">
        <v>3722</v>
      </c>
      <c r="D1006" s="177">
        <v>12</v>
      </c>
      <c r="E1006" s="168"/>
      <c r="F1006" s="166"/>
      <c r="G1006" s="170"/>
      <c r="H1006" s="177"/>
      <c r="I1006" s="171"/>
      <c r="J1006" s="171"/>
      <c r="K1006" s="166" t="str">
        <f ca="1">IFERROR(VLOOKUP(C1006,' Disaggregation - Section E '!A$316:N735,3,0),"")</f>
        <v/>
      </c>
      <c r="L1006" s="171"/>
      <c r="M1006" s="166"/>
      <c r="N1006" s="171"/>
      <c r="O1006" s="171"/>
    </row>
    <row r="1007" spans="1:15">
      <c r="A1007" s="166" t="b">
        <v>0</v>
      </c>
      <c r="B1007" s="166"/>
      <c r="C1007" s="413" t="s">
        <v>3723</v>
      </c>
      <c r="D1007" s="177">
        <v>13</v>
      </c>
      <c r="E1007" s="168"/>
      <c r="F1007" s="166"/>
      <c r="G1007" s="170"/>
      <c r="H1007" s="177"/>
      <c r="I1007" s="171"/>
      <c r="J1007" s="171"/>
      <c r="K1007" s="166" t="str">
        <f ca="1">IFERROR(VLOOKUP(C1007,' Disaggregation - Section E '!A$316:N736,3,0),"")</f>
        <v/>
      </c>
      <c r="L1007" s="171"/>
      <c r="M1007" s="166"/>
      <c r="N1007" s="171"/>
      <c r="O1007" s="171"/>
    </row>
    <row r="1008" spans="1:15">
      <c r="A1008" s="166" t="b">
        <v>0</v>
      </c>
      <c r="B1008" s="166"/>
      <c r="C1008" s="413" t="s">
        <v>3724</v>
      </c>
      <c r="D1008" s="177">
        <v>13</v>
      </c>
      <c r="E1008" s="168"/>
      <c r="F1008" s="166"/>
      <c r="G1008" s="170"/>
      <c r="H1008" s="177"/>
      <c r="I1008" s="171"/>
      <c r="J1008" s="171"/>
      <c r="K1008" s="166" t="str">
        <f ca="1">IFERROR(VLOOKUP(C1008,' Disaggregation - Section E '!A$316:N737,3,0),"")</f>
        <v/>
      </c>
      <c r="L1008" s="171"/>
      <c r="M1008" s="166"/>
      <c r="N1008" s="171"/>
      <c r="O1008" s="171"/>
    </row>
    <row r="1009" spans="1:15">
      <c r="A1009" s="166" t="b">
        <v>0</v>
      </c>
      <c r="B1009" s="166"/>
      <c r="C1009" s="413" t="s">
        <v>3725</v>
      </c>
      <c r="D1009" s="177">
        <v>13</v>
      </c>
      <c r="E1009" s="168"/>
      <c r="F1009" s="166"/>
      <c r="G1009" s="170"/>
      <c r="H1009" s="177"/>
      <c r="I1009" s="171"/>
      <c r="J1009" s="171"/>
      <c r="K1009" s="166" t="str">
        <f ca="1">IFERROR(VLOOKUP(C1009,' Disaggregation - Section E '!A$316:N738,3,0),"")</f>
        <v/>
      </c>
      <c r="L1009" s="171"/>
      <c r="M1009" s="166"/>
      <c r="N1009" s="171"/>
      <c r="O1009" s="171"/>
    </row>
    <row r="1010" spans="1:15">
      <c r="A1010" s="166" t="b">
        <v>0</v>
      </c>
      <c r="B1010" s="166"/>
      <c r="C1010" s="413" t="s">
        <v>3726</v>
      </c>
      <c r="D1010" s="177">
        <v>13</v>
      </c>
      <c r="E1010" s="168"/>
      <c r="F1010" s="166"/>
      <c r="G1010" s="170"/>
      <c r="H1010" s="177"/>
      <c r="I1010" s="171"/>
      <c r="J1010" s="171"/>
      <c r="K1010" s="166" t="str">
        <f ca="1">IFERROR(VLOOKUP(C1010,' Disaggregation - Section E '!A$316:N739,3,0),"")</f>
        <v/>
      </c>
      <c r="L1010" s="171"/>
      <c r="M1010" s="166"/>
      <c r="N1010" s="171"/>
      <c r="O1010" s="171"/>
    </row>
    <row r="1011" spans="1:15">
      <c r="A1011" s="166" t="b">
        <v>0</v>
      </c>
      <c r="B1011" s="166"/>
      <c r="C1011" s="413" t="s">
        <v>3727</v>
      </c>
      <c r="D1011" s="177">
        <v>13</v>
      </c>
      <c r="E1011" s="168"/>
      <c r="F1011" s="166"/>
      <c r="G1011" s="170"/>
      <c r="H1011" s="177"/>
      <c r="I1011" s="171"/>
      <c r="J1011" s="171"/>
      <c r="K1011" s="166" t="str">
        <f ca="1">IFERROR(VLOOKUP(C1011,' Disaggregation - Section E '!A$316:N740,3,0),"")</f>
        <v/>
      </c>
      <c r="L1011" s="171"/>
      <c r="M1011" s="166"/>
      <c r="N1011" s="171"/>
      <c r="O1011" s="171"/>
    </row>
    <row r="1012" spans="1:15">
      <c r="A1012" s="166" t="b">
        <v>0</v>
      </c>
      <c r="B1012" s="166"/>
      <c r="C1012" s="413" t="s">
        <v>3728</v>
      </c>
      <c r="D1012" s="177">
        <v>13</v>
      </c>
      <c r="E1012" s="168"/>
      <c r="F1012" s="166"/>
      <c r="G1012" s="170"/>
      <c r="H1012" s="177"/>
      <c r="I1012" s="171"/>
      <c r="J1012" s="171"/>
      <c r="K1012" s="166" t="str">
        <f ca="1">IFERROR(VLOOKUP(C1012,' Disaggregation - Section E '!A$316:N741,3,0),"")</f>
        <v/>
      </c>
      <c r="L1012" s="171"/>
      <c r="M1012" s="166"/>
      <c r="N1012" s="171"/>
      <c r="O1012" s="171"/>
    </row>
    <row r="1013" spans="1:15">
      <c r="A1013" s="166" t="b">
        <v>0</v>
      </c>
      <c r="B1013" s="166"/>
      <c r="C1013" s="413" t="s">
        <v>3729</v>
      </c>
      <c r="D1013" s="177">
        <v>13</v>
      </c>
      <c r="E1013" s="168"/>
      <c r="F1013" s="166"/>
      <c r="G1013" s="170"/>
      <c r="H1013" s="177"/>
      <c r="I1013" s="171"/>
      <c r="J1013" s="171"/>
      <c r="K1013" s="166" t="str">
        <f ca="1">IFERROR(VLOOKUP(C1013,' Disaggregation - Section E '!A$316:N742,3,0),"")</f>
        <v/>
      </c>
      <c r="L1013" s="171"/>
      <c r="M1013" s="166"/>
      <c r="N1013" s="171"/>
      <c r="O1013" s="171"/>
    </row>
    <row r="1014" spans="1:15">
      <c r="A1014" s="166" t="b">
        <v>0</v>
      </c>
      <c r="B1014" s="166"/>
      <c r="C1014" s="413" t="s">
        <v>3730</v>
      </c>
      <c r="D1014" s="177">
        <v>13</v>
      </c>
      <c r="E1014" s="168"/>
      <c r="F1014" s="166"/>
      <c r="G1014" s="170"/>
      <c r="H1014" s="177"/>
      <c r="I1014" s="171"/>
      <c r="J1014" s="171"/>
      <c r="K1014" s="166" t="str">
        <f ca="1">IFERROR(VLOOKUP(C1014,' Disaggregation - Section E '!A$316:N743,3,0),"")</f>
        <v/>
      </c>
      <c r="L1014" s="171"/>
      <c r="M1014" s="166"/>
      <c r="N1014" s="171"/>
      <c r="O1014" s="171"/>
    </row>
    <row r="1015" spans="1:15">
      <c r="A1015" s="166" t="b">
        <v>0</v>
      </c>
      <c r="B1015" s="166"/>
      <c r="C1015" s="413" t="s">
        <v>3731</v>
      </c>
      <c r="D1015" s="177">
        <v>13</v>
      </c>
      <c r="E1015" s="168"/>
      <c r="F1015" s="166"/>
      <c r="G1015" s="170"/>
      <c r="H1015" s="177"/>
      <c r="I1015" s="171"/>
      <c r="J1015" s="171"/>
      <c r="K1015" s="166" t="str">
        <f ca="1">IFERROR(VLOOKUP(C1015,' Disaggregation - Section E '!A$316:N744,3,0),"")</f>
        <v/>
      </c>
      <c r="L1015" s="171"/>
      <c r="M1015" s="166"/>
      <c r="N1015" s="171"/>
      <c r="O1015" s="171"/>
    </row>
    <row r="1016" spans="1:15">
      <c r="A1016" s="166" t="b">
        <v>0</v>
      </c>
      <c r="B1016" s="166"/>
      <c r="C1016" s="413" t="s">
        <v>3732</v>
      </c>
      <c r="D1016" s="177">
        <v>13</v>
      </c>
      <c r="E1016" s="168"/>
      <c r="F1016" s="166"/>
      <c r="G1016" s="170"/>
      <c r="H1016" s="177"/>
      <c r="I1016" s="171"/>
      <c r="J1016" s="171"/>
      <c r="K1016" s="166" t="str">
        <f ca="1">IFERROR(VLOOKUP(C1016,' Disaggregation - Section E '!A$316:N745,3,0),"")</f>
        <v/>
      </c>
      <c r="L1016" s="171"/>
      <c r="M1016" s="166"/>
      <c r="N1016" s="171"/>
      <c r="O1016" s="171"/>
    </row>
    <row r="1017" spans="1:15">
      <c r="A1017" s="166" t="b">
        <v>0</v>
      </c>
      <c r="B1017" s="166"/>
      <c r="C1017" s="413" t="s">
        <v>3733</v>
      </c>
      <c r="D1017" s="177">
        <v>14</v>
      </c>
      <c r="E1017" s="168"/>
      <c r="F1017" s="166"/>
      <c r="G1017" s="170"/>
      <c r="H1017" s="177"/>
      <c r="I1017" s="171"/>
      <c r="J1017" s="171"/>
      <c r="K1017" s="166" t="str">
        <f ca="1">IFERROR(VLOOKUP(C1017,' Disaggregation - Section E '!A$316:N746,3,0),"")</f>
        <v/>
      </c>
      <c r="L1017" s="171"/>
      <c r="M1017" s="166"/>
      <c r="N1017" s="171"/>
      <c r="O1017" s="171"/>
    </row>
    <row r="1018" spans="1:15">
      <c r="A1018" s="166" t="b">
        <v>0</v>
      </c>
      <c r="B1018" s="166"/>
      <c r="C1018" s="413" t="s">
        <v>3734</v>
      </c>
      <c r="D1018" s="177">
        <v>14</v>
      </c>
      <c r="E1018" s="168"/>
      <c r="F1018" s="166"/>
      <c r="G1018" s="170"/>
      <c r="H1018" s="177"/>
      <c r="I1018" s="171"/>
      <c r="J1018" s="171"/>
      <c r="K1018" s="166" t="str">
        <f ca="1">IFERROR(VLOOKUP(C1018,' Disaggregation - Section E '!A$316:N747,3,0),"")</f>
        <v/>
      </c>
      <c r="L1018" s="171"/>
      <c r="M1018" s="166"/>
      <c r="N1018" s="171"/>
      <c r="O1018" s="171"/>
    </row>
    <row r="1019" spans="1:15">
      <c r="A1019" s="166" t="b">
        <v>0</v>
      </c>
      <c r="B1019" s="166"/>
      <c r="C1019" s="413" t="s">
        <v>3735</v>
      </c>
      <c r="D1019" s="177">
        <v>14</v>
      </c>
      <c r="E1019" s="168"/>
      <c r="F1019" s="166"/>
      <c r="G1019" s="170"/>
      <c r="H1019" s="177"/>
      <c r="I1019" s="171"/>
      <c r="J1019" s="171"/>
      <c r="K1019" s="166" t="str">
        <f ca="1">IFERROR(VLOOKUP(C1019,' Disaggregation - Section E '!A$316:N748,3,0),"")</f>
        <v/>
      </c>
      <c r="L1019" s="171"/>
      <c r="M1019" s="166"/>
      <c r="N1019" s="171"/>
      <c r="O1019" s="171"/>
    </row>
    <row r="1020" spans="1:15">
      <c r="A1020" s="166" t="b">
        <v>0</v>
      </c>
      <c r="B1020" s="166"/>
      <c r="C1020" s="413" t="s">
        <v>3736</v>
      </c>
      <c r="D1020" s="177">
        <v>14</v>
      </c>
      <c r="E1020" s="168"/>
      <c r="F1020" s="166"/>
      <c r="G1020" s="170"/>
      <c r="H1020" s="177"/>
      <c r="I1020" s="171"/>
      <c r="J1020" s="171"/>
      <c r="K1020" s="166" t="str">
        <f ca="1">IFERROR(VLOOKUP(C1020,' Disaggregation - Section E '!A$316:N749,3,0),"")</f>
        <v/>
      </c>
      <c r="L1020" s="171"/>
      <c r="M1020" s="166"/>
      <c r="N1020" s="171"/>
      <c r="O1020" s="171"/>
    </row>
    <row r="1021" spans="1:15">
      <c r="A1021" s="166" t="b">
        <v>0</v>
      </c>
      <c r="B1021" s="166"/>
      <c r="C1021" s="413" t="s">
        <v>3737</v>
      </c>
      <c r="D1021" s="177">
        <v>14</v>
      </c>
      <c r="E1021" s="168"/>
      <c r="F1021" s="166"/>
      <c r="G1021" s="170"/>
      <c r="H1021" s="177"/>
      <c r="I1021" s="171"/>
      <c r="J1021" s="171"/>
      <c r="K1021" s="166" t="str">
        <f ca="1">IFERROR(VLOOKUP(C1021,' Disaggregation - Section E '!A$316:N750,3,0),"")</f>
        <v/>
      </c>
      <c r="L1021" s="171"/>
      <c r="M1021" s="166"/>
      <c r="N1021" s="171"/>
      <c r="O1021" s="171"/>
    </row>
    <row r="1022" spans="1:15">
      <c r="A1022" s="166" t="b">
        <v>0</v>
      </c>
      <c r="B1022" s="166"/>
      <c r="C1022" s="413" t="s">
        <v>3738</v>
      </c>
      <c r="D1022" s="177">
        <v>14</v>
      </c>
      <c r="E1022" s="168"/>
      <c r="F1022" s="166"/>
      <c r="G1022" s="170"/>
      <c r="H1022" s="177"/>
      <c r="I1022" s="171"/>
      <c r="J1022" s="171"/>
      <c r="K1022" s="166" t="str">
        <f ca="1">IFERROR(VLOOKUP(C1022,' Disaggregation - Section E '!A$316:N751,3,0),"")</f>
        <v/>
      </c>
      <c r="L1022" s="171"/>
      <c r="M1022" s="166"/>
      <c r="N1022" s="171"/>
      <c r="O1022" s="171"/>
    </row>
    <row r="1023" spans="1:15">
      <c r="A1023" s="166" t="b">
        <v>0</v>
      </c>
      <c r="B1023" s="166"/>
      <c r="C1023" s="413" t="s">
        <v>3739</v>
      </c>
      <c r="D1023" s="177">
        <v>14</v>
      </c>
      <c r="E1023" s="168"/>
      <c r="F1023" s="166"/>
      <c r="G1023" s="170"/>
      <c r="H1023" s="177"/>
      <c r="I1023" s="171"/>
      <c r="J1023" s="171"/>
      <c r="K1023" s="166" t="str">
        <f ca="1">IFERROR(VLOOKUP(C1023,' Disaggregation - Section E '!A$316:N752,3,0),"")</f>
        <v/>
      </c>
      <c r="L1023" s="171"/>
      <c r="M1023" s="166"/>
      <c r="N1023" s="171"/>
      <c r="O1023" s="171"/>
    </row>
    <row r="1024" spans="1:15">
      <c r="A1024" s="166" t="b">
        <v>0</v>
      </c>
      <c r="B1024" s="166"/>
      <c r="C1024" s="413" t="s">
        <v>3740</v>
      </c>
      <c r="D1024" s="177">
        <v>14</v>
      </c>
      <c r="E1024" s="168"/>
      <c r="F1024" s="166"/>
      <c r="G1024" s="170"/>
      <c r="H1024" s="177"/>
      <c r="I1024" s="171"/>
      <c r="J1024" s="171"/>
      <c r="K1024" s="166" t="str">
        <f ca="1">IFERROR(VLOOKUP(C1024,' Disaggregation - Section E '!A$316:N753,3,0),"")</f>
        <v/>
      </c>
      <c r="L1024" s="171"/>
      <c r="M1024" s="166"/>
      <c r="N1024" s="171"/>
      <c r="O1024" s="171"/>
    </row>
    <row r="1025" spans="1:15">
      <c r="A1025" s="166" t="b">
        <v>0</v>
      </c>
      <c r="B1025" s="166"/>
      <c r="C1025" s="413" t="s">
        <v>3741</v>
      </c>
      <c r="D1025" s="177">
        <v>14</v>
      </c>
      <c r="E1025" s="168"/>
      <c r="F1025" s="166"/>
      <c r="G1025" s="170"/>
      <c r="H1025" s="177"/>
      <c r="I1025" s="171"/>
      <c r="J1025" s="171"/>
      <c r="K1025" s="166" t="str">
        <f ca="1">IFERROR(VLOOKUP(C1025,' Disaggregation - Section E '!A$316:N754,3,0),"")</f>
        <v/>
      </c>
      <c r="L1025" s="171"/>
      <c r="M1025" s="166"/>
      <c r="N1025" s="171"/>
      <c r="O1025" s="171"/>
    </row>
    <row r="1026" spans="1:15">
      <c r="A1026" s="166" t="b">
        <v>0</v>
      </c>
      <c r="B1026" s="166"/>
      <c r="C1026" s="413" t="s">
        <v>3742</v>
      </c>
      <c r="D1026" s="177">
        <v>14</v>
      </c>
      <c r="E1026" s="168"/>
      <c r="F1026" s="166"/>
      <c r="G1026" s="170"/>
      <c r="H1026" s="177"/>
      <c r="I1026" s="171"/>
      <c r="J1026" s="171"/>
      <c r="K1026" s="166" t="str">
        <f ca="1">IFERROR(VLOOKUP(C1026,' Disaggregation - Section E '!A$316:N755,3,0),"")</f>
        <v/>
      </c>
      <c r="L1026" s="171"/>
      <c r="M1026" s="166"/>
      <c r="N1026" s="171"/>
      <c r="O1026" s="171"/>
    </row>
    <row r="1027" spans="1:15">
      <c r="A1027" s="166" t="b">
        <v>0</v>
      </c>
      <c r="B1027" s="166"/>
      <c r="C1027" s="413" t="s">
        <v>3743</v>
      </c>
      <c r="D1027" s="177">
        <v>15</v>
      </c>
      <c r="E1027" s="168"/>
      <c r="F1027" s="166"/>
      <c r="G1027" s="170"/>
      <c r="H1027" s="177"/>
      <c r="I1027" s="171"/>
      <c r="J1027" s="171"/>
      <c r="K1027" s="166" t="str">
        <f ca="1">IFERROR(VLOOKUP(C1027,' Disaggregation - Section E '!A$316:N756,3,0),"")</f>
        <v/>
      </c>
      <c r="L1027" s="171"/>
      <c r="M1027" s="166"/>
      <c r="N1027" s="171"/>
      <c r="O1027" s="171"/>
    </row>
    <row r="1028" spans="1:15">
      <c r="A1028" s="166" t="b">
        <v>0</v>
      </c>
      <c r="B1028" s="166"/>
      <c r="C1028" s="413" t="s">
        <v>3744</v>
      </c>
      <c r="D1028" s="177">
        <v>15</v>
      </c>
      <c r="E1028" s="168"/>
      <c r="F1028" s="166"/>
      <c r="G1028" s="170"/>
      <c r="H1028" s="177"/>
      <c r="I1028" s="171"/>
      <c r="J1028" s="171"/>
      <c r="K1028" s="166" t="str">
        <f ca="1">IFERROR(VLOOKUP(C1028,' Disaggregation - Section E '!A$316:N757,3,0),"")</f>
        <v/>
      </c>
      <c r="L1028" s="171"/>
      <c r="M1028" s="166"/>
      <c r="N1028" s="171"/>
      <c r="O1028" s="171"/>
    </row>
    <row r="1029" spans="1:15">
      <c r="A1029" s="166" t="b">
        <v>0</v>
      </c>
      <c r="B1029" s="166"/>
      <c r="C1029" s="413" t="s">
        <v>3745</v>
      </c>
      <c r="D1029" s="177">
        <v>15</v>
      </c>
      <c r="E1029" s="168"/>
      <c r="F1029" s="166"/>
      <c r="G1029" s="170"/>
      <c r="H1029" s="177"/>
      <c r="I1029" s="171"/>
      <c r="J1029" s="171"/>
      <c r="K1029" s="166" t="str">
        <f ca="1">IFERROR(VLOOKUP(C1029,' Disaggregation - Section E '!A$316:N758,3,0),"")</f>
        <v/>
      </c>
      <c r="L1029" s="171"/>
      <c r="M1029" s="166"/>
      <c r="N1029" s="171"/>
      <c r="O1029" s="171"/>
    </row>
    <row r="1030" spans="1:15">
      <c r="A1030" s="166" t="b">
        <v>0</v>
      </c>
      <c r="B1030" s="166"/>
      <c r="C1030" s="413" t="s">
        <v>3746</v>
      </c>
      <c r="D1030" s="177">
        <v>15</v>
      </c>
      <c r="E1030" s="168"/>
      <c r="F1030" s="166"/>
      <c r="G1030" s="170"/>
      <c r="H1030" s="177"/>
      <c r="I1030" s="171"/>
      <c r="J1030" s="171"/>
      <c r="K1030" s="166" t="str">
        <f ca="1">IFERROR(VLOOKUP(C1030,' Disaggregation - Section E '!A$316:N759,3,0),"")</f>
        <v/>
      </c>
      <c r="L1030" s="171"/>
      <c r="M1030" s="166"/>
      <c r="N1030" s="171"/>
      <c r="O1030" s="171"/>
    </row>
    <row r="1031" spans="1:15">
      <c r="A1031" s="166" t="b">
        <v>0</v>
      </c>
      <c r="B1031" s="166"/>
      <c r="C1031" s="413" t="s">
        <v>3747</v>
      </c>
      <c r="D1031" s="177">
        <v>15</v>
      </c>
      <c r="E1031" s="168"/>
      <c r="F1031" s="166"/>
      <c r="G1031" s="170"/>
      <c r="H1031" s="177"/>
      <c r="I1031" s="171"/>
      <c r="J1031" s="171"/>
      <c r="K1031" s="166" t="str">
        <f ca="1">IFERROR(VLOOKUP(C1031,' Disaggregation - Section E '!A$316:N760,3,0),"")</f>
        <v/>
      </c>
      <c r="L1031" s="171"/>
      <c r="M1031" s="166"/>
      <c r="N1031" s="171"/>
      <c r="O1031" s="171"/>
    </row>
    <row r="1032" spans="1:15">
      <c r="A1032" s="166" t="b">
        <v>0</v>
      </c>
      <c r="B1032" s="166"/>
      <c r="C1032" s="413" t="s">
        <v>3748</v>
      </c>
      <c r="D1032" s="177">
        <v>15</v>
      </c>
      <c r="E1032" s="168"/>
      <c r="F1032" s="166"/>
      <c r="G1032" s="170"/>
      <c r="H1032" s="177"/>
      <c r="I1032" s="171"/>
      <c r="J1032" s="171"/>
      <c r="K1032" s="166" t="str">
        <f ca="1">IFERROR(VLOOKUP(C1032,' Disaggregation - Section E '!A$316:N761,3,0),"")</f>
        <v/>
      </c>
      <c r="L1032" s="171"/>
      <c r="M1032" s="166"/>
      <c r="N1032" s="171"/>
      <c r="O1032" s="171"/>
    </row>
    <row r="1033" spans="1:15">
      <c r="A1033" s="166" t="b">
        <v>0</v>
      </c>
      <c r="B1033" s="166"/>
      <c r="C1033" s="413" t="s">
        <v>3749</v>
      </c>
      <c r="D1033" s="177">
        <v>15</v>
      </c>
      <c r="E1033" s="168"/>
      <c r="F1033" s="166"/>
      <c r="G1033" s="170"/>
      <c r="H1033" s="177"/>
      <c r="I1033" s="171"/>
      <c r="J1033" s="171"/>
      <c r="K1033" s="166" t="str">
        <f ca="1">IFERROR(VLOOKUP(C1033,' Disaggregation - Section E '!A$316:N762,3,0),"")</f>
        <v/>
      </c>
      <c r="L1033" s="171"/>
      <c r="M1033" s="166"/>
      <c r="N1033" s="171"/>
      <c r="O1033" s="171"/>
    </row>
    <row r="1034" spans="1:15">
      <c r="A1034" s="166" t="b">
        <v>0</v>
      </c>
      <c r="B1034" s="166"/>
      <c r="C1034" s="413" t="s">
        <v>3750</v>
      </c>
      <c r="D1034" s="177">
        <v>15</v>
      </c>
      <c r="E1034" s="168"/>
      <c r="F1034" s="166"/>
      <c r="G1034" s="170"/>
      <c r="H1034" s="177"/>
      <c r="I1034" s="171"/>
      <c r="J1034" s="171"/>
      <c r="K1034" s="166" t="str">
        <f ca="1">IFERROR(VLOOKUP(C1034,' Disaggregation - Section E '!A$316:N763,3,0),"")</f>
        <v/>
      </c>
      <c r="L1034" s="171"/>
      <c r="M1034" s="166"/>
      <c r="N1034" s="171"/>
      <c r="O1034" s="171"/>
    </row>
    <row r="1035" spans="1:15">
      <c r="A1035" s="166" t="b">
        <v>0</v>
      </c>
      <c r="B1035" s="166"/>
      <c r="C1035" s="413" t="s">
        <v>3751</v>
      </c>
      <c r="D1035" s="177">
        <v>15</v>
      </c>
      <c r="E1035" s="168"/>
      <c r="F1035" s="166"/>
      <c r="G1035" s="170"/>
      <c r="H1035" s="177"/>
      <c r="I1035" s="171"/>
      <c r="J1035" s="171"/>
      <c r="K1035" s="166" t="str">
        <f ca="1">IFERROR(VLOOKUP(C1035,' Disaggregation - Section E '!A$316:N764,3,0),"")</f>
        <v/>
      </c>
      <c r="L1035" s="171"/>
      <c r="M1035" s="166"/>
      <c r="N1035" s="171"/>
      <c r="O1035" s="171"/>
    </row>
    <row r="1036" spans="1:15">
      <c r="A1036" s="166" t="b">
        <v>0</v>
      </c>
      <c r="B1036" s="166"/>
      <c r="C1036" s="413" t="s">
        <v>3752</v>
      </c>
      <c r="D1036" s="177">
        <v>15</v>
      </c>
      <c r="E1036" s="168"/>
      <c r="F1036" s="166"/>
      <c r="G1036" s="170"/>
      <c r="H1036" s="177"/>
      <c r="I1036" s="171"/>
      <c r="J1036" s="171"/>
      <c r="K1036" s="166" t="str">
        <f ca="1">IFERROR(VLOOKUP(C1036,' Disaggregation - Section E '!A$316:N765,3,0),"")</f>
        <v/>
      </c>
      <c r="L1036" s="171"/>
      <c r="M1036" s="166"/>
      <c r="N1036" s="171"/>
      <c r="O1036" s="171"/>
    </row>
    <row r="1037" spans="1:15">
      <c r="A1037" s="166" t="b">
        <f t="shared" ref="A1037:A1100" ca="1" si="139">IF(M1037&lt;&gt;"",TRUE,FALSE)</f>
        <v>0</v>
      </c>
      <c r="B1037" s="166"/>
      <c r="C1037" s="172" t="str">
        <f ca="1">IF(COUNTA(D$885:D1037)=1,"",OFFSET(C1037,-COUNTA(D$885:D1037)+1,0))</f>
        <v>a1V3p000006h2vkEAA</v>
      </c>
      <c r="D1037" s="177"/>
      <c r="E1037" s="168">
        <f ca="1">IFERROR(IF(VLOOKUP(C1037,' Disaggregation - Section E '!A$316:N766,7,0)="","",VLOOKUP(C1037,' Disaggregation - Section E '!A$316:N766,7,0)*100),"")</f>
        <v>21.598299954923046</v>
      </c>
      <c r="F1037" s="166"/>
      <c r="G1037" s="170">
        <f ca="1">IFERROR(IF(VLOOKUP(C1037,' Disaggregation - Section E '!A$316:N766,6,0)="","",VLOOKUP(C1037,' Disaggregation - Section E '!A$316:N766,6,0)),"")</f>
        <v>3354</v>
      </c>
      <c r="H1037" s="177">
        <f ca="1">IFERROR(IF(INDEX(' Disaggregation - Section E '!F$313:F766,MATCH(C1037,' Disaggregation - Section E '!A$313:A766,0)+1,1)&lt;&gt;0,INDEX(' Disaggregation - Section E '!F$313:F766,MATCH(C1037,' Disaggregation - Section E '!A$313:A766,0)+1,1),""),"")</f>
        <v>15529</v>
      </c>
      <c r="I1037" s="171">
        <f ca="1">IFERROR(IF(VLOOKUP(C1037,' Disaggregation - Section E '!A$316:N766,8,0)=0,"",VLOOKUP(C1037,' Disaggregation - Section E '!A$316:N766,8,0)),"")</f>
        <v>2021</v>
      </c>
      <c r="J1037" s="171" t="str">
        <f ca="1">IFERROR(IF(VLOOKUP(C1037,' Disaggregation - Section E '!A$316:N766,13,0)=0,"",VLOOKUP(C1037,' Disaggregation - Section E '!A$316:N766,13,0)),"")</f>
        <v/>
      </c>
      <c r="K1037" s="166" t="str">
        <f ca="1">IFERROR(VLOOKUP(C1037,' Disaggregation - Section E '!A$316:N766,3,0),"")</f>
        <v/>
      </c>
      <c r="L1037" s="171" t="str">
        <f ca="1">IFERROR(IF(VLOOKUP(C1037,' Disaggregation - Section E '!A$316:N766,14,0)=0,"",VLOOKUP(C1037,' Disaggregation - Section E '!A$316:N766,14,0)),"")</f>
        <v/>
      </c>
      <c r="M1037" s="166" t="str">
        <f ca="1">IFERROR(IF(VLOOKUP(C1037,' Disaggregation - Section E '!A$316:T766,20,0)=0,"",VLOOKUP(C1037,' Disaggregation - Section E '!A$316:T766,20,0)),"")</f>
        <v/>
      </c>
      <c r="N1037" s="171" t="str">
        <f ca="1">IFERROR(IF(VLOOKUP(C1037,' Disaggregation - Section E '!A$316:N766,9,0)=0,"",VLOOKUP(C1037,' Disaggregation - Section E '!A$316:N766,9,0)),"")</f>
        <v>SIMONE</v>
      </c>
      <c r="O1037" s="171" t="str">
        <f ca="1">IFERROR(IF(VLOOKUP(C1037,' Disaggregation - Section E '!A$315:N766,10,0)=0,"",VLOOKUP(C1037,' Disaggregation - Section E '!A$316:N766,10,0)),"")</f>
        <v/>
      </c>
    </row>
    <row r="1038" spans="1:15">
      <c r="A1038" s="166" t="b">
        <f t="shared" ca="1" si="139"/>
        <v>0</v>
      </c>
      <c r="B1038" s="166"/>
      <c r="C1038" s="172" t="str">
        <f ca="1">IF(COUNTA(D$885:D1038)=1,"",OFFSET(C1038,-COUNTA(D$885:D1038)+1,0))</f>
        <v>a1V3p000006h2vlEAA</v>
      </c>
      <c r="D1038" s="177"/>
      <c r="E1038" s="168">
        <f ca="1">IFERROR(IF(VLOOKUP(C1038,' Disaggregation - Section E '!A$316:N767,7,0)="","",VLOOKUP(C1038,' Disaggregation - Section E '!A$316:N767,7,0)*100),"")</f>
        <v>0</v>
      </c>
      <c r="F1038" s="166"/>
      <c r="G1038" s="170">
        <f ca="1">IFERROR(IF(VLOOKUP(C1038,' Disaggregation - Section E '!A$316:N767,6,0)="","",VLOOKUP(C1038,' Disaggregation - Section E '!A$316:N767,6,0)),"")</f>
        <v>0</v>
      </c>
      <c r="H1038" s="177">
        <f ca="1">IFERROR(IF(INDEX(' Disaggregation - Section E '!F$313:F767,MATCH(C1038,' Disaggregation - Section E '!A$313:A767,0)+1,1)&lt;&gt;0,INDEX(' Disaggregation - Section E '!F$313:F767,MATCH(C1038,' Disaggregation - Section E '!A$313:A767,0)+1,1),""),"")</f>
        <v>15529</v>
      </c>
      <c r="I1038" s="171">
        <f ca="1">IFERROR(IF(VLOOKUP(C1038,' Disaggregation - Section E '!A$316:N767,8,0)=0,"",VLOOKUP(C1038,' Disaggregation - Section E '!A$316:N767,8,0)),"")</f>
        <v>2021</v>
      </c>
      <c r="J1038" s="171" t="str">
        <f ca="1">IFERROR(IF(VLOOKUP(C1038,' Disaggregation - Section E '!A$316:N767,13,0)=0,"",VLOOKUP(C1038,' Disaggregation - Section E '!A$316:N767,13,0)),"")</f>
        <v/>
      </c>
      <c r="K1038" s="166" t="str">
        <f ca="1">IFERROR(VLOOKUP(C1038,' Disaggregation - Section E '!A$316:N767,3,0),"")</f>
        <v/>
      </c>
      <c r="L1038" s="171" t="str">
        <f ca="1">IFERROR(IF(VLOOKUP(C1038,' Disaggregation - Section E '!A$316:N767,14,0)=0,"",VLOOKUP(C1038,' Disaggregation - Section E '!A$316:N767,14,0)),"")</f>
        <v/>
      </c>
      <c r="M1038" s="166" t="str">
        <f ca="1">IFERROR(IF(VLOOKUP(C1038,' Disaggregation - Section E '!A$316:T767,20,0)=0,"",VLOOKUP(C1038,' Disaggregation - Section E '!A$316:T767,20,0)),"")</f>
        <v/>
      </c>
      <c r="N1038" s="171" t="str">
        <f ca="1">IFERROR(IF(VLOOKUP(C1038,' Disaggregation - Section E '!A$316:N767,9,0)=0,"",VLOOKUP(C1038,' Disaggregation - Section E '!A$316:N767,9,0)),"")</f>
        <v>SIMONE</v>
      </c>
      <c r="O1038" s="171" t="str">
        <f ca="1">IFERROR(IF(VLOOKUP(C1038,' Disaggregation - Section E '!A$315:N767,10,0)=0,"",VLOOKUP(C1038,' Disaggregation - Section E '!A$316:N767,10,0)),"")</f>
        <v/>
      </c>
    </row>
    <row r="1039" spans="1:15">
      <c r="A1039" s="166" t="b">
        <f t="shared" ca="1" si="139"/>
        <v>0</v>
      </c>
      <c r="B1039" s="166"/>
      <c r="C1039" s="172" t="str">
        <f ca="1">IF(COUNTA(D$885:D1039)=1,"",OFFSET(C1039,-COUNTA(D$885:D1039)+1,0))</f>
        <v>a1V3p000006h2vmEAA</v>
      </c>
      <c r="D1039" s="177"/>
      <c r="E1039" s="168">
        <f ca="1">IFERROR(IF(VLOOKUP(C1039,' Disaggregation - Section E '!A$316:N768,7,0)="","",VLOOKUP(C1039,' Disaggregation - Section E '!A$316:N768,7,0)*100),"")</f>
        <v>0.90797862064524426</v>
      </c>
      <c r="F1039" s="166"/>
      <c r="G1039" s="170">
        <f ca="1">IFERROR(IF(VLOOKUP(C1039,' Disaggregation - Section E '!A$316:N768,6,0)="","",VLOOKUP(C1039,' Disaggregation - Section E '!A$316:N768,6,0)),"")</f>
        <v>141</v>
      </c>
      <c r="H1039" s="177">
        <f ca="1">IFERROR(IF(INDEX(' Disaggregation - Section E '!F$313:F768,MATCH(C1039,' Disaggregation - Section E '!A$313:A768,0)+1,1)&lt;&gt;0,INDEX(' Disaggregation - Section E '!F$313:F768,MATCH(C1039,' Disaggregation - Section E '!A$313:A768,0)+1,1),""),"")</f>
        <v>15529</v>
      </c>
      <c r="I1039" s="171">
        <f ca="1">IFERROR(IF(VLOOKUP(C1039,' Disaggregation - Section E '!A$316:N768,8,0)=0,"",VLOOKUP(C1039,' Disaggregation - Section E '!A$316:N768,8,0)),"")</f>
        <v>2021</v>
      </c>
      <c r="J1039" s="171" t="str">
        <f ca="1">IFERROR(IF(VLOOKUP(C1039,' Disaggregation - Section E '!A$316:N768,13,0)=0,"",VLOOKUP(C1039,' Disaggregation - Section E '!A$316:N768,13,0)),"")</f>
        <v/>
      </c>
      <c r="K1039" s="166" t="str">
        <f ca="1">IFERROR(VLOOKUP(C1039,' Disaggregation - Section E '!A$316:N768,3,0),"")</f>
        <v/>
      </c>
      <c r="L1039" s="171" t="str">
        <f ca="1">IFERROR(IF(VLOOKUP(C1039,' Disaggregation - Section E '!A$316:N768,14,0)=0,"",VLOOKUP(C1039,' Disaggregation - Section E '!A$316:N768,14,0)),"")</f>
        <v/>
      </c>
      <c r="M1039" s="166" t="str">
        <f ca="1">IFERROR(IF(VLOOKUP(C1039,' Disaggregation - Section E '!A$316:T768,20,0)=0,"",VLOOKUP(C1039,' Disaggregation - Section E '!A$316:T768,20,0)),"")</f>
        <v/>
      </c>
      <c r="N1039" s="171" t="str">
        <f ca="1">IFERROR(IF(VLOOKUP(C1039,' Disaggregation - Section E '!A$316:N768,9,0)=0,"",VLOOKUP(C1039,' Disaggregation - Section E '!A$316:N768,9,0)),"")</f>
        <v>SIMONE</v>
      </c>
      <c r="O1039" s="171" t="str">
        <f ca="1">IFERROR(IF(VLOOKUP(C1039,' Disaggregation - Section E '!A$315:N768,10,0)=0,"",VLOOKUP(C1039,' Disaggregation - Section E '!A$316:N768,10,0)),"")</f>
        <v/>
      </c>
    </row>
    <row r="1040" spans="1:15">
      <c r="A1040" s="166" t="b">
        <f t="shared" ca="1" si="139"/>
        <v>0</v>
      </c>
      <c r="B1040" s="166"/>
      <c r="C1040" s="172" t="str">
        <f ca="1">IF(COUNTA(D$885:D1040)=1,"",OFFSET(C1040,-COUNTA(D$885:D1040)+1,0))</f>
        <v>a1V3p000006h2vnEAA</v>
      </c>
      <c r="D1040" s="177"/>
      <c r="E1040" s="168">
        <f ca="1">IFERROR(IF(VLOOKUP(C1040,' Disaggregation - Section E '!A$316:N769,7,0)="","",VLOOKUP(C1040,' Disaggregation - Section E '!A$316:N769,7,0)*100),"")</f>
        <v>30.392156862745097</v>
      </c>
      <c r="F1040" s="166"/>
      <c r="G1040" s="170">
        <f ca="1">IFERROR(IF(VLOOKUP(C1040,' Disaggregation - Section E '!A$316:N769,6,0)="","",VLOOKUP(C1040,' Disaggregation - Section E '!A$316:N769,6,0)),"")</f>
        <v>31</v>
      </c>
      <c r="H1040" s="177">
        <f ca="1">IFERROR(IF(INDEX(' Disaggregation - Section E '!F$313:F769,MATCH(C1040,' Disaggregation - Section E '!A$313:A769,0)+1,1)&lt;&gt;0,INDEX(' Disaggregation - Section E '!F$313:F769,MATCH(C1040,' Disaggregation - Section E '!A$313:A769,0)+1,1),""),"")</f>
        <v>102</v>
      </c>
      <c r="I1040" s="171">
        <f ca="1">IFERROR(IF(VLOOKUP(C1040,' Disaggregation - Section E '!A$316:N769,8,0)=0,"",VLOOKUP(C1040,' Disaggregation - Section E '!A$316:N769,8,0)),"")</f>
        <v>2021</v>
      </c>
      <c r="J1040" s="171" t="str">
        <f ca="1">IFERROR(IF(VLOOKUP(C1040,' Disaggregation - Section E '!A$316:N769,13,0)=0,"",VLOOKUP(C1040,' Disaggregation - Section E '!A$316:N769,13,0)),"")</f>
        <v/>
      </c>
      <c r="K1040" s="166" t="str">
        <f ca="1">IFERROR(VLOOKUP(C1040,' Disaggregation - Section E '!A$316:N769,3,0),"")</f>
        <v/>
      </c>
      <c r="L1040" s="171" t="str">
        <f ca="1">IFERROR(IF(VLOOKUP(C1040,' Disaggregation - Section E '!A$316:N769,14,0)=0,"",VLOOKUP(C1040,' Disaggregation - Section E '!A$316:N769,14,0)),"")</f>
        <v/>
      </c>
      <c r="M1040" s="166" t="str">
        <f ca="1">IFERROR(IF(VLOOKUP(C1040,' Disaggregation - Section E '!A$316:T769,20,0)=0,"",VLOOKUP(C1040,' Disaggregation - Section E '!A$316:T769,20,0)),"")</f>
        <v/>
      </c>
      <c r="N1040" s="171" t="str">
        <f ca="1">IFERROR(IF(VLOOKUP(C1040,' Disaggregation - Section E '!A$316:N769,9,0)=0,"",VLOOKUP(C1040,' Disaggregation - Section E '!A$316:N769,9,0)),"")</f>
        <v>SIMONE</v>
      </c>
      <c r="O1040" s="171" t="str">
        <f ca="1">IFERROR(IF(VLOOKUP(C1040,' Disaggregation - Section E '!A$315:N769,10,0)=0,"",VLOOKUP(C1040,' Disaggregation - Section E '!A$316:N769,10,0)),"")</f>
        <v/>
      </c>
    </row>
    <row r="1041" spans="1:15">
      <c r="A1041" s="166" t="b">
        <f t="shared" ca="1" si="139"/>
        <v>0</v>
      </c>
      <c r="B1041" s="166"/>
      <c r="C1041" s="172" t="str">
        <f ca="1">IF(COUNTA(D$885:D1041)=1,"",OFFSET(C1041,-COUNTA(D$885:D1041)+1,0))</f>
        <v>a1V3p000006h2voEAA</v>
      </c>
      <c r="D1041" s="177"/>
      <c r="E1041" s="168">
        <f ca="1">IFERROR(IF(VLOOKUP(C1041,' Disaggregation - Section E '!A$316:N770,7,0)="","",VLOOKUP(C1041,' Disaggregation - Section E '!A$316:N770,7,0)*100),"")</f>
        <v>24.743393754094782</v>
      </c>
      <c r="F1041" s="166"/>
      <c r="G1041" s="170">
        <f ca="1">IFERROR(IF(VLOOKUP(C1041,' Disaggregation - Section E '!A$316:N770,6,0)="","",VLOOKUP(C1041,' Disaggregation - Section E '!A$316:N770,6,0)),"")</f>
        <v>1133</v>
      </c>
      <c r="H1041" s="177">
        <f ca="1">IFERROR(IF(INDEX(' Disaggregation - Section E '!F$313:F770,MATCH(C1041,' Disaggregation - Section E '!A$313:A770,0)+1,1)&lt;&gt;0,INDEX(' Disaggregation - Section E '!F$313:F770,MATCH(C1041,' Disaggregation - Section E '!A$313:A770,0)+1,1),""),"")</f>
        <v>4579</v>
      </c>
      <c r="I1041" s="171">
        <f ca="1">IFERROR(IF(VLOOKUP(C1041,' Disaggregation - Section E '!A$316:N770,8,0)=0,"",VLOOKUP(C1041,' Disaggregation - Section E '!A$316:N770,8,0)),"")</f>
        <v>2021</v>
      </c>
      <c r="J1041" s="171" t="str">
        <f ca="1">IFERROR(IF(VLOOKUP(C1041,' Disaggregation - Section E '!A$316:N770,13,0)=0,"",VLOOKUP(C1041,' Disaggregation - Section E '!A$316:N770,13,0)),"")</f>
        <v/>
      </c>
      <c r="K1041" s="166" t="str">
        <f ca="1">IFERROR(VLOOKUP(C1041,' Disaggregation - Section E '!A$316:N770,3,0),"")</f>
        <v/>
      </c>
      <c r="L1041" s="171" t="str">
        <f ca="1">IFERROR(IF(VLOOKUP(C1041,' Disaggregation - Section E '!A$316:N770,14,0)=0,"",VLOOKUP(C1041,' Disaggregation - Section E '!A$316:N770,14,0)),"")</f>
        <v/>
      </c>
      <c r="M1041" s="166" t="str">
        <f ca="1">IFERROR(IF(VLOOKUP(C1041,' Disaggregation - Section E '!A$316:T770,20,0)=0,"",VLOOKUP(C1041,' Disaggregation - Section E '!A$316:T770,20,0)),"")</f>
        <v/>
      </c>
      <c r="N1041" s="171" t="str">
        <f ca="1">IFERROR(IF(VLOOKUP(C1041,' Disaggregation - Section E '!A$316:N770,9,0)=0,"",VLOOKUP(C1041,' Disaggregation - Section E '!A$316:N770,9,0)),"")</f>
        <v>SIMONE</v>
      </c>
      <c r="O1041" s="171" t="str">
        <f ca="1">IFERROR(IF(VLOOKUP(C1041,' Disaggregation - Section E '!A$315:N770,10,0)=0,"",VLOOKUP(C1041,' Disaggregation - Section E '!A$316:N770,10,0)),"")</f>
        <v/>
      </c>
    </row>
    <row r="1042" spans="1:15">
      <c r="A1042" s="166" t="b">
        <f t="shared" ca="1" si="139"/>
        <v>0</v>
      </c>
      <c r="B1042" s="166"/>
      <c r="C1042" s="172" t="str">
        <f ca="1">IF(COUNTA(D$885:D1042)=1,"",OFFSET(C1042,-COUNTA(D$885:D1042)+1,0))</f>
        <v>a1V3p000006h2vpEAA</v>
      </c>
      <c r="D1042" s="177"/>
      <c r="E1042" s="168">
        <f ca="1">IFERROR(IF(VLOOKUP(C1042,' Disaggregation - Section E '!A$316:N771,7,0)="","",VLOOKUP(C1042,' Disaggregation - Section E '!A$316:N771,7,0)*100),"")</f>
        <v>21.48783185840708</v>
      </c>
      <c r="F1042" s="166"/>
      <c r="G1042" s="170">
        <f ca="1">IFERROR(IF(VLOOKUP(C1042,' Disaggregation - Section E '!A$316:N771,6,0)="","",VLOOKUP(C1042,' Disaggregation - Section E '!A$316:N771,6,0)),"")</f>
        <v>2331</v>
      </c>
      <c r="H1042" s="177">
        <f ca="1">IFERROR(IF(INDEX(' Disaggregation - Section E '!F$313:F771,MATCH(C1042,' Disaggregation - Section E '!A$313:A771,0)+1,1)&lt;&gt;0,INDEX(' Disaggregation - Section E '!F$313:F771,MATCH(C1042,' Disaggregation - Section E '!A$313:A771,0)+1,1),""),"")</f>
        <v>10848</v>
      </c>
      <c r="I1042" s="171">
        <f ca="1">IFERROR(IF(VLOOKUP(C1042,' Disaggregation - Section E '!A$316:N771,8,0)=0,"",VLOOKUP(C1042,' Disaggregation - Section E '!A$316:N771,8,0)),"")</f>
        <v>2021</v>
      </c>
      <c r="J1042" s="171" t="str">
        <f ca="1">IFERROR(IF(VLOOKUP(C1042,' Disaggregation - Section E '!A$316:N771,13,0)=0,"",VLOOKUP(C1042,' Disaggregation - Section E '!A$316:N771,13,0)),"")</f>
        <v/>
      </c>
      <c r="K1042" s="166" t="str">
        <f ca="1">IFERROR(VLOOKUP(C1042,' Disaggregation - Section E '!A$316:N771,3,0),"")</f>
        <v/>
      </c>
      <c r="L1042" s="171" t="str">
        <f ca="1">IFERROR(IF(VLOOKUP(C1042,' Disaggregation - Section E '!A$316:N771,14,0)=0,"",VLOOKUP(C1042,' Disaggregation - Section E '!A$316:N771,14,0)),"")</f>
        <v/>
      </c>
      <c r="M1042" s="166" t="str">
        <f ca="1">IFERROR(IF(VLOOKUP(C1042,' Disaggregation - Section E '!A$316:T771,20,0)=0,"",VLOOKUP(C1042,' Disaggregation - Section E '!A$316:T771,20,0)),"")</f>
        <v/>
      </c>
      <c r="N1042" s="171" t="str">
        <f ca="1">IFERROR(IF(VLOOKUP(C1042,' Disaggregation - Section E '!A$316:N771,9,0)=0,"",VLOOKUP(C1042,' Disaggregation - Section E '!A$316:N771,9,0)),"")</f>
        <v>SIMONE</v>
      </c>
      <c r="O1042" s="171" t="str">
        <f ca="1">IFERROR(IF(VLOOKUP(C1042,' Disaggregation - Section E '!A$315:N771,10,0)=0,"",VLOOKUP(C1042,' Disaggregation - Section E '!A$316:N771,10,0)),"")</f>
        <v/>
      </c>
    </row>
    <row r="1043" spans="1:15">
      <c r="A1043" s="166" t="b">
        <f t="shared" ca="1" si="139"/>
        <v>0</v>
      </c>
      <c r="B1043" s="166"/>
      <c r="C1043" s="172" t="str">
        <f ca="1">IF(COUNTA(D$885:D1043)=1,"",OFFSET(C1043,-COUNTA(D$885:D1043)+1,0))</f>
        <v>a1V3p000006h2vqEAA</v>
      </c>
      <c r="D1043" s="177"/>
      <c r="E1043" s="168">
        <f ca="1">IFERROR(IF(VLOOKUP(C1043,' Disaggregation - Section E '!A$316:N772,7,0)="","",VLOOKUP(C1043,' Disaggregation - Section E '!A$316:N772,7,0)*100),"")</f>
        <v>22.589115735574083</v>
      </c>
      <c r="F1043" s="166"/>
      <c r="G1043" s="170">
        <f ca="1">IFERROR(IF(VLOOKUP(C1043,' Disaggregation - Section E '!A$316:N772,6,0)="","",VLOOKUP(C1043,' Disaggregation - Section E '!A$316:N772,6,0)),"")</f>
        <v>3441</v>
      </c>
      <c r="H1043" s="177">
        <f ca="1">IFERROR(IF(INDEX(' Disaggregation - Section E '!F$313:F772,MATCH(C1043,' Disaggregation - Section E '!A$313:A772,0)+1,1)&lt;&gt;0,INDEX(' Disaggregation - Section E '!F$313:F772,MATCH(C1043,' Disaggregation - Section E '!A$313:A772,0)+1,1),""),"")</f>
        <v>15233</v>
      </c>
      <c r="I1043" s="171">
        <f ca="1">IFERROR(IF(VLOOKUP(C1043,' Disaggregation - Section E '!A$316:N772,8,0)=0,"",VLOOKUP(C1043,' Disaggregation - Section E '!A$316:N772,8,0)),"")</f>
        <v>2021</v>
      </c>
      <c r="J1043" s="171" t="str">
        <f ca="1">IFERROR(IF(VLOOKUP(C1043,' Disaggregation - Section E '!A$316:N772,13,0)=0,"",VLOOKUP(C1043,' Disaggregation - Section E '!A$316:N772,13,0)),"")</f>
        <v/>
      </c>
      <c r="K1043" s="166" t="str">
        <f ca="1">IFERROR(VLOOKUP(C1043,' Disaggregation - Section E '!A$316:N772,3,0),"")</f>
        <v/>
      </c>
      <c r="L1043" s="171" t="str">
        <f ca="1">IFERROR(IF(VLOOKUP(C1043,' Disaggregation - Section E '!A$316:N772,14,0)=0,"",VLOOKUP(C1043,' Disaggregation - Section E '!A$316:N772,14,0)),"")</f>
        <v/>
      </c>
      <c r="M1043" s="166" t="str">
        <f ca="1">IFERROR(IF(VLOOKUP(C1043,' Disaggregation - Section E '!A$316:T772,20,0)=0,"",VLOOKUP(C1043,' Disaggregation - Section E '!A$316:T772,20,0)),"")</f>
        <v/>
      </c>
      <c r="N1043" s="171" t="str">
        <f ca="1">IFERROR(IF(VLOOKUP(C1043,' Disaggregation - Section E '!A$316:N772,9,0)=0,"",VLOOKUP(C1043,' Disaggregation - Section E '!A$316:N772,9,0)),"")</f>
        <v>SIMONE</v>
      </c>
      <c r="O1043" s="171" t="str">
        <f ca="1">IFERROR(IF(VLOOKUP(C1043,' Disaggregation - Section E '!A$315:N772,10,0)=0,"",VLOOKUP(C1043,' Disaggregation - Section E '!A$316:N772,10,0)),"")</f>
        <v/>
      </c>
    </row>
    <row r="1044" spans="1:15">
      <c r="A1044" s="166" t="b">
        <f t="shared" ca="1" si="139"/>
        <v>0</v>
      </c>
      <c r="B1044" s="166"/>
      <c r="C1044" s="172" t="str">
        <f ca="1">IF(COUNTA(D$885:D1044)=1,"",OFFSET(C1044,-COUNTA(D$885:D1044)+1,0))</f>
        <v>a1V3p000006h2vrEAA</v>
      </c>
      <c r="D1044" s="177"/>
      <c r="E1044" s="168">
        <f ca="1">IFERROR(IF(VLOOKUP(C1044,' Disaggregation - Section E '!A$316:N773,7,0)="","",VLOOKUP(C1044,' Disaggregation - Section E '!A$316:N773,7,0)*100),"")</f>
        <v>18.243243243243242</v>
      </c>
      <c r="F1044" s="166"/>
      <c r="G1044" s="170">
        <f ca="1">IFERROR(IF(VLOOKUP(C1044,' Disaggregation - Section E '!A$316:N773,6,0)="","",VLOOKUP(C1044,' Disaggregation - Section E '!A$316:N773,6,0)),"")</f>
        <v>54</v>
      </c>
      <c r="H1044" s="177">
        <f ca="1">IFERROR(IF(INDEX(' Disaggregation - Section E '!F$313:F773,MATCH(C1044,' Disaggregation - Section E '!A$313:A773,0)+1,1)&lt;&gt;0,INDEX(' Disaggregation - Section E '!F$313:F773,MATCH(C1044,' Disaggregation - Section E '!A$313:A773,0)+1,1),""),"")</f>
        <v>296</v>
      </c>
      <c r="I1044" s="171">
        <f ca="1">IFERROR(IF(VLOOKUP(C1044,' Disaggregation - Section E '!A$316:N773,8,0)=0,"",VLOOKUP(C1044,' Disaggregation - Section E '!A$316:N773,8,0)),"")</f>
        <v>2021</v>
      </c>
      <c r="J1044" s="171" t="str">
        <f ca="1">IFERROR(IF(VLOOKUP(C1044,' Disaggregation - Section E '!A$316:N773,13,0)=0,"",VLOOKUP(C1044,' Disaggregation - Section E '!A$316:N773,13,0)),"")</f>
        <v/>
      </c>
      <c r="K1044" s="166" t="str">
        <f ca="1">IFERROR(VLOOKUP(C1044,' Disaggregation - Section E '!A$316:N773,3,0),"")</f>
        <v/>
      </c>
      <c r="L1044" s="171" t="str">
        <f ca="1">IFERROR(IF(VLOOKUP(C1044,' Disaggregation - Section E '!A$316:N773,14,0)=0,"",VLOOKUP(C1044,' Disaggregation - Section E '!A$316:N773,14,0)),"")</f>
        <v/>
      </c>
      <c r="M1044" s="166" t="str">
        <f ca="1">IFERROR(IF(VLOOKUP(C1044,' Disaggregation - Section E '!A$316:T773,20,0)=0,"",VLOOKUP(C1044,' Disaggregation - Section E '!A$316:T773,20,0)),"")</f>
        <v/>
      </c>
      <c r="N1044" s="171" t="str">
        <f ca="1">IFERROR(IF(VLOOKUP(C1044,' Disaggregation - Section E '!A$316:N773,9,0)=0,"",VLOOKUP(C1044,' Disaggregation - Section E '!A$316:N773,9,0)),"")</f>
        <v>SIMONE</v>
      </c>
      <c r="O1044" s="171" t="str">
        <f ca="1">IFERROR(IF(VLOOKUP(C1044,' Disaggregation - Section E '!A$315:N773,10,0)=0,"",VLOOKUP(C1044,' Disaggregation - Section E '!A$316:N773,10,0)),"")</f>
        <v/>
      </c>
    </row>
    <row r="1045" spans="1:15">
      <c r="A1045" s="166" t="b">
        <f t="shared" ca="1" si="139"/>
        <v>0</v>
      </c>
      <c r="B1045" s="166"/>
      <c r="C1045" s="172" t="str">
        <f ca="1">IF(COUNTA(D$885:D1045)=1,"",OFFSET(C1045,-COUNTA(D$885:D1045)+1,0))</f>
        <v>a1V3p000006h2vsEAA</v>
      </c>
      <c r="D1045" s="177"/>
      <c r="E1045" s="168" t="str">
        <f ca="1">IFERROR(IF(VLOOKUP(C1045,' Disaggregation - Section E '!A$316:N774,7,0)="","",VLOOKUP(C1045,' Disaggregation - Section E '!A$316:N774,7,0)*100),"")</f>
        <v/>
      </c>
      <c r="F1045" s="166"/>
      <c r="G1045" s="170" t="str">
        <f ca="1">IFERROR(IF(VLOOKUP(C1045,' Disaggregation - Section E '!A$316:N774,6,0)="","",VLOOKUP(C1045,' Disaggregation - Section E '!A$316:N774,6,0)),"")</f>
        <v/>
      </c>
      <c r="H1045" s="177" t="str">
        <f ca="1">IFERROR(IF(INDEX(' Disaggregation - Section E '!F$313:F774,MATCH(C1045,' Disaggregation - Section E '!A$313:A774,0)+1,1)&lt;&gt;0,INDEX(' Disaggregation - Section E '!F$313:F774,MATCH(C1045,' Disaggregation - Section E '!A$313:A774,0)+1,1),""),"")</f>
        <v/>
      </c>
      <c r="I1045" s="171" t="str">
        <f ca="1">IFERROR(IF(VLOOKUP(C1045,' Disaggregation - Section E '!A$316:N774,8,0)=0,"",VLOOKUP(C1045,' Disaggregation - Section E '!A$316:N774,8,0)),"")</f>
        <v/>
      </c>
      <c r="J1045" s="171" t="str">
        <f ca="1">IFERROR(IF(VLOOKUP(C1045,' Disaggregation - Section E '!A$316:N774,13,0)=0,"",VLOOKUP(C1045,' Disaggregation - Section E '!A$316:N774,13,0)),"")</f>
        <v/>
      </c>
      <c r="K1045" s="166" t="str">
        <f ca="1">IFERROR(VLOOKUP(C1045,' Disaggregation - Section E '!A$316:N774,3,0),"")</f>
        <v/>
      </c>
      <c r="L1045" s="171" t="str">
        <f ca="1">IFERROR(IF(VLOOKUP(C1045,' Disaggregation - Section E '!A$316:N774,14,0)=0,"",VLOOKUP(C1045,' Disaggregation - Section E '!A$316:N774,14,0)),"")</f>
        <v/>
      </c>
      <c r="M1045" s="166" t="str">
        <f ca="1">IFERROR(IF(VLOOKUP(C1045,' Disaggregation - Section E '!A$316:T774,20,0)=0,"",VLOOKUP(C1045,' Disaggregation - Section E '!A$316:T774,20,0)),"")</f>
        <v/>
      </c>
      <c r="N1045" s="171" t="str">
        <f ca="1">IFERROR(IF(VLOOKUP(C1045,' Disaggregation - Section E '!A$316:N774,9,0)=0,"",VLOOKUP(C1045,' Disaggregation - Section E '!A$316:N774,9,0)),"")</f>
        <v/>
      </c>
      <c r="O1045" s="171" t="str">
        <f ca="1">IFERROR(IF(VLOOKUP(C1045,' Disaggregation - Section E '!A$315:N774,10,0)=0,"",VLOOKUP(C1045,' Disaggregation - Section E '!A$316:N774,10,0)),"")</f>
        <v/>
      </c>
    </row>
    <row r="1046" spans="1:15">
      <c r="A1046" s="166" t="b">
        <f t="shared" ca="1" si="139"/>
        <v>0</v>
      </c>
      <c r="B1046" s="166"/>
      <c r="C1046" s="172" t="str">
        <f ca="1">IF(COUNTA(D$885:D1046)=1,"",OFFSET(C1046,-COUNTA(D$885:D1046)+1,0))</f>
        <v>a1V3p000006h2vtEAA</v>
      </c>
      <c r="D1046" s="177"/>
      <c r="E1046" s="168" t="str">
        <f ca="1">IFERROR(IF(VLOOKUP(C1046,' Disaggregation - Section E '!A$316:N775,7,0)="","",VLOOKUP(C1046,' Disaggregation - Section E '!A$316:N775,7,0)*100),"")</f>
        <v/>
      </c>
      <c r="F1046" s="166"/>
      <c r="G1046" s="170" t="str">
        <f ca="1">IFERROR(IF(VLOOKUP(C1046,' Disaggregation - Section E '!A$316:N775,6,0)="","",VLOOKUP(C1046,' Disaggregation - Section E '!A$316:N775,6,0)),"")</f>
        <v/>
      </c>
      <c r="H1046" s="177" t="str">
        <f ca="1">IFERROR(IF(INDEX(' Disaggregation - Section E '!F$313:F775,MATCH(C1046,' Disaggregation - Section E '!A$313:A775,0)+1,1)&lt;&gt;0,INDEX(' Disaggregation - Section E '!F$313:F775,MATCH(C1046,' Disaggregation - Section E '!A$313:A775,0)+1,1),""),"")</f>
        <v/>
      </c>
      <c r="I1046" s="171" t="str">
        <f ca="1">IFERROR(IF(VLOOKUP(C1046,' Disaggregation - Section E '!A$316:N775,8,0)=0,"",VLOOKUP(C1046,' Disaggregation - Section E '!A$316:N775,8,0)),"")</f>
        <v/>
      </c>
      <c r="J1046" s="171" t="str">
        <f ca="1">IFERROR(IF(VLOOKUP(C1046,' Disaggregation - Section E '!A$316:N775,13,0)=0,"",VLOOKUP(C1046,' Disaggregation - Section E '!A$316:N775,13,0)),"")</f>
        <v/>
      </c>
      <c r="K1046" s="166" t="str">
        <f ca="1">IFERROR(VLOOKUP(C1046,' Disaggregation - Section E '!A$316:N775,3,0),"")</f>
        <v/>
      </c>
      <c r="L1046" s="171" t="str">
        <f ca="1">IFERROR(IF(VLOOKUP(C1046,' Disaggregation - Section E '!A$316:N775,14,0)=0,"",VLOOKUP(C1046,' Disaggregation - Section E '!A$316:N775,14,0)),"")</f>
        <v/>
      </c>
      <c r="M1046" s="166" t="str">
        <f ca="1">IFERROR(IF(VLOOKUP(C1046,' Disaggregation - Section E '!A$316:T775,20,0)=0,"",VLOOKUP(C1046,' Disaggregation - Section E '!A$316:T775,20,0)),"")</f>
        <v/>
      </c>
      <c r="N1046" s="171" t="str">
        <f ca="1">IFERROR(IF(VLOOKUP(C1046,' Disaggregation - Section E '!A$316:N775,9,0)=0,"",VLOOKUP(C1046,' Disaggregation - Section E '!A$316:N775,9,0)),"")</f>
        <v/>
      </c>
      <c r="O1046" s="171" t="str">
        <f ca="1">IFERROR(IF(VLOOKUP(C1046,' Disaggregation - Section E '!A$315:N775,10,0)=0,"",VLOOKUP(C1046,' Disaggregation - Section E '!A$316:N775,10,0)),"")</f>
        <v/>
      </c>
    </row>
    <row r="1047" spans="1:15">
      <c r="A1047" s="166" t="b">
        <f t="shared" ca="1" si="139"/>
        <v>1</v>
      </c>
      <c r="B1047" s="166"/>
      <c r="C1047" s="172" t="str">
        <f ca="1">IF(COUNTA(D$885:D1047)=1,"",OFFSET(C1047,-COUNTA(D$885:D1047)+1,0))</f>
        <v>a1V3p000006h2vuEAA</v>
      </c>
      <c r="D1047" s="177"/>
      <c r="E1047" s="168">
        <f ca="1">IFERROR(IF(VLOOKUP(C1047,' Disaggregation - Section E '!A$316:N776,7,0)="","",VLOOKUP(C1047,' Disaggregation - Section E '!A$316:N776,7,0)*100),"")</f>
        <v>77.747252747252745</v>
      </c>
      <c r="F1047" s="166"/>
      <c r="G1047" s="170">
        <f ca="1">IFERROR(IF(VLOOKUP(C1047,' Disaggregation - Section E '!A$316:N776,6,0)="","",VLOOKUP(C1047,' Disaggregation - Section E '!A$316:N776,6,0)),"")</f>
        <v>566</v>
      </c>
      <c r="H1047" s="177">
        <f ca="1">IFERROR(IF(INDEX(' Disaggregation - Section E '!F$313:F776,MATCH(C1047,' Disaggregation - Section E '!A$313:A776,0)+1,1)&lt;&gt;0,INDEX(' Disaggregation - Section E '!F$313:F776,MATCH(C1047,' Disaggregation - Section E '!A$313:A776,0)+1,1),""),"")</f>
        <v>728</v>
      </c>
      <c r="I1047" s="171">
        <f ca="1">IFERROR(IF(VLOOKUP(C1047,' Disaggregation - Section E '!A$316:N776,8,0)=0,"",VLOOKUP(C1047,' Disaggregation - Section E '!A$316:N776,8,0)),"")</f>
        <v>2021</v>
      </c>
      <c r="J1047" s="171" t="str">
        <f ca="1">IFERROR(IF(VLOOKUP(C1047,' Disaggregation - Section E '!A$316:N776,13,0)=0,"",VLOOKUP(C1047,' Disaggregation - Section E '!A$316:N776,13,0)),"")</f>
        <v/>
      </c>
      <c r="K1047" s="166" t="str">
        <f ca="1">IFERROR(VLOOKUP(C1047,' Disaggregation - Section E '!A$316:N776,3,0),"")</f>
        <v>HIV O-4a⁽ᴹ⁾ Porcentaje de hombres que afirman haber utilizado preservativo en su última relación de sexo anal con una pareja masculina no regular</v>
      </c>
      <c r="L1047" s="171" t="str">
        <f ca="1">IFERROR(IF(VLOOKUP(C1047,' Disaggregation - Section E '!A$316:N776,14,0)=0,"",VLOOKUP(C1047,' Disaggregation - Section E '!A$316:N776,14,0)),"")</f>
        <v/>
      </c>
      <c r="M1047" s="166" t="str">
        <f ca="1">IFERROR(IF(VLOOKUP(C1047,' Disaggregation - Section E '!A$316:T776,20,0)=0,"",VLOOKUP(C1047,' Disaggregation - Section E '!A$316:T776,20,0)),"")</f>
        <v>IDR-00671</v>
      </c>
      <c r="N1047" s="171" t="str">
        <f ca="1">IFERROR(IF(VLOOKUP(C1047,' Disaggregation - Section E '!A$316:N776,9,0)=0,"",VLOOKUP(C1047,' Disaggregation - Section E '!A$316:N776,9,0)),"")</f>
        <v>Estudio Bioconductual en  Hombres que tienen sexo con hombres</v>
      </c>
      <c r="O1047" s="171" t="str">
        <f ca="1">IFERROR(IF(VLOOKUP(C1047,' Disaggregation - Section E '!A$315:N776,10,0)=0,"",VLOOKUP(C1047,' Disaggregation - Section E '!A$316:N776,10,0)),"")</f>
        <v/>
      </c>
    </row>
    <row r="1048" spans="1:15">
      <c r="A1048" s="166" t="b">
        <f t="shared" ca="1" si="139"/>
        <v>1</v>
      </c>
      <c r="B1048" s="166"/>
      <c r="C1048" s="172" t="str">
        <f ca="1">IF(COUNTA(D$885:D1048)=1,"",OFFSET(C1048,-COUNTA(D$885:D1048)+1,0))</f>
        <v>a1V3p000006h2vvEAA</v>
      </c>
      <c r="D1048" s="177"/>
      <c r="E1048" s="168">
        <f ca="1">IFERROR(IF(VLOOKUP(C1048,' Disaggregation - Section E '!A$316:N777,7,0)="","",VLOOKUP(C1048,' Disaggregation - Section E '!A$316:N777,7,0)*100),"")</f>
        <v>71.618625277161868</v>
      </c>
      <c r="F1048" s="166"/>
      <c r="G1048" s="170">
        <f ca="1">IFERROR(IF(VLOOKUP(C1048,' Disaggregation - Section E '!A$316:N777,6,0)="","",VLOOKUP(C1048,' Disaggregation - Section E '!A$316:N777,6,0)),"")</f>
        <v>323</v>
      </c>
      <c r="H1048" s="177">
        <f ca="1">IFERROR(IF(INDEX(' Disaggregation - Section E '!F$313:F777,MATCH(C1048,' Disaggregation - Section E '!A$313:A777,0)+1,1)&lt;&gt;0,INDEX(' Disaggregation - Section E '!F$313:F777,MATCH(C1048,' Disaggregation - Section E '!A$313:A777,0)+1,1),""),"")</f>
        <v>451</v>
      </c>
      <c r="I1048" s="171">
        <f ca="1">IFERROR(IF(VLOOKUP(C1048,' Disaggregation - Section E '!A$316:N777,8,0)=0,"",VLOOKUP(C1048,' Disaggregation - Section E '!A$316:N777,8,0)),"")</f>
        <v>2021</v>
      </c>
      <c r="J1048" s="171" t="str">
        <f ca="1">IFERROR(IF(VLOOKUP(C1048,' Disaggregation - Section E '!A$316:N777,13,0)=0,"",VLOOKUP(C1048,' Disaggregation - Section E '!A$316:N777,13,0)),"")</f>
        <v/>
      </c>
      <c r="K1048" s="166" t="str">
        <f ca="1">IFERROR(VLOOKUP(C1048,' Disaggregation - Section E '!A$316:N777,3,0),"")</f>
        <v>HIV O-4a⁽ᴹ⁾ Porcentaje de hombres que afirman haber utilizado preservativo en su última relación de sexo anal con una pareja masculina no regular</v>
      </c>
      <c r="L1048" s="171" t="str">
        <f ca="1">IFERROR(IF(VLOOKUP(C1048,' Disaggregation - Section E '!A$316:N777,14,0)=0,"",VLOOKUP(C1048,' Disaggregation - Section E '!A$316:N777,14,0)),"")</f>
        <v/>
      </c>
      <c r="M1048" s="166" t="str">
        <f ca="1">IFERROR(IF(VLOOKUP(C1048,' Disaggregation - Section E '!A$316:T777,20,0)=0,"",VLOOKUP(C1048,' Disaggregation - Section E '!A$316:T777,20,0)),"")</f>
        <v>IDR-00670</v>
      </c>
      <c r="N1048" s="171" t="str">
        <f ca="1">IFERROR(IF(VLOOKUP(C1048,' Disaggregation - Section E '!A$316:N777,9,0)=0,"",VLOOKUP(C1048,' Disaggregation - Section E '!A$316:N777,9,0)),"")</f>
        <v>Estudio Bioconductual en  Hombres que tienen sexo con hombres</v>
      </c>
      <c r="O1048" s="171" t="str">
        <f ca="1">IFERROR(IF(VLOOKUP(C1048,' Disaggregation - Section E '!A$315:N777,10,0)=0,"",VLOOKUP(C1048,' Disaggregation - Section E '!A$316:N777,10,0)),"")</f>
        <v/>
      </c>
    </row>
    <row r="1049" spans="1:15">
      <c r="A1049" s="166" t="b">
        <f t="shared" ca="1" si="139"/>
        <v>0</v>
      </c>
      <c r="B1049" s="166"/>
      <c r="C1049" s="172" t="str">
        <f ca="1">IF(COUNTA(D$885:D1049)=1,"",OFFSET(C1049,-COUNTA(D$885:D1049)+1,0))</f>
        <v>a1V3p000006h2vwEAA</v>
      </c>
      <c r="D1049" s="177"/>
      <c r="E1049" s="168" t="str">
        <f ca="1">IFERROR(IF(VLOOKUP(C1049,' Disaggregation - Section E '!A$316:N778,7,0)="","",VLOOKUP(C1049,' Disaggregation - Section E '!A$316:N778,7,0)*100),"")</f>
        <v/>
      </c>
      <c r="F1049" s="166"/>
      <c r="G1049" s="170" t="str">
        <f ca="1">IFERROR(IF(VLOOKUP(C1049,' Disaggregation - Section E '!A$316:N778,6,0)="","",VLOOKUP(C1049,' Disaggregation - Section E '!A$316:N778,6,0)),"")</f>
        <v/>
      </c>
      <c r="H1049" s="177" t="str">
        <f ca="1">IFERROR(IF(INDEX(' Disaggregation - Section E '!F$313:F778,MATCH(C1049,' Disaggregation - Section E '!A$313:A778,0)+1,1)&lt;&gt;0,INDEX(' Disaggregation - Section E '!F$313:F778,MATCH(C1049,' Disaggregation - Section E '!A$313:A778,0)+1,1),""),"")</f>
        <v/>
      </c>
      <c r="I1049" s="171" t="str">
        <f ca="1">IFERROR(IF(VLOOKUP(C1049,' Disaggregation - Section E '!A$316:N778,8,0)=0,"",VLOOKUP(C1049,' Disaggregation - Section E '!A$316:N778,8,0)),"")</f>
        <v/>
      </c>
      <c r="J1049" s="171" t="str">
        <f ca="1">IFERROR(IF(VLOOKUP(C1049,' Disaggregation - Section E '!A$316:N778,13,0)=0,"",VLOOKUP(C1049,' Disaggregation - Section E '!A$316:N778,13,0)),"")</f>
        <v/>
      </c>
      <c r="K1049" s="166" t="str">
        <f ca="1">IFERROR(VLOOKUP(C1049,' Disaggregation - Section E '!A$316:N778,3,0),"")</f>
        <v>HIV O-4a⁽ᴹ⁾ Porcentaje de hombres que afirman haber utilizado preservativo en su última relación de sexo anal con una pareja masculina no regular</v>
      </c>
      <c r="L1049" s="171" t="str">
        <f ca="1">IFERROR(IF(VLOOKUP(C1049,' Disaggregation - Section E '!A$316:N778,14,0)=0,"",VLOOKUP(C1049,' Disaggregation - Section E '!A$316:N778,14,0)),"")</f>
        <v/>
      </c>
      <c r="M1049" s="166" t="str">
        <f ca="1">IFERROR(IF(VLOOKUP(C1049,' Disaggregation - Section E '!A$316:T778,20,0)=0,"",VLOOKUP(C1049,' Disaggregation - Section E '!A$316:T778,20,0)),"")</f>
        <v/>
      </c>
      <c r="N1049" s="171" t="str">
        <f ca="1">IFERROR(IF(VLOOKUP(C1049,' Disaggregation - Section E '!A$316:N778,9,0)=0,"",VLOOKUP(C1049,' Disaggregation - Section E '!A$316:N778,9,0)),"")</f>
        <v/>
      </c>
      <c r="O1049" s="171" t="str">
        <f ca="1">IFERROR(IF(VLOOKUP(C1049,' Disaggregation - Section E '!A$315:N778,10,0)=0,"",VLOOKUP(C1049,' Disaggregation - Section E '!A$316:N778,10,0)),"")</f>
        <v/>
      </c>
    </row>
    <row r="1050" spans="1:15">
      <c r="A1050" s="166" t="b">
        <f t="shared" ca="1" si="139"/>
        <v>0</v>
      </c>
      <c r="B1050" s="166"/>
      <c r="C1050" s="172" t="str">
        <f ca="1">IF(COUNTA(D$885:D1050)=1,"",OFFSET(C1050,-COUNTA(D$885:D1050)+1,0))</f>
        <v>a1V3p000006h2vxEAA</v>
      </c>
      <c r="D1050" s="177"/>
      <c r="E1050" s="168" t="str">
        <f ca="1">IFERROR(IF(VLOOKUP(C1050,' Disaggregation - Section E '!A$316:N779,7,0)="","",VLOOKUP(C1050,' Disaggregation - Section E '!A$316:N779,7,0)*100),"")</f>
        <v/>
      </c>
      <c r="F1050" s="166"/>
      <c r="G1050" s="170" t="str">
        <f ca="1">IFERROR(IF(VLOOKUP(C1050,' Disaggregation - Section E '!A$316:N779,6,0)="","",VLOOKUP(C1050,' Disaggregation - Section E '!A$316:N779,6,0)),"")</f>
        <v/>
      </c>
      <c r="H1050" s="177" t="str">
        <f ca="1">IFERROR(IF(INDEX(' Disaggregation - Section E '!F$313:F779,MATCH(C1050,' Disaggregation - Section E '!A$313:A779,0)+1,1)&lt;&gt;0,INDEX(' Disaggregation - Section E '!F$313:F779,MATCH(C1050,' Disaggregation - Section E '!A$313:A779,0)+1,1),""),"")</f>
        <v/>
      </c>
      <c r="I1050" s="171" t="str">
        <f ca="1">IFERROR(IF(VLOOKUP(C1050,' Disaggregation - Section E '!A$316:N779,8,0)=0,"",VLOOKUP(C1050,' Disaggregation - Section E '!A$316:N779,8,0)),"")</f>
        <v/>
      </c>
      <c r="J1050" s="171" t="str">
        <f ca="1">IFERROR(IF(VLOOKUP(C1050,' Disaggregation - Section E '!A$316:N779,13,0)=0,"",VLOOKUP(C1050,' Disaggregation - Section E '!A$316:N779,13,0)),"")</f>
        <v/>
      </c>
      <c r="K1050" s="166" t="str">
        <f ca="1">IFERROR(VLOOKUP(C1050,' Disaggregation - Section E '!A$316:N779,3,0),"")</f>
        <v>HIV O-4a⁽ᴹ⁾ Porcentaje de hombres que afirman haber utilizado preservativo en su última relación de sexo anal con una pareja masculina no regular</v>
      </c>
      <c r="L1050" s="171" t="str">
        <f ca="1">IFERROR(IF(VLOOKUP(C1050,' Disaggregation - Section E '!A$316:N779,14,0)=0,"",VLOOKUP(C1050,' Disaggregation - Section E '!A$316:N779,14,0)),"")</f>
        <v/>
      </c>
      <c r="M1050" s="166" t="str">
        <f ca="1">IFERROR(IF(VLOOKUP(C1050,' Disaggregation - Section E '!A$316:T779,20,0)=0,"",VLOOKUP(C1050,' Disaggregation - Section E '!A$316:T779,20,0)),"")</f>
        <v/>
      </c>
      <c r="N1050" s="171" t="str">
        <f ca="1">IFERROR(IF(VLOOKUP(C1050,' Disaggregation - Section E '!A$316:N779,9,0)=0,"",VLOOKUP(C1050,' Disaggregation - Section E '!A$316:N779,9,0)),"")</f>
        <v/>
      </c>
      <c r="O1050" s="171" t="str">
        <f ca="1">IFERROR(IF(VLOOKUP(C1050,' Disaggregation - Section E '!A$315:N779,10,0)=0,"",VLOOKUP(C1050,' Disaggregation - Section E '!A$316:N779,10,0)),"")</f>
        <v/>
      </c>
    </row>
    <row r="1051" spans="1:15">
      <c r="A1051" s="166" t="b">
        <f t="shared" ca="1" si="139"/>
        <v>0</v>
      </c>
      <c r="B1051" s="166"/>
      <c r="C1051" s="172" t="str">
        <f ca="1">IF(COUNTA(D$885:D1051)=1,"",OFFSET(C1051,-COUNTA(D$885:D1051)+1,0))</f>
        <v>a1V3p000006h2vyEAA</v>
      </c>
      <c r="D1051" s="177"/>
      <c r="E1051" s="168" t="str">
        <f ca="1">IFERROR(IF(VLOOKUP(C1051,' Disaggregation - Section E '!A$316:N780,7,0)="","",VLOOKUP(C1051,' Disaggregation - Section E '!A$316:N780,7,0)*100),"")</f>
        <v/>
      </c>
      <c r="F1051" s="166"/>
      <c r="G1051" s="170" t="str">
        <f ca="1">IFERROR(IF(VLOOKUP(C1051,' Disaggregation - Section E '!A$316:N780,6,0)="","",VLOOKUP(C1051,' Disaggregation - Section E '!A$316:N780,6,0)),"")</f>
        <v/>
      </c>
      <c r="H1051" s="177" t="str">
        <f ca="1">IFERROR(IF(INDEX(' Disaggregation - Section E '!F$313:F780,MATCH(C1051,' Disaggregation - Section E '!A$313:A780,0)+1,1)&lt;&gt;0,INDEX(' Disaggregation - Section E '!F$313:F780,MATCH(C1051,' Disaggregation - Section E '!A$313:A780,0)+1,1),""),"")</f>
        <v/>
      </c>
      <c r="I1051" s="171" t="str">
        <f ca="1">IFERROR(IF(VLOOKUP(C1051,' Disaggregation - Section E '!A$316:N780,8,0)=0,"",VLOOKUP(C1051,' Disaggregation - Section E '!A$316:N780,8,0)),"")</f>
        <v/>
      </c>
      <c r="J1051" s="171" t="str">
        <f ca="1">IFERROR(IF(VLOOKUP(C1051,' Disaggregation - Section E '!A$316:N780,13,0)=0,"",VLOOKUP(C1051,' Disaggregation - Section E '!A$316:N780,13,0)),"")</f>
        <v/>
      </c>
      <c r="K1051" s="166" t="str">
        <f ca="1">IFERROR(VLOOKUP(C1051,' Disaggregation - Section E '!A$316:N780,3,0),"")</f>
        <v>HIV O-4a⁽ᴹ⁾ Porcentaje de hombres que afirman haber utilizado preservativo en su última relación de sexo anal con una pareja masculina no regular</v>
      </c>
      <c r="L1051" s="171" t="str">
        <f ca="1">IFERROR(IF(VLOOKUP(C1051,' Disaggregation - Section E '!A$316:N780,14,0)=0,"",VLOOKUP(C1051,' Disaggregation - Section E '!A$316:N780,14,0)),"")</f>
        <v/>
      </c>
      <c r="M1051" s="166" t="str">
        <f ca="1">IFERROR(IF(VLOOKUP(C1051,' Disaggregation - Section E '!A$316:T780,20,0)=0,"",VLOOKUP(C1051,' Disaggregation - Section E '!A$316:T780,20,0)),"")</f>
        <v/>
      </c>
      <c r="N1051" s="171" t="str">
        <f ca="1">IFERROR(IF(VLOOKUP(C1051,' Disaggregation - Section E '!A$316:N780,9,0)=0,"",VLOOKUP(C1051,' Disaggregation - Section E '!A$316:N780,9,0)),"")</f>
        <v/>
      </c>
      <c r="O1051" s="171" t="str">
        <f ca="1">IFERROR(IF(VLOOKUP(C1051,' Disaggregation - Section E '!A$315:N780,10,0)=0,"",VLOOKUP(C1051,' Disaggregation - Section E '!A$316:N780,10,0)),"")</f>
        <v/>
      </c>
    </row>
    <row r="1052" spans="1:15">
      <c r="A1052" s="166" t="b">
        <f t="shared" ca="1" si="139"/>
        <v>0</v>
      </c>
      <c r="B1052" s="166"/>
      <c r="C1052" s="172" t="str">
        <f ca="1">IF(COUNTA(D$885:D1052)=1,"",OFFSET(C1052,-COUNTA(D$885:D1052)+1,0))</f>
        <v>a1V3p000006h2vzEAA</v>
      </c>
      <c r="D1052" s="177"/>
      <c r="E1052" s="168" t="str">
        <f ca="1">IFERROR(IF(VLOOKUP(C1052,' Disaggregation - Section E '!A$316:N781,7,0)="","",VLOOKUP(C1052,' Disaggregation - Section E '!A$316:N781,7,0)*100),"")</f>
        <v/>
      </c>
      <c r="F1052" s="166"/>
      <c r="G1052" s="170" t="str">
        <f ca="1">IFERROR(IF(VLOOKUP(C1052,' Disaggregation - Section E '!A$316:N781,6,0)="","",VLOOKUP(C1052,' Disaggregation - Section E '!A$316:N781,6,0)),"")</f>
        <v/>
      </c>
      <c r="H1052" s="177" t="str">
        <f ca="1">IFERROR(IF(INDEX(' Disaggregation - Section E '!F$313:F781,MATCH(C1052,' Disaggregation - Section E '!A$313:A781,0)+1,1)&lt;&gt;0,INDEX(' Disaggregation - Section E '!F$313:F781,MATCH(C1052,' Disaggregation - Section E '!A$313:A781,0)+1,1),""),"")</f>
        <v/>
      </c>
      <c r="I1052" s="171" t="str">
        <f ca="1">IFERROR(IF(VLOOKUP(C1052,' Disaggregation - Section E '!A$316:N781,8,0)=0,"",VLOOKUP(C1052,' Disaggregation - Section E '!A$316:N781,8,0)),"")</f>
        <v/>
      </c>
      <c r="J1052" s="171" t="str">
        <f ca="1">IFERROR(IF(VLOOKUP(C1052,' Disaggregation - Section E '!A$316:N781,13,0)=0,"",VLOOKUP(C1052,' Disaggregation - Section E '!A$316:N781,13,0)),"")</f>
        <v/>
      </c>
      <c r="K1052" s="166" t="str">
        <f ca="1">IFERROR(VLOOKUP(C1052,' Disaggregation - Section E '!A$316:N781,3,0),"")</f>
        <v>HIV O-4a⁽ᴹ⁾ Porcentaje de hombres que afirman haber utilizado preservativo en su última relación de sexo anal con una pareja masculina no regular</v>
      </c>
      <c r="L1052" s="171" t="str">
        <f ca="1">IFERROR(IF(VLOOKUP(C1052,' Disaggregation - Section E '!A$316:N781,14,0)=0,"",VLOOKUP(C1052,' Disaggregation - Section E '!A$316:N781,14,0)),"")</f>
        <v/>
      </c>
      <c r="M1052" s="166" t="str">
        <f ca="1">IFERROR(IF(VLOOKUP(C1052,' Disaggregation - Section E '!A$316:T781,20,0)=0,"",VLOOKUP(C1052,' Disaggregation - Section E '!A$316:T781,20,0)),"")</f>
        <v/>
      </c>
      <c r="N1052" s="171" t="str">
        <f ca="1">IFERROR(IF(VLOOKUP(C1052,' Disaggregation - Section E '!A$316:N781,9,0)=0,"",VLOOKUP(C1052,' Disaggregation - Section E '!A$316:N781,9,0)),"")</f>
        <v/>
      </c>
      <c r="O1052" s="171" t="str">
        <f ca="1">IFERROR(IF(VLOOKUP(C1052,' Disaggregation - Section E '!A$315:N781,10,0)=0,"",VLOOKUP(C1052,' Disaggregation - Section E '!A$316:N781,10,0)),"")</f>
        <v/>
      </c>
    </row>
    <row r="1053" spans="1:15">
      <c r="A1053" s="166" t="b">
        <f t="shared" ca="1" si="139"/>
        <v>0</v>
      </c>
      <c r="B1053" s="166"/>
      <c r="C1053" s="172" t="str">
        <f ca="1">IF(COUNTA(D$885:D1053)=1,"",OFFSET(C1053,-COUNTA(D$885:D1053)+1,0))</f>
        <v>a1V3p000006h2w0EAA</v>
      </c>
      <c r="D1053" s="177"/>
      <c r="E1053" s="168" t="str">
        <f ca="1">IFERROR(IF(VLOOKUP(C1053,' Disaggregation - Section E '!A$316:N782,7,0)="","",VLOOKUP(C1053,' Disaggregation - Section E '!A$316:N782,7,0)*100),"")</f>
        <v/>
      </c>
      <c r="F1053" s="166"/>
      <c r="G1053" s="170" t="str">
        <f ca="1">IFERROR(IF(VLOOKUP(C1053,' Disaggregation - Section E '!A$316:N782,6,0)="","",VLOOKUP(C1053,' Disaggregation - Section E '!A$316:N782,6,0)),"")</f>
        <v/>
      </c>
      <c r="H1053" s="177" t="str">
        <f ca="1">IFERROR(IF(INDEX(' Disaggregation - Section E '!F$313:F782,MATCH(C1053,' Disaggregation - Section E '!A$313:A782,0)+1,1)&lt;&gt;0,INDEX(' Disaggregation - Section E '!F$313:F782,MATCH(C1053,' Disaggregation - Section E '!A$313:A782,0)+1,1),""),"")</f>
        <v/>
      </c>
      <c r="I1053" s="171" t="str">
        <f ca="1">IFERROR(IF(VLOOKUP(C1053,' Disaggregation - Section E '!A$316:N782,8,0)=0,"",VLOOKUP(C1053,' Disaggregation - Section E '!A$316:N782,8,0)),"")</f>
        <v/>
      </c>
      <c r="J1053" s="171" t="str">
        <f ca="1">IFERROR(IF(VLOOKUP(C1053,' Disaggregation - Section E '!A$316:N782,13,0)=0,"",VLOOKUP(C1053,' Disaggregation - Section E '!A$316:N782,13,0)),"")</f>
        <v/>
      </c>
      <c r="K1053" s="166" t="str">
        <f ca="1">IFERROR(VLOOKUP(C1053,' Disaggregation - Section E '!A$316:N782,3,0),"")</f>
        <v>HIV O-4a⁽ᴹ⁾ Porcentaje de hombres que afirman haber utilizado preservativo en su última relación de sexo anal con una pareja masculina no regular</v>
      </c>
      <c r="L1053" s="171" t="str">
        <f ca="1">IFERROR(IF(VLOOKUP(C1053,' Disaggregation - Section E '!A$316:N782,14,0)=0,"",VLOOKUP(C1053,' Disaggregation - Section E '!A$316:N782,14,0)),"")</f>
        <v/>
      </c>
      <c r="M1053" s="166" t="str">
        <f ca="1">IFERROR(IF(VLOOKUP(C1053,' Disaggregation - Section E '!A$316:T782,20,0)=0,"",VLOOKUP(C1053,' Disaggregation - Section E '!A$316:T782,20,0)),"")</f>
        <v/>
      </c>
      <c r="N1053" s="171" t="str">
        <f ca="1">IFERROR(IF(VLOOKUP(C1053,' Disaggregation - Section E '!A$316:N782,9,0)=0,"",VLOOKUP(C1053,' Disaggregation - Section E '!A$316:N782,9,0)),"")</f>
        <v/>
      </c>
      <c r="O1053" s="171" t="str">
        <f ca="1">IFERROR(IF(VLOOKUP(C1053,' Disaggregation - Section E '!A$315:N782,10,0)=0,"",VLOOKUP(C1053,' Disaggregation - Section E '!A$316:N782,10,0)),"")</f>
        <v/>
      </c>
    </row>
    <row r="1054" spans="1:15">
      <c r="A1054" s="166" t="b">
        <f t="shared" ca="1" si="139"/>
        <v>0</v>
      </c>
      <c r="B1054" s="166"/>
      <c r="C1054" s="172" t="str">
        <f ca="1">IF(COUNTA(D$885:D1054)=1,"",OFFSET(C1054,-COUNTA(D$885:D1054)+1,0))</f>
        <v>a1V3p000006h2w1EAA</v>
      </c>
      <c r="D1054" s="177"/>
      <c r="E1054" s="168" t="str">
        <f ca="1">IFERROR(IF(VLOOKUP(C1054,' Disaggregation - Section E '!A$316:N783,7,0)="","",VLOOKUP(C1054,' Disaggregation - Section E '!A$316:N783,7,0)*100),"")</f>
        <v/>
      </c>
      <c r="F1054" s="166"/>
      <c r="G1054" s="170" t="str">
        <f ca="1">IFERROR(IF(VLOOKUP(C1054,' Disaggregation - Section E '!A$316:N783,6,0)="","",VLOOKUP(C1054,' Disaggregation - Section E '!A$316:N783,6,0)),"")</f>
        <v/>
      </c>
      <c r="H1054" s="177" t="str">
        <f ca="1">IFERROR(IF(INDEX(' Disaggregation - Section E '!F$313:F783,MATCH(C1054,' Disaggregation - Section E '!A$313:A783,0)+1,1)&lt;&gt;0,INDEX(' Disaggregation - Section E '!F$313:F783,MATCH(C1054,' Disaggregation - Section E '!A$313:A783,0)+1,1),""),"")</f>
        <v/>
      </c>
      <c r="I1054" s="171" t="str">
        <f ca="1">IFERROR(IF(VLOOKUP(C1054,' Disaggregation - Section E '!A$316:N783,8,0)=0,"",VLOOKUP(C1054,' Disaggregation - Section E '!A$316:N783,8,0)),"")</f>
        <v/>
      </c>
      <c r="J1054" s="171" t="str">
        <f ca="1">IFERROR(IF(VLOOKUP(C1054,' Disaggregation - Section E '!A$316:N783,13,0)=0,"",VLOOKUP(C1054,' Disaggregation - Section E '!A$316:N783,13,0)),"")</f>
        <v/>
      </c>
      <c r="K1054" s="166" t="str">
        <f ca="1">IFERROR(VLOOKUP(C1054,' Disaggregation - Section E '!A$316:N783,3,0),"")</f>
        <v>HIV O-4a⁽ᴹ⁾ Porcentaje de hombres que afirman haber utilizado preservativo en su última relación de sexo anal con una pareja masculina no regular</v>
      </c>
      <c r="L1054" s="171" t="str">
        <f ca="1">IFERROR(IF(VLOOKUP(C1054,' Disaggregation - Section E '!A$316:N783,14,0)=0,"",VLOOKUP(C1054,' Disaggregation - Section E '!A$316:N783,14,0)),"")</f>
        <v/>
      </c>
      <c r="M1054" s="166" t="str">
        <f ca="1">IFERROR(IF(VLOOKUP(C1054,' Disaggregation - Section E '!A$316:T783,20,0)=0,"",VLOOKUP(C1054,' Disaggregation - Section E '!A$316:T783,20,0)),"")</f>
        <v/>
      </c>
      <c r="N1054" s="171" t="str">
        <f ca="1">IFERROR(IF(VLOOKUP(C1054,' Disaggregation - Section E '!A$316:N783,9,0)=0,"",VLOOKUP(C1054,' Disaggregation - Section E '!A$316:N783,9,0)),"")</f>
        <v/>
      </c>
      <c r="O1054" s="171" t="str">
        <f ca="1">IFERROR(IF(VLOOKUP(C1054,' Disaggregation - Section E '!A$315:N783,10,0)=0,"",VLOOKUP(C1054,' Disaggregation - Section E '!A$316:N783,10,0)),"")</f>
        <v/>
      </c>
    </row>
    <row r="1055" spans="1:15">
      <c r="A1055" s="166" t="b">
        <f t="shared" ca="1" si="139"/>
        <v>0</v>
      </c>
      <c r="B1055" s="166"/>
      <c r="C1055" s="172" t="str">
        <f ca="1">IF(COUNTA(D$885:D1055)=1,"",OFFSET(C1055,-COUNTA(D$885:D1055)+1,0))</f>
        <v>a1V3p000006h2w2EAA</v>
      </c>
      <c r="D1055" s="177"/>
      <c r="E1055" s="168" t="str">
        <f ca="1">IFERROR(IF(VLOOKUP(C1055,' Disaggregation - Section E '!A$316:N784,7,0)="","",VLOOKUP(C1055,' Disaggregation - Section E '!A$316:N784,7,0)*100),"")</f>
        <v/>
      </c>
      <c r="F1055" s="166"/>
      <c r="G1055" s="170" t="str">
        <f ca="1">IFERROR(IF(VLOOKUP(C1055,' Disaggregation - Section E '!A$316:N784,6,0)="","",VLOOKUP(C1055,' Disaggregation - Section E '!A$316:N784,6,0)),"")</f>
        <v/>
      </c>
      <c r="H1055" s="177" t="str">
        <f ca="1">IFERROR(IF(INDEX(' Disaggregation - Section E '!F$313:F784,MATCH(C1055,' Disaggregation - Section E '!A$313:A784,0)+1,1)&lt;&gt;0,INDEX(' Disaggregation - Section E '!F$313:F784,MATCH(C1055,' Disaggregation - Section E '!A$313:A784,0)+1,1),""),"")</f>
        <v/>
      </c>
      <c r="I1055" s="171" t="str">
        <f ca="1">IFERROR(IF(VLOOKUP(C1055,' Disaggregation - Section E '!A$316:N784,8,0)=0,"",VLOOKUP(C1055,' Disaggregation - Section E '!A$316:N784,8,0)),"")</f>
        <v/>
      </c>
      <c r="J1055" s="171" t="str">
        <f ca="1">IFERROR(IF(VLOOKUP(C1055,' Disaggregation - Section E '!A$316:N784,13,0)=0,"",VLOOKUP(C1055,' Disaggregation - Section E '!A$316:N784,13,0)),"")</f>
        <v/>
      </c>
      <c r="K1055" s="166" t="str">
        <f ca="1">IFERROR(VLOOKUP(C1055,' Disaggregation - Section E '!A$316:N784,3,0),"")</f>
        <v>HIV O-4a⁽ᴹ⁾ Porcentaje de hombres que afirman haber utilizado preservativo en su última relación de sexo anal con una pareja masculina no regular</v>
      </c>
      <c r="L1055" s="171" t="str">
        <f ca="1">IFERROR(IF(VLOOKUP(C1055,' Disaggregation - Section E '!A$316:N784,14,0)=0,"",VLOOKUP(C1055,' Disaggregation - Section E '!A$316:N784,14,0)),"")</f>
        <v/>
      </c>
      <c r="M1055" s="166" t="str">
        <f ca="1">IFERROR(IF(VLOOKUP(C1055,' Disaggregation - Section E '!A$316:T784,20,0)=0,"",VLOOKUP(C1055,' Disaggregation - Section E '!A$316:T784,20,0)),"")</f>
        <v/>
      </c>
      <c r="N1055" s="171" t="str">
        <f ca="1">IFERROR(IF(VLOOKUP(C1055,' Disaggregation - Section E '!A$316:N784,9,0)=0,"",VLOOKUP(C1055,' Disaggregation - Section E '!A$316:N784,9,0)),"")</f>
        <v/>
      </c>
      <c r="O1055" s="171" t="str">
        <f ca="1">IFERROR(IF(VLOOKUP(C1055,' Disaggregation - Section E '!A$315:N784,10,0)=0,"",VLOOKUP(C1055,' Disaggregation - Section E '!A$316:N784,10,0)),"")</f>
        <v/>
      </c>
    </row>
    <row r="1056" spans="1:15">
      <c r="A1056" s="166" t="b">
        <f t="shared" ca="1" si="139"/>
        <v>0</v>
      </c>
      <c r="B1056" s="166"/>
      <c r="C1056" s="172" t="str">
        <f ca="1">IF(COUNTA(D$885:D1056)=1,"",OFFSET(C1056,-COUNTA(D$885:D1056)+1,0))</f>
        <v>a1V3p000006h2w3EAA</v>
      </c>
      <c r="D1056" s="177"/>
      <c r="E1056" s="168" t="str">
        <f ca="1">IFERROR(IF(VLOOKUP(C1056,' Disaggregation - Section E '!A$316:N785,7,0)="","",VLOOKUP(C1056,' Disaggregation - Section E '!A$316:N785,7,0)*100),"")</f>
        <v/>
      </c>
      <c r="F1056" s="166"/>
      <c r="G1056" s="170" t="str">
        <f ca="1">IFERROR(IF(VLOOKUP(C1056,' Disaggregation - Section E '!A$316:N785,6,0)="","",VLOOKUP(C1056,' Disaggregation - Section E '!A$316:N785,6,0)),"")</f>
        <v/>
      </c>
      <c r="H1056" s="177" t="str">
        <f ca="1">IFERROR(IF(INDEX(' Disaggregation - Section E '!F$313:F785,MATCH(C1056,' Disaggregation - Section E '!A$313:A785,0)+1,1)&lt;&gt;0,INDEX(' Disaggregation - Section E '!F$313:F785,MATCH(C1056,' Disaggregation - Section E '!A$313:A785,0)+1,1),""),"")</f>
        <v/>
      </c>
      <c r="I1056" s="171" t="str">
        <f ca="1">IFERROR(IF(VLOOKUP(C1056,' Disaggregation - Section E '!A$316:N785,8,0)=0,"",VLOOKUP(C1056,' Disaggregation - Section E '!A$316:N785,8,0)),"")</f>
        <v/>
      </c>
      <c r="J1056" s="171" t="str">
        <f ca="1">IFERROR(IF(VLOOKUP(C1056,' Disaggregation - Section E '!A$316:N785,13,0)=0,"",VLOOKUP(C1056,' Disaggregation - Section E '!A$316:N785,13,0)),"")</f>
        <v/>
      </c>
      <c r="K1056" s="166" t="str">
        <f ca="1">IFERROR(VLOOKUP(C1056,' Disaggregation - Section E '!A$316:N785,3,0),"")</f>
        <v>HIV O-4a⁽ᴹ⁾ Porcentaje de hombres que afirman haber utilizado preservativo en su última relación de sexo anal con una pareja masculina no regular</v>
      </c>
      <c r="L1056" s="171" t="str">
        <f ca="1">IFERROR(IF(VLOOKUP(C1056,' Disaggregation - Section E '!A$316:N785,14,0)=0,"",VLOOKUP(C1056,' Disaggregation - Section E '!A$316:N785,14,0)),"")</f>
        <v/>
      </c>
      <c r="M1056" s="166" t="str">
        <f ca="1">IFERROR(IF(VLOOKUP(C1056,' Disaggregation - Section E '!A$316:T785,20,0)=0,"",VLOOKUP(C1056,' Disaggregation - Section E '!A$316:T785,20,0)),"")</f>
        <v/>
      </c>
      <c r="N1056" s="171" t="str">
        <f ca="1">IFERROR(IF(VLOOKUP(C1056,' Disaggregation - Section E '!A$316:N785,9,0)=0,"",VLOOKUP(C1056,' Disaggregation - Section E '!A$316:N785,9,0)),"")</f>
        <v/>
      </c>
      <c r="O1056" s="171" t="str">
        <f ca="1">IFERROR(IF(VLOOKUP(C1056,' Disaggregation - Section E '!A$315:N785,10,0)=0,"",VLOOKUP(C1056,' Disaggregation - Section E '!A$316:N785,10,0)),"")</f>
        <v/>
      </c>
    </row>
    <row r="1057" spans="1:15">
      <c r="A1057" s="166" t="b">
        <f t="shared" ca="1" si="139"/>
        <v>1</v>
      </c>
      <c r="B1057" s="166"/>
      <c r="C1057" s="172" t="str">
        <f ca="1">IF(COUNTA(D$885:D1057)=1,"",OFFSET(C1057,-COUNTA(D$885:D1057)+1,0))</f>
        <v>a1V3p000006h2w4EAA</v>
      </c>
      <c r="D1057" s="177"/>
      <c r="E1057" s="168">
        <f ca="1">IFERROR(IF(VLOOKUP(C1057,' Disaggregation - Section E '!A$316:N786,7,0)="","",VLOOKUP(C1057,' Disaggregation - Section E '!A$316:N786,7,0)*100),"")</f>
        <v>86.038961038961034</v>
      </c>
      <c r="F1057" s="166"/>
      <c r="G1057" s="170">
        <f ca="1">IFERROR(IF(VLOOKUP(C1057,' Disaggregation - Section E '!A$316:N786,6,0)="","",VLOOKUP(C1057,' Disaggregation - Section E '!A$316:N786,6,0)),"")</f>
        <v>265</v>
      </c>
      <c r="H1057" s="177">
        <f ca="1">IFERROR(IF(INDEX(' Disaggregation - Section E '!F$313:F786,MATCH(C1057,' Disaggregation - Section E '!A$313:A786,0)+1,1)&lt;&gt;0,INDEX(' Disaggregation - Section E '!F$313:F786,MATCH(C1057,' Disaggregation - Section E '!A$313:A786,0)+1,1),""),"")</f>
        <v>308</v>
      </c>
      <c r="I1057" s="171">
        <f ca="1">IFERROR(IF(VLOOKUP(C1057,' Disaggregation - Section E '!A$316:N786,8,0)=0,"",VLOOKUP(C1057,' Disaggregation - Section E '!A$316:N786,8,0)),"")</f>
        <v>2021</v>
      </c>
      <c r="J1057" s="171" t="str">
        <f ca="1">IFERROR(IF(VLOOKUP(C1057,' Disaggregation - Section E '!A$316:N786,13,0)=0,"",VLOOKUP(C1057,' Disaggregation - Section E '!A$316:N786,13,0)),"")</f>
        <v/>
      </c>
      <c r="K1057" s="166" t="str">
        <f ca="1">IFERROR(VLOOKUP(C1057,' Disaggregation - Section E '!A$316:N786,3,0),"")</f>
        <v>HIV O-4.1b⁽ᴹ⁾ Porcentaje de personas transgénero que afirman haber utilizado preservativo en su último encuentro sexual o relación de sexo anal con una pareja masculina no regular</v>
      </c>
      <c r="L1057" s="171" t="str">
        <f ca="1">IFERROR(IF(VLOOKUP(C1057,' Disaggregation - Section E '!A$316:N786,14,0)=0,"",VLOOKUP(C1057,' Disaggregation - Section E '!A$316:N786,14,0)),"")</f>
        <v/>
      </c>
      <c r="M1057" s="166" t="str">
        <f ca="1">IFERROR(IF(VLOOKUP(C1057,' Disaggregation - Section E '!A$316:T786,20,0)=0,"",VLOOKUP(C1057,' Disaggregation - Section E '!A$316:T786,20,0)),"")</f>
        <v>IDR-00673</v>
      </c>
      <c r="N1057" s="171" t="str">
        <f ca="1">IFERROR(IF(VLOOKUP(C1057,' Disaggregation - Section E '!A$316:N786,9,0)=0,"",VLOOKUP(C1057,' Disaggregation - Section E '!A$316:N786,9,0)),"")</f>
        <v>Estudio Bioconductual en  mujeres transgénero</v>
      </c>
      <c r="O1057" s="171" t="str">
        <f ca="1">IFERROR(IF(VLOOKUP(C1057,' Disaggregation - Section E '!A$315:N786,10,0)=0,"",VLOOKUP(C1057,' Disaggregation - Section E '!A$316:N786,10,0)),"")</f>
        <v/>
      </c>
    </row>
    <row r="1058" spans="1:15">
      <c r="A1058" s="166" t="b">
        <f t="shared" ca="1" si="139"/>
        <v>1</v>
      </c>
      <c r="B1058" s="166"/>
      <c r="C1058" s="172" t="str">
        <f ca="1">IF(COUNTA(D$885:D1058)=1,"",OFFSET(C1058,-COUNTA(D$885:D1058)+1,0))</f>
        <v>a1V3p000006h2w5EAA</v>
      </c>
      <c r="D1058" s="177"/>
      <c r="E1058" s="168">
        <f ca="1">IFERROR(IF(VLOOKUP(C1058,' Disaggregation - Section E '!A$316:N787,7,0)="","",VLOOKUP(C1058,' Disaggregation - Section E '!A$316:N787,7,0)*100),"")</f>
        <v>92.857142857142861</v>
      </c>
      <c r="F1058" s="166"/>
      <c r="G1058" s="170">
        <f ca="1">IFERROR(IF(VLOOKUP(C1058,' Disaggregation - Section E '!A$316:N787,6,0)="","",VLOOKUP(C1058,' Disaggregation - Section E '!A$316:N787,6,0)),"")</f>
        <v>65</v>
      </c>
      <c r="H1058" s="177">
        <f ca="1">IFERROR(IF(INDEX(' Disaggregation - Section E '!F$313:F787,MATCH(C1058,' Disaggregation - Section E '!A$313:A787,0)+1,1)&lt;&gt;0,INDEX(' Disaggregation - Section E '!F$313:F787,MATCH(C1058,' Disaggregation - Section E '!A$313:A787,0)+1,1),""),"")</f>
        <v>70</v>
      </c>
      <c r="I1058" s="171">
        <f ca="1">IFERROR(IF(VLOOKUP(C1058,' Disaggregation - Section E '!A$316:N787,8,0)=0,"",VLOOKUP(C1058,' Disaggregation - Section E '!A$316:N787,8,0)),"")</f>
        <v>2021</v>
      </c>
      <c r="J1058" s="171" t="str">
        <f ca="1">IFERROR(IF(VLOOKUP(C1058,' Disaggregation - Section E '!A$316:N787,13,0)=0,"",VLOOKUP(C1058,' Disaggregation - Section E '!A$316:N787,13,0)),"")</f>
        <v/>
      </c>
      <c r="K1058" s="166" t="str">
        <f ca="1">IFERROR(VLOOKUP(C1058,' Disaggregation - Section E '!A$316:N787,3,0),"")</f>
        <v>HIV O-4.1b⁽ᴹ⁾ Porcentaje de personas transgénero que afirman haber utilizado preservativo en su último encuentro sexual o relación de sexo anal con una pareja masculina no regular</v>
      </c>
      <c r="L1058" s="171" t="str">
        <f ca="1">IFERROR(IF(VLOOKUP(C1058,' Disaggregation - Section E '!A$316:N787,14,0)=0,"",VLOOKUP(C1058,' Disaggregation - Section E '!A$316:N787,14,0)),"")</f>
        <v/>
      </c>
      <c r="M1058" s="166" t="str">
        <f ca="1">IFERROR(IF(VLOOKUP(C1058,' Disaggregation - Section E '!A$316:T787,20,0)=0,"",VLOOKUP(C1058,' Disaggregation - Section E '!A$316:T787,20,0)),"")</f>
        <v>IDR-00672</v>
      </c>
      <c r="N1058" s="171" t="str">
        <f ca="1">IFERROR(IF(VLOOKUP(C1058,' Disaggregation - Section E '!A$316:N787,9,0)=0,"",VLOOKUP(C1058,' Disaggregation - Section E '!A$316:N787,9,0)),"")</f>
        <v>Estudio Bioconductual en  mujeres transgénero</v>
      </c>
      <c r="O1058" s="171" t="str">
        <f ca="1">IFERROR(IF(VLOOKUP(C1058,' Disaggregation - Section E '!A$315:N787,10,0)=0,"",VLOOKUP(C1058,' Disaggregation - Section E '!A$316:N787,10,0)),"")</f>
        <v/>
      </c>
    </row>
    <row r="1059" spans="1:15">
      <c r="A1059" s="166" t="b">
        <f t="shared" ca="1" si="139"/>
        <v>0</v>
      </c>
      <c r="B1059" s="166"/>
      <c r="C1059" s="172" t="str">
        <f ca="1">IF(COUNTA(D$885:D1059)=1,"",OFFSET(C1059,-COUNTA(D$885:D1059)+1,0))</f>
        <v>a1V3p000006h2w6EAA</v>
      </c>
      <c r="D1059" s="177"/>
      <c r="E1059" s="168" t="str">
        <f ca="1">IFERROR(IF(VLOOKUP(C1059,' Disaggregation - Section E '!A$316:N788,7,0)="","",VLOOKUP(C1059,' Disaggregation - Section E '!A$316:N788,7,0)*100),"")</f>
        <v/>
      </c>
      <c r="F1059" s="166"/>
      <c r="G1059" s="170" t="str">
        <f ca="1">IFERROR(IF(VLOOKUP(C1059,' Disaggregation - Section E '!A$316:N788,6,0)="","",VLOOKUP(C1059,' Disaggregation - Section E '!A$316:N788,6,0)),"")</f>
        <v/>
      </c>
      <c r="H1059" s="177" t="str">
        <f ca="1">IFERROR(IF(INDEX(' Disaggregation - Section E '!F$313:F788,MATCH(C1059,' Disaggregation - Section E '!A$313:A788,0)+1,1)&lt;&gt;0,INDEX(' Disaggregation - Section E '!F$313:F788,MATCH(C1059,' Disaggregation - Section E '!A$313:A788,0)+1,1),""),"")</f>
        <v/>
      </c>
      <c r="I1059" s="171" t="str">
        <f ca="1">IFERROR(IF(VLOOKUP(C1059,' Disaggregation - Section E '!A$316:N788,8,0)=0,"",VLOOKUP(C1059,' Disaggregation - Section E '!A$316:N788,8,0)),"")</f>
        <v/>
      </c>
      <c r="J1059" s="171" t="str">
        <f ca="1">IFERROR(IF(VLOOKUP(C1059,' Disaggregation - Section E '!A$316:N788,13,0)=0,"",VLOOKUP(C1059,' Disaggregation - Section E '!A$316:N788,13,0)),"")</f>
        <v/>
      </c>
      <c r="K1059" s="166" t="str">
        <f ca="1">IFERROR(VLOOKUP(C1059,' Disaggregation - Section E '!A$316:N788,3,0),"")</f>
        <v>HIV O-4.1b⁽ᴹ⁾ Porcentaje de personas transgénero que afirman haber utilizado preservativo en su último encuentro sexual o relación de sexo anal con una pareja masculina no regular</v>
      </c>
      <c r="L1059" s="171" t="str">
        <f ca="1">IFERROR(IF(VLOOKUP(C1059,' Disaggregation - Section E '!A$316:N788,14,0)=0,"",VLOOKUP(C1059,' Disaggregation - Section E '!A$316:N788,14,0)),"")</f>
        <v/>
      </c>
      <c r="M1059" s="166" t="str">
        <f ca="1">IFERROR(IF(VLOOKUP(C1059,' Disaggregation - Section E '!A$316:T788,20,0)=0,"",VLOOKUP(C1059,' Disaggregation - Section E '!A$316:T788,20,0)),"")</f>
        <v/>
      </c>
      <c r="N1059" s="171" t="str">
        <f ca="1">IFERROR(IF(VLOOKUP(C1059,' Disaggregation - Section E '!A$316:N788,9,0)=0,"",VLOOKUP(C1059,' Disaggregation - Section E '!A$316:N788,9,0)),"")</f>
        <v/>
      </c>
      <c r="O1059" s="171" t="str">
        <f ca="1">IFERROR(IF(VLOOKUP(C1059,' Disaggregation - Section E '!A$315:N788,10,0)=0,"",VLOOKUP(C1059,' Disaggregation - Section E '!A$316:N788,10,0)),"")</f>
        <v/>
      </c>
    </row>
    <row r="1060" spans="1:15">
      <c r="A1060" s="166" t="b">
        <f t="shared" ca="1" si="139"/>
        <v>0</v>
      </c>
      <c r="B1060" s="166"/>
      <c r="C1060" s="172" t="str">
        <f ca="1">IF(COUNTA(D$885:D1060)=1,"",OFFSET(C1060,-COUNTA(D$885:D1060)+1,0))</f>
        <v>a1V3p000006h2w7EAA</v>
      </c>
      <c r="D1060" s="177"/>
      <c r="E1060" s="168" t="str">
        <f ca="1">IFERROR(IF(VLOOKUP(C1060,' Disaggregation - Section E '!A$316:N789,7,0)="","",VLOOKUP(C1060,' Disaggregation - Section E '!A$316:N789,7,0)*100),"")</f>
        <v/>
      </c>
      <c r="F1060" s="166"/>
      <c r="G1060" s="170" t="str">
        <f ca="1">IFERROR(IF(VLOOKUP(C1060,' Disaggregation - Section E '!A$316:N789,6,0)="","",VLOOKUP(C1060,' Disaggregation - Section E '!A$316:N789,6,0)),"")</f>
        <v/>
      </c>
      <c r="H1060" s="177" t="str">
        <f ca="1">IFERROR(IF(INDEX(' Disaggregation - Section E '!F$313:F789,MATCH(C1060,' Disaggregation - Section E '!A$313:A789,0)+1,1)&lt;&gt;0,INDEX(' Disaggregation - Section E '!F$313:F789,MATCH(C1060,' Disaggregation - Section E '!A$313:A789,0)+1,1),""),"")</f>
        <v/>
      </c>
      <c r="I1060" s="171" t="str">
        <f ca="1">IFERROR(IF(VLOOKUP(C1060,' Disaggregation - Section E '!A$316:N789,8,0)=0,"",VLOOKUP(C1060,' Disaggregation - Section E '!A$316:N789,8,0)),"")</f>
        <v/>
      </c>
      <c r="J1060" s="171" t="str">
        <f ca="1">IFERROR(IF(VLOOKUP(C1060,' Disaggregation - Section E '!A$316:N789,13,0)=0,"",VLOOKUP(C1060,' Disaggregation - Section E '!A$316:N789,13,0)),"")</f>
        <v/>
      </c>
      <c r="K1060" s="166" t="str">
        <f ca="1">IFERROR(VLOOKUP(C1060,' Disaggregation - Section E '!A$316:N789,3,0),"")</f>
        <v>HIV O-4.1b⁽ᴹ⁾ Porcentaje de personas transgénero que afirman haber utilizado preservativo en su último encuentro sexual o relación de sexo anal con una pareja masculina no regular</v>
      </c>
      <c r="L1060" s="171" t="str">
        <f ca="1">IFERROR(IF(VLOOKUP(C1060,' Disaggregation - Section E '!A$316:N789,14,0)=0,"",VLOOKUP(C1060,' Disaggregation - Section E '!A$316:N789,14,0)),"")</f>
        <v/>
      </c>
      <c r="M1060" s="166" t="str">
        <f ca="1">IFERROR(IF(VLOOKUP(C1060,' Disaggregation - Section E '!A$316:T789,20,0)=0,"",VLOOKUP(C1060,' Disaggregation - Section E '!A$316:T789,20,0)),"")</f>
        <v/>
      </c>
      <c r="N1060" s="171" t="str">
        <f ca="1">IFERROR(IF(VLOOKUP(C1060,' Disaggregation - Section E '!A$316:N789,9,0)=0,"",VLOOKUP(C1060,' Disaggregation - Section E '!A$316:N789,9,0)),"")</f>
        <v/>
      </c>
      <c r="O1060" s="171" t="str">
        <f ca="1">IFERROR(IF(VLOOKUP(C1060,' Disaggregation - Section E '!A$315:N789,10,0)=0,"",VLOOKUP(C1060,' Disaggregation - Section E '!A$316:N789,10,0)),"")</f>
        <v/>
      </c>
    </row>
    <row r="1061" spans="1:15">
      <c r="A1061" s="166" t="b">
        <f t="shared" ca="1" si="139"/>
        <v>0</v>
      </c>
      <c r="B1061" s="166"/>
      <c r="C1061" s="172" t="str">
        <f ca="1">IF(COUNTA(D$885:D1061)=1,"",OFFSET(C1061,-COUNTA(D$885:D1061)+1,0))</f>
        <v>a1V3p000006h2w8EAA</v>
      </c>
      <c r="D1061" s="177"/>
      <c r="E1061" s="168" t="str">
        <f ca="1">IFERROR(IF(VLOOKUP(C1061,' Disaggregation - Section E '!A$316:N790,7,0)="","",VLOOKUP(C1061,' Disaggregation - Section E '!A$316:N790,7,0)*100),"")</f>
        <v/>
      </c>
      <c r="F1061" s="166"/>
      <c r="G1061" s="170" t="str">
        <f ca="1">IFERROR(IF(VLOOKUP(C1061,' Disaggregation - Section E '!A$316:N790,6,0)="","",VLOOKUP(C1061,' Disaggregation - Section E '!A$316:N790,6,0)),"")</f>
        <v/>
      </c>
      <c r="H1061" s="177" t="str">
        <f ca="1">IFERROR(IF(INDEX(' Disaggregation - Section E '!F$313:F790,MATCH(C1061,' Disaggregation - Section E '!A$313:A790,0)+1,1)&lt;&gt;0,INDEX(' Disaggregation - Section E '!F$313:F790,MATCH(C1061,' Disaggregation - Section E '!A$313:A790,0)+1,1),""),"")</f>
        <v/>
      </c>
      <c r="I1061" s="171" t="str">
        <f ca="1">IFERROR(IF(VLOOKUP(C1061,' Disaggregation - Section E '!A$316:N790,8,0)=0,"",VLOOKUP(C1061,' Disaggregation - Section E '!A$316:N790,8,0)),"")</f>
        <v/>
      </c>
      <c r="J1061" s="171" t="str">
        <f ca="1">IFERROR(IF(VLOOKUP(C1061,' Disaggregation - Section E '!A$316:N790,13,0)=0,"",VLOOKUP(C1061,' Disaggregation - Section E '!A$316:N790,13,0)),"")</f>
        <v/>
      </c>
      <c r="K1061" s="166" t="str">
        <f ca="1">IFERROR(VLOOKUP(C1061,' Disaggregation - Section E '!A$316:N790,3,0),"")</f>
        <v>HIV O-4.1b⁽ᴹ⁾ Porcentaje de personas transgénero que afirman haber utilizado preservativo en su último encuentro sexual o relación de sexo anal con una pareja masculina no regular</v>
      </c>
      <c r="L1061" s="171" t="str">
        <f ca="1">IFERROR(IF(VLOOKUP(C1061,' Disaggregation - Section E '!A$316:N790,14,0)=0,"",VLOOKUP(C1061,' Disaggregation - Section E '!A$316:N790,14,0)),"")</f>
        <v/>
      </c>
      <c r="M1061" s="166" t="str">
        <f ca="1">IFERROR(IF(VLOOKUP(C1061,' Disaggregation - Section E '!A$316:T790,20,0)=0,"",VLOOKUP(C1061,' Disaggregation - Section E '!A$316:T790,20,0)),"")</f>
        <v/>
      </c>
      <c r="N1061" s="171" t="str">
        <f ca="1">IFERROR(IF(VLOOKUP(C1061,' Disaggregation - Section E '!A$316:N790,9,0)=0,"",VLOOKUP(C1061,' Disaggregation - Section E '!A$316:N790,9,0)),"")</f>
        <v/>
      </c>
      <c r="O1061" s="171" t="str">
        <f ca="1">IFERROR(IF(VLOOKUP(C1061,' Disaggregation - Section E '!A$315:N790,10,0)=0,"",VLOOKUP(C1061,' Disaggregation - Section E '!A$316:N790,10,0)),"")</f>
        <v/>
      </c>
    </row>
    <row r="1062" spans="1:15">
      <c r="A1062" s="166" t="b">
        <f t="shared" ca="1" si="139"/>
        <v>0</v>
      </c>
      <c r="B1062" s="166"/>
      <c r="C1062" s="172" t="str">
        <f ca="1">IF(COUNTA(D$885:D1062)=1,"",OFFSET(C1062,-COUNTA(D$885:D1062)+1,0))</f>
        <v>a1V3p000006h2w9EAA</v>
      </c>
      <c r="D1062" s="177"/>
      <c r="E1062" s="168" t="str">
        <f ca="1">IFERROR(IF(VLOOKUP(C1062,' Disaggregation - Section E '!A$316:N791,7,0)="","",VLOOKUP(C1062,' Disaggregation - Section E '!A$316:N791,7,0)*100),"")</f>
        <v/>
      </c>
      <c r="F1062" s="166"/>
      <c r="G1062" s="170" t="str">
        <f ca="1">IFERROR(IF(VLOOKUP(C1062,' Disaggregation - Section E '!A$316:N791,6,0)="","",VLOOKUP(C1062,' Disaggregation - Section E '!A$316:N791,6,0)),"")</f>
        <v/>
      </c>
      <c r="H1062" s="177" t="str">
        <f ca="1">IFERROR(IF(INDEX(' Disaggregation - Section E '!F$313:F791,MATCH(C1062,' Disaggregation - Section E '!A$313:A791,0)+1,1)&lt;&gt;0,INDEX(' Disaggregation - Section E '!F$313:F791,MATCH(C1062,' Disaggregation - Section E '!A$313:A791,0)+1,1),""),"")</f>
        <v/>
      </c>
      <c r="I1062" s="171" t="str">
        <f ca="1">IFERROR(IF(VLOOKUP(C1062,' Disaggregation - Section E '!A$316:N791,8,0)=0,"",VLOOKUP(C1062,' Disaggregation - Section E '!A$316:N791,8,0)),"")</f>
        <v/>
      </c>
      <c r="J1062" s="171" t="str">
        <f ca="1">IFERROR(IF(VLOOKUP(C1062,' Disaggregation - Section E '!A$316:N791,13,0)=0,"",VLOOKUP(C1062,' Disaggregation - Section E '!A$316:N791,13,0)),"")</f>
        <v/>
      </c>
      <c r="K1062" s="166" t="str">
        <f ca="1">IFERROR(VLOOKUP(C1062,' Disaggregation - Section E '!A$316:N791,3,0),"")</f>
        <v>HIV O-4.1b⁽ᴹ⁾ Porcentaje de personas transgénero que afirman haber utilizado preservativo en su último encuentro sexual o relación de sexo anal con una pareja masculina no regular</v>
      </c>
      <c r="L1062" s="171" t="str">
        <f ca="1">IFERROR(IF(VLOOKUP(C1062,' Disaggregation - Section E '!A$316:N791,14,0)=0,"",VLOOKUP(C1062,' Disaggregation - Section E '!A$316:N791,14,0)),"")</f>
        <v/>
      </c>
      <c r="M1062" s="166" t="str">
        <f ca="1">IFERROR(IF(VLOOKUP(C1062,' Disaggregation - Section E '!A$316:T791,20,0)=0,"",VLOOKUP(C1062,' Disaggregation - Section E '!A$316:T791,20,0)),"")</f>
        <v/>
      </c>
      <c r="N1062" s="171" t="str">
        <f ca="1">IFERROR(IF(VLOOKUP(C1062,' Disaggregation - Section E '!A$316:N791,9,0)=0,"",VLOOKUP(C1062,' Disaggregation - Section E '!A$316:N791,9,0)),"")</f>
        <v/>
      </c>
      <c r="O1062" s="171" t="str">
        <f ca="1">IFERROR(IF(VLOOKUP(C1062,' Disaggregation - Section E '!A$315:N791,10,0)=0,"",VLOOKUP(C1062,' Disaggregation - Section E '!A$316:N791,10,0)),"")</f>
        <v/>
      </c>
    </row>
    <row r="1063" spans="1:15">
      <c r="A1063" s="166" t="b">
        <f t="shared" ca="1" si="139"/>
        <v>0</v>
      </c>
      <c r="B1063" s="166"/>
      <c r="C1063" s="172" t="str">
        <f ca="1">IF(COUNTA(D$885:D1063)=1,"",OFFSET(C1063,-COUNTA(D$885:D1063)+1,0))</f>
        <v>a1V3p000006h2wAEAQ</v>
      </c>
      <c r="D1063" s="177"/>
      <c r="E1063" s="168" t="str">
        <f ca="1">IFERROR(IF(VLOOKUP(C1063,' Disaggregation - Section E '!A$316:N792,7,0)="","",VLOOKUP(C1063,' Disaggregation - Section E '!A$316:N792,7,0)*100),"")</f>
        <v/>
      </c>
      <c r="F1063" s="166"/>
      <c r="G1063" s="170" t="str">
        <f ca="1">IFERROR(IF(VLOOKUP(C1063,' Disaggregation - Section E '!A$316:N792,6,0)="","",VLOOKUP(C1063,' Disaggregation - Section E '!A$316:N792,6,0)),"")</f>
        <v/>
      </c>
      <c r="H1063" s="177" t="str">
        <f ca="1">IFERROR(IF(INDEX(' Disaggregation - Section E '!F$313:F792,MATCH(C1063,' Disaggregation - Section E '!A$313:A792,0)+1,1)&lt;&gt;0,INDEX(' Disaggregation - Section E '!F$313:F792,MATCH(C1063,' Disaggregation - Section E '!A$313:A792,0)+1,1),""),"")</f>
        <v/>
      </c>
      <c r="I1063" s="171" t="str">
        <f ca="1">IFERROR(IF(VLOOKUP(C1063,' Disaggregation - Section E '!A$316:N792,8,0)=0,"",VLOOKUP(C1063,' Disaggregation - Section E '!A$316:N792,8,0)),"")</f>
        <v/>
      </c>
      <c r="J1063" s="171" t="str">
        <f ca="1">IFERROR(IF(VLOOKUP(C1063,' Disaggregation - Section E '!A$316:N792,13,0)=0,"",VLOOKUP(C1063,' Disaggregation - Section E '!A$316:N792,13,0)),"")</f>
        <v/>
      </c>
      <c r="K1063" s="166" t="str">
        <f ca="1">IFERROR(VLOOKUP(C1063,' Disaggregation - Section E '!A$316:N792,3,0),"")</f>
        <v>HIV O-4.1b⁽ᴹ⁾ Porcentaje de personas transgénero que afirman haber utilizado preservativo en su último encuentro sexual o relación de sexo anal con una pareja masculina no regular</v>
      </c>
      <c r="L1063" s="171" t="str">
        <f ca="1">IFERROR(IF(VLOOKUP(C1063,' Disaggregation - Section E '!A$316:N792,14,0)=0,"",VLOOKUP(C1063,' Disaggregation - Section E '!A$316:N792,14,0)),"")</f>
        <v/>
      </c>
      <c r="M1063" s="166" t="str">
        <f ca="1">IFERROR(IF(VLOOKUP(C1063,' Disaggregation - Section E '!A$316:T792,20,0)=0,"",VLOOKUP(C1063,' Disaggregation - Section E '!A$316:T792,20,0)),"")</f>
        <v/>
      </c>
      <c r="N1063" s="171" t="str">
        <f ca="1">IFERROR(IF(VLOOKUP(C1063,' Disaggregation - Section E '!A$316:N792,9,0)=0,"",VLOOKUP(C1063,' Disaggregation - Section E '!A$316:N792,9,0)),"")</f>
        <v/>
      </c>
      <c r="O1063" s="171" t="str">
        <f ca="1">IFERROR(IF(VLOOKUP(C1063,' Disaggregation - Section E '!A$315:N792,10,0)=0,"",VLOOKUP(C1063,' Disaggregation - Section E '!A$316:N792,10,0)),"")</f>
        <v/>
      </c>
    </row>
    <row r="1064" spans="1:15">
      <c r="A1064" s="166" t="b">
        <f t="shared" ca="1" si="139"/>
        <v>0</v>
      </c>
      <c r="B1064" s="166"/>
      <c r="C1064" s="172" t="str">
        <f ca="1">IF(COUNTA(D$885:D1064)=1,"",OFFSET(C1064,-COUNTA(D$885:D1064)+1,0))</f>
        <v>a1V3p000006h2wBEAQ</v>
      </c>
      <c r="D1064" s="177"/>
      <c r="E1064" s="168" t="str">
        <f ca="1">IFERROR(IF(VLOOKUP(C1064,' Disaggregation - Section E '!A$316:N793,7,0)="","",VLOOKUP(C1064,' Disaggregation - Section E '!A$316:N793,7,0)*100),"")</f>
        <v/>
      </c>
      <c r="F1064" s="166"/>
      <c r="G1064" s="170" t="str">
        <f ca="1">IFERROR(IF(VLOOKUP(C1064,' Disaggregation - Section E '!A$316:N793,6,0)="","",VLOOKUP(C1064,' Disaggregation - Section E '!A$316:N793,6,0)),"")</f>
        <v/>
      </c>
      <c r="H1064" s="177" t="str">
        <f ca="1">IFERROR(IF(INDEX(' Disaggregation - Section E '!F$313:F793,MATCH(C1064,' Disaggregation - Section E '!A$313:A793,0)+1,1)&lt;&gt;0,INDEX(' Disaggregation - Section E '!F$313:F793,MATCH(C1064,' Disaggregation - Section E '!A$313:A793,0)+1,1),""),"")</f>
        <v/>
      </c>
      <c r="I1064" s="171" t="str">
        <f ca="1">IFERROR(IF(VLOOKUP(C1064,' Disaggregation - Section E '!A$316:N793,8,0)=0,"",VLOOKUP(C1064,' Disaggregation - Section E '!A$316:N793,8,0)),"")</f>
        <v/>
      </c>
      <c r="J1064" s="171" t="str">
        <f ca="1">IFERROR(IF(VLOOKUP(C1064,' Disaggregation - Section E '!A$316:N793,13,0)=0,"",VLOOKUP(C1064,' Disaggregation - Section E '!A$316:N793,13,0)),"")</f>
        <v/>
      </c>
      <c r="K1064" s="166" t="str">
        <f ca="1">IFERROR(VLOOKUP(C1064,' Disaggregation - Section E '!A$316:N793,3,0),"")</f>
        <v>HIV O-4.1b⁽ᴹ⁾ Porcentaje de personas transgénero que afirman haber utilizado preservativo en su último encuentro sexual o relación de sexo anal con una pareja masculina no regular</v>
      </c>
      <c r="L1064" s="171" t="str">
        <f ca="1">IFERROR(IF(VLOOKUP(C1064,' Disaggregation - Section E '!A$316:N793,14,0)=0,"",VLOOKUP(C1064,' Disaggregation - Section E '!A$316:N793,14,0)),"")</f>
        <v/>
      </c>
      <c r="M1064" s="166" t="str">
        <f ca="1">IFERROR(IF(VLOOKUP(C1064,' Disaggregation - Section E '!A$316:T793,20,0)=0,"",VLOOKUP(C1064,' Disaggregation - Section E '!A$316:T793,20,0)),"")</f>
        <v/>
      </c>
      <c r="N1064" s="171" t="str">
        <f ca="1">IFERROR(IF(VLOOKUP(C1064,' Disaggregation - Section E '!A$316:N793,9,0)=0,"",VLOOKUP(C1064,' Disaggregation - Section E '!A$316:N793,9,0)),"")</f>
        <v/>
      </c>
      <c r="O1064" s="171" t="str">
        <f ca="1">IFERROR(IF(VLOOKUP(C1064,' Disaggregation - Section E '!A$315:N793,10,0)=0,"",VLOOKUP(C1064,' Disaggregation - Section E '!A$316:N793,10,0)),"")</f>
        <v/>
      </c>
    </row>
    <row r="1065" spans="1:15">
      <c r="A1065" s="166" t="b">
        <f t="shared" ca="1" si="139"/>
        <v>0</v>
      </c>
      <c r="B1065" s="166"/>
      <c r="C1065" s="172" t="str">
        <f ca="1">IF(COUNTA(D$885:D1065)=1,"",OFFSET(C1065,-COUNTA(D$885:D1065)+1,0))</f>
        <v>a1V3p000006h2wCEAQ</v>
      </c>
      <c r="D1065" s="177"/>
      <c r="E1065" s="168" t="str">
        <f ca="1">IFERROR(IF(VLOOKUP(C1065,' Disaggregation - Section E '!A$316:N794,7,0)="","",VLOOKUP(C1065,' Disaggregation - Section E '!A$316:N794,7,0)*100),"")</f>
        <v/>
      </c>
      <c r="F1065" s="166"/>
      <c r="G1065" s="170" t="str">
        <f ca="1">IFERROR(IF(VLOOKUP(C1065,' Disaggregation - Section E '!A$316:N794,6,0)="","",VLOOKUP(C1065,' Disaggregation - Section E '!A$316:N794,6,0)),"")</f>
        <v/>
      </c>
      <c r="H1065" s="177" t="str">
        <f ca="1">IFERROR(IF(INDEX(' Disaggregation - Section E '!F$313:F794,MATCH(C1065,' Disaggregation - Section E '!A$313:A794,0)+1,1)&lt;&gt;0,INDEX(' Disaggregation - Section E '!F$313:F794,MATCH(C1065,' Disaggregation - Section E '!A$313:A794,0)+1,1),""),"")</f>
        <v/>
      </c>
      <c r="I1065" s="171" t="str">
        <f ca="1">IFERROR(IF(VLOOKUP(C1065,' Disaggregation - Section E '!A$316:N794,8,0)=0,"",VLOOKUP(C1065,' Disaggregation - Section E '!A$316:N794,8,0)),"")</f>
        <v/>
      </c>
      <c r="J1065" s="171" t="str">
        <f ca="1">IFERROR(IF(VLOOKUP(C1065,' Disaggregation - Section E '!A$316:N794,13,0)=0,"",VLOOKUP(C1065,' Disaggregation - Section E '!A$316:N794,13,0)),"")</f>
        <v/>
      </c>
      <c r="K1065" s="166" t="str">
        <f ca="1">IFERROR(VLOOKUP(C1065,' Disaggregation - Section E '!A$316:N794,3,0),"")</f>
        <v>HIV O-4.1b⁽ᴹ⁾ Porcentaje de personas transgénero que afirman haber utilizado preservativo en su último encuentro sexual o relación de sexo anal con una pareja masculina no regular</v>
      </c>
      <c r="L1065" s="171" t="str">
        <f ca="1">IFERROR(IF(VLOOKUP(C1065,' Disaggregation - Section E '!A$316:N794,14,0)=0,"",VLOOKUP(C1065,' Disaggregation - Section E '!A$316:N794,14,0)),"")</f>
        <v/>
      </c>
      <c r="M1065" s="166" t="str">
        <f ca="1">IFERROR(IF(VLOOKUP(C1065,' Disaggregation - Section E '!A$316:T794,20,0)=0,"",VLOOKUP(C1065,' Disaggregation - Section E '!A$316:T794,20,0)),"")</f>
        <v/>
      </c>
      <c r="N1065" s="171" t="str">
        <f ca="1">IFERROR(IF(VLOOKUP(C1065,' Disaggregation - Section E '!A$316:N794,9,0)=0,"",VLOOKUP(C1065,' Disaggregation - Section E '!A$316:N794,9,0)),"")</f>
        <v/>
      </c>
      <c r="O1065" s="171" t="str">
        <f ca="1">IFERROR(IF(VLOOKUP(C1065,' Disaggregation - Section E '!A$315:N794,10,0)=0,"",VLOOKUP(C1065,' Disaggregation - Section E '!A$316:N794,10,0)),"")</f>
        <v/>
      </c>
    </row>
    <row r="1066" spans="1:15">
      <c r="A1066" s="166" t="b">
        <f t="shared" ca="1" si="139"/>
        <v>0</v>
      </c>
      <c r="B1066" s="166"/>
      <c r="C1066" s="172" t="str">
        <f ca="1">IF(COUNTA(D$885:D1066)=1,"",OFFSET(C1066,-COUNTA(D$885:D1066)+1,0))</f>
        <v>a1V3p000006h2wDEAQ</v>
      </c>
      <c r="D1066" s="177"/>
      <c r="E1066" s="168" t="str">
        <f ca="1">IFERROR(IF(VLOOKUP(C1066,' Disaggregation - Section E '!A$316:N795,7,0)="","",VLOOKUP(C1066,' Disaggregation - Section E '!A$316:N795,7,0)*100),"")</f>
        <v/>
      </c>
      <c r="F1066" s="166"/>
      <c r="G1066" s="170" t="str">
        <f ca="1">IFERROR(IF(VLOOKUP(C1066,' Disaggregation - Section E '!A$316:N795,6,0)="","",VLOOKUP(C1066,' Disaggregation - Section E '!A$316:N795,6,0)),"")</f>
        <v/>
      </c>
      <c r="H1066" s="177" t="str">
        <f ca="1">IFERROR(IF(INDEX(' Disaggregation - Section E '!F$313:F795,MATCH(C1066,' Disaggregation - Section E '!A$313:A795,0)+1,1)&lt;&gt;0,INDEX(' Disaggregation - Section E '!F$313:F795,MATCH(C1066,' Disaggregation - Section E '!A$313:A795,0)+1,1),""),"")</f>
        <v/>
      </c>
      <c r="I1066" s="171" t="str">
        <f ca="1">IFERROR(IF(VLOOKUP(C1066,' Disaggregation - Section E '!A$316:N795,8,0)=0,"",VLOOKUP(C1066,' Disaggregation - Section E '!A$316:N795,8,0)),"")</f>
        <v/>
      </c>
      <c r="J1066" s="171" t="str">
        <f ca="1">IFERROR(IF(VLOOKUP(C1066,' Disaggregation - Section E '!A$316:N795,13,0)=0,"",VLOOKUP(C1066,' Disaggregation - Section E '!A$316:N795,13,0)),"")</f>
        <v/>
      </c>
      <c r="K1066" s="166" t="str">
        <f ca="1">IFERROR(VLOOKUP(C1066,' Disaggregation - Section E '!A$316:N795,3,0),"")</f>
        <v>HIV O-4.1b⁽ᴹ⁾ Porcentaje de personas transgénero que afirman haber utilizado preservativo en su último encuentro sexual o relación de sexo anal con una pareja masculina no regular</v>
      </c>
      <c r="L1066" s="171" t="str">
        <f ca="1">IFERROR(IF(VLOOKUP(C1066,' Disaggregation - Section E '!A$316:N795,14,0)=0,"",VLOOKUP(C1066,' Disaggregation - Section E '!A$316:N795,14,0)),"")</f>
        <v/>
      </c>
      <c r="M1066" s="166" t="str">
        <f ca="1">IFERROR(IF(VLOOKUP(C1066,' Disaggregation - Section E '!A$316:T795,20,0)=0,"",VLOOKUP(C1066,' Disaggregation - Section E '!A$316:T795,20,0)),"")</f>
        <v/>
      </c>
      <c r="N1066" s="171" t="str">
        <f ca="1">IFERROR(IF(VLOOKUP(C1066,' Disaggregation - Section E '!A$316:N795,9,0)=0,"",VLOOKUP(C1066,' Disaggregation - Section E '!A$316:N795,9,0)),"")</f>
        <v/>
      </c>
      <c r="O1066" s="171" t="str">
        <f ca="1">IFERROR(IF(VLOOKUP(C1066,' Disaggregation - Section E '!A$315:N795,10,0)=0,"",VLOOKUP(C1066,' Disaggregation - Section E '!A$316:N795,10,0)),"")</f>
        <v/>
      </c>
    </row>
    <row r="1067" spans="1:15">
      <c r="A1067" s="166" t="b">
        <f t="shared" ca="1" si="139"/>
        <v>1</v>
      </c>
      <c r="B1067" s="166"/>
      <c r="C1067" s="172" t="str">
        <f ca="1">IF(COUNTA(D$885:D1067)=1,"",OFFSET(C1067,-COUNTA(D$885:D1067)+1,0))</f>
        <v>a1V3p000006h2wEEAQ</v>
      </c>
      <c r="D1067" s="177"/>
      <c r="E1067" s="168">
        <f ca="1">IFERROR(IF(VLOOKUP(C1067,' Disaggregation - Section E '!A$316:N796,7,0)="","",VLOOKUP(C1067,' Disaggregation - Section E '!A$316:N796,7,0)*100),"")</f>
        <v>87.301587301587304</v>
      </c>
      <c r="F1067" s="166"/>
      <c r="G1067" s="170">
        <f ca="1">IFERROR(IF(VLOOKUP(C1067,' Disaggregation - Section E '!A$316:N796,6,0)="","",VLOOKUP(C1067,' Disaggregation - Section E '!A$316:N796,6,0)),"")</f>
        <v>330</v>
      </c>
      <c r="H1067" s="177">
        <f ca="1">IFERROR(IF(INDEX(' Disaggregation - Section E '!F$313:F796,MATCH(C1067,' Disaggregation - Section E '!A$313:A796,0)+1,1)&lt;&gt;0,INDEX(' Disaggregation - Section E '!F$313:F796,MATCH(C1067,' Disaggregation - Section E '!A$313:A796,0)+1,1),""),"")</f>
        <v>378</v>
      </c>
      <c r="I1067" s="171">
        <f ca="1">IFERROR(IF(VLOOKUP(C1067,' Disaggregation - Section E '!A$316:N796,8,0)=0,"",VLOOKUP(C1067,' Disaggregation - Section E '!A$316:N796,8,0)),"")</f>
        <v>2021</v>
      </c>
      <c r="J1067" s="171" t="str">
        <f ca="1">IFERROR(IF(VLOOKUP(C1067,' Disaggregation - Section E '!A$316:N796,13,0)=0,"",VLOOKUP(C1067,' Disaggregation - Section E '!A$316:N796,13,0)),"")</f>
        <v/>
      </c>
      <c r="K1067" s="166" t="str">
        <f ca="1">IFERROR(VLOOKUP(C1067,' Disaggregation - Section E '!A$316:N796,3,0),"")</f>
        <v>HIV O-5⁽ᴹ⁾ Porcentaje de trabajadores sexuales que afirman haber utilizado preservativo con su último cliente</v>
      </c>
      <c r="L1067" s="171" t="str">
        <f ca="1">IFERROR(IF(VLOOKUP(C1067,' Disaggregation - Section E '!A$316:N796,14,0)=0,"",VLOOKUP(C1067,' Disaggregation - Section E '!A$316:N796,14,0)),"")</f>
        <v/>
      </c>
      <c r="M1067" s="166" t="str">
        <f ca="1">IFERROR(IF(VLOOKUP(C1067,' Disaggregation - Section E '!A$316:T796,20,0)=0,"",VLOOKUP(C1067,' Disaggregation - Section E '!A$316:T796,20,0)),"")</f>
        <v>IDR-00786</v>
      </c>
      <c r="N1067" s="171" t="str">
        <f ca="1">IFERROR(IF(VLOOKUP(C1067,' Disaggregation - Section E '!A$316:N796,9,0)=0,"",VLOOKUP(C1067,' Disaggregation - Section E '!A$316:N796,9,0)),"")</f>
        <v>Estudio Bioconductual  en Mujeres Trangénero 2021</v>
      </c>
      <c r="O1067" s="171" t="str">
        <f ca="1">IFERROR(IF(VLOOKUP(C1067,' Disaggregation - Section E '!A$315:N796,10,0)=0,"",VLOOKUP(C1067,' Disaggregation - Section E '!A$316:N796,10,0)),"")</f>
        <v>El dato corresponde a la submuestra alcanzada en el Estudio Bioconductual en mujeres transgénero 2021</v>
      </c>
    </row>
    <row r="1068" spans="1:15">
      <c r="A1068" s="166" t="b">
        <f t="shared" ca="1" si="139"/>
        <v>1</v>
      </c>
      <c r="B1068" s="166"/>
      <c r="C1068" s="172" t="str">
        <f ca="1">IF(COUNTA(D$885:D1068)=1,"",OFFSET(C1068,-COUNTA(D$885:D1068)+1,0))</f>
        <v>a1V3p000006h2wFEAQ</v>
      </c>
      <c r="D1068" s="177"/>
      <c r="E1068" s="168" t="str">
        <f ca="1">IFERROR(IF(VLOOKUP(C1068,' Disaggregation - Section E '!A$316:N797,7,0)="","",VLOOKUP(C1068,' Disaggregation - Section E '!A$316:N797,7,0)*100),"")</f>
        <v/>
      </c>
      <c r="F1068" s="166"/>
      <c r="G1068" s="170" t="str">
        <f ca="1">IFERROR(IF(VLOOKUP(C1068,' Disaggregation - Section E '!A$316:N797,6,0)="","",VLOOKUP(C1068,' Disaggregation - Section E '!A$316:N797,6,0)),"")</f>
        <v/>
      </c>
      <c r="H1068" s="177" t="str">
        <f ca="1">IFERROR(IF(INDEX(' Disaggregation - Section E '!F$313:F797,MATCH(C1068,' Disaggregation - Section E '!A$313:A797,0)+1,1)&lt;&gt;0,INDEX(' Disaggregation - Section E '!F$313:F797,MATCH(C1068,' Disaggregation - Section E '!A$313:A797,0)+1,1),""),"")</f>
        <v/>
      </c>
      <c r="I1068" s="171" t="str">
        <f ca="1">IFERROR(IF(VLOOKUP(C1068,' Disaggregation - Section E '!A$316:N797,8,0)=0,"",VLOOKUP(C1068,' Disaggregation - Section E '!A$316:N797,8,0)),"")</f>
        <v/>
      </c>
      <c r="J1068" s="171" t="str">
        <f ca="1">IFERROR(IF(VLOOKUP(C1068,' Disaggregation - Section E '!A$316:N797,13,0)=0,"",VLOOKUP(C1068,' Disaggregation - Section E '!A$316:N797,13,0)),"")</f>
        <v/>
      </c>
      <c r="K1068" s="166" t="str">
        <f ca="1">IFERROR(VLOOKUP(C1068,' Disaggregation - Section E '!A$316:N797,3,0),"")</f>
        <v>HIV O-5⁽ᴹ⁾ Porcentaje de trabajadores sexuales que afirman haber utilizado preservativo con su último cliente</v>
      </c>
      <c r="L1068" s="171" t="str">
        <f ca="1">IFERROR(IF(VLOOKUP(C1068,' Disaggregation - Section E '!A$316:N797,14,0)=0,"",VLOOKUP(C1068,' Disaggregation - Section E '!A$316:N797,14,0)),"")</f>
        <v/>
      </c>
      <c r="M1068" s="166" t="str">
        <f ca="1">IFERROR(IF(VLOOKUP(C1068,' Disaggregation - Section E '!A$316:T797,20,0)=0,"",VLOOKUP(C1068,' Disaggregation - Section E '!A$316:T797,20,0)),"")</f>
        <v>IDR-00785</v>
      </c>
      <c r="N1068" s="171" t="str">
        <f ca="1">IFERROR(IF(VLOOKUP(C1068,' Disaggregation - Section E '!A$316:N797,9,0)=0,"",VLOOKUP(C1068,' Disaggregation - Section E '!A$316:N797,9,0)),"")</f>
        <v/>
      </c>
      <c r="O1068" s="171" t="str">
        <f ca="1">IFERROR(IF(VLOOKUP(C1068,' Disaggregation - Section E '!A$315:N797,10,0)=0,"",VLOOKUP(C1068,' Disaggregation - Section E '!A$316:N797,10,0)),"")</f>
        <v>No se disponde de información actualizada en trabajadores/as sexuales</v>
      </c>
    </row>
    <row r="1069" spans="1:15">
      <c r="A1069" s="166" t="b">
        <f t="shared" ca="1" si="139"/>
        <v>1</v>
      </c>
      <c r="B1069" s="166"/>
      <c r="C1069" s="172" t="str">
        <f ca="1">IF(COUNTA(D$885:D1069)=1,"",OFFSET(C1069,-COUNTA(D$885:D1069)+1,0))</f>
        <v>a1V3p000006h2wGEAQ</v>
      </c>
      <c r="D1069" s="177"/>
      <c r="E1069" s="168" t="str">
        <f ca="1">IFERROR(IF(VLOOKUP(C1069,' Disaggregation - Section E '!A$316:N798,7,0)="","",VLOOKUP(C1069,' Disaggregation - Section E '!A$316:N798,7,0)*100),"")</f>
        <v/>
      </c>
      <c r="F1069" s="166"/>
      <c r="G1069" s="170" t="str">
        <f ca="1">IFERROR(IF(VLOOKUP(C1069,' Disaggregation - Section E '!A$316:N798,6,0)="","",VLOOKUP(C1069,' Disaggregation - Section E '!A$316:N798,6,0)),"")</f>
        <v/>
      </c>
      <c r="H1069" s="177" t="str">
        <f ca="1">IFERROR(IF(INDEX(' Disaggregation - Section E '!F$313:F798,MATCH(C1069,' Disaggregation - Section E '!A$313:A798,0)+1,1)&lt;&gt;0,INDEX(' Disaggregation - Section E '!F$313:F798,MATCH(C1069,' Disaggregation - Section E '!A$313:A798,0)+1,1),""),"")</f>
        <v/>
      </c>
      <c r="I1069" s="171" t="str">
        <f ca="1">IFERROR(IF(VLOOKUP(C1069,' Disaggregation - Section E '!A$316:N798,8,0)=0,"",VLOOKUP(C1069,' Disaggregation - Section E '!A$316:N798,8,0)),"")</f>
        <v/>
      </c>
      <c r="J1069" s="171" t="str">
        <f ca="1">IFERROR(IF(VLOOKUP(C1069,' Disaggregation - Section E '!A$316:N798,13,0)=0,"",VLOOKUP(C1069,' Disaggregation - Section E '!A$316:N798,13,0)),"")</f>
        <v/>
      </c>
      <c r="K1069" s="166" t="str">
        <f ca="1">IFERROR(VLOOKUP(C1069,' Disaggregation - Section E '!A$316:N798,3,0),"")</f>
        <v>HIV O-5⁽ᴹ⁾ Porcentaje de trabajadores sexuales que afirman haber utilizado preservativo con su último cliente</v>
      </c>
      <c r="L1069" s="171" t="str">
        <f ca="1">IFERROR(IF(VLOOKUP(C1069,' Disaggregation - Section E '!A$316:N798,14,0)=0,"",VLOOKUP(C1069,' Disaggregation - Section E '!A$316:N798,14,0)),"")</f>
        <v/>
      </c>
      <c r="M1069" s="166" t="str">
        <f ca="1">IFERROR(IF(VLOOKUP(C1069,' Disaggregation - Section E '!A$316:T798,20,0)=0,"",VLOOKUP(C1069,' Disaggregation - Section E '!A$316:T798,20,0)),"")</f>
        <v>IDR-00784</v>
      </c>
      <c r="N1069" s="171" t="str">
        <f ca="1">IFERROR(IF(VLOOKUP(C1069,' Disaggregation - Section E '!A$316:N798,9,0)=0,"",VLOOKUP(C1069,' Disaggregation - Section E '!A$316:N798,9,0)),"")</f>
        <v/>
      </c>
      <c r="O1069" s="171" t="str">
        <f ca="1">IFERROR(IF(VLOOKUP(C1069,' Disaggregation - Section E '!A$315:N798,10,0)=0,"",VLOOKUP(C1069,' Disaggregation - Section E '!A$316:N798,10,0)),"")</f>
        <v>No se disponde de información actualizada en trabajadores/as sexuales</v>
      </c>
    </row>
    <row r="1070" spans="1:15">
      <c r="A1070" s="166" t="b">
        <f t="shared" ca="1" si="139"/>
        <v>1</v>
      </c>
      <c r="B1070" s="166"/>
      <c r="C1070" s="172" t="str">
        <f ca="1">IF(COUNTA(D$885:D1070)=1,"",OFFSET(C1070,-COUNTA(D$885:D1070)+1,0))</f>
        <v>a1V3p000006h2wHEAQ</v>
      </c>
      <c r="D1070" s="177"/>
      <c r="E1070" s="168" t="str">
        <f ca="1">IFERROR(IF(VLOOKUP(C1070,' Disaggregation - Section E '!A$316:N799,7,0)="","",VLOOKUP(C1070,' Disaggregation - Section E '!A$316:N799,7,0)*100),"")</f>
        <v/>
      </c>
      <c r="F1070" s="166"/>
      <c r="G1070" s="170" t="str">
        <f ca="1">IFERROR(IF(VLOOKUP(C1070,' Disaggregation - Section E '!A$316:N799,6,0)="","",VLOOKUP(C1070,' Disaggregation - Section E '!A$316:N799,6,0)),"")</f>
        <v/>
      </c>
      <c r="H1070" s="177" t="str">
        <f ca="1">IFERROR(IF(INDEX(' Disaggregation - Section E '!F$313:F799,MATCH(C1070,' Disaggregation - Section E '!A$313:A799,0)+1,1)&lt;&gt;0,INDEX(' Disaggregation - Section E '!F$313:F799,MATCH(C1070,' Disaggregation - Section E '!A$313:A799,0)+1,1),""),"")</f>
        <v/>
      </c>
      <c r="I1070" s="171" t="str">
        <f ca="1">IFERROR(IF(VLOOKUP(C1070,' Disaggregation - Section E '!A$316:N799,8,0)=0,"",VLOOKUP(C1070,' Disaggregation - Section E '!A$316:N799,8,0)),"")</f>
        <v/>
      </c>
      <c r="J1070" s="171" t="str">
        <f ca="1">IFERROR(IF(VLOOKUP(C1070,' Disaggregation - Section E '!A$316:N799,13,0)=0,"",VLOOKUP(C1070,' Disaggregation - Section E '!A$316:N799,13,0)),"")</f>
        <v/>
      </c>
      <c r="K1070" s="166" t="str">
        <f ca="1">IFERROR(VLOOKUP(C1070,' Disaggregation - Section E '!A$316:N799,3,0),"")</f>
        <v>HIV O-5⁽ᴹ⁾ Porcentaje de trabajadores sexuales que afirman haber utilizado preservativo con su último cliente</v>
      </c>
      <c r="L1070" s="171" t="str">
        <f ca="1">IFERROR(IF(VLOOKUP(C1070,' Disaggregation - Section E '!A$316:N799,14,0)=0,"",VLOOKUP(C1070,' Disaggregation - Section E '!A$316:N799,14,0)),"")</f>
        <v/>
      </c>
      <c r="M1070" s="166" t="str">
        <f ca="1">IFERROR(IF(VLOOKUP(C1070,' Disaggregation - Section E '!A$316:T799,20,0)=0,"",VLOOKUP(C1070,' Disaggregation - Section E '!A$316:T799,20,0)),"")</f>
        <v>IDR-00675</v>
      </c>
      <c r="N1070" s="171" t="str">
        <f ca="1">IFERROR(IF(VLOOKUP(C1070,' Disaggregation - Section E '!A$316:N799,9,0)=0,"",VLOOKUP(C1070,' Disaggregation - Section E '!A$316:N799,9,0)),"")</f>
        <v/>
      </c>
      <c r="O1070" s="171" t="str">
        <f ca="1">IFERROR(IF(VLOOKUP(C1070,' Disaggregation - Section E '!A$315:N799,10,0)=0,"",VLOOKUP(C1070,' Disaggregation - Section E '!A$316:N799,10,0)),"")</f>
        <v>No se disponde de información actualizada en trabajadores/as sexuales</v>
      </c>
    </row>
    <row r="1071" spans="1:15">
      <c r="A1071" s="166" t="b">
        <f t="shared" ca="1" si="139"/>
        <v>1</v>
      </c>
      <c r="B1071" s="166"/>
      <c r="C1071" s="172" t="str">
        <f ca="1">IF(COUNTA(D$885:D1071)=1,"",OFFSET(C1071,-COUNTA(D$885:D1071)+1,0))</f>
        <v>a1V3p000006h2wIEAQ</v>
      </c>
      <c r="D1071" s="177"/>
      <c r="E1071" s="168" t="str">
        <f ca="1">IFERROR(IF(VLOOKUP(C1071,' Disaggregation - Section E '!A$316:N800,7,0)="","",VLOOKUP(C1071,' Disaggregation - Section E '!A$316:N800,7,0)*100),"")</f>
        <v/>
      </c>
      <c r="F1071" s="166"/>
      <c r="G1071" s="170" t="str">
        <f ca="1">IFERROR(IF(VLOOKUP(C1071,' Disaggregation - Section E '!A$316:N800,6,0)="","",VLOOKUP(C1071,' Disaggregation - Section E '!A$316:N800,6,0)),"")</f>
        <v/>
      </c>
      <c r="H1071" s="177" t="str">
        <f ca="1">IFERROR(IF(INDEX(' Disaggregation - Section E '!F$313:F800,MATCH(C1071,' Disaggregation - Section E '!A$313:A800,0)+1,1)&lt;&gt;0,INDEX(' Disaggregation - Section E '!F$313:F800,MATCH(C1071,' Disaggregation - Section E '!A$313:A800,0)+1,1),""),"")</f>
        <v/>
      </c>
      <c r="I1071" s="171" t="str">
        <f ca="1">IFERROR(IF(VLOOKUP(C1071,' Disaggregation - Section E '!A$316:N800,8,0)=0,"",VLOOKUP(C1071,' Disaggregation - Section E '!A$316:N800,8,0)),"")</f>
        <v/>
      </c>
      <c r="J1071" s="171" t="str">
        <f ca="1">IFERROR(IF(VLOOKUP(C1071,' Disaggregation - Section E '!A$316:N800,13,0)=0,"",VLOOKUP(C1071,' Disaggregation - Section E '!A$316:N800,13,0)),"")</f>
        <v/>
      </c>
      <c r="K1071" s="166" t="str">
        <f ca="1">IFERROR(VLOOKUP(C1071,' Disaggregation - Section E '!A$316:N800,3,0),"")</f>
        <v>HIV O-5⁽ᴹ⁾ Porcentaje de trabajadores sexuales que afirman haber utilizado preservativo con su último cliente</v>
      </c>
      <c r="L1071" s="171" t="str">
        <f ca="1">IFERROR(IF(VLOOKUP(C1071,' Disaggregation - Section E '!A$316:N800,14,0)=0,"",VLOOKUP(C1071,' Disaggregation - Section E '!A$316:N800,14,0)),"")</f>
        <v/>
      </c>
      <c r="M1071" s="166" t="str">
        <f ca="1">IFERROR(IF(VLOOKUP(C1071,' Disaggregation - Section E '!A$316:T800,20,0)=0,"",VLOOKUP(C1071,' Disaggregation - Section E '!A$316:T800,20,0)),"")</f>
        <v>IDR-00674</v>
      </c>
      <c r="N1071" s="171" t="str">
        <f ca="1">IFERROR(IF(VLOOKUP(C1071,' Disaggregation - Section E '!A$316:N800,9,0)=0,"",VLOOKUP(C1071,' Disaggregation - Section E '!A$316:N800,9,0)),"")</f>
        <v/>
      </c>
      <c r="O1071" s="171" t="str">
        <f ca="1">IFERROR(IF(VLOOKUP(C1071,' Disaggregation - Section E '!A$315:N800,10,0)=0,"",VLOOKUP(C1071,' Disaggregation - Section E '!A$316:N800,10,0)),"")</f>
        <v>No se disponde de información actualizada en trabajadores/as sexuales</v>
      </c>
    </row>
    <row r="1072" spans="1:15">
      <c r="A1072" s="166" t="b">
        <f t="shared" ca="1" si="139"/>
        <v>0</v>
      </c>
      <c r="B1072" s="166"/>
      <c r="C1072" s="172" t="str">
        <f ca="1">IF(COUNTA(D$885:D1072)=1,"",OFFSET(C1072,-COUNTA(D$885:D1072)+1,0))</f>
        <v>a1V3p000006h2wJEAQ</v>
      </c>
      <c r="D1072" s="177"/>
      <c r="E1072" s="168" t="str">
        <f ca="1">IFERROR(IF(VLOOKUP(C1072,' Disaggregation - Section E '!A$316:N801,7,0)="","",VLOOKUP(C1072,' Disaggregation - Section E '!A$316:N801,7,0)*100),"")</f>
        <v/>
      </c>
      <c r="F1072" s="166"/>
      <c r="G1072" s="170" t="str">
        <f ca="1">IFERROR(IF(VLOOKUP(C1072,' Disaggregation - Section E '!A$316:N801,6,0)="","",VLOOKUP(C1072,' Disaggregation - Section E '!A$316:N801,6,0)),"")</f>
        <v/>
      </c>
      <c r="H1072" s="177" t="str">
        <f ca="1">IFERROR(IF(INDEX(' Disaggregation - Section E '!F$313:F801,MATCH(C1072,' Disaggregation - Section E '!A$313:A801,0)+1,1)&lt;&gt;0,INDEX(' Disaggregation - Section E '!F$313:F801,MATCH(C1072,' Disaggregation - Section E '!A$313:A801,0)+1,1),""),"")</f>
        <v/>
      </c>
      <c r="I1072" s="171" t="str">
        <f ca="1">IFERROR(IF(VLOOKUP(C1072,' Disaggregation - Section E '!A$316:N801,8,0)=0,"",VLOOKUP(C1072,' Disaggregation - Section E '!A$316:N801,8,0)),"")</f>
        <v/>
      </c>
      <c r="J1072" s="171" t="str">
        <f ca="1">IFERROR(IF(VLOOKUP(C1072,' Disaggregation - Section E '!A$316:N801,13,0)=0,"",VLOOKUP(C1072,' Disaggregation - Section E '!A$316:N801,13,0)),"")</f>
        <v/>
      </c>
      <c r="K1072" s="166" t="str">
        <f ca="1">IFERROR(VLOOKUP(C1072,' Disaggregation - Section E '!A$316:N801,3,0),"")</f>
        <v>HIV O-5⁽ᴹ⁾ Porcentaje de trabajadores sexuales que afirman haber utilizado preservativo con su último cliente</v>
      </c>
      <c r="L1072" s="171" t="str">
        <f ca="1">IFERROR(IF(VLOOKUP(C1072,' Disaggregation - Section E '!A$316:N801,14,0)=0,"",VLOOKUP(C1072,' Disaggregation - Section E '!A$316:N801,14,0)),"")</f>
        <v/>
      </c>
      <c r="M1072" s="166" t="str">
        <f ca="1">IFERROR(IF(VLOOKUP(C1072,' Disaggregation - Section E '!A$316:T801,20,0)=0,"",VLOOKUP(C1072,' Disaggregation - Section E '!A$316:T801,20,0)),"")</f>
        <v/>
      </c>
      <c r="N1072" s="171" t="str">
        <f ca="1">IFERROR(IF(VLOOKUP(C1072,' Disaggregation - Section E '!A$316:N801,9,0)=0,"",VLOOKUP(C1072,' Disaggregation - Section E '!A$316:N801,9,0)),"")</f>
        <v/>
      </c>
      <c r="O1072" s="171" t="str">
        <f ca="1">IFERROR(IF(VLOOKUP(C1072,' Disaggregation - Section E '!A$315:N801,10,0)=0,"",VLOOKUP(C1072,' Disaggregation - Section E '!A$316:N801,10,0)),"")</f>
        <v/>
      </c>
    </row>
    <row r="1073" spans="1:15">
      <c r="A1073" s="166" t="b">
        <f t="shared" ca="1" si="139"/>
        <v>0</v>
      </c>
      <c r="B1073" s="166"/>
      <c r="C1073" s="172" t="str">
        <f ca="1">IF(COUNTA(D$885:D1073)=1,"",OFFSET(C1073,-COUNTA(D$885:D1073)+1,0))</f>
        <v>a1V3p000006h2wKEAQ</v>
      </c>
      <c r="D1073" s="177"/>
      <c r="E1073" s="168" t="str">
        <f ca="1">IFERROR(IF(VLOOKUP(C1073,' Disaggregation - Section E '!A$316:N802,7,0)="","",VLOOKUP(C1073,' Disaggregation - Section E '!A$316:N802,7,0)*100),"")</f>
        <v/>
      </c>
      <c r="F1073" s="166"/>
      <c r="G1073" s="170" t="str">
        <f ca="1">IFERROR(IF(VLOOKUP(C1073,' Disaggregation - Section E '!A$316:N802,6,0)="","",VLOOKUP(C1073,' Disaggregation - Section E '!A$316:N802,6,0)),"")</f>
        <v/>
      </c>
      <c r="H1073" s="177" t="str">
        <f ca="1">IFERROR(IF(INDEX(' Disaggregation - Section E '!F$313:F802,MATCH(C1073,' Disaggregation - Section E '!A$313:A802,0)+1,1)&lt;&gt;0,INDEX(' Disaggregation - Section E '!F$313:F802,MATCH(C1073,' Disaggregation - Section E '!A$313:A802,0)+1,1),""),"")</f>
        <v/>
      </c>
      <c r="I1073" s="171" t="str">
        <f ca="1">IFERROR(IF(VLOOKUP(C1073,' Disaggregation - Section E '!A$316:N802,8,0)=0,"",VLOOKUP(C1073,' Disaggregation - Section E '!A$316:N802,8,0)),"")</f>
        <v/>
      </c>
      <c r="J1073" s="171" t="str">
        <f ca="1">IFERROR(IF(VLOOKUP(C1073,' Disaggregation - Section E '!A$316:N802,13,0)=0,"",VLOOKUP(C1073,' Disaggregation - Section E '!A$316:N802,13,0)),"")</f>
        <v/>
      </c>
      <c r="K1073" s="166" t="str">
        <f ca="1">IFERROR(VLOOKUP(C1073,' Disaggregation - Section E '!A$316:N802,3,0),"")</f>
        <v>HIV O-5⁽ᴹ⁾ Porcentaje de trabajadores sexuales que afirman haber utilizado preservativo con su último cliente</v>
      </c>
      <c r="L1073" s="171" t="str">
        <f ca="1">IFERROR(IF(VLOOKUP(C1073,' Disaggregation - Section E '!A$316:N802,14,0)=0,"",VLOOKUP(C1073,' Disaggregation - Section E '!A$316:N802,14,0)),"")</f>
        <v/>
      </c>
      <c r="M1073" s="166" t="str">
        <f ca="1">IFERROR(IF(VLOOKUP(C1073,' Disaggregation - Section E '!A$316:T802,20,0)=0,"",VLOOKUP(C1073,' Disaggregation - Section E '!A$316:T802,20,0)),"")</f>
        <v/>
      </c>
      <c r="N1073" s="171" t="str">
        <f ca="1">IFERROR(IF(VLOOKUP(C1073,' Disaggregation - Section E '!A$316:N802,9,0)=0,"",VLOOKUP(C1073,' Disaggregation - Section E '!A$316:N802,9,0)),"")</f>
        <v/>
      </c>
      <c r="O1073" s="171" t="str">
        <f ca="1">IFERROR(IF(VLOOKUP(C1073,' Disaggregation - Section E '!A$315:N802,10,0)=0,"",VLOOKUP(C1073,' Disaggregation - Section E '!A$316:N802,10,0)),"")</f>
        <v/>
      </c>
    </row>
    <row r="1074" spans="1:15">
      <c r="A1074" s="166" t="b">
        <f t="shared" ca="1" si="139"/>
        <v>0</v>
      </c>
      <c r="B1074" s="166"/>
      <c r="C1074" s="172" t="str">
        <f ca="1">IF(COUNTA(D$885:D1074)=1,"",OFFSET(C1074,-COUNTA(D$885:D1074)+1,0))</f>
        <v>a1V3p000006h2wLEAQ</v>
      </c>
      <c r="D1074" s="177"/>
      <c r="E1074" s="168" t="str">
        <f ca="1">IFERROR(IF(VLOOKUP(C1074,' Disaggregation - Section E '!A$316:N803,7,0)="","",VLOOKUP(C1074,' Disaggregation - Section E '!A$316:N803,7,0)*100),"")</f>
        <v/>
      </c>
      <c r="F1074" s="166"/>
      <c r="G1074" s="170" t="str">
        <f ca="1">IFERROR(IF(VLOOKUP(C1074,' Disaggregation - Section E '!A$316:N803,6,0)="","",VLOOKUP(C1074,' Disaggregation - Section E '!A$316:N803,6,0)),"")</f>
        <v/>
      </c>
      <c r="H1074" s="177" t="str">
        <f ca="1">IFERROR(IF(INDEX(' Disaggregation - Section E '!F$313:F803,MATCH(C1074,' Disaggregation - Section E '!A$313:A803,0)+1,1)&lt;&gt;0,INDEX(' Disaggregation - Section E '!F$313:F803,MATCH(C1074,' Disaggregation - Section E '!A$313:A803,0)+1,1),""),"")</f>
        <v/>
      </c>
      <c r="I1074" s="171" t="str">
        <f ca="1">IFERROR(IF(VLOOKUP(C1074,' Disaggregation - Section E '!A$316:N803,8,0)=0,"",VLOOKUP(C1074,' Disaggregation - Section E '!A$316:N803,8,0)),"")</f>
        <v/>
      </c>
      <c r="J1074" s="171" t="str">
        <f ca="1">IFERROR(IF(VLOOKUP(C1074,' Disaggregation - Section E '!A$316:N803,13,0)=0,"",VLOOKUP(C1074,' Disaggregation - Section E '!A$316:N803,13,0)),"")</f>
        <v/>
      </c>
      <c r="K1074" s="166" t="str">
        <f ca="1">IFERROR(VLOOKUP(C1074,' Disaggregation - Section E '!A$316:N803,3,0),"")</f>
        <v>HIV O-5⁽ᴹ⁾ Porcentaje de trabajadores sexuales que afirman haber utilizado preservativo con su último cliente</v>
      </c>
      <c r="L1074" s="171" t="str">
        <f ca="1">IFERROR(IF(VLOOKUP(C1074,' Disaggregation - Section E '!A$316:N803,14,0)=0,"",VLOOKUP(C1074,' Disaggregation - Section E '!A$316:N803,14,0)),"")</f>
        <v/>
      </c>
      <c r="M1074" s="166" t="str">
        <f ca="1">IFERROR(IF(VLOOKUP(C1074,' Disaggregation - Section E '!A$316:T803,20,0)=0,"",VLOOKUP(C1074,' Disaggregation - Section E '!A$316:T803,20,0)),"")</f>
        <v/>
      </c>
      <c r="N1074" s="171" t="str">
        <f ca="1">IFERROR(IF(VLOOKUP(C1074,' Disaggregation - Section E '!A$316:N803,9,0)=0,"",VLOOKUP(C1074,' Disaggregation - Section E '!A$316:N803,9,0)),"")</f>
        <v/>
      </c>
      <c r="O1074" s="171" t="str">
        <f ca="1">IFERROR(IF(VLOOKUP(C1074,' Disaggregation - Section E '!A$315:N803,10,0)=0,"",VLOOKUP(C1074,' Disaggregation - Section E '!A$316:N803,10,0)),"")</f>
        <v/>
      </c>
    </row>
    <row r="1075" spans="1:15">
      <c r="A1075" s="166" t="b">
        <f t="shared" ca="1" si="139"/>
        <v>0</v>
      </c>
      <c r="B1075" s="166"/>
      <c r="C1075" s="172" t="str">
        <f ca="1">IF(COUNTA(D$885:D1075)=1,"",OFFSET(C1075,-COUNTA(D$885:D1075)+1,0))</f>
        <v>a1V3p000006h2wMEAQ</v>
      </c>
      <c r="D1075" s="177"/>
      <c r="E1075" s="168" t="str">
        <f ca="1">IFERROR(IF(VLOOKUP(C1075,' Disaggregation - Section E '!A$316:N804,7,0)="","",VLOOKUP(C1075,' Disaggregation - Section E '!A$316:N804,7,0)*100),"")</f>
        <v/>
      </c>
      <c r="F1075" s="166"/>
      <c r="G1075" s="170" t="str">
        <f ca="1">IFERROR(IF(VLOOKUP(C1075,' Disaggregation - Section E '!A$316:N804,6,0)="","",VLOOKUP(C1075,' Disaggregation - Section E '!A$316:N804,6,0)),"")</f>
        <v/>
      </c>
      <c r="H1075" s="177" t="str">
        <f ca="1">IFERROR(IF(INDEX(' Disaggregation - Section E '!F$313:F804,MATCH(C1075,' Disaggregation - Section E '!A$313:A804,0)+1,1)&lt;&gt;0,INDEX(' Disaggregation - Section E '!F$313:F804,MATCH(C1075,' Disaggregation - Section E '!A$313:A804,0)+1,1),""),"")</f>
        <v/>
      </c>
      <c r="I1075" s="171" t="str">
        <f ca="1">IFERROR(IF(VLOOKUP(C1075,' Disaggregation - Section E '!A$316:N804,8,0)=0,"",VLOOKUP(C1075,' Disaggregation - Section E '!A$316:N804,8,0)),"")</f>
        <v/>
      </c>
      <c r="J1075" s="171" t="str">
        <f ca="1">IFERROR(IF(VLOOKUP(C1075,' Disaggregation - Section E '!A$316:N804,13,0)=0,"",VLOOKUP(C1075,' Disaggregation - Section E '!A$316:N804,13,0)),"")</f>
        <v/>
      </c>
      <c r="K1075" s="166" t="str">
        <f ca="1">IFERROR(VLOOKUP(C1075,' Disaggregation - Section E '!A$316:N804,3,0),"")</f>
        <v>HIV O-5⁽ᴹ⁾ Porcentaje de trabajadores sexuales que afirman haber utilizado preservativo con su último cliente</v>
      </c>
      <c r="L1075" s="171" t="str">
        <f ca="1">IFERROR(IF(VLOOKUP(C1075,' Disaggregation - Section E '!A$316:N804,14,0)=0,"",VLOOKUP(C1075,' Disaggregation - Section E '!A$316:N804,14,0)),"")</f>
        <v/>
      </c>
      <c r="M1075" s="166" t="str">
        <f ca="1">IFERROR(IF(VLOOKUP(C1075,' Disaggregation - Section E '!A$316:T804,20,0)=0,"",VLOOKUP(C1075,' Disaggregation - Section E '!A$316:T804,20,0)),"")</f>
        <v/>
      </c>
      <c r="N1075" s="171" t="str">
        <f ca="1">IFERROR(IF(VLOOKUP(C1075,' Disaggregation - Section E '!A$316:N804,9,0)=0,"",VLOOKUP(C1075,' Disaggregation - Section E '!A$316:N804,9,0)),"")</f>
        <v/>
      </c>
      <c r="O1075" s="171" t="str">
        <f ca="1">IFERROR(IF(VLOOKUP(C1075,' Disaggregation - Section E '!A$315:N804,10,0)=0,"",VLOOKUP(C1075,' Disaggregation - Section E '!A$316:N804,10,0)),"")</f>
        <v/>
      </c>
    </row>
    <row r="1076" spans="1:15">
      <c r="A1076" s="166" t="b">
        <f t="shared" ca="1" si="139"/>
        <v>0</v>
      </c>
      <c r="B1076" s="166"/>
      <c r="C1076" s="172" t="str">
        <f ca="1">IF(COUNTA(D$885:D1076)=1,"",OFFSET(C1076,-COUNTA(D$885:D1076)+1,0))</f>
        <v>a1V3p000006h2wNEAQ</v>
      </c>
      <c r="D1076" s="177"/>
      <c r="E1076" s="168" t="str">
        <f ca="1">IFERROR(IF(VLOOKUP(C1076,' Disaggregation - Section E '!A$316:N805,7,0)="","",VLOOKUP(C1076,' Disaggregation - Section E '!A$316:N805,7,0)*100),"")</f>
        <v/>
      </c>
      <c r="F1076" s="166"/>
      <c r="G1076" s="170" t="str">
        <f ca="1">IFERROR(IF(VLOOKUP(C1076,' Disaggregation - Section E '!A$316:N805,6,0)="","",VLOOKUP(C1076,' Disaggregation - Section E '!A$316:N805,6,0)),"")</f>
        <v/>
      </c>
      <c r="H1076" s="177" t="str">
        <f ca="1">IFERROR(IF(INDEX(' Disaggregation - Section E '!F$313:F805,MATCH(C1076,' Disaggregation - Section E '!A$313:A805,0)+1,1)&lt;&gt;0,INDEX(' Disaggregation - Section E '!F$313:F805,MATCH(C1076,' Disaggregation - Section E '!A$313:A805,0)+1,1),""),"")</f>
        <v/>
      </c>
      <c r="I1076" s="171" t="str">
        <f ca="1">IFERROR(IF(VLOOKUP(C1076,' Disaggregation - Section E '!A$316:N805,8,0)=0,"",VLOOKUP(C1076,' Disaggregation - Section E '!A$316:N805,8,0)),"")</f>
        <v/>
      </c>
      <c r="J1076" s="171" t="str">
        <f ca="1">IFERROR(IF(VLOOKUP(C1076,' Disaggregation - Section E '!A$316:N805,13,0)=0,"",VLOOKUP(C1076,' Disaggregation - Section E '!A$316:N805,13,0)),"")</f>
        <v/>
      </c>
      <c r="K1076" s="166" t="str">
        <f ca="1">IFERROR(VLOOKUP(C1076,' Disaggregation - Section E '!A$316:N805,3,0),"")</f>
        <v>HIV O-5⁽ᴹ⁾ Porcentaje de trabajadores sexuales que afirman haber utilizado preservativo con su último cliente</v>
      </c>
      <c r="L1076" s="171" t="str">
        <f ca="1">IFERROR(IF(VLOOKUP(C1076,' Disaggregation - Section E '!A$316:N805,14,0)=0,"",VLOOKUP(C1076,' Disaggregation - Section E '!A$316:N805,14,0)),"")</f>
        <v/>
      </c>
      <c r="M1076" s="166" t="str">
        <f ca="1">IFERROR(IF(VLOOKUP(C1076,' Disaggregation - Section E '!A$316:T805,20,0)=0,"",VLOOKUP(C1076,' Disaggregation - Section E '!A$316:T805,20,0)),"")</f>
        <v/>
      </c>
      <c r="N1076" s="171" t="str">
        <f ca="1">IFERROR(IF(VLOOKUP(C1076,' Disaggregation - Section E '!A$316:N805,9,0)=0,"",VLOOKUP(C1076,' Disaggregation - Section E '!A$316:N805,9,0)),"")</f>
        <v/>
      </c>
      <c r="O1076" s="171" t="str">
        <f ca="1">IFERROR(IF(VLOOKUP(C1076,' Disaggregation - Section E '!A$315:N805,10,0)=0,"",VLOOKUP(C1076,' Disaggregation - Section E '!A$316:N805,10,0)),"")</f>
        <v/>
      </c>
    </row>
    <row r="1077" spans="1:15">
      <c r="A1077" s="166" t="b">
        <f t="shared" ca="1" si="139"/>
        <v>1</v>
      </c>
      <c r="B1077" s="166"/>
      <c r="C1077" s="172" t="str">
        <f ca="1">IF(COUNTA(D$885:D1077)=1,"",OFFSET(C1077,-COUNTA(D$885:D1077)+1,0))</f>
        <v>a1V3p000006h2wOEAQ</v>
      </c>
      <c r="D1077" s="177"/>
      <c r="E1077" s="168">
        <f ca="1">IFERROR(IF(VLOOKUP(C1077,' Disaggregation - Section E '!A$316:N806,7,0)="","",VLOOKUP(C1077,' Disaggregation - Section E '!A$316:N806,7,0)*100),"")</f>
        <v>89.0625</v>
      </c>
      <c r="F1077" s="166"/>
      <c r="G1077" s="170">
        <f ca="1">IFERROR(IF(VLOOKUP(C1077,' Disaggregation - Section E '!A$316:N806,6,0)="","",VLOOKUP(C1077,' Disaggregation - Section E '!A$316:N806,6,0)),"")</f>
        <v>57</v>
      </c>
      <c r="H1077" s="177">
        <f ca="1">IFERROR(IF(INDEX(' Disaggregation - Section E '!F$313:F806,MATCH(C1077,' Disaggregation - Section E '!A$313:A806,0)+1,1)&lt;&gt;0,INDEX(' Disaggregation - Section E '!F$313:F806,MATCH(C1077,' Disaggregation - Section E '!A$313:A806,0)+1,1),""),"")</f>
        <v>64</v>
      </c>
      <c r="I1077" s="171">
        <f ca="1">IFERROR(IF(VLOOKUP(C1077,' Disaggregation - Section E '!A$316:N806,8,0)=0,"",VLOOKUP(C1077,' Disaggregation - Section E '!A$316:N806,8,0)),"")</f>
        <v>2021</v>
      </c>
      <c r="J1077" s="171" t="str">
        <f ca="1">IFERROR(IF(VLOOKUP(C1077,' Disaggregation - Section E '!A$316:N806,13,0)=0,"",VLOOKUP(C1077,' Disaggregation - Section E '!A$316:N806,13,0)),"")</f>
        <v/>
      </c>
      <c r="K1077" s="166" t="str">
        <f ca="1">IFERROR(VLOOKUP(C1077,' Disaggregation - Section E '!A$316:N806,3,0),"")</f>
        <v>HIV O-12 Porcentaje de personas que viven con VIH que reciben tratamiento antirretroviral y tienen carga viral suprimida</v>
      </c>
      <c r="L1077" s="171" t="str">
        <f ca="1">IFERROR(IF(VLOOKUP(C1077,' Disaggregation - Section E '!A$316:N806,14,0)=0,"",VLOOKUP(C1077,' Disaggregation - Section E '!A$316:N806,14,0)),"")</f>
        <v/>
      </c>
      <c r="M1077" s="166" t="str">
        <f ca="1">IFERROR(IF(VLOOKUP(C1077,' Disaggregation - Section E '!A$316:T806,20,0)=0,"",VLOOKUP(C1077,' Disaggregation - Section E '!A$316:T806,20,0)),"")</f>
        <v>IDR-00800</v>
      </c>
      <c r="N1077" s="171" t="str">
        <f ca="1">IFERROR(IF(VLOOKUP(C1077,' Disaggregation - Section E '!A$316:N806,9,0)=0,"",VLOOKUP(C1077,' Disaggregation - Section E '!A$316:N806,9,0)),"")</f>
        <v>SIMONE</v>
      </c>
      <c r="O1077" s="171" t="str">
        <f ca="1">IFERROR(IF(VLOOKUP(C1077,' Disaggregation - Section E '!A$315:N806,10,0)=0,"",VLOOKUP(C1077,' Disaggregation - Section E '!A$316:N806,10,0)),"")</f>
        <v/>
      </c>
    </row>
    <row r="1078" spans="1:15">
      <c r="A1078" s="166" t="b">
        <f t="shared" ca="1" si="139"/>
        <v>1</v>
      </c>
      <c r="B1078" s="166"/>
      <c r="C1078" s="172" t="str">
        <f ca="1">IF(COUNTA(D$885:D1078)=1,"",OFFSET(C1078,-COUNTA(D$885:D1078)+1,0))</f>
        <v>a1V3p000006h2wPEAQ</v>
      </c>
      <c r="D1078" s="177"/>
      <c r="E1078" s="168">
        <f ca="1">IFERROR(IF(VLOOKUP(C1078,' Disaggregation - Section E '!A$316:N807,7,0)="","",VLOOKUP(C1078,' Disaggregation - Section E '!A$316:N807,7,0)*100),"")</f>
        <v>85.100286532951287</v>
      </c>
      <c r="F1078" s="166"/>
      <c r="G1078" s="170">
        <f ca="1">IFERROR(IF(VLOOKUP(C1078,' Disaggregation - Section E '!A$316:N807,6,0)="","",VLOOKUP(C1078,' Disaggregation - Section E '!A$316:N807,6,0)),"")</f>
        <v>2673</v>
      </c>
      <c r="H1078" s="177">
        <f ca="1">IFERROR(IF(INDEX(' Disaggregation - Section E '!F$313:F807,MATCH(C1078,' Disaggregation - Section E '!A$313:A807,0)+1,1)&lt;&gt;0,INDEX(' Disaggregation - Section E '!F$313:F807,MATCH(C1078,' Disaggregation - Section E '!A$313:A807,0)+1,1),""),"")</f>
        <v>3141</v>
      </c>
      <c r="I1078" s="171">
        <f ca="1">IFERROR(IF(VLOOKUP(C1078,' Disaggregation - Section E '!A$316:N807,8,0)=0,"",VLOOKUP(C1078,' Disaggregation - Section E '!A$316:N807,8,0)),"")</f>
        <v>2021</v>
      </c>
      <c r="J1078" s="171" t="str">
        <f ca="1">IFERROR(IF(VLOOKUP(C1078,' Disaggregation - Section E '!A$316:N807,13,0)=0,"",VLOOKUP(C1078,' Disaggregation - Section E '!A$316:N807,13,0)),"")</f>
        <v/>
      </c>
      <c r="K1078" s="166" t="str">
        <f ca="1">IFERROR(VLOOKUP(C1078,' Disaggregation - Section E '!A$316:N807,3,0),"")</f>
        <v>HIV O-12 Porcentaje de personas que viven con VIH que reciben tratamiento antirretroviral y tienen carga viral suprimida</v>
      </c>
      <c r="L1078" s="171" t="str">
        <f ca="1">IFERROR(IF(VLOOKUP(C1078,' Disaggregation - Section E '!A$316:N807,14,0)=0,"",VLOOKUP(C1078,' Disaggregation - Section E '!A$316:N807,14,0)),"")</f>
        <v/>
      </c>
      <c r="M1078" s="166" t="str">
        <f ca="1">IFERROR(IF(VLOOKUP(C1078,' Disaggregation - Section E '!A$316:T807,20,0)=0,"",VLOOKUP(C1078,' Disaggregation - Section E '!A$316:T807,20,0)),"")</f>
        <v>IDR-00797</v>
      </c>
      <c r="N1078" s="171" t="str">
        <f ca="1">IFERROR(IF(VLOOKUP(C1078,' Disaggregation - Section E '!A$316:N807,9,0)=0,"",VLOOKUP(C1078,' Disaggregation - Section E '!A$316:N807,9,0)),"")</f>
        <v>SIMONE</v>
      </c>
      <c r="O1078" s="171" t="str">
        <f ca="1">IFERROR(IF(VLOOKUP(C1078,' Disaggregation - Section E '!A$315:N807,10,0)=0,"",VLOOKUP(C1078,' Disaggregation - Section E '!A$316:N807,10,0)),"")</f>
        <v/>
      </c>
    </row>
    <row r="1079" spans="1:15">
      <c r="A1079" s="166" t="b">
        <f t="shared" ca="1" si="139"/>
        <v>1</v>
      </c>
      <c r="B1079" s="166"/>
      <c r="C1079" s="172" t="str">
        <f ca="1">IF(COUNTA(D$885:D1079)=1,"",OFFSET(C1079,-COUNTA(D$885:D1079)+1,0))</f>
        <v>a1V3p000006h2wQEAQ</v>
      </c>
      <c r="D1079" s="177"/>
      <c r="E1079" s="168">
        <f ca="1">IFERROR(IF(VLOOKUP(C1079,' Disaggregation - Section E '!A$316:N808,7,0)="","",VLOOKUP(C1079,' Disaggregation - Section E '!A$316:N808,7,0)*100),"")</f>
        <v>90.844493030882759</v>
      </c>
      <c r="F1079" s="166"/>
      <c r="G1079" s="170">
        <f ca="1">IFERROR(IF(VLOOKUP(C1079,' Disaggregation - Section E '!A$316:N808,6,0)="","",VLOOKUP(C1079,' Disaggregation - Section E '!A$316:N808,6,0)),"")</f>
        <v>6648</v>
      </c>
      <c r="H1079" s="177">
        <f ca="1">IFERROR(IF(INDEX(' Disaggregation - Section E '!F$313:F808,MATCH(C1079,' Disaggregation - Section E '!A$313:A808,0)+1,1)&lt;&gt;0,INDEX(' Disaggregation - Section E '!F$313:F808,MATCH(C1079,' Disaggregation - Section E '!A$313:A808,0)+1,1),""),"")</f>
        <v>7318</v>
      </c>
      <c r="I1079" s="171">
        <f ca="1">IFERROR(IF(VLOOKUP(C1079,' Disaggregation - Section E '!A$316:N808,8,0)=0,"",VLOOKUP(C1079,' Disaggregation - Section E '!A$316:N808,8,0)),"")</f>
        <v>2021</v>
      </c>
      <c r="J1079" s="171" t="str">
        <f ca="1">IFERROR(IF(VLOOKUP(C1079,' Disaggregation - Section E '!A$316:N808,13,0)=0,"",VLOOKUP(C1079,' Disaggregation - Section E '!A$316:N808,13,0)),"")</f>
        <v/>
      </c>
      <c r="K1079" s="166" t="str">
        <f ca="1">IFERROR(VLOOKUP(C1079,' Disaggregation - Section E '!A$316:N808,3,0),"")</f>
        <v>HIV O-12 Porcentaje de personas que viven con VIH que reciben tratamiento antirretroviral y tienen carga viral suprimida</v>
      </c>
      <c r="L1079" s="171" t="str">
        <f ca="1">IFERROR(IF(VLOOKUP(C1079,' Disaggregation - Section E '!A$316:N808,14,0)=0,"",VLOOKUP(C1079,' Disaggregation - Section E '!A$316:N808,14,0)),"")</f>
        <v/>
      </c>
      <c r="M1079" s="166" t="str">
        <f ca="1">IFERROR(IF(VLOOKUP(C1079,' Disaggregation - Section E '!A$316:T808,20,0)=0,"",VLOOKUP(C1079,' Disaggregation - Section E '!A$316:T808,20,0)),"")</f>
        <v>IDR-00796</v>
      </c>
      <c r="N1079" s="171" t="str">
        <f ca="1">IFERROR(IF(VLOOKUP(C1079,' Disaggregation - Section E '!A$316:N808,9,0)=0,"",VLOOKUP(C1079,' Disaggregation - Section E '!A$316:N808,9,0)),"")</f>
        <v>SIMONE</v>
      </c>
      <c r="O1079" s="171" t="str">
        <f ca="1">IFERROR(IF(VLOOKUP(C1079,' Disaggregation - Section E '!A$315:N808,10,0)=0,"",VLOOKUP(C1079,' Disaggregation - Section E '!A$316:N808,10,0)),"")</f>
        <v/>
      </c>
    </row>
    <row r="1080" spans="1:15">
      <c r="A1080" s="166" t="b">
        <f t="shared" ca="1" si="139"/>
        <v>0</v>
      </c>
      <c r="B1080" s="166"/>
      <c r="C1080" s="172" t="str">
        <f ca="1">IF(COUNTA(D$885:D1080)=1,"",OFFSET(C1080,-COUNTA(D$885:D1080)+1,0))</f>
        <v>a1V3p000006h2wREAQ</v>
      </c>
      <c r="D1080" s="177"/>
      <c r="E1080" s="168" t="str">
        <f ca="1">IFERROR(IF(VLOOKUP(C1080,' Disaggregation - Section E '!A$316:N809,7,0)="","",VLOOKUP(C1080,' Disaggregation - Section E '!A$316:N809,7,0)*100),"")</f>
        <v/>
      </c>
      <c r="F1080" s="166"/>
      <c r="G1080" s="170" t="str">
        <f ca="1">IFERROR(IF(VLOOKUP(C1080,' Disaggregation - Section E '!A$316:N809,6,0)="","",VLOOKUP(C1080,' Disaggregation - Section E '!A$316:N809,6,0)),"")</f>
        <v/>
      </c>
      <c r="H1080" s="177" t="str">
        <f ca="1">IFERROR(IF(INDEX(' Disaggregation - Section E '!F$313:F809,MATCH(C1080,' Disaggregation - Section E '!A$313:A809,0)+1,1)&lt;&gt;0,INDEX(' Disaggregation - Section E '!F$313:F809,MATCH(C1080,' Disaggregation - Section E '!A$313:A809,0)+1,1),""),"")</f>
        <v/>
      </c>
      <c r="I1080" s="171" t="str">
        <f ca="1">IFERROR(IF(VLOOKUP(C1080,' Disaggregation - Section E '!A$316:N809,8,0)=0,"",VLOOKUP(C1080,' Disaggregation - Section E '!A$316:N809,8,0)),"")</f>
        <v/>
      </c>
      <c r="J1080" s="171" t="str">
        <f ca="1">IFERROR(IF(VLOOKUP(C1080,' Disaggregation - Section E '!A$316:N809,13,0)=0,"",VLOOKUP(C1080,' Disaggregation - Section E '!A$316:N809,13,0)),"")</f>
        <v/>
      </c>
      <c r="K1080" s="166" t="str">
        <f ca="1">IFERROR(VLOOKUP(C1080,' Disaggregation - Section E '!A$316:N809,3,0),"")</f>
        <v>HIV O-12 Porcentaje de personas que viven con VIH que reciben tratamiento antirretroviral y tienen carga viral suprimida</v>
      </c>
      <c r="L1080" s="171" t="str">
        <f ca="1">IFERROR(IF(VLOOKUP(C1080,' Disaggregation - Section E '!A$316:N809,14,0)=0,"",VLOOKUP(C1080,' Disaggregation - Section E '!A$316:N809,14,0)),"")</f>
        <v/>
      </c>
      <c r="M1080" s="166" t="str">
        <f ca="1">IFERROR(IF(VLOOKUP(C1080,' Disaggregation - Section E '!A$316:T809,20,0)=0,"",VLOOKUP(C1080,' Disaggregation - Section E '!A$316:T809,20,0)),"")</f>
        <v/>
      </c>
      <c r="N1080" s="171" t="str">
        <f ca="1">IFERROR(IF(VLOOKUP(C1080,' Disaggregation - Section E '!A$316:N809,9,0)=0,"",VLOOKUP(C1080,' Disaggregation - Section E '!A$316:N809,9,0)),"")</f>
        <v/>
      </c>
      <c r="O1080" s="171" t="str">
        <f ca="1">IFERROR(IF(VLOOKUP(C1080,' Disaggregation - Section E '!A$315:N809,10,0)=0,"",VLOOKUP(C1080,' Disaggregation - Section E '!A$316:N809,10,0)),"")</f>
        <v/>
      </c>
    </row>
    <row r="1081" spans="1:15">
      <c r="A1081" s="166" t="b">
        <f t="shared" ca="1" si="139"/>
        <v>0</v>
      </c>
      <c r="B1081" s="166"/>
      <c r="C1081" s="172" t="str">
        <f ca="1">IF(COUNTA(D$885:D1081)=1,"",OFFSET(C1081,-COUNTA(D$885:D1081)+1,0))</f>
        <v>a1V3p000006h2wSEAQ</v>
      </c>
      <c r="D1081" s="177"/>
      <c r="E1081" s="168" t="str">
        <f ca="1">IFERROR(IF(VLOOKUP(C1081,' Disaggregation - Section E '!A$316:N810,7,0)="","",VLOOKUP(C1081,' Disaggregation - Section E '!A$316:N810,7,0)*100),"")</f>
        <v/>
      </c>
      <c r="F1081" s="166"/>
      <c r="G1081" s="170" t="str">
        <f ca="1">IFERROR(IF(VLOOKUP(C1081,' Disaggregation - Section E '!A$316:N810,6,0)="","",VLOOKUP(C1081,' Disaggregation - Section E '!A$316:N810,6,0)),"")</f>
        <v/>
      </c>
      <c r="H1081" s="177" t="str">
        <f ca="1">IFERROR(IF(INDEX(' Disaggregation - Section E '!F$313:F810,MATCH(C1081,' Disaggregation - Section E '!A$313:A810,0)+1,1)&lt;&gt;0,INDEX(' Disaggregation - Section E '!F$313:F810,MATCH(C1081,' Disaggregation - Section E '!A$313:A810,0)+1,1),""),"")</f>
        <v/>
      </c>
      <c r="I1081" s="171" t="str">
        <f ca="1">IFERROR(IF(VLOOKUP(C1081,' Disaggregation - Section E '!A$316:N810,8,0)=0,"",VLOOKUP(C1081,' Disaggregation - Section E '!A$316:N810,8,0)),"")</f>
        <v/>
      </c>
      <c r="J1081" s="171" t="str">
        <f ca="1">IFERROR(IF(VLOOKUP(C1081,' Disaggregation - Section E '!A$316:N810,13,0)=0,"",VLOOKUP(C1081,' Disaggregation - Section E '!A$316:N810,13,0)),"")</f>
        <v/>
      </c>
      <c r="K1081" s="166" t="str">
        <f ca="1">IFERROR(VLOOKUP(C1081,' Disaggregation - Section E '!A$316:N810,3,0),"")</f>
        <v>HIV O-12 Porcentaje de personas que viven con VIH que reciben tratamiento antirretroviral y tienen carga viral suprimida</v>
      </c>
      <c r="L1081" s="171" t="str">
        <f ca="1">IFERROR(IF(VLOOKUP(C1081,' Disaggregation - Section E '!A$316:N810,14,0)=0,"",VLOOKUP(C1081,' Disaggregation - Section E '!A$316:N810,14,0)),"")</f>
        <v/>
      </c>
      <c r="M1081" s="166" t="str">
        <f ca="1">IFERROR(IF(VLOOKUP(C1081,' Disaggregation - Section E '!A$316:T810,20,0)=0,"",VLOOKUP(C1081,' Disaggregation - Section E '!A$316:T810,20,0)),"")</f>
        <v/>
      </c>
      <c r="N1081" s="171" t="str">
        <f ca="1">IFERROR(IF(VLOOKUP(C1081,' Disaggregation - Section E '!A$316:N810,9,0)=0,"",VLOOKUP(C1081,' Disaggregation - Section E '!A$316:N810,9,0)),"")</f>
        <v/>
      </c>
      <c r="O1081" s="171" t="str">
        <f ca="1">IFERROR(IF(VLOOKUP(C1081,' Disaggregation - Section E '!A$315:N810,10,0)=0,"",VLOOKUP(C1081,' Disaggregation - Section E '!A$316:N810,10,0)),"")</f>
        <v/>
      </c>
    </row>
    <row r="1082" spans="1:15">
      <c r="A1082" s="166" t="b">
        <f t="shared" ca="1" si="139"/>
        <v>0</v>
      </c>
      <c r="B1082" s="166"/>
      <c r="C1082" s="172" t="str">
        <f ca="1">IF(COUNTA(D$885:D1082)=1,"",OFFSET(C1082,-COUNTA(D$885:D1082)+1,0))</f>
        <v>a1V3p000006h2wTEAQ</v>
      </c>
      <c r="D1082" s="177"/>
      <c r="E1082" s="168" t="str">
        <f ca="1">IFERROR(IF(VLOOKUP(C1082,' Disaggregation - Section E '!A$316:N811,7,0)="","",VLOOKUP(C1082,' Disaggregation - Section E '!A$316:N811,7,0)*100),"")</f>
        <v/>
      </c>
      <c r="F1082" s="166"/>
      <c r="G1082" s="170" t="str">
        <f ca="1">IFERROR(IF(VLOOKUP(C1082,' Disaggregation - Section E '!A$316:N811,6,0)="","",VLOOKUP(C1082,' Disaggregation - Section E '!A$316:N811,6,0)),"")</f>
        <v/>
      </c>
      <c r="H1082" s="177" t="str">
        <f ca="1">IFERROR(IF(INDEX(' Disaggregation - Section E '!F$313:F811,MATCH(C1082,' Disaggregation - Section E '!A$313:A811,0)+1,1)&lt;&gt;0,INDEX(' Disaggregation - Section E '!F$313:F811,MATCH(C1082,' Disaggregation - Section E '!A$313:A811,0)+1,1),""),"")</f>
        <v/>
      </c>
      <c r="I1082" s="171" t="str">
        <f ca="1">IFERROR(IF(VLOOKUP(C1082,' Disaggregation - Section E '!A$316:N811,8,0)=0,"",VLOOKUP(C1082,' Disaggregation - Section E '!A$316:N811,8,0)),"")</f>
        <v/>
      </c>
      <c r="J1082" s="171" t="str">
        <f ca="1">IFERROR(IF(VLOOKUP(C1082,' Disaggregation - Section E '!A$316:N811,13,0)=0,"",VLOOKUP(C1082,' Disaggregation - Section E '!A$316:N811,13,0)),"")</f>
        <v/>
      </c>
      <c r="K1082" s="166" t="str">
        <f ca="1">IFERROR(VLOOKUP(C1082,' Disaggregation - Section E '!A$316:N811,3,0),"")</f>
        <v>HIV O-12 Porcentaje de personas que viven con VIH que reciben tratamiento antirretroviral y tienen carga viral suprimida</v>
      </c>
      <c r="L1082" s="171" t="str">
        <f ca="1">IFERROR(IF(VLOOKUP(C1082,' Disaggregation - Section E '!A$316:N811,14,0)=0,"",VLOOKUP(C1082,' Disaggregation - Section E '!A$316:N811,14,0)),"")</f>
        <v/>
      </c>
      <c r="M1082" s="166" t="str">
        <f ca="1">IFERROR(IF(VLOOKUP(C1082,' Disaggregation - Section E '!A$316:T811,20,0)=0,"",VLOOKUP(C1082,' Disaggregation - Section E '!A$316:T811,20,0)),"")</f>
        <v/>
      </c>
      <c r="N1082" s="171" t="str">
        <f ca="1">IFERROR(IF(VLOOKUP(C1082,' Disaggregation - Section E '!A$316:N811,9,0)=0,"",VLOOKUP(C1082,' Disaggregation - Section E '!A$316:N811,9,0)),"")</f>
        <v/>
      </c>
      <c r="O1082" s="171" t="str">
        <f ca="1">IFERROR(IF(VLOOKUP(C1082,' Disaggregation - Section E '!A$315:N811,10,0)=0,"",VLOOKUP(C1082,' Disaggregation - Section E '!A$316:N811,10,0)),"")</f>
        <v/>
      </c>
    </row>
    <row r="1083" spans="1:15">
      <c r="A1083" s="166" t="b">
        <f t="shared" ca="1" si="139"/>
        <v>0</v>
      </c>
      <c r="B1083" s="166"/>
      <c r="C1083" s="172" t="str">
        <f ca="1">IF(COUNTA(D$885:D1083)=1,"",OFFSET(C1083,-COUNTA(D$885:D1083)+1,0))</f>
        <v>a1V3p000006h2wUEAQ</v>
      </c>
      <c r="D1083" s="177"/>
      <c r="E1083" s="168" t="str">
        <f ca="1">IFERROR(IF(VLOOKUP(C1083,' Disaggregation - Section E '!A$316:N812,7,0)="","",VLOOKUP(C1083,' Disaggregation - Section E '!A$316:N812,7,0)*100),"")</f>
        <v/>
      </c>
      <c r="F1083" s="166"/>
      <c r="G1083" s="170" t="str">
        <f ca="1">IFERROR(IF(VLOOKUP(C1083,' Disaggregation - Section E '!A$316:N812,6,0)="","",VLOOKUP(C1083,' Disaggregation - Section E '!A$316:N812,6,0)),"")</f>
        <v/>
      </c>
      <c r="H1083" s="177" t="str">
        <f ca="1">IFERROR(IF(INDEX(' Disaggregation - Section E '!F$313:F812,MATCH(C1083,' Disaggregation - Section E '!A$313:A812,0)+1,1)&lt;&gt;0,INDEX(' Disaggregation - Section E '!F$313:F812,MATCH(C1083,' Disaggregation - Section E '!A$313:A812,0)+1,1),""),"")</f>
        <v/>
      </c>
      <c r="I1083" s="171" t="str">
        <f ca="1">IFERROR(IF(VLOOKUP(C1083,' Disaggregation - Section E '!A$316:N812,8,0)=0,"",VLOOKUP(C1083,' Disaggregation - Section E '!A$316:N812,8,0)),"")</f>
        <v/>
      </c>
      <c r="J1083" s="171" t="str">
        <f ca="1">IFERROR(IF(VLOOKUP(C1083,' Disaggregation - Section E '!A$316:N812,13,0)=0,"",VLOOKUP(C1083,' Disaggregation - Section E '!A$316:N812,13,0)),"")</f>
        <v/>
      </c>
      <c r="K1083" s="166" t="str">
        <f ca="1">IFERROR(VLOOKUP(C1083,' Disaggregation - Section E '!A$316:N812,3,0),"")</f>
        <v>HIV O-12 Porcentaje de personas que viven con VIH que reciben tratamiento antirretroviral y tienen carga viral suprimida</v>
      </c>
      <c r="L1083" s="171" t="str">
        <f ca="1">IFERROR(IF(VLOOKUP(C1083,' Disaggregation - Section E '!A$316:N812,14,0)=0,"",VLOOKUP(C1083,' Disaggregation - Section E '!A$316:N812,14,0)),"")</f>
        <v/>
      </c>
      <c r="M1083" s="166" t="str">
        <f ca="1">IFERROR(IF(VLOOKUP(C1083,' Disaggregation - Section E '!A$316:T812,20,0)=0,"",VLOOKUP(C1083,' Disaggregation - Section E '!A$316:T812,20,0)),"")</f>
        <v/>
      </c>
      <c r="N1083" s="171" t="str">
        <f ca="1">IFERROR(IF(VLOOKUP(C1083,' Disaggregation - Section E '!A$316:N812,9,0)=0,"",VLOOKUP(C1083,' Disaggregation - Section E '!A$316:N812,9,0)),"")</f>
        <v/>
      </c>
      <c r="O1083" s="171" t="str">
        <f ca="1">IFERROR(IF(VLOOKUP(C1083,' Disaggregation - Section E '!A$315:N812,10,0)=0,"",VLOOKUP(C1083,' Disaggregation - Section E '!A$316:N812,10,0)),"")</f>
        <v/>
      </c>
    </row>
    <row r="1084" spans="1:15">
      <c r="A1084" s="166" t="b">
        <f t="shared" ca="1" si="139"/>
        <v>0</v>
      </c>
      <c r="B1084" s="166"/>
      <c r="C1084" s="172" t="str">
        <f ca="1">IF(COUNTA(D$885:D1084)=1,"",OFFSET(C1084,-COUNTA(D$885:D1084)+1,0))</f>
        <v>a1V3p000006h2wVEAQ</v>
      </c>
      <c r="D1084" s="177"/>
      <c r="E1084" s="168" t="str">
        <f ca="1">IFERROR(IF(VLOOKUP(C1084,' Disaggregation - Section E '!A$316:N813,7,0)="","",VLOOKUP(C1084,' Disaggregation - Section E '!A$316:N813,7,0)*100),"")</f>
        <v/>
      </c>
      <c r="F1084" s="166"/>
      <c r="G1084" s="170" t="str">
        <f ca="1">IFERROR(IF(VLOOKUP(C1084,' Disaggregation - Section E '!A$316:N813,6,0)="","",VLOOKUP(C1084,' Disaggregation - Section E '!A$316:N813,6,0)),"")</f>
        <v/>
      </c>
      <c r="H1084" s="177" t="str">
        <f ca="1">IFERROR(IF(INDEX(' Disaggregation - Section E '!F$313:F813,MATCH(C1084,' Disaggregation - Section E '!A$313:A813,0)+1,1)&lt;&gt;0,INDEX(' Disaggregation - Section E '!F$313:F813,MATCH(C1084,' Disaggregation - Section E '!A$313:A813,0)+1,1),""),"")</f>
        <v/>
      </c>
      <c r="I1084" s="171" t="str">
        <f ca="1">IFERROR(IF(VLOOKUP(C1084,' Disaggregation - Section E '!A$316:N813,8,0)=0,"",VLOOKUP(C1084,' Disaggregation - Section E '!A$316:N813,8,0)),"")</f>
        <v/>
      </c>
      <c r="J1084" s="171" t="str">
        <f ca="1">IFERROR(IF(VLOOKUP(C1084,' Disaggregation - Section E '!A$316:N813,13,0)=0,"",VLOOKUP(C1084,' Disaggregation - Section E '!A$316:N813,13,0)),"")</f>
        <v/>
      </c>
      <c r="K1084" s="166" t="str">
        <f ca="1">IFERROR(VLOOKUP(C1084,' Disaggregation - Section E '!A$316:N813,3,0),"")</f>
        <v>HIV O-12 Porcentaje de personas que viven con VIH que reciben tratamiento antirretroviral y tienen carga viral suprimida</v>
      </c>
      <c r="L1084" s="171" t="str">
        <f ca="1">IFERROR(IF(VLOOKUP(C1084,' Disaggregation - Section E '!A$316:N813,14,0)=0,"",VLOOKUP(C1084,' Disaggregation - Section E '!A$316:N813,14,0)),"")</f>
        <v/>
      </c>
      <c r="M1084" s="166" t="str">
        <f ca="1">IFERROR(IF(VLOOKUP(C1084,' Disaggregation - Section E '!A$316:T813,20,0)=0,"",VLOOKUP(C1084,' Disaggregation - Section E '!A$316:T813,20,0)),"")</f>
        <v/>
      </c>
      <c r="N1084" s="171" t="str">
        <f ca="1">IFERROR(IF(VLOOKUP(C1084,' Disaggregation - Section E '!A$316:N813,9,0)=0,"",VLOOKUP(C1084,' Disaggregation - Section E '!A$316:N813,9,0)),"")</f>
        <v/>
      </c>
      <c r="O1084" s="171" t="str">
        <f ca="1">IFERROR(IF(VLOOKUP(C1084,' Disaggregation - Section E '!A$315:N813,10,0)=0,"",VLOOKUP(C1084,' Disaggregation - Section E '!A$316:N813,10,0)),"")</f>
        <v/>
      </c>
    </row>
    <row r="1085" spans="1:15">
      <c r="A1085" s="166" t="b">
        <f t="shared" ca="1" si="139"/>
        <v>0</v>
      </c>
      <c r="B1085" s="166"/>
      <c r="C1085" s="172" t="str">
        <f ca="1">IF(COUNTA(D$885:D1085)=1,"",OFFSET(C1085,-COUNTA(D$885:D1085)+1,0))</f>
        <v>a1V3p000006h2wWEAQ</v>
      </c>
      <c r="D1085" s="177"/>
      <c r="E1085" s="168" t="str">
        <f ca="1">IFERROR(IF(VLOOKUP(C1085,' Disaggregation - Section E '!A$316:N814,7,0)="","",VLOOKUP(C1085,' Disaggregation - Section E '!A$316:N814,7,0)*100),"")</f>
        <v/>
      </c>
      <c r="F1085" s="166"/>
      <c r="G1085" s="170" t="str">
        <f ca="1">IFERROR(IF(VLOOKUP(C1085,' Disaggregation - Section E '!A$316:N814,6,0)="","",VLOOKUP(C1085,' Disaggregation - Section E '!A$316:N814,6,0)),"")</f>
        <v/>
      </c>
      <c r="H1085" s="177" t="str">
        <f ca="1">IFERROR(IF(INDEX(' Disaggregation - Section E '!F$313:F814,MATCH(C1085,' Disaggregation - Section E '!A$313:A814,0)+1,1)&lt;&gt;0,INDEX(' Disaggregation - Section E '!F$313:F814,MATCH(C1085,' Disaggregation - Section E '!A$313:A814,0)+1,1),""),"")</f>
        <v/>
      </c>
      <c r="I1085" s="171" t="str">
        <f ca="1">IFERROR(IF(VLOOKUP(C1085,' Disaggregation - Section E '!A$316:N814,8,0)=0,"",VLOOKUP(C1085,' Disaggregation - Section E '!A$316:N814,8,0)),"")</f>
        <v/>
      </c>
      <c r="J1085" s="171" t="str">
        <f ca="1">IFERROR(IF(VLOOKUP(C1085,' Disaggregation - Section E '!A$316:N814,13,0)=0,"",VLOOKUP(C1085,' Disaggregation - Section E '!A$316:N814,13,0)),"")</f>
        <v/>
      </c>
      <c r="K1085" s="166" t="str">
        <f ca="1">IFERROR(VLOOKUP(C1085,' Disaggregation - Section E '!A$316:N814,3,0),"")</f>
        <v>HIV O-12 Porcentaje de personas que viven con VIH que reciben tratamiento antirretroviral y tienen carga viral suprimida</v>
      </c>
      <c r="L1085" s="171" t="str">
        <f ca="1">IFERROR(IF(VLOOKUP(C1085,' Disaggregation - Section E '!A$316:N814,14,0)=0,"",VLOOKUP(C1085,' Disaggregation - Section E '!A$316:N814,14,0)),"")</f>
        <v/>
      </c>
      <c r="M1085" s="166" t="str">
        <f ca="1">IFERROR(IF(VLOOKUP(C1085,' Disaggregation - Section E '!A$316:T814,20,0)=0,"",VLOOKUP(C1085,' Disaggregation - Section E '!A$316:T814,20,0)),"")</f>
        <v/>
      </c>
      <c r="N1085" s="171" t="str">
        <f ca="1">IFERROR(IF(VLOOKUP(C1085,' Disaggregation - Section E '!A$316:N814,9,0)=0,"",VLOOKUP(C1085,' Disaggregation - Section E '!A$316:N814,9,0)),"")</f>
        <v/>
      </c>
      <c r="O1085" s="171" t="str">
        <f ca="1">IFERROR(IF(VLOOKUP(C1085,' Disaggregation - Section E '!A$315:N814,10,0)=0,"",VLOOKUP(C1085,' Disaggregation - Section E '!A$316:N814,10,0)),"")</f>
        <v/>
      </c>
    </row>
    <row r="1086" spans="1:15">
      <c r="A1086" s="166" t="b">
        <f t="shared" ca="1" si="139"/>
        <v>0</v>
      </c>
      <c r="B1086" s="166"/>
      <c r="C1086" s="172" t="str">
        <f ca="1">IF(COUNTA(D$885:D1086)=1,"",OFFSET(C1086,-COUNTA(D$885:D1086)+1,0))</f>
        <v>a1V3p000006h2wXEAQ</v>
      </c>
      <c r="D1086" s="177"/>
      <c r="E1086" s="168" t="str">
        <f ca="1">IFERROR(IF(VLOOKUP(C1086,' Disaggregation - Section E '!A$316:N815,7,0)="","",VLOOKUP(C1086,' Disaggregation - Section E '!A$316:N815,7,0)*100),"")</f>
        <v/>
      </c>
      <c r="F1086" s="166"/>
      <c r="G1086" s="170" t="str">
        <f ca="1">IFERROR(IF(VLOOKUP(C1086,' Disaggregation - Section E '!A$316:N815,6,0)="","",VLOOKUP(C1086,' Disaggregation - Section E '!A$316:N815,6,0)),"")</f>
        <v/>
      </c>
      <c r="H1086" s="177" t="str">
        <f ca="1">IFERROR(IF(INDEX(' Disaggregation - Section E '!F$313:F815,MATCH(C1086,' Disaggregation - Section E '!A$313:A815,0)+1,1)&lt;&gt;0,INDEX(' Disaggregation - Section E '!F$313:F815,MATCH(C1086,' Disaggregation - Section E '!A$313:A815,0)+1,1),""),"")</f>
        <v/>
      </c>
      <c r="I1086" s="171" t="str">
        <f ca="1">IFERROR(IF(VLOOKUP(C1086,' Disaggregation - Section E '!A$316:N815,8,0)=0,"",VLOOKUP(C1086,' Disaggregation - Section E '!A$316:N815,8,0)),"")</f>
        <v/>
      </c>
      <c r="J1086" s="171" t="str">
        <f ca="1">IFERROR(IF(VLOOKUP(C1086,' Disaggregation - Section E '!A$316:N815,13,0)=0,"",VLOOKUP(C1086,' Disaggregation - Section E '!A$316:N815,13,0)),"")</f>
        <v/>
      </c>
      <c r="K1086" s="166" t="str">
        <f ca="1">IFERROR(VLOOKUP(C1086,' Disaggregation - Section E '!A$316:N815,3,0),"")</f>
        <v>HIV O-12 Porcentaje de personas que viven con VIH que reciben tratamiento antirretroviral y tienen carga viral suprimida</v>
      </c>
      <c r="L1086" s="171" t="str">
        <f ca="1">IFERROR(IF(VLOOKUP(C1086,' Disaggregation - Section E '!A$316:N815,14,0)=0,"",VLOOKUP(C1086,' Disaggregation - Section E '!A$316:N815,14,0)),"")</f>
        <v/>
      </c>
      <c r="M1086" s="166" t="str">
        <f ca="1">IFERROR(IF(VLOOKUP(C1086,' Disaggregation - Section E '!A$316:T815,20,0)=0,"",VLOOKUP(C1086,' Disaggregation - Section E '!A$316:T815,20,0)),"")</f>
        <v/>
      </c>
      <c r="N1086" s="171" t="str">
        <f ca="1">IFERROR(IF(VLOOKUP(C1086,' Disaggregation - Section E '!A$316:N815,9,0)=0,"",VLOOKUP(C1086,' Disaggregation - Section E '!A$316:N815,9,0)),"")</f>
        <v/>
      </c>
      <c r="O1086" s="171" t="str">
        <f ca="1">IFERROR(IF(VLOOKUP(C1086,' Disaggregation - Section E '!A$315:N815,10,0)=0,"",VLOOKUP(C1086,' Disaggregation - Section E '!A$316:N815,10,0)),"")</f>
        <v/>
      </c>
    </row>
    <row r="1087" spans="1:15">
      <c r="A1087" s="166" t="b">
        <f t="shared" ca="1" si="139"/>
        <v>0</v>
      </c>
      <c r="B1087" s="166"/>
      <c r="C1087" s="172" t="str">
        <f ca="1">IF(COUNTA(D$885:D1087)=1,"",OFFSET(C1087,-COUNTA(D$885:D1087)+1,0))</f>
        <v>a1V3p000006h2wYEAQ</v>
      </c>
      <c r="D1087" s="177"/>
      <c r="E1087" s="168" t="str">
        <f ca="1">IFERROR(IF(VLOOKUP(C1087,' Disaggregation - Section E '!A$316:N816,7,0)="","",VLOOKUP(C1087,' Disaggregation - Section E '!A$316:N816,7,0)*100),"")</f>
        <v/>
      </c>
      <c r="F1087" s="166"/>
      <c r="G1087" s="170" t="str">
        <f ca="1">IFERROR(IF(VLOOKUP(C1087,' Disaggregation - Section E '!A$316:N816,6,0)="","",VLOOKUP(C1087,' Disaggregation - Section E '!A$316:N816,6,0)),"")</f>
        <v/>
      </c>
      <c r="H1087" s="177" t="str">
        <f ca="1">IFERROR(IF(INDEX(' Disaggregation - Section E '!F$313:F816,MATCH(C1087,' Disaggregation - Section E '!A$313:A816,0)+1,1)&lt;&gt;0,INDEX(' Disaggregation - Section E '!F$313:F816,MATCH(C1087,' Disaggregation - Section E '!A$313:A816,0)+1,1),""),"")</f>
        <v/>
      </c>
      <c r="I1087" s="171" t="str">
        <f ca="1">IFERROR(IF(VLOOKUP(C1087,' Disaggregation - Section E '!A$316:N816,8,0)=0,"",VLOOKUP(C1087,' Disaggregation - Section E '!A$316:N816,8,0)),"")</f>
        <v/>
      </c>
      <c r="J1087" s="171" t="str">
        <f ca="1">IFERROR(IF(VLOOKUP(C1087,' Disaggregation - Section E '!A$316:N816,13,0)=0,"",VLOOKUP(C1087,' Disaggregation - Section E '!A$316:N816,13,0)),"")</f>
        <v/>
      </c>
      <c r="K1087" s="166" t="str">
        <f ca="1">IFERROR(VLOOKUP(C1087,' Disaggregation - Section E '!A$316:N816,3,0),"")</f>
        <v>TB O-4⁽ᴹ⁾ Tasa de éxito del tratamiento de los casos de tuberculosis resistente a la rifampicina y/o tuberculosis multirresistente: Porcentaje de casos de tuberculosis resistente a la rifampicina y/o tuberculosis multirresistente tratados con éxito.</v>
      </c>
      <c r="L1087" s="171" t="str">
        <f ca="1">IFERROR(IF(VLOOKUP(C1087,' Disaggregation - Section E '!A$316:N816,14,0)=0,"",VLOOKUP(C1087,' Disaggregation - Section E '!A$316:N816,14,0)),"")</f>
        <v/>
      </c>
      <c r="M1087" s="166" t="str">
        <f ca="1">IFERROR(IF(VLOOKUP(C1087,' Disaggregation - Section E '!A$316:T816,20,0)=0,"",VLOOKUP(C1087,' Disaggregation - Section E '!A$316:T816,20,0)),"")</f>
        <v/>
      </c>
      <c r="N1087" s="171" t="str">
        <f ca="1">IFERROR(IF(VLOOKUP(C1087,' Disaggregation - Section E '!A$316:N816,9,0)=0,"",VLOOKUP(C1087,' Disaggregation - Section E '!A$316:N816,9,0)),"")</f>
        <v/>
      </c>
      <c r="O1087" s="171" t="str">
        <f ca="1">IFERROR(IF(VLOOKUP(C1087,' Disaggregation - Section E '!A$315:N816,10,0)=0,"",VLOOKUP(C1087,' Disaggregation - Section E '!A$316:N816,10,0)),"")</f>
        <v/>
      </c>
    </row>
    <row r="1088" spans="1:15">
      <c r="A1088" s="166" t="b">
        <f t="shared" ca="1" si="139"/>
        <v>0</v>
      </c>
      <c r="B1088" s="166"/>
      <c r="C1088" s="172" t="str">
        <f ca="1">IF(COUNTA(D$885:D1088)=1,"",OFFSET(C1088,-COUNTA(D$885:D1088)+1,0))</f>
        <v>a1V3p000006h2wZEAQ</v>
      </c>
      <c r="D1088" s="177"/>
      <c r="E1088" s="168" t="str">
        <f ca="1">IFERROR(IF(VLOOKUP(C1088,' Disaggregation - Section E '!A$316:N817,7,0)="","",VLOOKUP(C1088,' Disaggregation - Section E '!A$316:N817,7,0)*100),"")</f>
        <v/>
      </c>
      <c r="F1088" s="166"/>
      <c r="G1088" s="170" t="str">
        <f ca="1">IFERROR(IF(VLOOKUP(C1088,' Disaggregation - Section E '!A$316:N817,6,0)="","",VLOOKUP(C1088,' Disaggregation - Section E '!A$316:N817,6,0)),"")</f>
        <v/>
      </c>
      <c r="H1088" s="177" t="str">
        <f ca="1">IFERROR(IF(INDEX(' Disaggregation - Section E '!F$313:F817,MATCH(C1088,' Disaggregation - Section E '!A$313:A817,0)+1,1)&lt;&gt;0,INDEX(' Disaggregation - Section E '!F$313:F817,MATCH(C1088,' Disaggregation - Section E '!A$313:A817,0)+1,1),""),"")</f>
        <v/>
      </c>
      <c r="I1088" s="171" t="str">
        <f ca="1">IFERROR(IF(VLOOKUP(C1088,' Disaggregation - Section E '!A$316:N817,8,0)=0,"",VLOOKUP(C1088,' Disaggregation - Section E '!A$316:N817,8,0)),"")</f>
        <v/>
      </c>
      <c r="J1088" s="171" t="str">
        <f ca="1">IFERROR(IF(VLOOKUP(C1088,' Disaggregation - Section E '!A$316:N817,13,0)=0,"",VLOOKUP(C1088,' Disaggregation - Section E '!A$316:N817,13,0)),"")</f>
        <v/>
      </c>
      <c r="K1088" s="166" t="str">
        <f ca="1">IFERROR(VLOOKUP(C1088,' Disaggregation - Section E '!A$316:N817,3,0),"")</f>
        <v>TB O-4⁽ᴹ⁾ Tasa de éxito del tratamiento de los casos de tuberculosis resistente a la rifampicina y/o tuberculosis multirresistente: Porcentaje de casos de tuberculosis resistente a la rifampicina y/o tuberculosis multirresistente tratados con éxito.</v>
      </c>
      <c r="L1088" s="171" t="str">
        <f ca="1">IFERROR(IF(VLOOKUP(C1088,' Disaggregation - Section E '!A$316:N817,14,0)=0,"",VLOOKUP(C1088,' Disaggregation - Section E '!A$316:N817,14,0)),"")</f>
        <v/>
      </c>
      <c r="M1088" s="166" t="str">
        <f ca="1">IFERROR(IF(VLOOKUP(C1088,' Disaggregation - Section E '!A$316:T817,20,0)=0,"",VLOOKUP(C1088,' Disaggregation - Section E '!A$316:T817,20,0)),"")</f>
        <v/>
      </c>
      <c r="N1088" s="171" t="str">
        <f ca="1">IFERROR(IF(VLOOKUP(C1088,' Disaggregation - Section E '!A$316:N817,9,0)=0,"",VLOOKUP(C1088,' Disaggregation - Section E '!A$316:N817,9,0)),"")</f>
        <v/>
      </c>
      <c r="O1088" s="171" t="str">
        <f ca="1">IFERROR(IF(VLOOKUP(C1088,' Disaggregation - Section E '!A$315:N817,10,0)=0,"",VLOOKUP(C1088,' Disaggregation - Section E '!A$316:N817,10,0)),"")</f>
        <v/>
      </c>
    </row>
    <row r="1089" spans="1:15">
      <c r="A1089" s="166" t="b">
        <f t="shared" ca="1" si="139"/>
        <v>0</v>
      </c>
      <c r="B1089" s="166"/>
      <c r="C1089" s="172" t="str">
        <f ca="1">IF(COUNTA(D$885:D1089)=1,"",OFFSET(C1089,-COUNTA(D$885:D1089)+1,0))</f>
        <v>a1V3p000006h2waEAA</v>
      </c>
      <c r="D1089" s="177"/>
      <c r="E1089" s="168" t="str">
        <f ca="1">IFERROR(IF(VLOOKUP(C1089,' Disaggregation - Section E '!A$316:N818,7,0)="","",VLOOKUP(C1089,' Disaggregation - Section E '!A$316:N818,7,0)*100),"")</f>
        <v/>
      </c>
      <c r="F1089" s="166"/>
      <c r="G1089" s="170" t="str">
        <f ca="1">IFERROR(IF(VLOOKUP(C1089,' Disaggregation - Section E '!A$316:N818,6,0)="","",VLOOKUP(C1089,' Disaggregation - Section E '!A$316:N818,6,0)),"")</f>
        <v/>
      </c>
      <c r="H1089" s="177" t="str">
        <f ca="1">IFERROR(IF(INDEX(' Disaggregation - Section E '!F$313:F818,MATCH(C1089,' Disaggregation - Section E '!A$313:A818,0)+1,1)&lt;&gt;0,INDEX(' Disaggregation - Section E '!F$313:F818,MATCH(C1089,' Disaggregation - Section E '!A$313:A818,0)+1,1),""),"")</f>
        <v/>
      </c>
      <c r="I1089" s="171" t="str">
        <f ca="1">IFERROR(IF(VLOOKUP(C1089,' Disaggregation - Section E '!A$316:N818,8,0)=0,"",VLOOKUP(C1089,' Disaggregation - Section E '!A$316:N818,8,0)),"")</f>
        <v/>
      </c>
      <c r="J1089" s="171" t="str">
        <f ca="1">IFERROR(IF(VLOOKUP(C1089,' Disaggregation - Section E '!A$316:N818,13,0)=0,"",VLOOKUP(C1089,' Disaggregation - Section E '!A$316:N818,13,0)),"")</f>
        <v/>
      </c>
      <c r="K1089" s="166" t="str">
        <f ca="1">IFERROR(VLOOKUP(C1089,' Disaggregation - Section E '!A$316:N818,3,0),"")</f>
        <v>TB O-4⁽ᴹ⁾ Tasa de éxito del tratamiento de los casos de tuberculosis resistente a la rifampicina y/o tuberculosis multirresistente: Porcentaje de casos de tuberculosis resistente a la rifampicina y/o tuberculosis multirresistente tratados con éxito.</v>
      </c>
      <c r="L1089" s="171" t="str">
        <f ca="1">IFERROR(IF(VLOOKUP(C1089,' Disaggregation - Section E '!A$316:N818,14,0)=0,"",VLOOKUP(C1089,' Disaggregation - Section E '!A$316:N818,14,0)),"")</f>
        <v/>
      </c>
      <c r="M1089" s="166" t="str">
        <f ca="1">IFERROR(IF(VLOOKUP(C1089,' Disaggregation - Section E '!A$316:T818,20,0)=0,"",VLOOKUP(C1089,' Disaggregation - Section E '!A$316:T818,20,0)),"")</f>
        <v/>
      </c>
      <c r="N1089" s="171" t="str">
        <f ca="1">IFERROR(IF(VLOOKUP(C1089,' Disaggregation - Section E '!A$316:N818,9,0)=0,"",VLOOKUP(C1089,' Disaggregation - Section E '!A$316:N818,9,0)),"")</f>
        <v/>
      </c>
      <c r="O1089" s="171" t="str">
        <f ca="1">IFERROR(IF(VLOOKUP(C1089,' Disaggregation - Section E '!A$315:N818,10,0)=0,"",VLOOKUP(C1089,' Disaggregation - Section E '!A$316:N818,10,0)),"")</f>
        <v/>
      </c>
    </row>
    <row r="1090" spans="1:15">
      <c r="A1090" s="166" t="b">
        <f t="shared" ca="1" si="139"/>
        <v>0</v>
      </c>
      <c r="B1090" s="166"/>
      <c r="C1090" s="172" t="str">
        <f ca="1">IF(COUNTA(D$885:D1090)=1,"",OFFSET(C1090,-COUNTA(D$885:D1090)+1,0))</f>
        <v>a1V3p000006h2wbEAA</v>
      </c>
      <c r="D1090" s="177"/>
      <c r="E1090" s="168" t="str">
        <f ca="1">IFERROR(IF(VLOOKUP(C1090,' Disaggregation - Section E '!A$316:N819,7,0)="","",VLOOKUP(C1090,' Disaggregation - Section E '!A$316:N819,7,0)*100),"")</f>
        <v/>
      </c>
      <c r="F1090" s="166"/>
      <c r="G1090" s="170" t="str">
        <f ca="1">IFERROR(IF(VLOOKUP(C1090,' Disaggregation - Section E '!A$316:N819,6,0)="","",VLOOKUP(C1090,' Disaggregation - Section E '!A$316:N819,6,0)),"")</f>
        <v/>
      </c>
      <c r="H1090" s="177" t="str">
        <f ca="1">IFERROR(IF(INDEX(' Disaggregation - Section E '!F$313:F819,MATCH(C1090,' Disaggregation - Section E '!A$313:A819,0)+1,1)&lt;&gt;0,INDEX(' Disaggregation - Section E '!F$313:F819,MATCH(C1090,' Disaggregation - Section E '!A$313:A819,0)+1,1),""),"")</f>
        <v/>
      </c>
      <c r="I1090" s="171" t="str">
        <f ca="1">IFERROR(IF(VLOOKUP(C1090,' Disaggregation - Section E '!A$316:N819,8,0)=0,"",VLOOKUP(C1090,' Disaggregation - Section E '!A$316:N819,8,0)),"")</f>
        <v/>
      </c>
      <c r="J1090" s="171" t="str">
        <f ca="1">IFERROR(IF(VLOOKUP(C1090,' Disaggregation - Section E '!A$316:N819,13,0)=0,"",VLOOKUP(C1090,' Disaggregation - Section E '!A$316:N819,13,0)),"")</f>
        <v/>
      </c>
      <c r="K1090" s="166" t="str">
        <f ca="1">IFERROR(VLOOKUP(C1090,' Disaggregation - Section E '!A$316:N819,3,0),"")</f>
        <v>TB O-4⁽ᴹ⁾ Tasa de éxito del tratamiento de los casos de tuberculosis resistente a la rifampicina y/o tuberculosis multirresistente: Porcentaje de casos de tuberculosis resistente a la rifampicina y/o tuberculosis multirresistente tratados con éxito.</v>
      </c>
      <c r="L1090" s="171" t="str">
        <f ca="1">IFERROR(IF(VLOOKUP(C1090,' Disaggregation - Section E '!A$316:N819,14,0)=0,"",VLOOKUP(C1090,' Disaggregation - Section E '!A$316:N819,14,0)),"")</f>
        <v/>
      </c>
      <c r="M1090" s="166" t="str">
        <f ca="1">IFERROR(IF(VLOOKUP(C1090,' Disaggregation - Section E '!A$316:T819,20,0)=0,"",VLOOKUP(C1090,' Disaggregation - Section E '!A$316:T819,20,0)),"")</f>
        <v/>
      </c>
      <c r="N1090" s="171" t="str">
        <f ca="1">IFERROR(IF(VLOOKUP(C1090,' Disaggregation - Section E '!A$316:N819,9,0)=0,"",VLOOKUP(C1090,' Disaggregation - Section E '!A$316:N819,9,0)),"")</f>
        <v/>
      </c>
      <c r="O1090" s="171" t="str">
        <f ca="1">IFERROR(IF(VLOOKUP(C1090,' Disaggregation - Section E '!A$315:N819,10,0)=0,"",VLOOKUP(C1090,' Disaggregation - Section E '!A$316:N819,10,0)),"")</f>
        <v/>
      </c>
    </row>
    <row r="1091" spans="1:15">
      <c r="A1091" s="166" t="b">
        <f t="shared" ca="1" si="139"/>
        <v>0</v>
      </c>
      <c r="B1091" s="166"/>
      <c r="C1091" s="172" t="str">
        <f ca="1">IF(COUNTA(D$885:D1091)=1,"",OFFSET(C1091,-COUNTA(D$885:D1091)+1,0))</f>
        <v>a1V3p000006h2wcEAA</v>
      </c>
      <c r="D1091" s="177"/>
      <c r="E1091" s="168" t="str">
        <f ca="1">IFERROR(IF(VLOOKUP(C1091,' Disaggregation - Section E '!A$316:N820,7,0)="","",VLOOKUP(C1091,' Disaggregation - Section E '!A$316:N820,7,0)*100),"")</f>
        <v/>
      </c>
      <c r="F1091" s="166"/>
      <c r="G1091" s="170" t="str">
        <f ca="1">IFERROR(IF(VLOOKUP(C1091,' Disaggregation - Section E '!A$316:N820,6,0)="","",VLOOKUP(C1091,' Disaggregation - Section E '!A$316:N820,6,0)),"")</f>
        <v/>
      </c>
      <c r="H1091" s="177" t="str">
        <f ca="1">IFERROR(IF(INDEX(' Disaggregation - Section E '!F$313:F820,MATCH(C1091,' Disaggregation - Section E '!A$313:A820,0)+1,1)&lt;&gt;0,INDEX(' Disaggregation - Section E '!F$313:F820,MATCH(C1091,' Disaggregation - Section E '!A$313:A820,0)+1,1),""),"")</f>
        <v/>
      </c>
      <c r="I1091" s="171" t="str">
        <f ca="1">IFERROR(IF(VLOOKUP(C1091,' Disaggregation - Section E '!A$316:N820,8,0)=0,"",VLOOKUP(C1091,' Disaggregation - Section E '!A$316:N820,8,0)),"")</f>
        <v/>
      </c>
      <c r="J1091" s="171" t="str">
        <f ca="1">IFERROR(IF(VLOOKUP(C1091,' Disaggregation - Section E '!A$316:N820,13,0)=0,"",VLOOKUP(C1091,' Disaggregation - Section E '!A$316:N820,13,0)),"")</f>
        <v/>
      </c>
      <c r="K1091" s="166" t="str">
        <f ca="1">IFERROR(VLOOKUP(C1091,' Disaggregation - Section E '!A$316:N820,3,0),"")</f>
        <v>TB O-4⁽ᴹ⁾ Tasa de éxito del tratamiento de los casos de tuberculosis resistente a la rifampicina y/o tuberculosis multirresistente: Porcentaje de casos de tuberculosis resistente a la rifampicina y/o tuberculosis multirresistente tratados con éxito.</v>
      </c>
      <c r="L1091" s="171" t="str">
        <f ca="1">IFERROR(IF(VLOOKUP(C1091,' Disaggregation - Section E '!A$316:N820,14,0)=0,"",VLOOKUP(C1091,' Disaggregation - Section E '!A$316:N820,14,0)),"")</f>
        <v/>
      </c>
      <c r="M1091" s="166" t="str">
        <f ca="1">IFERROR(IF(VLOOKUP(C1091,' Disaggregation - Section E '!A$316:T820,20,0)=0,"",VLOOKUP(C1091,' Disaggregation - Section E '!A$316:T820,20,0)),"")</f>
        <v/>
      </c>
      <c r="N1091" s="171" t="str">
        <f ca="1">IFERROR(IF(VLOOKUP(C1091,' Disaggregation - Section E '!A$316:N820,9,0)=0,"",VLOOKUP(C1091,' Disaggregation - Section E '!A$316:N820,9,0)),"")</f>
        <v/>
      </c>
      <c r="O1091" s="171" t="str">
        <f ca="1">IFERROR(IF(VLOOKUP(C1091,' Disaggregation - Section E '!A$315:N820,10,0)=0,"",VLOOKUP(C1091,' Disaggregation - Section E '!A$316:N820,10,0)),"")</f>
        <v/>
      </c>
    </row>
    <row r="1092" spans="1:15">
      <c r="A1092" s="166" t="b">
        <f t="shared" ca="1" si="139"/>
        <v>0</v>
      </c>
      <c r="B1092" s="166"/>
      <c r="C1092" s="172" t="str">
        <f ca="1">IF(COUNTA(D$885:D1092)=1,"",OFFSET(C1092,-COUNTA(D$885:D1092)+1,0))</f>
        <v>a1V3p000006h2wdEAA</v>
      </c>
      <c r="D1092" s="177"/>
      <c r="E1092" s="168" t="str">
        <f ca="1">IFERROR(IF(VLOOKUP(C1092,' Disaggregation - Section E '!A$316:N821,7,0)="","",VLOOKUP(C1092,' Disaggregation - Section E '!A$316:N821,7,0)*100),"")</f>
        <v/>
      </c>
      <c r="F1092" s="166"/>
      <c r="G1092" s="170" t="str">
        <f ca="1">IFERROR(IF(VLOOKUP(C1092,' Disaggregation - Section E '!A$316:N821,6,0)="","",VLOOKUP(C1092,' Disaggregation - Section E '!A$316:N821,6,0)),"")</f>
        <v/>
      </c>
      <c r="H1092" s="177" t="str">
        <f ca="1">IFERROR(IF(INDEX(' Disaggregation - Section E '!F$313:F821,MATCH(C1092,' Disaggregation - Section E '!A$313:A821,0)+1,1)&lt;&gt;0,INDEX(' Disaggregation - Section E '!F$313:F821,MATCH(C1092,' Disaggregation - Section E '!A$313:A821,0)+1,1),""),"")</f>
        <v/>
      </c>
      <c r="I1092" s="171" t="str">
        <f ca="1">IFERROR(IF(VLOOKUP(C1092,' Disaggregation - Section E '!A$316:N821,8,0)=0,"",VLOOKUP(C1092,' Disaggregation - Section E '!A$316:N821,8,0)),"")</f>
        <v/>
      </c>
      <c r="J1092" s="171" t="str">
        <f ca="1">IFERROR(IF(VLOOKUP(C1092,' Disaggregation - Section E '!A$316:N821,13,0)=0,"",VLOOKUP(C1092,' Disaggregation - Section E '!A$316:N821,13,0)),"")</f>
        <v/>
      </c>
      <c r="K1092" s="166" t="str">
        <f ca="1">IFERROR(VLOOKUP(C1092,' Disaggregation - Section E '!A$316:N821,3,0),"")</f>
        <v>TB O-4⁽ᴹ⁾ Tasa de éxito del tratamiento de los casos de tuberculosis resistente a la rifampicina y/o tuberculosis multirresistente: Porcentaje de casos de tuberculosis resistente a la rifampicina y/o tuberculosis multirresistente tratados con éxito.</v>
      </c>
      <c r="L1092" s="171" t="str">
        <f ca="1">IFERROR(IF(VLOOKUP(C1092,' Disaggregation - Section E '!A$316:N821,14,0)=0,"",VLOOKUP(C1092,' Disaggregation - Section E '!A$316:N821,14,0)),"")</f>
        <v/>
      </c>
      <c r="M1092" s="166" t="str">
        <f ca="1">IFERROR(IF(VLOOKUP(C1092,' Disaggregation - Section E '!A$316:T821,20,0)=0,"",VLOOKUP(C1092,' Disaggregation - Section E '!A$316:T821,20,0)),"")</f>
        <v/>
      </c>
      <c r="N1092" s="171" t="str">
        <f ca="1">IFERROR(IF(VLOOKUP(C1092,' Disaggregation - Section E '!A$316:N821,9,0)=0,"",VLOOKUP(C1092,' Disaggregation - Section E '!A$316:N821,9,0)),"")</f>
        <v/>
      </c>
      <c r="O1092" s="171" t="str">
        <f ca="1">IFERROR(IF(VLOOKUP(C1092,' Disaggregation - Section E '!A$315:N821,10,0)=0,"",VLOOKUP(C1092,' Disaggregation - Section E '!A$316:N821,10,0)),"")</f>
        <v/>
      </c>
    </row>
    <row r="1093" spans="1:15">
      <c r="A1093" s="166" t="b">
        <f t="shared" ca="1" si="139"/>
        <v>0</v>
      </c>
      <c r="B1093" s="166"/>
      <c r="C1093" s="172" t="str">
        <f ca="1">IF(COUNTA(D$885:D1093)=1,"",OFFSET(C1093,-COUNTA(D$885:D1093)+1,0))</f>
        <v>a1V3p000006h2weEAA</v>
      </c>
      <c r="D1093" s="177"/>
      <c r="E1093" s="168" t="str">
        <f ca="1">IFERROR(IF(VLOOKUP(C1093,' Disaggregation - Section E '!A$316:N822,7,0)="","",VLOOKUP(C1093,' Disaggregation - Section E '!A$316:N822,7,0)*100),"")</f>
        <v/>
      </c>
      <c r="F1093" s="166"/>
      <c r="G1093" s="170" t="str">
        <f ca="1">IFERROR(IF(VLOOKUP(C1093,' Disaggregation - Section E '!A$316:N822,6,0)="","",VLOOKUP(C1093,' Disaggregation - Section E '!A$316:N822,6,0)),"")</f>
        <v/>
      </c>
      <c r="H1093" s="177" t="str">
        <f ca="1">IFERROR(IF(INDEX(' Disaggregation - Section E '!F$313:F822,MATCH(C1093,' Disaggregation - Section E '!A$313:A822,0)+1,1)&lt;&gt;0,INDEX(' Disaggregation - Section E '!F$313:F822,MATCH(C1093,' Disaggregation - Section E '!A$313:A822,0)+1,1),""),"")</f>
        <v/>
      </c>
      <c r="I1093" s="171" t="str">
        <f ca="1">IFERROR(IF(VLOOKUP(C1093,' Disaggregation - Section E '!A$316:N822,8,0)=0,"",VLOOKUP(C1093,' Disaggregation - Section E '!A$316:N822,8,0)),"")</f>
        <v/>
      </c>
      <c r="J1093" s="171" t="str">
        <f ca="1">IFERROR(IF(VLOOKUP(C1093,' Disaggregation - Section E '!A$316:N822,13,0)=0,"",VLOOKUP(C1093,' Disaggregation - Section E '!A$316:N822,13,0)),"")</f>
        <v/>
      </c>
      <c r="K1093" s="166" t="str">
        <f ca="1">IFERROR(VLOOKUP(C1093,' Disaggregation - Section E '!A$316:N822,3,0),"")</f>
        <v>TB O-4⁽ᴹ⁾ Tasa de éxito del tratamiento de los casos de tuberculosis resistente a la rifampicina y/o tuberculosis multirresistente: Porcentaje de casos de tuberculosis resistente a la rifampicina y/o tuberculosis multirresistente tratados con éxito.</v>
      </c>
      <c r="L1093" s="171" t="str">
        <f ca="1">IFERROR(IF(VLOOKUP(C1093,' Disaggregation - Section E '!A$316:N822,14,0)=0,"",VLOOKUP(C1093,' Disaggregation - Section E '!A$316:N822,14,0)),"")</f>
        <v/>
      </c>
      <c r="M1093" s="166" t="str">
        <f ca="1">IFERROR(IF(VLOOKUP(C1093,' Disaggregation - Section E '!A$316:T822,20,0)=0,"",VLOOKUP(C1093,' Disaggregation - Section E '!A$316:T822,20,0)),"")</f>
        <v/>
      </c>
      <c r="N1093" s="171" t="str">
        <f ca="1">IFERROR(IF(VLOOKUP(C1093,' Disaggregation - Section E '!A$316:N822,9,0)=0,"",VLOOKUP(C1093,' Disaggregation - Section E '!A$316:N822,9,0)),"")</f>
        <v/>
      </c>
      <c r="O1093" s="171" t="str">
        <f ca="1">IFERROR(IF(VLOOKUP(C1093,' Disaggregation - Section E '!A$315:N822,10,0)=0,"",VLOOKUP(C1093,' Disaggregation - Section E '!A$316:N822,10,0)),"")</f>
        <v/>
      </c>
    </row>
    <row r="1094" spans="1:15">
      <c r="A1094" s="166" t="b">
        <f t="shared" ca="1" si="139"/>
        <v>0</v>
      </c>
      <c r="B1094" s="166"/>
      <c r="C1094" s="172" t="str">
        <f ca="1">IF(COUNTA(D$885:D1094)=1,"",OFFSET(C1094,-COUNTA(D$885:D1094)+1,0))</f>
        <v>a1V3p000006h2wfEAA</v>
      </c>
      <c r="D1094" s="177"/>
      <c r="E1094" s="168" t="str">
        <f ca="1">IFERROR(IF(VLOOKUP(C1094,' Disaggregation - Section E '!A$316:N823,7,0)="","",VLOOKUP(C1094,' Disaggregation - Section E '!A$316:N823,7,0)*100),"")</f>
        <v/>
      </c>
      <c r="F1094" s="166"/>
      <c r="G1094" s="170" t="str">
        <f ca="1">IFERROR(IF(VLOOKUP(C1094,' Disaggregation - Section E '!A$316:N823,6,0)="","",VLOOKUP(C1094,' Disaggregation - Section E '!A$316:N823,6,0)),"")</f>
        <v/>
      </c>
      <c r="H1094" s="177" t="str">
        <f ca="1">IFERROR(IF(INDEX(' Disaggregation - Section E '!F$313:F823,MATCH(C1094,' Disaggregation - Section E '!A$313:A823,0)+1,1)&lt;&gt;0,INDEX(' Disaggregation - Section E '!F$313:F823,MATCH(C1094,' Disaggregation - Section E '!A$313:A823,0)+1,1),""),"")</f>
        <v/>
      </c>
      <c r="I1094" s="171" t="str">
        <f ca="1">IFERROR(IF(VLOOKUP(C1094,' Disaggregation - Section E '!A$316:N823,8,0)=0,"",VLOOKUP(C1094,' Disaggregation - Section E '!A$316:N823,8,0)),"")</f>
        <v/>
      </c>
      <c r="J1094" s="171" t="str">
        <f ca="1">IFERROR(IF(VLOOKUP(C1094,' Disaggregation - Section E '!A$316:N823,13,0)=0,"",VLOOKUP(C1094,' Disaggregation - Section E '!A$316:N823,13,0)),"")</f>
        <v/>
      </c>
      <c r="K1094" s="166" t="str">
        <f ca="1">IFERROR(VLOOKUP(C1094,' Disaggregation - Section E '!A$316:N823,3,0),"")</f>
        <v>TB O-4⁽ᴹ⁾ Tasa de éxito del tratamiento de los casos de tuberculosis resistente a la rifampicina y/o tuberculosis multirresistente: Porcentaje de casos de tuberculosis resistente a la rifampicina y/o tuberculosis multirresistente tratados con éxito.</v>
      </c>
      <c r="L1094" s="171" t="str">
        <f ca="1">IFERROR(IF(VLOOKUP(C1094,' Disaggregation - Section E '!A$316:N823,14,0)=0,"",VLOOKUP(C1094,' Disaggregation - Section E '!A$316:N823,14,0)),"")</f>
        <v/>
      </c>
      <c r="M1094" s="166" t="str">
        <f ca="1">IFERROR(IF(VLOOKUP(C1094,' Disaggregation - Section E '!A$316:T823,20,0)=0,"",VLOOKUP(C1094,' Disaggregation - Section E '!A$316:T823,20,0)),"")</f>
        <v/>
      </c>
      <c r="N1094" s="171" t="str">
        <f ca="1">IFERROR(IF(VLOOKUP(C1094,' Disaggregation - Section E '!A$316:N823,9,0)=0,"",VLOOKUP(C1094,' Disaggregation - Section E '!A$316:N823,9,0)),"")</f>
        <v/>
      </c>
      <c r="O1094" s="171" t="str">
        <f ca="1">IFERROR(IF(VLOOKUP(C1094,' Disaggregation - Section E '!A$315:N823,10,0)=0,"",VLOOKUP(C1094,' Disaggregation - Section E '!A$316:N823,10,0)),"")</f>
        <v/>
      </c>
    </row>
    <row r="1095" spans="1:15">
      <c r="A1095" s="166" t="b">
        <f t="shared" ca="1" si="139"/>
        <v>0</v>
      </c>
      <c r="B1095" s="166"/>
      <c r="C1095" s="172" t="str">
        <f ca="1">IF(COUNTA(D$885:D1095)=1,"",OFFSET(C1095,-COUNTA(D$885:D1095)+1,0))</f>
        <v>a1V3p000006h2wgEAA</v>
      </c>
      <c r="D1095" s="177"/>
      <c r="E1095" s="168" t="str">
        <f ca="1">IFERROR(IF(VLOOKUP(C1095,' Disaggregation - Section E '!A$316:N824,7,0)="","",VLOOKUP(C1095,' Disaggregation - Section E '!A$316:N824,7,0)*100),"")</f>
        <v/>
      </c>
      <c r="F1095" s="166"/>
      <c r="G1095" s="170" t="str">
        <f ca="1">IFERROR(IF(VLOOKUP(C1095,' Disaggregation - Section E '!A$316:N824,6,0)="","",VLOOKUP(C1095,' Disaggregation - Section E '!A$316:N824,6,0)),"")</f>
        <v/>
      </c>
      <c r="H1095" s="177" t="str">
        <f ca="1">IFERROR(IF(INDEX(' Disaggregation - Section E '!F$313:F824,MATCH(C1095,' Disaggregation - Section E '!A$313:A824,0)+1,1)&lt;&gt;0,INDEX(' Disaggregation - Section E '!F$313:F824,MATCH(C1095,' Disaggregation - Section E '!A$313:A824,0)+1,1),""),"")</f>
        <v/>
      </c>
      <c r="I1095" s="171" t="str">
        <f ca="1">IFERROR(IF(VLOOKUP(C1095,' Disaggregation - Section E '!A$316:N824,8,0)=0,"",VLOOKUP(C1095,' Disaggregation - Section E '!A$316:N824,8,0)),"")</f>
        <v/>
      </c>
      <c r="J1095" s="171" t="str">
        <f ca="1">IFERROR(IF(VLOOKUP(C1095,' Disaggregation - Section E '!A$316:N824,13,0)=0,"",VLOOKUP(C1095,' Disaggregation - Section E '!A$316:N824,13,0)),"")</f>
        <v/>
      </c>
      <c r="K1095" s="166" t="str">
        <f ca="1">IFERROR(VLOOKUP(C1095,' Disaggregation - Section E '!A$316:N824,3,0),"")</f>
        <v>TB O-4⁽ᴹ⁾ Tasa de éxito del tratamiento de los casos de tuberculosis resistente a la rifampicina y/o tuberculosis multirresistente: Porcentaje de casos de tuberculosis resistente a la rifampicina y/o tuberculosis multirresistente tratados con éxito.</v>
      </c>
      <c r="L1095" s="171" t="str">
        <f ca="1">IFERROR(IF(VLOOKUP(C1095,' Disaggregation - Section E '!A$316:N824,14,0)=0,"",VLOOKUP(C1095,' Disaggregation - Section E '!A$316:N824,14,0)),"")</f>
        <v/>
      </c>
      <c r="M1095" s="166" t="str">
        <f ca="1">IFERROR(IF(VLOOKUP(C1095,' Disaggregation - Section E '!A$316:T824,20,0)=0,"",VLOOKUP(C1095,' Disaggregation - Section E '!A$316:T824,20,0)),"")</f>
        <v/>
      </c>
      <c r="N1095" s="171" t="str">
        <f ca="1">IFERROR(IF(VLOOKUP(C1095,' Disaggregation - Section E '!A$316:N824,9,0)=0,"",VLOOKUP(C1095,' Disaggregation - Section E '!A$316:N824,9,0)),"")</f>
        <v/>
      </c>
      <c r="O1095" s="171" t="str">
        <f ca="1">IFERROR(IF(VLOOKUP(C1095,' Disaggregation - Section E '!A$315:N824,10,0)=0,"",VLOOKUP(C1095,' Disaggregation - Section E '!A$316:N824,10,0)),"")</f>
        <v/>
      </c>
    </row>
    <row r="1096" spans="1:15">
      <c r="A1096" s="166" t="b">
        <f t="shared" ca="1" si="139"/>
        <v>0</v>
      </c>
      <c r="B1096" s="166"/>
      <c r="C1096" s="172" t="str">
        <f ca="1">IF(COUNTA(D$885:D1096)=1,"",OFFSET(C1096,-COUNTA(D$885:D1096)+1,0))</f>
        <v>a1V3p000006h2whEAA</v>
      </c>
      <c r="D1096" s="177"/>
      <c r="E1096" s="168" t="str">
        <f ca="1">IFERROR(IF(VLOOKUP(C1096,' Disaggregation - Section E '!A$316:N825,7,0)="","",VLOOKUP(C1096,' Disaggregation - Section E '!A$316:N825,7,0)*100),"")</f>
        <v/>
      </c>
      <c r="F1096" s="166"/>
      <c r="G1096" s="170" t="str">
        <f ca="1">IFERROR(IF(VLOOKUP(C1096,' Disaggregation - Section E '!A$316:N825,6,0)="","",VLOOKUP(C1096,' Disaggregation - Section E '!A$316:N825,6,0)),"")</f>
        <v/>
      </c>
      <c r="H1096" s="177" t="str">
        <f ca="1">IFERROR(IF(INDEX(' Disaggregation - Section E '!F$313:F825,MATCH(C1096,' Disaggregation - Section E '!A$313:A825,0)+1,1)&lt;&gt;0,INDEX(' Disaggregation - Section E '!F$313:F825,MATCH(C1096,' Disaggregation - Section E '!A$313:A825,0)+1,1),""),"")</f>
        <v/>
      </c>
      <c r="I1096" s="171" t="str">
        <f ca="1">IFERROR(IF(VLOOKUP(C1096,' Disaggregation - Section E '!A$316:N825,8,0)=0,"",VLOOKUP(C1096,' Disaggregation - Section E '!A$316:N825,8,0)),"")</f>
        <v/>
      </c>
      <c r="J1096" s="171" t="str">
        <f ca="1">IFERROR(IF(VLOOKUP(C1096,' Disaggregation - Section E '!A$316:N825,13,0)=0,"",VLOOKUP(C1096,' Disaggregation - Section E '!A$316:N825,13,0)),"")</f>
        <v/>
      </c>
      <c r="K1096" s="166" t="str">
        <f ca="1">IFERROR(VLOOKUP(C1096,' Disaggregation - Section E '!A$316:N825,3,0),"")</f>
        <v>TB O-4⁽ᴹ⁾ Tasa de éxito del tratamiento de los casos de tuberculosis resistente a la rifampicina y/o tuberculosis multirresistente: Porcentaje de casos de tuberculosis resistente a la rifampicina y/o tuberculosis multirresistente tratados con éxito.</v>
      </c>
      <c r="L1096" s="171" t="str">
        <f ca="1">IFERROR(IF(VLOOKUP(C1096,' Disaggregation - Section E '!A$316:N825,14,0)=0,"",VLOOKUP(C1096,' Disaggregation - Section E '!A$316:N825,14,0)),"")</f>
        <v/>
      </c>
      <c r="M1096" s="166" t="str">
        <f ca="1">IFERROR(IF(VLOOKUP(C1096,' Disaggregation - Section E '!A$316:T825,20,0)=0,"",VLOOKUP(C1096,' Disaggregation - Section E '!A$316:T825,20,0)),"")</f>
        <v/>
      </c>
      <c r="N1096" s="171" t="str">
        <f ca="1">IFERROR(IF(VLOOKUP(C1096,' Disaggregation - Section E '!A$316:N825,9,0)=0,"",VLOOKUP(C1096,' Disaggregation - Section E '!A$316:N825,9,0)),"")</f>
        <v/>
      </c>
      <c r="O1096" s="171" t="str">
        <f ca="1">IFERROR(IF(VLOOKUP(C1096,' Disaggregation - Section E '!A$315:N825,10,0)=0,"",VLOOKUP(C1096,' Disaggregation - Section E '!A$316:N825,10,0)),"")</f>
        <v/>
      </c>
    </row>
    <row r="1097" spans="1:15">
      <c r="A1097" s="166" t="b">
        <f t="shared" ca="1" si="139"/>
        <v>0</v>
      </c>
      <c r="B1097" s="166"/>
      <c r="C1097" s="172" t="str">
        <f ca="1">IF(COUNTA(D$885:D1097)=1,"",OFFSET(C1097,-COUNTA(D$885:D1097)+1,0))</f>
        <v>a1V3p000006h2wiEAA</v>
      </c>
      <c r="D1097" s="177"/>
      <c r="E1097" s="168" t="str">
        <f ca="1">IFERROR(IF(VLOOKUP(C1097,' Disaggregation - Section E '!A$316:N826,7,0)="","",VLOOKUP(C1097,' Disaggregation - Section E '!A$316:N826,7,0)*100),"")</f>
        <v/>
      </c>
      <c r="F1097" s="166"/>
      <c r="G1097" s="170" t="str">
        <f ca="1">IFERROR(IF(VLOOKUP(C1097,' Disaggregation - Section E '!A$316:N826,6,0)="","",VLOOKUP(C1097,' Disaggregation - Section E '!A$316:N826,6,0)),"")</f>
        <v/>
      </c>
      <c r="H1097" s="177" t="str">
        <f ca="1">IFERROR(IF(INDEX(' Disaggregation - Section E '!F$313:F826,MATCH(C1097,' Disaggregation - Section E '!A$313:A826,0)+1,1)&lt;&gt;0,INDEX(' Disaggregation - Section E '!F$313:F826,MATCH(C1097,' Disaggregation - Section E '!A$313:A826,0)+1,1),""),"")</f>
        <v/>
      </c>
      <c r="I1097" s="171" t="str">
        <f ca="1">IFERROR(IF(VLOOKUP(C1097,' Disaggregation - Section E '!A$316:N826,8,0)=0,"",VLOOKUP(C1097,' Disaggregation - Section E '!A$316:N826,8,0)),"")</f>
        <v/>
      </c>
      <c r="J1097" s="171" t="str">
        <f ca="1">IFERROR(IF(VLOOKUP(C1097,' Disaggregation - Section E '!A$316:N826,13,0)=0,"",VLOOKUP(C1097,' Disaggregation - Section E '!A$316:N826,13,0)),"")</f>
        <v/>
      </c>
      <c r="K1097" s="166" t="str">
        <f ca="1">IFERROR(VLOOKUP(C1097,' Disaggregation - Section E '!A$316:N826,3,0),"")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097" s="171" t="str">
        <f ca="1">IFERROR(IF(VLOOKUP(C1097,' Disaggregation - Section E '!A$316:N826,14,0)=0,"",VLOOKUP(C1097,' Disaggregation - Section E '!A$316:N826,14,0)),"")</f>
        <v/>
      </c>
      <c r="M1097" s="166" t="str">
        <f ca="1">IFERROR(IF(VLOOKUP(C1097,' Disaggregation - Section E '!A$316:T826,20,0)=0,"",VLOOKUP(C1097,' Disaggregation - Section E '!A$316:T826,20,0)),"")</f>
        <v/>
      </c>
      <c r="N1097" s="171" t="str">
        <f ca="1">IFERROR(IF(VLOOKUP(C1097,' Disaggregation - Section E '!A$316:N826,9,0)=0,"",VLOOKUP(C1097,' Disaggregation - Section E '!A$316:N826,9,0)),"")</f>
        <v/>
      </c>
      <c r="O1097" s="171" t="str">
        <f ca="1">IFERROR(IF(VLOOKUP(C1097,' Disaggregation - Section E '!A$315:N826,10,0)=0,"",VLOOKUP(C1097,' Disaggregation - Section E '!A$316:N826,10,0)),"")</f>
        <v/>
      </c>
    </row>
    <row r="1098" spans="1:15">
      <c r="A1098" s="166" t="b">
        <f t="shared" ca="1" si="139"/>
        <v>0</v>
      </c>
      <c r="B1098" s="166"/>
      <c r="C1098" s="172" t="str">
        <f ca="1">IF(COUNTA(D$885:D1098)=1,"",OFFSET(C1098,-COUNTA(D$885:D1098)+1,0))</f>
        <v>a1V3p000006h2wjEAA</v>
      </c>
      <c r="D1098" s="177"/>
      <c r="E1098" s="168" t="str">
        <f ca="1">IFERROR(IF(VLOOKUP(C1098,' Disaggregation - Section E '!A$316:N827,7,0)="","",VLOOKUP(C1098,' Disaggregation - Section E '!A$316:N827,7,0)*100),"")</f>
        <v/>
      </c>
      <c r="F1098" s="166"/>
      <c r="G1098" s="170" t="str">
        <f ca="1">IFERROR(IF(VLOOKUP(C1098,' Disaggregation - Section E '!A$316:N827,6,0)="","",VLOOKUP(C1098,' Disaggregation - Section E '!A$316:N827,6,0)),"")</f>
        <v/>
      </c>
      <c r="H1098" s="177" t="str">
        <f ca="1">IFERROR(IF(INDEX(' Disaggregation - Section E '!F$313:F827,MATCH(C1098,' Disaggregation - Section E '!A$313:A827,0)+1,1)&lt;&gt;0,INDEX(' Disaggregation - Section E '!F$313:F827,MATCH(C1098,' Disaggregation - Section E '!A$313:A827,0)+1,1),""),"")</f>
        <v/>
      </c>
      <c r="I1098" s="171" t="str">
        <f ca="1">IFERROR(IF(VLOOKUP(C1098,' Disaggregation - Section E '!A$316:N827,8,0)=0,"",VLOOKUP(C1098,' Disaggregation - Section E '!A$316:N827,8,0)),"")</f>
        <v/>
      </c>
      <c r="J1098" s="171" t="str">
        <f ca="1">IFERROR(IF(VLOOKUP(C1098,' Disaggregation - Section E '!A$316:N827,13,0)=0,"",VLOOKUP(C1098,' Disaggregation - Section E '!A$316:N827,13,0)),"")</f>
        <v/>
      </c>
      <c r="K1098" s="166" t="str">
        <f ca="1">IFERROR(VLOOKUP(C1098,' Disaggregation - Section E '!A$316:N827,3,0),"")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098" s="171" t="str">
        <f ca="1">IFERROR(IF(VLOOKUP(C1098,' Disaggregation - Section E '!A$316:N827,14,0)=0,"",VLOOKUP(C1098,' Disaggregation - Section E '!A$316:N827,14,0)),"")</f>
        <v/>
      </c>
      <c r="M1098" s="166" t="str">
        <f ca="1">IFERROR(IF(VLOOKUP(C1098,' Disaggregation - Section E '!A$316:T827,20,0)=0,"",VLOOKUP(C1098,' Disaggregation - Section E '!A$316:T827,20,0)),"")</f>
        <v/>
      </c>
      <c r="N1098" s="171" t="str">
        <f ca="1">IFERROR(IF(VLOOKUP(C1098,' Disaggregation - Section E '!A$316:N827,9,0)=0,"",VLOOKUP(C1098,' Disaggregation - Section E '!A$316:N827,9,0)),"")</f>
        <v/>
      </c>
      <c r="O1098" s="171" t="str">
        <f ca="1">IFERROR(IF(VLOOKUP(C1098,' Disaggregation - Section E '!A$315:N827,10,0)=0,"",VLOOKUP(C1098,' Disaggregation - Section E '!A$316:N827,10,0)),"")</f>
        <v/>
      </c>
    </row>
    <row r="1099" spans="1:15">
      <c r="A1099" s="166" t="b">
        <f t="shared" ca="1" si="139"/>
        <v>0</v>
      </c>
      <c r="B1099" s="166"/>
      <c r="C1099" s="172" t="str">
        <f ca="1">IF(COUNTA(D$885:D1099)=1,"",OFFSET(C1099,-COUNTA(D$885:D1099)+1,0))</f>
        <v>a1V3p000006h2wkEAA</v>
      </c>
      <c r="D1099" s="177"/>
      <c r="E1099" s="168" t="str">
        <f ca="1">IFERROR(IF(VLOOKUP(C1099,' Disaggregation - Section E '!A$316:N828,7,0)="","",VLOOKUP(C1099,' Disaggregation - Section E '!A$316:N828,7,0)*100),"")</f>
        <v/>
      </c>
      <c r="F1099" s="166"/>
      <c r="G1099" s="170" t="str">
        <f ca="1">IFERROR(IF(VLOOKUP(C1099,' Disaggregation - Section E '!A$316:N828,6,0)="","",VLOOKUP(C1099,' Disaggregation - Section E '!A$316:N828,6,0)),"")</f>
        <v/>
      </c>
      <c r="H1099" s="177" t="str">
        <f ca="1">IFERROR(IF(INDEX(' Disaggregation - Section E '!F$313:F828,MATCH(C1099,' Disaggregation - Section E '!A$313:A828,0)+1,1)&lt;&gt;0,INDEX(' Disaggregation - Section E '!F$313:F828,MATCH(C1099,' Disaggregation - Section E '!A$313:A828,0)+1,1),""),"")</f>
        <v/>
      </c>
      <c r="I1099" s="171" t="str">
        <f ca="1">IFERROR(IF(VLOOKUP(C1099,' Disaggregation - Section E '!A$316:N828,8,0)=0,"",VLOOKUP(C1099,' Disaggregation - Section E '!A$316:N828,8,0)),"")</f>
        <v/>
      </c>
      <c r="J1099" s="171" t="str">
        <f ca="1">IFERROR(IF(VLOOKUP(C1099,' Disaggregation - Section E '!A$316:N828,13,0)=0,"",VLOOKUP(C1099,' Disaggregation - Section E '!A$316:N828,13,0)),"")</f>
        <v/>
      </c>
      <c r="K1099" s="166" t="str">
        <f ca="1">IFERROR(VLOOKUP(C1099,' Disaggregation - Section E '!A$316:N828,3,0),"")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099" s="171" t="str">
        <f ca="1">IFERROR(IF(VLOOKUP(C1099,' Disaggregation - Section E '!A$316:N828,14,0)=0,"",VLOOKUP(C1099,' Disaggregation - Section E '!A$316:N828,14,0)),"")</f>
        <v/>
      </c>
      <c r="M1099" s="166" t="str">
        <f ca="1">IFERROR(IF(VLOOKUP(C1099,' Disaggregation - Section E '!A$316:T828,20,0)=0,"",VLOOKUP(C1099,' Disaggregation - Section E '!A$316:T828,20,0)),"")</f>
        <v/>
      </c>
      <c r="N1099" s="171" t="str">
        <f ca="1">IFERROR(IF(VLOOKUP(C1099,' Disaggregation - Section E '!A$316:N828,9,0)=0,"",VLOOKUP(C1099,' Disaggregation - Section E '!A$316:N828,9,0)),"")</f>
        <v/>
      </c>
      <c r="O1099" s="171" t="str">
        <f ca="1">IFERROR(IF(VLOOKUP(C1099,' Disaggregation - Section E '!A$315:N828,10,0)=0,"",VLOOKUP(C1099,' Disaggregation - Section E '!A$316:N828,10,0)),"")</f>
        <v/>
      </c>
    </row>
    <row r="1100" spans="1:15">
      <c r="A1100" s="166" t="b">
        <f t="shared" ca="1" si="139"/>
        <v>0</v>
      </c>
      <c r="B1100" s="166"/>
      <c r="C1100" s="172" t="str">
        <f ca="1">IF(COUNTA(D$885:D1100)=1,"",OFFSET(C1100,-COUNTA(D$885:D1100)+1,0))</f>
        <v>a1V3p000006h2wlEAA</v>
      </c>
      <c r="D1100" s="177"/>
      <c r="E1100" s="168" t="str">
        <f ca="1">IFERROR(IF(VLOOKUP(C1100,' Disaggregation - Section E '!A$316:N829,7,0)="","",VLOOKUP(C1100,' Disaggregation - Section E '!A$316:N829,7,0)*100),"")</f>
        <v/>
      </c>
      <c r="F1100" s="166"/>
      <c r="G1100" s="170" t="str">
        <f ca="1">IFERROR(IF(VLOOKUP(C1100,' Disaggregation - Section E '!A$316:N829,6,0)="","",VLOOKUP(C1100,' Disaggregation - Section E '!A$316:N829,6,0)),"")</f>
        <v/>
      </c>
      <c r="H1100" s="177" t="str">
        <f ca="1">IFERROR(IF(INDEX(' Disaggregation - Section E '!F$313:F829,MATCH(C1100,' Disaggregation - Section E '!A$313:A829,0)+1,1)&lt;&gt;0,INDEX(' Disaggregation - Section E '!F$313:F829,MATCH(C1100,' Disaggregation - Section E '!A$313:A829,0)+1,1),""),"")</f>
        <v/>
      </c>
      <c r="I1100" s="171" t="str">
        <f ca="1">IFERROR(IF(VLOOKUP(C1100,' Disaggregation - Section E '!A$316:N829,8,0)=0,"",VLOOKUP(C1100,' Disaggregation - Section E '!A$316:N829,8,0)),"")</f>
        <v/>
      </c>
      <c r="J1100" s="171" t="str">
        <f ca="1">IFERROR(IF(VLOOKUP(C1100,' Disaggregation - Section E '!A$316:N829,13,0)=0,"",VLOOKUP(C1100,' Disaggregation - Section E '!A$316:N829,13,0)),"")</f>
        <v/>
      </c>
      <c r="K1100" s="166" t="str">
        <f ca="1">IFERROR(VLOOKUP(C1100,' Disaggregation - Section E '!A$316:N829,3,0),"")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100" s="171" t="str">
        <f ca="1">IFERROR(IF(VLOOKUP(C1100,' Disaggregation - Section E '!A$316:N829,14,0)=0,"",VLOOKUP(C1100,' Disaggregation - Section E '!A$316:N829,14,0)),"")</f>
        <v/>
      </c>
      <c r="M1100" s="166" t="str">
        <f ca="1">IFERROR(IF(VLOOKUP(C1100,' Disaggregation - Section E '!A$316:T829,20,0)=0,"",VLOOKUP(C1100,' Disaggregation - Section E '!A$316:T829,20,0)),"")</f>
        <v/>
      </c>
      <c r="N1100" s="171" t="str">
        <f ca="1">IFERROR(IF(VLOOKUP(C1100,' Disaggregation - Section E '!A$316:N829,9,0)=0,"",VLOOKUP(C1100,' Disaggregation - Section E '!A$316:N829,9,0)),"")</f>
        <v/>
      </c>
      <c r="O1100" s="171" t="str">
        <f ca="1">IFERROR(IF(VLOOKUP(C1100,' Disaggregation - Section E '!A$315:N829,10,0)=0,"",VLOOKUP(C1100,' Disaggregation - Section E '!A$316:N829,10,0)),"")</f>
        <v/>
      </c>
    </row>
    <row r="1101" spans="1:15">
      <c r="A1101" s="166" t="b">
        <f t="shared" ref="A1101:A1164" ca="1" si="140">IF(M1101&lt;&gt;"",TRUE,FALSE)</f>
        <v>0</v>
      </c>
      <c r="B1101" s="166"/>
      <c r="C1101" s="172" t="str">
        <f ca="1">IF(COUNTA(D$885:D1101)=1,"",OFFSET(C1101,-COUNTA(D$885:D1101)+1,0))</f>
        <v>a1V3p000006h2wmEAA</v>
      </c>
      <c r="D1101" s="177"/>
      <c r="E1101" s="168" t="str">
        <f ca="1">IFERROR(IF(VLOOKUP(C1101,' Disaggregation - Section E '!A$316:N830,7,0)="","",VLOOKUP(C1101,' Disaggregation - Section E '!A$316:N830,7,0)*100),"")</f>
        <v/>
      </c>
      <c r="F1101" s="166"/>
      <c r="G1101" s="170" t="str">
        <f ca="1">IFERROR(IF(VLOOKUP(C1101,' Disaggregation - Section E '!A$316:N830,6,0)="","",VLOOKUP(C1101,' Disaggregation - Section E '!A$316:N830,6,0)),"")</f>
        <v/>
      </c>
      <c r="H1101" s="177" t="str">
        <f ca="1">IFERROR(IF(INDEX(' Disaggregation - Section E '!F$313:F830,MATCH(C1101,' Disaggregation - Section E '!A$313:A830,0)+1,1)&lt;&gt;0,INDEX(' Disaggregation - Section E '!F$313:F830,MATCH(C1101,' Disaggregation - Section E '!A$313:A830,0)+1,1),""),"")</f>
        <v/>
      </c>
      <c r="I1101" s="171" t="str">
        <f ca="1">IFERROR(IF(VLOOKUP(C1101,' Disaggregation - Section E '!A$316:N830,8,0)=0,"",VLOOKUP(C1101,' Disaggregation - Section E '!A$316:N830,8,0)),"")</f>
        <v/>
      </c>
      <c r="J1101" s="171" t="str">
        <f ca="1">IFERROR(IF(VLOOKUP(C1101,' Disaggregation - Section E '!A$316:N830,13,0)=0,"",VLOOKUP(C1101,' Disaggregation - Section E '!A$316:N830,13,0)),"")</f>
        <v/>
      </c>
      <c r="K1101" s="166" t="str">
        <f ca="1">IFERROR(VLOOKUP(C1101,' Disaggregation - Section E '!A$316:N830,3,0),"")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101" s="171" t="str">
        <f ca="1">IFERROR(IF(VLOOKUP(C1101,' Disaggregation - Section E '!A$316:N830,14,0)=0,"",VLOOKUP(C1101,' Disaggregation - Section E '!A$316:N830,14,0)),"")</f>
        <v/>
      </c>
      <c r="M1101" s="166" t="str">
        <f ca="1">IFERROR(IF(VLOOKUP(C1101,' Disaggregation - Section E '!A$316:T830,20,0)=0,"",VLOOKUP(C1101,' Disaggregation - Section E '!A$316:T830,20,0)),"")</f>
        <v/>
      </c>
      <c r="N1101" s="171" t="str">
        <f ca="1">IFERROR(IF(VLOOKUP(C1101,' Disaggregation - Section E '!A$316:N830,9,0)=0,"",VLOOKUP(C1101,' Disaggregation - Section E '!A$316:N830,9,0)),"")</f>
        <v/>
      </c>
      <c r="O1101" s="171" t="str">
        <f ca="1">IFERROR(IF(VLOOKUP(C1101,' Disaggregation - Section E '!A$315:N830,10,0)=0,"",VLOOKUP(C1101,' Disaggregation - Section E '!A$316:N830,10,0)),"")</f>
        <v/>
      </c>
    </row>
    <row r="1102" spans="1:15">
      <c r="A1102" s="166" t="b">
        <f t="shared" ca="1" si="140"/>
        <v>0</v>
      </c>
      <c r="B1102" s="166"/>
      <c r="C1102" s="172" t="str">
        <f ca="1">IF(COUNTA(D$885:D1102)=1,"",OFFSET(C1102,-COUNTA(D$885:D1102)+1,0))</f>
        <v>a1V3p000006h2wnEAA</v>
      </c>
      <c r="D1102" s="177"/>
      <c r="E1102" s="168" t="str">
        <f ca="1">IFERROR(IF(VLOOKUP(C1102,' Disaggregation - Section E '!A$316:N831,7,0)="","",VLOOKUP(C1102,' Disaggregation - Section E '!A$316:N831,7,0)*100),"")</f>
        <v/>
      </c>
      <c r="F1102" s="166"/>
      <c r="G1102" s="170" t="str">
        <f ca="1">IFERROR(IF(VLOOKUP(C1102,' Disaggregation - Section E '!A$316:N831,6,0)="","",VLOOKUP(C1102,' Disaggregation - Section E '!A$316:N831,6,0)),"")</f>
        <v/>
      </c>
      <c r="H1102" s="177" t="str">
        <f ca="1">IFERROR(IF(INDEX(' Disaggregation - Section E '!F$313:F831,MATCH(C1102,' Disaggregation - Section E '!A$313:A831,0)+1,1)&lt;&gt;0,INDEX(' Disaggregation - Section E '!F$313:F831,MATCH(C1102,' Disaggregation - Section E '!A$313:A831,0)+1,1),""),"")</f>
        <v/>
      </c>
      <c r="I1102" s="171" t="str">
        <f ca="1">IFERROR(IF(VLOOKUP(C1102,' Disaggregation - Section E '!A$316:N831,8,0)=0,"",VLOOKUP(C1102,' Disaggregation - Section E '!A$316:N831,8,0)),"")</f>
        <v/>
      </c>
      <c r="J1102" s="171" t="str">
        <f ca="1">IFERROR(IF(VLOOKUP(C1102,' Disaggregation - Section E '!A$316:N831,13,0)=0,"",VLOOKUP(C1102,' Disaggregation - Section E '!A$316:N831,13,0)),"")</f>
        <v/>
      </c>
      <c r="K1102" s="166" t="str">
        <f ca="1">IFERROR(VLOOKUP(C1102,' Disaggregation - Section E '!A$316:N831,3,0),"")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102" s="171" t="str">
        <f ca="1">IFERROR(IF(VLOOKUP(C1102,' Disaggregation - Section E '!A$316:N831,14,0)=0,"",VLOOKUP(C1102,' Disaggregation - Section E '!A$316:N831,14,0)),"")</f>
        <v/>
      </c>
      <c r="M1102" s="166" t="str">
        <f ca="1">IFERROR(IF(VLOOKUP(C1102,' Disaggregation - Section E '!A$316:T831,20,0)=0,"",VLOOKUP(C1102,' Disaggregation - Section E '!A$316:T831,20,0)),"")</f>
        <v/>
      </c>
      <c r="N1102" s="171" t="str">
        <f ca="1">IFERROR(IF(VLOOKUP(C1102,' Disaggregation - Section E '!A$316:N831,9,0)=0,"",VLOOKUP(C1102,' Disaggregation - Section E '!A$316:N831,9,0)),"")</f>
        <v/>
      </c>
      <c r="O1102" s="171" t="str">
        <f ca="1">IFERROR(IF(VLOOKUP(C1102,' Disaggregation - Section E '!A$315:N831,10,0)=0,"",VLOOKUP(C1102,' Disaggregation - Section E '!A$316:N831,10,0)),"")</f>
        <v/>
      </c>
    </row>
    <row r="1103" spans="1:15">
      <c r="A1103" s="166" t="b">
        <f t="shared" ca="1" si="140"/>
        <v>0</v>
      </c>
      <c r="B1103" s="166"/>
      <c r="C1103" s="172" t="str">
        <f ca="1">IF(COUNTA(D$885:D1103)=1,"",OFFSET(C1103,-COUNTA(D$885:D1103)+1,0))</f>
        <v>a1V3p000006h2woEAA</v>
      </c>
      <c r="D1103" s="177"/>
      <c r="E1103" s="168" t="str">
        <f ca="1">IFERROR(IF(VLOOKUP(C1103,' Disaggregation - Section E '!A$316:N832,7,0)="","",VLOOKUP(C1103,' Disaggregation - Section E '!A$316:N832,7,0)*100),"")</f>
        <v/>
      </c>
      <c r="F1103" s="166"/>
      <c r="G1103" s="170" t="str">
        <f ca="1">IFERROR(IF(VLOOKUP(C1103,' Disaggregation - Section E '!A$316:N832,6,0)="","",VLOOKUP(C1103,' Disaggregation - Section E '!A$316:N832,6,0)),"")</f>
        <v/>
      </c>
      <c r="H1103" s="177" t="str">
        <f ca="1">IFERROR(IF(INDEX(' Disaggregation - Section E '!F$313:F832,MATCH(C1103,' Disaggregation - Section E '!A$313:A832,0)+1,1)&lt;&gt;0,INDEX(' Disaggregation - Section E '!F$313:F832,MATCH(C1103,' Disaggregation - Section E '!A$313:A832,0)+1,1),""),"")</f>
        <v/>
      </c>
      <c r="I1103" s="171" t="str">
        <f ca="1">IFERROR(IF(VLOOKUP(C1103,' Disaggregation - Section E '!A$316:N832,8,0)=0,"",VLOOKUP(C1103,' Disaggregation - Section E '!A$316:N832,8,0)),"")</f>
        <v/>
      </c>
      <c r="J1103" s="171" t="str">
        <f ca="1">IFERROR(IF(VLOOKUP(C1103,' Disaggregation - Section E '!A$316:N832,13,0)=0,"",VLOOKUP(C1103,' Disaggregation - Section E '!A$316:N832,13,0)),"")</f>
        <v/>
      </c>
      <c r="K1103" s="166" t="str">
        <f ca="1">IFERROR(VLOOKUP(C1103,' Disaggregation - Section E '!A$316:N832,3,0),"")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103" s="171" t="str">
        <f ca="1">IFERROR(IF(VLOOKUP(C1103,' Disaggregation - Section E '!A$316:N832,14,0)=0,"",VLOOKUP(C1103,' Disaggregation - Section E '!A$316:N832,14,0)),"")</f>
        <v/>
      </c>
      <c r="M1103" s="166" t="str">
        <f ca="1">IFERROR(IF(VLOOKUP(C1103,' Disaggregation - Section E '!A$316:T832,20,0)=0,"",VLOOKUP(C1103,' Disaggregation - Section E '!A$316:T832,20,0)),"")</f>
        <v/>
      </c>
      <c r="N1103" s="171" t="str">
        <f ca="1">IFERROR(IF(VLOOKUP(C1103,' Disaggregation - Section E '!A$316:N832,9,0)=0,"",VLOOKUP(C1103,' Disaggregation - Section E '!A$316:N832,9,0)),"")</f>
        <v/>
      </c>
      <c r="O1103" s="171" t="str">
        <f ca="1">IFERROR(IF(VLOOKUP(C1103,' Disaggregation - Section E '!A$315:N832,10,0)=0,"",VLOOKUP(C1103,' Disaggregation - Section E '!A$316:N832,10,0)),"")</f>
        <v/>
      </c>
    </row>
    <row r="1104" spans="1:15">
      <c r="A1104" s="166" t="b">
        <f t="shared" ca="1" si="140"/>
        <v>0</v>
      </c>
      <c r="B1104" s="166"/>
      <c r="C1104" s="172" t="str">
        <f ca="1">IF(COUNTA(D$885:D1104)=1,"",OFFSET(C1104,-COUNTA(D$885:D1104)+1,0))</f>
        <v>a1V3p000006h2wpEAA</v>
      </c>
      <c r="D1104" s="177"/>
      <c r="E1104" s="168" t="str">
        <f ca="1">IFERROR(IF(VLOOKUP(C1104,' Disaggregation - Section E '!A$316:N833,7,0)="","",VLOOKUP(C1104,' Disaggregation - Section E '!A$316:N833,7,0)*100),"")</f>
        <v/>
      </c>
      <c r="F1104" s="166"/>
      <c r="G1104" s="170" t="str">
        <f ca="1">IFERROR(IF(VLOOKUP(C1104,' Disaggregation - Section E '!A$316:N833,6,0)="","",VLOOKUP(C1104,' Disaggregation - Section E '!A$316:N833,6,0)),"")</f>
        <v/>
      </c>
      <c r="H1104" s="177" t="str">
        <f ca="1">IFERROR(IF(INDEX(' Disaggregation - Section E '!F$313:F833,MATCH(C1104,' Disaggregation - Section E '!A$313:A833,0)+1,1)&lt;&gt;0,INDEX(' Disaggregation - Section E '!F$313:F833,MATCH(C1104,' Disaggregation - Section E '!A$313:A833,0)+1,1),""),"")</f>
        <v/>
      </c>
      <c r="I1104" s="171" t="str">
        <f ca="1">IFERROR(IF(VLOOKUP(C1104,' Disaggregation - Section E '!A$316:N833,8,0)=0,"",VLOOKUP(C1104,' Disaggregation - Section E '!A$316:N833,8,0)),"")</f>
        <v/>
      </c>
      <c r="J1104" s="171" t="str">
        <f ca="1">IFERROR(IF(VLOOKUP(C1104,' Disaggregation - Section E '!A$316:N833,13,0)=0,"",VLOOKUP(C1104,' Disaggregation - Section E '!A$316:N833,13,0)),"")</f>
        <v/>
      </c>
      <c r="K1104" s="166" t="str">
        <f ca="1">IFERROR(VLOOKUP(C1104,' Disaggregation - Section E '!A$316:N833,3,0),"")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104" s="171" t="str">
        <f ca="1">IFERROR(IF(VLOOKUP(C1104,' Disaggregation - Section E '!A$316:N833,14,0)=0,"",VLOOKUP(C1104,' Disaggregation - Section E '!A$316:N833,14,0)),"")</f>
        <v/>
      </c>
      <c r="M1104" s="166" t="str">
        <f ca="1">IFERROR(IF(VLOOKUP(C1104,' Disaggregation - Section E '!A$316:T833,20,0)=0,"",VLOOKUP(C1104,' Disaggregation - Section E '!A$316:T833,20,0)),"")</f>
        <v/>
      </c>
      <c r="N1104" s="171" t="str">
        <f ca="1">IFERROR(IF(VLOOKUP(C1104,' Disaggregation - Section E '!A$316:N833,9,0)=0,"",VLOOKUP(C1104,' Disaggregation - Section E '!A$316:N833,9,0)),"")</f>
        <v/>
      </c>
      <c r="O1104" s="171" t="str">
        <f ca="1">IFERROR(IF(VLOOKUP(C1104,' Disaggregation - Section E '!A$315:N833,10,0)=0,"",VLOOKUP(C1104,' Disaggregation - Section E '!A$316:N833,10,0)),"")</f>
        <v/>
      </c>
    </row>
    <row r="1105" spans="1:15">
      <c r="A1105" s="166" t="b">
        <f t="shared" ca="1" si="140"/>
        <v>0</v>
      </c>
      <c r="B1105" s="166"/>
      <c r="C1105" s="172" t="str">
        <f ca="1">IF(COUNTA(D$885:D1105)=1,"",OFFSET(C1105,-COUNTA(D$885:D1105)+1,0))</f>
        <v>a1V3p000006h2wqEAA</v>
      </c>
      <c r="D1105" s="177"/>
      <c r="E1105" s="168" t="str">
        <f ca="1">IFERROR(IF(VLOOKUP(C1105,' Disaggregation - Section E '!A$316:N834,7,0)="","",VLOOKUP(C1105,' Disaggregation - Section E '!A$316:N834,7,0)*100),"")</f>
        <v/>
      </c>
      <c r="F1105" s="166"/>
      <c r="G1105" s="170" t="str">
        <f ca="1">IFERROR(IF(VLOOKUP(C1105,' Disaggregation - Section E '!A$316:N834,6,0)="","",VLOOKUP(C1105,' Disaggregation - Section E '!A$316:N834,6,0)),"")</f>
        <v/>
      </c>
      <c r="H1105" s="177" t="str">
        <f ca="1">IFERROR(IF(INDEX(' Disaggregation - Section E '!F$313:F834,MATCH(C1105,' Disaggregation - Section E '!A$313:A834,0)+1,1)&lt;&gt;0,INDEX(' Disaggregation - Section E '!F$313:F834,MATCH(C1105,' Disaggregation - Section E '!A$313:A834,0)+1,1),""),"")</f>
        <v/>
      </c>
      <c r="I1105" s="171" t="str">
        <f ca="1">IFERROR(IF(VLOOKUP(C1105,' Disaggregation - Section E '!A$316:N834,8,0)=0,"",VLOOKUP(C1105,' Disaggregation - Section E '!A$316:N834,8,0)),"")</f>
        <v/>
      </c>
      <c r="J1105" s="171" t="str">
        <f ca="1">IFERROR(IF(VLOOKUP(C1105,' Disaggregation - Section E '!A$316:N834,13,0)=0,"",VLOOKUP(C1105,' Disaggregation - Section E '!A$316:N834,13,0)),"")</f>
        <v/>
      </c>
      <c r="K1105" s="166" t="str">
        <f ca="1">IFERROR(VLOOKUP(C1105,' Disaggregation - Section E '!A$316:N834,3,0),"")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105" s="171" t="str">
        <f ca="1">IFERROR(IF(VLOOKUP(C1105,' Disaggregation - Section E '!A$316:N834,14,0)=0,"",VLOOKUP(C1105,' Disaggregation - Section E '!A$316:N834,14,0)),"")</f>
        <v/>
      </c>
      <c r="M1105" s="166" t="str">
        <f ca="1">IFERROR(IF(VLOOKUP(C1105,' Disaggregation - Section E '!A$316:T834,20,0)=0,"",VLOOKUP(C1105,' Disaggregation - Section E '!A$316:T834,20,0)),"")</f>
        <v/>
      </c>
      <c r="N1105" s="171" t="str">
        <f ca="1">IFERROR(IF(VLOOKUP(C1105,' Disaggregation - Section E '!A$316:N834,9,0)=0,"",VLOOKUP(C1105,' Disaggregation - Section E '!A$316:N834,9,0)),"")</f>
        <v/>
      </c>
      <c r="O1105" s="171" t="str">
        <f ca="1">IFERROR(IF(VLOOKUP(C1105,' Disaggregation - Section E '!A$315:N834,10,0)=0,"",VLOOKUP(C1105,' Disaggregation - Section E '!A$316:N834,10,0)),"")</f>
        <v/>
      </c>
    </row>
    <row r="1106" spans="1:15">
      <c r="A1106" s="166" t="b">
        <f t="shared" ca="1" si="140"/>
        <v>0</v>
      </c>
      <c r="B1106" s="166"/>
      <c r="C1106" s="172" t="str">
        <f ca="1">IF(COUNTA(D$885:D1106)=1,"",OFFSET(C1106,-COUNTA(D$885:D1106)+1,0))</f>
        <v>a1V3p000006h2wrEAA</v>
      </c>
      <c r="D1106" s="177"/>
      <c r="E1106" s="168" t="str">
        <f ca="1">IFERROR(IF(VLOOKUP(C1106,' Disaggregation - Section E '!A$316:N835,7,0)="","",VLOOKUP(C1106,' Disaggregation - Section E '!A$316:N835,7,0)*100),"")</f>
        <v/>
      </c>
      <c r="F1106" s="166"/>
      <c r="G1106" s="170" t="str">
        <f ca="1">IFERROR(IF(VLOOKUP(C1106,' Disaggregation - Section E '!A$316:N835,6,0)="","",VLOOKUP(C1106,' Disaggregation - Section E '!A$316:N835,6,0)),"")</f>
        <v/>
      </c>
      <c r="H1106" s="177" t="str">
        <f ca="1">IFERROR(IF(INDEX(' Disaggregation - Section E '!F$313:F835,MATCH(C1106,' Disaggregation - Section E '!A$313:A835,0)+1,1)&lt;&gt;0,INDEX(' Disaggregation - Section E '!F$313:F835,MATCH(C1106,' Disaggregation - Section E '!A$313:A835,0)+1,1),""),"")</f>
        <v/>
      </c>
      <c r="I1106" s="171" t="str">
        <f ca="1">IFERROR(IF(VLOOKUP(C1106,' Disaggregation - Section E '!A$316:N835,8,0)=0,"",VLOOKUP(C1106,' Disaggregation - Section E '!A$316:N835,8,0)),"")</f>
        <v/>
      </c>
      <c r="J1106" s="171" t="str">
        <f ca="1">IFERROR(IF(VLOOKUP(C1106,' Disaggregation - Section E '!A$316:N835,13,0)=0,"",VLOOKUP(C1106,' Disaggregation - Section E '!A$316:N835,13,0)),"")</f>
        <v/>
      </c>
      <c r="K1106" s="166" t="str">
        <f ca="1">IFERROR(VLOOKUP(C1106,' Disaggregation - Section E '!A$316:N835,3,0),"")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106" s="171" t="str">
        <f ca="1">IFERROR(IF(VLOOKUP(C1106,' Disaggregation - Section E '!A$316:N835,14,0)=0,"",VLOOKUP(C1106,' Disaggregation - Section E '!A$316:N835,14,0)),"")</f>
        <v/>
      </c>
      <c r="M1106" s="166" t="str">
        <f ca="1">IFERROR(IF(VLOOKUP(C1106,' Disaggregation - Section E '!A$316:T835,20,0)=0,"",VLOOKUP(C1106,' Disaggregation - Section E '!A$316:T835,20,0)),"")</f>
        <v/>
      </c>
      <c r="N1106" s="171" t="str">
        <f ca="1">IFERROR(IF(VLOOKUP(C1106,' Disaggregation - Section E '!A$316:N835,9,0)=0,"",VLOOKUP(C1106,' Disaggregation - Section E '!A$316:N835,9,0)),"")</f>
        <v/>
      </c>
      <c r="O1106" s="171" t="str">
        <f ca="1">IFERROR(IF(VLOOKUP(C1106,' Disaggregation - Section E '!A$315:N835,10,0)=0,"",VLOOKUP(C1106,' Disaggregation - Section E '!A$316:N835,10,0)),"")</f>
        <v/>
      </c>
    </row>
    <row r="1107" spans="1:15">
      <c r="A1107" s="166" t="b">
        <f t="shared" ca="1" si="140"/>
        <v>0</v>
      </c>
      <c r="B1107" s="166"/>
      <c r="C1107" s="172" t="str">
        <f ca="1">IF(COUNTA(D$885:D1107)=1,"",OFFSET(C1107,-COUNTA(D$885:D1107)+1,0))</f>
        <v>a1V3p000006h2wsEAA</v>
      </c>
      <c r="D1107" s="177"/>
      <c r="E1107" s="168" t="str">
        <f ca="1">IFERROR(IF(VLOOKUP(C1107,' Disaggregation - Section E '!A$316:N836,7,0)="","",VLOOKUP(C1107,' Disaggregation - Section E '!A$316:N836,7,0)*100),"")</f>
        <v/>
      </c>
      <c r="F1107" s="166"/>
      <c r="G1107" s="170" t="str">
        <f ca="1">IFERROR(IF(VLOOKUP(C1107,' Disaggregation - Section E '!A$316:N836,6,0)="","",VLOOKUP(C1107,' Disaggregation - Section E '!A$316:N836,6,0)),"")</f>
        <v/>
      </c>
      <c r="H1107" s="177" t="str">
        <f ca="1">IFERROR(IF(INDEX(' Disaggregation - Section E '!F$313:F836,MATCH(C1107,' Disaggregation - Section E '!A$313:A836,0)+1,1)&lt;&gt;0,INDEX(' Disaggregation - Section E '!F$313:F836,MATCH(C1107,' Disaggregation - Section E '!A$313:A836,0)+1,1),""),"")</f>
        <v/>
      </c>
      <c r="I1107" s="171" t="str">
        <f ca="1">IFERROR(IF(VLOOKUP(C1107,' Disaggregation - Section E '!A$316:N836,8,0)=0,"",VLOOKUP(C1107,' Disaggregation - Section E '!A$316:N836,8,0)),"")</f>
        <v/>
      </c>
      <c r="J1107" s="171" t="str">
        <f ca="1">IFERROR(IF(VLOOKUP(C1107,' Disaggregation - Section E '!A$316:N836,13,0)=0,"",VLOOKUP(C1107,' Disaggregation - Section E '!A$316:N836,13,0)),"")</f>
        <v/>
      </c>
      <c r="K1107" s="166" t="str">
        <f ca="1">IFERROR(VLOOKUP(C1107,' Disaggregation - Section E '!A$316:N836,3,0),"")</f>
        <v/>
      </c>
      <c r="L1107" s="171" t="str">
        <f ca="1">IFERROR(IF(VLOOKUP(C1107,' Disaggregation - Section E '!A$316:N836,14,0)=0,"",VLOOKUP(C1107,' Disaggregation - Section E '!A$316:N836,14,0)),"")</f>
        <v/>
      </c>
      <c r="M1107" s="166" t="str">
        <f ca="1">IFERROR(IF(VLOOKUP(C1107,' Disaggregation - Section E '!A$316:T836,20,0)=0,"",VLOOKUP(C1107,' Disaggregation - Section E '!A$316:T836,20,0)),"")</f>
        <v/>
      </c>
      <c r="N1107" s="171" t="str">
        <f ca="1">IFERROR(IF(VLOOKUP(C1107,' Disaggregation - Section E '!A$316:N836,9,0)=0,"",VLOOKUP(C1107,' Disaggregation - Section E '!A$316:N836,9,0)),"")</f>
        <v/>
      </c>
      <c r="O1107" s="171" t="str">
        <f ca="1">IFERROR(IF(VLOOKUP(C1107,' Disaggregation - Section E '!A$315:N836,10,0)=0,"",VLOOKUP(C1107,' Disaggregation - Section E '!A$316:N836,10,0)),"")</f>
        <v/>
      </c>
    </row>
    <row r="1108" spans="1:15">
      <c r="A1108" s="166" t="b">
        <f t="shared" ca="1" si="140"/>
        <v>0</v>
      </c>
      <c r="B1108" s="166"/>
      <c r="C1108" s="172" t="str">
        <f ca="1">IF(COUNTA(D$885:D1108)=1,"",OFFSET(C1108,-COUNTA(D$885:D1108)+1,0))</f>
        <v>a1V3p000006h2wtEAA</v>
      </c>
      <c r="D1108" s="177"/>
      <c r="E1108" s="168" t="str">
        <f ca="1">IFERROR(IF(VLOOKUP(C1108,' Disaggregation - Section E '!A$316:N837,7,0)="","",VLOOKUP(C1108,' Disaggregation - Section E '!A$316:N837,7,0)*100),"")</f>
        <v/>
      </c>
      <c r="F1108" s="166"/>
      <c r="G1108" s="170" t="str">
        <f ca="1">IFERROR(IF(VLOOKUP(C1108,' Disaggregation - Section E '!A$316:N837,6,0)="","",VLOOKUP(C1108,' Disaggregation - Section E '!A$316:N837,6,0)),"")</f>
        <v/>
      </c>
      <c r="H1108" s="177" t="str">
        <f ca="1">IFERROR(IF(INDEX(' Disaggregation - Section E '!F$313:F837,MATCH(C1108,' Disaggregation - Section E '!A$313:A837,0)+1,1)&lt;&gt;0,INDEX(' Disaggregation - Section E '!F$313:F837,MATCH(C1108,' Disaggregation - Section E '!A$313:A837,0)+1,1),""),"")</f>
        <v/>
      </c>
      <c r="I1108" s="171" t="str">
        <f ca="1">IFERROR(IF(VLOOKUP(C1108,' Disaggregation - Section E '!A$316:N837,8,0)=0,"",VLOOKUP(C1108,' Disaggregation - Section E '!A$316:N837,8,0)),"")</f>
        <v/>
      </c>
      <c r="J1108" s="171" t="str">
        <f ca="1">IFERROR(IF(VLOOKUP(C1108,' Disaggregation - Section E '!A$316:N837,13,0)=0,"",VLOOKUP(C1108,' Disaggregation - Section E '!A$316:N837,13,0)),"")</f>
        <v/>
      </c>
      <c r="K1108" s="166" t="str">
        <f ca="1">IFERROR(VLOOKUP(C1108,' Disaggregation - Section E '!A$316:N837,3,0),"")</f>
        <v/>
      </c>
      <c r="L1108" s="171" t="str">
        <f ca="1">IFERROR(IF(VLOOKUP(C1108,' Disaggregation - Section E '!A$316:N837,14,0)=0,"",VLOOKUP(C1108,' Disaggregation - Section E '!A$316:N837,14,0)),"")</f>
        <v/>
      </c>
      <c r="M1108" s="166" t="str">
        <f ca="1">IFERROR(IF(VLOOKUP(C1108,' Disaggregation - Section E '!A$316:T837,20,0)=0,"",VLOOKUP(C1108,' Disaggregation - Section E '!A$316:T837,20,0)),"")</f>
        <v/>
      </c>
      <c r="N1108" s="171" t="str">
        <f ca="1">IFERROR(IF(VLOOKUP(C1108,' Disaggregation - Section E '!A$316:N837,9,0)=0,"",VLOOKUP(C1108,' Disaggregation - Section E '!A$316:N837,9,0)),"")</f>
        <v/>
      </c>
      <c r="O1108" s="171" t="str">
        <f ca="1">IFERROR(IF(VLOOKUP(C1108,' Disaggregation - Section E '!A$315:N837,10,0)=0,"",VLOOKUP(C1108,' Disaggregation - Section E '!A$316:N837,10,0)),"")</f>
        <v/>
      </c>
    </row>
    <row r="1109" spans="1:15">
      <c r="A1109" s="166" t="b">
        <f t="shared" ca="1" si="140"/>
        <v>0</v>
      </c>
      <c r="B1109" s="166"/>
      <c r="C1109" s="172" t="str">
        <f ca="1">IF(COUNTA(D$885:D1109)=1,"",OFFSET(C1109,-COUNTA(D$885:D1109)+1,0))</f>
        <v>a1V3p000006h2wuEAA</v>
      </c>
      <c r="D1109" s="177"/>
      <c r="E1109" s="168" t="str">
        <f ca="1">IFERROR(IF(VLOOKUP(C1109,' Disaggregation - Section E '!A$316:N838,7,0)="","",VLOOKUP(C1109,' Disaggregation - Section E '!A$316:N838,7,0)*100),"")</f>
        <v/>
      </c>
      <c r="F1109" s="166"/>
      <c r="G1109" s="170" t="str">
        <f ca="1">IFERROR(IF(VLOOKUP(C1109,' Disaggregation - Section E '!A$316:N838,6,0)="","",VLOOKUP(C1109,' Disaggregation - Section E '!A$316:N838,6,0)),"")</f>
        <v/>
      </c>
      <c r="H1109" s="177" t="str">
        <f ca="1">IFERROR(IF(INDEX(' Disaggregation - Section E '!F$313:F838,MATCH(C1109,' Disaggregation - Section E '!A$313:A838,0)+1,1)&lt;&gt;0,INDEX(' Disaggregation - Section E '!F$313:F838,MATCH(C1109,' Disaggregation - Section E '!A$313:A838,0)+1,1),""),"")</f>
        <v/>
      </c>
      <c r="I1109" s="171" t="str">
        <f ca="1">IFERROR(IF(VLOOKUP(C1109,' Disaggregation - Section E '!A$316:N838,8,0)=0,"",VLOOKUP(C1109,' Disaggregation - Section E '!A$316:N838,8,0)),"")</f>
        <v/>
      </c>
      <c r="J1109" s="171" t="str">
        <f ca="1">IFERROR(IF(VLOOKUP(C1109,' Disaggregation - Section E '!A$316:N838,13,0)=0,"",VLOOKUP(C1109,' Disaggregation - Section E '!A$316:N838,13,0)),"")</f>
        <v/>
      </c>
      <c r="K1109" s="166" t="str">
        <f ca="1">IFERROR(VLOOKUP(C1109,' Disaggregation - Section E '!A$316:N838,3,0),"")</f>
        <v/>
      </c>
      <c r="L1109" s="171" t="str">
        <f ca="1">IFERROR(IF(VLOOKUP(C1109,' Disaggregation - Section E '!A$316:N838,14,0)=0,"",VLOOKUP(C1109,' Disaggregation - Section E '!A$316:N838,14,0)),"")</f>
        <v/>
      </c>
      <c r="M1109" s="166" t="str">
        <f ca="1">IFERROR(IF(VLOOKUP(C1109,' Disaggregation - Section E '!A$316:T838,20,0)=0,"",VLOOKUP(C1109,' Disaggregation - Section E '!A$316:T838,20,0)),"")</f>
        <v/>
      </c>
      <c r="N1109" s="171" t="str">
        <f ca="1">IFERROR(IF(VLOOKUP(C1109,' Disaggregation - Section E '!A$316:N838,9,0)=0,"",VLOOKUP(C1109,' Disaggregation - Section E '!A$316:N838,9,0)),"")</f>
        <v/>
      </c>
      <c r="O1109" s="171" t="str">
        <f ca="1">IFERROR(IF(VLOOKUP(C1109,' Disaggregation - Section E '!A$315:N838,10,0)=0,"",VLOOKUP(C1109,' Disaggregation - Section E '!A$316:N838,10,0)),"")</f>
        <v/>
      </c>
    </row>
    <row r="1110" spans="1:15">
      <c r="A1110" s="166" t="b">
        <f t="shared" ca="1" si="140"/>
        <v>0</v>
      </c>
      <c r="B1110" s="166"/>
      <c r="C1110" s="172" t="str">
        <f ca="1">IF(COUNTA(D$885:D1110)=1,"",OFFSET(C1110,-COUNTA(D$885:D1110)+1,0))</f>
        <v>a1V3p000006h2wvEAA</v>
      </c>
      <c r="D1110" s="177"/>
      <c r="E1110" s="168" t="str">
        <f ca="1">IFERROR(IF(VLOOKUP(C1110,' Disaggregation - Section E '!A$316:N839,7,0)="","",VLOOKUP(C1110,' Disaggregation - Section E '!A$316:N839,7,0)*100),"")</f>
        <v/>
      </c>
      <c r="F1110" s="166"/>
      <c r="G1110" s="170" t="str">
        <f ca="1">IFERROR(IF(VLOOKUP(C1110,' Disaggregation - Section E '!A$316:N839,6,0)="","",VLOOKUP(C1110,' Disaggregation - Section E '!A$316:N839,6,0)),"")</f>
        <v/>
      </c>
      <c r="H1110" s="177" t="str">
        <f ca="1">IFERROR(IF(INDEX(' Disaggregation - Section E '!F$313:F839,MATCH(C1110,' Disaggregation - Section E '!A$313:A839,0)+1,1)&lt;&gt;0,INDEX(' Disaggregation - Section E '!F$313:F839,MATCH(C1110,' Disaggregation - Section E '!A$313:A839,0)+1,1),""),"")</f>
        <v/>
      </c>
      <c r="I1110" s="171" t="str">
        <f ca="1">IFERROR(IF(VLOOKUP(C1110,' Disaggregation - Section E '!A$316:N839,8,0)=0,"",VLOOKUP(C1110,' Disaggregation - Section E '!A$316:N839,8,0)),"")</f>
        <v/>
      </c>
      <c r="J1110" s="171" t="str">
        <f ca="1">IFERROR(IF(VLOOKUP(C1110,' Disaggregation - Section E '!A$316:N839,13,0)=0,"",VLOOKUP(C1110,' Disaggregation - Section E '!A$316:N839,13,0)),"")</f>
        <v/>
      </c>
      <c r="K1110" s="166" t="str">
        <f ca="1">IFERROR(VLOOKUP(C1110,' Disaggregation - Section E '!A$316:N839,3,0),"")</f>
        <v/>
      </c>
      <c r="L1110" s="171" t="str">
        <f ca="1">IFERROR(IF(VLOOKUP(C1110,' Disaggregation - Section E '!A$316:N839,14,0)=0,"",VLOOKUP(C1110,' Disaggregation - Section E '!A$316:N839,14,0)),"")</f>
        <v/>
      </c>
      <c r="M1110" s="166" t="str">
        <f ca="1">IFERROR(IF(VLOOKUP(C1110,' Disaggregation - Section E '!A$316:T839,20,0)=0,"",VLOOKUP(C1110,' Disaggregation - Section E '!A$316:T839,20,0)),"")</f>
        <v/>
      </c>
      <c r="N1110" s="171" t="str">
        <f ca="1">IFERROR(IF(VLOOKUP(C1110,' Disaggregation - Section E '!A$316:N839,9,0)=0,"",VLOOKUP(C1110,' Disaggregation - Section E '!A$316:N839,9,0)),"")</f>
        <v/>
      </c>
      <c r="O1110" s="171" t="str">
        <f ca="1">IFERROR(IF(VLOOKUP(C1110,' Disaggregation - Section E '!A$315:N839,10,0)=0,"",VLOOKUP(C1110,' Disaggregation - Section E '!A$316:N839,10,0)),"")</f>
        <v/>
      </c>
    </row>
    <row r="1111" spans="1:15">
      <c r="A1111" s="166" t="b">
        <f t="shared" ca="1" si="140"/>
        <v>0</v>
      </c>
      <c r="B1111" s="166"/>
      <c r="C1111" s="172" t="str">
        <f ca="1">IF(COUNTA(D$885:D1111)=1,"",OFFSET(C1111,-COUNTA(D$885:D1111)+1,0))</f>
        <v>a1V3p000006h2wwEAA</v>
      </c>
      <c r="D1111" s="177"/>
      <c r="E1111" s="168" t="str">
        <f ca="1">IFERROR(IF(VLOOKUP(C1111,' Disaggregation - Section E '!A$316:N840,7,0)="","",VLOOKUP(C1111,' Disaggregation - Section E '!A$316:N840,7,0)*100),"")</f>
        <v/>
      </c>
      <c r="F1111" s="166"/>
      <c r="G1111" s="170" t="str">
        <f ca="1">IFERROR(IF(VLOOKUP(C1111,' Disaggregation - Section E '!A$316:N840,6,0)="","",VLOOKUP(C1111,' Disaggregation - Section E '!A$316:N840,6,0)),"")</f>
        <v/>
      </c>
      <c r="H1111" s="177" t="str">
        <f ca="1">IFERROR(IF(INDEX(' Disaggregation - Section E '!F$313:F840,MATCH(C1111,' Disaggregation - Section E '!A$313:A840,0)+1,1)&lt;&gt;0,INDEX(' Disaggregation - Section E '!F$313:F840,MATCH(C1111,' Disaggregation - Section E '!A$313:A840,0)+1,1),""),"")</f>
        <v/>
      </c>
      <c r="I1111" s="171" t="str">
        <f ca="1">IFERROR(IF(VLOOKUP(C1111,' Disaggregation - Section E '!A$316:N840,8,0)=0,"",VLOOKUP(C1111,' Disaggregation - Section E '!A$316:N840,8,0)),"")</f>
        <v/>
      </c>
      <c r="J1111" s="171" t="str">
        <f ca="1">IFERROR(IF(VLOOKUP(C1111,' Disaggregation - Section E '!A$316:N840,13,0)=0,"",VLOOKUP(C1111,' Disaggregation - Section E '!A$316:N840,13,0)),"")</f>
        <v/>
      </c>
      <c r="K1111" s="166" t="str">
        <f ca="1">IFERROR(VLOOKUP(C1111,' Disaggregation - Section E '!A$316:N840,3,0),"")</f>
        <v/>
      </c>
      <c r="L1111" s="171" t="str">
        <f ca="1">IFERROR(IF(VLOOKUP(C1111,' Disaggregation - Section E '!A$316:N840,14,0)=0,"",VLOOKUP(C1111,' Disaggregation - Section E '!A$316:N840,14,0)),"")</f>
        <v/>
      </c>
      <c r="M1111" s="166" t="str">
        <f ca="1">IFERROR(IF(VLOOKUP(C1111,' Disaggregation - Section E '!A$316:T840,20,0)=0,"",VLOOKUP(C1111,' Disaggregation - Section E '!A$316:T840,20,0)),"")</f>
        <v/>
      </c>
      <c r="N1111" s="171" t="str">
        <f ca="1">IFERROR(IF(VLOOKUP(C1111,' Disaggregation - Section E '!A$316:N840,9,0)=0,"",VLOOKUP(C1111,' Disaggregation - Section E '!A$316:N840,9,0)),"")</f>
        <v/>
      </c>
      <c r="O1111" s="171" t="str">
        <f ca="1">IFERROR(IF(VLOOKUP(C1111,' Disaggregation - Section E '!A$315:N840,10,0)=0,"",VLOOKUP(C1111,' Disaggregation - Section E '!A$316:N840,10,0)),"")</f>
        <v/>
      </c>
    </row>
    <row r="1112" spans="1:15">
      <c r="A1112" s="166" t="b">
        <f t="shared" ca="1" si="140"/>
        <v>0</v>
      </c>
      <c r="B1112" s="166"/>
      <c r="C1112" s="172" t="str">
        <f ca="1">IF(COUNTA(D$885:D1112)=1,"",OFFSET(C1112,-COUNTA(D$885:D1112)+1,0))</f>
        <v>a1V3p000006h2wxEAA</v>
      </c>
      <c r="D1112" s="177"/>
      <c r="E1112" s="168" t="str">
        <f ca="1">IFERROR(IF(VLOOKUP(C1112,' Disaggregation - Section E '!A$316:N841,7,0)="","",VLOOKUP(C1112,' Disaggregation - Section E '!A$316:N841,7,0)*100),"")</f>
        <v/>
      </c>
      <c r="F1112" s="166"/>
      <c r="G1112" s="170" t="str">
        <f ca="1">IFERROR(IF(VLOOKUP(C1112,' Disaggregation - Section E '!A$316:N841,6,0)="","",VLOOKUP(C1112,' Disaggregation - Section E '!A$316:N841,6,0)),"")</f>
        <v/>
      </c>
      <c r="H1112" s="177" t="str">
        <f ca="1">IFERROR(IF(INDEX(' Disaggregation - Section E '!F$313:F841,MATCH(C1112,' Disaggregation - Section E '!A$313:A841,0)+1,1)&lt;&gt;0,INDEX(' Disaggregation - Section E '!F$313:F841,MATCH(C1112,' Disaggregation - Section E '!A$313:A841,0)+1,1),""),"")</f>
        <v/>
      </c>
      <c r="I1112" s="171" t="str">
        <f ca="1">IFERROR(IF(VLOOKUP(C1112,' Disaggregation - Section E '!A$316:N841,8,0)=0,"",VLOOKUP(C1112,' Disaggregation - Section E '!A$316:N841,8,0)),"")</f>
        <v/>
      </c>
      <c r="J1112" s="171" t="str">
        <f ca="1">IFERROR(IF(VLOOKUP(C1112,' Disaggregation - Section E '!A$316:N841,13,0)=0,"",VLOOKUP(C1112,' Disaggregation - Section E '!A$316:N841,13,0)),"")</f>
        <v/>
      </c>
      <c r="K1112" s="166" t="str">
        <f ca="1">IFERROR(VLOOKUP(C1112,' Disaggregation - Section E '!A$316:N841,3,0),"")</f>
        <v/>
      </c>
      <c r="L1112" s="171" t="str">
        <f ca="1">IFERROR(IF(VLOOKUP(C1112,' Disaggregation - Section E '!A$316:N841,14,0)=0,"",VLOOKUP(C1112,' Disaggregation - Section E '!A$316:N841,14,0)),"")</f>
        <v/>
      </c>
      <c r="M1112" s="166" t="str">
        <f ca="1">IFERROR(IF(VLOOKUP(C1112,' Disaggregation - Section E '!A$316:T841,20,0)=0,"",VLOOKUP(C1112,' Disaggregation - Section E '!A$316:T841,20,0)),"")</f>
        <v/>
      </c>
      <c r="N1112" s="171" t="str">
        <f ca="1">IFERROR(IF(VLOOKUP(C1112,' Disaggregation - Section E '!A$316:N841,9,0)=0,"",VLOOKUP(C1112,' Disaggregation - Section E '!A$316:N841,9,0)),"")</f>
        <v/>
      </c>
      <c r="O1112" s="171" t="str">
        <f ca="1">IFERROR(IF(VLOOKUP(C1112,' Disaggregation - Section E '!A$315:N841,10,0)=0,"",VLOOKUP(C1112,' Disaggregation - Section E '!A$316:N841,10,0)),"")</f>
        <v/>
      </c>
    </row>
    <row r="1113" spans="1:15">
      <c r="A1113" s="166" t="b">
        <f t="shared" ca="1" si="140"/>
        <v>0</v>
      </c>
      <c r="B1113" s="166"/>
      <c r="C1113" s="172" t="str">
        <f ca="1">IF(COUNTA(D$885:D1113)=1,"",OFFSET(C1113,-COUNTA(D$885:D1113)+1,0))</f>
        <v>a1V3p000006h2wyEAA</v>
      </c>
      <c r="D1113" s="177"/>
      <c r="E1113" s="168" t="str">
        <f ca="1">IFERROR(IF(VLOOKUP(C1113,' Disaggregation - Section E '!A$316:N842,7,0)="","",VLOOKUP(C1113,' Disaggregation - Section E '!A$316:N842,7,0)*100),"")</f>
        <v/>
      </c>
      <c r="F1113" s="166"/>
      <c r="G1113" s="170" t="str">
        <f ca="1">IFERROR(IF(VLOOKUP(C1113,' Disaggregation - Section E '!A$316:N842,6,0)="","",VLOOKUP(C1113,' Disaggregation - Section E '!A$316:N842,6,0)),"")</f>
        <v/>
      </c>
      <c r="H1113" s="177" t="str">
        <f ca="1">IFERROR(IF(INDEX(' Disaggregation - Section E '!F$313:F842,MATCH(C1113,' Disaggregation - Section E '!A$313:A842,0)+1,1)&lt;&gt;0,INDEX(' Disaggregation - Section E '!F$313:F842,MATCH(C1113,' Disaggregation - Section E '!A$313:A842,0)+1,1),""),"")</f>
        <v/>
      </c>
      <c r="I1113" s="171" t="str">
        <f ca="1">IFERROR(IF(VLOOKUP(C1113,' Disaggregation - Section E '!A$316:N842,8,0)=0,"",VLOOKUP(C1113,' Disaggregation - Section E '!A$316:N842,8,0)),"")</f>
        <v/>
      </c>
      <c r="J1113" s="171" t="str">
        <f ca="1">IFERROR(IF(VLOOKUP(C1113,' Disaggregation - Section E '!A$316:N842,13,0)=0,"",VLOOKUP(C1113,' Disaggregation - Section E '!A$316:N842,13,0)),"")</f>
        <v/>
      </c>
      <c r="K1113" s="166" t="str">
        <f ca="1">IFERROR(VLOOKUP(C1113,' Disaggregation - Section E '!A$316:N842,3,0),"")</f>
        <v/>
      </c>
      <c r="L1113" s="171" t="str">
        <f ca="1">IFERROR(IF(VLOOKUP(C1113,' Disaggregation - Section E '!A$316:N842,14,0)=0,"",VLOOKUP(C1113,' Disaggregation - Section E '!A$316:N842,14,0)),"")</f>
        <v/>
      </c>
      <c r="M1113" s="166" t="str">
        <f ca="1">IFERROR(IF(VLOOKUP(C1113,' Disaggregation - Section E '!A$316:T842,20,0)=0,"",VLOOKUP(C1113,' Disaggregation - Section E '!A$316:T842,20,0)),"")</f>
        <v/>
      </c>
      <c r="N1113" s="171" t="str">
        <f ca="1">IFERROR(IF(VLOOKUP(C1113,' Disaggregation - Section E '!A$316:N842,9,0)=0,"",VLOOKUP(C1113,' Disaggregation - Section E '!A$316:N842,9,0)),"")</f>
        <v/>
      </c>
      <c r="O1113" s="171" t="str">
        <f ca="1">IFERROR(IF(VLOOKUP(C1113,' Disaggregation - Section E '!A$315:N842,10,0)=0,"",VLOOKUP(C1113,' Disaggregation - Section E '!A$316:N842,10,0)),"")</f>
        <v/>
      </c>
    </row>
    <row r="1114" spans="1:15">
      <c r="A1114" s="166" t="b">
        <f t="shared" ca="1" si="140"/>
        <v>0</v>
      </c>
      <c r="B1114" s="166"/>
      <c r="C1114" s="172" t="str">
        <f ca="1">IF(COUNTA(D$885:D1114)=1,"",OFFSET(C1114,-COUNTA(D$885:D1114)+1,0))</f>
        <v>a1V3p000006h2wzEAA</v>
      </c>
      <c r="D1114" s="177"/>
      <c r="E1114" s="168" t="str">
        <f ca="1">IFERROR(IF(VLOOKUP(C1114,' Disaggregation - Section E '!A$316:N843,7,0)="","",VLOOKUP(C1114,' Disaggregation - Section E '!A$316:N843,7,0)*100),"")</f>
        <v/>
      </c>
      <c r="F1114" s="166"/>
      <c r="G1114" s="170" t="str">
        <f ca="1">IFERROR(IF(VLOOKUP(C1114,' Disaggregation - Section E '!A$316:N843,6,0)="","",VLOOKUP(C1114,' Disaggregation - Section E '!A$316:N843,6,0)),"")</f>
        <v/>
      </c>
      <c r="H1114" s="177" t="str">
        <f ca="1">IFERROR(IF(INDEX(' Disaggregation - Section E '!F$313:F843,MATCH(C1114,' Disaggregation - Section E '!A$313:A843,0)+1,1)&lt;&gt;0,INDEX(' Disaggregation - Section E '!F$313:F843,MATCH(C1114,' Disaggregation - Section E '!A$313:A843,0)+1,1),""),"")</f>
        <v/>
      </c>
      <c r="I1114" s="171" t="str">
        <f ca="1">IFERROR(IF(VLOOKUP(C1114,' Disaggregation - Section E '!A$316:N843,8,0)=0,"",VLOOKUP(C1114,' Disaggregation - Section E '!A$316:N843,8,0)),"")</f>
        <v/>
      </c>
      <c r="J1114" s="171" t="str">
        <f ca="1">IFERROR(IF(VLOOKUP(C1114,' Disaggregation - Section E '!A$316:N843,13,0)=0,"",VLOOKUP(C1114,' Disaggregation - Section E '!A$316:N843,13,0)),"")</f>
        <v/>
      </c>
      <c r="K1114" s="166" t="str">
        <f ca="1">IFERROR(VLOOKUP(C1114,' Disaggregation - Section E '!A$316:N843,3,0),"")</f>
        <v/>
      </c>
      <c r="L1114" s="171" t="str">
        <f ca="1">IFERROR(IF(VLOOKUP(C1114,' Disaggregation - Section E '!A$316:N843,14,0)=0,"",VLOOKUP(C1114,' Disaggregation - Section E '!A$316:N843,14,0)),"")</f>
        <v/>
      </c>
      <c r="M1114" s="166" t="str">
        <f ca="1">IFERROR(IF(VLOOKUP(C1114,' Disaggregation - Section E '!A$316:T843,20,0)=0,"",VLOOKUP(C1114,' Disaggregation - Section E '!A$316:T843,20,0)),"")</f>
        <v/>
      </c>
      <c r="N1114" s="171" t="str">
        <f ca="1">IFERROR(IF(VLOOKUP(C1114,' Disaggregation - Section E '!A$316:N843,9,0)=0,"",VLOOKUP(C1114,' Disaggregation - Section E '!A$316:N843,9,0)),"")</f>
        <v/>
      </c>
      <c r="O1114" s="171" t="str">
        <f ca="1">IFERROR(IF(VLOOKUP(C1114,' Disaggregation - Section E '!A$315:N843,10,0)=0,"",VLOOKUP(C1114,' Disaggregation - Section E '!A$316:N843,10,0)),"")</f>
        <v/>
      </c>
    </row>
    <row r="1115" spans="1:15">
      <c r="A1115" s="166" t="b">
        <f t="shared" ca="1" si="140"/>
        <v>0</v>
      </c>
      <c r="B1115" s="166"/>
      <c r="C1115" s="172" t="str">
        <f ca="1">IF(COUNTA(D$885:D1115)=1,"",OFFSET(C1115,-COUNTA(D$885:D1115)+1,0))</f>
        <v>a1V3p000006h2x0EAA</v>
      </c>
      <c r="D1115" s="177"/>
      <c r="E1115" s="168" t="str">
        <f ca="1">IFERROR(IF(VLOOKUP(C1115,' Disaggregation - Section E '!A$316:N844,7,0)="","",VLOOKUP(C1115,' Disaggregation - Section E '!A$316:N844,7,0)*100),"")</f>
        <v/>
      </c>
      <c r="F1115" s="166"/>
      <c r="G1115" s="170" t="str">
        <f ca="1">IFERROR(IF(VLOOKUP(C1115,' Disaggregation - Section E '!A$316:N844,6,0)="","",VLOOKUP(C1115,' Disaggregation - Section E '!A$316:N844,6,0)),"")</f>
        <v/>
      </c>
      <c r="H1115" s="177" t="str">
        <f ca="1">IFERROR(IF(INDEX(' Disaggregation - Section E '!F$313:F844,MATCH(C1115,' Disaggregation - Section E '!A$313:A844,0)+1,1)&lt;&gt;0,INDEX(' Disaggregation - Section E '!F$313:F844,MATCH(C1115,' Disaggregation - Section E '!A$313:A844,0)+1,1),""),"")</f>
        <v/>
      </c>
      <c r="I1115" s="171" t="str">
        <f ca="1">IFERROR(IF(VLOOKUP(C1115,' Disaggregation - Section E '!A$316:N844,8,0)=0,"",VLOOKUP(C1115,' Disaggregation - Section E '!A$316:N844,8,0)),"")</f>
        <v/>
      </c>
      <c r="J1115" s="171" t="str">
        <f ca="1">IFERROR(IF(VLOOKUP(C1115,' Disaggregation - Section E '!A$316:N844,13,0)=0,"",VLOOKUP(C1115,' Disaggregation - Section E '!A$316:N844,13,0)),"")</f>
        <v/>
      </c>
      <c r="K1115" s="166" t="str">
        <f ca="1">IFERROR(VLOOKUP(C1115,' Disaggregation - Section E '!A$316:N844,3,0),"")</f>
        <v/>
      </c>
      <c r="L1115" s="171" t="str">
        <f ca="1">IFERROR(IF(VLOOKUP(C1115,' Disaggregation - Section E '!A$316:N844,14,0)=0,"",VLOOKUP(C1115,' Disaggregation - Section E '!A$316:N844,14,0)),"")</f>
        <v/>
      </c>
      <c r="M1115" s="166" t="str">
        <f ca="1">IFERROR(IF(VLOOKUP(C1115,' Disaggregation - Section E '!A$316:T844,20,0)=0,"",VLOOKUP(C1115,' Disaggregation - Section E '!A$316:T844,20,0)),"")</f>
        <v/>
      </c>
      <c r="N1115" s="171" t="str">
        <f ca="1">IFERROR(IF(VLOOKUP(C1115,' Disaggregation - Section E '!A$316:N844,9,0)=0,"",VLOOKUP(C1115,' Disaggregation - Section E '!A$316:N844,9,0)),"")</f>
        <v/>
      </c>
      <c r="O1115" s="171" t="str">
        <f ca="1">IFERROR(IF(VLOOKUP(C1115,' Disaggregation - Section E '!A$315:N844,10,0)=0,"",VLOOKUP(C1115,' Disaggregation - Section E '!A$316:N844,10,0)),"")</f>
        <v/>
      </c>
    </row>
    <row r="1116" spans="1:15">
      <c r="A1116" s="166" t="b">
        <f t="shared" ca="1" si="140"/>
        <v>0</v>
      </c>
      <c r="B1116" s="166"/>
      <c r="C1116" s="172" t="str">
        <f ca="1">IF(COUNTA(D$885:D1116)=1,"",OFFSET(C1116,-COUNTA(D$885:D1116)+1,0))</f>
        <v>a1V3p000006h2x1EAA</v>
      </c>
      <c r="D1116" s="177"/>
      <c r="E1116" s="168" t="str">
        <f ca="1">IFERROR(IF(VLOOKUP(C1116,' Disaggregation - Section E '!A$316:N845,7,0)="","",VLOOKUP(C1116,' Disaggregation - Section E '!A$316:N845,7,0)*100),"")</f>
        <v/>
      </c>
      <c r="F1116" s="166"/>
      <c r="G1116" s="170" t="str">
        <f ca="1">IFERROR(IF(VLOOKUP(C1116,' Disaggregation - Section E '!A$316:N845,6,0)="","",VLOOKUP(C1116,' Disaggregation - Section E '!A$316:N845,6,0)),"")</f>
        <v/>
      </c>
      <c r="H1116" s="177" t="str">
        <f ca="1">IFERROR(IF(INDEX(' Disaggregation - Section E '!F$313:F845,MATCH(C1116,' Disaggregation - Section E '!A$313:A845,0)+1,1)&lt;&gt;0,INDEX(' Disaggregation - Section E '!F$313:F845,MATCH(C1116,' Disaggregation - Section E '!A$313:A845,0)+1,1),""),"")</f>
        <v/>
      </c>
      <c r="I1116" s="171" t="str">
        <f ca="1">IFERROR(IF(VLOOKUP(C1116,' Disaggregation - Section E '!A$316:N845,8,0)=0,"",VLOOKUP(C1116,' Disaggregation - Section E '!A$316:N845,8,0)),"")</f>
        <v/>
      </c>
      <c r="J1116" s="171" t="str">
        <f ca="1">IFERROR(IF(VLOOKUP(C1116,' Disaggregation - Section E '!A$316:N845,13,0)=0,"",VLOOKUP(C1116,' Disaggregation - Section E '!A$316:N845,13,0)),"")</f>
        <v/>
      </c>
      <c r="K1116" s="166" t="str">
        <f ca="1">IFERROR(VLOOKUP(C1116,' Disaggregation - Section E '!A$316:N845,3,0),"")</f>
        <v/>
      </c>
      <c r="L1116" s="171" t="str">
        <f ca="1">IFERROR(IF(VLOOKUP(C1116,' Disaggregation - Section E '!A$316:N845,14,0)=0,"",VLOOKUP(C1116,' Disaggregation - Section E '!A$316:N845,14,0)),"")</f>
        <v/>
      </c>
      <c r="M1116" s="166" t="str">
        <f ca="1">IFERROR(IF(VLOOKUP(C1116,' Disaggregation - Section E '!A$316:T845,20,0)=0,"",VLOOKUP(C1116,' Disaggregation - Section E '!A$316:T845,20,0)),"")</f>
        <v/>
      </c>
      <c r="N1116" s="171" t="str">
        <f ca="1">IFERROR(IF(VLOOKUP(C1116,' Disaggregation - Section E '!A$316:N845,9,0)=0,"",VLOOKUP(C1116,' Disaggregation - Section E '!A$316:N845,9,0)),"")</f>
        <v/>
      </c>
      <c r="O1116" s="171" t="str">
        <f ca="1">IFERROR(IF(VLOOKUP(C1116,' Disaggregation - Section E '!A$315:N845,10,0)=0,"",VLOOKUP(C1116,' Disaggregation - Section E '!A$316:N845,10,0)),"")</f>
        <v/>
      </c>
    </row>
    <row r="1117" spans="1:15">
      <c r="A1117" s="166" t="b">
        <f t="shared" ca="1" si="140"/>
        <v>0</v>
      </c>
      <c r="B1117" s="166"/>
      <c r="C1117" s="172" t="str">
        <f ca="1">IF(COUNTA(D$885:D1117)=1,"",OFFSET(C1117,-COUNTA(D$885:D1117)+1,0))</f>
        <v>a1V3p000006h2x2EAA</v>
      </c>
      <c r="D1117" s="177"/>
      <c r="E1117" s="168" t="str">
        <f ca="1">IFERROR(IF(VLOOKUP(C1117,' Disaggregation - Section E '!A$316:N846,7,0)="","",VLOOKUP(C1117,' Disaggregation - Section E '!A$316:N846,7,0)*100),"")</f>
        <v/>
      </c>
      <c r="F1117" s="166"/>
      <c r="G1117" s="170" t="str">
        <f ca="1">IFERROR(IF(VLOOKUP(C1117,' Disaggregation - Section E '!A$316:N846,6,0)="","",VLOOKUP(C1117,' Disaggregation - Section E '!A$316:N846,6,0)),"")</f>
        <v/>
      </c>
      <c r="H1117" s="177" t="str">
        <f ca="1">IFERROR(IF(INDEX(' Disaggregation - Section E '!F$313:F846,MATCH(C1117,' Disaggregation - Section E '!A$313:A846,0)+1,1)&lt;&gt;0,INDEX(' Disaggregation - Section E '!F$313:F846,MATCH(C1117,' Disaggregation - Section E '!A$313:A846,0)+1,1),""),"")</f>
        <v/>
      </c>
      <c r="I1117" s="171" t="str">
        <f ca="1">IFERROR(IF(VLOOKUP(C1117,' Disaggregation - Section E '!A$316:N846,8,0)=0,"",VLOOKUP(C1117,' Disaggregation - Section E '!A$316:N846,8,0)),"")</f>
        <v/>
      </c>
      <c r="J1117" s="171" t="str">
        <f ca="1">IFERROR(IF(VLOOKUP(C1117,' Disaggregation - Section E '!A$316:N846,13,0)=0,"",VLOOKUP(C1117,' Disaggregation - Section E '!A$316:N846,13,0)),"")</f>
        <v/>
      </c>
      <c r="K1117" s="166" t="str">
        <f ca="1">IFERROR(VLOOKUP(C1117,' Disaggregation - Section E '!A$316:N846,3,0),"")</f>
        <v/>
      </c>
      <c r="L1117" s="171" t="str">
        <f ca="1">IFERROR(IF(VLOOKUP(C1117,' Disaggregation - Section E '!A$316:N846,14,0)=0,"",VLOOKUP(C1117,' Disaggregation - Section E '!A$316:N846,14,0)),"")</f>
        <v/>
      </c>
      <c r="M1117" s="166" t="str">
        <f ca="1">IFERROR(IF(VLOOKUP(C1117,' Disaggregation - Section E '!A$316:T846,20,0)=0,"",VLOOKUP(C1117,' Disaggregation - Section E '!A$316:T846,20,0)),"")</f>
        <v/>
      </c>
      <c r="N1117" s="171" t="str">
        <f ca="1">IFERROR(IF(VLOOKUP(C1117,' Disaggregation - Section E '!A$316:N846,9,0)=0,"",VLOOKUP(C1117,' Disaggregation - Section E '!A$316:N846,9,0)),"")</f>
        <v/>
      </c>
      <c r="O1117" s="171" t="str">
        <f ca="1">IFERROR(IF(VLOOKUP(C1117,' Disaggregation - Section E '!A$315:N846,10,0)=0,"",VLOOKUP(C1117,' Disaggregation - Section E '!A$316:N846,10,0)),"")</f>
        <v/>
      </c>
    </row>
    <row r="1118" spans="1:15">
      <c r="A1118" s="166" t="b">
        <f t="shared" ca="1" si="140"/>
        <v>0</v>
      </c>
      <c r="B1118" s="166"/>
      <c r="C1118" s="172" t="str">
        <f ca="1">IF(COUNTA(D$885:D1118)=1,"",OFFSET(C1118,-COUNTA(D$885:D1118)+1,0))</f>
        <v>a1V3p000006h2x3EAA</v>
      </c>
      <c r="D1118" s="177"/>
      <c r="E1118" s="168" t="str">
        <f ca="1">IFERROR(IF(VLOOKUP(C1118,' Disaggregation - Section E '!A$316:N847,7,0)="","",VLOOKUP(C1118,' Disaggregation - Section E '!A$316:N847,7,0)*100),"")</f>
        <v/>
      </c>
      <c r="F1118" s="166"/>
      <c r="G1118" s="170" t="str">
        <f ca="1">IFERROR(IF(VLOOKUP(C1118,' Disaggregation - Section E '!A$316:N847,6,0)="","",VLOOKUP(C1118,' Disaggregation - Section E '!A$316:N847,6,0)),"")</f>
        <v/>
      </c>
      <c r="H1118" s="177" t="str">
        <f ca="1">IFERROR(IF(INDEX(' Disaggregation - Section E '!F$313:F847,MATCH(C1118,' Disaggregation - Section E '!A$313:A847,0)+1,1)&lt;&gt;0,INDEX(' Disaggregation - Section E '!F$313:F847,MATCH(C1118,' Disaggregation - Section E '!A$313:A847,0)+1,1),""),"")</f>
        <v/>
      </c>
      <c r="I1118" s="171" t="str">
        <f ca="1">IFERROR(IF(VLOOKUP(C1118,' Disaggregation - Section E '!A$316:N847,8,0)=0,"",VLOOKUP(C1118,' Disaggregation - Section E '!A$316:N847,8,0)),"")</f>
        <v/>
      </c>
      <c r="J1118" s="171" t="str">
        <f ca="1">IFERROR(IF(VLOOKUP(C1118,' Disaggregation - Section E '!A$316:N847,13,0)=0,"",VLOOKUP(C1118,' Disaggregation - Section E '!A$316:N847,13,0)),"")</f>
        <v/>
      </c>
      <c r="K1118" s="166" t="str">
        <f ca="1">IFERROR(VLOOKUP(C1118,' Disaggregation - Section E '!A$316:N847,3,0),"")</f>
        <v/>
      </c>
      <c r="L1118" s="171" t="str">
        <f ca="1">IFERROR(IF(VLOOKUP(C1118,' Disaggregation - Section E '!A$316:N847,14,0)=0,"",VLOOKUP(C1118,' Disaggregation - Section E '!A$316:N847,14,0)),"")</f>
        <v/>
      </c>
      <c r="M1118" s="166" t="str">
        <f ca="1">IFERROR(IF(VLOOKUP(C1118,' Disaggregation - Section E '!A$316:T847,20,0)=0,"",VLOOKUP(C1118,' Disaggregation - Section E '!A$316:T847,20,0)),"")</f>
        <v/>
      </c>
      <c r="N1118" s="171" t="str">
        <f ca="1">IFERROR(IF(VLOOKUP(C1118,' Disaggregation - Section E '!A$316:N847,9,0)=0,"",VLOOKUP(C1118,' Disaggregation - Section E '!A$316:N847,9,0)),"")</f>
        <v/>
      </c>
      <c r="O1118" s="171" t="str">
        <f ca="1">IFERROR(IF(VLOOKUP(C1118,' Disaggregation - Section E '!A$315:N847,10,0)=0,"",VLOOKUP(C1118,' Disaggregation - Section E '!A$316:N847,10,0)),"")</f>
        <v/>
      </c>
    </row>
    <row r="1119" spans="1:15">
      <c r="A1119" s="166" t="b">
        <f t="shared" ca="1" si="140"/>
        <v>0</v>
      </c>
      <c r="B1119" s="166"/>
      <c r="C1119" s="172" t="str">
        <f ca="1">IF(COUNTA(D$885:D1119)=1,"",OFFSET(C1119,-COUNTA(D$885:D1119)+1,0))</f>
        <v>a1V3p000006h2x4EAA</v>
      </c>
      <c r="D1119" s="177"/>
      <c r="E1119" s="168" t="str">
        <f ca="1">IFERROR(IF(VLOOKUP(C1119,' Disaggregation - Section E '!A$316:N848,7,0)="","",VLOOKUP(C1119,' Disaggregation - Section E '!A$316:N848,7,0)*100),"")</f>
        <v/>
      </c>
      <c r="F1119" s="166"/>
      <c r="G1119" s="170" t="str">
        <f ca="1">IFERROR(IF(VLOOKUP(C1119,' Disaggregation - Section E '!A$316:N848,6,0)="","",VLOOKUP(C1119,' Disaggregation - Section E '!A$316:N848,6,0)),"")</f>
        <v/>
      </c>
      <c r="H1119" s="177" t="str">
        <f ca="1">IFERROR(IF(INDEX(' Disaggregation - Section E '!F$313:F848,MATCH(C1119,' Disaggregation - Section E '!A$313:A848,0)+1,1)&lt;&gt;0,INDEX(' Disaggregation - Section E '!F$313:F848,MATCH(C1119,' Disaggregation - Section E '!A$313:A848,0)+1,1),""),"")</f>
        <v/>
      </c>
      <c r="I1119" s="171" t="str">
        <f ca="1">IFERROR(IF(VLOOKUP(C1119,' Disaggregation - Section E '!A$316:N848,8,0)=0,"",VLOOKUP(C1119,' Disaggregation - Section E '!A$316:N848,8,0)),"")</f>
        <v/>
      </c>
      <c r="J1119" s="171" t="str">
        <f ca="1">IFERROR(IF(VLOOKUP(C1119,' Disaggregation - Section E '!A$316:N848,13,0)=0,"",VLOOKUP(C1119,' Disaggregation - Section E '!A$316:N848,13,0)),"")</f>
        <v/>
      </c>
      <c r="K1119" s="166" t="str">
        <f ca="1">IFERROR(VLOOKUP(C1119,' Disaggregation - Section E '!A$316:N848,3,0),"")</f>
        <v/>
      </c>
      <c r="L1119" s="171" t="str">
        <f ca="1">IFERROR(IF(VLOOKUP(C1119,' Disaggregation - Section E '!A$316:N848,14,0)=0,"",VLOOKUP(C1119,' Disaggregation - Section E '!A$316:N848,14,0)),"")</f>
        <v/>
      </c>
      <c r="M1119" s="166" t="str">
        <f ca="1">IFERROR(IF(VLOOKUP(C1119,' Disaggregation - Section E '!A$316:T848,20,0)=0,"",VLOOKUP(C1119,' Disaggregation - Section E '!A$316:T848,20,0)),"")</f>
        <v/>
      </c>
      <c r="N1119" s="171" t="str">
        <f ca="1">IFERROR(IF(VLOOKUP(C1119,' Disaggregation - Section E '!A$316:N848,9,0)=0,"",VLOOKUP(C1119,' Disaggregation - Section E '!A$316:N848,9,0)),"")</f>
        <v/>
      </c>
      <c r="O1119" s="171" t="str">
        <f ca="1">IFERROR(IF(VLOOKUP(C1119,' Disaggregation - Section E '!A$315:N848,10,0)=0,"",VLOOKUP(C1119,' Disaggregation - Section E '!A$316:N848,10,0)),"")</f>
        <v/>
      </c>
    </row>
    <row r="1120" spans="1:15">
      <c r="A1120" s="166" t="b">
        <f t="shared" ca="1" si="140"/>
        <v>0</v>
      </c>
      <c r="B1120" s="166"/>
      <c r="C1120" s="172" t="str">
        <f ca="1">IF(COUNTA(D$885:D1120)=1,"",OFFSET(C1120,-COUNTA(D$885:D1120)+1,0))</f>
        <v>a1V3p000006h2x5EAA</v>
      </c>
      <c r="D1120" s="177"/>
      <c r="E1120" s="168" t="str">
        <f ca="1">IFERROR(IF(VLOOKUP(C1120,' Disaggregation - Section E '!A$316:N849,7,0)="","",VLOOKUP(C1120,' Disaggregation - Section E '!A$316:N849,7,0)*100),"")</f>
        <v/>
      </c>
      <c r="F1120" s="166"/>
      <c r="G1120" s="170" t="str">
        <f ca="1">IFERROR(IF(VLOOKUP(C1120,' Disaggregation - Section E '!A$316:N849,6,0)="","",VLOOKUP(C1120,' Disaggregation - Section E '!A$316:N849,6,0)),"")</f>
        <v/>
      </c>
      <c r="H1120" s="177" t="str">
        <f ca="1">IFERROR(IF(INDEX(' Disaggregation - Section E '!F$313:F849,MATCH(C1120,' Disaggregation - Section E '!A$313:A849,0)+1,1)&lt;&gt;0,INDEX(' Disaggregation - Section E '!F$313:F849,MATCH(C1120,' Disaggregation - Section E '!A$313:A849,0)+1,1),""),"")</f>
        <v/>
      </c>
      <c r="I1120" s="171" t="str">
        <f ca="1">IFERROR(IF(VLOOKUP(C1120,' Disaggregation - Section E '!A$316:N849,8,0)=0,"",VLOOKUP(C1120,' Disaggregation - Section E '!A$316:N849,8,0)),"")</f>
        <v/>
      </c>
      <c r="J1120" s="171" t="str">
        <f ca="1">IFERROR(IF(VLOOKUP(C1120,' Disaggregation - Section E '!A$316:N849,13,0)=0,"",VLOOKUP(C1120,' Disaggregation - Section E '!A$316:N849,13,0)),"")</f>
        <v/>
      </c>
      <c r="K1120" s="166" t="str">
        <f ca="1">IFERROR(VLOOKUP(C1120,' Disaggregation - Section E '!A$316:N849,3,0),"")</f>
        <v/>
      </c>
      <c r="L1120" s="171" t="str">
        <f ca="1">IFERROR(IF(VLOOKUP(C1120,' Disaggregation - Section E '!A$316:N849,14,0)=0,"",VLOOKUP(C1120,' Disaggregation - Section E '!A$316:N849,14,0)),"")</f>
        <v/>
      </c>
      <c r="M1120" s="166" t="str">
        <f ca="1">IFERROR(IF(VLOOKUP(C1120,' Disaggregation - Section E '!A$316:T849,20,0)=0,"",VLOOKUP(C1120,' Disaggregation - Section E '!A$316:T849,20,0)),"")</f>
        <v/>
      </c>
      <c r="N1120" s="171" t="str">
        <f ca="1">IFERROR(IF(VLOOKUP(C1120,' Disaggregation - Section E '!A$316:N849,9,0)=0,"",VLOOKUP(C1120,' Disaggregation - Section E '!A$316:N849,9,0)),"")</f>
        <v/>
      </c>
      <c r="O1120" s="171" t="str">
        <f ca="1">IFERROR(IF(VLOOKUP(C1120,' Disaggregation - Section E '!A$315:N849,10,0)=0,"",VLOOKUP(C1120,' Disaggregation - Section E '!A$316:N849,10,0)),"")</f>
        <v/>
      </c>
    </row>
    <row r="1121" spans="1:15">
      <c r="A1121" s="166" t="b">
        <f t="shared" ca="1" si="140"/>
        <v>0</v>
      </c>
      <c r="B1121" s="166"/>
      <c r="C1121" s="172" t="str">
        <f ca="1">IF(COUNTA(D$885:D1121)=1,"",OFFSET(C1121,-COUNTA(D$885:D1121)+1,0))</f>
        <v>a1V3p000006h2x6EAA</v>
      </c>
      <c r="D1121" s="177"/>
      <c r="E1121" s="168" t="str">
        <f ca="1">IFERROR(IF(VLOOKUP(C1121,' Disaggregation - Section E '!A$316:N850,7,0)="","",VLOOKUP(C1121,' Disaggregation - Section E '!A$316:N850,7,0)*100),"")</f>
        <v/>
      </c>
      <c r="F1121" s="166"/>
      <c r="G1121" s="170" t="str">
        <f ca="1">IFERROR(IF(VLOOKUP(C1121,' Disaggregation - Section E '!A$316:N850,6,0)="","",VLOOKUP(C1121,' Disaggregation - Section E '!A$316:N850,6,0)),"")</f>
        <v/>
      </c>
      <c r="H1121" s="177" t="str">
        <f ca="1">IFERROR(IF(INDEX(' Disaggregation - Section E '!F$313:F850,MATCH(C1121,' Disaggregation - Section E '!A$313:A850,0)+1,1)&lt;&gt;0,INDEX(' Disaggregation - Section E '!F$313:F850,MATCH(C1121,' Disaggregation - Section E '!A$313:A850,0)+1,1),""),"")</f>
        <v/>
      </c>
      <c r="I1121" s="171" t="str">
        <f ca="1">IFERROR(IF(VLOOKUP(C1121,' Disaggregation - Section E '!A$316:N850,8,0)=0,"",VLOOKUP(C1121,' Disaggregation - Section E '!A$316:N850,8,0)),"")</f>
        <v/>
      </c>
      <c r="J1121" s="171" t="str">
        <f ca="1">IFERROR(IF(VLOOKUP(C1121,' Disaggregation - Section E '!A$316:N850,13,0)=0,"",VLOOKUP(C1121,' Disaggregation - Section E '!A$316:N850,13,0)),"")</f>
        <v/>
      </c>
      <c r="K1121" s="166" t="str">
        <f ca="1">IFERROR(VLOOKUP(C1121,' Disaggregation - Section E '!A$316:N850,3,0),"")</f>
        <v/>
      </c>
      <c r="L1121" s="171" t="str">
        <f ca="1">IFERROR(IF(VLOOKUP(C1121,' Disaggregation - Section E '!A$316:N850,14,0)=0,"",VLOOKUP(C1121,' Disaggregation - Section E '!A$316:N850,14,0)),"")</f>
        <v/>
      </c>
      <c r="M1121" s="166" t="str">
        <f ca="1">IFERROR(IF(VLOOKUP(C1121,' Disaggregation - Section E '!A$316:T850,20,0)=0,"",VLOOKUP(C1121,' Disaggregation - Section E '!A$316:T850,20,0)),"")</f>
        <v/>
      </c>
      <c r="N1121" s="171" t="str">
        <f ca="1">IFERROR(IF(VLOOKUP(C1121,' Disaggregation - Section E '!A$316:N850,9,0)=0,"",VLOOKUP(C1121,' Disaggregation - Section E '!A$316:N850,9,0)),"")</f>
        <v/>
      </c>
      <c r="O1121" s="171" t="str">
        <f ca="1">IFERROR(IF(VLOOKUP(C1121,' Disaggregation - Section E '!A$315:N850,10,0)=0,"",VLOOKUP(C1121,' Disaggregation - Section E '!A$316:N850,10,0)),"")</f>
        <v/>
      </c>
    </row>
    <row r="1122" spans="1:15">
      <c r="A1122" s="166" t="b">
        <f t="shared" ca="1" si="140"/>
        <v>0</v>
      </c>
      <c r="B1122" s="166"/>
      <c r="C1122" s="172" t="str">
        <f ca="1">IF(COUNTA(D$885:D1122)=1,"",OFFSET(C1122,-COUNTA(D$885:D1122)+1,0))</f>
        <v>a1V3p000006h2x7EAA</v>
      </c>
      <c r="D1122" s="177"/>
      <c r="E1122" s="168" t="str">
        <f ca="1">IFERROR(IF(VLOOKUP(C1122,' Disaggregation - Section E '!A$316:N851,7,0)="","",VLOOKUP(C1122,' Disaggregation - Section E '!A$316:N851,7,0)*100),"")</f>
        <v/>
      </c>
      <c r="F1122" s="166"/>
      <c r="G1122" s="170" t="str">
        <f ca="1">IFERROR(IF(VLOOKUP(C1122,' Disaggregation - Section E '!A$316:N851,6,0)="","",VLOOKUP(C1122,' Disaggregation - Section E '!A$316:N851,6,0)),"")</f>
        <v/>
      </c>
      <c r="H1122" s="177" t="str">
        <f ca="1">IFERROR(IF(INDEX(' Disaggregation - Section E '!F$313:F851,MATCH(C1122,' Disaggregation - Section E '!A$313:A851,0)+1,1)&lt;&gt;0,INDEX(' Disaggregation - Section E '!F$313:F851,MATCH(C1122,' Disaggregation - Section E '!A$313:A851,0)+1,1),""),"")</f>
        <v/>
      </c>
      <c r="I1122" s="171" t="str">
        <f ca="1">IFERROR(IF(VLOOKUP(C1122,' Disaggregation - Section E '!A$316:N851,8,0)=0,"",VLOOKUP(C1122,' Disaggregation - Section E '!A$316:N851,8,0)),"")</f>
        <v/>
      </c>
      <c r="J1122" s="171" t="str">
        <f ca="1">IFERROR(IF(VLOOKUP(C1122,' Disaggregation - Section E '!A$316:N851,13,0)=0,"",VLOOKUP(C1122,' Disaggregation - Section E '!A$316:N851,13,0)),"")</f>
        <v/>
      </c>
      <c r="K1122" s="166" t="str">
        <f ca="1">IFERROR(VLOOKUP(C1122,' Disaggregation - Section E '!A$316:N851,3,0),"")</f>
        <v/>
      </c>
      <c r="L1122" s="171" t="str">
        <f ca="1">IFERROR(IF(VLOOKUP(C1122,' Disaggregation - Section E '!A$316:N851,14,0)=0,"",VLOOKUP(C1122,' Disaggregation - Section E '!A$316:N851,14,0)),"")</f>
        <v/>
      </c>
      <c r="M1122" s="166" t="str">
        <f ca="1">IFERROR(IF(VLOOKUP(C1122,' Disaggregation - Section E '!A$316:T851,20,0)=0,"",VLOOKUP(C1122,' Disaggregation - Section E '!A$316:T851,20,0)),"")</f>
        <v/>
      </c>
      <c r="N1122" s="171" t="str">
        <f ca="1">IFERROR(IF(VLOOKUP(C1122,' Disaggregation - Section E '!A$316:N851,9,0)=0,"",VLOOKUP(C1122,' Disaggregation - Section E '!A$316:N851,9,0)),"")</f>
        <v/>
      </c>
      <c r="O1122" s="171" t="str">
        <f ca="1">IFERROR(IF(VLOOKUP(C1122,' Disaggregation - Section E '!A$315:N851,10,0)=0,"",VLOOKUP(C1122,' Disaggregation - Section E '!A$316:N851,10,0)),"")</f>
        <v/>
      </c>
    </row>
    <row r="1123" spans="1:15">
      <c r="A1123" s="166" t="b">
        <f t="shared" ca="1" si="140"/>
        <v>0</v>
      </c>
      <c r="B1123" s="166"/>
      <c r="C1123" s="172" t="str">
        <f ca="1">IF(COUNTA(D$885:D1123)=1,"",OFFSET(C1123,-COUNTA(D$885:D1123)+1,0))</f>
        <v>a1V3p000006h2x8EAA</v>
      </c>
      <c r="D1123" s="177"/>
      <c r="E1123" s="168" t="str">
        <f ca="1">IFERROR(IF(VLOOKUP(C1123,' Disaggregation - Section E '!A$316:N852,7,0)="","",VLOOKUP(C1123,' Disaggregation - Section E '!A$316:N852,7,0)*100),"")</f>
        <v/>
      </c>
      <c r="F1123" s="166"/>
      <c r="G1123" s="170" t="str">
        <f ca="1">IFERROR(IF(VLOOKUP(C1123,' Disaggregation - Section E '!A$316:N852,6,0)="","",VLOOKUP(C1123,' Disaggregation - Section E '!A$316:N852,6,0)),"")</f>
        <v/>
      </c>
      <c r="H1123" s="177" t="str">
        <f ca="1">IFERROR(IF(INDEX(' Disaggregation - Section E '!F$313:F852,MATCH(C1123,' Disaggregation - Section E '!A$313:A852,0)+1,1)&lt;&gt;0,INDEX(' Disaggregation - Section E '!F$313:F852,MATCH(C1123,' Disaggregation - Section E '!A$313:A852,0)+1,1),""),"")</f>
        <v/>
      </c>
      <c r="I1123" s="171" t="str">
        <f ca="1">IFERROR(IF(VLOOKUP(C1123,' Disaggregation - Section E '!A$316:N852,8,0)=0,"",VLOOKUP(C1123,' Disaggregation - Section E '!A$316:N852,8,0)),"")</f>
        <v/>
      </c>
      <c r="J1123" s="171" t="str">
        <f ca="1">IFERROR(IF(VLOOKUP(C1123,' Disaggregation - Section E '!A$316:N852,13,0)=0,"",VLOOKUP(C1123,' Disaggregation - Section E '!A$316:N852,13,0)),"")</f>
        <v/>
      </c>
      <c r="K1123" s="166" t="str">
        <f ca="1">IFERROR(VLOOKUP(C1123,' Disaggregation - Section E '!A$316:N852,3,0),"")</f>
        <v/>
      </c>
      <c r="L1123" s="171" t="str">
        <f ca="1">IFERROR(IF(VLOOKUP(C1123,' Disaggregation - Section E '!A$316:N852,14,0)=0,"",VLOOKUP(C1123,' Disaggregation - Section E '!A$316:N852,14,0)),"")</f>
        <v/>
      </c>
      <c r="M1123" s="166" t="str">
        <f ca="1">IFERROR(IF(VLOOKUP(C1123,' Disaggregation - Section E '!A$316:T852,20,0)=0,"",VLOOKUP(C1123,' Disaggregation - Section E '!A$316:T852,20,0)),"")</f>
        <v/>
      </c>
      <c r="N1123" s="171" t="str">
        <f ca="1">IFERROR(IF(VLOOKUP(C1123,' Disaggregation - Section E '!A$316:N852,9,0)=0,"",VLOOKUP(C1123,' Disaggregation - Section E '!A$316:N852,9,0)),"")</f>
        <v/>
      </c>
      <c r="O1123" s="171" t="str">
        <f ca="1">IFERROR(IF(VLOOKUP(C1123,' Disaggregation - Section E '!A$315:N852,10,0)=0,"",VLOOKUP(C1123,' Disaggregation - Section E '!A$316:N852,10,0)),"")</f>
        <v/>
      </c>
    </row>
    <row r="1124" spans="1:15">
      <c r="A1124" s="166" t="b">
        <f t="shared" ca="1" si="140"/>
        <v>0</v>
      </c>
      <c r="B1124" s="166"/>
      <c r="C1124" s="172" t="str">
        <f ca="1">IF(COUNTA(D$885:D1124)=1,"",OFFSET(C1124,-COUNTA(D$885:D1124)+1,0))</f>
        <v>a1V3p000006h2x9EAA</v>
      </c>
      <c r="D1124" s="177"/>
      <c r="E1124" s="168" t="str">
        <f ca="1">IFERROR(IF(VLOOKUP(C1124,' Disaggregation - Section E '!A$316:N853,7,0)="","",VLOOKUP(C1124,' Disaggregation - Section E '!A$316:N853,7,0)*100),"")</f>
        <v/>
      </c>
      <c r="F1124" s="166"/>
      <c r="G1124" s="170" t="str">
        <f ca="1">IFERROR(IF(VLOOKUP(C1124,' Disaggregation - Section E '!A$316:N853,6,0)="","",VLOOKUP(C1124,' Disaggregation - Section E '!A$316:N853,6,0)),"")</f>
        <v/>
      </c>
      <c r="H1124" s="177" t="str">
        <f ca="1">IFERROR(IF(INDEX(' Disaggregation - Section E '!F$313:F853,MATCH(C1124,' Disaggregation - Section E '!A$313:A853,0)+1,1)&lt;&gt;0,INDEX(' Disaggregation - Section E '!F$313:F853,MATCH(C1124,' Disaggregation - Section E '!A$313:A853,0)+1,1),""),"")</f>
        <v/>
      </c>
      <c r="I1124" s="171" t="str">
        <f ca="1">IFERROR(IF(VLOOKUP(C1124,' Disaggregation - Section E '!A$316:N853,8,0)=0,"",VLOOKUP(C1124,' Disaggregation - Section E '!A$316:N853,8,0)),"")</f>
        <v/>
      </c>
      <c r="J1124" s="171" t="str">
        <f ca="1">IFERROR(IF(VLOOKUP(C1124,' Disaggregation - Section E '!A$316:N853,13,0)=0,"",VLOOKUP(C1124,' Disaggregation - Section E '!A$316:N853,13,0)),"")</f>
        <v/>
      </c>
      <c r="K1124" s="166" t="str">
        <f ca="1">IFERROR(VLOOKUP(C1124,' Disaggregation - Section E '!A$316:N853,3,0),"")</f>
        <v/>
      </c>
      <c r="L1124" s="171" t="str">
        <f ca="1">IFERROR(IF(VLOOKUP(C1124,' Disaggregation - Section E '!A$316:N853,14,0)=0,"",VLOOKUP(C1124,' Disaggregation - Section E '!A$316:N853,14,0)),"")</f>
        <v/>
      </c>
      <c r="M1124" s="166" t="str">
        <f ca="1">IFERROR(IF(VLOOKUP(C1124,' Disaggregation - Section E '!A$316:T853,20,0)=0,"",VLOOKUP(C1124,' Disaggregation - Section E '!A$316:T853,20,0)),"")</f>
        <v/>
      </c>
      <c r="N1124" s="171" t="str">
        <f ca="1">IFERROR(IF(VLOOKUP(C1124,' Disaggregation - Section E '!A$316:N853,9,0)=0,"",VLOOKUP(C1124,' Disaggregation - Section E '!A$316:N853,9,0)),"")</f>
        <v/>
      </c>
      <c r="O1124" s="171" t="str">
        <f ca="1">IFERROR(IF(VLOOKUP(C1124,' Disaggregation - Section E '!A$315:N853,10,0)=0,"",VLOOKUP(C1124,' Disaggregation - Section E '!A$316:N853,10,0)),"")</f>
        <v/>
      </c>
    </row>
    <row r="1125" spans="1:15">
      <c r="A1125" s="166" t="b">
        <f t="shared" ca="1" si="140"/>
        <v>0</v>
      </c>
      <c r="B1125" s="166"/>
      <c r="C1125" s="172" t="str">
        <f ca="1">IF(COUNTA(D$885:D1125)=1,"",OFFSET(C1125,-COUNTA(D$885:D1125)+1,0))</f>
        <v>a1V3p000006h2xAEAQ</v>
      </c>
      <c r="D1125" s="177"/>
      <c r="E1125" s="168" t="str">
        <f ca="1">IFERROR(IF(VLOOKUP(C1125,' Disaggregation - Section E '!A$316:N854,7,0)="","",VLOOKUP(C1125,' Disaggregation - Section E '!A$316:N854,7,0)*100),"")</f>
        <v/>
      </c>
      <c r="F1125" s="166"/>
      <c r="G1125" s="170" t="str">
        <f ca="1">IFERROR(IF(VLOOKUP(C1125,' Disaggregation - Section E '!A$316:N854,6,0)="","",VLOOKUP(C1125,' Disaggregation - Section E '!A$316:N854,6,0)),"")</f>
        <v/>
      </c>
      <c r="H1125" s="177" t="str">
        <f ca="1">IFERROR(IF(INDEX(' Disaggregation - Section E '!F$313:F854,MATCH(C1125,' Disaggregation - Section E '!A$313:A854,0)+1,1)&lt;&gt;0,INDEX(' Disaggregation - Section E '!F$313:F854,MATCH(C1125,' Disaggregation - Section E '!A$313:A854,0)+1,1),""),"")</f>
        <v/>
      </c>
      <c r="I1125" s="171" t="str">
        <f ca="1">IFERROR(IF(VLOOKUP(C1125,' Disaggregation - Section E '!A$316:N854,8,0)=0,"",VLOOKUP(C1125,' Disaggregation - Section E '!A$316:N854,8,0)),"")</f>
        <v/>
      </c>
      <c r="J1125" s="171" t="str">
        <f ca="1">IFERROR(IF(VLOOKUP(C1125,' Disaggregation - Section E '!A$316:N854,13,0)=0,"",VLOOKUP(C1125,' Disaggregation - Section E '!A$316:N854,13,0)),"")</f>
        <v/>
      </c>
      <c r="K1125" s="166" t="str">
        <f ca="1">IFERROR(VLOOKUP(C1125,' Disaggregation - Section E '!A$316:N854,3,0),"")</f>
        <v/>
      </c>
      <c r="L1125" s="171" t="str">
        <f ca="1">IFERROR(IF(VLOOKUP(C1125,' Disaggregation - Section E '!A$316:N854,14,0)=0,"",VLOOKUP(C1125,' Disaggregation - Section E '!A$316:N854,14,0)),"")</f>
        <v/>
      </c>
      <c r="M1125" s="166" t="str">
        <f ca="1">IFERROR(IF(VLOOKUP(C1125,' Disaggregation - Section E '!A$316:T854,20,0)=0,"",VLOOKUP(C1125,' Disaggregation - Section E '!A$316:T854,20,0)),"")</f>
        <v/>
      </c>
      <c r="N1125" s="171" t="str">
        <f ca="1">IFERROR(IF(VLOOKUP(C1125,' Disaggregation - Section E '!A$316:N854,9,0)=0,"",VLOOKUP(C1125,' Disaggregation - Section E '!A$316:N854,9,0)),"")</f>
        <v/>
      </c>
      <c r="O1125" s="171" t="str">
        <f ca="1">IFERROR(IF(VLOOKUP(C1125,' Disaggregation - Section E '!A$315:N854,10,0)=0,"",VLOOKUP(C1125,' Disaggregation - Section E '!A$316:N854,10,0)),"")</f>
        <v/>
      </c>
    </row>
    <row r="1126" spans="1:15">
      <c r="A1126" s="166" t="b">
        <f t="shared" ca="1" si="140"/>
        <v>0</v>
      </c>
      <c r="B1126" s="166"/>
      <c r="C1126" s="172" t="str">
        <f ca="1">IF(COUNTA(D$885:D1126)=1,"",OFFSET(C1126,-COUNTA(D$885:D1126)+1,0))</f>
        <v>a1V3p000006h2xBEAQ</v>
      </c>
      <c r="D1126" s="177"/>
      <c r="E1126" s="168" t="str">
        <f ca="1">IFERROR(IF(VLOOKUP(C1126,' Disaggregation - Section E '!A$316:N855,7,0)="","",VLOOKUP(C1126,' Disaggregation - Section E '!A$316:N855,7,0)*100),"")</f>
        <v/>
      </c>
      <c r="F1126" s="166"/>
      <c r="G1126" s="170" t="str">
        <f ca="1">IFERROR(IF(VLOOKUP(C1126,' Disaggregation - Section E '!A$316:N855,6,0)="","",VLOOKUP(C1126,' Disaggregation - Section E '!A$316:N855,6,0)),"")</f>
        <v/>
      </c>
      <c r="H1126" s="177" t="str">
        <f ca="1">IFERROR(IF(INDEX(' Disaggregation - Section E '!F$313:F855,MATCH(C1126,' Disaggregation - Section E '!A$313:A855,0)+1,1)&lt;&gt;0,INDEX(' Disaggregation - Section E '!F$313:F855,MATCH(C1126,' Disaggregation - Section E '!A$313:A855,0)+1,1),""),"")</f>
        <v/>
      </c>
      <c r="I1126" s="171" t="str">
        <f ca="1">IFERROR(IF(VLOOKUP(C1126,' Disaggregation - Section E '!A$316:N855,8,0)=0,"",VLOOKUP(C1126,' Disaggregation - Section E '!A$316:N855,8,0)),"")</f>
        <v/>
      </c>
      <c r="J1126" s="171" t="str">
        <f ca="1">IFERROR(IF(VLOOKUP(C1126,' Disaggregation - Section E '!A$316:N855,13,0)=0,"",VLOOKUP(C1126,' Disaggregation - Section E '!A$316:N855,13,0)),"")</f>
        <v/>
      </c>
      <c r="K1126" s="166" t="str">
        <f ca="1">IFERROR(VLOOKUP(C1126,' Disaggregation - Section E '!A$316:N855,3,0),"")</f>
        <v/>
      </c>
      <c r="L1126" s="171" t="str">
        <f ca="1">IFERROR(IF(VLOOKUP(C1126,' Disaggregation - Section E '!A$316:N855,14,0)=0,"",VLOOKUP(C1126,' Disaggregation - Section E '!A$316:N855,14,0)),"")</f>
        <v/>
      </c>
      <c r="M1126" s="166" t="str">
        <f ca="1">IFERROR(IF(VLOOKUP(C1126,' Disaggregation - Section E '!A$316:T855,20,0)=0,"",VLOOKUP(C1126,' Disaggregation - Section E '!A$316:T855,20,0)),"")</f>
        <v/>
      </c>
      <c r="N1126" s="171" t="str">
        <f ca="1">IFERROR(IF(VLOOKUP(C1126,' Disaggregation - Section E '!A$316:N855,9,0)=0,"",VLOOKUP(C1126,' Disaggregation - Section E '!A$316:N855,9,0)),"")</f>
        <v/>
      </c>
      <c r="O1126" s="171" t="str">
        <f ca="1">IFERROR(IF(VLOOKUP(C1126,' Disaggregation - Section E '!A$315:N855,10,0)=0,"",VLOOKUP(C1126,' Disaggregation - Section E '!A$316:N855,10,0)),"")</f>
        <v/>
      </c>
    </row>
    <row r="1127" spans="1:15">
      <c r="A1127" s="166" t="b">
        <f t="shared" ca="1" si="140"/>
        <v>0</v>
      </c>
      <c r="B1127" s="166"/>
      <c r="C1127" s="172" t="str">
        <f ca="1">IF(COUNTA(D$885:D1127)=1,"",OFFSET(C1127,-COUNTA(D$885:D1127)+1,0))</f>
        <v>a1V3p000006h2xCEAQ</v>
      </c>
      <c r="D1127" s="177"/>
      <c r="E1127" s="168" t="str">
        <f ca="1">IFERROR(IF(VLOOKUP(C1127,' Disaggregation - Section E '!A$316:N856,7,0)="","",VLOOKUP(C1127,' Disaggregation - Section E '!A$316:N856,7,0)*100),"")</f>
        <v/>
      </c>
      <c r="F1127" s="166"/>
      <c r="G1127" s="170" t="str">
        <f ca="1">IFERROR(IF(VLOOKUP(C1127,' Disaggregation - Section E '!A$316:N856,6,0)="","",VLOOKUP(C1127,' Disaggregation - Section E '!A$316:N856,6,0)),"")</f>
        <v/>
      </c>
      <c r="H1127" s="177" t="str">
        <f ca="1">IFERROR(IF(INDEX(' Disaggregation - Section E '!F$313:F856,MATCH(C1127,' Disaggregation - Section E '!A$313:A856,0)+1,1)&lt;&gt;0,INDEX(' Disaggregation - Section E '!F$313:F856,MATCH(C1127,' Disaggregation - Section E '!A$313:A856,0)+1,1),""),"")</f>
        <v/>
      </c>
      <c r="I1127" s="171" t="str">
        <f ca="1">IFERROR(IF(VLOOKUP(C1127,' Disaggregation - Section E '!A$316:N856,8,0)=0,"",VLOOKUP(C1127,' Disaggregation - Section E '!A$316:N856,8,0)),"")</f>
        <v/>
      </c>
      <c r="J1127" s="171" t="str">
        <f ca="1">IFERROR(IF(VLOOKUP(C1127,' Disaggregation - Section E '!A$316:N856,13,0)=0,"",VLOOKUP(C1127,' Disaggregation - Section E '!A$316:N856,13,0)),"")</f>
        <v/>
      </c>
      <c r="K1127" s="166" t="str">
        <f ca="1">IFERROR(VLOOKUP(C1127,' Disaggregation - Section E '!A$316:N856,3,0),"")</f>
        <v/>
      </c>
      <c r="L1127" s="171" t="str">
        <f ca="1">IFERROR(IF(VLOOKUP(C1127,' Disaggregation - Section E '!A$316:N856,14,0)=0,"",VLOOKUP(C1127,' Disaggregation - Section E '!A$316:N856,14,0)),"")</f>
        <v/>
      </c>
      <c r="M1127" s="166" t="str">
        <f ca="1">IFERROR(IF(VLOOKUP(C1127,' Disaggregation - Section E '!A$316:T856,20,0)=0,"",VLOOKUP(C1127,' Disaggregation - Section E '!A$316:T856,20,0)),"")</f>
        <v/>
      </c>
      <c r="N1127" s="171" t="str">
        <f ca="1">IFERROR(IF(VLOOKUP(C1127,' Disaggregation - Section E '!A$316:N856,9,0)=0,"",VLOOKUP(C1127,' Disaggregation - Section E '!A$316:N856,9,0)),"")</f>
        <v/>
      </c>
      <c r="O1127" s="171" t="str">
        <f ca="1">IFERROR(IF(VLOOKUP(C1127,' Disaggregation - Section E '!A$315:N856,10,0)=0,"",VLOOKUP(C1127,' Disaggregation - Section E '!A$316:N856,10,0)),"")</f>
        <v/>
      </c>
    </row>
    <row r="1128" spans="1:15">
      <c r="A1128" s="166" t="b">
        <f t="shared" ca="1" si="140"/>
        <v>0</v>
      </c>
      <c r="B1128" s="166"/>
      <c r="C1128" s="172" t="str">
        <f ca="1">IF(COUNTA(D$885:D1128)=1,"",OFFSET(C1128,-COUNTA(D$885:D1128)+1,0))</f>
        <v>a1V3p000006h2xDEAQ</v>
      </c>
      <c r="D1128" s="177"/>
      <c r="E1128" s="168" t="str">
        <f ca="1">IFERROR(IF(VLOOKUP(C1128,' Disaggregation - Section E '!A$316:N857,7,0)="","",VLOOKUP(C1128,' Disaggregation - Section E '!A$316:N857,7,0)*100),"")</f>
        <v/>
      </c>
      <c r="F1128" s="166"/>
      <c r="G1128" s="170" t="str">
        <f ca="1">IFERROR(IF(VLOOKUP(C1128,' Disaggregation - Section E '!A$316:N857,6,0)="","",VLOOKUP(C1128,' Disaggregation - Section E '!A$316:N857,6,0)),"")</f>
        <v/>
      </c>
      <c r="H1128" s="177" t="str">
        <f ca="1">IFERROR(IF(INDEX(' Disaggregation - Section E '!F$313:F857,MATCH(C1128,' Disaggregation - Section E '!A$313:A857,0)+1,1)&lt;&gt;0,INDEX(' Disaggregation - Section E '!F$313:F857,MATCH(C1128,' Disaggregation - Section E '!A$313:A857,0)+1,1),""),"")</f>
        <v/>
      </c>
      <c r="I1128" s="171" t="str">
        <f ca="1">IFERROR(IF(VLOOKUP(C1128,' Disaggregation - Section E '!A$316:N857,8,0)=0,"",VLOOKUP(C1128,' Disaggregation - Section E '!A$316:N857,8,0)),"")</f>
        <v/>
      </c>
      <c r="J1128" s="171" t="str">
        <f ca="1">IFERROR(IF(VLOOKUP(C1128,' Disaggregation - Section E '!A$316:N857,13,0)=0,"",VLOOKUP(C1128,' Disaggregation - Section E '!A$316:N857,13,0)),"")</f>
        <v/>
      </c>
      <c r="K1128" s="166" t="str">
        <f ca="1">IFERROR(VLOOKUP(C1128,' Disaggregation - Section E '!A$316:N857,3,0),"")</f>
        <v/>
      </c>
      <c r="L1128" s="171" t="str">
        <f ca="1">IFERROR(IF(VLOOKUP(C1128,' Disaggregation - Section E '!A$316:N857,14,0)=0,"",VLOOKUP(C1128,' Disaggregation - Section E '!A$316:N857,14,0)),"")</f>
        <v/>
      </c>
      <c r="M1128" s="166" t="str">
        <f ca="1">IFERROR(IF(VLOOKUP(C1128,' Disaggregation - Section E '!A$316:T857,20,0)=0,"",VLOOKUP(C1128,' Disaggregation - Section E '!A$316:T857,20,0)),"")</f>
        <v/>
      </c>
      <c r="N1128" s="171" t="str">
        <f ca="1">IFERROR(IF(VLOOKUP(C1128,' Disaggregation - Section E '!A$316:N857,9,0)=0,"",VLOOKUP(C1128,' Disaggregation - Section E '!A$316:N857,9,0)),"")</f>
        <v/>
      </c>
      <c r="O1128" s="171" t="str">
        <f ca="1">IFERROR(IF(VLOOKUP(C1128,' Disaggregation - Section E '!A$315:N857,10,0)=0,"",VLOOKUP(C1128,' Disaggregation - Section E '!A$316:N857,10,0)),"")</f>
        <v/>
      </c>
    </row>
    <row r="1129" spans="1:15">
      <c r="A1129" s="166" t="b">
        <f t="shared" ca="1" si="140"/>
        <v>0</v>
      </c>
      <c r="B1129" s="166"/>
      <c r="C1129" s="172" t="str">
        <f ca="1">IF(COUNTA(D$885:D1129)=1,"",OFFSET(C1129,-COUNTA(D$885:D1129)+1,0))</f>
        <v>a1V3p000006h2xEEAQ</v>
      </c>
      <c r="D1129" s="177"/>
      <c r="E1129" s="168" t="str">
        <f ca="1">IFERROR(IF(VLOOKUP(C1129,' Disaggregation - Section E '!A$316:N858,7,0)="","",VLOOKUP(C1129,' Disaggregation - Section E '!A$316:N858,7,0)*100),"")</f>
        <v/>
      </c>
      <c r="F1129" s="166"/>
      <c r="G1129" s="170" t="str">
        <f ca="1">IFERROR(IF(VLOOKUP(C1129,' Disaggregation - Section E '!A$316:N858,6,0)="","",VLOOKUP(C1129,' Disaggregation - Section E '!A$316:N858,6,0)),"")</f>
        <v/>
      </c>
      <c r="H1129" s="177" t="str">
        <f ca="1">IFERROR(IF(INDEX(' Disaggregation - Section E '!F$313:F858,MATCH(C1129,' Disaggregation - Section E '!A$313:A858,0)+1,1)&lt;&gt;0,INDEX(' Disaggregation - Section E '!F$313:F858,MATCH(C1129,' Disaggregation - Section E '!A$313:A858,0)+1,1),""),"")</f>
        <v/>
      </c>
      <c r="I1129" s="171" t="str">
        <f ca="1">IFERROR(IF(VLOOKUP(C1129,' Disaggregation - Section E '!A$316:N858,8,0)=0,"",VLOOKUP(C1129,' Disaggregation - Section E '!A$316:N858,8,0)),"")</f>
        <v/>
      </c>
      <c r="J1129" s="171" t="str">
        <f ca="1">IFERROR(IF(VLOOKUP(C1129,' Disaggregation - Section E '!A$316:N858,13,0)=0,"",VLOOKUP(C1129,' Disaggregation - Section E '!A$316:N858,13,0)),"")</f>
        <v/>
      </c>
      <c r="K1129" s="166" t="str">
        <f ca="1">IFERROR(VLOOKUP(C1129,' Disaggregation - Section E '!A$316:N858,3,0),"")</f>
        <v/>
      </c>
      <c r="L1129" s="171" t="str">
        <f ca="1">IFERROR(IF(VLOOKUP(C1129,' Disaggregation - Section E '!A$316:N858,14,0)=0,"",VLOOKUP(C1129,' Disaggregation - Section E '!A$316:N858,14,0)),"")</f>
        <v/>
      </c>
      <c r="M1129" s="166" t="str">
        <f ca="1">IFERROR(IF(VLOOKUP(C1129,' Disaggregation - Section E '!A$316:T858,20,0)=0,"",VLOOKUP(C1129,' Disaggregation - Section E '!A$316:T858,20,0)),"")</f>
        <v/>
      </c>
      <c r="N1129" s="171" t="str">
        <f ca="1">IFERROR(IF(VLOOKUP(C1129,' Disaggregation - Section E '!A$316:N858,9,0)=0,"",VLOOKUP(C1129,' Disaggregation - Section E '!A$316:N858,9,0)),"")</f>
        <v/>
      </c>
      <c r="O1129" s="171" t="str">
        <f ca="1">IFERROR(IF(VLOOKUP(C1129,' Disaggregation - Section E '!A$315:N858,10,0)=0,"",VLOOKUP(C1129,' Disaggregation - Section E '!A$316:N858,10,0)),"")</f>
        <v/>
      </c>
    </row>
    <row r="1130" spans="1:15">
      <c r="A1130" s="166" t="b">
        <f t="shared" ca="1" si="140"/>
        <v>0</v>
      </c>
      <c r="B1130" s="166"/>
      <c r="C1130" s="172" t="str">
        <f ca="1">IF(COUNTA(D$885:D1130)=1,"",OFFSET(C1130,-COUNTA(D$885:D1130)+1,0))</f>
        <v>a1V3p000006h2xFEAQ</v>
      </c>
      <c r="D1130" s="177"/>
      <c r="E1130" s="168" t="str">
        <f ca="1">IFERROR(IF(VLOOKUP(C1130,' Disaggregation - Section E '!A$316:N859,7,0)="","",VLOOKUP(C1130,' Disaggregation - Section E '!A$316:N859,7,0)*100),"")</f>
        <v/>
      </c>
      <c r="F1130" s="166"/>
      <c r="G1130" s="170" t="str">
        <f ca="1">IFERROR(IF(VLOOKUP(C1130,' Disaggregation - Section E '!A$316:N859,6,0)="","",VLOOKUP(C1130,' Disaggregation - Section E '!A$316:N859,6,0)),"")</f>
        <v/>
      </c>
      <c r="H1130" s="177" t="str">
        <f ca="1">IFERROR(IF(INDEX(' Disaggregation - Section E '!F$313:F859,MATCH(C1130,' Disaggregation - Section E '!A$313:A859,0)+1,1)&lt;&gt;0,INDEX(' Disaggregation - Section E '!F$313:F859,MATCH(C1130,' Disaggregation - Section E '!A$313:A859,0)+1,1),""),"")</f>
        <v/>
      </c>
      <c r="I1130" s="171" t="str">
        <f ca="1">IFERROR(IF(VLOOKUP(C1130,' Disaggregation - Section E '!A$316:N859,8,0)=0,"",VLOOKUP(C1130,' Disaggregation - Section E '!A$316:N859,8,0)),"")</f>
        <v/>
      </c>
      <c r="J1130" s="171" t="str">
        <f ca="1">IFERROR(IF(VLOOKUP(C1130,' Disaggregation - Section E '!A$316:N859,13,0)=0,"",VLOOKUP(C1130,' Disaggregation - Section E '!A$316:N859,13,0)),"")</f>
        <v/>
      </c>
      <c r="K1130" s="166" t="str">
        <f ca="1">IFERROR(VLOOKUP(C1130,' Disaggregation - Section E '!A$316:N859,3,0),"")</f>
        <v/>
      </c>
      <c r="L1130" s="171" t="str">
        <f ca="1">IFERROR(IF(VLOOKUP(C1130,' Disaggregation - Section E '!A$316:N859,14,0)=0,"",VLOOKUP(C1130,' Disaggregation - Section E '!A$316:N859,14,0)),"")</f>
        <v/>
      </c>
      <c r="M1130" s="166" t="str">
        <f ca="1">IFERROR(IF(VLOOKUP(C1130,' Disaggregation - Section E '!A$316:T859,20,0)=0,"",VLOOKUP(C1130,' Disaggregation - Section E '!A$316:T859,20,0)),"")</f>
        <v/>
      </c>
      <c r="N1130" s="171" t="str">
        <f ca="1">IFERROR(IF(VLOOKUP(C1130,' Disaggregation - Section E '!A$316:N859,9,0)=0,"",VLOOKUP(C1130,' Disaggregation - Section E '!A$316:N859,9,0)),"")</f>
        <v/>
      </c>
      <c r="O1130" s="171" t="str">
        <f ca="1">IFERROR(IF(VLOOKUP(C1130,' Disaggregation - Section E '!A$315:N859,10,0)=0,"",VLOOKUP(C1130,' Disaggregation - Section E '!A$316:N859,10,0)),"")</f>
        <v/>
      </c>
    </row>
    <row r="1131" spans="1:15">
      <c r="A1131" s="166" t="b">
        <f t="shared" ca="1" si="140"/>
        <v>0</v>
      </c>
      <c r="B1131" s="166"/>
      <c r="C1131" s="172" t="str">
        <f ca="1">IF(COUNTA(D$885:D1131)=1,"",OFFSET(C1131,-COUNTA(D$885:D1131)+1,0))</f>
        <v>a1V3p000006h2xGEAQ</v>
      </c>
      <c r="D1131" s="177"/>
      <c r="E1131" s="168" t="str">
        <f ca="1">IFERROR(IF(VLOOKUP(C1131,' Disaggregation - Section E '!A$316:N860,7,0)="","",VLOOKUP(C1131,' Disaggregation - Section E '!A$316:N860,7,0)*100),"")</f>
        <v/>
      </c>
      <c r="F1131" s="166"/>
      <c r="G1131" s="170" t="str">
        <f ca="1">IFERROR(IF(VLOOKUP(C1131,' Disaggregation - Section E '!A$316:N860,6,0)="","",VLOOKUP(C1131,' Disaggregation - Section E '!A$316:N860,6,0)),"")</f>
        <v/>
      </c>
      <c r="H1131" s="177" t="str">
        <f ca="1">IFERROR(IF(INDEX(' Disaggregation - Section E '!F$313:F860,MATCH(C1131,' Disaggregation - Section E '!A$313:A860,0)+1,1)&lt;&gt;0,INDEX(' Disaggregation - Section E '!F$313:F860,MATCH(C1131,' Disaggregation - Section E '!A$313:A860,0)+1,1),""),"")</f>
        <v/>
      </c>
      <c r="I1131" s="171" t="str">
        <f ca="1">IFERROR(IF(VLOOKUP(C1131,' Disaggregation - Section E '!A$316:N860,8,0)=0,"",VLOOKUP(C1131,' Disaggregation - Section E '!A$316:N860,8,0)),"")</f>
        <v/>
      </c>
      <c r="J1131" s="171" t="str">
        <f ca="1">IFERROR(IF(VLOOKUP(C1131,' Disaggregation - Section E '!A$316:N860,13,0)=0,"",VLOOKUP(C1131,' Disaggregation - Section E '!A$316:N860,13,0)),"")</f>
        <v/>
      </c>
      <c r="K1131" s="166" t="str">
        <f ca="1">IFERROR(VLOOKUP(C1131,' Disaggregation - Section E '!A$316:N860,3,0),"")</f>
        <v/>
      </c>
      <c r="L1131" s="171" t="str">
        <f ca="1">IFERROR(IF(VLOOKUP(C1131,' Disaggregation - Section E '!A$316:N860,14,0)=0,"",VLOOKUP(C1131,' Disaggregation - Section E '!A$316:N860,14,0)),"")</f>
        <v/>
      </c>
      <c r="M1131" s="166" t="str">
        <f ca="1">IFERROR(IF(VLOOKUP(C1131,' Disaggregation - Section E '!A$316:T860,20,0)=0,"",VLOOKUP(C1131,' Disaggregation - Section E '!A$316:T860,20,0)),"")</f>
        <v/>
      </c>
      <c r="N1131" s="171" t="str">
        <f ca="1">IFERROR(IF(VLOOKUP(C1131,' Disaggregation - Section E '!A$316:N860,9,0)=0,"",VLOOKUP(C1131,' Disaggregation - Section E '!A$316:N860,9,0)),"")</f>
        <v/>
      </c>
      <c r="O1131" s="171" t="str">
        <f ca="1">IFERROR(IF(VLOOKUP(C1131,' Disaggregation - Section E '!A$315:N860,10,0)=0,"",VLOOKUP(C1131,' Disaggregation - Section E '!A$316:N860,10,0)),"")</f>
        <v/>
      </c>
    </row>
    <row r="1132" spans="1:15">
      <c r="A1132" s="166" t="b">
        <f t="shared" ca="1" si="140"/>
        <v>0</v>
      </c>
      <c r="B1132" s="166"/>
      <c r="C1132" s="172" t="str">
        <f ca="1">IF(COUNTA(D$885:D1132)=1,"",OFFSET(C1132,-COUNTA(D$885:D1132)+1,0))</f>
        <v>a1V3p000006h2xHEAQ</v>
      </c>
      <c r="D1132" s="177"/>
      <c r="E1132" s="168" t="str">
        <f ca="1">IFERROR(IF(VLOOKUP(C1132,' Disaggregation - Section E '!A$316:N861,7,0)="","",VLOOKUP(C1132,' Disaggregation - Section E '!A$316:N861,7,0)*100),"")</f>
        <v/>
      </c>
      <c r="F1132" s="166"/>
      <c r="G1132" s="170" t="str">
        <f ca="1">IFERROR(IF(VLOOKUP(C1132,' Disaggregation - Section E '!A$316:N861,6,0)="","",VLOOKUP(C1132,' Disaggregation - Section E '!A$316:N861,6,0)),"")</f>
        <v/>
      </c>
      <c r="H1132" s="177" t="str">
        <f ca="1">IFERROR(IF(INDEX(' Disaggregation - Section E '!F$313:F861,MATCH(C1132,' Disaggregation - Section E '!A$313:A861,0)+1,1)&lt;&gt;0,INDEX(' Disaggregation - Section E '!F$313:F861,MATCH(C1132,' Disaggregation - Section E '!A$313:A861,0)+1,1),""),"")</f>
        <v/>
      </c>
      <c r="I1132" s="171" t="str">
        <f ca="1">IFERROR(IF(VLOOKUP(C1132,' Disaggregation - Section E '!A$316:N861,8,0)=0,"",VLOOKUP(C1132,' Disaggregation - Section E '!A$316:N861,8,0)),"")</f>
        <v/>
      </c>
      <c r="J1132" s="171" t="str">
        <f ca="1">IFERROR(IF(VLOOKUP(C1132,' Disaggregation - Section E '!A$316:N861,13,0)=0,"",VLOOKUP(C1132,' Disaggregation - Section E '!A$316:N861,13,0)),"")</f>
        <v/>
      </c>
      <c r="K1132" s="166" t="str">
        <f ca="1">IFERROR(VLOOKUP(C1132,' Disaggregation - Section E '!A$316:N861,3,0),"")</f>
        <v/>
      </c>
      <c r="L1132" s="171" t="str">
        <f ca="1">IFERROR(IF(VLOOKUP(C1132,' Disaggregation - Section E '!A$316:N861,14,0)=0,"",VLOOKUP(C1132,' Disaggregation - Section E '!A$316:N861,14,0)),"")</f>
        <v/>
      </c>
      <c r="M1132" s="166" t="str">
        <f ca="1">IFERROR(IF(VLOOKUP(C1132,' Disaggregation - Section E '!A$316:T861,20,0)=0,"",VLOOKUP(C1132,' Disaggregation - Section E '!A$316:T861,20,0)),"")</f>
        <v/>
      </c>
      <c r="N1132" s="171" t="str">
        <f ca="1">IFERROR(IF(VLOOKUP(C1132,' Disaggregation - Section E '!A$316:N861,9,0)=0,"",VLOOKUP(C1132,' Disaggregation - Section E '!A$316:N861,9,0)),"")</f>
        <v/>
      </c>
      <c r="O1132" s="171" t="str">
        <f ca="1">IFERROR(IF(VLOOKUP(C1132,' Disaggregation - Section E '!A$315:N861,10,0)=0,"",VLOOKUP(C1132,' Disaggregation - Section E '!A$316:N861,10,0)),"")</f>
        <v/>
      </c>
    </row>
    <row r="1133" spans="1:15">
      <c r="A1133" s="166" t="b">
        <f t="shared" ca="1" si="140"/>
        <v>0</v>
      </c>
      <c r="B1133" s="166"/>
      <c r="C1133" s="172" t="str">
        <f ca="1">IF(COUNTA(D$885:D1133)=1,"",OFFSET(C1133,-COUNTA(D$885:D1133)+1,0))</f>
        <v>a1V3p000006h2xIEAQ</v>
      </c>
      <c r="D1133" s="177"/>
      <c r="E1133" s="168" t="str">
        <f ca="1">IFERROR(IF(VLOOKUP(C1133,' Disaggregation - Section E '!A$316:N862,7,0)="","",VLOOKUP(C1133,' Disaggregation - Section E '!A$316:N862,7,0)*100),"")</f>
        <v/>
      </c>
      <c r="F1133" s="166"/>
      <c r="G1133" s="170" t="str">
        <f ca="1">IFERROR(IF(VLOOKUP(C1133,' Disaggregation - Section E '!A$316:N862,6,0)="","",VLOOKUP(C1133,' Disaggregation - Section E '!A$316:N862,6,0)),"")</f>
        <v/>
      </c>
      <c r="H1133" s="177" t="str">
        <f ca="1">IFERROR(IF(INDEX(' Disaggregation - Section E '!F$313:F862,MATCH(C1133,' Disaggregation - Section E '!A$313:A862,0)+1,1)&lt;&gt;0,INDEX(' Disaggregation - Section E '!F$313:F862,MATCH(C1133,' Disaggregation - Section E '!A$313:A862,0)+1,1),""),"")</f>
        <v/>
      </c>
      <c r="I1133" s="171" t="str">
        <f ca="1">IFERROR(IF(VLOOKUP(C1133,' Disaggregation - Section E '!A$316:N862,8,0)=0,"",VLOOKUP(C1133,' Disaggregation - Section E '!A$316:N862,8,0)),"")</f>
        <v/>
      </c>
      <c r="J1133" s="171" t="str">
        <f ca="1">IFERROR(IF(VLOOKUP(C1133,' Disaggregation - Section E '!A$316:N862,13,0)=0,"",VLOOKUP(C1133,' Disaggregation - Section E '!A$316:N862,13,0)),"")</f>
        <v/>
      </c>
      <c r="K1133" s="166" t="str">
        <f ca="1">IFERROR(VLOOKUP(C1133,' Disaggregation - Section E '!A$316:N862,3,0),"")</f>
        <v/>
      </c>
      <c r="L1133" s="171" t="str">
        <f ca="1">IFERROR(IF(VLOOKUP(C1133,' Disaggregation - Section E '!A$316:N862,14,0)=0,"",VLOOKUP(C1133,' Disaggregation - Section E '!A$316:N862,14,0)),"")</f>
        <v/>
      </c>
      <c r="M1133" s="166" t="str">
        <f ca="1">IFERROR(IF(VLOOKUP(C1133,' Disaggregation - Section E '!A$316:T862,20,0)=0,"",VLOOKUP(C1133,' Disaggregation - Section E '!A$316:T862,20,0)),"")</f>
        <v/>
      </c>
      <c r="N1133" s="171" t="str">
        <f ca="1">IFERROR(IF(VLOOKUP(C1133,' Disaggregation - Section E '!A$316:N862,9,0)=0,"",VLOOKUP(C1133,' Disaggregation - Section E '!A$316:N862,9,0)),"")</f>
        <v/>
      </c>
      <c r="O1133" s="171" t="str">
        <f ca="1">IFERROR(IF(VLOOKUP(C1133,' Disaggregation - Section E '!A$315:N862,10,0)=0,"",VLOOKUP(C1133,' Disaggregation - Section E '!A$316:N862,10,0)),"")</f>
        <v/>
      </c>
    </row>
    <row r="1134" spans="1:15">
      <c r="A1134" s="166" t="b">
        <f t="shared" ca="1" si="140"/>
        <v>0</v>
      </c>
      <c r="B1134" s="166"/>
      <c r="C1134" s="172" t="str">
        <f ca="1">IF(COUNTA(D$885:D1134)=1,"",OFFSET(C1134,-COUNTA(D$885:D1134)+1,0))</f>
        <v>a1V3p000006h2xJEAQ</v>
      </c>
      <c r="D1134" s="177"/>
      <c r="E1134" s="168" t="str">
        <f ca="1">IFERROR(IF(VLOOKUP(C1134,' Disaggregation - Section E '!A$316:N863,7,0)="","",VLOOKUP(C1134,' Disaggregation - Section E '!A$316:N863,7,0)*100),"")</f>
        <v/>
      </c>
      <c r="F1134" s="166"/>
      <c r="G1134" s="170" t="str">
        <f ca="1">IFERROR(IF(VLOOKUP(C1134,' Disaggregation - Section E '!A$316:N863,6,0)="","",VLOOKUP(C1134,' Disaggregation - Section E '!A$316:N863,6,0)),"")</f>
        <v/>
      </c>
      <c r="H1134" s="177" t="str">
        <f ca="1">IFERROR(IF(INDEX(' Disaggregation - Section E '!F$313:F863,MATCH(C1134,' Disaggregation - Section E '!A$313:A863,0)+1,1)&lt;&gt;0,INDEX(' Disaggregation - Section E '!F$313:F863,MATCH(C1134,' Disaggregation - Section E '!A$313:A863,0)+1,1),""),"")</f>
        <v/>
      </c>
      <c r="I1134" s="171" t="str">
        <f ca="1">IFERROR(IF(VLOOKUP(C1134,' Disaggregation - Section E '!A$316:N863,8,0)=0,"",VLOOKUP(C1134,' Disaggregation - Section E '!A$316:N863,8,0)),"")</f>
        <v/>
      </c>
      <c r="J1134" s="171" t="str">
        <f ca="1">IFERROR(IF(VLOOKUP(C1134,' Disaggregation - Section E '!A$316:N863,13,0)=0,"",VLOOKUP(C1134,' Disaggregation - Section E '!A$316:N863,13,0)),"")</f>
        <v/>
      </c>
      <c r="K1134" s="166" t="str">
        <f ca="1">IFERROR(VLOOKUP(C1134,' Disaggregation - Section E '!A$316:N863,3,0),"")</f>
        <v/>
      </c>
      <c r="L1134" s="171" t="str">
        <f ca="1">IFERROR(IF(VLOOKUP(C1134,' Disaggregation - Section E '!A$316:N863,14,0)=0,"",VLOOKUP(C1134,' Disaggregation - Section E '!A$316:N863,14,0)),"")</f>
        <v/>
      </c>
      <c r="M1134" s="166" t="str">
        <f ca="1">IFERROR(IF(VLOOKUP(C1134,' Disaggregation - Section E '!A$316:T863,20,0)=0,"",VLOOKUP(C1134,' Disaggregation - Section E '!A$316:T863,20,0)),"")</f>
        <v/>
      </c>
      <c r="N1134" s="171" t="str">
        <f ca="1">IFERROR(IF(VLOOKUP(C1134,' Disaggregation - Section E '!A$316:N863,9,0)=0,"",VLOOKUP(C1134,' Disaggregation - Section E '!A$316:N863,9,0)),"")</f>
        <v/>
      </c>
      <c r="O1134" s="171" t="str">
        <f ca="1">IFERROR(IF(VLOOKUP(C1134,' Disaggregation - Section E '!A$315:N863,10,0)=0,"",VLOOKUP(C1134,' Disaggregation - Section E '!A$316:N863,10,0)),"")</f>
        <v/>
      </c>
    </row>
    <row r="1135" spans="1:15">
      <c r="A1135" s="166" t="b">
        <f t="shared" ca="1" si="140"/>
        <v>0</v>
      </c>
      <c r="B1135" s="166"/>
      <c r="C1135" s="172" t="str">
        <f ca="1">IF(COUNTA(D$885:D1135)=1,"",OFFSET(C1135,-COUNTA(D$885:D1135)+1,0))</f>
        <v>a1V3p000006h2xKEAQ</v>
      </c>
      <c r="D1135" s="177"/>
      <c r="E1135" s="168" t="str">
        <f ca="1">IFERROR(IF(VLOOKUP(C1135,' Disaggregation - Section E '!A$316:N864,7,0)="","",VLOOKUP(C1135,' Disaggregation - Section E '!A$316:N864,7,0)*100),"")</f>
        <v/>
      </c>
      <c r="F1135" s="166"/>
      <c r="G1135" s="170" t="str">
        <f ca="1">IFERROR(IF(VLOOKUP(C1135,' Disaggregation - Section E '!A$316:N864,6,0)="","",VLOOKUP(C1135,' Disaggregation - Section E '!A$316:N864,6,0)),"")</f>
        <v/>
      </c>
      <c r="H1135" s="177" t="str">
        <f ca="1">IFERROR(IF(INDEX(' Disaggregation - Section E '!F$313:F864,MATCH(C1135,' Disaggregation - Section E '!A$313:A864,0)+1,1)&lt;&gt;0,INDEX(' Disaggregation - Section E '!F$313:F864,MATCH(C1135,' Disaggregation - Section E '!A$313:A864,0)+1,1),""),"")</f>
        <v/>
      </c>
      <c r="I1135" s="171" t="str">
        <f ca="1">IFERROR(IF(VLOOKUP(C1135,' Disaggregation - Section E '!A$316:N864,8,0)=0,"",VLOOKUP(C1135,' Disaggregation - Section E '!A$316:N864,8,0)),"")</f>
        <v/>
      </c>
      <c r="J1135" s="171" t="str">
        <f ca="1">IFERROR(IF(VLOOKUP(C1135,' Disaggregation - Section E '!A$316:N864,13,0)=0,"",VLOOKUP(C1135,' Disaggregation - Section E '!A$316:N864,13,0)),"")</f>
        <v/>
      </c>
      <c r="K1135" s="166" t="str">
        <f ca="1">IFERROR(VLOOKUP(C1135,' Disaggregation - Section E '!A$316:N864,3,0),"")</f>
        <v/>
      </c>
      <c r="L1135" s="171" t="str">
        <f ca="1">IFERROR(IF(VLOOKUP(C1135,' Disaggregation - Section E '!A$316:N864,14,0)=0,"",VLOOKUP(C1135,' Disaggregation - Section E '!A$316:N864,14,0)),"")</f>
        <v/>
      </c>
      <c r="M1135" s="166" t="str">
        <f ca="1">IFERROR(IF(VLOOKUP(C1135,' Disaggregation - Section E '!A$316:T864,20,0)=0,"",VLOOKUP(C1135,' Disaggregation - Section E '!A$316:T864,20,0)),"")</f>
        <v/>
      </c>
      <c r="N1135" s="171" t="str">
        <f ca="1">IFERROR(IF(VLOOKUP(C1135,' Disaggregation - Section E '!A$316:N864,9,0)=0,"",VLOOKUP(C1135,' Disaggregation - Section E '!A$316:N864,9,0)),"")</f>
        <v/>
      </c>
      <c r="O1135" s="171" t="str">
        <f ca="1">IFERROR(IF(VLOOKUP(C1135,' Disaggregation - Section E '!A$315:N864,10,0)=0,"",VLOOKUP(C1135,' Disaggregation - Section E '!A$316:N864,10,0)),"")</f>
        <v/>
      </c>
    </row>
    <row r="1136" spans="1:15">
      <c r="A1136" s="166" t="b">
        <f t="shared" ca="1" si="140"/>
        <v>0</v>
      </c>
      <c r="B1136" s="166"/>
      <c r="C1136" s="172" t="str">
        <f ca="1">IF(COUNTA(D$885:D1136)=1,"",OFFSET(C1136,-COUNTA(D$885:D1136)+1,0))</f>
        <v>a1V3p000006h2xLEAQ</v>
      </c>
      <c r="D1136" s="177"/>
      <c r="E1136" s="168" t="str">
        <f ca="1">IFERROR(IF(VLOOKUP(C1136,' Disaggregation - Section E '!A$316:N865,7,0)="","",VLOOKUP(C1136,' Disaggregation - Section E '!A$316:N865,7,0)*100),"")</f>
        <v/>
      </c>
      <c r="F1136" s="166"/>
      <c r="G1136" s="170" t="str">
        <f ca="1">IFERROR(IF(VLOOKUP(C1136,' Disaggregation - Section E '!A$316:N865,6,0)="","",VLOOKUP(C1136,' Disaggregation - Section E '!A$316:N865,6,0)),"")</f>
        <v/>
      </c>
      <c r="H1136" s="177" t="str">
        <f ca="1">IFERROR(IF(INDEX(' Disaggregation - Section E '!F$313:F865,MATCH(C1136,' Disaggregation - Section E '!A$313:A865,0)+1,1)&lt;&gt;0,INDEX(' Disaggregation - Section E '!F$313:F865,MATCH(C1136,' Disaggregation - Section E '!A$313:A865,0)+1,1),""),"")</f>
        <v/>
      </c>
      <c r="I1136" s="171" t="str">
        <f ca="1">IFERROR(IF(VLOOKUP(C1136,' Disaggregation - Section E '!A$316:N865,8,0)=0,"",VLOOKUP(C1136,' Disaggregation - Section E '!A$316:N865,8,0)),"")</f>
        <v/>
      </c>
      <c r="J1136" s="171" t="str">
        <f ca="1">IFERROR(IF(VLOOKUP(C1136,' Disaggregation - Section E '!A$316:N865,13,0)=0,"",VLOOKUP(C1136,' Disaggregation - Section E '!A$316:N865,13,0)),"")</f>
        <v/>
      </c>
      <c r="K1136" s="166" t="str">
        <f ca="1">IFERROR(VLOOKUP(C1136,' Disaggregation - Section E '!A$316:N865,3,0),"")</f>
        <v/>
      </c>
      <c r="L1136" s="171" t="str">
        <f ca="1">IFERROR(IF(VLOOKUP(C1136,' Disaggregation - Section E '!A$316:N865,14,0)=0,"",VLOOKUP(C1136,' Disaggregation - Section E '!A$316:N865,14,0)),"")</f>
        <v/>
      </c>
      <c r="M1136" s="166" t="str">
        <f ca="1">IFERROR(IF(VLOOKUP(C1136,' Disaggregation - Section E '!A$316:T865,20,0)=0,"",VLOOKUP(C1136,' Disaggregation - Section E '!A$316:T865,20,0)),"")</f>
        <v/>
      </c>
      <c r="N1136" s="171" t="str">
        <f ca="1">IFERROR(IF(VLOOKUP(C1136,' Disaggregation - Section E '!A$316:N865,9,0)=0,"",VLOOKUP(C1136,' Disaggregation - Section E '!A$316:N865,9,0)),"")</f>
        <v/>
      </c>
      <c r="O1136" s="171" t="str">
        <f ca="1">IFERROR(IF(VLOOKUP(C1136,' Disaggregation - Section E '!A$315:N865,10,0)=0,"",VLOOKUP(C1136,' Disaggregation - Section E '!A$316:N865,10,0)),"")</f>
        <v/>
      </c>
    </row>
    <row r="1137" spans="1:15">
      <c r="A1137" s="166" t="b">
        <f t="shared" ca="1" si="140"/>
        <v>0</v>
      </c>
      <c r="B1137" s="166"/>
      <c r="C1137" s="172" t="str">
        <f ca="1">IF(COUNTA(D$885:D1137)=1,"",OFFSET(C1137,-COUNTA(D$885:D1137)+1,0))</f>
        <v>a1V3p000006h2xMEAQ</v>
      </c>
      <c r="D1137" s="177"/>
      <c r="E1137" s="168" t="str">
        <f ca="1">IFERROR(IF(VLOOKUP(C1137,' Disaggregation - Section E '!A$316:N866,7,0)="","",VLOOKUP(C1137,' Disaggregation - Section E '!A$316:N866,7,0)*100),"")</f>
        <v/>
      </c>
      <c r="F1137" s="166"/>
      <c r="G1137" s="170" t="str">
        <f ca="1">IFERROR(IF(VLOOKUP(C1137,' Disaggregation - Section E '!A$316:N866,6,0)="","",VLOOKUP(C1137,' Disaggregation - Section E '!A$316:N866,6,0)),"")</f>
        <v/>
      </c>
      <c r="H1137" s="177" t="str">
        <f ca="1">IFERROR(IF(INDEX(' Disaggregation - Section E '!F$313:F866,MATCH(C1137,' Disaggregation - Section E '!A$313:A866,0)+1,1)&lt;&gt;0,INDEX(' Disaggregation - Section E '!F$313:F866,MATCH(C1137,' Disaggregation - Section E '!A$313:A866,0)+1,1),""),"")</f>
        <v/>
      </c>
      <c r="I1137" s="171" t="str">
        <f ca="1">IFERROR(IF(VLOOKUP(C1137,' Disaggregation - Section E '!A$316:N866,8,0)=0,"",VLOOKUP(C1137,' Disaggregation - Section E '!A$316:N866,8,0)),"")</f>
        <v/>
      </c>
      <c r="J1137" s="171" t="str">
        <f ca="1">IFERROR(IF(VLOOKUP(C1137,' Disaggregation - Section E '!A$316:N866,13,0)=0,"",VLOOKUP(C1137,' Disaggregation - Section E '!A$316:N866,13,0)),"")</f>
        <v/>
      </c>
      <c r="K1137" s="166" t="str">
        <f ca="1">IFERROR(VLOOKUP(C1137,' Disaggregation - Section E '!A$316:N866,3,0),"")</f>
        <v/>
      </c>
      <c r="L1137" s="171" t="str">
        <f ca="1">IFERROR(IF(VLOOKUP(C1137,' Disaggregation - Section E '!A$316:N866,14,0)=0,"",VLOOKUP(C1137,' Disaggregation - Section E '!A$316:N866,14,0)),"")</f>
        <v/>
      </c>
      <c r="M1137" s="166" t="str">
        <f ca="1">IFERROR(IF(VLOOKUP(C1137,' Disaggregation - Section E '!A$316:T866,20,0)=0,"",VLOOKUP(C1137,' Disaggregation - Section E '!A$316:T866,20,0)),"")</f>
        <v/>
      </c>
      <c r="N1137" s="171" t="str">
        <f ca="1">IFERROR(IF(VLOOKUP(C1137,' Disaggregation - Section E '!A$316:N866,9,0)=0,"",VLOOKUP(C1137,' Disaggregation - Section E '!A$316:N866,9,0)),"")</f>
        <v/>
      </c>
      <c r="O1137" s="171" t="str">
        <f ca="1">IFERROR(IF(VLOOKUP(C1137,' Disaggregation - Section E '!A$315:N866,10,0)=0,"",VLOOKUP(C1137,' Disaggregation - Section E '!A$316:N866,10,0)),"")</f>
        <v/>
      </c>
    </row>
    <row r="1138" spans="1:15">
      <c r="A1138" s="166" t="b">
        <f t="shared" ca="1" si="140"/>
        <v>0</v>
      </c>
      <c r="B1138" s="166"/>
      <c r="C1138" s="172" t="str">
        <f ca="1">IF(COUNTA(D$885:D1138)=1,"",OFFSET(C1138,-COUNTA(D$885:D1138)+1,0))</f>
        <v>a1V3p000006h2xNEAQ</v>
      </c>
      <c r="D1138" s="177"/>
      <c r="E1138" s="168" t="str">
        <f ca="1">IFERROR(IF(VLOOKUP(C1138,' Disaggregation - Section E '!A$316:N867,7,0)="","",VLOOKUP(C1138,' Disaggregation - Section E '!A$316:N867,7,0)*100),"")</f>
        <v/>
      </c>
      <c r="F1138" s="166"/>
      <c r="G1138" s="170" t="str">
        <f ca="1">IFERROR(IF(VLOOKUP(C1138,' Disaggregation - Section E '!A$316:N867,6,0)="","",VLOOKUP(C1138,' Disaggregation - Section E '!A$316:N867,6,0)),"")</f>
        <v/>
      </c>
      <c r="H1138" s="177" t="str">
        <f ca="1">IFERROR(IF(INDEX(' Disaggregation - Section E '!F$313:F867,MATCH(C1138,' Disaggregation - Section E '!A$313:A867,0)+1,1)&lt;&gt;0,INDEX(' Disaggregation - Section E '!F$313:F867,MATCH(C1138,' Disaggregation - Section E '!A$313:A867,0)+1,1),""),"")</f>
        <v/>
      </c>
      <c r="I1138" s="171" t="str">
        <f ca="1">IFERROR(IF(VLOOKUP(C1138,' Disaggregation - Section E '!A$316:N867,8,0)=0,"",VLOOKUP(C1138,' Disaggregation - Section E '!A$316:N867,8,0)),"")</f>
        <v/>
      </c>
      <c r="J1138" s="171" t="str">
        <f ca="1">IFERROR(IF(VLOOKUP(C1138,' Disaggregation - Section E '!A$316:N867,13,0)=0,"",VLOOKUP(C1138,' Disaggregation - Section E '!A$316:N867,13,0)),"")</f>
        <v/>
      </c>
      <c r="K1138" s="166" t="str">
        <f ca="1">IFERROR(VLOOKUP(C1138,' Disaggregation - Section E '!A$316:N867,3,0),"")</f>
        <v/>
      </c>
      <c r="L1138" s="171" t="str">
        <f ca="1">IFERROR(IF(VLOOKUP(C1138,' Disaggregation - Section E '!A$316:N867,14,0)=0,"",VLOOKUP(C1138,' Disaggregation - Section E '!A$316:N867,14,0)),"")</f>
        <v/>
      </c>
      <c r="M1138" s="166" t="str">
        <f ca="1">IFERROR(IF(VLOOKUP(C1138,' Disaggregation - Section E '!A$316:T867,20,0)=0,"",VLOOKUP(C1138,' Disaggregation - Section E '!A$316:T867,20,0)),"")</f>
        <v/>
      </c>
      <c r="N1138" s="171" t="str">
        <f ca="1">IFERROR(IF(VLOOKUP(C1138,' Disaggregation - Section E '!A$316:N867,9,0)=0,"",VLOOKUP(C1138,' Disaggregation - Section E '!A$316:N867,9,0)),"")</f>
        <v/>
      </c>
      <c r="O1138" s="171" t="str">
        <f ca="1">IFERROR(IF(VLOOKUP(C1138,' Disaggregation - Section E '!A$315:N867,10,0)=0,"",VLOOKUP(C1138,' Disaggregation - Section E '!A$316:N867,10,0)),"")</f>
        <v/>
      </c>
    </row>
    <row r="1139" spans="1:15">
      <c r="A1139" s="166" t="b">
        <f t="shared" ca="1" si="140"/>
        <v>0</v>
      </c>
      <c r="B1139" s="166"/>
      <c r="C1139" s="172" t="str">
        <f ca="1">IF(COUNTA(D$885:D1139)=1,"",OFFSET(C1139,-COUNTA(D$885:D1139)+1,0))</f>
        <v>a1V3p000006h2xOEAQ</v>
      </c>
      <c r="D1139" s="177"/>
      <c r="E1139" s="168" t="str">
        <f ca="1">IFERROR(IF(VLOOKUP(C1139,' Disaggregation - Section E '!A$316:N868,7,0)="","",VLOOKUP(C1139,' Disaggregation - Section E '!A$316:N868,7,0)*100),"")</f>
        <v/>
      </c>
      <c r="F1139" s="166"/>
      <c r="G1139" s="170" t="str">
        <f ca="1">IFERROR(IF(VLOOKUP(C1139,' Disaggregation - Section E '!A$316:N868,6,0)="","",VLOOKUP(C1139,' Disaggregation - Section E '!A$316:N868,6,0)),"")</f>
        <v/>
      </c>
      <c r="H1139" s="177" t="str">
        <f ca="1">IFERROR(IF(INDEX(' Disaggregation - Section E '!F$313:F868,MATCH(C1139,' Disaggregation - Section E '!A$313:A868,0)+1,1)&lt;&gt;0,INDEX(' Disaggregation - Section E '!F$313:F868,MATCH(C1139,' Disaggregation - Section E '!A$313:A868,0)+1,1),""),"")</f>
        <v/>
      </c>
      <c r="I1139" s="171" t="str">
        <f ca="1">IFERROR(IF(VLOOKUP(C1139,' Disaggregation - Section E '!A$316:N868,8,0)=0,"",VLOOKUP(C1139,' Disaggregation - Section E '!A$316:N868,8,0)),"")</f>
        <v/>
      </c>
      <c r="J1139" s="171" t="str">
        <f ca="1">IFERROR(IF(VLOOKUP(C1139,' Disaggregation - Section E '!A$316:N868,13,0)=0,"",VLOOKUP(C1139,' Disaggregation - Section E '!A$316:N868,13,0)),"")</f>
        <v/>
      </c>
      <c r="K1139" s="166" t="str">
        <f ca="1">IFERROR(VLOOKUP(C1139,' Disaggregation - Section E '!A$316:N868,3,0),"")</f>
        <v/>
      </c>
      <c r="L1139" s="171" t="str">
        <f ca="1">IFERROR(IF(VLOOKUP(C1139,' Disaggregation - Section E '!A$316:N868,14,0)=0,"",VLOOKUP(C1139,' Disaggregation - Section E '!A$316:N868,14,0)),"")</f>
        <v/>
      </c>
      <c r="M1139" s="166" t="str">
        <f ca="1">IFERROR(IF(VLOOKUP(C1139,' Disaggregation - Section E '!A$316:T868,20,0)=0,"",VLOOKUP(C1139,' Disaggregation - Section E '!A$316:T868,20,0)),"")</f>
        <v/>
      </c>
      <c r="N1139" s="171" t="str">
        <f ca="1">IFERROR(IF(VLOOKUP(C1139,' Disaggregation - Section E '!A$316:N868,9,0)=0,"",VLOOKUP(C1139,' Disaggregation - Section E '!A$316:N868,9,0)),"")</f>
        <v/>
      </c>
      <c r="O1139" s="171" t="str">
        <f ca="1">IFERROR(IF(VLOOKUP(C1139,' Disaggregation - Section E '!A$315:N868,10,0)=0,"",VLOOKUP(C1139,' Disaggregation - Section E '!A$316:N868,10,0)),"")</f>
        <v/>
      </c>
    </row>
    <row r="1140" spans="1:15">
      <c r="A1140" s="166" t="b">
        <f t="shared" ca="1" si="140"/>
        <v>0</v>
      </c>
      <c r="B1140" s="166"/>
      <c r="C1140" s="172" t="str">
        <f ca="1">IF(COUNTA(D$885:D1140)=1,"",OFFSET(C1140,-COUNTA(D$885:D1140)+1,0))</f>
        <v>a1V3p000006h2xPEAQ</v>
      </c>
      <c r="D1140" s="177"/>
      <c r="E1140" s="168" t="str">
        <f ca="1">IFERROR(IF(VLOOKUP(C1140,' Disaggregation - Section E '!A$316:N869,7,0)="","",VLOOKUP(C1140,' Disaggregation - Section E '!A$316:N869,7,0)*100),"")</f>
        <v/>
      </c>
      <c r="F1140" s="166"/>
      <c r="G1140" s="170" t="str">
        <f ca="1">IFERROR(IF(VLOOKUP(C1140,' Disaggregation - Section E '!A$316:N869,6,0)="","",VLOOKUP(C1140,' Disaggregation - Section E '!A$316:N869,6,0)),"")</f>
        <v/>
      </c>
      <c r="H1140" s="177" t="str">
        <f ca="1">IFERROR(IF(INDEX(' Disaggregation - Section E '!F$313:F869,MATCH(C1140,' Disaggregation - Section E '!A$313:A869,0)+1,1)&lt;&gt;0,INDEX(' Disaggregation - Section E '!F$313:F869,MATCH(C1140,' Disaggregation - Section E '!A$313:A869,0)+1,1),""),"")</f>
        <v/>
      </c>
      <c r="I1140" s="171" t="str">
        <f ca="1">IFERROR(IF(VLOOKUP(C1140,' Disaggregation - Section E '!A$316:N869,8,0)=0,"",VLOOKUP(C1140,' Disaggregation - Section E '!A$316:N869,8,0)),"")</f>
        <v/>
      </c>
      <c r="J1140" s="171" t="str">
        <f ca="1">IFERROR(IF(VLOOKUP(C1140,' Disaggregation - Section E '!A$316:N869,13,0)=0,"",VLOOKUP(C1140,' Disaggregation - Section E '!A$316:N869,13,0)),"")</f>
        <v/>
      </c>
      <c r="K1140" s="166" t="str">
        <f ca="1">IFERROR(VLOOKUP(C1140,' Disaggregation - Section E '!A$316:N869,3,0),"")</f>
        <v/>
      </c>
      <c r="L1140" s="171" t="str">
        <f ca="1">IFERROR(IF(VLOOKUP(C1140,' Disaggregation - Section E '!A$316:N869,14,0)=0,"",VLOOKUP(C1140,' Disaggregation - Section E '!A$316:N869,14,0)),"")</f>
        <v/>
      </c>
      <c r="M1140" s="166" t="str">
        <f ca="1">IFERROR(IF(VLOOKUP(C1140,' Disaggregation - Section E '!A$316:T869,20,0)=0,"",VLOOKUP(C1140,' Disaggregation - Section E '!A$316:T869,20,0)),"")</f>
        <v/>
      </c>
      <c r="N1140" s="171" t="str">
        <f ca="1">IFERROR(IF(VLOOKUP(C1140,' Disaggregation - Section E '!A$316:N869,9,0)=0,"",VLOOKUP(C1140,' Disaggregation - Section E '!A$316:N869,9,0)),"")</f>
        <v/>
      </c>
      <c r="O1140" s="171" t="str">
        <f ca="1">IFERROR(IF(VLOOKUP(C1140,' Disaggregation - Section E '!A$315:N869,10,0)=0,"",VLOOKUP(C1140,' Disaggregation - Section E '!A$316:N869,10,0)),"")</f>
        <v/>
      </c>
    </row>
    <row r="1141" spans="1:15">
      <c r="A1141" s="166" t="b">
        <f t="shared" ca="1" si="140"/>
        <v>0</v>
      </c>
      <c r="B1141" s="166"/>
      <c r="C1141" s="172" t="str">
        <f ca="1">IF(COUNTA(D$885:D1141)=1,"",OFFSET(C1141,-COUNTA(D$885:D1141)+1,0))</f>
        <v>a1V3p000006h2xQEAQ</v>
      </c>
      <c r="D1141" s="177"/>
      <c r="E1141" s="168" t="str">
        <f ca="1">IFERROR(IF(VLOOKUP(C1141,' Disaggregation - Section E '!A$316:N870,7,0)="","",VLOOKUP(C1141,' Disaggregation - Section E '!A$316:N870,7,0)*100),"")</f>
        <v/>
      </c>
      <c r="F1141" s="166"/>
      <c r="G1141" s="170" t="str">
        <f ca="1">IFERROR(IF(VLOOKUP(C1141,' Disaggregation - Section E '!A$316:N870,6,0)="","",VLOOKUP(C1141,' Disaggregation - Section E '!A$316:N870,6,0)),"")</f>
        <v/>
      </c>
      <c r="H1141" s="177" t="str">
        <f ca="1">IFERROR(IF(INDEX(' Disaggregation - Section E '!F$313:F870,MATCH(C1141,' Disaggregation - Section E '!A$313:A870,0)+1,1)&lt;&gt;0,INDEX(' Disaggregation - Section E '!F$313:F870,MATCH(C1141,' Disaggregation - Section E '!A$313:A870,0)+1,1),""),"")</f>
        <v/>
      </c>
      <c r="I1141" s="171" t="str">
        <f ca="1">IFERROR(IF(VLOOKUP(C1141,' Disaggregation - Section E '!A$316:N870,8,0)=0,"",VLOOKUP(C1141,' Disaggregation - Section E '!A$316:N870,8,0)),"")</f>
        <v/>
      </c>
      <c r="J1141" s="171" t="str">
        <f ca="1">IFERROR(IF(VLOOKUP(C1141,' Disaggregation - Section E '!A$316:N870,13,0)=0,"",VLOOKUP(C1141,' Disaggregation - Section E '!A$316:N870,13,0)),"")</f>
        <v/>
      </c>
      <c r="K1141" s="166" t="str">
        <f ca="1">IFERROR(VLOOKUP(C1141,' Disaggregation - Section E '!A$316:N870,3,0),"")</f>
        <v/>
      </c>
      <c r="L1141" s="171" t="str">
        <f ca="1">IFERROR(IF(VLOOKUP(C1141,' Disaggregation - Section E '!A$316:N870,14,0)=0,"",VLOOKUP(C1141,' Disaggregation - Section E '!A$316:N870,14,0)),"")</f>
        <v/>
      </c>
      <c r="M1141" s="166" t="str">
        <f ca="1">IFERROR(IF(VLOOKUP(C1141,' Disaggregation - Section E '!A$316:T870,20,0)=0,"",VLOOKUP(C1141,' Disaggregation - Section E '!A$316:T870,20,0)),"")</f>
        <v/>
      </c>
      <c r="N1141" s="171" t="str">
        <f ca="1">IFERROR(IF(VLOOKUP(C1141,' Disaggregation - Section E '!A$316:N870,9,0)=0,"",VLOOKUP(C1141,' Disaggregation - Section E '!A$316:N870,9,0)),"")</f>
        <v/>
      </c>
      <c r="O1141" s="171" t="str">
        <f ca="1">IFERROR(IF(VLOOKUP(C1141,' Disaggregation - Section E '!A$315:N870,10,0)=0,"",VLOOKUP(C1141,' Disaggregation - Section E '!A$316:N870,10,0)),"")</f>
        <v/>
      </c>
    </row>
    <row r="1142" spans="1:15">
      <c r="A1142" s="166" t="b">
        <f t="shared" ca="1" si="140"/>
        <v>0</v>
      </c>
      <c r="B1142" s="166"/>
      <c r="C1142" s="172" t="str">
        <f ca="1">IF(COUNTA(D$885:D1142)=1,"",OFFSET(C1142,-COUNTA(D$885:D1142)+1,0))</f>
        <v>a1V3p000006h2xREAQ</v>
      </c>
      <c r="D1142" s="177"/>
      <c r="E1142" s="168" t="str">
        <f ca="1">IFERROR(IF(VLOOKUP(C1142,' Disaggregation - Section E '!A$316:N871,7,0)="","",VLOOKUP(C1142,' Disaggregation - Section E '!A$316:N871,7,0)*100),"")</f>
        <v/>
      </c>
      <c r="F1142" s="166"/>
      <c r="G1142" s="170" t="str">
        <f ca="1">IFERROR(IF(VLOOKUP(C1142,' Disaggregation - Section E '!A$316:N871,6,0)="","",VLOOKUP(C1142,' Disaggregation - Section E '!A$316:N871,6,0)),"")</f>
        <v/>
      </c>
      <c r="H1142" s="177" t="str">
        <f ca="1">IFERROR(IF(INDEX(' Disaggregation - Section E '!F$313:F871,MATCH(C1142,' Disaggregation - Section E '!A$313:A871,0)+1,1)&lt;&gt;0,INDEX(' Disaggregation - Section E '!F$313:F871,MATCH(C1142,' Disaggregation - Section E '!A$313:A871,0)+1,1),""),"")</f>
        <v/>
      </c>
      <c r="I1142" s="171" t="str">
        <f ca="1">IFERROR(IF(VLOOKUP(C1142,' Disaggregation - Section E '!A$316:N871,8,0)=0,"",VLOOKUP(C1142,' Disaggregation - Section E '!A$316:N871,8,0)),"")</f>
        <v/>
      </c>
      <c r="J1142" s="171" t="str">
        <f ca="1">IFERROR(IF(VLOOKUP(C1142,' Disaggregation - Section E '!A$316:N871,13,0)=0,"",VLOOKUP(C1142,' Disaggregation - Section E '!A$316:N871,13,0)),"")</f>
        <v/>
      </c>
      <c r="K1142" s="166" t="str">
        <f ca="1">IFERROR(VLOOKUP(C1142,' Disaggregation - Section E '!A$316:N871,3,0),"")</f>
        <v/>
      </c>
      <c r="L1142" s="171" t="str">
        <f ca="1">IFERROR(IF(VLOOKUP(C1142,' Disaggregation - Section E '!A$316:N871,14,0)=0,"",VLOOKUP(C1142,' Disaggregation - Section E '!A$316:N871,14,0)),"")</f>
        <v/>
      </c>
      <c r="M1142" s="166" t="str">
        <f ca="1">IFERROR(IF(VLOOKUP(C1142,' Disaggregation - Section E '!A$316:T871,20,0)=0,"",VLOOKUP(C1142,' Disaggregation - Section E '!A$316:T871,20,0)),"")</f>
        <v/>
      </c>
      <c r="N1142" s="171" t="str">
        <f ca="1">IFERROR(IF(VLOOKUP(C1142,' Disaggregation - Section E '!A$316:N871,9,0)=0,"",VLOOKUP(C1142,' Disaggregation - Section E '!A$316:N871,9,0)),"")</f>
        <v/>
      </c>
      <c r="O1142" s="171" t="str">
        <f ca="1">IFERROR(IF(VLOOKUP(C1142,' Disaggregation - Section E '!A$315:N871,10,0)=0,"",VLOOKUP(C1142,' Disaggregation - Section E '!A$316:N871,10,0)),"")</f>
        <v/>
      </c>
    </row>
    <row r="1143" spans="1:15">
      <c r="A1143" s="166" t="b">
        <f t="shared" ca="1" si="140"/>
        <v>0</v>
      </c>
      <c r="B1143" s="166"/>
      <c r="C1143" s="172" t="str">
        <f ca="1">IF(COUNTA(D$885:D1143)=1,"",OFFSET(C1143,-COUNTA(D$885:D1143)+1,0))</f>
        <v>a1V3p000006h2xSEAQ</v>
      </c>
      <c r="D1143" s="177"/>
      <c r="E1143" s="168" t="str">
        <f ca="1">IFERROR(IF(VLOOKUP(C1143,' Disaggregation - Section E '!A$316:N872,7,0)="","",VLOOKUP(C1143,' Disaggregation - Section E '!A$316:N872,7,0)*100),"")</f>
        <v/>
      </c>
      <c r="F1143" s="166"/>
      <c r="G1143" s="170" t="str">
        <f ca="1">IFERROR(IF(VLOOKUP(C1143,' Disaggregation - Section E '!A$316:N872,6,0)="","",VLOOKUP(C1143,' Disaggregation - Section E '!A$316:N872,6,0)),"")</f>
        <v/>
      </c>
      <c r="H1143" s="177" t="str">
        <f ca="1">IFERROR(IF(INDEX(' Disaggregation - Section E '!F$313:F872,MATCH(C1143,' Disaggregation - Section E '!A$313:A872,0)+1,1)&lt;&gt;0,INDEX(' Disaggregation - Section E '!F$313:F872,MATCH(C1143,' Disaggregation - Section E '!A$313:A872,0)+1,1),""),"")</f>
        <v/>
      </c>
      <c r="I1143" s="171" t="str">
        <f ca="1">IFERROR(IF(VLOOKUP(C1143,' Disaggregation - Section E '!A$316:N872,8,0)=0,"",VLOOKUP(C1143,' Disaggregation - Section E '!A$316:N872,8,0)),"")</f>
        <v/>
      </c>
      <c r="J1143" s="171" t="str">
        <f ca="1">IFERROR(IF(VLOOKUP(C1143,' Disaggregation - Section E '!A$316:N872,13,0)=0,"",VLOOKUP(C1143,' Disaggregation - Section E '!A$316:N872,13,0)),"")</f>
        <v/>
      </c>
      <c r="K1143" s="166" t="str">
        <f ca="1">IFERROR(VLOOKUP(C1143,' Disaggregation - Section E '!A$316:N872,3,0),"")</f>
        <v/>
      </c>
      <c r="L1143" s="171" t="str">
        <f ca="1">IFERROR(IF(VLOOKUP(C1143,' Disaggregation - Section E '!A$316:N872,14,0)=0,"",VLOOKUP(C1143,' Disaggregation - Section E '!A$316:N872,14,0)),"")</f>
        <v/>
      </c>
      <c r="M1143" s="166" t="str">
        <f ca="1">IFERROR(IF(VLOOKUP(C1143,' Disaggregation - Section E '!A$316:T872,20,0)=0,"",VLOOKUP(C1143,' Disaggregation - Section E '!A$316:T872,20,0)),"")</f>
        <v/>
      </c>
      <c r="N1143" s="171" t="str">
        <f ca="1">IFERROR(IF(VLOOKUP(C1143,' Disaggregation - Section E '!A$316:N872,9,0)=0,"",VLOOKUP(C1143,' Disaggregation - Section E '!A$316:N872,9,0)),"")</f>
        <v/>
      </c>
      <c r="O1143" s="171" t="str">
        <f ca="1">IFERROR(IF(VLOOKUP(C1143,' Disaggregation - Section E '!A$315:N872,10,0)=0,"",VLOOKUP(C1143,' Disaggregation - Section E '!A$316:N872,10,0)),"")</f>
        <v/>
      </c>
    </row>
    <row r="1144" spans="1:15">
      <c r="A1144" s="166" t="b">
        <f t="shared" ca="1" si="140"/>
        <v>0</v>
      </c>
      <c r="B1144" s="166"/>
      <c r="C1144" s="172" t="str">
        <f ca="1">IF(COUNTA(D$885:D1144)=1,"",OFFSET(C1144,-COUNTA(D$885:D1144)+1,0))</f>
        <v>a1V3p000006h2xTEAQ</v>
      </c>
      <c r="D1144" s="177"/>
      <c r="E1144" s="168" t="str">
        <f ca="1">IFERROR(IF(VLOOKUP(C1144,' Disaggregation - Section E '!A$316:N873,7,0)="","",VLOOKUP(C1144,' Disaggregation - Section E '!A$316:N873,7,0)*100),"")</f>
        <v/>
      </c>
      <c r="F1144" s="166"/>
      <c r="G1144" s="170" t="str">
        <f ca="1">IFERROR(IF(VLOOKUP(C1144,' Disaggregation - Section E '!A$316:N873,6,0)="","",VLOOKUP(C1144,' Disaggregation - Section E '!A$316:N873,6,0)),"")</f>
        <v/>
      </c>
      <c r="H1144" s="177" t="str">
        <f ca="1">IFERROR(IF(INDEX(' Disaggregation - Section E '!F$313:F873,MATCH(C1144,' Disaggregation - Section E '!A$313:A873,0)+1,1)&lt;&gt;0,INDEX(' Disaggregation - Section E '!F$313:F873,MATCH(C1144,' Disaggregation - Section E '!A$313:A873,0)+1,1),""),"")</f>
        <v/>
      </c>
      <c r="I1144" s="171" t="str">
        <f ca="1">IFERROR(IF(VLOOKUP(C1144,' Disaggregation - Section E '!A$316:N873,8,0)=0,"",VLOOKUP(C1144,' Disaggregation - Section E '!A$316:N873,8,0)),"")</f>
        <v/>
      </c>
      <c r="J1144" s="171" t="str">
        <f ca="1">IFERROR(IF(VLOOKUP(C1144,' Disaggregation - Section E '!A$316:N873,13,0)=0,"",VLOOKUP(C1144,' Disaggregation - Section E '!A$316:N873,13,0)),"")</f>
        <v/>
      </c>
      <c r="K1144" s="166" t="str">
        <f ca="1">IFERROR(VLOOKUP(C1144,' Disaggregation - Section E '!A$316:N873,3,0),"")</f>
        <v/>
      </c>
      <c r="L1144" s="171" t="str">
        <f ca="1">IFERROR(IF(VLOOKUP(C1144,' Disaggregation - Section E '!A$316:N873,14,0)=0,"",VLOOKUP(C1144,' Disaggregation - Section E '!A$316:N873,14,0)),"")</f>
        <v/>
      </c>
      <c r="M1144" s="166" t="str">
        <f ca="1">IFERROR(IF(VLOOKUP(C1144,' Disaggregation - Section E '!A$316:T873,20,0)=0,"",VLOOKUP(C1144,' Disaggregation - Section E '!A$316:T873,20,0)),"")</f>
        <v/>
      </c>
      <c r="N1144" s="171" t="str">
        <f ca="1">IFERROR(IF(VLOOKUP(C1144,' Disaggregation - Section E '!A$316:N873,9,0)=0,"",VLOOKUP(C1144,' Disaggregation - Section E '!A$316:N873,9,0)),"")</f>
        <v/>
      </c>
      <c r="O1144" s="171" t="str">
        <f ca="1">IFERROR(IF(VLOOKUP(C1144,' Disaggregation - Section E '!A$315:N873,10,0)=0,"",VLOOKUP(C1144,' Disaggregation - Section E '!A$316:N873,10,0)),"")</f>
        <v/>
      </c>
    </row>
    <row r="1145" spans="1:15">
      <c r="A1145" s="166" t="b">
        <f t="shared" ca="1" si="140"/>
        <v>0</v>
      </c>
      <c r="B1145" s="166"/>
      <c r="C1145" s="172" t="str">
        <f ca="1">IF(COUNTA(D$885:D1145)=1,"",OFFSET(C1145,-COUNTA(D$885:D1145)+1,0))</f>
        <v>a1V3p000006h2xUEAQ</v>
      </c>
      <c r="D1145" s="177"/>
      <c r="E1145" s="168" t="str">
        <f ca="1">IFERROR(IF(VLOOKUP(C1145,' Disaggregation - Section E '!A$316:N874,7,0)="","",VLOOKUP(C1145,' Disaggregation - Section E '!A$316:N874,7,0)*100),"")</f>
        <v/>
      </c>
      <c r="F1145" s="166"/>
      <c r="G1145" s="170" t="str">
        <f ca="1">IFERROR(IF(VLOOKUP(C1145,' Disaggregation - Section E '!A$316:N874,6,0)="","",VLOOKUP(C1145,' Disaggregation - Section E '!A$316:N874,6,0)),"")</f>
        <v/>
      </c>
      <c r="H1145" s="177" t="str">
        <f ca="1">IFERROR(IF(INDEX(' Disaggregation - Section E '!F$313:F874,MATCH(C1145,' Disaggregation - Section E '!A$313:A874,0)+1,1)&lt;&gt;0,INDEX(' Disaggregation - Section E '!F$313:F874,MATCH(C1145,' Disaggregation - Section E '!A$313:A874,0)+1,1),""),"")</f>
        <v/>
      </c>
      <c r="I1145" s="171" t="str">
        <f ca="1">IFERROR(IF(VLOOKUP(C1145,' Disaggregation - Section E '!A$316:N874,8,0)=0,"",VLOOKUP(C1145,' Disaggregation - Section E '!A$316:N874,8,0)),"")</f>
        <v/>
      </c>
      <c r="J1145" s="171" t="str">
        <f ca="1">IFERROR(IF(VLOOKUP(C1145,' Disaggregation - Section E '!A$316:N874,13,0)=0,"",VLOOKUP(C1145,' Disaggregation - Section E '!A$316:N874,13,0)),"")</f>
        <v/>
      </c>
      <c r="K1145" s="166" t="str">
        <f ca="1">IFERROR(VLOOKUP(C1145,' Disaggregation - Section E '!A$316:N874,3,0),"")</f>
        <v/>
      </c>
      <c r="L1145" s="171" t="str">
        <f ca="1">IFERROR(IF(VLOOKUP(C1145,' Disaggregation - Section E '!A$316:N874,14,0)=0,"",VLOOKUP(C1145,' Disaggregation - Section E '!A$316:N874,14,0)),"")</f>
        <v/>
      </c>
      <c r="M1145" s="166" t="str">
        <f ca="1">IFERROR(IF(VLOOKUP(C1145,' Disaggregation - Section E '!A$316:T874,20,0)=0,"",VLOOKUP(C1145,' Disaggregation - Section E '!A$316:T874,20,0)),"")</f>
        <v/>
      </c>
      <c r="N1145" s="171" t="str">
        <f ca="1">IFERROR(IF(VLOOKUP(C1145,' Disaggregation - Section E '!A$316:N874,9,0)=0,"",VLOOKUP(C1145,' Disaggregation - Section E '!A$316:N874,9,0)),"")</f>
        <v/>
      </c>
      <c r="O1145" s="171" t="str">
        <f ca="1">IFERROR(IF(VLOOKUP(C1145,' Disaggregation - Section E '!A$315:N874,10,0)=0,"",VLOOKUP(C1145,' Disaggregation - Section E '!A$316:N874,10,0)),"")</f>
        <v/>
      </c>
    </row>
    <row r="1146" spans="1:15">
      <c r="A1146" s="166" t="b">
        <f t="shared" ca="1" si="140"/>
        <v>0</v>
      </c>
      <c r="B1146" s="166"/>
      <c r="C1146" s="172" t="str">
        <f ca="1">IF(COUNTA(D$885:D1146)=1,"",OFFSET(C1146,-COUNTA(D$885:D1146)+1,0))</f>
        <v>a1V3p000006h2xVEAQ</v>
      </c>
      <c r="D1146" s="177"/>
      <c r="E1146" s="168" t="str">
        <f ca="1">IFERROR(IF(VLOOKUP(C1146,' Disaggregation - Section E '!A$316:N875,7,0)="","",VLOOKUP(C1146,' Disaggregation - Section E '!A$316:N875,7,0)*100),"")</f>
        <v/>
      </c>
      <c r="F1146" s="166"/>
      <c r="G1146" s="170" t="str">
        <f ca="1">IFERROR(IF(VLOOKUP(C1146,' Disaggregation - Section E '!A$316:N875,6,0)="","",VLOOKUP(C1146,' Disaggregation - Section E '!A$316:N875,6,0)),"")</f>
        <v/>
      </c>
      <c r="H1146" s="177" t="str">
        <f ca="1">IFERROR(IF(INDEX(' Disaggregation - Section E '!F$313:F875,MATCH(C1146,' Disaggregation - Section E '!A$313:A875,0)+1,1)&lt;&gt;0,INDEX(' Disaggregation - Section E '!F$313:F875,MATCH(C1146,' Disaggregation - Section E '!A$313:A875,0)+1,1),""),"")</f>
        <v/>
      </c>
      <c r="I1146" s="171" t="str">
        <f ca="1">IFERROR(IF(VLOOKUP(C1146,' Disaggregation - Section E '!A$316:N875,8,0)=0,"",VLOOKUP(C1146,' Disaggregation - Section E '!A$316:N875,8,0)),"")</f>
        <v/>
      </c>
      <c r="J1146" s="171" t="str">
        <f ca="1">IFERROR(IF(VLOOKUP(C1146,' Disaggregation - Section E '!A$316:N875,13,0)=0,"",VLOOKUP(C1146,' Disaggregation - Section E '!A$316:N875,13,0)),"")</f>
        <v/>
      </c>
      <c r="K1146" s="166" t="str">
        <f ca="1">IFERROR(VLOOKUP(C1146,' Disaggregation - Section E '!A$316:N875,3,0),"")</f>
        <v/>
      </c>
      <c r="L1146" s="171" t="str">
        <f ca="1">IFERROR(IF(VLOOKUP(C1146,' Disaggregation - Section E '!A$316:N875,14,0)=0,"",VLOOKUP(C1146,' Disaggregation - Section E '!A$316:N875,14,0)),"")</f>
        <v/>
      </c>
      <c r="M1146" s="166" t="str">
        <f ca="1">IFERROR(IF(VLOOKUP(C1146,' Disaggregation - Section E '!A$316:T875,20,0)=0,"",VLOOKUP(C1146,' Disaggregation - Section E '!A$316:T875,20,0)),"")</f>
        <v/>
      </c>
      <c r="N1146" s="171" t="str">
        <f ca="1">IFERROR(IF(VLOOKUP(C1146,' Disaggregation - Section E '!A$316:N875,9,0)=0,"",VLOOKUP(C1146,' Disaggregation - Section E '!A$316:N875,9,0)),"")</f>
        <v/>
      </c>
      <c r="O1146" s="171" t="str">
        <f ca="1">IFERROR(IF(VLOOKUP(C1146,' Disaggregation - Section E '!A$315:N875,10,0)=0,"",VLOOKUP(C1146,' Disaggregation - Section E '!A$316:N875,10,0)),"")</f>
        <v/>
      </c>
    </row>
    <row r="1147" spans="1:15">
      <c r="A1147" s="166" t="b">
        <f t="shared" ca="1" si="140"/>
        <v>0</v>
      </c>
      <c r="B1147" s="166"/>
      <c r="C1147" s="172" t="str">
        <f ca="1">IF(COUNTA(D$885:D1147)=1,"",OFFSET(C1147,-COUNTA(D$885:D1147)+1,0))</f>
        <v>a1V3p000006h2xWEAQ</v>
      </c>
      <c r="D1147" s="177"/>
      <c r="E1147" s="168" t="str">
        <f ca="1">IFERROR(IF(VLOOKUP(C1147,' Disaggregation - Section E '!A$316:N876,7,0)="","",VLOOKUP(C1147,' Disaggregation - Section E '!A$316:N876,7,0)*100),"")</f>
        <v/>
      </c>
      <c r="F1147" s="166"/>
      <c r="G1147" s="170" t="str">
        <f ca="1">IFERROR(IF(VLOOKUP(C1147,' Disaggregation - Section E '!A$316:N876,6,0)="","",VLOOKUP(C1147,' Disaggregation - Section E '!A$316:N876,6,0)),"")</f>
        <v/>
      </c>
      <c r="H1147" s="177" t="str">
        <f ca="1">IFERROR(IF(INDEX(' Disaggregation - Section E '!F$313:F876,MATCH(C1147,' Disaggregation - Section E '!A$313:A876,0)+1,1)&lt;&gt;0,INDEX(' Disaggregation - Section E '!F$313:F876,MATCH(C1147,' Disaggregation - Section E '!A$313:A876,0)+1,1),""),"")</f>
        <v/>
      </c>
      <c r="I1147" s="171" t="str">
        <f ca="1">IFERROR(IF(VLOOKUP(C1147,' Disaggregation - Section E '!A$316:N876,8,0)=0,"",VLOOKUP(C1147,' Disaggregation - Section E '!A$316:N876,8,0)),"")</f>
        <v/>
      </c>
      <c r="J1147" s="171" t="str">
        <f ca="1">IFERROR(IF(VLOOKUP(C1147,' Disaggregation - Section E '!A$316:N876,13,0)=0,"",VLOOKUP(C1147,' Disaggregation - Section E '!A$316:N876,13,0)),"")</f>
        <v/>
      </c>
      <c r="K1147" s="166" t="str">
        <f ca="1">IFERROR(VLOOKUP(C1147,' Disaggregation - Section E '!A$316:N876,3,0),"")</f>
        <v/>
      </c>
      <c r="L1147" s="171" t="str">
        <f ca="1">IFERROR(IF(VLOOKUP(C1147,' Disaggregation - Section E '!A$316:N876,14,0)=0,"",VLOOKUP(C1147,' Disaggregation - Section E '!A$316:N876,14,0)),"")</f>
        <v/>
      </c>
      <c r="M1147" s="166" t="str">
        <f ca="1">IFERROR(IF(VLOOKUP(C1147,' Disaggregation - Section E '!A$316:T876,20,0)=0,"",VLOOKUP(C1147,' Disaggregation - Section E '!A$316:T876,20,0)),"")</f>
        <v/>
      </c>
      <c r="N1147" s="171" t="str">
        <f ca="1">IFERROR(IF(VLOOKUP(C1147,' Disaggregation - Section E '!A$316:N876,9,0)=0,"",VLOOKUP(C1147,' Disaggregation - Section E '!A$316:N876,9,0)),"")</f>
        <v/>
      </c>
      <c r="O1147" s="171" t="str">
        <f ca="1">IFERROR(IF(VLOOKUP(C1147,' Disaggregation - Section E '!A$315:N876,10,0)=0,"",VLOOKUP(C1147,' Disaggregation - Section E '!A$316:N876,10,0)),"")</f>
        <v/>
      </c>
    </row>
    <row r="1148" spans="1:15">
      <c r="A1148" s="166" t="b">
        <f t="shared" ca="1" si="140"/>
        <v>0</v>
      </c>
      <c r="B1148" s="166"/>
      <c r="C1148" s="172" t="str">
        <f ca="1">IF(COUNTA(D$885:D1148)=1,"",OFFSET(C1148,-COUNTA(D$885:D1148)+1,0))</f>
        <v>a1V3p000006h2xXEAQ</v>
      </c>
      <c r="D1148" s="177"/>
      <c r="E1148" s="168" t="str">
        <f ca="1">IFERROR(IF(VLOOKUP(C1148,' Disaggregation - Section E '!A$316:N877,7,0)="","",VLOOKUP(C1148,' Disaggregation - Section E '!A$316:N877,7,0)*100),"")</f>
        <v/>
      </c>
      <c r="F1148" s="166"/>
      <c r="G1148" s="170" t="str">
        <f ca="1">IFERROR(IF(VLOOKUP(C1148,' Disaggregation - Section E '!A$316:N877,6,0)="","",VLOOKUP(C1148,' Disaggregation - Section E '!A$316:N877,6,0)),"")</f>
        <v/>
      </c>
      <c r="H1148" s="177" t="str">
        <f ca="1">IFERROR(IF(INDEX(' Disaggregation - Section E '!F$313:F877,MATCH(C1148,' Disaggregation - Section E '!A$313:A877,0)+1,1)&lt;&gt;0,INDEX(' Disaggregation - Section E '!F$313:F877,MATCH(C1148,' Disaggregation - Section E '!A$313:A877,0)+1,1),""),"")</f>
        <v/>
      </c>
      <c r="I1148" s="171" t="str">
        <f ca="1">IFERROR(IF(VLOOKUP(C1148,' Disaggregation - Section E '!A$316:N877,8,0)=0,"",VLOOKUP(C1148,' Disaggregation - Section E '!A$316:N877,8,0)),"")</f>
        <v/>
      </c>
      <c r="J1148" s="171" t="str">
        <f ca="1">IFERROR(IF(VLOOKUP(C1148,' Disaggregation - Section E '!A$316:N877,13,0)=0,"",VLOOKUP(C1148,' Disaggregation - Section E '!A$316:N877,13,0)),"")</f>
        <v/>
      </c>
      <c r="K1148" s="166" t="str">
        <f ca="1">IFERROR(VLOOKUP(C1148,' Disaggregation - Section E '!A$316:N877,3,0),"")</f>
        <v/>
      </c>
      <c r="L1148" s="171" t="str">
        <f ca="1">IFERROR(IF(VLOOKUP(C1148,' Disaggregation - Section E '!A$316:N877,14,0)=0,"",VLOOKUP(C1148,' Disaggregation - Section E '!A$316:N877,14,0)),"")</f>
        <v/>
      </c>
      <c r="M1148" s="166" t="str">
        <f ca="1">IFERROR(IF(VLOOKUP(C1148,' Disaggregation - Section E '!A$316:T877,20,0)=0,"",VLOOKUP(C1148,' Disaggregation - Section E '!A$316:T877,20,0)),"")</f>
        <v/>
      </c>
      <c r="N1148" s="171" t="str">
        <f ca="1">IFERROR(IF(VLOOKUP(C1148,' Disaggregation - Section E '!A$316:N877,9,0)=0,"",VLOOKUP(C1148,' Disaggregation - Section E '!A$316:N877,9,0)),"")</f>
        <v/>
      </c>
      <c r="O1148" s="171" t="str">
        <f ca="1">IFERROR(IF(VLOOKUP(C1148,' Disaggregation - Section E '!A$315:N877,10,0)=0,"",VLOOKUP(C1148,' Disaggregation - Section E '!A$316:N877,10,0)),"")</f>
        <v/>
      </c>
    </row>
    <row r="1149" spans="1:15">
      <c r="A1149" s="166" t="b">
        <f t="shared" ca="1" si="140"/>
        <v>0</v>
      </c>
      <c r="B1149" s="166"/>
      <c r="C1149" s="172" t="str">
        <f ca="1">IF(COUNTA(D$885:D1149)=1,"",OFFSET(C1149,-COUNTA(D$885:D1149)+1,0))</f>
        <v>a1V3p000006h2xYEAQ</v>
      </c>
      <c r="D1149" s="177"/>
      <c r="E1149" s="168" t="str">
        <f ca="1">IFERROR(IF(VLOOKUP(C1149,' Disaggregation - Section E '!A$316:N878,7,0)="","",VLOOKUP(C1149,' Disaggregation - Section E '!A$316:N878,7,0)*100),"")</f>
        <v/>
      </c>
      <c r="F1149" s="166"/>
      <c r="G1149" s="170" t="str">
        <f ca="1">IFERROR(IF(VLOOKUP(C1149,' Disaggregation - Section E '!A$316:N878,6,0)="","",VLOOKUP(C1149,' Disaggregation - Section E '!A$316:N878,6,0)),"")</f>
        <v/>
      </c>
      <c r="H1149" s="177" t="str">
        <f ca="1">IFERROR(IF(INDEX(' Disaggregation - Section E '!F$313:F878,MATCH(C1149,' Disaggregation - Section E '!A$313:A878,0)+1,1)&lt;&gt;0,INDEX(' Disaggregation - Section E '!F$313:F878,MATCH(C1149,' Disaggregation - Section E '!A$313:A878,0)+1,1),""),"")</f>
        <v/>
      </c>
      <c r="I1149" s="171" t="str">
        <f ca="1">IFERROR(IF(VLOOKUP(C1149,' Disaggregation - Section E '!A$316:N878,8,0)=0,"",VLOOKUP(C1149,' Disaggregation - Section E '!A$316:N878,8,0)),"")</f>
        <v/>
      </c>
      <c r="J1149" s="171" t="str">
        <f ca="1">IFERROR(IF(VLOOKUP(C1149,' Disaggregation - Section E '!A$316:N878,13,0)=0,"",VLOOKUP(C1149,' Disaggregation - Section E '!A$316:N878,13,0)),"")</f>
        <v/>
      </c>
      <c r="K1149" s="166" t="str">
        <f ca="1">IFERROR(VLOOKUP(C1149,' Disaggregation - Section E '!A$316:N878,3,0),"")</f>
        <v/>
      </c>
      <c r="L1149" s="171" t="str">
        <f ca="1">IFERROR(IF(VLOOKUP(C1149,' Disaggregation - Section E '!A$316:N878,14,0)=0,"",VLOOKUP(C1149,' Disaggregation - Section E '!A$316:N878,14,0)),"")</f>
        <v/>
      </c>
      <c r="M1149" s="166" t="str">
        <f ca="1">IFERROR(IF(VLOOKUP(C1149,' Disaggregation - Section E '!A$316:T878,20,0)=0,"",VLOOKUP(C1149,' Disaggregation - Section E '!A$316:T878,20,0)),"")</f>
        <v/>
      </c>
      <c r="N1149" s="171" t="str">
        <f ca="1">IFERROR(IF(VLOOKUP(C1149,' Disaggregation - Section E '!A$316:N878,9,0)=0,"",VLOOKUP(C1149,' Disaggregation - Section E '!A$316:N878,9,0)),"")</f>
        <v/>
      </c>
      <c r="O1149" s="171" t="str">
        <f ca="1">IFERROR(IF(VLOOKUP(C1149,' Disaggregation - Section E '!A$315:N878,10,0)=0,"",VLOOKUP(C1149,' Disaggregation - Section E '!A$316:N878,10,0)),"")</f>
        <v/>
      </c>
    </row>
    <row r="1150" spans="1:15">
      <c r="A1150" s="166" t="b">
        <f t="shared" ca="1" si="140"/>
        <v>0</v>
      </c>
      <c r="B1150" s="166"/>
      <c r="C1150" s="172" t="str">
        <f ca="1">IF(COUNTA(D$885:D1150)=1,"",OFFSET(C1150,-COUNTA(D$885:D1150)+1,0))</f>
        <v>a1V3p000006h2xZEAQ</v>
      </c>
      <c r="D1150" s="177"/>
      <c r="E1150" s="168" t="str">
        <f ca="1">IFERROR(IF(VLOOKUP(C1150,' Disaggregation - Section E '!A$316:N879,7,0)="","",VLOOKUP(C1150,' Disaggregation - Section E '!A$316:N879,7,0)*100),"")</f>
        <v/>
      </c>
      <c r="F1150" s="166"/>
      <c r="G1150" s="170" t="str">
        <f ca="1">IFERROR(IF(VLOOKUP(C1150,' Disaggregation - Section E '!A$316:N879,6,0)="","",VLOOKUP(C1150,' Disaggregation - Section E '!A$316:N879,6,0)),"")</f>
        <v/>
      </c>
      <c r="H1150" s="177" t="str">
        <f ca="1">IFERROR(IF(INDEX(' Disaggregation - Section E '!F$313:F879,MATCH(C1150,' Disaggregation - Section E '!A$313:A879,0)+1,1)&lt;&gt;0,INDEX(' Disaggregation - Section E '!F$313:F879,MATCH(C1150,' Disaggregation - Section E '!A$313:A879,0)+1,1),""),"")</f>
        <v/>
      </c>
      <c r="I1150" s="171" t="str">
        <f ca="1">IFERROR(IF(VLOOKUP(C1150,' Disaggregation - Section E '!A$316:N879,8,0)=0,"",VLOOKUP(C1150,' Disaggregation - Section E '!A$316:N879,8,0)),"")</f>
        <v/>
      </c>
      <c r="J1150" s="171" t="str">
        <f ca="1">IFERROR(IF(VLOOKUP(C1150,' Disaggregation - Section E '!A$316:N879,13,0)=0,"",VLOOKUP(C1150,' Disaggregation - Section E '!A$316:N879,13,0)),"")</f>
        <v/>
      </c>
      <c r="K1150" s="166" t="str">
        <f ca="1">IFERROR(VLOOKUP(C1150,' Disaggregation - Section E '!A$316:N879,3,0),"")</f>
        <v/>
      </c>
      <c r="L1150" s="171" t="str">
        <f ca="1">IFERROR(IF(VLOOKUP(C1150,' Disaggregation - Section E '!A$316:N879,14,0)=0,"",VLOOKUP(C1150,' Disaggregation - Section E '!A$316:N879,14,0)),"")</f>
        <v/>
      </c>
      <c r="M1150" s="166" t="str">
        <f ca="1">IFERROR(IF(VLOOKUP(C1150,' Disaggregation - Section E '!A$316:T879,20,0)=0,"",VLOOKUP(C1150,' Disaggregation - Section E '!A$316:T879,20,0)),"")</f>
        <v/>
      </c>
      <c r="N1150" s="171" t="str">
        <f ca="1">IFERROR(IF(VLOOKUP(C1150,' Disaggregation - Section E '!A$316:N879,9,0)=0,"",VLOOKUP(C1150,' Disaggregation - Section E '!A$316:N879,9,0)),"")</f>
        <v/>
      </c>
      <c r="O1150" s="171" t="str">
        <f ca="1">IFERROR(IF(VLOOKUP(C1150,' Disaggregation - Section E '!A$315:N879,10,0)=0,"",VLOOKUP(C1150,' Disaggregation - Section E '!A$316:N879,10,0)),"")</f>
        <v/>
      </c>
    </row>
    <row r="1151" spans="1:15">
      <c r="A1151" s="166" t="b">
        <f t="shared" ca="1" si="140"/>
        <v>0</v>
      </c>
      <c r="B1151" s="166"/>
      <c r="C1151" s="172" t="str">
        <f ca="1">IF(COUNTA(D$885:D1151)=1,"",OFFSET(C1151,-COUNTA(D$885:D1151)+1,0))</f>
        <v>a1V3p000006h2xaEAA</v>
      </c>
      <c r="D1151" s="177"/>
      <c r="E1151" s="168" t="str">
        <f ca="1">IFERROR(IF(VLOOKUP(C1151,' Disaggregation - Section E '!A$316:N880,7,0)="","",VLOOKUP(C1151,' Disaggregation - Section E '!A$316:N880,7,0)*100),"")</f>
        <v/>
      </c>
      <c r="F1151" s="166"/>
      <c r="G1151" s="170" t="str">
        <f ca="1">IFERROR(IF(VLOOKUP(C1151,' Disaggregation - Section E '!A$316:N880,6,0)="","",VLOOKUP(C1151,' Disaggregation - Section E '!A$316:N880,6,0)),"")</f>
        <v/>
      </c>
      <c r="H1151" s="177" t="str">
        <f ca="1">IFERROR(IF(INDEX(' Disaggregation - Section E '!F$313:F880,MATCH(C1151,' Disaggregation - Section E '!A$313:A880,0)+1,1)&lt;&gt;0,INDEX(' Disaggregation - Section E '!F$313:F880,MATCH(C1151,' Disaggregation - Section E '!A$313:A880,0)+1,1),""),"")</f>
        <v/>
      </c>
      <c r="I1151" s="171" t="str">
        <f ca="1">IFERROR(IF(VLOOKUP(C1151,' Disaggregation - Section E '!A$316:N880,8,0)=0,"",VLOOKUP(C1151,' Disaggregation - Section E '!A$316:N880,8,0)),"")</f>
        <v/>
      </c>
      <c r="J1151" s="171" t="str">
        <f ca="1">IFERROR(IF(VLOOKUP(C1151,' Disaggregation - Section E '!A$316:N880,13,0)=0,"",VLOOKUP(C1151,' Disaggregation - Section E '!A$316:N880,13,0)),"")</f>
        <v/>
      </c>
      <c r="K1151" s="166" t="str">
        <f ca="1">IFERROR(VLOOKUP(C1151,' Disaggregation - Section E '!A$316:N880,3,0),"")</f>
        <v/>
      </c>
      <c r="L1151" s="171" t="str">
        <f ca="1">IFERROR(IF(VLOOKUP(C1151,' Disaggregation - Section E '!A$316:N880,14,0)=0,"",VLOOKUP(C1151,' Disaggregation - Section E '!A$316:N880,14,0)),"")</f>
        <v/>
      </c>
      <c r="M1151" s="166" t="str">
        <f ca="1">IFERROR(IF(VLOOKUP(C1151,' Disaggregation - Section E '!A$316:T880,20,0)=0,"",VLOOKUP(C1151,' Disaggregation - Section E '!A$316:T880,20,0)),"")</f>
        <v/>
      </c>
      <c r="N1151" s="171" t="str">
        <f ca="1">IFERROR(IF(VLOOKUP(C1151,' Disaggregation - Section E '!A$316:N880,9,0)=0,"",VLOOKUP(C1151,' Disaggregation - Section E '!A$316:N880,9,0)),"")</f>
        <v/>
      </c>
      <c r="O1151" s="171" t="str">
        <f ca="1">IFERROR(IF(VLOOKUP(C1151,' Disaggregation - Section E '!A$315:N880,10,0)=0,"",VLOOKUP(C1151,' Disaggregation - Section E '!A$316:N880,10,0)),"")</f>
        <v/>
      </c>
    </row>
    <row r="1152" spans="1:15">
      <c r="A1152" s="166" t="b">
        <f t="shared" ca="1" si="140"/>
        <v>0</v>
      </c>
      <c r="B1152" s="166"/>
      <c r="C1152" s="172" t="str">
        <f ca="1">IF(COUNTA(D$885:D1152)=1,"",OFFSET(C1152,-COUNTA(D$885:D1152)+1,0))</f>
        <v>a1V3p000006h2xbEAA</v>
      </c>
      <c r="D1152" s="177"/>
      <c r="E1152" s="168" t="str">
        <f ca="1">IFERROR(IF(VLOOKUP(C1152,' Disaggregation - Section E '!A$316:N881,7,0)="","",VLOOKUP(C1152,' Disaggregation - Section E '!A$316:N881,7,0)*100),"")</f>
        <v/>
      </c>
      <c r="F1152" s="166"/>
      <c r="G1152" s="170" t="str">
        <f ca="1">IFERROR(IF(VLOOKUP(C1152,' Disaggregation - Section E '!A$316:N881,6,0)="","",VLOOKUP(C1152,' Disaggregation - Section E '!A$316:N881,6,0)),"")</f>
        <v/>
      </c>
      <c r="H1152" s="177" t="str">
        <f ca="1">IFERROR(IF(INDEX(' Disaggregation - Section E '!F$313:F881,MATCH(C1152,' Disaggregation - Section E '!A$313:A881,0)+1,1)&lt;&gt;0,INDEX(' Disaggregation - Section E '!F$313:F881,MATCH(C1152,' Disaggregation - Section E '!A$313:A881,0)+1,1),""),"")</f>
        <v/>
      </c>
      <c r="I1152" s="171" t="str">
        <f ca="1">IFERROR(IF(VLOOKUP(C1152,' Disaggregation - Section E '!A$316:N881,8,0)=0,"",VLOOKUP(C1152,' Disaggregation - Section E '!A$316:N881,8,0)),"")</f>
        <v/>
      </c>
      <c r="J1152" s="171" t="str">
        <f ca="1">IFERROR(IF(VLOOKUP(C1152,' Disaggregation - Section E '!A$316:N881,13,0)=0,"",VLOOKUP(C1152,' Disaggregation - Section E '!A$316:N881,13,0)),"")</f>
        <v/>
      </c>
      <c r="K1152" s="166" t="str">
        <f ca="1">IFERROR(VLOOKUP(C1152,' Disaggregation - Section E '!A$316:N881,3,0),"")</f>
        <v/>
      </c>
      <c r="L1152" s="171" t="str">
        <f ca="1">IFERROR(IF(VLOOKUP(C1152,' Disaggregation - Section E '!A$316:N881,14,0)=0,"",VLOOKUP(C1152,' Disaggregation - Section E '!A$316:N881,14,0)),"")</f>
        <v/>
      </c>
      <c r="M1152" s="166" t="str">
        <f ca="1">IFERROR(IF(VLOOKUP(C1152,' Disaggregation - Section E '!A$316:T881,20,0)=0,"",VLOOKUP(C1152,' Disaggregation - Section E '!A$316:T881,20,0)),"")</f>
        <v/>
      </c>
      <c r="N1152" s="171" t="str">
        <f ca="1">IFERROR(IF(VLOOKUP(C1152,' Disaggregation - Section E '!A$316:N881,9,0)=0,"",VLOOKUP(C1152,' Disaggregation - Section E '!A$316:N881,9,0)),"")</f>
        <v/>
      </c>
      <c r="O1152" s="171" t="str">
        <f ca="1">IFERROR(IF(VLOOKUP(C1152,' Disaggregation - Section E '!A$315:N881,10,0)=0,"",VLOOKUP(C1152,' Disaggregation - Section E '!A$316:N881,10,0)),"")</f>
        <v/>
      </c>
    </row>
    <row r="1153" spans="1:15">
      <c r="A1153" s="166" t="b">
        <f t="shared" ca="1" si="140"/>
        <v>0</v>
      </c>
      <c r="B1153" s="166"/>
      <c r="C1153" s="172" t="str">
        <f ca="1">IF(COUNTA(D$885:D1153)=1,"",OFFSET(C1153,-COUNTA(D$885:D1153)+1,0))</f>
        <v>a1V3p000006h2xcEAA</v>
      </c>
      <c r="D1153" s="177"/>
      <c r="E1153" s="168" t="str">
        <f ca="1">IFERROR(IF(VLOOKUP(C1153,' Disaggregation - Section E '!A$316:N882,7,0)="","",VLOOKUP(C1153,' Disaggregation - Section E '!A$316:N882,7,0)*100),"")</f>
        <v/>
      </c>
      <c r="F1153" s="166"/>
      <c r="G1153" s="170" t="str">
        <f ca="1">IFERROR(IF(VLOOKUP(C1153,' Disaggregation - Section E '!A$316:N882,6,0)="","",VLOOKUP(C1153,' Disaggregation - Section E '!A$316:N882,6,0)),"")</f>
        <v/>
      </c>
      <c r="H1153" s="177" t="str">
        <f ca="1">IFERROR(IF(INDEX(' Disaggregation - Section E '!F$313:F882,MATCH(C1153,' Disaggregation - Section E '!A$313:A882,0)+1,1)&lt;&gt;0,INDEX(' Disaggregation - Section E '!F$313:F882,MATCH(C1153,' Disaggregation - Section E '!A$313:A882,0)+1,1),""),"")</f>
        <v/>
      </c>
      <c r="I1153" s="171" t="str">
        <f ca="1">IFERROR(IF(VLOOKUP(C1153,' Disaggregation - Section E '!A$316:N882,8,0)=0,"",VLOOKUP(C1153,' Disaggregation - Section E '!A$316:N882,8,0)),"")</f>
        <v/>
      </c>
      <c r="J1153" s="171" t="str">
        <f ca="1">IFERROR(IF(VLOOKUP(C1153,' Disaggregation - Section E '!A$316:N882,13,0)=0,"",VLOOKUP(C1153,' Disaggregation - Section E '!A$316:N882,13,0)),"")</f>
        <v/>
      </c>
      <c r="K1153" s="166" t="str">
        <f ca="1">IFERROR(VLOOKUP(C1153,' Disaggregation - Section E '!A$316:N882,3,0),"")</f>
        <v/>
      </c>
      <c r="L1153" s="171" t="str">
        <f ca="1">IFERROR(IF(VLOOKUP(C1153,' Disaggregation - Section E '!A$316:N882,14,0)=0,"",VLOOKUP(C1153,' Disaggregation - Section E '!A$316:N882,14,0)),"")</f>
        <v/>
      </c>
      <c r="M1153" s="166" t="str">
        <f ca="1">IFERROR(IF(VLOOKUP(C1153,' Disaggregation - Section E '!A$316:T882,20,0)=0,"",VLOOKUP(C1153,' Disaggregation - Section E '!A$316:T882,20,0)),"")</f>
        <v/>
      </c>
      <c r="N1153" s="171" t="str">
        <f ca="1">IFERROR(IF(VLOOKUP(C1153,' Disaggregation - Section E '!A$316:N882,9,0)=0,"",VLOOKUP(C1153,' Disaggregation - Section E '!A$316:N882,9,0)),"")</f>
        <v/>
      </c>
      <c r="O1153" s="171" t="str">
        <f ca="1">IFERROR(IF(VLOOKUP(C1153,' Disaggregation - Section E '!A$315:N882,10,0)=0,"",VLOOKUP(C1153,' Disaggregation - Section E '!A$316:N882,10,0)),"")</f>
        <v/>
      </c>
    </row>
    <row r="1154" spans="1:15">
      <c r="A1154" s="166" t="b">
        <f t="shared" ca="1" si="140"/>
        <v>0</v>
      </c>
      <c r="B1154" s="166"/>
      <c r="C1154" s="172" t="str">
        <f ca="1">IF(COUNTA(D$885:D1154)=1,"",OFFSET(C1154,-COUNTA(D$885:D1154)+1,0))</f>
        <v>a1V3p000006h2xdEAA</v>
      </c>
      <c r="D1154" s="177"/>
      <c r="E1154" s="168" t="str">
        <f ca="1">IFERROR(IF(VLOOKUP(C1154,' Disaggregation - Section E '!A$316:N883,7,0)="","",VLOOKUP(C1154,' Disaggregation - Section E '!A$316:N883,7,0)*100),"")</f>
        <v/>
      </c>
      <c r="F1154" s="166"/>
      <c r="G1154" s="170" t="str">
        <f ca="1">IFERROR(IF(VLOOKUP(C1154,' Disaggregation - Section E '!A$316:N883,6,0)="","",VLOOKUP(C1154,' Disaggregation - Section E '!A$316:N883,6,0)),"")</f>
        <v/>
      </c>
      <c r="H1154" s="177" t="str">
        <f ca="1">IFERROR(IF(INDEX(' Disaggregation - Section E '!F$313:F883,MATCH(C1154,' Disaggregation - Section E '!A$313:A883,0)+1,1)&lt;&gt;0,INDEX(' Disaggregation - Section E '!F$313:F883,MATCH(C1154,' Disaggregation - Section E '!A$313:A883,0)+1,1),""),"")</f>
        <v/>
      </c>
      <c r="I1154" s="171" t="str">
        <f ca="1">IFERROR(IF(VLOOKUP(C1154,' Disaggregation - Section E '!A$316:N883,8,0)=0,"",VLOOKUP(C1154,' Disaggregation - Section E '!A$316:N883,8,0)),"")</f>
        <v/>
      </c>
      <c r="J1154" s="171" t="str">
        <f ca="1">IFERROR(IF(VLOOKUP(C1154,' Disaggregation - Section E '!A$316:N883,13,0)=0,"",VLOOKUP(C1154,' Disaggregation - Section E '!A$316:N883,13,0)),"")</f>
        <v/>
      </c>
      <c r="K1154" s="166" t="str">
        <f ca="1">IFERROR(VLOOKUP(C1154,' Disaggregation - Section E '!A$316:N883,3,0),"")</f>
        <v/>
      </c>
      <c r="L1154" s="171" t="str">
        <f ca="1">IFERROR(IF(VLOOKUP(C1154,' Disaggregation - Section E '!A$316:N883,14,0)=0,"",VLOOKUP(C1154,' Disaggregation - Section E '!A$316:N883,14,0)),"")</f>
        <v/>
      </c>
      <c r="M1154" s="166" t="str">
        <f ca="1">IFERROR(IF(VLOOKUP(C1154,' Disaggregation - Section E '!A$316:T883,20,0)=0,"",VLOOKUP(C1154,' Disaggregation - Section E '!A$316:T883,20,0)),"")</f>
        <v/>
      </c>
      <c r="N1154" s="171" t="str">
        <f ca="1">IFERROR(IF(VLOOKUP(C1154,' Disaggregation - Section E '!A$316:N883,9,0)=0,"",VLOOKUP(C1154,' Disaggregation - Section E '!A$316:N883,9,0)),"")</f>
        <v/>
      </c>
      <c r="O1154" s="171" t="str">
        <f ca="1">IFERROR(IF(VLOOKUP(C1154,' Disaggregation - Section E '!A$315:N883,10,0)=0,"",VLOOKUP(C1154,' Disaggregation - Section E '!A$316:N883,10,0)),"")</f>
        <v/>
      </c>
    </row>
    <row r="1155" spans="1:15">
      <c r="A1155" s="166" t="b">
        <f t="shared" ca="1" si="140"/>
        <v>0</v>
      </c>
      <c r="B1155" s="166"/>
      <c r="C1155" s="172" t="str">
        <f ca="1">IF(COUNTA(D$885:D1155)=1,"",OFFSET(C1155,-COUNTA(D$885:D1155)+1,0))</f>
        <v>a1V3p000006h2xeEAA</v>
      </c>
      <c r="D1155" s="177"/>
      <c r="E1155" s="168" t="str">
        <f ca="1">IFERROR(IF(VLOOKUP(C1155,' Disaggregation - Section E '!A$316:N884,7,0)="","",VLOOKUP(C1155,' Disaggregation - Section E '!A$316:N884,7,0)*100),"")</f>
        <v/>
      </c>
      <c r="F1155" s="166"/>
      <c r="G1155" s="170" t="str">
        <f ca="1">IFERROR(IF(VLOOKUP(C1155,' Disaggregation - Section E '!A$316:N884,6,0)="","",VLOOKUP(C1155,' Disaggregation - Section E '!A$316:N884,6,0)),"")</f>
        <v/>
      </c>
      <c r="H1155" s="177" t="str">
        <f ca="1">IFERROR(IF(INDEX(' Disaggregation - Section E '!F$313:F884,MATCH(C1155,' Disaggregation - Section E '!A$313:A884,0)+1,1)&lt;&gt;0,INDEX(' Disaggregation - Section E '!F$313:F884,MATCH(C1155,' Disaggregation - Section E '!A$313:A884,0)+1,1),""),"")</f>
        <v/>
      </c>
      <c r="I1155" s="171" t="str">
        <f ca="1">IFERROR(IF(VLOOKUP(C1155,' Disaggregation - Section E '!A$316:N884,8,0)=0,"",VLOOKUP(C1155,' Disaggregation - Section E '!A$316:N884,8,0)),"")</f>
        <v/>
      </c>
      <c r="J1155" s="171" t="str">
        <f ca="1">IFERROR(IF(VLOOKUP(C1155,' Disaggregation - Section E '!A$316:N884,13,0)=0,"",VLOOKUP(C1155,' Disaggregation - Section E '!A$316:N884,13,0)),"")</f>
        <v/>
      </c>
      <c r="K1155" s="166" t="str">
        <f ca="1">IFERROR(VLOOKUP(C1155,' Disaggregation - Section E '!A$316:N884,3,0),"")</f>
        <v/>
      </c>
      <c r="L1155" s="171" t="str">
        <f ca="1">IFERROR(IF(VLOOKUP(C1155,' Disaggregation - Section E '!A$316:N884,14,0)=0,"",VLOOKUP(C1155,' Disaggregation - Section E '!A$316:N884,14,0)),"")</f>
        <v/>
      </c>
      <c r="M1155" s="166" t="str">
        <f ca="1">IFERROR(IF(VLOOKUP(C1155,' Disaggregation - Section E '!A$316:T884,20,0)=0,"",VLOOKUP(C1155,' Disaggregation - Section E '!A$316:T884,20,0)),"")</f>
        <v/>
      </c>
      <c r="N1155" s="171" t="str">
        <f ca="1">IFERROR(IF(VLOOKUP(C1155,' Disaggregation - Section E '!A$316:N884,9,0)=0,"",VLOOKUP(C1155,' Disaggregation - Section E '!A$316:N884,9,0)),"")</f>
        <v/>
      </c>
      <c r="O1155" s="171" t="str">
        <f ca="1">IFERROR(IF(VLOOKUP(C1155,' Disaggregation - Section E '!A$315:N884,10,0)=0,"",VLOOKUP(C1155,' Disaggregation - Section E '!A$316:N884,10,0)),"")</f>
        <v/>
      </c>
    </row>
    <row r="1156" spans="1:15">
      <c r="A1156" s="166" t="b">
        <f t="shared" ca="1" si="140"/>
        <v>0</v>
      </c>
      <c r="B1156" s="166"/>
      <c r="C1156" s="172" t="str">
        <f ca="1">IF(COUNTA(D$885:D1156)=1,"",OFFSET(C1156,-COUNTA(D$885:D1156)+1,0))</f>
        <v>a1V3p000006h2xfEAA</v>
      </c>
      <c r="D1156" s="177"/>
      <c r="E1156" s="168" t="str">
        <f ca="1">IFERROR(IF(VLOOKUP(C1156,' Disaggregation - Section E '!A$316:N885,7,0)="","",VLOOKUP(C1156,' Disaggregation - Section E '!A$316:N885,7,0)*100),"")</f>
        <v/>
      </c>
      <c r="F1156" s="166"/>
      <c r="G1156" s="170" t="str">
        <f ca="1">IFERROR(IF(VLOOKUP(C1156,' Disaggregation - Section E '!A$316:N885,6,0)="","",VLOOKUP(C1156,' Disaggregation - Section E '!A$316:N885,6,0)),"")</f>
        <v/>
      </c>
      <c r="H1156" s="177" t="str">
        <f ca="1">IFERROR(IF(INDEX(' Disaggregation - Section E '!F$313:F885,MATCH(C1156,' Disaggregation - Section E '!A$313:A885,0)+1,1)&lt;&gt;0,INDEX(' Disaggregation - Section E '!F$313:F885,MATCH(C1156,' Disaggregation - Section E '!A$313:A885,0)+1,1),""),"")</f>
        <v/>
      </c>
      <c r="I1156" s="171" t="str">
        <f ca="1">IFERROR(IF(VLOOKUP(C1156,' Disaggregation - Section E '!A$316:N885,8,0)=0,"",VLOOKUP(C1156,' Disaggregation - Section E '!A$316:N885,8,0)),"")</f>
        <v/>
      </c>
      <c r="J1156" s="171" t="str">
        <f ca="1">IFERROR(IF(VLOOKUP(C1156,' Disaggregation - Section E '!A$316:N885,13,0)=0,"",VLOOKUP(C1156,' Disaggregation - Section E '!A$316:N885,13,0)),"")</f>
        <v/>
      </c>
      <c r="K1156" s="166" t="str">
        <f ca="1">IFERROR(VLOOKUP(C1156,' Disaggregation - Section E '!A$316:N885,3,0),"")</f>
        <v/>
      </c>
      <c r="L1156" s="171" t="str">
        <f ca="1">IFERROR(IF(VLOOKUP(C1156,' Disaggregation - Section E '!A$316:N885,14,0)=0,"",VLOOKUP(C1156,' Disaggregation - Section E '!A$316:N885,14,0)),"")</f>
        <v/>
      </c>
      <c r="M1156" s="166" t="str">
        <f ca="1">IFERROR(IF(VLOOKUP(C1156,' Disaggregation - Section E '!A$316:T885,20,0)=0,"",VLOOKUP(C1156,' Disaggregation - Section E '!A$316:T885,20,0)),"")</f>
        <v/>
      </c>
      <c r="N1156" s="171" t="str">
        <f ca="1">IFERROR(IF(VLOOKUP(C1156,' Disaggregation - Section E '!A$316:N885,9,0)=0,"",VLOOKUP(C1156,' Disaggregation - Section E '!A$316:N885,9,0)),"")</f>
        <v/>
      </c>
      <c r="O1156" s="171" t="str">
        <f ca="1">IFERROR(IF(VLOOKUP(C1156,' Disaggregation - Section E '!A$315:N885,10,0)=0,"",VLOOKUP(C1156,' Disaggregation - Section E '!A$316:N885,10,0)),"")</f>
        <v/>
      </c>
    </row>
    <row r="1157" spans="1:15">
      <c r="A1157" s="166" t="b">
        <f t="shared" ca="1" si="140"/>
        <v>0</v>
      </c>
      <c r="B1157" s="166"/>
      <c r="C1157" s="172" t="str">
        <f ca="1">IF(COUNTA(D$885:D1157)=1,"",OFFSET(C1157,-COUNTA(D$885:D1157)+1,0))</f>
        <v>a1V3p000006h2xgEAA</v>
      </c>
      <c r="D1157" s="177"/>
      <c r="E1157" s="168" t="str">
        <f ca="1">IFERROR(IF(VLOOKUP(C1157,' Disaggregation - Section E '!A$316:N886,7,0)="","",VLOOKUP(C1157,' Disaggregation - Section E '!A$316:N886,7,0)*100),"")</f>
        <v/>
      </c>
      <c r="F1157" s="166"/>
      <c r="G1157" s="170" t="str">
        <f ca="1">IFERROR(IF(VLOOKUP(C1157,' Disaggregation - Section E '!A$316:N886,6,0)="","",VLOOKUP(C1157,' Disaggregation - Section E '!A$316:N886,6,0)),"")</f>
        <v/>
      </c>
      <c r="H1157" s="177" t="str">
        <f ca="1">IFERROR(IF(INDEX(' Disaggregation - Section E '!F$313:F886,MATCH(C1157,' Disaggregation - Section E '!A$313:A886,0)+1,1)&lt;&gt;0,INDEX(' Disaggregation - Section E '!F$313:F886,MATCH(C1157,' Disaggregation - Section E '!A$313:A886,0)+1,1),""),"")</f>
        <v/>
      </c>
      <c r="I1157" s="171" t="str">
        <f ca="1">IFERROR(IF(VLOOKUP(C1157,' Disaggregation - Section E '!A$316:N886,8,0)=0,"",VLOOKUP(C1157,' Disaggregation - Section E '!A$316:N886,8,0)),"")</f>
        <v/>
      </c>
      <c r="J1157" s="171" t="str">
        <f ca="1">IFERROR(IF(VLOOKUP(C1157,' Disaggregation - Section E '!A$316:N886,13,0)=0,"",VLOOKUP(C1157,' Disaggregation - Section E '!A$316:N886,13,0)),"")</f>
        <v/>
      </c>
      <c r="K1157" s="166" t="str">
        <f ca="1">IFERROR(VLOOKUP(C1157,' Disaggregation - Section E '!A$316:N886,3,0),"")</f>
        <v/>
      </c>
      <c r="L1157" s="171" t="str">
        <f ca="1">IFERROR(IF(VLOOKUP(C1157,' Disaggregation - Section E '!A$316:N886,14,0)=0,"",VLOOKUP(C1157,' Disaggregation - Section E '!A$316:N886,14,0)),"")</f>
        <v/>
      </c>
      <c r="M1157" s="166" t="str">
        <f ca="1">IFERROR(IF(VLOOKUP(C1157,' Disaggregation - Section E '!A$316:T886,20,0)=0,"",VLOOKUP(C1157,' Disaggregation - Section E '!A$316:T886,20,0)),"")</f>
        <v/>
      </c>
      <c r="N1157" s="171" t="str">
        <f ca="1">IFERROR(IF(VLOOKUP(C1157,' Disaggregation - Section E '!A$316:N886,9,0)=0,"",VLOOKUP(C1157,' Disaggregation - Section E '!A$316:N886,9,0)),"")</f>
        <v/>
      </c>
      <c r="O1157" s="171" t="str">
        <f ca="1">IFERROR(IF(VLOOKUP(C1157,' Disaggregation - Section E '!A$315:N886,10,0)=0,"",VLOOKUP(C1157,' Disaggregation - Section E '!A$316:N886,10,0)),"")</f>
        <v/>
      </c>
    </row>
    <row r="1158" spans="1:15">
      <c r="A1158" s="166" t="b">
        <f t="shared" ca="1" si="140"/>
        <v>0</v>
      </c>
      <c r="B1158" s="166"/>
      <c r="C1158" s="172" t="str">
        <f ca="1">IF(COUNTA(D$885:D1158)=1,"",OFFSET(C1158,-COUNTA(D$885:D1158)+1,0))</f>
        <v>a1V3p000006h2xhEAA</v>
      </c>
      <c r="D1158" s="177"/>
      <c r="E1158" s="168" t="str">
        <f ca="1">IFERROR(IF(VLOOKUP(C1158,' Disaggregation - Section E '!A$316:N887,7,0)="","",VLOOKUP(C1158,' Disaggregation - Section E '!A$316:N887,7,0)*100),"")</f>
        <v/>
      </c>
      <c r="F1158" s="166"/>
      <c r="G1158" s="170" t="str">
        <f ca="1">IFERROR(IF(VLOOKUP(C1158,' Disaggregation - Section E '!A$316:N887,6,0)="","",VLOOKUP(C1158,' Disaggregation - Section E '!A$316:N887,6,0)),"")</f>
        <v/>
      </c>
      <c r="H1158" s="177" t="str">
        <f ca="1">IFERROR(IF(INDEX(' Disaggregation - Section E '!F$313:F887,MATCH(C1158,' Disaggregation - Section E '!A$313:A887,0)+1,1)&lt;&gt;0,INDEX(' Disaggregation - Section E '!F$313:F887,MATCH(C1158,' Disaggregation - Section E '!A$313:A887,0)+1,1),""),"")</f>
        <v/>
      </c>
      <c r="I1158" s="171" t="str">
        <f ca="1">IFERROR(IF(VLOOKUP(C1158,' Disaggregation - Section E '!A$316:N887,8,0)=0,"",VLOOKUP(C1158,' Disaggregation - Section E '!A$316:N887,8,0)),"")</f>
        <v/>
      </c>
      <c r="J1158" s="171" t="str">
        <f ca="1">IFERROR(IF(VLOOKUP(C1158,' Disaggregation - Section E '!A$316:N887,13,0)=0,"",VLOOKUP(C1158,' Disaggregation - Section E '!A$316:N887,13,0)),"")</f>
        <v/>
      </c>
      <c r="K1158" s="166" t="str">
        <f ca="1">IFERROR(VLOOKUP(C1158,' Disaggregation - Section E '!A$316:N887,3,0),"")</f>
        <v/>
      </c>
      <c r="L1158" s="171" t="str">
        <f ca="1">IFERROR(IF(VLOOKUP(C1158,' Disaggregation - Section E '!A$316:N887,14,0)=0,"",VLOOKUP(C1158,' Disaggregation - Section E '!A$316:N887,14,0)),"")</f>
        <v/>
      </c>
      <c r="M1158" s="166" t="str">
        <f ca="1">IFERROR(IF(VLOOKUP(C1158,' Disaggregation - Section E '!A$316:T887,20,0)=0,"",VLOOKUP(C1158,' Disaggregation - Section E '!A$316:T887,20,0)),"")</f>
        <v/>
      </c>
      <c r="N1158" s="171" t="str">
        <f ca="1">IFERROR(IF(VLOOKUP(C1158,' Disaggregation - Section E '!A$316:N887,9,0)=0,"",VLOOKUP(C1158,' Disaggregation - Section E '!A$316:N887,9,0)),"")</f>
        <v/>
      </c>
      <c r="O1158" s="171" t="str">
        <f ca="1">IFERROR(IF(VLOOKUP(C1158,' Disaggregation - Section E '!A$315:N887,10,0)=0,"",VLOOKUP(C1158,' Disaggregation - Section E '!A$316:N887,10,0)),"")</f>
        <v/>
      </c>
    </row>
    <row r="1159" spans="1:15">
      <c r="A1159" s="166" t="b">
        <f t="shared" ca="1" si="140"/>
        <v>0</v>
      </c>
      <c r="B1159" s="166"/>
      <c r="C1159" s="172" t="str">
        <f ca="1">IF(COUNTA(D$885:D1159)=1,"",OFFSET(C1159,-COUNTA(D$885:D1159)+1,0))</f>
        <v>a1V3p000006h2xiEAA</v>
      </c>
      <c r="D1159" s="177"/>
      <c r="E1159" s="168" t="str">
        <f ca="1">IFERROR(IF(VLOOKUP(C1159,' Disaggregation - Section E '!A$316:N888,7,0)="","",VLOOKUP(C1159,' Disaggregation - Section E '!A$316:N888,7,0)*100),"")</f>
        <v/>
      </c>
      <c r="F1159" s="166"/>
      <c r="G1159" s="170" t="str">
        <f ca="1">IFERROR(IF(VLOOKUP(C1159,' Disaggregation - Section E '!A$316:N888,6,0)="","",VLOOKUP(C1159,' Disaggregation - Section E '!A$316:N888,6,0)),"")</f>
        <v/>
      </c>
      <c r="H1159" s="177" t="str">
        <f ca="1">IFERROR(IF(INDEX(' Disaggregation - Section E '!F$313:F888,MATCH(C1159,' Disaggregation - Section E '!A$313:A888,0)+1,1)&lt;&gt;0,INDEX(' Disaggregation - Section E '!F$313:F888,MATCH(C1159,' Disaggregation - Section E '!A$313:A888,0)+1,1),""),"")</f>
        <v/>
      </c>
      <c r="I1159" s="171" t="str">
        <f ca="1">IFERROR(IF(VLOOKUP(C1159,' Disaggregation - Section E '!A$316:N888,8,0)=0,"",VLOOKUP(C1159,' Disaggregation - Section E '!A$316:N888,8,0)),"")</f>
        <v/>
      </c>
      <c r="J1159" s="171" t="str">
        <f ca="1">IFERROR(IF(VLOOKUP(C1159,' Disaggregation - Section E '!A$316:N888,13,0)=0,"",VLOOKUP(C1159,' Disaggregation - Section E '!A$316:N888,13,0)),"")</f>
        <v/>
      </c>
      <c r="K1159" s="166" t="str">
        <f ca="1">IFERROR(VLOOKUP(C1159,' Disaggregation - Section E '!A$316:N888,3,0),"")</f>
        <v/>
      </c>
      <c r="L1159" s="171" t="str">
        <f ca="1">IFERROR(IF(VLOOKUP(C1159,' Disaggregation - Section E '!A$316:N888,14,0)=0,"",VLOOKUP(C1159,' Disaggregation - Section E '!A$316:N888,14,0)),"")</f>
        <v/>
      </c>
      <c r="M1159" s="166" t="str">
        <f ca="1">IFERROR(IF(VLOOKUP(C1159,' Disaggregation - Section E '!A$316:T888,20,0)=0,"",VLOOKUP(C1159,' Disaggregation - Section E '!A$316:T888,20,0)),"")</f>
        <v/>
      </c>
      <c r="N1159" s="171" t="str">
        <f ca="1">IFERROR(IF(VLOOKUP(C1159,' Disaggregation - Section E '!A$316:N888,9,0)=0,"",VLOOKUP(C1159,' Disaggregation - Section E '!A$316:N888,9,0)),"")</f>
        <v/>
      </c>
      <c r="O1159" s="171" t="str">
        <f ca="1">IFERROR(IF(VLOOKUP(C1159,' Disaggregation - Section E '!A$315:N888,10,0)=0,"",VLOOKUP(C1159,' Disaggregation - Section E '!A$316:N888,10,0)),"")</f>
        <v/>
      </c>
    </row>
    <row r="1160" spans="1:15">
      <c r="A1160" s="166" t="b">
        <f t="shared" ca="1" si="140"/>
        <v>0</v>
      </c>
      <c r="B1160" s="166"/>
      <c r="C1160" s="172" t="str">
        <f ca="1">IF(COUNTA(D$885:D1160)=1,"",OFFSET(C1160,-COUNTA(D$885:D1160)+1,0))</f>
        <v>a1V3p000006h2xjEAA</v>
      </c>
      <c r="D1160" s="177"/>
      <c r="E1160" s="168" t="str">
        <f ca="1">IFERROR(IF(VLOOKUP(C1160,' Disaggregation - Section E '!A$316:N889,7,0)="","",VLOOKUP(C1160,' Disaggregation - Section E '!A$316:N889,7,0)*100),"")</f>
        <v/>
      </c>
      <c r="F1160" s="166"/>
      <c r="G1160" s="170" t="str">
        <f ca="1">IFERROR(IF(VLOOKUP(C1160,' Disaggregation - Section E '!A$316:N889,6,0)="","",VLOOKUP(C1160,' Disaggregation - Section E '!A$316:N889,6,0)),"")</f>
        <v/>
      </c>
      <c r="H1160" s="177" t="str">
        <f ca="1">IFERROR(IF(INDEX(' Disaggregation - Section E '!F$313:F889,MATCH(C1160,' Disaggregation - Section E '!A$313:A889,0)+1,1)&lt;&gt;0,INDEX(' Disaggregation - Section E '!F$313:F889,MATCH(C1160,' Disaggregation - Section E '!A$313:A889,0)+1,1),""),"")</f>
        <v/>
      </c>
      <c r="I1160" s="171" t="str">
        <f ca="1">IFERROR(IF(VLOOKUP(C1160,' Disaggregation - Section E '!A$316:N889,8,0)=0,"",VLOOKUP(C1160,' Disaggregation - Section E '!A$316:N889,8,0)),"")</f>
        <v/>
      </c>
      <c r="J1160" s="171" t="str">
        <f ca="1">IFERROR(IF(VLOOKUP(C1160,' Disaggregation - Section E '!A$316:N889,13,0)=0,"",VLOOKUP(C1160,' Disaggregation - Section E '!A$316:N889,13,0)),"")</f>
        <v/>
      </c>
      <c r="K1160" s="166" t="str">
        <f ca="1">IFERROR(VLOOKUP(C1160,' Disaggregation - Section E '!A$316:N889,3,0),"")</f>
        <v/>
      </c>
      <c r="L1160" s="171" t="str">
        <f ca="1">IFERROR(IF(VLOOKUP(C1160,' Disaggregation - Section E '!A$316:N889,14,0)=0,"",VLOOKUP(C1160,' Disaggregation - Section E '!A$316:N889,14,0)),"")</f>
        <v/>
      </c>
      <c r="M1160" s="166" t="str">
        <f ca="1">IFERROR(IF(VLOOKUP(C1160,' Disaggregation - Section E '!A$316:T889,20,0)=0,"",VLOOKUP(C1160,' Disaggregation - Section E '!A$316:T889,20,0)),"")</f>
        <v/>
      </c>
      <c r="N1160" s="171" t="str">
        <f ca="1">IFERROR(IF(VLOOKUP(C1160,' Disaggregation - Section E '!A$316:N889,9,0)=0,"",VLOOKUP(C1160,' Disaggregation - Section E '!A$316:N889,9,0)),"")</f>
        <v/>
      </c>
      <c r="O1160" s="171" t="str">
        <f ca="1">IFERROR(IF(VLOOKUP(C1160,' Disaggregation - Section E '!A$315:N889,10,0)=0,"",VLOOKUP(C1160,' Disaggregation - Section E '!A$316:N889,10,0)),"")</f>
        <v/>
      </c>
    </row>
    <row r="1161" spans="1:15">
      <c r="A1161" s="166" t="b">
        <f t="shared" ca="1" si="140"/>
        <v>0</v>
      </c>
      <c r="B1161" s="166"/>
      <c r="C1161" s="172" t="str">
        <f ca="1">IF(COUNTA(D$885:D1161)=1,"",OFFSET(C1161,-COUNTA(D$885:D1161)+1,0))</f>
        <v>a1V3p000006h2xkEAA</v>
      </c>
      <c r="D1161" s="177"/>
      <c r="E1161" s="168" t="str">
        <f ca="1">IFERROR(IF(VLOOKUP(C1161,' Disaggregation - Section E '!A$316:N890,7,0)="","",VLOOKUP(C1161,' Disaggregation - Section E '!A$316:N890,7,0)*100),"")</f>
        <v/>
      </c>
      <c r="F1161" s="166"/>
      <c r="G1161" s="170" t="str">
        <f ca="1">IFERROR(IF(VLOOKUP(C1161,' Disaggregation - Section E '!A$316:N890,6,0)="","",VLOOKUP(C1161,' Disaggregation - Section E '!A$316:N890,6,0)),"")</f>
        <v/>
      </c>
      <c r="H1161" s="177" t="str">
        <f ca="1">IFERROR(IF(INDEX(' Disaggregation - Section E '!F$313:F890,MATCH(C1161,' Disaggregation - Section E '!A$313:A890,0)+1,1)&lt;&gt;0,INDEX(' Disaggregation - Section E '!F$313:F890,MATCH(C1161,' Disaggregation - Section E '!A$313:A890,0)+1,1),""),"")</f>
        <v/>
      </c>
      <c r="I1161" s="171" t="str">
        <f ca="1">IFERROR(IF(VLOOKUP(C1161,' Disaggregation - Section E '!A$316:N890,8,0)=0,"",VLOOKUP(C1161,' Disaggregation - Section E '!A$316:N890,8,0)),"")</f>
        <v/>
      </c>
      <c r="J1161" s="171" t="str">
        <f ca="1">IFERROR(IF(VLOOKUP(C1161,' Disaggregation - Section E '!A$316:N890,13,0)=0,"",VLOOKUP(C1161,' Disaggregation - Section E '!A$316:N890,13,0)),"")</f>
        <v/>
      </c>
      <c r="K1161" s="166" t="str">
        <f ca="1">IFERROR(VLOOKUP(C1161,' Disaggregation - Section E '!A$316:N890,3,0),"")</f>
        <v/>
      </c>
      <c r="L1161" s="171" t="str">
        <f ca="1">IFERROR(IF(VLOOKUP(C1161,' Disaggregation - Section E '!A$316:N890,14,0)=0,"",VLOOKUP(C1161,' Disaggregation - Section E '!A$316:N890,14,0)),"")</f>
        <v/>
      </c>
      <c r="M1161" s="166" t="str">
        <f ca="1">IFERROR(IF(VLOOKUP(C1161,' Disaggregation - Section E '!A$316:T890,20,0)=0,"",VLOOKUP(C1161,' Disaggregation - Section E '!A$316:T890,20,0)),"")</f>
        <v/>
      </c>
      <c r="N1161" s="171" t="str">
        <f ca="1">IFERROR(IF(VLOOKUP(C1161,' Disaggregation - Section E '!A$316:N890,9,0)=0,"",VLOOKUP(C1161,' Disaggregation - Section E '!A$316:N890,9,0)),"")</f>
        <v/>
      </c>
      <c r="O1161" s="171" t="str">
        <f ca="1">IFERROR(IF(VLOOKUP(C1161,' Disaggregation - Section E '!A$315:N890,10,0)=0,"",VLOOKUP(C1161,' Disaggregation - Section E '!A$316:N890,10,0)),"")</f>
        <v/>
      </c>
    </row>
    <row r="1162" spans="1:15">
      <c r="A1162" s="166" t="b">
        <f t="shared" ca="1" si="140"/>
        <v>0</v>
      </c>
      <c r="B1162" s="166"/>
      <c r="C1162" s="172" t="str">
        <f ca="1">IF(COUNTA(D$885:D1162)=1,"",OFFSET(C1162,-COUNTA(D$885:D1162)+1,0))</f>
        <v>a1V3p000006h2xlEAA</v>
      </c>
      <c r="D1162" s="177"/>
      <c r="E1162" s="168" t="str">
        <f ca="1">IFERROR(IF(VLOOKUP(C1162,' Disaggregation - Section E '!A$316:N891,7,0)="","",VLOOKUP(C1162,' Disaggregation - Section E '!A$316:N891,7,0)*100),"")</f>
        <v/>
      </c>
      <c r="F1162" s="166"/>
      <c r="G1162" s="170" t="str">
        <f ca="1">IFERROR(IF(VLOOKUP(C1162,' Disaggregation - Section E '!A$316:N891,6,0)="","",VLOOKUP(C1162,' Disaggregation - Section E '!A$316:N891,6,0)),"")</f>
        <v/>
      </c>
      <c r="H1162" s="177" t="str">
        <f ca="1">IFERROR(IF(INDEX(' Disaggregation - Section E '!F$313:F891,MATCH(C1162,' Disaggregation - Section E '!A$313:A891,0)+1,1)&lt;&gt;0,INDEX(' Disaggregation - Section E '!F$313:F891,MATCH(C1162,' Disaggregation - Section E '!A$313:A891,0)+1,1),""),"")</f>
        <v/>
      </c>
      <c r="I1162" s="171" t="str">
        <f ca="1">IFERROR(IF(VLOOKUP(C1162,' Disaggregation - Section E '!A$316:N891,8,0)=0,"",VLOOKUP(C1162,' Disaggregation - Section E '!A$316:N891,8,0)),"")</f>
        <v/>
      </c>
      <c r="J1162" s="171" t="str">
        <f ca="1">IFERROR(IF(VLOOKUP(C1162,' Disaggregation - Section E '!A$316:N891,13,0)=0,"",VLOOKUP(C1162,' Disaggregation - Section E '!A$316:N891,13,0)),"")</f>
        <v/>
      </c>
      <c r="K1162" s="166" t="str">
        <f ca="1">IFERROR(VLOOKUP(C1162,' Disaggregation - Section E '!A$316:N891,3,0),"")</f>
        <v/>
      </c>
      <c r="L1162" s="171" t="str">
        <f ca="1">IFERROR(IF(VLOOKUP(C1162,' Disaggregation - Section E '!A$316:N891,14,0)=0,"",VLOOKUP(C1162,' Disaggregation - Section E '!A$316:N891,14,0)),"")</f>
        <v/>
      </c>
      <c r="M1162" s="166" t="str">
        <f ca="1">IFERROR(IF(VLOOKUP(C1162,' Disaggregation - Section E '!A$316:T891,20,0)=0,"",VLOOKUP(C1162,' Disaggregation - Section E '!A$316:T891,20,0)),"")</f>
        <v/>
      </c>
      <c r="N1162" s="171" t="str">
        <f ca="1">IFERROR(IF(VLOOKUP(C1162,' Disaggregation - Section E '!A$316:N891,9,0)=0,"",VLOOKUP(C1162,' Disaggregation - Section E '!A$316:N891,9,0)),"")</f>
        <v/>
      </c>
      <c r="O1162" s="171" t="str">
        <f ca="1">IFERROR(IF(VLOOKUP(C1162,' Disaggregation - Section E '!A$315:N891,10,0)=0,"",VLOOKUP(C1162,' Disaggregation - Section E '!A$316:N891,10,0)),"")</f>
        <v/>
      </c>
    </row>
    <row r="1163" spans="1:15">
      <c r="A1163" s="166" t="b">
        <f t="shared" ca="1" si="140"/>
        <v>0</v>
      </c>
      <c r="B1163" s="166"/>
      <c r="C1163" s="172" t="str">
        <f ca="1">IF(COUNTA(D$885:D1163)=1,"",OFFSET(C1163,-COUNTA(D$885:D1163)+1,0))</f>
        <v>a1V3p000006h2xmEAA</v>
      </c>
      <c r="D1163" s="177"/>
      <c r="E1163" s="168" t="str">
        <f ca="1">IFERROR(IF(VLOOKUP(C1163,' Disaggregation - Section E '!A$316:N892,7,0)="","",VLOOKUP(C1163,' Disaggregation - Section E '!A$316:N892,7,0)*100),"")</f>
        <v/>
      </c>
      <c r="F1163" s="166"/>
      <c r="G1163" s="170" t="str">
        <f ca="1">IFERROR(IF(VLOOKUP(C1163,' Disaggregation - Section E '!A$316:N892,6,0)="","",VLOOKUP(C1163,' Disaggregation - Section E '!A$316:N892,6,0)),"")</f>
        <v/>
      </c>
      <c r="H1163" s="177" t="str">
        <f ca="1">IFERROR(IF(INDEX(' Disaggregation - Section E '!F$313:F892,MATCH(C1163,' Disaggregation - Section E '!A$313:A892,0)+1,1)&lt;&gt;0,INDEX(' Disaggregation - Section E '!F$313:F892,MATCH(C1163,' Disaggregation - Section E '!A$313:A892,0)+1,1),""),"")</f>
        <v/>
      </c>
      <c r="I1163" s="171" t="str">
        <f ca="1">IFERROR(IF(VLOOKUP(C1163,' Disaggregation - Section E '!A$316:N892,8,0)=0,"",VLOOKUP(C1163,' Disaggregation - Section E '!A$316:N892,8,0)),"")</f>
        <v/>
      </c>
      <c r="J1163" s="171" t="str">
        <f ca="1">IFERROR(IF(VLOOKUP(C1163,' Disaggregation - Section E '!A$316:N892,13,0)=0,"",VLOOKUP(C1163,' Disaggregation - Section E '!A$316:N892,13,0)),"")</f>
        <v/>
      </c>
      <c r="K1163" s="166" t="str">
        <f ca="1">IFERROR(VLOOKUP(C1163,' Disaggregation - Section E '!A$316:N892,3,0),"")</f>
        <v/>
      </c>
      <c r="L1163" s="171" t="str">
        <f ca="1">IFERROR(IF(VLOOKUP(C1163,' Disaggregation - Section E '!A$316:N892,14,0)=0,"",VLOOKUP(C1163,' Disaggregation - Section E '!A$316:N892,14,0)),"")</f>
        <v/>
      </c>
      <c r="M1163" s="166" t="str">
        <f ca="1">IFERROR(IF(VLOOKUP(C1163,' Disaggregation - Section E '!A$316:T892,20,0)=0,"",VLOOKUP(C1163,' Disaggregation - Section E '!A$316:T892,20,0)),"")</f>
        <v/>
      </c>
      <c r="N1163" s="171" t="str">
        <f ca="1">IFERROR(IF(VLOOKUP(C1163,' Disaggregation - Section E '!A$316:N892,9,0)=0,"",VLOOKUP(C1163,' Disaggregation - Section E '!A$316:N892,9,0)),"")</f>
        <v/>
      </c>
      <c r="O1163" s="171" t="str">
        <f ca="1">IFERROR(IF(VLOOKUP(C1163,' Disaggregation - Section E '!A$315:N892,10,0)=0,"",VLOOKUP(C1163,' Disaggregation - Section E '!A$316:N892,10,0)),"")</f>
        <v/>
      </c>
    </row>
    <row r="1164" spans="1:15">
      <c r="A1164" s="166" t="b">
        <f t="shared" ca="1" si="140"/>
        <v>0</v>
      </c>
      <c r="B1164" s="166"/>
      <c r="C1164" s="172" t="str">
        <f ca="1">IF(COUNTA(D$885:D1164)=1,"",OFFSET(C1164,-COUNTA(D$885:D1164)+1,0))</f>
        <v>a1V3p000006h2xnEAA</v>
      </c>
      <c r="D1164" s="177"/>
      <c r="E1164" s="168" t="str">
        <f ca="1">IFERROR(IF(VLOOKUP(C1164,' Disaggregation - Section E '!A$316:N893,7,0)="","",VLOOKUP(C1164,' Disaggregation - Section E '!A$316:N893,7,0)*100),"")</f>
        <v/>
      </c>
      <c r="F1164" s="166"/>
      <c r="G1164" s="170" t="str">
        <f ca="1">IFERROR(IF(VLOOKUP(C1164,' Disaggregation - Section E '!A$316:N893,6,0)="","",VLOOKUP(C1164,' Disaggregation - Section E '!A$316:N893,6,0)),"")</f>
        <v/>
      </c>
      <c r="H1164" s="177" t="str">
        <f ca="1">IFERROR(IF(INDEX(' Disaggregation - Section E '!F$313:F893,MATCH(C1164,' Disaggregation - Section E '!A$313:A893,0)+1,1)&lt;&gt;0,INDEX(' Disaggregation - Section E '!F$313:F893,MATCH(C1164,' Disaggregation - Section E '!A$313:A893,0)+1,1),""),"")</f>
        <v/>
      </c>
      <c r="I1164" s="171" t="str">
        <f ca="1">IFERROR(IF(VLOOKUP(C1164,' Disaggregation - Section E '!A$316:N893,8,0)=0,"",VLOOKUP(C1164,' Disaggregation - Section E '!A$316:N893,8,0)),"")</f>
        <v/>
      </c>
      <c r="J1164" s="171" t="str">
        <f ca="1">IFERROR(IF(VLOOKUP(C1164,' Disaggregation - Section E '!A$316:N893,13,0)=0,"",VLOOKUP(C1164,' Disaggregation - Section E '!A$316:N893,13,0)),"")</f>
        <v/>
      </c>
      <c r="K1164" s="166" t="str">
        <f ca="1">IFERROR(VLOOKUP(C1164,' Disaggregation - Section E '!A$316:N893,3,0),"")</f>
        <v/>
      </c>
      <c r="L1164" s="171" t="str">
        <f ca="1">IFERROR(IF(VLOOKUP(C1164,' Disaggregation - Section E '!A$316:N893,14,0)=0,"",VLOOKUP(C1164,' Disaggregation - Section E '!A$316:N893,14,0)),"")</f>
        <v/>
      </c>
      <c r="M1164" s="166" t="str">
        <f ca="1">IFERROR(IF(VLOOKUP(C1164,' Disaggregation - Section E '!A$316:T893,20,0)=0,"",VLOOKUP(C1164,' Disaggregation - Section E '!A$316:T893,20,0)),"")</f>
        <v/>
      </c>
      <c r="N1164" s="171" t="str">
        <f ca="1">IFERROR(IF(VLOOKUP(C1164,' Disaggregation - Section E '!A$316:N893,9,0)=0,"",VLOOKUP(C1164,' Disaggregation - Section E '!A$316:N893,9,0)),"")</f>
        <v/>
      </c>
      <c r="O1164" s="171" t="str">
        <f ca="1">IFERROR(IF(VLOOKUP(C1164,' Disaggregation - Section E '!A$315:N893,10,0)=0,"",VLOOKUP(C1164,' Disaggregation - Section E '!A$316:N893,10,0)),"")</f>
        <v/>
      </c>
    </row>
    <row r="1165" spans="1:15">
      <c r="A1165" s="166" t="b">
        <f t="shared" ref="A1165:A1186" ca="1" si="141">IF(M1165&lt;&gt;"",TRUE,FALSE)</f>
        <v>0</v>
      </c>
      <c r="B1165" s="166"/>
      <c r="C1165" s="172" t="str">
        <f ca="1">IF(COUNTA(D$885:D1165)=1,"",OFFSET(C1165,-COUNTA(D$885:D1165)+1,0))</f>
        <v>a1V3p000006h2xoEAA</v>
      </c>
      <c r="D1165" s="177"/>
      <c r="E1165" s="168" t="str">
        <f ca="1">IFERROR(IF(VLOOKUP(C1165,' Disaggregation - Section E '!A$316:N894,7,0)="","",VLOOKUP(C1165,' Disaggregation - Section E '!A$316:N894,7,0)*100),"")</f>
        <v/>
      </c>
      <c r="F1165" s="166"/>
      <c r="G1165" s="170" t="str">
        <f ca="1">IFERROR(IF(VLOOKUP(C1165,' Disaggregation - Section E '!A$316:N894,6,0)="","",VLOOKUP(C1165,' Disaggregation - Section E '!A$316:N894,6,0)),"")</f>
        <v/>
      </c>
      <c r="H1165" s="177" t="str">
        <f ca="1">IFERROR(IF(INDEX(' Disaggregation - Section E '!F$313:F894,MATCH(C1165,' Disaggregation - Section E '!A$313:A894,0)+1,1)&lt;&gt;0,INDEX(' Disaggregation - Section E '!F$313:F894,MATCH(C1165,' Disaggregation - Section E '!A$313:A894,0)+1,1),""),"")</f>
        <v/>
      </c>
      <c r="I1165" s="171" t="str">
        <f ca="1">IFERROR(IF(VLOOKUP(C1165,' Disaggregation - Section E '!A$316:N894,8,0)=0,"",VLOOKUP(C1165,' Disaggregation - Section E '!A$316:N894,8,0)),"")</f>
        <v/>
      </c>
      <c r="J1165" s="171" t="str">
        <f ca="1">IFERROR(IF(VLOOKUP(C1165,' Disaggregation - Section E '!A$316:N894,13,0)=0,"",VLOOKUP(C1165,' Disaggregation - Section E '!A$316:N894,13,0)),"")</f>
        <v/>
      </c>
      <c r="K1165" s="166" t="str">
        <f ca="1">IFERROR(VLOOKUP(C1165,' Disaggregation - Section E '!A$316:N894,3,0),"")</f>
        <v/>
      </c>
      <c r="L1165" s="171" t="str">
        <f ca="1">IFERROR(IF(VLOOKUP(C1165,' Disaggregation - Section E '!A$316:N894,14,0)=0,"",VLOOKUP(C1165,' Disaggregation - Section E '!A$316:N894,14,0)),"")</f>
        <v/>
      </c>
      <c r="M1165" s="166" t="str">
        <f ca="1">IFERROR(IF(VLOOKUP(C1165,' Disaggregation - Section E '!A$316:T894,20,0)=0,"",VLOOKUP(C1165,' Disaggregation - Section E '!A$316:T894,20,0)),"")</f>
        <v/>
      </c>
      <c r="N1165" s="171" t="str">
        <f ca="1">IFERROR(IF(VLOOKUP(C1165,' Disaggregation - Section E '!A$316:N894,9,0)=0,"",VLOOKUP(C1165,' Disaggregation - Section E '!A$316:N894,9,0)),"")</f>
        <v/>
      </c>
      <c r="O1165" s="171" t="str">
        <f ca="1">IFERROR(IF(VLOOKUP(C1165,' Disaggregation - Section E '!A$315:N894,10,0)=0,"",VLOOKUP(C1165,' Disaggregation - Section E '!A$316:N894,10,0)),"")</f>
        <v/>
      </c>
    </row>
    <row r="1166" spans="1:15">
      <c r="A1166" s="166" t="b">
        <f t="shared" ca="1" si="141"/>
        <v>0</v>
      </c>
      <c r="B1166" s="166"/>
      <c r="C1166" s="172" t="str">
        <f ca="1">IF(COUNTA(D$885:D1166)=1,"",OFFSET(C1166,-COUNTA(D$885:D1166)+1,0))</f>
        <v>a1V3p000006h2xpEAA</v>
      </c>
      <c r="D1166" s="177"/>
      <c r="E1166" s="168" t="str">
        <f ca="1">IFERROR(IF(VLOOKUP(C1166,' Disaggregation - Section E '!A$316:N895,7,0)="","",VLOOKUP(C1166,' Disaggregation - Section E '!A$316:N895,7,0)*100),"")</f>
        <v/>
      </c>
      <c r="F1166" s="166"/>
      <c r="G1166" s="170" t="str">
        <f ca="1">IFERROR(IF(VLOOKUP(C1166,' Disaggregation - Section E '!A$316:N895,6,0)="","",VLOOKUP(C1166,' Disaggregation - Section E '!A$316:N895,6,0)),"")</f>
        <v/>
      </c>
      <c r="H1166" s="177" t="str">
        <f ca="1">IFERROR(IF(INDEX(' Disaggregation - Section E '!F$313:F895,MATCH(C1166,' Disaggregation - Section E '!A$313:A895,0)+1,1)&lt;&gt;0,INDEX(' Disaggregation - Section E '!F$313:F895,MATCH(C1166,' Disaggregation - Section E '!A$313:A895,0)+1,1),""),"")</f>
        <v/>
      </c>
      <c r="I1166" s="171" t="str">
        <f ca="1">IFERROR(IF(VLOOKUP(C1166,' Disaggregation - Section E '!A$316:N895,8,0)=0,"",VLOOKUP(C1166,' Disaggregation - Section E '!A$316:N895,8,0)),"")</f>
        <v/>
      </c>
      <c r="J1166" s="171" t="str">
        <f ca="1">IFERROR(IF(VLOOKUP(C1166,' Disaggregation - Section E '!A$316:N895,13,0)=0,"",VLOOKUP(C1166,' Disaggregation - Section E '!A$316:N895,13,0)),"")</f>
        <v/>
      </c>
      <c r="K1166" s="166" t="str">
        <f ca="1">IFERROR(VLOOKUP(C1166,' Disaggregation - Section E '!A$316:N895,3,0),"")</f>
        <v/>
      </c>
      <c r="L1166" s="171" t="str">
        <f ca="1">IFERROR(IF(VLOOKUP(C1166,' Disaggregation - Section E '!A$316:N895,14,0)=0,"",VLOOKUP(C1166,' Disaggregation - Section E '!A$316:N895,14,0)),"")</f>
        <v/>
      </c>
      <c r="M1166" s="166" t="str">
        <f ca="1">IFERROR(IF(VLOOKUP(C1166,' Disaggregation - Section E '!A$316:T895,20,0)=0,"",VLOOKUP(C1166,' Disaggregation - Section E '!A$316:T895,20,0)),"")</f>
        <v/>
      </c>
      <c r="N1166" s="171" t="str">
        <f ca="1">IFERROR(IF(VLOOKUP(C1166,' Disaggregation - Section E '!A$316:N895,9,0)=0,"",VLOOKUP(C1166,' Disaggregation - Section E '!A$316:N895,9,0)),"")</f>
        <v/>
      </c>
      <c r="O1166" s="171" t="str">
        <f ca="1">IFERROR(IF(VLOOKUP(C1166,' Disaggregation - Section E '!A$315:N895,10,0)=0,"",VLOOKUP(C1166,' Disaggregation - Section E '!A$316:N895,10,0)),"")</f>
        <v/>
      </c>
    </row>
    <row r="1167" spans="1:15">
      <c r="A1167" s="166" t="b">
        <f t="shared" ca="1" si="141"/>
        <v>0</v>
      </c>
      <c r="B1167" s="166"/>
      <c r="C1167" s="172" t="str">
        <f ca="1">IF(COUNTA(D$885:D1167)=1,"",OFFSET(C1167,-COUNTA(D$885:D1167)+1,0))</f>
        <v>a1V3p000006h2xqEAA</v>
      </c>
      <c r="D1167" s="177"/>
      <c r="E1167" s="168" t="str">
        <f ca="1">IFERROR(IF(VLOOKUP(C1167,' Disaggregation - Section E '!A$316:N896,7,0)="","",VLOOKUP(C1167,' Disaggregation - Section E '!A$316:N896,7,0)*100),"")</f>
        <v/>
      </c>
      <c r="F1167" s="166"/>
      <c r="G1167" s="170" t="str">
        <f ca="1">IFERROR(IF(VLOOKUP(C1167,' Disaggregation - Section E '!A$316:N896,6,0)="","",VLOOKUP(C1167,' Disaggregation - Section E '!A$316:N896,6,0)),"")</f>
        <v/>
      </c>
      <c r="H1167" s="177" t="str">
        <f ca="1">IFERROR(IF(INDEX(' Disaggregation - Section E '!F$313:F896,MATCH(C1167,' Disaggregation - Section E '!A$313:A896,0)+1,1)&lt;&gt;0,INDEX(' Disaggregation - Section E '!F$313:F896,MATCH(C1167,' Disaggregation - Section E '!A$313:A896,0)+1,1),""),"")</f>
        <v/>
      </c>
      <c r="I1167" s="171" t="str">
        <f ca="1">IFERROR(IF(VLOOKUP(C1167,' Disaggregation - Section E '!A$316:N896,8,0)=0,"",VLOOKUP(C1167,' Disaggregation - Section E '!A$316:N896,8,0)),"")</f>
        <v/>
      </c>
      <c r="J1167" s="171" t="str">
        <f ca="1">IFERROR(IF(VLOOKUP(C1167,' Disaggregation - Section E '!A$316:N896,13,0)=0,"",VLOOKUP(C1167,' Disaggregation - Section E '!A$316:N896,13,0)),"")</f>
        <v/>
      </c>
      <c r="K1167" s="166" t="str">
        <f ca="1">IFERROR(VLOOKUP(C1167,' Disaggregation - Section E '!A$316:N896,3,0),"")</f>
        <v/>
      </c>
      <c r="L1167" s="171" t="str">
        <f ca="1">IFERROR(IF(VLOOKUP(C1167,' Disaggregation - Section E '!A$316:N896,14,0)=0,"",VLOOKUP(C1167,' Disaggregation - Section E '!A$316:N896,14,0)),"")</f>
        <v/>
      </c>
      <c r="M1167" s="166" t="str">
        <f ca="1">IFERROR(IF(VLOOKUP(C1167,' Disaggregation - Section E '!A$316:T896,20,0)=0,"",VLOOKUP(C1167,' Disaggregation - Section E '!A$316:T896,20,0)),"")</f>
        <v/>
      </c>
      <c r="N1167" s="171" t="str">
        <f ca="1">IFERROR(IF(VLOOKUP(C1167,' Disaggregation - Section E '!A$316:N896,9,0)=0,"",VLOOKUP(C1167,' Disaggregation - Section E '!A$316:N896,9,0)),"")</f>
        <v/>
      </c>
      <c r="O1167" s="171" t="str">
        <f ca="1">IFERROR(IF(VLOOKUP(C1167,' Disaggregation - Section E '!A$315:N896,10,0)=0,"",VLOOKUP(C1167,' Disaggregation - Section E '!A$316:N896,10,0)),"")</f>
        <v/>
      </c>
    </row>
    <row r="1168" spans="1:15">
      <c r="A1168" s="166" t="b">
        <f t="shared" ca="1" si="141"/>
        <v>0</v>
      </c>
      <c r="B1168" s="166"/>
      <c r="C1168" s="172" t="str">
        <f ca="1">IF(COUNTA(D$885:D1168)=1,"",OFFSET(C1168,-COUNTA(D$885:D1168)+1,0))</f>
        <v>a1V3p000006h2xrEAA</v>
      </c>
      <c r="D1168" s="177"/>
      <c r="E1168" s="168" t="str">
        <f ca="1">IFERROR(IF(VLOOKUP(C1168,' Disaggregation - Section E '!A$316:N897,7,0)="","",VLOOKUP(C1168,' Disaggregation - Section E '!A$316:N897,7,0)*100),"")</f>
        <v/>
      </c>
      <c r="F1168" s="166"/>
      <c r="G1168" s="170" t="str">
        <f ca="1">IFERROR(IF(VLOOKUP(C1168,' Disaggregation - Section E '!A$316:N897,6,0)="","",VLOOKUP(C1168,' Disaggregation - Section E '!A$316:N897,6,0)),"")</f>
        <v/>
      </c>
      <c r="H1168" s="177" t="str">
        <f ca="1">IFERROR(IF(INDEX(' Disaggregation - Section E '!F$313:F897,MATCH(C1168,' Disaggregation - Section E '!A$313:A897,0)+1,1)&lt;&gt;0,INDEX(' Disaggregation - Section E '!F$313:F897,MATCH(C1168,' Disaggregation - Section E '!A$313:A897,0)+1,1),""),"")</f>
        <v/>
      </c>
      <c r="I1168" s="171" t="str">
        <f ca="1">IFERROR(IF(VLOOKUP(C1168,' Disaggregation - Section E '!A$316:N897,8,0)=0,"",VLOOKUP(C1168,' Disaggregation - Section E '!A$316:N897,8,0)),"")</f>
        <v/>
      </c>
      <c r="J1168" s="171" t="str">
        <f ca="1">IFERROR(IF(VLOOKUP(C1168,' Disaggregation - Section E '!A$316:N897,13,0)=0,"",VLOOKUP(C1168,' Disaggregation - Section E '!A$316:N897,13,0)),"")</f>
        <v/>
      </c>
      <c r="K1168" s="166" t="str">
        <f ca="1">IFERROR(VLOOKUP(C1168,' Disaggregation - Section E '!A$316:N897,3,0),"")</f>
        <v/>
      </c>
      <c r="L1168" s="171" t="str">
        <f ca="1">IFERROR(IF(VLOOKUP(C1168,' Disaggregation - Section E '!A$316:N897,14,0)=0,"",VLOOKUP(C1168,' Disaggregation - Section E '!A$316:N897,14,0)),"")</f>
        <v/>
      </c>
      <c r="M1168" s="166" t="str">
        <f ca="1">IFERROR(IF(VLOOKUP(C1168,' Disaggregation - Section E '!A$316:T897,20,0)=0,"",VLOOKUP(C1168,' Disaggregation - Section E '!A$316:T897,20,0)),"")</f>
        <v/>
      </c>
      <c r="N1168" s="171" t="str">
        <f ca="1">IFERROR(IF(VLOOKUP(C1168,' Disaggregation - Section E '!A$316:N897,9,0)=0,"",VLOOKUP(C1168,' Disaggregation - Section E '!A$316:N897,9,0)),"")</f>
        <v/>
      </c>
      <c r="O1168" s="171" t="str">
        <f ca="1">IFERROR(IF(VLOOKUP(C1168,' Disaggregation - Section E '!A$315:N897,10,0)=0,"",VLOOKUP(C1168,' Disaggregation - Section E '!A$316:N897,10,0)),"")</f>
        <v/>
      </c>
    </row>
    <row r="1169" spans="1:15">
      <c r="A1169" s="166" t="b">
        <f t="shared" ca="1" si="141"/>
        <v>0</v>
      </c>
      <c r="B1169" s="166"/>
      <c r="C1169" s="172" t="str">
        <f ca="1">IF(COUNTA(D$885:D1169)=1,"",OFFSET(C1169,-COUNTA(D$885:D1169)+1,0))</f>
        <v>a1V3p000006h2xsEAA</v>
      </c>
      <c r="D1169" s="177"/>
      <c r="E1169" s="168" t="str">
        <f ca="1">IFERROR(IF(VLOOKUP(C1169,' Disaggregation - Section E '!A$316:N898,7,0)="","",VLOOKUP(C1169,' Disaggregation - Section E '!A$316:N898,7,0)*100),"")</f>
        <v/>
      </c>
      <c r="F1169" s="166"/>
      <c r="G1169" s="170" t="str">
        <f ca="1">IFERROR(IF(VLOOKUP(C1169,' Disaggregation - Section E '!A$316:N898,6,0)="","",VLOOKUP(C1169,' Disaggregation - Section E '!A$316:N898,6,0)),"")</f>
        <v/>
      </c>
      <c r="H1169" s="177" t="str">
        <f ca="1">IFERROR(IF(INDEX(' Disaggregation - Section E '!F$313:F898,MATCH(C1169,' Disaggregation - Section E '!A$313:A898,0)+1,1)&lt;&gt;0,INDEX(' Disaggregation - Section E '!F$313:F898,MATCH(C1169,' Disaggregation - Section E '!A$313:A898,0)+1,1),""),"")</f>
        <v/>
      </c>
      <c r="I1169" s="171" t="str">
        <f ca="1">IFERROR(IF(VLOOKUP(C1169,' Disaggregation - Section E '!A$316:N898,8,0)=0,"",VLOOKUP(C1169,' Disaggregation - Section E '!A$316:N898,8,0)),"")</f>
        <v/>
      </c>
      <c r="J1169" s="171" t="str">
        <f ca="1">IFERROR(IF(VLOOKUP(C1169,' Disaggregation - Section E '!A$316:N898,13,0)=0,"",VLOOKUP(C1169,' Disaggregation - Section E '!A$316:N898,13,0)),"")</f>
        <v/>
      </c>
      <c r="K1169" s="166" t="str">
        <f ca="1">IFERROR(VLOOKUP(C1169,' Disaggregation - Section E '!A$316:N898,3,0),"")</f>
        <v/>
      </c>
      <c r="L1169" s="171" t="str">
        <f ca="1">IFERROR(IF(VLOOKUP(C1169,' Disaggregation - Section E '!A$316:N898,14,0)=0,"",VLOOKUP(C1169,' Disaggregation - Section E '!A$316:N898,14,0)),"")</f>
        <v/>
      </c>
      <c r="M1169" s="166" t="str">
        <f ca="1">IFERROR(IF(VLOOKUP(C1169,' Disaggregation - Section E '!A$316:T898,20,0)=0,"",VLOOKUP(C1169,' Disaggregation - Section E '!A$316:T898,20,0)),"")</f>
        <v/>
      </c>
      <c r="N1169" s="171" t="str">
        <f ca="1">IFERROR(IF(VLOOKUP(C1169,' Disaggregation - Section E '!A$316:N898,9,0)=0,"",VLOOKUP(C1169,' Disaggregation - Section E '!A$316:N898,9,0)),"")</f>
        <v/>
      </c>
      <c r="O1169" s="171" t="str">
        <f ca="1">IFERROR(IF(VLOOKUP(C1169,' Disaggregation - Section E '!A$315:N898,10,0)=0,"",VLOOKUP(C1169,' Disaggregation - Section E '!A$316:N898,10,0)),"")</f>
        <v/>
      </c>
    </row>
    <row r="1170" spans="1:15">
      <c r="A1170" s="166" t="b">
        <f t="shared" ca="1" si="141"/>
        <v>0</v>
      </c>
      <c r="B1170" s="166"/>
      <c r="C1170" s="172" t="str">
        <f ca="1">IF(COUNTA(D$885:D1170)=1,"",OFFSET(C1170,-COUNTA(D$885:D1170)+1,0))</f>
        <v>a1V3p000006h2xtEAA</v>
      </c>
      <c r="D1170" s="177"/>
      <c r="E1170" s="168" t="str">
        <f ca="1">IFERROR(IF(VLOOKUP(C1170,' Disaggregation - Section E '!A$316:N899,7,0)="","",VLOOKUP(C1170,' Disaggregation - Section E '!A$316:N899,7,0)*100),"")</f>
        <v/>
      </c>
      <c r="F1170" s="166"/>
      <c r="G1170" s="170" t="str">
        <f ca="1">IFERROR(IF(VLOOKUP(C1170,' Disaggregation - Section E '!A$316:N899,6,0)="","",VLOOKUP(C1170,' Disaggregation - Section E '!A$316:N899,6,0)),"")</f>
        <v/>
      </c>
      <c r="H1170" s="177" t="str">
        <f ca="1">IFERROR(IF(INDEX(' Disaggregation - Section E '!F$313:F899,MATCH(C1170,' Disaggregation - Section E '!A$313:A899,0)+1,1)&lt;&gt;0,INDEX(' Disaggregation - Section E '!F$313:F899,MATCH(C1170,' Disaggregation - Section E '!A$313:A899,0)+1,1),""),"")</f>
        <v/>
      </c>
      <c r="I1170" s="171" t="str">
        <f ca="1">IFERROR(IF(VLOOKUP(C1170,' Disaggregation - Section E '!A$316:N899,8,0)=0,"",VLOOKUP(C1170,' Disaggregation - Section E '!A$316:N899,8,0)),"")</f>
        <v/>
      </c>
      <c r="J1170" s="171" t="str">
        <f ca="1">IFERROR(IF(VLOOKUP(C1170,' Disaggregation - Section E '!A$316:N899,13,0)=0,"",VLOOKUP(C1170,' Disaggregation - Section E '!A$316:N899,13,0)),"")</f>
        <v/>
      </c>
      <c r="K1170" s="166" t="str">
        <f ca="1">IFERROR(VLOOKUP(C1170,' Disaggregation - Section E '!A$316:N899,3,0),"")</f>
        <v/>
      </c>
      <c r="L1170" s="171" t="str">
        <f ca="1">IFERROR(IF(VLOOKUP(C1170,' Disaggregation - Section E '!A$316:N899,14,0)=0,"",VLOOKUP(C1170,' Disaggregation - Section E '!A$316:N899,14,0)),"")</f>
        <v/>
      </c>
      <c r="M1170" s="166" t="str">
        <f ca="1">IFERROR(IF(VLOOKUP(C1170,' Disaggregation - Section E '!A$316:T899,20,0)=0,"",VLOOKUP(C1170,' Disaggregation - Section E '!A$316:T899,20,0)),"")</f>
        <v/>
      </c>
      <c r="N1170" s="171" t="str">
        <f ca="1">IFERROR(IF(VLOOKUP(C1170,' Disaggregation - Section E '!A$316:N899,9,0)=0,"",VLOOKUP(C1170,' Disaggregation - Section E '!A$316:N899,9,0)),"")</f>
        <v/>
      </c>
      <c r="O1170" s="171" t="str">
        <f ca="1">IFERROR(IF(VLOOKUP(C1170,' Disaggregation - Section E '!A$315:N899,10,0)=0,"",VLOOKUP(C1170,' Disaggregation - Section E '!A$316:N899,10,0)),"")</f>
        <v/>
      </c>
    </row>
    <row r="1171" spans="1:15">
      <c r="A1171" s="166" t="b">
        <f t="shared" ca="1" si="141"/>
        <v>0</v>
      </c>
      <c r="B1171" s="166"/>
      <c r="C1171" s="172" t="str">
        <f ca="1">IF(COUNTA(D$885:D1171)=1,"",OFFSET(C1171,-COUNTA(D$885:D1171)+1,0))</f>
        <v>a1V3p000006h2xuEAA</v>
      </c>
      <c r="D1171" s="177"/>
      <c r="E1171" s="168" t="str">
        <f ca="1">IFERROR(IF(VLOOKUP(C1171,' Disaggregation - Section E '!A$316:N900,7,0)="","",VLOOKUP(C1171,' Disaggregation - Section E '!A$316:N900,7,0)*100),"")</f>
        <v/>
      </c>
      <c r="F1171" s="166"/>
      <c r="G1171" s="170" t="str">
        <f ca="1">IFERROR(IF(VLOOKUP(C1171,' Disaggregation - Section E '!A$316:N900,6,0)="","",VLOOKUP(C1171,' Disaggregation - Section E '!A$316:N900,6,0)),"")</f>
        <v/>
      </c>
      <c r="H1171" s="177" t="str">
        <f ca="1">IFERROR(IF(INDEX(' Disaggregation - Section E '!F$313:F900,MATCH(C1171,' Disaggregation - Section E '!A$313:A900,0)+1,1)&lt;&gt;0,INDEX(' Disaggregation - Section E '!F$313:F900,MATCH(C1171,' Disaggregation - Section E '!A$313:A900,0)+1,1),""),"")</f>
        <v/>
      </c>
      <c r="I1171" s="171" t="str">
        <f ca="1">IFERROR(IF(VLOOKUP(C1171,' Disaggregation - Section E '!A$316:N900,8,0)=0,"",VLOOKUP(C1171,' Disaggregation - Section E '!A$316:N900,8,0)),"")</f>
        <v/>
      </c>
      <c r="J1171" s="171" t="str">
        <f ca="1">IFERROR(IF(VLOOKUP(C1171,' Disaggregation - Section E '!A$316:N900,13,0)=0,"",VLOOKUP(C1171,' Disaggregation - Section E '!A$316:N900,13,0)),"")</f>
        <v/>
      </c>
      <c r="K1171" s="166" t="str">
        <f ca="1">IFERROR(VLOOKUP(C1171,' Disaggregation - Section E '!A$316:N900,3,0),"")</f>
        <v/>
      </c>
      <c r="L1171" s="171" t="str">
        <f ca="1">IFERROR(IF(VLOOKUP(C1171,' Disaggregation - Section E '!A$316:N900,14,0)=0,"",VLOOKUP(C1171,' Disaggregation - Section E '!A$316:N900,14,0)),"")</f>
        <v/>
      </c>
      <c r="M1171" s="166" t="str">
        <f ca="1">IFERROR(IF(VLOOKUP(C1171,' Disaggregation - Section E '!A$316:T900,20,0)=0,"",VLOOKUP(C1171,' Disaggregation - Section E '!A$316:T900,20,0)),"")</f>
        <v/>
      </c>
      <c r="N1171" s="171" t="str">
        <f ca="1">IFERROR(IF(VLOOKUP(C1171,' Disaggregation - Section E '!A$316:N900,9,0)=0,"",VLOOKUP(C1171,' Disaggregation - Section E '!A$316:N900,9,0)),"")</f>
        <v/>
      </c>
      <c r="O1171" s="171" t="str">
        <f ca="1">IFERROR(IF(VLOOKUP(C1171,' Disaggregation - Section E '!A$315:N900,10,0)=0,"",VLOOKUP(C1171,' Disaggregation - Section E '!A$316:N900,10,0)),"")</f>
        <v/>
      </c>
    </row>
    <row r="1172" spans="1:15">
      <c r="A1172" s="166" t="b">
        <f t="shared" ca="1" si="141"/>
        <v>0</v>
      </c>
      <c r="B1172" s="166"/>
      <c r="C1172" s="172" t="str">
        <f ca="1">IF(COUNTA(D$885:D1172)=1,"",OFFSET(C1172,-COUNTA(D$885:D1172)+1,0))</f>
        <v>a1V3p000006h2xvEAA</v>
      </c>
      <c r="D1172" s="177"/>
      <c r="E1172" s="168" t="str">
        <f ca="1">IFERROR(IF(VLOOKUP(C1172,' Disaggregation - Section E '!A$316:N901,7,0)="","",VLOOKUP(C1172,' Disaggregation - Section E '!A$316:N901,7,0)*100),"")</f>
        <v/>
      </c>
      <c r="F1172" s="166"/>
      <c r="G1172" s="170" t="str">
        <f ca="1">IFERROR(IF(VLOOKUP(C1172,' Disaggregation - Section E '!A$316:N901,6,0)="","",VLOOKUP(C1172,' Disaggregation - Section E '!A$316:N901,6,0)),"")</f>
        <v/>
      </c>
      <c r="H1172" s="177" t="str">
        <f ca="1">IFERROR(IF(INDEX(' Disaggregation - Section E '!F$313:F901,MATCH(C1172,' Disaggregation - Section E '!A$313:A901,0)+1,1)&lt;&gt;0,INDEX(' Disaggregation - Section E '!F$313:F901,MATCH(C1172,' Disaggregation - Section E '!A$313:A901,0)+1,1),""),"")</f>
        <v/>
      </c>
      <c r="I1172" s="171" t="str">
        <f ca="1">IFERROR(IF(VLOOKUP(C1172,' Disaggregation - Section E '!A$316:N901,8,0)=0,"",VLOOKUP(C1172,' Disaggregation - Section E '!A$316:N901,8,0)),"")</f>
        <v/>
      </c>
      <c r="J1172" s="171" t="str">
        <f ca="1">IFERROR(IF(VLOOKUP(C1172,' Disaggregation - Section E '!A$316:N901,13,0)=0,"",VLOOKUP(C1172,' Disaggregation - Section E '!A$316:N901,13,0)),"")</f>
        <v/>
      </c>
      <c r="K1172" s="166" t="str">
        <f ca="1">IFERROR(VLOOKUP(C1172,' Disaggregation - Section E '!A$316:N901,3,0),"")</f>
        <v/>
      </c>
      <c r="L1172" s="171" t="str">
        <f ca="1">IFERROR(IF(VLOOKUP(C1172,' Disaggregation - Section E '!A$316:N901,14,0)=0,"",VLOOKUP(C1172,' Disaggregation - Section E '!A$316:N901,14,0)),"")</f>
        <v/>
      </c>
      <c r="M1172" s="166" t="str">
        <f ca="1">IFERROR(IF(VLOOKUP(C1172,' Disaggregation - Section E '!A$316:T901,20,0)=0,"",VLOOKUP(C1172,' Disaggregation - Section E '!A$316:T901,20,0)),"")</f>
        <v/>
      </c>
      <c r="N1172" s="171" t="str">
        <f ca="1">IFERROR(IF(VLOOKUP(C1172,' Disaggregation - Section E '!A$316:N901,9,0)=0,"",VLOOKUP(C1172,' Disaggregation - Section E '!A$316:N901,9,0)),"")</f>
        <v/>
      </c>
      <c r="O1172" s="171" t="str">
        <f ca="1">IFERROR(IF(VLOOKUP(C1172,' Disaggregation - Section E '!A$315:N901,10,0)=0,"",VLOOKUP(C1172,' Disaggregation - Section E '!A$316:N901,10,0)),"")</f>
        <v/>
      </c>
    </row>
    <row r="1173" spans="1:15">
      <c r="A1173" s="166" t="b">
        <f t="shared" ca="1" si="141"/>
        <v>0</v>
      </c>
      <c r="B1173" s="166"/>
      <c r="C1173" s="172" t="str">
        <f ca="1">IF(COUNTA(D$885:D1173)=1,"",OFFSET(C1173,-COUNTA(D$885:D1173)+1,0))</f>
        <v>a1V3p000006h2xwEAA</v>
      </c>
      <c r="D1173" s="177"/>
      <c r="E1173" s="168" t="str">
        <f ca="1">IFERROR(IF(VLOOKUP(C1173,' Disaggregation - Section E '!A$316:N902,7,0)="","",VLOOKUP(C1173,' Disaggregation - Section E '!A$316:N902,7,0)*100),"")</f>
        <v/>
      </c>
      <c r="F1173" s="166"/>
      <c r="G1173" s="170" t="str">
        <f ca="1">IFERROR(IF(VLOOKUP(C1173,' Disaggregation - Section E '!A$316:N902,6,0)="","",VLOOKUP(C1173,' Disaggregation - Section E '!A$316:N902,6,0)),"")</f>
        <v/>
      </c>
      <c r="H1173" s="177" t="str">
        <f ca="1">IFERROR(IF(INDEX(' Disaggregation - Section E '!F$313:F902,MATCH(C1173,' Disaggregation - Section E '!A$313:A902,0)+1,1)&lt;&gt;0,INDEX(' Disaggregation - Section E '!F$313:F902,MATCH(C1173,' Disaggregation - Section E '!A$313:A902,0)+1,1),""),"")</f>
        <v/>
      </c>
      <c r="I1173" s="171" t="str">
        <f ca="1">IFERROR(IF(VLOOKUP(C1173,' Disaggregation - Section E '!A$316:N902,8,0)=0,"",VLOOKUP(C1173,' Disaggregation - Section E '!A$316:N902,8,0)),"")</f>
        <v/>
      </c>
      <c r="J1173" s="171" t="str">
        <f ca="1">IFERROR(IF(VLOOKUP(C1173,' Disaggregation - Section E '!A$316:N902,13,0)=0,"",VLOOKUP(C1173,' Disaggregation - Section E '!A$316:N902,13,0)),"")</f>
        <v/>
      </c>
      <c r="K1173" s="166" t="str">
        <f ca="1">IFERROR(VLOOKUP(C1173,' Disaggregation - Section E '!A$316:N902,3,0),"")</f>
        <v/>
      </c>
      <c r="L1173" s="171" t="str">
        <f ca="1">IFERROR(IF(VLOOKUP(C1173,' Disaggregation - Section E '!A$316:N902,14,0)=0,"",VLOOKUP(C1173,' Disaggregation - Section E '!A$316:N902,14,0)),"")</f>
        <v/>
      </c>
      <c r="M1173" s="166" t="str">
        <f ca="1">IFERROR(IF(VLOOKUP(C1173,' Disaggregation - Section E '!A$316:T902,20,0)=0,"",VLOOKUP(C1173,' Disaggregation - Section E '!A$316:T902,20,0)),"")</f>
        <v/>
      </c>
      <c r="N1173" s="171" t="str">
        <f ca="1">IFERROR(IF(VLOOKUP(C1173,' Disaggregation - Section E '!A$316:N902,9,0)=0,"",VLOOKUP(C1173,' Disaggregation - Section E '!A$316:N902,9,0)),"")</f>
        <v/>
      </c>
      <c r="O1173" s="171" t="str">
        <f ca="1">IFERROR(IF(VLOOKUP(C1173,' Disaggregation - Section E '!A$315:N902,10,0)=0,"",VLOOKUP(C1173,' Disaggregation - Section E '!A$316:N902,10,0)),"")</f>
        <v/>
      </c>
    </row>
    <row r="1174" spans="1:15">
      <c r="A1174" s="166" t="b">
        <f t="shared" ca="1" si="141"/>
        <v>0</v>
      </c>
      <c r="B1174" s="166"/>
      <c r="C1174" s="172" t="str">
        <f ca="1">IF(COUNTA(D$885:D1174)=1,"",OFFSET(C1174,-COUNTA(D$885:D1174)+1,0))</f>
        <v>a1V3p000006h2xxEAA</v>
      </c>
      <c r="D1174" s="177"/>
      <c r="E1174" s="168" t="str">
        <f ca="1">IFERROR(IF(VLOOKUP(C1174,' Disaggregation - Section E '!A$316:N903,7,0)="","",VLOOKUP(C1174,' Disaggregation - Section E '!A$316:N903,7,0)*100),"")</f>
        <v/>
      </c>
      <c r="F1174" s="166"/>
      <c r="G1174" s="170" t="str">
        <f ca="1">IFERROR(IF(VLOOKUP(C1174,' Disaggregation - Section E '!A$316:N903,6,0)="","",VLOOKUP(C1174,' Disaggregation - Section E '!A$316:N903,6,0)),"")</f>
        <v/>
      </c>
      <c r="H1174" s="177" t="str">
        <f ca="1">IFERROR(IF(INDEX(' Disaggregation - Section E '!F$313:F903,MATCH(C1174,' Disaggregation - Section E '!A$313:A903,0)+1,1)&lt;&gt;0,INDEX(' Disaggregation - Section E '!F$313:F903,MATCH(C1174,' Disaggregation - Section E '!A$313:A903,0)+1,1),""),"")</f>
        <v/>
      </c>
      <c r="I1174" s="171" t="str">
        <f ca="1">IFERROR(IF(VLOOKUP(C1174,' Disaggregation - Section E '!A$316:N903,8,0)=0,"",VLOOKUP(C1174,' Disaggregation - Section E '!A$316:N903,8,0)),"")</f>
        <v/>
      </c>
      <c r="J1174" s="171" t="str">
        <f ca="1">IFERROR(IF(VLOOKUP(C1174,' Disaggregation - Section E '!A$316:N903,13,0)=0,"",VLOOKUP(C1174,' Disaggregation - Section E '!A$316:N903,13,0)),"")</f>
        <v/>
      </c>
      <c r="K1174" s="166" t="str">
        <f ca="1">IFERROR(VLOOKUP(C1174,' Disaggregation - Section E '!A$316:N903,3,0),"")</f>
        <v/>
      </c>
      <c r="L1174" s="171" t="str">
        <f ca="1">IFERROR(IF(VLOOKUP(C1174,' Disaggregation - Section E '!A$316:N903,14,0)=0,"",VLOOKUP(C1174,' Disaggregation - Section E '!A$316:N903,14,0)),"")</f>
        <v/>
      </c>
      <c r="M1174" s="166" t="str">
        <f ca="1">IFERROR(IF(VLOOKUP(C1174,' Disaggregation - Section E '!A$316:T903,20,0)=0,"",VLOOKUP(C1174,' Disaggregation - Section E '!A$316:T903,20,0)),"")</f>
        <v/>
      </c>
      <c r="N1174" s="171" t="str">
        <f ca="1">IFERROR(IF(VLOOKUP(C1174,' Disaggregation - Section E '!A$316:N903,9,0)=0,"",VLOOKUP(C1174,' Disaggregation - Section E '!A$316:N903,9,0)),"")</f>
        <v/>
      </c>
      <c r="O1174" s="171" t="str">
        <f ca="1">IFERROR(IF(VLOOKUP(C1174,' Disaggregation - Section E '!A$315:N903,10,0)=0,"",VLOOKUP(C1174,' Disaggregation - Section E '!A$316:N903,10,0)),"")</f>
        <v/>
      </c>
    </row>
    <row r="1175" spans="1:15">
      <c r="A1175" s="166" t="b">
        <f t="shared" ca="1" si="141"/>
        <v>0</v>
      </c>
      <c r="B1175" s="166"/>
      <c r="C1175" s="172" t="str">
        <f ca="1">IF(COUNTA(D$885:D1175)=1,"",OFFSET(C1175,-COUNTA(D$885:D1175)+1,0))</f>
        <v>a1V3p000006h2xyEAA</v>
      </c>
      <c r="D1175" s="177"/>
      <c r="E1175" s="168" t="str">
        <f ca="1">IFERROR(IF(VLOOKUP(C1175,' Disaggregation - Section E '!A$316:N904,7,0)="","",VLOOKUP(C1175,' Disaggregation - Section E '!A$316:N904,7,0)*100),"")</f>
        <v/>
      </c>
      <c r="F1175" s="166"/>
      <c r="G1175" s="170" t="str">
        <f ca="1">IFERROR(IF(VLOOKUP(C1175,' Disaggregation - Section E '!A$316:N904,6,0)="","",VLOOKUP(C1175,' Disaggregation - Section E '!A$316:N904,6,0)),"")</f>
        <v/>
      </c>
      <c r="H1175" s="177" t="str">
        <f ca="1">IFERROR(IF(INDEX(' Disaggregation - Section E '!F$313:F904,MATCH(C1175,' Disaggregation - Section E '!A$313:A904,0)+1,1)&lt;&gt;0,INDEX(' Disaggregation - Section E '!F$313:F904,MATCH(C1175,' Disaggregation - Section E '!A$313:A904,0)+1,1),""),"")</f>
        <v/>
      </c>
      <c r="I1175" s="171" t="str">
        <f ca="1">IFERROR(IF(VLOOKUP(C1175,' Disaggregation - Section E '!A$316:N904,8,0)=0,"",VLOOKUP(C1175,' Disaggregation - Section E '!A$316:N904,8,0)),"")</f>
        <v/>
      </c>
      <c r="J1175" s="171" t="str">
        <f ca="1">IFERROR(IF(VLOOKUP(C1175,' Disaggregation - Section E '!A$316:N904,13,0)=0,"",VLOOKUP(C1175,' Disaggregation - Section E '!A$316:N904,13,0)),"")</f>
        <v/>
      </c>
      <c r="K1175" s="166" t="str">
        <f ca="1">IFERROR(VLOOKUP(C1175,' Disaggregation - Section E '!A$316:N904,3,0),"")</f>
        <v/>
      </c>
      <c r="L1175" s="171" t="str">
        <f ca="1">IFERROR(IF(VLOOKUP(C1175,' Disaggregation - Section E '!A$316:N904,14,0)=0,"",VLOOKUP(C1175,' Disaggregation - Section E '!A$316:N904,14,0)),"")</f>
        <v/>
      </c>
      <c r="M1175" s="166" t="str">
        <f ca="1">IFERROR(IF(VLOOKUP(C1175,' Disaggregation - Section E '!A$316:T904,20,0)=0,"",VLOOKUP(C1175,' Disaggregation - Section E '!A$316:T904,20,0)),"")</f>
        <v/>
      </c>
      <c r="N1175" s="171" t="str">
        <f ca="1">IFERROR(IF(VLOOKUP(C1175,' Disaggregation - Section E '!A$316:N904,9,0)=0,"",VLOOKUP(C1175,' Disaggregation - Section E '!A$316:N904,9,0)),"")</f>
        <v/>
      </c>
      <c r="O1175" s="171" t="str">
        <f ca="1">IFERROR(IF(VLOOKUP(C1175,' Disaggregation - Section E '!A$315:N904,10,0)=0,"",VLOOKUP(C1175,' Disaggregation - Section E '!A$316:N904,10,0)),"")</f>
        <v/>
      </c>
    </row>
    <row r="1176" spans="1:15">
      <c r="A1176" s="166" t="b">
        <f t="shared" ca="1" si="141"/>
        <v>0</v>
      </c>
      <c r="B1176" s="166"/>
      <c r="C1176" s="172" t="str">
        <f ca="1">IF(COUNTA(D$885:D1176)=1,"",OFFSET(C1176,-COUNTA(D$885:D1176)+1,0))</f>
        <v>a1V3p000006h2xzEAA</v>
      </c>
      <c r="D1176" s="177"/>
      <c r="E1176" s="168" t="str">
        <f ca="1">IFERROR(IF(VLOOKUP(C1176,' Disaggregation - Section E '!A$316:N905,7,0)="","",VLOOKUP(C1176,' Disaggregation - Section E '!A$316:N905,7,0)*100),"")</f>
        <v/>
      </c>
      <c r="F1176" s="166"/>
      <c r="G1176" s="170" t="str">
        <f ca="1">IFERROR(IF(VLOOKUP(C1176,' Disaggregation - Section E '!A$316:N905,6,0)="","",VLOOKUP(C1176,' Disaggregation - Section E '!A$316:N905,6,0)),"")</f>
        <v/>
      </c>
      <c r="H1176" s="177" t="str">
        <f ca="1">IFERROR(IF(INDEX(' Disaggregation - Section E '!F$313:F905,MATCH(C1176,' Disaggregation - Section E '!A$313:A905,0)+1,1)&lt;&gt;0,INDEX(' Disaggregation - Section E '!F$313:F905,MATCH(C1176,' Disaggregation - Section E '!A$313:A905,0)+1,1),""),"")</f>
        <v/>
      </c>
      <c r="I1176" s="171" t="str">
        <f ca="1">IFERROR(IF(VLOOKUP(C1176,' Disaggregation - Section E '!A$316:N905,8,0)=0,"",VLOOKUP(C1176,' Disaggregation - Section E '!A$316:N905,8,0)),"")</f>
        <v/>
      </c>
      <c r="J1176" s="171" t="str">
        <f ca="1">IFERROR(IF(VLOOKUP(C1176,' Disaggregation - Section E '!A$316:N905,13,0)=0,"",VLOOKUP(C1176,' Disaggregation - Section E '!A$316:N905,13,0)),"")</f>
        <v/>
      </c>
      <c r="K1176" s="166" t="str">
        <f ca="1">IFERROR(VLOOKUP(C1176,' Disaggregation - Section E '!A$316:N905,3,0),"")</f>
        <v/>
      </c>
      <c r="L1176" s="171" t="str">
        <f ca="1">IFERROR(IF(VLOOKUP(C1176,' Disaggregation - Section E '!A$316:N905,14,0)=0,"",VLOOKUP(C1176,' Disaggregation - Section E '!A$316:N905,14,0)),"")</f>
        <v/>
      </c>
      <c r="M1176" s="166" t="str">
        <f ca="1">IFERROR(IF(VLOOKUP(C1176,' Disaggregation - Section E '!A$316:T905,20,0)=0,"",VLOOKUP(C1176,' Disaggregation - Section E '!A$316:T905,20,0)),"")</f>
        <v/>
      </c>
      <c r="N1176" s="171" t="str">
        <f ca="1">IFERROR(IF(VLOOKUP(C1176,' Disaggregation - Section E '!A$316:N905,9,0)=0,"",VLOOKUP(C1176,' Disaggregation - Section E '!A$316:N905,9,0)),"")</f>
        <v/>
      </c>
      <c r="O1176" s="171" t="str">
        <f ca="1">IFERROR(IF(VLOOKUP(C1176,' Disaggregation - Section E '!A$315:N905,10,0)=0,"",VLOOKUP(C1176,' Disaggregation - Section E '!A$316:N905,10,0)),"")</f>
        <v/>
      </c>
    </row>
    <row r="1177" spans="1:15">
      <c r="A1177" s="166" t="b">
        <f t="shared" ca="1" si="141"/>
        <v>0</v>
      </c>
      <c r="B1177" s="166"/>
      <c r="C1177" s="172" t="str">
        <f ca="1">IF(COUNTA(D$885:D1177)=1,"",OFFSET(C1177,-COUNTA(D$885:D1177)+1,0))</f>
        <v>a1V3p000006h2y0EAA</v>
      </c>
      <c r="D1177" s="177"/>
      <c r="E1177" s="168" t="str">
        <f ca="1">IFERROR(IF(VLOOKUP(C1177,' Disaggregation - Section E '!A$316:N906,7,0)="","",VLOOKUP(C1177,' Disaggregation - Section E '!A$316:N906,7,0)*100),"")</f>
        <v/>
      </c>
      <c r="F1177" s="166"/>
      <c r="G1177" s="170" t="str">
        <f ca="1">IFERROR(IF(VLOOKUP(C1177,' Disaggregation - Section E '!A$316:N906,6,0)="","",VLOOKUP(C1177,' Disaggregation - Section E '!A$316:N906,6,0)),"")</f>
        <v/>
      </c>
      <c r="H1177" s="177" t="str">
        <f ca="1">IFERROR(IF(INDEX(' Disaggregation - Section E '!F$313:F906,MATCH(C1177,' Disaggregation - Section E '!A$313:A906,0)+1,1)&lt;&gt;0,INDEX(' Disaggregation - Section E '!F$313:F906,MATCH(C1177,' Disaggregation - Section E '!A$313:A906,0)+1,1),""),"")</f>
        <v/>
      </c>
      <c r="I1177" s="171" t="str">
        <f ca="1">IFERROR(IF(VLOOKUP(C1177,' Disaggregation - Section E '!A$316:N906,8,0)=0,"",VLOOKUP(C1177,' Disaggregation - Section E '!A$316:N906,8,0)),"")</f>
        <v/>
      </c>
      <c r="J1177" s="171" t="str">
        <f ca="1">IFERROR(IF(VLOOKUP(C1177,' Disaggregation - Section E '!A$316:N906,13,0)=0,"",VLOOKUP(C1177,' Disaggregation - Section E '!A$316:N906,13,0)),"")</f>
        <v/>
      </c>
      <c r="K1177" s="166" t="str">
        <f ca="1">IFERROR(VLOOKUP(C1177,' Disaggregation - Section E '!A$316:N906,3,0),"")</f>
        <v/>
      </c>
      <c r="L1177" s="171" t="str">
        <f ca="1">IFERROR(IF(VLOOKUP(C1177,' Disaggregation - Section E '!A$316:N906,14,0)=0,"",VLOOKUP(C1177,' Disaggregation - Section E '!A$316:N906,14,0)),"")</f>
        <v/>
      </c>
      <c r="M1177" s="166" t="str">
        <f ca="1">IFERROR(IF(VLOOKUP(C1177,' Disaggregation - Section E '!A$316:T906,20,0)=0,"",VLOOKUP(C1177,' Disaggregation - Section E '!A$316:T906,20,0)),"")</f>
        <v/>
      </c>
      <c r="N1177" s="171" t="str">
        <f ca="1">IFERROR(IF(VLOOKUP(C1177,' Disaggregation - Section E '!A$316:N906,9,0)=0,"",VLOOKUP(C1177,' Disaggregation - Section E '!A$316:N906,9,0)),"")</f>
        <v/>
      </c>
      <c r="O1177" s="171" t="str">
        <f ca="1">IFERROR(IF(VLOOKUP(C1177,' Disaggregation - Section E '!A$315:N906,10,0)=0,"",VLOOKUP(C1177,' Disaggregation - Section E '!A$316:N906,10,0)),"")</f>
        <v/>
      </c>
    </row>
    <row r="1178" spans="1:15">
      <c r="A1178" s="166" t="b">
        <f t="shared" ca="1" si="141"/>
        <v>0</v>
      </c>
      <c r="B1178" s="166"/>
      <c r="C1178" s="172" t="str">
        <f ca="1">IF(COUNTA(D$885:D1178)=1,"",OFFSET(C1178,-COUNTA(D$885:D1178)+1,0))</f>
        <v>a1V3p000006h2y1EAA</v>
      </c>
      <c r="D1178" s="177"/>
      <c r="E1178" s="168" t="str">
        <f ca="1">IFERROR(IF(VLOOKUP(C1178,' Disaggregation - Section E '!A$316:N907,7,0)="","",VLOOKUP(C1178,' Disaggregation - Section E '!A$316:N907,7,0)*100),"")</f>
        <v/>
      </c>
      <c r="F1178" s="166"/>
      <c r="G1178" s="170" t="str">
        <f ca="1">IFERROR(IF(VLOOKUP(C1178,' Disaggregation - Section E '!A$316:N907,6,0)="","",VLOOKUP(C1178,' Disaggregation - Section E '!A$316:N907,6,0)),"")</f>
        <v/>
      </c>
      <c r="H1178" s="177" t="str">
        <f ca="1">IFERROR(IF(INDEX(' Disaggregation - Section E '!F$313:F907,MATCH(C1178,' Disaggregation - Section E '!A$313:A907,0)+1,1)&lt;&gt;0,INDEX(' Disaggregation - Section E '!F$313:F907,MATCH(C1178,' Disaggregation - Section E '!A$313:A907,0)+1,1),""),"")</f>
        <v/>
      </c>
      <c r="I1178" s="171" t="str">
        <f ca="1">IFERROR(IF(VLOOKUP(C1178,' Disaggregation - Section E '!A$316:N907,8,0)=0,"",VLOOKUP(C1178,' Disaggregation - Section E '!A$316:N907,8,0)),"")</f>
        <v/>
      </c>
      <c r="J1178" s="171" t="str">
        <f ca="1">IFERROR(IF(VLOOKUP(C1178,' Disaggregation - Section E '!A$316:N907,13,0)=0,"",VLOOKUP(C1178,' Disaggregation - Section E '!A$316:N907,13,0)),"")</f>
        <v/>
      </c>
      <c r="K1178" s="166" t="str">
        <f ca="1">IFERROR(VLOOKUP(C1178,' Disaggregation - Section E '!A$316:N907,3,0),"")</f>
        <v/>
      </c>
      <c r="L1178" s="171" t="str">
        <f ca="1">IFERROR(IF(VLOOKUP(C1178,' Disaggregation - Section E '!A$316:N907,14,0)=0,"",VLOOKUP(C1178,' Disaggregation - Section E '!A$316:N907,14,0)),"")</f>
        <v/>
      </c>
      <c r="M1178" s="166" t="str">
        <f ca="1">IFERROR(IF(VLOOKUP(C1178,' Disaggregation - Section E '!A$316:T907,20,0)=0,"",VLOOKUP(C1178,' Disaggregation - Section E '!A$316:T907,20,0)),"")</f>
        <v/>
      </c>
      <c r="N1178" s="171" t="str">
        <f ca="1">IFERROR(IF(VLOOKUP(C1178,' Disaggregation - Section E '!A$316:N907,9,0)=0,"",VLOOKUP(C1178,' Disaggregation - Section E '!A$316:N907,9,0)),"")</f>
        <v/>
      </c>
      <c r="O1178" s="171" t="str">
        <f ca="1">IFERROR(IF(VLOOKUP(C1178,' Disaggregation - Section E '!A$315:N907,10,0)=0,"",VLOOKUP(C1178,' Disaggregation - Section E '!A$316:N907,10,0)),"")</f>
        <v/>
      </c>
    </row>
    <row r="1179" spans="1:15">
      <c r="A1179" s="166" t="b">
        <f t="shared" ca="1" si="141"/>
        <v>0</v>
      </c>
      <c r="B1179" s="166"/>
      <c r="C1179" s="172" t="str">
        <f ca="1">IF(COUNTA(D$885:D1179)=1,"",OFFSET(C1179,-COUNTA(D$885:D1179)+1,0))</f>
        <v>a1V3p000006h2y2EAA</v>
      </c>
      <c r="D1179" s="177"/>
      <c r="E1179" s="168" t="str">
        <f ca="1">IFERROR(IF(VLOOKUP(C1179,' Disaggregation - Section E '!A$316:N908,7,0)="","",VLOOKUP(C1179,' Disaggregation - Section E '!A$316:N908,7,0)*100),"")</f>
        <v/>
      </c>
      <c r="F1179" s="166"/>
      <c r="G1179" s="170" t="str">
        <f ca="1">IFERROR(IF(VLOOKUP(C1179,' Disaggregation - Section E '!A$316:N908,6,0)="","",VLOOKUP(C1179,' Disaggregation - Section E '!A$316:N908,6,0)),"")</f>
        <v/>
      </c>
      <c r="H1179" s="177" t="str">
        <f ca="1">IFERROR(IF(INDEX(' Disaggregation - Section E '!F$313:F908,MATCH(C1179,' Disaggregation - Section E '!A$313:A908,0)+1,1)&lt;&gt;0,INDEX(' Disaggregation - Section E '!F$313:F908,MATCH(C1179,' Disaggregation - Section E '!A$313:A908,0)+1,1),""),"")</f>
        <v/>
      </c>
      <c r="I1179" s="171" t="str">
        <f ca="1">IFERROR(IF(VLOOKUP(C1179,' Disaggregation - Section E '!A$316:N908,8,0)=0,"",VLOOKUP(C1179,' Disaggregation - Section E '!A$316:N908,8,0)),"")</f>
        <v/>
      </c>
      <c r="J1179" s="171" t="str">
        <f ca="1">IFERROR(IF(VLOOKUP(C1179,' Disaggregation - Section E '!A$316:N908,13,0)=0,"",VLOOKUP(C1179,' Disaggregation - Section E '!A$316:N908,13,0)),"")</f>
        <v/>
      </c>
      <c r="K1179" s="166" t="str">
        <f ca="1">IFERROR(VLOOKUP(C1179,' Disaggregation - Section E '!A$316:N908,3,0),"")</f>
        <v/>
      </c>
      <c r="L1179" s="171" t="str">
        <f ca="1">IFERROR(IF(VLOOKUP(C1179,' Disaggregation - Section E '!A$316:N908,14,0)=0,"",VLOOKUP(C1179,' Disaggregation - Section E '!A$316:N908,14,0)),"")</f>
        <v/>
      </c>
      <c r="M1179" s="166" t="str">
        <f ca="1">IFERROR(IF(VLOOKUP(C1179,' Disaggregation - Section E '!A$316:T908,20,0)=0,"",VLOOKUP(C1179,' Disaggregation - Section E '!A$316:T908,20,0)),"")</f>
        <v/>
      </c>
      <c r="N1179" s="171" t="str">
        <f ca="1">IFERROR(IF(VLOOKUP(C1179,' Disaggregation - Section E '!A$316:N908,9,0)=0,"",VLOOKUP(C1179,' Disaggregation - Section E '!A$316:N908,9,0)),"")</f>
        <v/>
      </c>
      <c r="O1179" s="171" t="str">
        <f ca="1">IFERROR(IF(VLOOKUP(C1179,' Disaggregation - Section E '!A$315:N908,10,0)=0,"",VLOOKUP(C1179,' Disaggregation - Section E '!A$316:N908,10,0)),"")</f>
        <v/>
      </c>
    </row>
    <row r="1180" spans="1:15">
      <c r="A1180" s="166" t="b">
        <f t="shared" ca="1" si="141"/>
        <v>0</v>
      </c>
      <c r="B1180" s="166"/>
      <c r="C1180" s="172" t="str">
        <f ca="1">IF(COUNTA(D$885:D1180)=1,"",OFFSET(C1180,-COUNTA(D$885:D1180)+1,0))</f>
        <v>a1V3p000006h2y3EAA</v>
      </c>
      <c r="D1180" s="177"/>
      <c r="E1180" s="168" t="str">
        <f ca="1">IFERROR(IF(VLOOKUP(C1180,' Disaggregation - Section E '!A$316:N909,7,0)="","",VLOOKUP(C1180,' Disaggregation - Section E '!A$316:N909,7,0)*100),"")</f>
        <v/>
      </c>
      <c r="F1180" s="166"/>
      <c r="G1180" s="170" t="str">
        <f ca="1">IFERROR(IF(VLOOKUP(C1180,' Disaggregation - Section E '!A$316:N909,6,0)="","",VLOOKUP(C1180,' Disaggregation - Section E '!A$316:N909,6,0)),"")</f>
        <v/>
      </c>
      <c r="H1180" s="177" t="str">
        <f ca="1">IFERROR(IF(INDEX(' Disaggregation - Section E '!F$313:F909,MATCH(C1180,' Disaggregation - Section E '!A$313:A909,0)+1,1)&lt;&gt;0,INDEX(' Disaggregation - Section E '!F$313:F909,MATCH(C1180,' Disaggregation - Section E '!A$313:A909,0)+1,1),""),"")</f>
        <v/>
      </c>
      <c r="I1180" s="171" t="str">
        <f ca="1">IFERROR(IF(VLOOKUP(C1180,' Disaggregation - Section E '!A$316:N909,8,0)=0,"",VLOOKUP(C1180,' Disaggregation - Section E '!A$316:N909,8,0)),"")</f>
        <v/>
      </c>
      <c r="J1180" s="171" t="str">
        <f ca="1">IFERROR(IF(VLOOKUP(C1180,' Disaggregation - Section E '!A$316:N909,13,0)=0,"",VLOOKUP(C1180,' Disaggregation - Section E '!A$316:N909,13,0)),"")</f>
        <v/>
      </c>
      <c r="K1180" s="166" t="str">
        <f ca="1">IFERROR(VLOOKUP(C1180,' Disaggregation - Section E '!A$316:N909,3,0),"")</f>
        <v/>
      </c>
      <c r="L1180" s="171" t="str">
        <f ca="1">IFERROR(IF(VLOOKUP(C1180,' Disaggregation - Section E '!A$316:N909,14,0)=0,"",VLOOKUP(C1180,' Disaggregation - Section E '!A$316:N909,14,0)),"")</f>
        <v/>
      </c>
      <c r="M1180" s="166" t="str">
        <f ca="1">IFERROR(IF(VLOOKUP(C1180,' Disaggregation - Section E '!A$316:T909,20,0)=0,"",VLOOKUP(C1180,' Disaggregation - Section E '!A$316:T909,20,0)),"")</f>
        <v/>
      </c>
      <c r="N1180" s="171" t="str">
        <f ca="1">IFERROR(IF(VLOOKUP(C1180,' Disaggregation - Section E '!A$316:N909,9,0)=0,"",VLOOKUP(C1180,' Disaggregation - Section E '!A$316:N909,9,0)),"")</f>
        <v/>
      </c>
      <c r="O1180" s="171" t="str">
        <f ca="1">IFERROR(IF(VLOOKUP(C1180,' Disaggregation - Section E '!A$315:N909,10,0)=0,"",VLOOKUP(C1180,' Disaggregation - Section E '!A$316:N909,10,0)),"")</f>
        <v/>
      </c>
    </row>
    <row r="1181" spans="1:15">
      <c r="A1181" s="166" t="b">
        <f t="shared" ca="1" si="141"/>
        <v>0</v>
      </c>
      <c r="B1181" s="166"/>
      <c r="C1181" s="172" t="str">
        <f ca="1">IF(COUNTA(D$885:D1181)=1,"",OFFSET(C1181,-COUNTA(D$885:D1181)+1,0))</f>
        <v>a1V3p000006h2y4EAA</v>
      </c>
      <c r="D1181" s="177"/>
      <c r="E1181" s="168" t="str">
        <f ca="1">IFERROR(IF(VLOOKUP(C1181,' Disaggregation - Section E '!A$316:N910,7,0)="","",VLOOKUP(C1181,' Disaggregation - Section E '!A$316:N910,7,0)*100),"")</f>
        <v/>
      </c>
      <c r="F1181" s="166"/>
      <c r="G1181" s="170" t="str">
        <f ca="1">IFERROR(IF(VLOOKUP(C1181,' Disaggregation - Section E '!A$316:N910,6,0)="","",VLOOKUP(C1181,' Disaggregation - Section E '!A$316:N910,6,0)),"")</f>
        <v/>
      </c>
      <c r="H1181" s="177" t="str">
        <f ca="1">IFERROR(IF(INDEX(' Disaggregation - Section E '!F$313:F910,MATCH(C1181,' Disaggregation - Section E '!A$313:A910,0)+1,1)&lt;&gt;0,INDEX(' Disaggregation - Section E '!F$313:F910,MATCH(C1181,' Disaggregation - Section E '!A$313:A910,0)+1,1),""),"")</f>
        <v/>
      </c>
      <c r="I1181" s="171" t="str">
        <f ca="1">IFERROR(IF(VLOOKUP(C1181,' Disaggregation - Section E '!A$316:N910,8,0)=0,"",VLOOKUP(C1181,' Disaggregation - Section E '!A$316:N910,8,0)),"")</f>
        <v/>
      </c>
      <c r="J1181" s="171" t="str">
        <f ca="1">IFERROR(IF(VLOOKUP(C1181,' Disaggregation - Section E '!A$316:N910,13,0)=0,"",VLOOKUP(C1181,' Disaggregation - Section E '!A$316:N910,13,0)),"")</f>
        <v/>
      </c>
      <c r="K1181" s="166" t="str">
        <f ca="1">IFERROR(VLOOKUP(C1181,' Disaggregation - Section E '!A$316:N910,3,0),"")</f>
        <v/>
      </c>
      <c r="L1181" s="171" t="str">
        <f ca="1">IFERROR(IF(VLOOKUP(C1181,' Disaggregation - Section E '!A$316:N910,14,0)=0,"",VLOOKUP(C1181,' Disaggregation - Section E '!A$316:N910,14,0)),"")</f>
        <v/>
      </c>
      <c r="M1181" s="166" t="str">
        <f ca="1">IFERROR(IF(VLOOKUP(C1181,' Disaggregation - Section E '!A$316:T910,20,0)=0,"",VLOOKUP(C1181,' Disaggregation - Section E '!A$316:T910,20,0)),"")</f>
        <v/>
      </c>
      <c r="N1181" s="171" t="str">
        <f ca="1">IFERROR(IF(VLOOKUP(C1181,' Disaggregation - Section E '!A$316:N910,9,0)=0,"",VLOOKUP(C1181,' Disaggregation - Section E '!A$316:N910,9,0)),"")</f>
        <v/>
      </c>
      <c r="O1181" s="171" t="str">
        <f ca="1">IFERROR(IF(VLOOKUP(C1181,' Disaggregation - Section E '!A$315:N910,10,0)=0,"",VLOOKUP(C1181,' Disaggregation - Section E '!A$316:N910,10,0)),"")</f>
        <v/>
      </c>
    </row>
    <row r="1182" spans="1:15">
      <c r="A1182" s="166" t="b">
        <f t="shared" ca="1" si="141"/>
        <v>0</v>
      </c>
      <c r="B1182" s="166"/>
      <c r="C1182" s="172" t="str">
        <f ca="1">IF(COUNTA(D$885:D1182)=1,"",OFFSET(C1182,-COUNTA(D$885:D1182)+1,0))</f>
        <v>a1V3p000006h2y5EAA</v>
      </c>
      <c r="D1182" s="177"/>
      <c r="E1182" s="168" t="str">
        <f ca="1">IFERROR(IF(VLOOKUP(C1182,' Disaggregation - Section E '!A$316:N911,7,0)="","",VLOOKUP(C1182,' Disaggregation - Section E '!A$316:N911,7,0)*100),"")</f>
        <v/>
      </c>
      <c r="F1182" s="166"/>
      <c r="G1182" s="170" t="str">
        <f ca="1">IFERROR(IF(VLOOKUP(C1182,' Disaggregation - Section E '!A$316:N911,6,0)="","",VLOOKUP(C1182,' Disaggregation - Section E '!A$316:N911,6,0)),"")</f>
        <v/>
      </c>
      <c r="H1182" s="177" t="str">
        <f ca="1">IFERROR(IF(INDEX(' Disaggregation - Section E '!F$313:F911,MATCH(C1182,' Disaggregation - Section E '!A$313:A911,0)+1,1)&lt;&gt;0,INDEX(' Disaggregation - Section E '!F$313:F911,MATCH(C1182,' Disaggregation - Section E '!A$313:A911,0)+1,1),""),"")</f>
        <v/>
      </c>
      <c r="I1182" s="171" t="str">
        <f ca="1">IFERROR(IF(VLOOKUP(C1182,' Disaggregation - Section E '!A$316:N911,8,0)=0,"",VLOOKUP(C1182,' Disaggregation - Section E '!A$316:N911,8,0)),"")</f>
        <v/>
      </c>
      <c r="J1182" s="171" t="str">
        <f ca="1">IFERROR(IF(VLOOKUP(C1182,' Disaggregation - Section E '!A$316:N911,13,0)=0,"",VLOOKUP(C1182,' Disaggregation - Section E '!A$316:N911,13,0)),"")</f>
        <v/>
      </c>
      <c r="K1182" s="166" t="str">
        <f ca="1">IFERROR(VLOOKUP(C1182,' Disaggregation - Section E '!A$316:N911,3,0),"")</f>
        <v/>
      </c>
      <c r="L1182" s="171" t="str">
        <f ca="1">IFERROR(IF(VLOOKUP(C1182,' Disaggregation - Section E '!A$316:N911,14,0)=0,"",VLOOKUP(C1182,' Disaggregation - Section E '!A$316:N911,14,0)),"")</f>
        <v/>
      </c>
      <c r="M1182" s="166" t="str">
        <f ca="1">IFERROR(IF(VLOOKUP(C1182,' Disaggregation - Section E '!A$316:T911,20,0)=0,"",VLOOKUP(C1182,' Disaggregation - Section E '!A$316:T911,20,0)),"")</f>
        <v/>
      </c>
      <c r="N1182" s="171" t="str">
        <f ca="1">IFERROR(IF(VLOOKUP(C1182,' Disaggregation - Section E '!A$316:N911,9,0)=0,"",VLOOKUP(C1182,' Disaggregation - Section E '!A$316:N911,9,0)),"")</f>
        <v/>
      </c>
      <c r="O1182" s="171" t="str">
        <f ca="1">IFERROR(IF(VLOOKUP(C1182,' Disaggregation - Section E '!A$315:N911,10,0)=0,"",VLOOKUP(C1182,' Disaggregation - Section E '!A$316:N911,10,0)),"")</f>
        <v/>
      </c>
    </row>
    <row r="1183" spans="1:15">
      <c r="A1183" s="166" t="b">
        <f t="shared" ca="1" si="141"/>
        <v>0</v>
      </c>
      <c r="B1183" s="166"/>
      <c r="C1183" s="172" t="str">
        <f ca="1">IF(COUNTA(D$885:D1183)=1,"",OFFSET(C1183,-COUNTA(D$885:D1183)+1,0))</f>
        <v>a1V3p000006h2y6EAA</v>
      </c>
      <c r="D1183" s="177"/>
      <c r="E1183" s="168" t="str">
        <f ca="1">IFERROR(IF(VLOOKUP(C1183,' Disaggregation - Section E '!A$316:N912,7,0)="","",VLOOKUP(C1183,' Disaggregation - Section E '!A$316:N912,7,0)*100),"")</f>
        <v/>
      </c>
      <c r="F1183" s="166"/>
      <c r="G1183" s="170" t="str">
        <f ca="1">IFERROR(IF(VLOOKUP(C1183,' Disaggregation - Section E '!A$316:N912,6,0)="","",VLOOKUP(C1183,' Disaggregation - Section E '!A$316:N912,6,0)),"")</f>
        <v/>
      </c>
      <c r="H1183" s="177" t="str">
        <f ca="1">IFERROR(IF(INDEX(' Disaggregation - Section E '!F$313:F912,MATCH(C1183,' Disaggregation - Section E '!A$313:A912,0)+1,1)&lt;&gt;0,INDEX(' Disaggregation - Section E '!F$313:F912,MATCH(C1183,' Disaggregation - Section E '!A$313:A912,0)+1,1),""),"")</f>
        <v/>
      </c>
      <c r="I1183" s="171" t="str">
        <f ca="1">IFERROR(IF(VLOOKUP(C1183,' Disaggregation - Section E '!A$316:N912,8,0)=0,"",VLOOKUP(C1183,' Disaggregation - Section E '!A$316:N912,8,0)),"")</f>
        <v/>
      </c>
      <c r="J1183" s="171" t="str">
        <f ca="1">IFERROR(IF(VLOOKUP(C1183,' Disaggregation - Section E '!A$316:N912,13,0)=0,"",VLOOKUP(C1183,' Disaggregation - Section E '!A$316:N912,13,0)),"")</f>
        <v/>
      </c>
      <c r="K1183" s="166" t="str">
        <f ca="1">IFERROR(VLOOKUP(C1183,' Disaggregation - Section E '!A$316:N912,3,0),"")</f>
        <v/>
      </c>
      <c r="L1183" s="171" t="str">
        <f ca="1">IFERROR(IF(VLOOKUP(C1183,' Disaggregation - Section E '!A$316:N912,14,0)=0,"",VLOOKUP(C1183,' Disaggregation - Section E '!A$316:N912,14,0)),"")</f>
        <v/>
      </c>
      <c r="M1183" s="166" t="str">
        <f ca="1">IFERROR(IF(VLOOKUP(C1183,' Disaggregation - Section E '!A$316:T912,20,0)=0,"",VLOOKUP(C1183,' Disaggregation - Section E '!A$316:T912,20,0)),"")</f>
        <v/>
      </c>
      <c r="N1183" s="171" t="str">
        <f ca="1">IFERROR(IF(VLOOKUP(C1183,' Disaggregation - Section E '!A$316:N912,9,0)=0,"",VLOOKUP(C1183,' Disaggregation - Section E '!A$316:N912,9,0)),"")</f>
        <v/>
      </c>
      <c r="O1183" s="171" t="str">
        <f ca="1">IFERROR(IF(VLOOKUP(C1183,' Disaggregation - Section E '!A$315:N912,10,0)=0,"",VLOOKUP(C1183,' Disaggregation - Section E '!A$316:N912,10,0)),"")</f>
        <v/>
      </c>
    </row>
    <row r="1184" spans="1:15">
      <c r="A1184" s="166" t="b">
        <f t="shared" ca="1" si="141"/>
        <v>0</v>
      </c>
      <c r="B1184" s="166"/>
      <c r="C1184" s="172" t="str">
        <f ca="1">IF(COUNTA(D$885:D1184)=1,"",OFFSET(C1184,-COUNTA(D$885:D1184)+1,0))</f>
        <v>a1V3p000006h2y7EAA</v>
      </c>
      <c r="D1184" s="177"/>
      <c r="E1184" s="168" t="str">
        <f ca="1">IFERROR(IF(VLOOKUP(C1184,' Disaggregation - Section E '!A$316:N913,7,0)="","",VLOOKUP(C1184,' Disaggregation - Section E '!A$316:N913,7,0)*100),"")</f>
        <v/>
      </c>
      <c r="F1184" s="166"/>
      <c r="G1184" s="170" t="str">
        <f ca="1">IFERROR(IF(VLOOKUP(C1184,' Disaggregation - Section E '!A$316:N913,6,0)="","",VLOOKUP(C1184,' Disaggregation - Section E '!A$316:N913,6,0)),"")</f>
        <v/>
      </c>
      <c r="H1184" s="177" t="str">
        <f ca="1">IFERROR(IF(INDEX(' Disaggregation - Section E '!F$313:F913,MATCH(C1184,' Disaggregation - Section E '!A$313:A913,0)+1,1)&lt;&gt;0,INDEX(' Disaggregation - Section E '!F$313:F913,MATCH(C1184,' Disaggregation - Section E '!A$313:A913,0)+1,1),""),"")</f>
        <v/>
      </c>
      <c r="I1184" s="171" t="str">
        <f ca="1">IFERROR(IF(VLOOKUP(C1184,' Disaggregation - Section E '!A$316:N913,8,0)=0,"",VLOOKUP(C1184,' Disaggregation - Section E '!A$316:N913,8,0)),"")</f>
        <v/>
      </c>
      <c r="J1184" s="171" t="str">
        <f ca="1">IFERROR(IF(VLOOKUP(C1184,' Disaggregation - Section E '!A$316:N913,13,0)=0,"",VLOOKUP(C1184,' Disaggregation - Section E '!A$316:N913,13,0)),"")</f>
        <v/>
      </c>
      <c r="K1184" s="166" t="str">
        <f ca="1">IFERROR(VLOOKUP(C1184,' Disaggregation - Section E '!A$316:N913,3,0),"")</f>
        <v/>
      </c>
      <c r="L1184" s="171" t="str">
        <f ca="1">IFERROR(IF(VLOOKUP(C1184,' Disaggregation - Section E '!A$316:N913,14,0)=0,"",VLOOKUP(C1184,' Disaggregation - Section E '!A$316:N913,14,0)),"")</f>
        <v/>
      </c>
      <c r="M1184" s="166" t="str">
        <f ca="1">IFERROR(IF(VLOOKUP(C1184,' Disaggregation - Section E '!A$316:T913,20,0)=0,"",VLOOKUP(C1184,' Disaggregation - Section E '!A$316:T913,20,0)),"")</f>
        <v/>
      </c>
      <c r="N1184" s="171" t="str">
        <f ca="1">IFERROR(IF(VLOOKUP(C1184,' Disaggregation - Section E '!A$316:N913,9,0)=0,"",VLOOKUP(C1184,' Disaggregation - Section E '!A$316:N913,9,0)),"")</f>
        <v/>
      </c>
      <c r="O1184" s="171" t="str">
        <f ca="1">IFERROR(IF(VLOOKUP(C1184,' Disaggregation - Section E '!A$315:N913,10,0)=0,"",VLOOKUP(C1184,' Disaggregation - Section E '!A$316:N913,10,0)),"")</f>
        <v/>
      </c>
    </row>
    <row r="1185" spans="1:15">
      <c r="A1185" s="166" t="b">
        <f t="shared" ca="1" si="141"/>
        <v>0</v>
      </c>
      <c r="B1185" s="166"/>
      <c r="C1185" s="172" t="str">
        <f ca="1">IF(COUNTA(D$885:D1185)=1,"",OFFSET(C1185,-COUNTA(D$885:D1185)+1,0))</f>
        <v>a1V3p000006h2y8EAA</v>
      </c>
      <c r="D1185" s="177"/>
      <c r="E1185" s="168" t="str">
        <f ca="1">IFERROR(IF(VLOOKUP(C1185,' Disaggregation - Section E '!A$316:N914,7,0)="","",VLOOKUP(C1185,' Disaggregation - Section E '!A$316:N914,7,0)*100),"")</f>
        <v/>
      </c>
      <c r="F1185" s="166"/>
      <c r="G1185" s="170" t="str">
        <f ca="1">IFERROR(IF(VLOOKUP(C1185,' Disaggregation - Section E '!A$316:N914,6,0)="","",VLOOKUP(C1185,' Disaggregation - Section E '!A$316:N914,6,0)),"")</f>
        <v/>
      </c>
      <c r="H1185" s="177" t="str">
        <f ca="1">IFERROR(IF(INDEX(' Disaggregation - Section E '!F$313:F914,MATCH(C1185,' Disaggregation - Section E '!A$313:A914,0)+1,1)&lt;&gt;0,INDEX(' Disaggregation - Section E '!F$313:F914,MATCH(C1185,' Disaggregation - Section E '!A$313:A914,0)+1,1),""),"")</f>
        <v/>
      </c>
      <c r="I1185" s="171" t="str">
        <f ca="1">IFERROR(IF(VLOOKUP(C1185,' Disaggregation - Section E '!A$316:N914,8,0)=0,"",VLOOKUP(C1185,' Disaggregation - Section E '!A$316:N914,8,0)),"")</f>
        <v/>
      </c>
      <c r="J1185" s="171" t="str">
        <f ca="1">IFERROR(IF(VLOOKUP(C1185,' Disaggregation - Section E '!A$316:N914,13,0)=0,"",VLOOKUP(C1185,' Disaggregation - Section E '!A$316:N914,13,0)),"")</f>
        <v/>
      </c>
      <c r="K1185" s="166" t="str">
        <f ca="1">IFERROR(VLOOKUP(C1185,' Disaggregation - Section E '!A$316:N914,3,0),"")</f>
        <v/>
      </c>
      <c r="L1185" s="171" t="str">
        <f ca="1">IFERROR(IF(VLOOKUP(C1185,' Disaggregation - Section E '!A$316:N914,14,0)=0,"",VLOOKUP(C1185,' Disaggregation - Section E '!A$316:N914,14,0)),"")</f>
        <v/>
      </c>
      <c r="M1185" s="166" t="str">
        <f ca="1">IFERROR(IF(VLOOKUP(C1185,' Disaggregation - Section E '!A$316:T914,20,0)=0,"",VLOOKUP(C1185,' Disaggregation - Section E '!A$316:T914,20,0)),"")</f>
        <v/>
      </c>
      <c r="N1185" s="171" t="str">
        <f ca="1">IFERROR(IF(VLOOKUP(C1185,' Disaggregation - Section E '!A$316:N914,9,0)=0,"",VLOOKUP(C1185,' Disaggregation - Section E '!A$316:N914,9,0)),"")</f>
        <v/>
      </c>
      <c r="O1185" s="171" t="str">
        <f ca="1">IFERROR(IF(VLOOKUP(C1185,' Disaggregation - Section E '!A$315:N914,10,0)=0,"",VLOOKUP(C1185,' Disaggregation - Section E '!A$316:N914,10,0)),"")</f>
        <v/>
      </c>
    </row>
    <row r="1186" spans="1:15">
      <c r="A1186" s="166" t="b">
        <f t="shared" ca="1" si="141"/>
        <v>0</v>
      </c>
      <c r="B1186" s="166"/>
      <c r="C1186" s="172" t="str">
        <f ca="1">IF(COUNTA(D$885:D1186)=1,"",OFFSET(C1186,-COUNTA(D$885:D1186)+1,0))</f>
        <v>a1V3p000006h2y9EAA</v>
      </c>
      <c r="D1186" s="177"/>
      <c r="E1186" s="168" t="str">
        <f ca="1">IFERROR(IF(VLOOKUP(C1186,' Disaggregation - Section E '!A$316:N915,7,0)="","",VLOOKUP(C1186,' Disaggregation - Section E '!A$316:N915,7,0)*100),"")</f>
        <v/>
      </c>
      <c r="F1186" s="166"/>
      <c r="G1186" s="170" t="str">
        <f ca="1">IFERROR(IF(VLOOKUP(C1186,' Disaggregation - Section E '!A$316:N915,6,0)="","",VLOOKUP(C1186,' Disaggregation - Section E '!A$316:N915,6,0)),"")</f>
        <v/>
      </c>
      <c r="H1186" s="177" t="str">
        <f ca="1">IFERROR(IF(INDEX(' Disaggregation - Section E '!F$313:F915,MATCH(C1186,' Disaggregation - Section E '!A$313:A915,0)+1,1)&lt;&gt;0,INDEX(' Disaggregation - Section E '!F$313:F915,MATCH(C1186,' Disaggregation - Section E '!A$313:A915,0)+1,1),""),"")</f>
        <v/>
      </c>
      <c r="I1186" s="171" t="str">
        <f ca="1">IFERROR(IF(VLOOKUP(C1186,' Disaggregation - Section E '!A$316:N915,8,0)=0,"",VLOOKUP(C1186,' Disaggregation - Section E '!A$316:N915,8,0)),"")</f>
        <v/>
      </c>
      <c r="J1186" s="171" t="str">
        <f ca="1">IFERROR(IF(VLOOKUP(C1186,' Disaggregation - Section E '!A$316:N915,13,0)=0,"",VLOOKUP(C1186,' Disaggregation - Section E '!A$316:N915,13,0)),"")</f>
        <v/>
      </c>
      <c r="K1186" s="166" t="str">
        <f ca="1">IFERROR(VLOOKUP(C1186,' Disaggregation - Section E '!A$316:N915,3,0),"")</f>
        <v/>
      </c>
      <c r="L1186" s="171" t="str">
        <f ca="1">IFERROR(IF(VLOOKUP(C1186,' Disaggregation - Section E '!A$316:N915,14,0)=0,"",VLOOKUP(C1186,' Disaggregation - Section E '!A$316:N915,14,0)),"")</f>
        <v/>
      </c>
      <c r="M1186" s="166" t="str">
        <f ca="1">IFERROR(IF(VLOOKUP(C1186,' Disaggregation - Section E '!A$316:T915,20,0)=0,"",VLOOKUP(C1186,' Disaggregation - Section E '!A$316:T915,20,0)),"")</f>
        <v/>
      </c>
      <c r="N1186" s="171" t="str">
        <f ca="1">IFERROR(IF(VLOOKUP(C1186,' Disaggregation - Section E '!A$316:N915,9,0)=0,"",VLOOKUP(C1186,' Disaggregation - Section E '!A$316:N915,9,0)),"")</f>
        <v/>
      </c>
      <c r="O1186" s="171" t="str">
        <f ca="1">IFERROR(IF(VLOOKUP(C1186,' Disaggregation - Section E '!A$315:N915,10,0)=0,"",VLOOKUP(C1186,' Disaggregation - Section E '!A$316:N915,10,0)),"")</f>
        <v/>
      </c>
    </row>
    <row r="1188" spans="1:15">
      <c r="A1188" s="165" t="s">
        <v>3753</v>
      </c>
    </row>
    <row r="1189" spans="1:15">
      <c r="A1189" s="166" t="s">
        <v>348</v>
      </c>
      <c r="B1189" s="166"/>
      <c r="C1189" s="166" t="s">
        <v>341</v>
      </c>
      <c r="D1189" s="166" t="s">
        <v>3083</v>
      </c>
      <c r="E1189" s="166" t="s">
        <v>3046</v>
      </c>
      <c r="F1189" s="166" t="s">
        <v>3754</v>
      </c>
      <c r="G1189" s="166" t="s">
        <v>3048</v>
      </c>
      <c r="H1189" s="166" t="s">
        <v>3047</v>
      </c>
      <c r="I1189" s="166" t="s">
        <v>3050</v>
      </c>
      <c r="J1189" s="166" t="s">
        <v>3049</v>
      </c>
      <c r="K1189" s="166" t="s">
        <v>3598</v>
      </c>
      <c r="L1189" s="166" t="s">
        <v>3599</v>
      </c>
      <c r="M1189" s="166" t="s">
        <v>3600</v>
      </c>
      <c r="N1189" s="166" t="s">
        <v>3601</v>
      </c>
      <c r="O1189" s="166" t="s">
        <v>3602</v>
      </c>
    </row>
    <row r="1190" spans="1:15" hidden="1">
      <c r="A1190" s="166" t="b">
        <f ca="1">IF(M1190&lt;&gt;"",TRUE,FALSE)</f>
        <v>0</v>
      </c>
      <c r="B1190" s="166"/>
      <c r="C1190" s="166" t="str">
        <f ca="1">IF(COUNTA(D$1189:D1190)=1,"",OFFSET(B1190,-COUNTA(D$1189:D1190)+1,1))</f>
        <v/>
      </c>
      <c r="D1190" s="177"/>
      <c r="E1190" s="168" t="str">
        <f ca="1">IFERROR(IF(VLOOKUP(C1190,' Disaggregation - Section E '!A$10:J309,7,0)="","",VLOOKUP(C1190,' Disaggregation - Section E '!A$10:J309,7,0)*100),"")</f>
        <v/>
      </c>
      <c r="F1190" s="171" t="str">
        <f ca="1">IFERROR(IF(VLOOKUP(C1190,' Disaggregation - Section E '!A$10:N309,5,0)=0,"",VLOOKUP(C1190,' Disaggregation - Section E '!A$10:N309,5,0)),"")</f>
        <v/>
      </c>
      <c r="G1190" s="170" t="str">
        <f ca="1">IFERROR(IF(VLOOKUP(C1190,' Disaggregation - Section E '!A$10:N309,6,0)="","",VLOOKUP(C1190,' Disaggregation - Section E '!A$10:N309,6,0)),"")</f>
        <v/>
      </c>
      <c r="H1190" s="177" t="str">
        <f ca="1">IFERROR(IF(INDEX(' Disaggregation - Section E '!F$10:F309,MATCH(C1190,' Disaggregation - Section E '!A$10:A309,0)+1,1)&lt;&gt;0,INDEX(' Disaggregation - Section E '!F$10:F309,MATCH(C1190,' Disaggregation - Section E '!A$10:A309,0)+1,1),""),"")</f>
        <v/>
      </c>
      <c r="I1190" s="171" t="str">
        <f ca="1">IFERROR(IF(VLOOKUP(C1190,' Disaggregation - Section E '!A$10:N309,8,0)=0,"",VLOOKUP(C1190,' Disaggregation - Section E '!A$10:N309,8,0)),"")</f>
        <v/>
      </c>
      <c r="J1190" s="171" t="str">
        <f ca="1">IFERROR(IF(VLOOKUP(C1190,' Disaggregation - Section E '!A$10:N309,13,0)=0,"",VLOOKUP(C1190,' Disaggregation - Section E '!A$10:N309,13,0)),"")</f>
        <v/>
      </c>
      <c r="K1190" s="166" t="str">
        <f ca="1">IFERROR(VLOOKUP(C1190,' Disaggregation - Section E '!A$10:N309,3,0),"")</f>
        <v/>
      </c>
      <c r="L1190" s="171" t="str">
        <f ca="1">IFERROR(IF(VLOOKUP(C1190,' Disaggregation - Section E '!A$10:N309,14,0)=0,"",VLOOKUP(C1190,' Disaggregation - Section E '!A$10:N309,14,0)),"")</f>
        <v/>
      </c>
      <c r="M1190" s="166" t="str">
        <f ca="1">IFERROR(IF(VLOOKUP(C1190,' Disaggregation - Section E '!A$10:T309,20,0)=0,"",VLOOKUP(C1190,' Disaggregation - Section E '!A$10:T309,20,0)),"")</f>
        <v/>
      </c>
      <c r="N1190" s="171" t="str">
        <f ca="1">IFERROR(IF(VLOOKUP(C1190,' Disaggregation - Section E '!A$10:N309,9,0)=0,"",VLOOKUP(C1190,' Disaggregation - Section E '!A$10:N309,9,0)),"")</f>
        <v/>
      </c>
      <c r="O1190" s="171" t="str">
        <f ca="1">IFERROR(IF(VLOOKUP(C1190,' Disaggregation - Section E '!A$10:N309,10,0)=0,"",VLOOKUP(C1190,' Disaggregation - Section E '!A$10:N309,10,0)),"")</f>
        <v/>
      </c>
    </row>
    <row r="1191" spans="1:15">
      <c r="A1191" s="166" t="b">
        <v>0</v>
      </c>
      <c r="B1191" s="166"/>
      <c r="C1191" s="413" t="s">
        <v>3755</v>
      </c>
      <c r="D1191" s="177">
        <v>1</v>
      </c>
      <c r="E1191" s="168"/>
      <c r="F1191" s="171"/>
      <c r="G1191" s="170"/>
      <c r="H1191" s="177"/>
      <c r="I1191" s="171"/>
      <c r="J1191" s="171"/>
      <c r="K1191" s="166" t="str">
        <f ca="1">IFERROR(VLOOKUP(C1191,' Disaggregation - Section E '!A$10:N310,3,0),"")</f>
        <v>HIV I-9a⁽ᴹ⁾ Porcentaje de HSH y viven con el VIH</v>
      </c>
      <c r="L1191" s="171"/>
      <c r="M1191" s="166"/>
      <c r="N1191" s="171"/>
      <c r="O1191" s="171"/>
    </row>
    <row r="1192" spans="1:15">
      <c r="A1192" s="166" t="b">
        <v>0</v>
      </c>
      <c r="B1192" s="166"/>
      <c r="C1192" s="413" t="s">
        <v>3756</v>
      </c>
      <c r="D1192" s="177">
        <v>1</v>
      </c>
      <c r="E1192" s="168"/>
      <c r="F1192" s="171"/>
      <c r="G1192" s="170"/>
      <c r="H1192" s="177"/>
      <c r="I1192" s="171"/>
      <c r="J1192" s="171"/>
      <c r="K1192" s="166" t="str">
        <f ca="1">IFERROR(VLOOKUP(C1192,' Disaggregation - Section E '!A$10:N311,3,0),"")</f>
        <v>HIV I-9a⁽ᴹ⁾ Porcentaje de HSH y viven con el VIH</v>
      </c>
      <c r="L1192" s="171"/>
      <c r="M1192" s="166"/>
      <c r="N1192" s="171"/>
      <c r="O1192" s="171"/>
    </row>
    <row r="1193" spans="1:15">
      <c r="A1193" s="166" t="b">
        <v>0</v>
      </c>
      <c r="B1193" s="166"/>
      <c r="C1193" s="413" t="s">
        <v>3757</v>
      </c>
      <c r="D1193" s="177">
        <v>1</v>
      </c>
      <c r="E1193" s="168"/>
      <c r="F1193" s="171"/>
      <c r="G1193" s="170"/>
      <c r="H1193" s="177"/>
      <c r="I1193" s="171"/>
      <c r="J1193" s="171"/>
      <c r="K1193" s="166" t="str">
        <f ca="1">IFERROR(VLOOKUP(C1193,' Disaggregation - Section E '!A$10:N312,3,0),"")</f>
        <v>HIV I-9a⁽ᴹ⁾ Porcentaje de HSH y viven con el VIH</v>
      </c>
      <c r="L1193" s="171"/>
      <c r="M1193" s="166"/>
      <c r="N1193" s="171"/>
      <c r="O1193" s="171"/>
    </row>
    <row r="1194" spans="1:15">
      <c r="A1194" s="166" t="b">
        <v>0</v>
      </c>
      <c r="B1194" s="166"/>
      <c r="C1194" s="413" t="s">
        <v>3758</v>
      </c>
      <c r="D1194" s="177">
        <v>1</v>
      </c>
      <c r="E1194" s="168"/>
      <c r="F1194" s="171"/>
      <c r="G1194" s="170"/>
      <c r="H1194" s="177"/>
      <c r="I1194" s="171"/>
      <c r="J1194" s="171"/>
      <c r="K1194" s="166" t="str">
        <f ca="1">IFERROR(VLOOKUP(C1194,' Disaggregation - Section E '!A$10:N313,3,0),"")</f>
        <v>HIV I-9a⁽ᴹ⁾ Porcentaje de HSH y viven con el VIH</v>
      </c>
      <c r="L1194" s="171"/>
      <c r="M1194" s="166"/>
      <c r="N1194" s="171"/>
      <c r="O1194" s="171"/>
    </row>
    <row r="1195" spans="1:15">
      <c r="A1195" s="166" t="b">
        <v>0</v>
      </c>
      <c r="B1195" s="166"/>
      <c r="C1195" s="413" t="s">
        <v>3759</v>
      </c>
      <c r="D1195" s="177">
        <v>1</v>
      </c>
      <c r="E1195" s="168"/>
      <c r="F1195" s="171"/>
      <c r="G1195" s="170"/>
      <c r="H1195" s="177"/>
      <c r="I1195" s="171"/>
      <c r="J1195" s="171"/>
      <c r="K1195" s="166" t="str">
        <f ca="1">IFERROR(VLOOKUP(C1195,' Disaggregation - Section E '!A$10:N314,3,0),"")</f>
        <v>HIV I-9a⁽ᴹ⁾ Porcentaje de HSH y viven con el VIH</v>
      </c>
      <c r="L1195" s="171"/>
      <c r="M1195" s="166"/>
      <c r="N1195" s="171"/>
      <c r="O1195" s="171"/>
    </row>
    <row r="1196" spans="1:15">
      <c r="A1196" s="166" t="b">
        <v>0</v>
      </c>
      <c r="B1196" s="166"/>
      <c r="C1196" s="413" t="s">
        <v>3760</v>
      </c>
      <c r="D1196" s="177">
        <v>1</v>
      </c>
      <c r="E1196" s="168"/>
      <c r="F1196" s="171"/>
      <c r="G1196" s="170"/>
      <c r="H1196" s="177"/>
      <c r="I1196" s="171"/>
      <c r="J1196" s="171"/>
      <c r="K1196" s="166" t="str">
        <f ca="1">IFERROR(VLOOKUP(C1196,' Disaggregation - Section E '!A$10:N315,3,0),"")</f>
        <v>HIV I-9a⁽ᴹ⁾ Porcentaje de HSH y viven con el VIH</v>
      </c>
      <c r="L1196" s="171"/>
      <c r="M1196" s="166"/>
      <c r="N1196" s="171"/>
      <c r="O1196" s="171"/>
    </row>
    <row r="1197" spans="1:15">
      <c r="A1197" s="166" t="b">
        <v>0</v>
      </c>
      <c r="B1197" s="166"/>
      <c r="C1197" s="413" t="s">
        <v>3761</v>
      </c>
      <c r="D1197" s="177">
        <v>1</v>
      </c>
      <c r="E1197" s="168"/>
      <c r="F1197" s="171"/>
      <c r="G1197" s="170"/>
      <c r="H1197" s="177"/>
      <c r="I1197" s="171"/>
      <c r="J1197" s="171"/>
      <c r="K1197" s="166" t="str">
        <f ca="1">IFERROR(VLOOKUP(C1197,' Disaggregation - Section E '!A$10:N316,3,0),"")</f>
        <v>HIV I-9a⁽ᴹ⁾ Porcentaje de HSH y viven con el VIH</v>
      </c>
      <c r="L1197" s="171"/>
      <c r="M1197" s="166"/>
      <c r="N1197" s="171"/>
      <c r="O1197" s="171"/>
    </row>
    <row r="1198" spans="1:15">
      <c r="A1198" s="166" t="b">
        <v>0</v>
      </c>
      <c r="B1198" s="166"/>
      <c r="C1198" s="413" t="s">
        <v>3762</v>
      </c>
      <c r="D1198" s="177">
        <v>1</v>
      </c>
      <c r="E1198" s="168"/>
      <c r="F1198" s="171"/>
      <c r="G1198" s="170"/>
      <c r="H1198" s="177"/>
      <c r="I1198" s="171"/>
      <c r="J1198" s="171"/>
      <c r="K1198" s="166" t="str">
        <f ca="1">IFERROR(VLOOKUP(C1198,' Disaggregation - Section E '!A$10:N317,3,0),"")</f>
        <v>HIV I-9a⁽ᴹ⁾ Porcentaje de HSH y viven con el VIH</v>
      </c>
      <c r="L1198" s="171"/>
      <c r="M1198" s="166"/>
      <c r="N1198" s="171"/>
      <c r="O1198" s="171"/>
    </row>
    <row r="1199" spans="1:15">
      <c r="A1199" s="166" t="b">
        <v>0</v>
      </c>
      <c r="B1199" s="166"/>
      <c r="C1199" s="413" t="s">
        <v>3763</v>
      </c>
      <c r="D1199" s="177">
        <v>1</v>
      </c>
      <c r="E1199" s="168"/>
      <c r="F1199" s="171"/>
      <c r="G1199" s="170"/>
      <c r="H1199" s="177"/>
      <c r="I1199" s="171"/>
      <c r="J1199" s="171"/>
      <c r="K1199" s="166" t="str">
        <f ca="1">IFERROR(VLOOKUP(C1199,' Disaggregation - Section E '!A$10:N318,3,0),"")</f>
        <v>HIV I-9a⁽ᴹ⁾ Porcentaje de HSH y viven con el VIH</v>
      </c>
      <c r="L1199" s="171"/>
      <c r="M1199" s="166"/>
      <c r="N1199" s="171"/>
      <c r="O1199" s="171"/>
    </row>
    <row r="1200" spans="1:15">
      <c r="A1200" s="166" t="b">
        <v>0</v>
      </c>
      <c r="B1200" s="166"/>
      <c r="C1200" s="413" t="s">
        <v>3764</v>
      </c>
      <c r="D1200" s="177">
        <v>1</v>
      </c>
      <c r="E1200" s="168"/>
      <c r="F1200" s="171"/>
      <c r="G1200" s="170"/>
      <c r="H1200" s="177"/>
      <c r="I1200" s="171"/>
      <c r="J1200" s="171"/>
      <c r="K1200" s="166" t="str">
        <f ca="1">IFERROR(VLOOKUP(C1200,' Disaggregation - Section E '!A$10:N319,3,0),"")</f>
        <v>HIV I-9a⁽ᴹ⁾ Porcentaje de HSH y viven con el VIH</v>
      </c>
      <c r="L1200" s="171"/>
      <c r="M1200" s="166"/>
      <c r="N1200" s="171"/>
      <c r="O1200" s="171"/>
    </row>
    <row r="1201" spans="1:15">
      <c r="A1201" s="166" t="b">
        <v>0</v>
      </c>
      <c r="B1201" s="166"/>
      <c r="C1201" s="413" t="s">
        <v>3765</v>
      </c>
      <c r="D1201" s="177">
        <v>2</v>
      </c>
      <c r="E1201" s="168"/>
      <c r="F1201" s="171"/>
      <c r="G1201" s="170"/>
      <c r="H1201" s="177"/>
      <c r="I1201" s="171"/>
      <c r="J1201" s="171"/>
      <c r="K1201" s="166" t="str">
        <f ca="1">IFERROR(VLOOKUP(C1201,' Disaggregation - Section E '!A$10:N320,3,0),"")</f>
        <v>HIV I-9b⁽ᴹ⁾ Porcentaje de personas transgénero que viven con el VIH</v>
      </c>
      <c r="L1201" s="171"/>
      <c r="M1201" s="166"/>
      <c r="N1201" s="171"/>
      <c r="O1201" s="171"/>
    </row>
    <row r="1202" spans="1:15">
      <c r="A1202" s="166" t="b">
        <v>0</v>
      </c>
      <c r="B1202" s="166"/>
      <c r="C1202" s="413" t="s">
        <v>3766</v>
      </c>
      <c r="D1202" s="177">
        <v>2</v>
      </c>
      <c r="E1202" s="168"/>
      <c r="F1202" s="171"/>
      <c r="G1202" s="170"/>
      <c r="H1202" s="177"/>
      <c r="I1202" s="171"/>
      <c r="J1202" s="171"/>
      <c r="K1202" s="166" t="str">
        <f ca="1">IFERROR(VLOOKUP(C1202,' Disaggregation - Section E '!A$10:N321,3,0),"")</f>
        <v>HIV I-9b⁽ᴹ⁾ Porcentaje de personas transgénero que viven con el VIH</v>
      </c>
      <c r="L1202" s="171"/>
      <c r="M1202" s="166"/>
      <c r="N1202" s="171"/>
      <c r="O1202" s="171"/>
    </row>
    <row r="1203" spans="1:15">
      <c r="A1203" s="166" t="b">
        <v>0</v>
      </c>
      <c r="B1203" s="166"/>
      <c r="C1203" s="413" t="s">
        <v>3767</v>
      </c>
      <c r="D1203" s="177">
        <v>2</v>
      </c>
      <c r="E1203" s="168"/>
      <c r="F1203" s="171"/>
      <c r="G1203" s="170"/>
      <c r="H1203" s="177"/>
      <c r="I1203" s="171"/>
      <c r="J1203" s="171"/>
      <c r="K1203" s="166" t="str">
        <f ca="1">IFERROR(VLOOKUP(C1203,' Disaggregation - Section E '!A$10:N322,3,0),"")</f>
        <v>HIV I-9b⁽ᴹ⁾ Porcentaje de personas transgénero que viven con el VIH</v>
      </c>
      <c r="L1203" s="171"/>
      <c r="M1203" s="166"/>
      <c r="N1203" s="171"/>
      <c r="O1203" s="171"/>
    </row>
    <row r="1204" spans="1:15">
      <c r="A1204" s="166" t="b">
        <v>0</v>
      </c>
      <c r="B1204" s="166"/>
      <c r="C1204" s="413" t="s">
        <v>3768</v>
      </c>
      <c r="D1204" s="177">
        <v>2</v>
      </c>
      <c r="E1204" s="168"/>
      <c r="F1204" s="171"/>
      <c r="G1204" s="170"/>
      <c r="H1204" s="177"/>
      <c r="I1204" s="171"/>
      <c r="J1204" s="171"/>
      <c r="K1204" s="166" t="str">
        <f ca="1">IFERROR(VLOOKUP(C1204,' Disaggregation - Section E '!A$10:N323,3,0),"")</f>
        <v>HIV I-9b⁽ᴹ⁾ Porcentaje de personas transgénero que viven con el VIH</v>
      </c>
      <c r="L1204" s="171"/>
      <c r="M1204" s="166"/>
      <c r="N1204" s="171"/>
      <c r="O1204" s="171"/>
    </row>
    <row r="1205" spans="1:15">
      <c r="A1205" s="166" t="b">
        <v>0</v>
      </c>
      <c r="B1205" s="166"/>
      <c r="C1205" s="413" t="s">
        <v>3769</v>
      </c>
      <c r="D1205" s="177">
        <v>2</v>
      </c>
      <c r="E1205" s="168"/>
      <c r="F1205" s="171"/>
      <c r="G1205" s="170"/>
      <c r="H1205" s="177"/>
      <c r="I1205" s="171"/>
      <c r="J1205" s="171"/>
      <c r="K1205" s="166" t="str">
        <f ca="1">IFERROR(VLOOKUP(C1205,' Disaggregation - Section E '!A$10:N324,3,0),"")</f>
        <v>HIV I-9b⁽ᴹ⁾ Porcentaje de personas transgénero que viven con el VIH</v>
      </c>
      <c r="L1205" s="171"/>
      <c r="M1205" s="166"/>
      <c r="N1205" s="171"/>
      <c r="O1205" s="171"/>
    </row>
    <row r="1206" spans="1:15">
      <c r="A1206" s="166" t="b">
        <v>0</v>
      </c>
      <c r="B1206" s="166"/>
      <c r="C1206" s="413" t="s">
        <v>3770</v>
      </c>
      <c r="D1206" s="177">
        <v>2</v>
      </c>
      <c r="E1206" s="168"/>
      <c r="F1206" s="171"/>
      <c r="G1206" s="170"/>
      <c r="H1206" s="177"/>
      <c r="I1206" s="171"/>
      <c r="J1206" s="171"/>
      <c r="K1206" s="166" t="str">
        <f ca="1">IFERROR(VLOOKUP(C1206,' Disaggregation - Section E '!A$10:N325,3,0),"")</f>
        <v>HIV I-9b⁽ᴹ⁾ Porcentaje de personas transgénero que viven con el VIH</v>
      </c>
      <c r="L1206" s="171"/>
      <c r="M1206" s="166"/>
      <c r="N1206" s="171"/>
      <c r="O1206" s="171"/>
    </row>
    <row r="1207" spans="1:15">
      <c r="A1207" s="166" t="b">
        <v>0</v>
      </c>
      <c r="B1207" s="166"/>
      <c r="C1207" s="413" t="s">
        <v>3771</v>
      </c>
      <c r="D1207" s="177">
        <v>2</v>
      </c>
      <c r="E1207" s="168"/>
      <c r="F1207" s="171"/>
      <c r="G1207" s="170"/>
      <c r="H1207" s="177"/>
      <c r="I1207" s="171"/>
      <c r="J1207" s="171"/>
      <c r="K1207" s="166" t="str">
        <f ca="1">IFERROR(VLOOKUP(C1207,' Disaggregation - Section E '!A$10:N326,3,0),"")</f>
        <v>HIV I-9b⁽ᴹ⁾ Porcentaje de personas transgénero que viven con el VIH</v>
      </c>
      <c r="L1207" s="171"/>
      <c r="M1207" s="166"/>
      <c r="N1207" s="171"/>
      <c r="O1207" s="171"/>
    </row>
    <row r="1208" spans="1:15">
      <c r="A1208" s="166" t="b">
        <v>0</v>
      </c>
      <c r="B1208" s="166"/>
      <c r="C1208" s="413" t="s">
        <v>3772</v>
      </c>
      <c r="D1208" s="177">
        <v>2</v>
      </c>
      <c r="E1208" s="168"/>
      <c r="F1208" s="171"/>
      <c r="G1208" s="170"/>
      <c r="H1208" s="177"/>
      <c r="I1208" s="171"/>
      <c r="J1208" s="171"/>
      <c r="K1208" s="166" t="str">
        <f ca="1">IFERROR(VLOOKUP(C1208,' Disaggregation - Section E '!A$10:N327,3,0),"")</f>
        <v>HIV I-9b⁽ᴹ⁾ Porcentaje de personas transgénero que viven con el VIH</v>
      </c>
      <c r="L1208" s="171"/>
      <c r="M1208" s="166"/>
      <c r="N1208" s="171"/>
      <c r="O1208" s="171"/>
    </row>
    <row r="1209" spans="1:15">
      <c r="A1209" s="166" t="b">
        <v>0</v>
      </c>
      <c r="B1209" s="166"/>
      <c r="C1209" s="413" t="s">
        <v>3773</v>
      </c>
      <c r="D1209" s="177">
        <v>2</v>
      </c>
      <c r="E1209" s="168"/>
      <c r="F1209" s="171"/>
      <c r="G1209" s="170"/>
      <c r="H1209" s="177"/>
      <c r="I1209" s="171"/>
      <c r="J1209" s="171"/>
      <c r="K1209" s="166" t="str">
        <f ca="1">IFERROR(VLOOKUP(C1209,' Disaggregation - Section E '!A$10:N328,3,0),"")</f>
        <v>HIV I-9b⁽ᴹ⁾ Porcentaje de personas transgénero que viven con el VIH</v>
      </c>
      <c r="L1209" s="171"/>
      <c r="M1209" s="166"/>
      <c r="N1209" s="171"/>
      <c r="O1209" s="171"/>
    </row>
    <row r="1210" spans="1:15">
      <c r="A1210" s="166" t="b">
        <v>0</v>
      </c>
      <c r="B1210" s="166"/>
      <c r="C1210" s="413" t="s">
        <v>3774</v>
      </c>
      <c r="D1210" s="177">
        <v>2</v>
      </c>
      <c r="E1210" s="168"/>
      <c r="F1210" s="171"/>
      <c r="G1210" s="170"/>
      <c r="H1210" s="177"/>
      <c r="I1210" s="171"/>
      <c r="J1210" s="171"/>
      <c r="K1210" s="166" t="str">
        <f ca="1">IFERROR(VLOOKUP(C1210,' Disaggregation - Section E '!A$10:N329,3,0),"")</f>
        <v>HIV I-9b⁽ᴹ⁾ Porcentaje de personas transgénero que viven con el VIH</v>
      </c>
      <c r="L1210" s="171"/>
      <c r="M1210" s="166"/>
      <c r="N1210" s="171"/>
      <c r="O1210" s="171"/>
    </row>
    <row r="1211" spans="1:15">
      <c r="A1211" s="166" t="b">
        <v>0</v>
      </c>
      <c r="B1211" s="166"/>
      <c r="C1211" s="413" t="s">
        <v>3775</v>
      </c>
      <c r="D1211" s="177">
        <v>3</v>
      </c>
      <c r="E1211" s="168"/>
      <c r="F1211" s="171"/>
      <c r="G1211" s="170"/>
      <c r="H1211" s="177"/>
      <c r="I1211" s="171"/>
      <c r="J1211" s="171"/>
      <c r="K1211" s="166" t="str">
        <f ca="1">IFERROR(VLOOKUP(C1211,' Disaggregation - Section E '!A$10:N330,3,0),"")</f>
        <v/>
      </c>
      <c r="L1211" s="171"/>
      <c r="M1211" s="166"/>
      <c r="N1211" s="171"/>
      <c r="O1211" s="171"/>
    </row>
    <row r="1212" spans="1:15">
      <c r="A1212" s="166" t="b">
        <v>0</v>
      </c>
      <c r="B1212" s="166"/>
      <c r="C1212" s="413" t="s">
        <v>3776</v>
      </c>
      <c r="D1212" s="177">
        <v>3</v>
      </c>
      <c r="E1212" s="168"/>
      <c r="F1212" s="171"/>
      <c r="G1212" s="170"/>
      <c r="H1212" s="177"/>
      <c r="I1212" s="171"/>
      <c r="J1212" s="171"/>
      <c r="K1212" s="166" t="str">
        <f ca="1">IFERROR(VLOOKUP(C1212,' Disaggregation - Section E '!A$10:N331,3,0),"")</f>
        <v/>
      </c>
      <c r="L1212" s="171"/>
      <c r="M1212" s="166"/>
      <c r="N1212" s="171"/>
      <c r="O1212" s="171"/>
    </row>
    <row r="1213" spans="1:15">
      <c r="A1213" s="166" t="b">
        <v>0</v>
      </c>
      <c r="B1213" s="166"/>
      <c r="C1213" s="413" t="s">
        <v>3777</v>
      </c>
      <c r="D1213" s="177">
        <v>3</v>
      </c>
      <c r="E1213" s="168"/>
      <c r="F1213" s="171"/>
      <c r="G1213" s="170"/>
      <c r="H1213" s="177"/>
      <c r="I1213" s="171"/>
      <c r="J1213" s="171"/>
      <c r="K1213" s="166" t="str">
        <f ca="1">IFERROR(VLOOKUP(C1213,' Disaggregation - Section E '!A$10:N332,3,0),"")</f>
        <v/>
      </c>
      <c r="L1213" s="171"/>
      <c r="M1213" s="166"/>
      <c r="N1213" s="171"/>
      <c r="O1213" s="171"/>
    </row>
    <row r="1214" spans="1:15">
      <c r="A1214" s="166" t="b">
        <v>0</v>
      </c>
      <c r="B1214" s="166"/>
      <c r="C1214" s="413" t="s">
        <v>3778</v>
      </c>
      <c r="D1214" s="177">
        <v>3</v>
      </c>
      <c r="E1214" s="168"/>
      <c r="F1214" s="171"/>
      <c r="G1214" s="170"/>
      <c r="H1214" s="177"/>
      <c r="I1214" s="171"/>
      <c r="J1214" s="171"/>
      <c r="K1214" s="166" t="str">
        <f ca="1">IFERROR(VLOOKUP(C1214,' Disaggregation - Section E '!A$10:N333,3,0),"")</f>
        <v/>
      </c>
      <c r="L1214" s="171"/>
      <c r="M1214" s="166"/>
      <c r="N1214" s="171"/>
      <c r="O1214" s="171"/>
    </row>
    <row r="1215" spans="1:15">
      <c r="A1215" s="166" t="b">
        <v>0</v>
      </c>
      <c r="B1215" s="166"/>
      <c r="C1215" s="413" t="s">
        <v>3779</v>
      </c>
      <c r="D1215" s="177">
        <v>3</v>
      </c>
      <c r="E1215" s="168"/>
      <c r="F1215" s="171"/>
      <c r="G1215" s="170"/>
      <c r="H1215" s="177"/>
      <c r="I1215" s="171"/>
      <c r="J1215" s="171"/>
      <c r="K1215" s="166" t="str">
        <f ca="1">IFERROR(VLOOKUP(C1215,' Disaggregation - Section E '!A$10:N334,3,0),"")</f>
        <v/>
      </c>
      <c r="L1215" s="171"/>
      <c r="M1215" s="166"/>
      <c r="N1215" s="171"/>
      <c r="O1215" s="171"/>
    </row>
    <row r="1216" spans="1:15">
      <c r="A1216" s="166" t="b">
        <v>0</v>
      </c>
      <c r="B1216" s="166"/>
      <c r="C1216" s="413" t="s">
        <v>3780</v>
      </c>
      <c r="D1216" s="177">
        <v>3</v>
      </c>
      <c r="E1216" s="168"/>
      <c r="F1216" s="171"/>
      <c r="G1216" s="170"/>
      <c r="H1216" s="177"/>
      <c r="I1216" s="171"/>
      <c r="J1216" s="171"/>
      <c r="K1216" s="166" t="str">
        <f ca="1">IFERROR(VLOOKUP(C1216,' Disaggregation - Section E '!A$10:N335,3,0),"")</f>
        <v/>
      </c>
      <c r="L1216" s="171"/>
      <c r="M1216" s="166"/>
      <c r="N1216" s="171"/>
      <c r="O1216" s="171"/>
    </row>
    <row r="1217" spans="1:15">
      <c r="A1217" s="166" t="b">
        <v>0</v>
      </c>
      <c r="B1217" s="166"/>
      <c r="C1217" s="413" t="s">
        <v>3781</v>
      </c>
      <c r="D1217" s="177">
        <v>3</v>
      </c>
      <c r="E1217" s="168"/>
      <c r="F1217" s="171"/>
      <c r="G1217" s="170"/>
      <c r="H1217" s="177"/>
      <c r="I1217" s="171"/>
      <c r="J1217" s="171"/>
      <c r="K1217" s="166" t="str">
        <f ca="1">IFERROR(VLOOKUP(C1217,' Disaggregation - Section E '!A$10:N336,3,0),"")</f>
        <v/>
      </c>
      <c r="L1217" s="171"/>
      <c r="M1217" s="166"/>
      <c r="N1217" s="171"/>
      <c r="O1217" s="171"/>
    </row>
    <row r="1218" spans="1:15">
      <c r="A1218" s="166" t="b">
        <v>0</v>
      </c>
      <c r="B1218" s="166"/>
      <c r="C1218" s="413" t="s">
        <v>3782</v>
      </c>
      <c r="D1218" s="177">
        <v>3</v>
      </c>
      <c r="E1218" s="168"/>
      <c r="F1218" s="171"/>
      <c r="G1218" s="170"/>
      <c r="H1218" s="177"/>
      <c r="I1218" s="171"/>
      <c r="J1218" s="171"/>
      <c r="K1218" s="166" t="str">
        <f ca="1">IFERROR(VLOOKUP(C1218,' Disaggregation - Section E '!A$10:N337,3,0),"")</f>
        <v/>
      </c>
      <c r="L1218" s="171"/>
      <c r="M1218" s="166"/>
      <c r="N1218" s="171"/>
      <c r="O1218" s="171"/>
    </row>
    <row r="1219" spans="1:15">
      <c r="A1219" s="166" t="b">
        <v>0</v>
      </c>
      <c r="B1219" s="166"/>
      <c r="C1219" s="413" t="s">
        <v>3783</v>
      </c>
      <c r="D1219" s="177">
        <v>3</v>
      </c>
      <c r="E1219" s="168"/>
      <c r="F1219" s="171"/>
      <c r="G1219" s="170"/>
      <c r="H1219" s="177"/>
      <c r="I1219" s="171"/>
      <c r="J1219" s="171"/>
      <c r="K1219" s="166" t="str">
        <f ca="1">IFERROR(VLOOKUP(C1219,' Disaggregation - Section E '!A$10:N338,3,0),"")</f>
        <v/>
      </c>
      <c r="L1219" s="171"/>
      <c r="M1219" s="166"/>
      <c r="N1219" s="171"/>
      <c r="O1219" s="171"/>
    </row>
    <row r="1220" spans="1:15">
      <c r="A1220" s="166" t="b">
        <v>0</v>
      </c>
      <c r="B1220" s="166"/>
      <c r="C1220" s="413" t="s">
        <v>3784</v>
      </c>
      <c r="D1220" s="177">
        <v>3</v>
      </c>
      <c r="E1220" s="168"/>
      <c r="F1220" s="171"/>
      <c r="G1220" s="170"/>
      <c r="H1220" s="177"/>
      <c r="I1220" s="171"/>
      <c r="J1220" s="171"/>
      <c r="K1220" s="166" t="str">
        <f ca="1">IFERROR(VLOOKUP(C1220,' Disaggregation - Section E '!A$10:N339,3,0),"")</f>
        <v/>
      </c>
      <c r="L1220" s="171"/>
      <c r="M1220" s="166"/>
      <c r="N1220" s="171"/>
      <c r="O1220" s="171"/>
    </row>
    <row r="1221" spans="1:15">
      <c r="A1221" s="166" t="b">
        <v>0</v>
      </c>
      <c r="B1221" s="166"/>
      <c r="C1221" s="413" t="s">
        <v>3785</v>
      </c>
      <c r="D1221" s="177">
        <v>4</v>
      </c>
      <c r="E1221" s="168"/>
      <c r="F1221" s="171"/>
      <c r="G1221" s="170"/>
      <c r="H1221" s="177"/>
      <c r="I1221" s="171"/>
      <c r="J1221" s="171"/>
      <c r="K1221" s="166" t="str">
        <f ca="1">IFERROR(VLOOKUP(C1221,' Disaggregation - Section E '!A$10:N340,3,0),"")</f>
        <v>HIV I-10⁽ᴹ⁾ Porcentaje de trabajadores sexuales que viven con el VIH</v>
      </c>
      <c r="L1221" s="171"/>
      <c r="M1221" s="166"/>
      <c r="N1221" s="171"/>
      <c r="O1221" s="171"/>
    </row>
    <row r="1222" spans="1:15">
      <c r="A1222" s="166" t="b">
        <v>0</v>
      </c>
      <c r="B1222" s="166"/>
      <c r="C1222" s="413" t="s">
        <v>3786</v>
      </c>
      <c r="D1222" s="177">
        <v>4</v>
      </c>
      <c r="E1222" s="168"/>
      <c r="F1222" s="171"/>
      <c r="G1222" s="170"/>
      <c r="H1222" s="177"/>
      <c r="I1222" s="171"/>
      <c r="J1222" s="171"/>
      <c r="K1222" s="166" t="str">
        <f ca="1">IFERROR(VLOOKUP(C1222,' Disaggregation - Section E '!A$10:N341,3,0),"")</f>
        <v>HIV I-10⁽ᴹ⁾ Porcentaje de trabajadores sexuales que viven con el VIH</v>
      </c>
      <c r="L1222" s="171"/>
      <c r="M1222" s="166"/>
      <c r="N1222" s="171"/>
      <c r="O1222" s="171"/>
    </row>
    <row r="1223" spans="1:15">
      <c r="A1223" s="166" t="b">
        <v>0</v>
      </c>
      <c r="B1223" s="166"/>
      <c r="C1223" s="413" t="s">
        <v>3787</v>
      </c>
      <c r="D1223" s="177">
        <v>4</v>
      </c>
      <c r="E1223" s="168"/>
      <c r="F1223" s="171"/>
      <c r="G1223" s="170"/>
      <c r="H1223" s="177"/>
      <c r="I1223" s="171"/>
      <c r="J1223" s="171"/>
      <c r="K1223" s="166" t="str">
        <f ca="1">IFERROR(VLOOKUP(C1223,' Disaggregation - Section E '!A$10:N342,3,0),"")</f>
        <v>HIV I-10⁽ᴹ⁾ Porcentaje de trabajadores sexuales que viven con el VIH</v>
      </c>
      <c r="L1223" s="171"/>
      <c r="M1223" s="166"/>
      <c r="N1223" s="171"/>
      <c r="O1223" s="171"/>
    </row>
    <row r="1224" spans="1:15">
      <c r="A1224" s="166" t="b">
        <v>0</v>
      </c>
      <c r="B1224" s="166"/>
      <c r="C1224" s="413" t="s">
        <v>3788</v>
      </c>
      <c r="D1224" s="177">
        <v>4</v>
      </c>
      <c r="E1224" s="168"/>
      <c r="F1224" s="171"/>
      <c r="G1224" s="170"/>
      <c r="H1224" s="177"/>
      <c r="I1224" s="171"/>
      <c r="J1224" s="171"/>
      <c r="K1224" s="166" t="str">
        <f ca="1">IFERROR(VLOOKUP(C1224,' Disaggregation - Section E '!A$10:N343,3,0),"")</f>
        <v>HIV I-10⁽ᴹ⁾ Porcentaje de trabajadores sexuales que viven con el VIH</v>
      </c>
      <c r="L1224" s="171"/>
      <c r="M1224" s="166"/>
      <c r="N1224" s="171"/>
      <c r="O1224" s="171"/>
    </row>
    <row r="1225" spans="1:15">
      <c r="A1225" s="166" t="b">
        <v>0</v>
      </c>
      <c r="B1225" s="166"/>
      <c r="C1225" s="413" t="s">
        <v>3789</v>
      </c>
      <c r="D1225" s="177">
        <v>4</v>
      </c>
      <c r="E1225" s="168"/>
      <c r="F1225" s="171"/>
      <c r="G1225" s="170"/>
      <c r="H1225" s="177"/>
      <c r="I1225" s="171"/>
      <c r="J1225" s="171"/>
      <c r="K1225" s="166" t="str">
        <f ca="1">IFERROR(VLOOKUP(C1225,' Disaggregation - Section E '!A$10:N344,3,0),"")</f>
        <v>HIV I-10⁽ᴹ⁾ Porcentaje de trabajadores sexuales que viven con el VIH</v>
      </c>
      <c r="L1225" s="171"/>
      <c r="M1225" s="166"/>
      <c r="N1225" s="171"/>
      <c r="O1225" s="171"/>
    </row>
    <row r="1226" spans="1:15">
      <c r="A1226" s="166" t="b">
        <v>0</v>
      </c>
      <c r="B1226" s="166"/>
      <c r="C1226" s="413" t="s">
        <v>3790</v>
      </c>
      <c r="D1226" s="177">
        <v>4</v>
      </c>
      <c r="E1226" s="168"/>
      <c r="F1226" s="171"/>
      <c r="G1226" s="170"/>
      <c r="H1226" s="177"/>
      <c r="I1226" s="171"/>
      <c r="J1226" s="171"/>
      <c r="K1226" s="166" t="str">
        <f ca="1">IFERROR(VLOOKUP(C1226,' Disaggregation - Section E '!A$10:N345,3,0),"")</f>
        <v>HIV I-10⁽ᴹ⁾ Porcentaje de trabajadores sexuales que viven con el VIH</v>
      </c>
      <c r="L1226" s="171"/>
      <c r="M1226" s="166"/>
      <c r="N1226" s="171"/>
      <c r="O1226" s="171"/>
    </row>
    <row r="1227" spans="1:15">
      <c r="A1227" s="166" t="b">
        <v>0</v>
      </c>
      <c r="B1227" s="166"/>
      <c r="C1227" s="413" t="s">
        <v>3791</v>
      </c>
      <c r="D1227" s="177">
        <v>4</v>
      </c>
      <c r="E1227" s="168"/>
      <c r="F1227" s="171"/>
      <c r="G1227" s="170"/>
      <c r="H1227" s="177"/>
      <c r="I1227" s="171"/>
      <c r="J1227" s="171"/>
      <c r="K1227" s="166" t="str">
        <f ca="1">IFERROR(VLOOKUP(C1227,' Disaggregation - Section E '!A$10:N346,3,0),"")</f>
        <v>HIV I-10⁽ᴹ⁾ Porcentaje de trabajadores sexuales que viven con el VIH</v>
      </c>
      <c r="L1227" s="171"/>
      <c r="M1227" s="166"/>
      <c r="N1227" s="171"/>
      <c r="O1227" s="171"/>
    </row>
    <row r="1228" spans="1:15">
      <c r="A1228" s="166" t="b">
        <v>0</v>
      </c>
      <c r="B1228" s="166"/>
      <c r="C1228" s="413" t="s">
        <v>3792</v>
      </c>
      <c r="D1228" s="177">
        <v>4</v>
      </c>
      <c r="E1228" s="168"/>
      <c r="F1228" s="171"/>
      <c r="G1228" s="170"/>
      <c r="H1228" s="177"/>
      <c r="I1228" s="171"/>
      <c r="J1228" s="171"/>
      <c r="K1228" s="166" t="str">
        <f ca="1">IFERROR(VLOOKUP(C1228,' Disaggregation - Section E '!A$10:N347,3,0),"")</f>
        <v>HIV I-10⁽ᴹ⁾ Porcentaje de trabajadores sexuales que viven con el VIH</v>
      </c>
      <c r="L1228" s="171"/>
      <c r="M1228" s="166"/>
      <c r="N1228" s="171"/>
      <c r="O1228" s="171"/>
    </row>
    <row r="1229" spans="1:15">
      <c r="A1229" s="166" t="b">
        <v>0</v>
      </c>
      <c r="B1229" s="166"/>
      <c r="C1229" s="413" t="s">
        <v>3793</v>
      </c>
      <c r="D1229" s="177">
        <v>4</v>
      </c>
      <c r="E1229" s="168"/>
      <c r="F1229" s="171"/>
      <c r="G1229" s="170"/>
      <c r="H1229" s="177"/>
      <c r="I1229" s="171"/>
      <c r="J1229" s="171"/>
      <c r="K1229" s="166" t="str">
        <f ca="1">IFERROR(VLOOKUP(C1229,' Disaggregation - Section E '!A$10:N348,3,0),"")</f>
        <v>HIV I-10⁽ᴹ⁾ Porcentaje de trabajadores sexuales que viven con el VIH</v>
      </c>
      <c r="L1229" s="171"/>
      <c r="M1229" s="166"/>
      <c r="N1229" s="171"/>
      <c r="O1229" s="171"/>
    </row>
    <row r="1230" spans="1:15">
      <c r="A1230" s="166" t="b">
        <v>0</v>
      </c>
      <c r="B1230" s="166"/>
      <c r="C1230" s="413" t="s">
        <v>3794</v>
      </c>
      <c r="D1230" s="177">
        <v>4</v>
      </c>
      <c r="E1230" s="168"/>
      <c r="F1230" s="171"/>
      <c r="G1230" s="170"/>
      <c r="H1230" s="177"/>
      <c r="I1230" s="171"/>
      <c r="J1230" s="171"/>
      <c r="K1230" s="166" t="str">
        <f ca="1">IFERROR(VLOOKUP(C1230,' Disaggregation - Section E '!A$10:N349,3,0),"")</f>
        <v>HIV I-10⁽ᴹ⁾ Porcentaje de trabajadores sexuales que viven con el VIH</v>
      </c>
      <c r="L1230" s="171"/>
      <c r="M1230" s="166"/>
      <c r="N1230" s="171"/>
      <c r="O1230" s="171"/>
    </row>
    <row r="1231" spans="1:15">
      <c r="A1231" s="166" t="b">
        <v>0</v>
      </c>
      <c r="B1231" s="166"/>
      <c r="C1231" s="413" t="s">
        <v>3795</v>
      </c>
      <c r="D1231" s="177">
        <v>5</v>
      </c>
      <c r="E1231" s="168"/>
      <c r="F1231" s="171"/>
      <c r="G1231" s="170"/>
      <c r="H1231" s="177"/>
      <c r="I1231" s="171"/>
      <c r="J1231" s="171"/>
      <c r="K1231" s="166" t="str">
        <f ca="1">IFERROR(VLOOKUP(C1231,' Disaggregation - Section E '!A$10:N350,3,0),"")</f>
        <v/>
      </c>
      <c r="L1231" s="171"/>
      <c r="M1231" s="166"/>
      <c r="N1231" s="171"/>
      <c r="O1231" s="171"/>
    </row>
    <row r="1232" spans="1:15">
      <c r="A1232" s="166" t="b">
        <v>0</v>
      </c>
      <c r="B1232" s="166"/>
      <c r="C1232" s="413" t="s">
        <v>3796</v>
      </c>
      <c r="D1232" s="177">
        <v>5</v>
      </c>
      <c r="E1232" s="168"/>
      <c r="F1232" s="171"/>
      <c r="G1232" s="170"/>
      <c r="H1232" s="177"/>
      <c r="I1232" s="171"/>
      <c r="J1232" s="171"/>
      <c r="K1232" s="166" t="str">
        <f ca="1">IFERROR(VLOOKUP(C1232,' Disaggregation - Section E '!A$10:N351,3,0),"")</f>
        <v/>
      </c>
      <c r="L1232" s="171"/>
      <c r="M1232" s="166"/>
      <c r="N1232" s="171"/>
      <c r="O1232" s="171"/>
    </row>
    <row r="1233" spans="1:15">
      <c r="A1233" s="166" t="b">
        <v>0</v>
      </c>
      <c r="B1233" s="166"/>
      <c r="C1233" s="413" t="s">
        <v>3797</v>
      </c>
      <c r="D1233" s="177">
        <v>5</v>
      </c>
      <c r="E1233" s="168"/>
      <c r="F1233" s="171"/>
      <c r="G1233" s="170"/>
      <c r="H1233" s="177"/>
      <c r="I1233" s="171"/>
      <c r="J1233" s="171"/>
      <c r="K1233" s="166" t="str">
        <f ca="1">IFERROR(VLOOKUP(C1233,' Disaggregation - Section E '!A$10:N352,3,0),"")</f>
        <v/>
      </c>
      <c r="L1233" s="171"/>
      <c r="M1233" s="166"/>
      <c r="N1233" s="171"/>
      <c r="O1233" s="171"/>
    </row>
    <row r="1234" spans="1:15">
      <c r="A1234" s="166" t="b">
        <v>0</v>
      </c>
      <c r="B1234" s="166"/>
      <c r="C1234" s="413" t="s">
        <v>3798</v>
      </c>
      <c r="D1234" s="177">
        <v>5</v>
      </c>
      <c r="E1234" s="168"/>
      <c r="F1234" s="171"/>
      <c r="G1234" s="170"/>
      <c r="H1234" s="177"/>
      <c r="I1234" s="171"/>
      <c r="J1234" s="171"/>
      <c r="K1234" s="166" t="str">
        <f ca="1">IFERROR(VLOOKUP(C1234,' Disaggregation - Section E '!A$10:N353,3,0),"")</f>
        <v/>
      </c>
      <c r="L1234" s="171"/>
      <c r="M1234" s="166"/>
      <c r="N1234" s="171"/>
      <c r="O1234" s="171"/>
    </row>
    <row r="1235" spans="1:15">
      <c r="A1235" s="166" t="b">
        <v>0</v>
      </c>
      <c r="B1235" s="166"/>
      <c r="C1235" s="413" t="s">
        <v>3799</v>
      </c>
      <c r="D1235" s="177">
        <v>5</v>
      </c>
      <c r="E1235" s="168"/>
      <c r="F1235" s="171"/>
      <c r="G1235" s="170"/>
      <c r="H1235" s="177"/>
      <c r="I1235" s="171"/>
      <c r="J1235" s="171"/>
      <c r="K1235" s="166" t="str">
        <f ca="1">IFERROR(VLOOKUP(C1235,' Disaggregation - Section E '!A$10:N354,3,0),"")</f>
        <v/>
      </c>
      <c r="L1235" s="171"/>
      <c r="M1235" s="166"/>
      <c r="N1235" s="171"/>
      <c r="O1235" s="171"/>
    </row>
    <row r="1236" spans="1:15">
      <c r="A1236" s="166" t="b">
        <v>0</v>
      </c>
      <c r="B1236" s="166"/>
      <c r="C1236" s="413" t="s">
        <v>3800</v>
      </c>
      <c r="D1236" s="177">
        <v>5</v>
      </c>
      <c r="E1236" s="168"/>
      <c r="F1236" s="171"/>
      <c r="G1236" s="170"/>
      <c r="H1236" s="177"/>
      <c r="I1236" s="171"/>
      <c r="J1236" s="171"/>
      <c r="K1236" s="166" t="str">
        <f ca="1">IFERROR(VLOOKUP(C1236,' Disaggregation - Section E '!A$10:N355,3,0),"")</f>
        <v/>
      </c>
      <c r="L1236" s="171"/>
      <c r="M1236" s="166"/>
      <c r="N1236" s="171"/>
      <c r="O1236" s="171"/>
    </row>
    <row r="1237" spans="1:15">
      <c r="A1237" s="166" t="b">
        <v>0</v>
      </c>
      <c r="B1237" s="166"/>
      <c r="C1237" s="413" t="s">
        <v>3801</v>
      </c>
      <c r="D1237" s="177">
        <v>5</v>
      </c>
      <c r="E1237" s="168"/>
      <c r="F1237" s="171"/>
      <c r="G1237" s="170"/>
      <c r="H1237" s="177"/>
      <c r="I1237" s="171"/>
      <c r="J1237" s="171"/>
      <c r="K1237" s="166" t="str">
        <f ca="1">IFERROR(VLOOKUP(C1237,' Disaggregation - Section E '!A$10:N356,3,0),"")</f>
        <v/>
      </c>
      <c r="L1237" s="171"/>
      <c r="M1237" s="166"/>
      <c r="N1237" s="171"/>
      <c r="O1237" s="171"/>
    </row>
    <row r="1238" spans="1:15">
      <c r="A1238" s="166" t="b">
        <v>0</v>
      </c>
      <c r="B1238" s="166"/>
      <c r="C1238" s="413" t="s">
        <v>3802</v>
      </c>
      <c r="D1238" s="177">
        <v>5</v>
      </c>
      <c r="E1238" s="168"/>
      <c r="F1238" s="171"/>
      <c r="G1238" s="170"/>
      <c r="H1238" s="177"/>
      <c r="I1238" s="171"/>
      <c r="J1238" s="171"/>
      <c r="K1238" s="166" t="str">
        <f ca="1">IFERROR(VLOOKUP(C1238,' Disaggregation - Section E '!A$10:N357,3,0),"")</f>
        <v/>
      </c>
      <c r="L1238" s="171"/>
      <c r="M1238" s="166"/>
      <c r="N1238" s="171"/>
      <c r="O1238" s="171"/>
    </row>
    <row r="1239" spans="1:15">
      <c r="A1239" s="166" t="b">
        <v>0</v>
      </c>
      <c r="B1239" s="166"/>
      <c r="C1239" s="413" t="s">
        <v>3803</v>
      </c>
      <c r="D1239" s="177">
        <v>5</v>
      </c>
      <c r="E1239" s="168"/>
      <c r="F1239" s="171"/>
      <c r="G1239" s="170"/>
      <c r="H1239" s="177"/>
      <c r="I1239" s="171"/>
      <c r="J1239" s="171"/>
      <c r="K1239" s="166" t="str">
        <f ca="1">IFERROR(VLOOKUP(C1239,' Disaggregation - Section E '!A$10:N358,3,0),"")</f>
        <v/>
      </c>
      <c r="L1239" s="171"/>
      <c r="M1239" s="166"/>
      <c r="N1239" s="171"/>
      <c r="O1239" s="171"/>
    </row>
    <row r="1240" spans="1:15">
      <c r="A1240" s="166" t="b">
        <v>0</v>
      </c>
      <c r="B1240" s="166"/>
      <c r="C1240" s="413" t="s">
        <v>3804</v>
      </c>
      <c r="D1240" s="177">
        <v>5</v>
      </c>
      <c r="E1240" s="168"/>
      <c r="F1240" s="171"/>
      <c r="G1240" s="170"/>
      <c r="H1240" s="177"/>
      <c r="I1240" s="171"/>
      <c r="J1240" s="171"/>
      <c r="K1240" s="166" t="str">
        <f ca="1">IFERROR(VLOOKUP(C1240,' Disaggregation - Section E '!A$10:N359,3,0),"")</f>
        <v/>
      </c>
      <c r="L1240" s="171"/>
      <c r="M1240" s="166"/>
      <c r="N1240" s="171"/>
      <c r="O1240" s="171"/>
    </row>
    <row r="1241" spans="1:15">
      <c r="A1241" s="166" t="b">
        <v>0</v>
      </c>
      <c r="B1241" s="166"/>
      <c r="C1241" s="413" t="s">
        <v>3805</v>
      </c>
      <c r="D1241" s="177">
        <v>6</v>
      </c>
      <c r="E1241" s="168"/>
      <c r="F1241" s="171"/>
      <c r="G1241" s="170"/>
      <c r="H1241" s="177"/>
      <c r="I1241" s="171"/>
      <c r="J1241" s="171"/>
      <c r="K1241" s="166" t="str">
        <f ca="1">IFERROR(VLOOKUP(C1241,' Disaggregation - Section E '!A$10:N360,3,0),"")</f>
        <v/>
      </c>
      <c r="L1241" s="171"/>
      <c r="M1241" s="166"/>
      <c r="N1241" s="171"/>
      <c r="O1241" s="171"/>
    </row>
    <row r="1242" spans="1:15">
      <c r="A1242" s="166" t="b">
        <v>0</v>
      </c>
      <c r="B1242" s="166"/>
      <c r="C1242" s="413" t="s">
        <v>3806</v>
      </c>
      <c r="D1242" s="177">
        <v>6</v>
      </c>
      <c r="E1242" s="168"/>
      <c r="F1242" s="171"/>
      <c r="G1242" s="170"/>
      <c r="H1242" s="177"/>
      <c r="I1242" s="171"/>
      <c r="J1242" s="171"/>
      <c r="K1242" s="166" t="str">
        <f ca="1">IFERROR(VLOOKUP(C1242,' Disaggregation - Section E '!A$10:N361,3,0),"")</f>
        <v/>
      </c>
      <c r="L1242" s="171"/>
      <c r="M1242" s="166"/>
      <c r="N1242" s="171"/>
      <c r="O1242" s="171"/>
    </row>
    <row r="1243" spans="1:15">
      <c r="A1243" s="166" t="b">
        <v>0</v>
      </c>
      <c r="B1243" s="166"/>
      <c r="C1243" s="413" t="s">
        <v>3807</v>
      </c>
      <c r="D1243" s="177">
        <v>6</v>
      </c>
      <c r="E1243" s="168"/>
      <c r="F1243" s="171"/>
      <c r="G1243" s="170"/>
      <c r="H1243" s="177"/>
      <c r="I1243" s="171"/>
      <c r="J1243" s="171"/>
      <c r="K1243" s="166" t="str">
        <f ca="1">IFERROR(VLOOKUP(C1243,' Disaggregation - Section E '!A$10:N362,3,0),"")</f>
        <v/>
      </c>
      <c r="L1243" s="171"/>
      <c r="M1243" s="166"/>
      <c r="N1243" s="171"/>
      <c r="O1243" s="171"/>
    </row>
    <row r="1244" spans="1:15">
      <c r="A1244" s="166" t="b">
        <v>0</v>
      </c>
      <c r="B1244" s="166"/>
      <c r="C1244" s="413" t="s">
        <v>3808</v>
      </c>
      <c r="D1244" s="177">
        <v>6</v>
      </c>
      <c r="E1244" s="168"/>
      <c r="F1244" s="171"/>
      <c r="G1244" s="170"/>
      <c r="H1244" s="177"/>
      <c r="I1244" s="171"/>
      <c r="J1244" s="171"/>
      <c r="K1244" s="166" t="str">
        <f ca="1">IFERROR(VLOOKUP(C1244,' Disaggregation - Section E '!A$10:N363,3,0),"")</f>
        <v/>
      </c>
      <c r="L1244" s="171"/>
      <c r="M1244" s="166"/>
      <c r="N1244" s="171"/>
      <c r="O1244" s="171"/>
    </row>
    <row r="1245" spans="1:15">
      <c r="A1245" s="166" t="b">
        <v>0</v>
      </c>
      <c r="B1245" s="166"/>
      <c r="C1245" s="413" t="s">
        <v>3809</v>
      </c>
      <c r="D1245" s="177">
        <v>6</v>
      </c>
      <c r="E1245" s="168"/>
      <c r="F1245" s="171"/>
      <c r="G1245" s="170"/>
      <c r="H1245" s="177"/>
      <c r="I1245" s="171"/>
      <c r="J1245" s="171"/>
      <c r="K1245" s="166" t="str">
        <f ca="1">IFERROR(VLOOKUP(C1245,' Disaggregation - Section E '!A$10:N364,3,0),"")</f>
        <v/>
      </c>
      <c r="L1245" s="171"/>
      <c r="M1245" s="166"/>
      <c r="N1245" s="171"/>
      <c r="O1245" s="171"/>
    </row>
    <row r="1246" spans="1:15">
      <c r="A1246" s="166" t="b">
        <v>0</v>
      </c>
      <c r="B1246" s="166"/>
      <c r="C1246" s="413" t="s">
        <v>3810</v>
      </c>
      <c r="D1246" s="177">
        <v>6</v>
      </c>
      <c r="E1246" s="168"/>
      <c r="F1246" s="171"/>
      <c r="G1246" s="170"/>
      <c r="H1246" s="177"/>
      <c r="I1246" s="171"/>
      <c r="J1246" s="171"/>
      <c r="K1246" s="166" t="str">
        <f ca="1">IFERROR(VLOOKUP(C1246,' Disaggregation - Section E '!A$10:N365,3,0),"")</f>
        <v/>
      </c>
      <c r="L1246" s="171"/>
      <c r="M1246" s="166"/>
      <c r="N1246" s="171"/>
      <c r="O1246" s="171"/>
    </row>
    <row r="1247" spans="1:15">
      <c r="A1247" s="166" t="b">
        <v>0</v>
      </c>
      <c r="B1247" s="166"/>
      <c r="C1247" s="413" t="s">
        <v>3811</v>
      </c>
      <c r="D1247" s="177">
        <v>6</v>
      </c>
      <c r="E1247" s="168"/>
      <c r="F1247" s="171"/>
      <c r="G1247" s="170"/>
      <c r="H1247" s="177"/>
      <c r="I1247" s="171"/>
      <c r="J1247" s="171"/>
      <c r="K1247" s="166" t="str">
        <f ca="1">IFERROR(VLOOKUP(C1247,' Disaggregation - Section E '!A$10:N366,3,0),"")</f>
        <v/>
      </c>
      <c r="L1247" s="171"/>
      <c r="M1247" s="166"/>
      <c r="N1247" s="171"/>
      <c r="O1247" s="171"/>
    </row>
    <row r="1248" spans="1:15">
      <c r="A1248" s="166" t="b">
        <v>0</v>
      </c>
      <c r="B1248" s="166"/>
      <c r="C1248" s="413" t="s">
        <v>3812</v>
      </c>
      <c r="D1248" s="177">
        <v>6</v>
      </c>
      <c r="E1248" s="168"/>
      <c r="F1248" s="171"/>
      <c r="G1248" s="170"/>
      <c r="H1248" s="177"/>
      <c r="I1248" s="171"/>
      <c r="J1248" s="171"/>
      <c r="K1248" s="166" t="str">
        <f ca="1">IFERROR(VLOOKUP(C1248,' Disaggregation - Section E '!A$10:N367,3,0),"")</f>
        <v/>
      </c>
      <c r="L1248" s="171"/>
      <c r="M1248" s="166"/>
      <c r="N1248" s="171"/>
      <c r="O1248" s="171"/>
    </row>
    <row r="1249" spans="1:15">
      <c r="A1249" s="166" t="b">
        <v>0</v>
      </c>
      <c r="B1249" s="166"/>
      <c r="C1249" s="413" t="s">
        <v>3813</v>
      </c>
      <c r="D1249" s="177">
        <v>6</v>
      </c>
      <c r="E1249" s="168"/>
      <c r="F1249" s="171"/>
      <c r="G1249" s="170"/>
      <c r="H1249" s="177"/>
      <c r="I1249" s="171"/>
      <c r="J1249" s="171"/>
      <c r="K1249" s="166" t="str">
        <f ca="1">IFERROR(VLOOKUP(C1249,' Disaggregation - Section E '!A$10:N368,3,0),"")</f>
        <v/>
      </c>
      <c r="L1249" s="171"/>
      <c r="M1249" s="166"/>
      <c r="N1249" s="171"/>
      <c r="O1249" s="171"/>
    </row>
    <row r="1250" spans="1:15">
      <c r="A1250" s="166" t="b">
        <v>0</v>
      </c>
      <c r="B1250" s="166"/>
      <c r="C1250" s="413" t="s">
        <v>3814</v>
      </c>
      <c r="D1250" s="177">
        <v>6</v>
      </c>
      <c r="E1250" s="168"/>
      <c r="F1250" s="171"/>
      <c r="G1250" s="170"/>
      <c r="H1250" s="177"/>
      <c r="I1250" s="171"/>
      <c r="J1250" s="171"/>
      <c r="K1250" s="166" t="str">
        <f ca="1">IFERROR(VLOOKUP(C1250,' Disaggregation - Section E '!A$10:N369,3,0),"")</f>
        <v/>
      </c>
      <c r="L1250" s="171"/>
      <c r="M1250" s="166"/>
      <c r="N1250" s="171"/>
      <c r="O1250" s="171"/>
    </row>
    <row r="1251" spans="1:15">
      <c r="A1251" s="166" t="b">
        <v>0</v>
      </c>
      <c r="B1251" s="166"/>
      <c r="C1251" s="413" t="s">
        <v>3815</v>
      </c>
      <c r="D1251" s="177">
        <v>7</v>
      </c>
      <c r="E1251" s="168"/>
      <c r="F1251" s="171"/>
      <c r="G1251" s="170"/>
      <c r="H1251" s="177"/>
      <c r="I1251" s="171"/>
      <c r="J1251" s="171"/>
      <c r="K1251" s="166" t="str">
        <f ca="1">IFERROR(VLOOKUP(C1251,' Disaggregation - Section E '!A$10:N370,3,0),"")</f>
        <v/>
      </c>
      <c r="L1251" s="171"/>
      <c r="M1251" s="166"/>
      <c r="N1251" s="171"/>
      <c r="O1251" s="171"/>
    </row>
    <row r="1252" spans="1:15">
      <c r="A1252" s="166" t="b">
        <v>0</v>
      </c>
      <c r="B1252" s="166"/>
      <c r="C1252" s="413" t="s">
        <v>3816</v>
      </c>
      <c r="D1252" s="177">
        <v>7</v>
      </c>
      <c r="E1252" s="168"/>
      <c r="F1252" s="171"/>
      <c r="G1252" s="170"/>
      <c r="H1252" s="177"/>
      <c r="I1252" s="171"/>
      <c r="J1252" s="171"/>
      <c r="K1252" s="166" t="str">
        <f ca="1">IFERROR(VLOOKUP(C1252,' Disaggregation - Section E '!A$10:N371,3,0),"")</f>
        <v/>
      </c>
      <c r="L1252" s="171"/>
      <c r="M1252" s="166"/>
      <c r="N1252" s="171"/>
      <c r="O1252" s="171"/>
    </row>
    <row r="1253" spans="1:15">
      <c r="A1253" s="166" t="b">
        <v>0</v>
      </c>
      <c r="B1253" s="166"/>
      <c r="C1253" s="413" t="s">
        <v>3817</v>
      </c>
      <c r="D1253" s="177">
        <v>7</v>
      </c>
      <c r="E1253" s="168"/>
      <c r="F1253" s="171"/>
      <c r="G1253" s="170"/>
      <c r="H1253" s="177"/>
      <c r="I1253" s="171"/>
      <c r="J1253" s="171"/>
      <c r="K1253" s="166" t="str">
        <f ca="1">IFERROR(VLOOKUP(C1253,' Disaggregation - Section E '!A$10:N372,3,0),"")</f>
        <v/>
      </c>
      <c r="L1253" s="171"/>
      <c r="M1253" s="166"/>
      <c r="N1253" s="171"/>
      <c r="O1253" s="171"/>
    </row>
    <row r="1254" spans="1:15">
      <c r="A1254" s="166" t="b">
        <v>0</v>
      </c>
      <c r="B1254" s="166"/>
      <c r="C1254" s="413" t="s">
        <v>3818</v>
      </c>
      <c r="D1254" s="177">
        <v>7</v>
      </c>
      <c r="E1254" s="168"/>
      <c r="F1254" s="171"/>
      <c r="G1254" s="170"/>
      <c r="H1254" s="177"/>
      <c r="I1254" s="171"/>
      <c r="J1254" s="171"/>
      <c r="K1254" s="166" t="str">
        <f ca="1">IFERROR(VLOOKUP(C1254,' Disaggregation - Section E '!A$10:N373,3,0),"")</f>
        <v/>
      </c>
      <c r="L1254" s="171"/>
      <c r="M1254" s="166"/>
      <c r="N1254" s="171"/>
      <c r="O1254" s="171"/>
    </row>
    <row r="1255" spans="1:15">
      <c r="A1255" s="166" t="b">
        <v>0</v>
      </c>
      <c r="B1255" s="166"/>
      <c r="C1255" s="413" t="s">
        <v>3819</v>
      </c>
      <c r="D1255" s="177">
        <v>7</v>
      </c>
      <c r="E1255" s="168"/>
      <c r="F1255" s="171"/>
      <c r="G1255" s="170"/>
      <c r="H1255" s="177"/>
      <c r="I1255" s="171"/>
      <c r="J1255" s="171"/>
      <c r="K1255" s="166" t="str">
        <f ca="1">IFERROR(VLOOKUP(C1255,' Disaggregation - Section E '!A$10:N374,3,0),"")</f>
        <v/>
      </c>
      <c r="L1255" s="171"/>
      <c r="M1255" s="166"/>
      <c r="N1255" s="171"/>
      <c r="O1255" s="171"/>
    </row>
    <row r="1256" spans="1:15">
      <c r="A1256" s="166" t="b">
        <v>0</v>
      </c>
      <c r="B1256" s="166"/>
      <c r="C1256" s="413" t="s">
        <v>3820</v>
      </c>
      <c r="D1256" s="177">
        <v>7</v>
      </c>
      <c r="E1256" s="168"/>
      <c r="F1256" s="171"/>
      <c r="G1256" s="170"/>
      <c r="H1256" s="177"/>
      <c r="I1256" s="171"/>
      <c r="J1256" s="171"/>
      <c r="K1256" s="166" t="str">
        <f ca="1">IFERROR(VLOOKUP(C1256,' Disaggregation - Section E '!A$10:N375,3,0),"")</f>
        <v/>
      </c>
      <c r="L1256" s="171"/>
      <c r="M1256" s="166"/>
      <c r="N1256" s="171"/>
      <c r="O1256" s="171"/>
    </row>
    <row r="1257" spans="1:15">
      <c r="A1257" s="166" t="b">
        <v>0</v>
      </c>
      <c r="B1257" s="166"/>
      <c r="C1257" s="413" t="s">
        <v>3821</v>
      </c>
      <c r="D1257" s="177">
        <v>7</v>
      </c>
      <c r="E1257" s="168"/>
      <c r="F1257" s="171"/>
      <c r="G1257" s="170"/>
      <c r="H1257" s="177"/>
      <c r="I1257" s="171"/>
      <c r="J1257" s="171"/>
      <c r="K1257" s="166" t="str">
        <f ca="1">IFERROR(VLOOKUP(C1257,' Disaggregation - Section E '!A$10:N376,3,0),"")</f>
        <v/>
      </c>
      <c r="L1257" s="171"/>
      <c r="M1257" s="166"/>
      <c r="N1257" s="171"/>
      <c r="O1257" s="171"/>
    </row>
    <row r="1258" spans="1:15">
      <c r="A1258" s="166" t="b">
        <v>0</v>
      </c>
      <c r="B1258" s="166"/>
      <c r="C1258" s="413" t="s">
        <v>3822</v>
      </c>
      <c r="D1258" s="177">
        <v>7</v>
      </c>
      <c r="E1258" s="168"/>
      <c r="F1258" s="171"/>
      <c r="G1258" s="170"/>
      <c r="H1258" s="177"/>
      <c r="I1258" s="171"/>
      <c r="J1258" s="171"/>
      <c r="K1258" s="166" t="str">
        <f ca="1">IFERROR(VLOOKUP(C1258,' Disaggregation - Section E '!A$10:N377,3,0),"")</f>
        <v/>
      </c>
      <c r="L1258" s="171"/>
      <c r="M1258" s="166"/>
      <c r="N1258" s="171"/>
      <c r="O1258" s="171"/>
    </row>
    <row r="1259" spans="1:15">
      <c r="A1259" s="166" t="b">
        <v>0</v>
      </c>
      <c r="B1259" s="166"/>
      <c r="C1259" s="413" t="s">
        <v>3823</v>
      </c>
      <c r="D1259" s="177">
        <v>7</v>
      </c>
      <c r="E1259" s="168"/>
      <c r="F1259" s="171"/>
      <c r="G1259" s="170"/>
      <c r="H1259" s="177"/>
      <c r="I1259" s="171"/>
      <c r="J1259" s="171"/>
      <c r="K1259" s="166" t="str">
        <f ca="1">IFERROR(VLOOKUP(C1259,' Disaggregation - Section E '!A$10:N378,3,0),"")</f>
        <v/>
      </c>
      <c r="L1259" s="171"/>
      <c r="M1259" s="166"/>
      <c r="N1259" s="171"/>
      <c r="O1259" s="171"/>
    </row>
    <row r="1260" spans="1:15">
      <c r="A1260" s="166" t="b">
        <v>0</v>
      </c>
      <c r="B1260" s="166"/>
      <c r="C1260" s="413" t="s">
        <v>3824</v>
      </c>
      <c r="D1260" s="177">
        <v>7</v>
      </c>
      <c r="E1260" s="168"/>
      <c r="F1260" s="171"/>
      <c r="G1260" s="170"/>
      <c r="H1260" s="177"/>
      <c r="I1260" s="171"/>
      <c r="J1260" s="171"/>
      <c r="K1260" s="166" t="str">
        <f ca="1">IFERROR(VLOOKUP(C1260,' Disaggregation - Section E '!A$10:N379,3,0),"")</f>
        <v/>
      </c>
      <c r="L1260" s="171"/>
      <c r="M1260" s="166"/>
      <c r="N1260" s="171"/>
      <c r="O1260" s="171"/>
    </row>
    <row r="1261" spans="1:15">
      <c r="A1261" s="166" t="b">
        <v>0</v>
      </c>
      <c r="B1261" s="166"/>
      <c r="C1261" s="413" t="s">
        <v>3825</v>
      </c>
      <c r="D1261" s="177">
        <v>8</v>
      </c>
      <c r="E1261" s="168"/>
      <c r="F1261" s="171"/>
      <c r="G1261" s="170"/>
      <c r="H1261" s="177"/>
      <c r="I1261" s="171"/>
      <c r="J1261" s="171"/>
      <c r="K1261" s="166" t="str">
        <f ca="1">IFERROR(VLOOKUP(C1261,' Disaggregation - Section E '!A$10:N380,3,0),"")</f>
        <v/>
      </c>
      <c r="L1261" s="171"/>
      <c r="M1261" s="166"/>
      <c r="N1261" s="171"/>
      <c r="O1261" s="171"/>
    </row>
    <row r="1262" spans="1:15">
      <c r="A1262" s="166" t="b">
        <v>0</v>
      </c>
      <c r="B1262" s="166"/>
      <c r="C1262" s="413" t="s">
        <v>3826</v>
      </c>
      <c r="D1262" s="177">
        <v>8</v>
      </c>
      <c r="E1262" s="168"/>
      <c r="F1262" s="171"/>
      <c r="G1262" s="170"/>
      <c r="H1262" s="177"/>
      <c r="I1262" s="171"/>
      <c r="J1262" s="171"/>
      <c r="K1262" s="166" t="str">
        <f ca="1">IFERROR(VLOOKUP(C1262,' Disaggregation - Section E '!A$10:N381,3,0),"")</f>
        <v/>
      </c>
      <c r="L1262" s="171"/>
      <c r="M1262" s="166"/>
      <c r="N1262" s="171"/>
      <c r="O1262" s="171"/>
    </row>
    <row r="1263" spans="1:15">
      <c r="A1263" s="166" t="b">
        <v>0</v>
      </c>
      <c r="B1263" s="166"/>
      <c r="C1263" s="413" t="s">
        <v>3827</v>
      </c>
      <c r="D1263" s="177">
        <v>8</v>
      </c>
      <c r="E1263" s="168"/>
      <c r="F1263" s="171"/>
      <c r="G1263" s="170"/>
      <c r="H1263" s="177"/>
      <c r="I1263" s="171"/>
      <c r="J1263" s="171"/>
      <c r="K1263" s="166" t="str">
        <f ca="1">IFERROR(VLOOKUP(C1263,' Disaggregation - Section E '!A$10:N382,3,0),"")</f>
        <v/>
      </c>
      <c r="L1263" s="171"/>
      <c r="M1263" s="166"/>
      <c r="N1263" s="171"/>
      <c r="O1263" s="171"/>
    </row>
    <row r="1264" spans="1:15">
      <c r="A1264" s="166" t="b">
        <v>0</v>
      </c>
      <c r="B1264" s="166"/>
      <c r="C1264" s="413" t="s">
        <v>3828</v>
      </c>
      <c r="D1264" s="177">
        <v>8</v>
      </c>
      <c r="E1264" s="168"/>
      <c r="F1264" s="171"/>
      <c r="G1264" s="170"/>
      <c r="H1264" s="177"/>
      <c r="I1264" s="171"/>
      <c r="J1264" s="171"/>
      <c r="K1264" s="166" t="str">
        <f ca="1">IFERROR(VLOOKUP(C1264,' Disaggregation - Section E '!A$10:N383,3,0),"")</f>
        <v/>
      </c>
      <c r="L1264" s="171"/>
      <c r="M1264" s="166"/>
      <c r="N1264" s="171"/>
      <c r="O1264" s="171"/>
    </row>
    <row r="1265" spans="1:15">
      <c r="A1265" s="166" t="b">
        <v>0</v>
      </c>
      <c r="B1265" s="166"/>
      <c r="C1265" s="413" t="s">
        <v>3829</v>
      </c>
      <c r="D1265" s="177">
        <v>8</v>
      </c>
      <c r="E1265" s="168"/>
      <c r="F1265" s="171"/>
      <c r="G1265" s="170"/>
      <c r="H1265" s="177"/>
      <c r="I1265" s="171"/>
      <c r="J1265" s="171"/>
      <c r="K1265" s="166" t="str">
        <f ca="1">IFERROR(VLOOKUP(C1265,' Disaggregation - Section E '!A$10:N384,3,0),"")</f>
        <v/>
      </c>
      <c r="L1265" s="171"/>
      <c r="M1265" s="166"/>
      <c r="N1265" s="171"/>
      <c r="O1265" s="171"/>
    </row>
    <row r="1266" spans="1:15">
      <c r="A1266" s="166" t="b">
        <v>0</v>
      </c>
      <c r="B1266" s="166"/>
      <c r="C1266" s="413" t="s">
        <v>3830</v>
      </c>
      <c r="D1266" s="177">
        <v>8</v>
      </c>
      <c r="E1266" s="168"/>
      <c r="F1266" s="171"/>
      <c r="G1266" s="170"/>
      <c r="H1266" s="177"/>
      <c r="I1266" s="171"/>
      <c r="J1266" s="171"/>
      <c r="K1266" s="166" t="str">
        <f ca="1">IFERROR(VLOOKUP(C1266,' Disaggregation - Section E '!A$10:N385,3,0),"")</f>
        <v/>
      </c>
      <c r="L1266" s="171"/>
      <c r="M1266" s="166"/>
      <c r="N1266" s="171"/>
      <c r="O1266" s="171"/>
    </row>
    <row r="1267" spans="1:15">
      <c r="A1267" s="166" t="b">
        <v>0</v>
      </c>
      <c r="B1267" s="166"/>
      <c r="C1267" s="413" t="s">
        <v>3831</v>
      </c>
      <c r="D1267" s="177">
        <v>8</v>
      </c>
      <c r="E1267" s="168"/>
      <c r="F1267" s="171"/>
      <c r="G1267" s="170"/>
      <c r="H1267" s="177"/>
      <c r="I1267" s="171"/>
      <c r="J1267" s="171"/>
      <c r="K1267" s="166" t="str">
        <f ca="1">IFERROR(VLOOKUP(C1267,' Disaggregation - Section E '!A$10:N386,3,0),"")</f>
        <v/>
      </c>
      <c r="L1267" s="171"/>
      <c r="M1267" s="166"/>
      <c r="N1267" s="171"/>
      <c r="O1267" s="171"/>
    </row>
    <row r="1268" spans="1:15">
      <c r="A1268" s="166" t="b">
        <v>0</v>
      </c>
      <c r="B1268" s="166"/>
      <c r="C1268" s="413" t="s">
        <v>3832</v>
      </c>
      <c r="D1268" s="177">
        <v>8</v>
      </c>
      <c r="E1268" s="168"/>
      <c r="F1268" s="171"/>
      <c r="G1268" s="170"/>
      <c r="H1268" s="177"/>
      <c r="I1268" s="171"/>
      <c r="J1268" s="171"/>
      <c r="K1268" s="166" t="str">
        <f ca="1">IFERROR(VLOOKUP(C1268,' Disaggregation - Section E '!A$10:N387,3,0),"")</f>
        <v/>
      </c>
      <c r="L1268" s="171"/>
      <c r="M1268" s="166"/>
      <c r="N1268" s="171"/>
      <c r="O1268" s="171"/>
    </row>
    <row r="1269" spans="1:15">
      <c r="A1269" s="166" t="b">
        <v>0</v>
      </c>
      <c r="B1269" s="166"/>
      <c r="C1269" s="413" t="s">
        <v>3833</v>
      </c>
      <c r="D1269" s="177">
        <v>8</v>
      </c>
      <c r="E1269" s="168"/>
      <c r="F1269" s="171"/>
      <c r="G1269" s="170"/>
      <c r="H1269" s="177"/>
      <c r="I1269" s="171"/>
      <c r="J1269" s="171"/>
      <c r="K1269" s="166" t="str">
        <f ca="1">IFERROR(VLOOKUP(C1269,' Disaggregation - Section E '!A$10:N388,3,0),"")</f>
        <v/>
      </c>
      <c r="L1269" s="171"/>
      <c r="M1269" s="166"/>
      <c r="N1269" s="171"/>
      <c r="O1269" s="171"/>
    </row>
    <row r="1270" spans="1:15">
      <c r="A1270" s="166" t="b">
        <v>0</v>
      </c>
      <c r="B1270" s="166"/>
      <c r="C1270" s="413" t="s">
        <v>3834</v>
      </c>
      <c r="D1270" s="177">
        <v>8</v>
      </c>
      <c r="E1270" s="168"/>
      <c r="F1270" s="171"/>
      <c r="G1270" s="170"/>
      <c r="H1270" s="177"/>
      <c r="I1270" s="171"/>
      <c r="J1270" s="171"/>
      <c r="K1270" s="166" t="str">
        <f ca="1">IFERROR(VLOOKUP(C1270,' Disaggregation - Section E '!A$10:N389,3,0),"")</f>
        <v/>
      </c>
      <c r="L1270" s="171"/>
      <c r="M1270" s="166"/>
      <c r="N1270" s="171"/>
      <c r="O1270" s="171"/>
    </row>
    <row r="1271" spans="1:15">
      <c r="A1271" s="166" t="b">
        <v>0</v>
      </c>
      <c r="B1271" s="166"/>
      <c r="C1271" s="413" t="s">
        <v>3835</v>
      </c>
      <c r="D1271" s="177">
        <v>9</v>
      </c>
      <c r="E1271" s="168"/>
      <c r="F1271" s="171"/>
      <c r="G1271" s="170"/>
      <c r="H1271" s="177"/>
      <c r="I1271" s="171"/>
      <c r="J1271" s="171"/>
      <c r="K1271" s="166" t="str">
        <f ca="1">IFERROR(VLOOKUP(C1271,' Disaggregation - Section E '!A$10:N390,3,0),"")</f>
        <v/>
      </c>
      <c r="L1271" s="171"/>
      <c r="M1271" s="166"/>
      <c r="N1271" s="171"/>
      <c r="O1271" s="171"/>
    </row>
    <row r="1272" spans="1:15">
      <c r="A1272" s="166" t="b">
        <v>0</v>
      </c>
      <c r="B1272" s="166"/>
      <c r="C1272" s="413" t="s">
        <v>3836</v>
      </c>
      <c r="D1272" s="177">
        <v>9</v>
      </c>
      <c r="E1272" s="168"/>
      <c r="F1272" s="171"/>
      <c r="G1272" s="170"/>
      <c r="H1272" s="177"/>
      <c r="I1272" s="171"/>
      <c r="J1272" s="171"/>
      <c r="K1272" s="166" t="str">
        <f ca="1">IFERROR(VLOOKUP(C1272,' Disaggregation - Section E '!A$10:N391,3,0),"")</f>
        <v/>
      </c>
      <c r="L1272" s="171"/>
      <c r="M1272" s="166"/>
      <c r="N1272" s="171"/>
      <c r="O1272" s="171"/>
    </row>
    <row r="1273" spans="1:15">
      <c r="A1273" s="166" t="b">
        <v>0</v>
      </c>
      <c r="B1273" s="166"/>
      <c r="C1273" s="413" t="s">
        <v>3837</v>
      </c>
      <c r="D1273" s="177">
        <v>9</v>
      </c>
      <c r="E1273" s="168"/>
      <c r="F1273" s="171"/>
      <c r="G1273" s="170"/>
      <c r="H1273" s="177"/>
      <c r="I1273" s="171"/>
      <c r="J1273" s="171"/>
      <c r="K1273" s="166" t="str">
        <f ca="1">IFERROR(VLOOKUP(C1273,' Disaggregation - Section E '!A$10:N392,3,0),"")</f>
        <v/>
      </c>
      <c r="L1273" s="171"/>
      <c r="M1273" s="166"/>
      <c r="N1273" s="171"/>
      <c r="O1273" s="171"/>
    </row>
    <row r="1274" spans="1:15">
      <c r="A1274" s="166" t="b">
        <v>0</v>
      </c>
      <c r="B1274" s="166"/>
      <c r="C1274" s="413" t="s">
        <v>3838</v>
      </c>
      <c r="D1274" s="177">
        <v>9</v>
      </c>
      <c r="E1274" s="168"/>
      <c r="F1274" s="171"/>
      <c r="G1274" s="170"/>
      <c r="H1274" s="177"/>
      <c r="I1274" s="171"/>
      <c r="J1274" s="171"/>
      <c r="K1274" s="166" t="str">
        <f ca="1">IFERROR(VLOOKUP(C1274,' Disaggregation - Section E '!A$10:N393,3,0),"")</f>
        <v/>
      </c>
      <c r="L1274" s="171"/>
      <c r="M1274" s="166"/>
      <c r="N1274" s="171"/>
      <c r="O1274" s="171"/>
    </row>
    <row r="1275" spans="1:15">
      <c r="A1275" s="166" t="b">
        <v>0</v>
      </c>
      <c r="B1275" s="166"/>
      <c r="C1275" s="413" t="s">
        <v>3839</v>
      </c>
      <c r="D1275" s="177">
        <v>9</v>
      </c>
      <c r="E1275" s="168"/>
      <c r="F1275" s="171"/>
      <c r="G1275" s="170"/>
      <c r="H1275" s="177"/>
      <c r="I1275" s="171"/>
      <c r="J1275" s="171"/>
      <c r="K1275" s="166" t="str">
        <f ca="1">IFERROR(VLOOKUP(C1275,' Disaggregation - Section E '!A$10:N394,3,0),"")</f>
        <v/>
      </c>
      <c r="L1275" s="171"/>
      <c r="M1275" s="166"/>
      <c r="N1275" s="171"/>
      <c r="O1275" s="171"/>
    </row>
    <row r="1276" spans="1:15">
      <c r="A1276" s="166" t="b">
        <v>0</v>
      </c>
      <c r="B1276" s="166"/>
      <c r="C1276" s="413" t="s">
        <v>3840</v>
      </c>
      <c r="D1276" s="177">
        <v>9</v>
      </c>
      <c r="E1276" s="168"/>
      <c r="F1276" s="171"/>
      <c r="G1276" s="170"/>
      <c r="H1276" s="177"/>
      <c r="I1276" s="171"/>
      <c r="J1276" s="171"/>
      <c r="K1276" s="166" t="str">
        <f ca="1">IFERROR(VLOOKUP(C1276,' Disaggregation - Section E '!A$10:N395,3,0),"")</f>
        <v/>
      </c>
      <c r="L1276" s="171"/>
      <c r="M1276" s="166"/>
      <c r="N1276" s="171"/>
      <c r="O1276" s="171"/>
    </row>
    <row r="1277" spans="1:15">
      <c r="A1277" s="166" t="b">
        <v>0</v>
      </c>
      <c r="B1277" s="166"/>
      <c r="C1277" s="413" t="s">
        <v>3841</v>
      </c>
      <c r="D1277" s="177">
        <v>9</v>
      </c>
      <c r="E1277" s="168"/>
      <c r="F1277" s="171"/>
      <c r="G1277" s="170"/>
      <c r="H1277" s="177"/>
      <c r="I1277" s="171"/>
      <c r="J1277" s="171"/>
      <c r="K1277" s="166" t="str">
        <f ca="1">IFERROR(VLOOKUP(C1277,' Disaggregation - Section E '!A$10:N396,3,0),"")</f>
        <v/>
      </c>
      <c r="L1277" s="171"/>
      <c r="M1277" s="166"/>
      <c r="N1277" s="171"/>
      <c r="O1277" s="171"/>
    </row>
    <row r="1278" spans="1:15">
      <c r="A1278" s="166" t="b">
        <v>0</v>
      </c>
      <c r="B1278" s="166"/>
      <c r="C1278" s="413" t="s">
        <v>3842</v>
      </c>
      <c r="D1278" s="177">
        <v>9</v>
      </c>
      <c r="E1278" s="168"/>
      <c r="F1278" s="171"/>
      <c r="G1278" s="170"/>
      <c r="H1278" s="177"/>
      <c r="I1278" s="171"/>
      <c r="J1278" s="171"/>
      <c r="K1278" s="166" t="str">
        <f ca="1">IFERROR(VLOOKUP(C1278,' Disaggregation - Section E '!A$10:N397,3,0),"")</f>
        <v/>
      </c>
      <c r="L1278" s="171"/>
      <c r="M1278" s="166"/>
      <c r="N1278" s="171"/>
      <c r="O1278" s="171"/>
    </row>
    <row r="1279" spans="1:15">
      <c r="A1279" s="166" t="b">
        <v>0</v>
      </c>
      <c r="B1279" s="166"/>
      <c r="C1279" s="413" t="s">
        <v>3843</v>
      </c>
      <c r="D1279" s="177">
        <v>9</v>
      </c>
      <c r="E1279" s="168"/>
      <c r="F1279" s="171"/>
      <c r="G1279" s="170"/>
      <c r="H1279" s="177"/>
      <c r="I1279" s="171"/>
      <c r="J1279" s="171"/>
      <c r="K1279" s="166" t="str">
        <f ca="1">IFERROR(VLOOKUP(C1279,' Disaggregation - Section E '!A$10:N398,3,0),"")</f>
        <v/>
      </c>
      <c r="L1279" s="171"/>
      <c r="M1279" s="166"/>
      <c r="N1279" s="171"/>
      <c r="O1279" s="171"/>
    </row>
    <row r="1280" spans="1:15">
      <c r="A1280" s="166" t="b">
        <v>0</v>
      </c>
      <c r="B1280" s="166"/>
      <c r="C1280" s="413" t="s">
        <v>3844</v>
      </c>
      <c r="D1280" s="177">
        <v>9</v>
      </c>
      <c r="E1280" s="168"/>
      <c r="F1280" s="171"/>
      <c r="G1280" s="170"/>
      <c r="H1280" s="177"/>
      <c r="I1280" s="171"/>
      <c r="J1280" s="171"/>
      <c r="K1280" s="166" t="str">
        <f ca="1">IFERROR(VLOOKUP(C1280,' Disaggregation - Section E '!A$10:N399,3,0),"")</f>
        <v/>
      </c>
      <c r="L1280" s="171"/>
      <c r="M1280" s="166"/>
      <c r="N1280" s="171"/>
      <c r="O1280" s="171"/>
    </row>
    <row r="1281" spans="1:15">
      <c r="A1281" s="166" t="b">
        <v>0</v>
      </c>
      <c r="B1281" s="166"/>
      <c r="C1281" s="413" t="s">
        <v>3845</v>
      </c>
      <c r="D1281" s="177">
        <v>10</v>
      </c>
      <c r="E1281" s="168"/>
      <c r="F1281" s="171"/>
      <c r="G1281" s="170"/>
      <c r="H1281" s="177"/>
      <c r="I1281" s="171"/>
      <c r="J1281" s="171"/>
      <c r="K1281" s="166" t="str">
        <f ca="1">IFERROR(VLOOKUP(C1281,' Disaggregation - Section E '!A$10:N400,3,0),"")</f>
        <v/>
      </c>
      <c r="L1281" s="171"/>
      <c r="M1281" s="166"/>
      <c r="N1281" s="171"/>
      <c r="O1281" s="171"/>
    </row>
    <row r="1282" spans="1:15">
      <c r="A1282" s="166" t="b">
        <v>0</v>
      </c>
      <c r="B1282" s="166"/>
      <c r="C1282" s="413" t="s">
        <v>3846</v>
      </c>
      <c r="D1282" s="177">
        <v>10</v>
      </c>
      <c r="E1282" s="168"/>
      <c r="F1282" s="171"/>
      <c r="G1282" s="170"/>
      <c r="H1282" s="177"/>
      <c r="I1282" s="171"/>
      <c r="J1282" s="171"/>
      <c r="K1282" s="166" t="str">
        <f ca="1">IFERROR(VLOOKUP(C1282,' Disaggregation - Section E '!A$10:N401,3,0),"")</f>
        <v/>
      </c>
      <c r="L1282" s="171"/>
      <c r="M1282" s="166"/>
      <c r="N1282" s="171"/>
      <c r="O1282" s="171"/>
    </row>
    <row r="1283" spans="1:15">
      <c r="A1283" s="166" t="b">
        <v>0</v>
      </c>
      <c r="B1283" s="166"/>
      <c r="C1283" s="413" t="s">
        <v>3847</v>
      </c>
      <c r="D1283" s="177">
        <v>10</v>
      </c>
      <c r="E1283" s="168"/>
      <c r="F1283" s="171"/>
      <c r="G1283" s="170"/>
      <c r="H1283" s="177"/>
      <c r="I1283" s="171"/>
      <c r="J1283" s="171"/>
      <c r="K1283" s="166" t="str">
        <f ca="1">IFERROR(VLOOKUP(C1283,' Disaggregation - Section E '!A$10:N402,3,0),"")</f>
        <v/>
      </c>
      <c r="L1283" s="171"/>
      <c r="M1283" s="166"/>
      <c r="N1283" s="171"/>
      <c r="O1283" s="171"/>
    </row>
    <row r="1284" spans="1:15">
      <c r="A1284" s="166" t="b">
        <v>0</v>
      </c>
      <c r="B1284" s="166"/>
      <c r="C1284" s="413" t="s">
        <v>3848</v>
      </c>
      <c r="D1284" s="177">
        <v>10</v>
      </c>
      <c r="E1284" s="168"/>
      <c r="F1284" s="171"/>
      <c r="G1284" s="170"/>
      <c r="H1284" s="177"/>
      <c r="I1284" s="171"/>
      <c r="J1284" s="171"/>
      <c r="K1284" s="166" t="str">
        <f ca="1">IFERROR(VLOOKUP(C1284,' Disaggregation - Section E '!A$10:N403,3,0),"")</f>
        <v/>
      </c>
      <c r="L1284" s="171"/>
      <c r="M1284" s="166"/>
      <c r="N1284" s="171"/>
      <c r="O1284" s="171"/>
    </row>
    <row r="1285" spans="1:15">
      <c r="A1285" s="166" t="b">
        <v>0</v>
      </c>
      <c r="B1285" s="166"/>
      <c r="C1285" s="413" t="s">
        <v>3849</v>
      </c>
      <c r="D1285" s="177">
        <v>10</v>
      </c>
      <c r="E1285" s="168"/>
      <c r="F1285" s="171"/>
      <c r="G1285" s="170"/>
      <c r="H1285" s="177"/>
      <c r="I1285" s="171"/>
      <c r="J1285" s="171"/>
      <c r="K1285" s="166" t="str">
        <f ca="1">IFERROR(VLOOKUP(C1285,' Disaggregation - Section E '!A$10:N404,3,0),"")</f>
        <v/>
      </c>
      <c r="L1285" s="171"/>
      <c r="M1285" s="166"/>
      <c r="N1285" s="171"/>
      <c r="O1285" s="171"/>
    </row>
    <row r="1286" spans="1:15">
      <c r="A1286" s="166" t="b">
        <v>0</v>
      </c>
      <c r="B1286" s="166"/>
      <c r="C1286" s="413" t="s">
        <v>3850</v>
      </c>
      <c r="D1286" s="177">
        <v>10</v>
      </c>
      <c r="E1286" s="168"/>
      <c r="F1286" s="171"/>
      <c r="G1286" s="170"/>
      <c r="H1286" s="177"/>
      <c r="I1286" s="171"/>
      <c r="J1286" s="171"/>
      <c r="K1286" s="166" t="str">
        <f ca="1">IFERROR(VLOOKUP(C1286,' Disaggregation - Section E '!A$10:N405,3,0),"")</f>
        <v/>
      </c>
      <c r="L1286" s="171"/>
      <c r="M1286" s="166"/>
      <c r="N1286" s="171"/>
      <c r="O1286" s="171"/>
    </row>
    <row r="1287" spans="1:15">
      <c r="A1287" s="166" t="b">
        <v>0</v>
      </c>
      <c r="B1287" s="166"/>
      <c r="C1287" s="413" t="s">
        <v>3851</v>
      </c>
      <c r="D1287" s="177">
        <v>10</v>
      </c>
      <c r="E1287" s="168"/>
      <c r="F1287" s="171"/>
      <c r="G1287" s="170"/>
      <c r="H1287" s="177"/>
      <c r="I1287" s="171"/>
      <c r="J1287" s="171"/>
      <c r="K1287" s="166" t="str">
        <f ca="1">IFERROR(VLOOKUP(C1287,' Disaggregation - Section E '!A$10:N406,3,0),"")</f>
        <v/>
      </c>
      <c r="L1287" s="171"/>
      <c r="M1287" s="166"/>
      <c r="N1287" s="171"/>
      <c r="O1287" s="171"/>
    </row>
    <row r="1288" spans="1:15">
      <c r="A1288" s="166" t="b">
        <v>0</v>
      </c>
      <c r="B1288" s="166"/>
      <c r="C1288" s="413" t="s">
        <v>3852</v>
      </c>
      <c r="D1288" s="177">
        <v>10</v>
      </c>
      <c r="E1288" s="168"/>
      <c r="F1288" s="171"/>
      <c r="G1288" s="170"/>
      <c r="H1288" s="177"/>
      <c r="I1288" s="171"/>
      <c r="J1288" s="171"/>
      <c r="K1288" s="166" t="str">
        <f ca="1">IFERROR(VLOOKUP(C1288,' Disaggregation - Section E '!A$10:N407,3,0),"")</f>
        <v/>
      </c>
      <c r="L1288" s="171"/>
      <c r="M1288" s="166"/>
      <c r="N1288" s="171"/>
      <c r="O1288" s="171"/>
    </row>
    <row r="1289" spans="1:15">
      <c r="A1289" s="166" t="b">
        <v>0</v>
      </c>
      <c r="B1289" s="166"/>
      <c r="C1289" s="413" t="s">
        <v>3853</v>
      </c>
      <c r="D1289" s="177">
        <v>10</v>
      </c>
      <c r="E1289" s="168"/>
      <c r="F1289" s="171"/>
      <c r="G1289" s="170"/>
      <c r="H1289" s="177"/>
      <c r="I1289" s="171"/>
      <c r="J1289" s="171"/>
      <c r="K1289" s="166" t="str">
        <f ca="1">IFERROR(VLOOKUP(C1289,' Disaggregation - Section E '!A$10:N408,3,0),"")</f>
        <v/>
      </c>
      <c r="L1289" s="171"/>
      <c r="M1289" s="166"/>
      <c r="N1289" s="171"/>
      <c r="O1289" s="171"/>
    </row>
    <row r="1290" spans="1:15">
      <c r="A1290" s="166" t="b">
        <v>0</v>
      </c>
      <c r="B1290" s="166"/>
      <c r="C1290" s="413" t="s">
        <v>3854</v>
      </c>
      <c r="D1290" s="177">
        <v>10</v>
      </c>
      <c r="E1290" s="168"/>
      <c r="F1290" s="171"/>
      <c r="G1290" s="170"/>
      <c r="H1290" s="177"/>
      <c r="I1290" s="171"/>
      <c r="J1290" s="171"/>
      <c r="K1290" s="166" t="str">
        <f ca="1">IFERROR(VLOOKUP(C1290,' Disaggregation - Section E '!A$10:N409,3,0),"")</f>
        <v/>
      </c>
      <c r="L1290" s="171"/>
      <c r="M1290" s="166"/>
      <c r="N1290" s="171"/>
      <c r="O1290" s="171"/>
    </row>
    <row r="1291" spans="1:15">
      <c r="A1291" s="166" t="b">
        <v>0</v>
      </c>
      <c r="B1291" s="166"/>
      <c r="C1291" s="413" t="s">
        <v>3855</v>
      </c>
      <c r="D1291" s="177">
        <v>11</v>
      </c>
      <c r="E1291" s="168"/>
      <c r="F1291" s="171"/>
      <c r="G1291" s="170"/>
      <c r="H1291" s="177"/>
      <c r="I1291" s="171"/>
      <c r="J1291" s="171"/>
      <c r="K1291" s="166" t="str">
        <f ca="1">IFERROR(VLOOKUP(C1291,' Disaggregation - Section E '!A$10:N410,3,0),"")</f>
        <v/>
      </c>
      <c r="L1291" s="171"/>
      <c r="M1291" s="166"/>
      <c r="N1291" s="171"/>
      <c r="O1291" s="171"/>
    </row>
    <row r="1292" spans="1:15">
      <c r="A1292" s="166" t="b">
        <v>0</v>
      </c>
      <c r="B1292" s="166"/>
      <c r="C1292" s="413" t="s">
        <v>3856</v>
      </c>
      <c r="D1292" s="177">
        <v>11</v>
      </c>
      <c r="E1292" s="168"/>
      <c r="F1292" s="171"/>
      <c r="G1292" s="170"/>
      <c r="H1292" s="177"/>
      <c r="I1292" s="171"/>
      <c r="J1292" s="171"/>
      <c r="K1292" s="166" t="str">
        <f ca="1">IFERROR(VLOOKUP(C1292,' Disaggregation - Section E '!A$10:N411,3,0),"")</f>
        <v/>
      </c>
      <c r="L1292" s="171"/>
      <c r="M1292" s="166"/>
      <c r="N1292" s="171"/>
      <c r="O1292" s="171"/>
    </row>
    <row r="1293" spans="1:15">
      <c r="A1293" s="166" t="b">
        <v>0</v>
      </c>
      <c r="B1293" s="166"/>
      <c r="C1293" s="413" t="s">
        <v>3857</v>
      </c>
      <c r="D1293" s="177">
        <v>11</v>
      </c>
      <c r="E1293" s="168"/>
      <c r="F1293" s="171"/>
      <c r="G1293" s="170"/>
      <c r="H1293" s="177"/>
      <c r="I1293" s="171"/>
      <c r="J1293" s="171"/>
      <c r="K1293" s="166" t="str">
        <f ca="1">IFERROR(VLOOKUP(C1293,' Disaggregation - Section E '!A$10:N412,3,0),"")</f>
        <v/>
      </c>
      <c r="L1293" s="171"/>
      <c r="M1293" s="166"/>
      <c r="N1293" s="171"/>
      <c r="O1293" s="171"/>
    </row>
    <row r="1294" spans="1:15">
      <c r="A1294" s="166" t="b">
        <v>0</v>
      </c>
      <c r="B1294" s="166"/>
      <c r="C1294" s="413" t="s">
        <v>3858</v>
      </c>
      <c r="D1294" s="177">
        <v>11</v>
      </c>
      <c r="E1294" s="168"/>
      <c r="F1294" s="171"/>
      <c r="G1294" s="170"/>
      <c r="H1294" s="177"/>
      <c r="I1294" s="171"/>
      <c r="J1294" s="171"/>
      <c r="K1294" s="166" t="str">
        <f ca="1">IFERROR(VLOOKUP(C1294,' Disaggregation - Section E '!A$10:N413,3,0),"")</f>
        <v/>
      </c>
      <c r="L1294" s="171"/>
      <c r="M1294" s="166"/>
      <c r="N1294" s="171"/>
      <c r="O1294" s="171"/>
    </row>
    <row r="1295" spans="1:15">
      <c r="A1295" s="166" t="b">
        <v>0</v>
      </c>
      <c r="B1295" s="166"/>
      <c r="C1295" s="413" t="s">
        <v>3859</v>
      </c>
      <c r="D1295" s="177">
        <v>11</v>
      </c>
      <c r="E1295" s="168"/>
      <c r="F1295" s="171"/>
      <c r="G1295" s="170"/>
      <c r="H1295" s="177"/>
      <c r="I1295" s="171"/>
      <c r="J1295" s="171"/>
      <c r="K1295" s="166" t="str">
        <f ca="1">IFERROR(VLOOKUP(C1295,' Disaggregation - Section E '!A$10:N414,3,0),"")</f>
        <v/>
      </c>
      <c r="L1295" s="171"/>
      <c r="M1295" s="166"/>
      <c r="N1295" s="171"/>
      <c r="O1295" s="171"/>
    </row>
    <row r="1296" spans="1:15">
      <c r="A1296" s="166" t="b">
        <v>0</v>
      </c>
      <c r="B1296" s="166"/>
      <c r="C1296" s="413" t="s">
        <v>3860</v>
      </c>
      <c r="D1296" s="177">
        <v>11</v>
      </c>
      <c r="E1296" s="168"/>
      <c r="F1296" s="171"/>
      <c r="G1296" s="170"/>
      <c r="H1296" s="177"/>
      <c r="I1296" s="171"/>
      <c r="J1296" s="171"/>
      <c r="K1296" s="166" t="str">
        <f ca="1">IFERROR(VLOOKUP(C1296,' Disaggregation - Section E '!A$10:N415,3,0),"")</f>
        <v/>
      </c>
      <c r="L1296" s="171"/>
      <c r="M1296" s="166"/>
      <c r="N1296" s="171"/>
      <c r="O1296" s="171"/>
    </row>
    <row r="1297" spans="1:15">
      <c r="A1297" s="166" t="b">
        <v>0</v>
      </c>
      <c r="B1297" s="166"/>
      <c r="C1297" s="413" t="s">
        <v>3861</v>
      </c>
      <c r="D1297" s="177">
        <v>11</v>
      </c>
      <c r="E1297" s="168"/>
      <c r="F1297" s="171"/>
      <c r="G1297" s="170"/>
      <c r="H1297" s="177"/>
      <c r="I1297" s="171"/>
      <c r="J1297" s="171"/>
      <c r="K1297" s="166" t="str">
        <f ca="1">IFERROR(VLOOKUP(C1297,' Disaggregation - Section E '!A$10:N416,3,0),"")</f>
        <v/>
      </c>
      <c r="L1297" s="171"/>
      <c r="M1297" s="166"/>
      <c r="N1297" s="171"/>
      <c r="O1297" s="171"/>
    </row>
    <row r="1298" spans="1:15">
      <c r="A1298" s="166" t="b">
        <v>0</v>
      </c>
      <c r="B1298" s="166"/>
      <c r="C1298" s="413" t="s">
        <v>3862</v>
      </c>
      <c r="D1298" s="177">
        <v>11</v>
      </c>
      <c r="E1298" s="168"/>
      <c r="F1298" s="171"/>
      <c r="G1298" s="170"/>
      <c r="H1298" s="177"/>
      <c r="I1298" s="171"/>
      <c r="J1298" s="171"/>
      <c r="K1298" s="166" t="str">
        <f ca="1">IFERROR(VLOOKUP(C1298,' Disaggregation - Section E '!A$10:N417,3,0),"")</f>
        <v/>
      </c>
      <c r="L1298" s="171"/>
      <c r="M1298" s="166"/>
      <c r="N1298" s="171"/>
      <c r="O1298" s="171"/>
    </row>
    <row r="1299" spans="1:15">
      <c r="A1299" s="166" t="b">
        <v>0</v>
      </c>
      <c r="B1299" s="166"/>
      <c r="C1299" s="413" t="s">
        <v>3863</v>
      </c>
      <c r="D1299" s="177">
        <v>11</v>
      </c>
      <c r="E1299" s="168"/>
      <c r="F1299" s="171"/>
      <c r="G1299" s="170"/>
      <c r="H1299" s="177"/>
      <c r="I1299" s="171"/>
      <c r="J1299" s="171"/>
      <c r="K1299" s="166" t="str">
        <f ca="1">IFERROR(VLOOKUP(C1299,' Disaggregation - Section E '!A$10:N418,3,0),"")</f>
        <v/>
      </c>
      <c r="L1299" s="171"/>
      <c r="M1299" s="166"/>
      <c r="N1299" s="171"/>
      <c r="O1299" s="171"/>
    </row>
    <row r="1300" spans="1:15">
      <c r="A1300" s="166" t="b">
        <v>0</v>
      </c>
      <c r="B1300" s="166"/>
      <c r="C1300" s="413" t="s">
        <v>3864</v>
      </c>
      <c r="D1300" s="177">
        <v>11</v>
      </c>
      <c r="E1300" s="168"/>
      <c r="F1300" s="171"/>
      <c r="G1300" s="170"/>
      <c r="H1300" s="177"/>
      <c r="I1300" s="171"/>
      <c r="J1300" s="171"/>
      <c r="K1300" s="166" t="str">
        <f ca="1">IFERROR(VLOOKUP(C1300,' Disaggregation - Section E '!A$10:N419,3,0),"")</f>
        <v/>
      </c>
      <c r="L1300" s="171"/>
      <c r="M1300" s="166"/>
      <c r="N1300" s="171"/>
      <c r="O1300" s="171"/>
    </row>
    <row r="1301" spans="1:15">
      <c r="A1301" s="166" t="b">
        <v>0</v>
      </c>
      <c r="B1301" s="166"/>
      <c r="C1301" s="413" t="s">
        <v>3865</v>
      </c>
      <c r="D1301" s="177">
        <v>12</v>
      </c>
      <c r="E1301" s="168"/>
      <c r="F1301" s="171"/>
      <c r="G1301" s="170"/>
      <c r="H1301" s="177"/>
      <c r="I1301" s="171"/>
      <c r="J1301" s="171"/>
      <c r="K1301" s="166" t="str">
        <f ca="1">IFERROR(VLOOKUP(C1301,' Disaggregation - Section E '!A$10:N420,3,0),"")</f>
        <v/>
      </c>
      <c r="L1301" s="171"/>
      <c r="M1301" s="166"/>
      <c r="N1301" s="171"/>
      <c r="O1301" s="171"/>
    </row>
    <row r="1302" spans="1:15">
      <c r="A1302" s="166" t="b">
        <v>0</v>
      </c>
      <c r="B1302" s="166"/>
      <c r="C1302" s="413" t="s">
        <v>3866</v>
      </c>
      <c r="D1302" s="177">
        <v>12</v>
      </c>
      <c r="E1302" s="168"/>
      <c r="F1302" s="171"/>
      <c r="G1302" s="170"/>
      <c r="H1302" s="177"/>
      <c r="I1302" s="171"/>
      <c r="J1302" s="171"/>
      <c r="K1302" s="166" t="str">
        <f ca="1">IFERROR(VLOOKUP(C1302,' Disaggregation - Section E '!A$10:N421,3,0),"")</f>
        <v/>
      </c>
      <c r="L1302" s="171"/>
      <c r="M1302" s="166"/>
      <c r="N1302" s="171"/>
      <c r="O1302" s="171"/>
    </row>
    <row r="1303" spans="1:15">
      <c r="A1303" s="166" t="b">
        <v>0</v>
      </c>
      <c r="B1303" s="166"/>
      <c r="C1303" s="413" t="s">
        <v>3867</v>
      </c>
      <c r="D1303" s="177">
        <v>12</v>
      </c>
      <c r="E1303" s="168"/>
      <c r="F1303" s="171"/>
      <c r="G1303" s="170"/>
      <c r="H1303" s="177"/>
      <c r="I1303" s="171"/>
      <c r="J1303" s="171"/>
      <c r="K1303" s="166" t="str">
        <f ca="1">IFERROR(VLOOKUP(C1303,' Disaggregation - Section E '!A$10:N422,3,0),"")</f>
        <v/>
      </c>
      <c r="L1303" s="171"/>
      <c r="M1303" s="166"/>
      <c r="N1303" s="171"/>
      <c r="O1303" s="171"/>
    </row>
    <row r="1304" spans="1:15">
      <c r="A1304" s="166" t="b">
        <v>0</v>
      </c>
      <c r="B1304" s="166"/>
      <c r="C1304" s="413" t="s">
        <v>3868</v>
      </c>
      <c r="D1304" s="177">
        <v>12</v>
      </c>
      <c r="E1304" s="168"/>
      <c r="F1304" s="171"/>
      <c r="G1304" s="170"/>
      <c r="H1304" s="177"/>
      <c r="I1304" s="171"/>
      <c r="J1304" s="171"/>
      <c r="K1304" s="166" t="str">
        <f ca="1">IFERROR(VLOOKUP(C1304,' Disaggregation - Section E '!A$10:N423,3,0),"")</f>
        <v/>
      </c>
      <c r="L1304" s="171"/>
      <c r="M1304" s="166"/>
      <c r="N1304" s="171"/>
      <c r="O1304" s="171"/>
    </row>
    <row r="1305" spans="1:15">
      <c r="A1305" s="166" t="b">
        <v>0</v>
      </c>
      <c r="B1305" s="166"/>
      <c r="C1305" s="413" t="s">
        <v>3869</v>
      </c>
      <c r="D1305" s="177">
        <v>12</v>
      </c>
      <c r="E1305" s="168"/>
      <c r="F1305" s="171"/>
      <c r="G1305" s="170"/>
      <c r="H1305" s="177"/>
      <c r="I1305" s="171"/>
      <c r="J1305" s="171"/>
      <c r="K1305" s="166" t="str">
        <f ca="1">IFERROR(VLOOKUP(C1305,' Disaggregation - Section E '!A$10:N424,3,0),"")</f>
        <v/>
      </c>
      <c r="L1305" s="171"/>
      <c r="M1305" s="166"/>
      <c r="N1305" s="171"/>
      <c r="O1305" s="171"/>
    </row>
    <row r="1306" spans="1:15">
      <c r="A1306" s="166" t="b">
        <v>0</v>
      </c>
      <c r="B1306" s="166"/>
      <c r="C1306" s="413" t="s">
        <v>3870</v>
      </c>
      <c r="D1306" s="177">
        <v>12</v>
      </c>
      <c r="E1306" s="168"/>
      <c r="F1306" s="171"/>
      <c r="G1306" s="170"/>
      <c r="H1306" s="177"/>
      <c r="I1306" s="171"/>
      <c r="J1306" s="171"/>
      <c r="K1306" s="166" t="str">
        <f ca="1">IFERROR(VLOOKUP(C1306,' Disaggregation - Section E '!A$10:N425,3,0),"")</f>
        <v/>
      </c>
      <c r="L1306" s="171"/>
      <c r="M1306" s="166"/>
      <c r="N1306" s="171"/>
      <c r="O1306" s="171"/>
    </row>
    <row r="1307" spans="1:15">
      <c r="A1307" s="166" t="b">
        <v>0</v>
      </c>
      <c r="B1307" s="166"/>
      <c r="C1307" s="413" t="s">
        <v>3871</v>
      </c>
      <c r="D1307" s="177">
        <v>12</v>
      </c>
      <c r="E1307" s="168"/>
      <c r="F1307" s="171"/>
      <c r="G1307" s="170"/>
      <c r="H1307" s="177"/>
      <c r="I1307" s="171"/>
      <c r="J1307" s="171"/>
      <c r="K1307" s="166" t="str">
        <f ca="1">IFERROR(VLOOKUP(C1307,' Disaggregation - Section E '!A$10:N426,3,0),"")</f>
        <v/>
      </c>
      <c r="L1307" s="171"/>
      <c r="M1307" s="166"/>
      <c r="N1307" s="171"/>
      <c r="O1307" s="171"/>
    </row>
    <row r="1308" spans="1:15">
      <c r="A1308" s="166" t="b">
        <v>0</v>
      </c>
      <c r="B1308" s="166"/>
      <c r="C1308" s="413" t="s">
        <v>3872</v>
      </c>
      <c r="D1308" s="177">
        <v>12</v>
      </c>
      <c r="E1308" s="168"/>
      <c r="F1308" s="171"/>
      <c r="G1308" s="170"/>
      <c r="H1308" s="177"/>
      <c r="I1308" s="171"/>
      <c r="J1308" s="171"/>
      <c r="K1308" s="166" t="str">
        <f ca="1">IFERROR(VLOOKUP(C1308,' Disaggregation - Section E '!A$10:N427,3,0),"")</f>
        <v/>
      </c>
      <c r="L1308" s="171"/>
      <c r="M1308" s="166"/>
      <c r="N1308" s="171"/>
      <c r="O1308" s="171"/>
    </row>
    <row r="1309" spans="1:15">
      <c r="A1309" s="166" t="b">
        <v>0</v>
      </c>
      <c r="B1309" s="166"/>
      <c r="C1309" s="413" t="s">
        <v>3873</v>
      </c>
      <c r="D1309" s="177">
        <v>12</v>
      </c>
      <c r="E1309" s="168"/>
      <c r="F1309" s="171"/>
      <c r="G1309" s="170"/>
      <c r="H1309" s="177"/>
      <c r="I1309" s="171"/>
      <c r="J1309" s="171"/>
      <c r="K1309" s="166" t="str">
        <f ca="1">IFERROR(VLOOKUP(C1309,' Disaggregation - Section E '!A$10:N428,3,0),"")</f>
        <v/>
      </c>
      <c r="L1309" s="171"/>
      <c r="M1309" s="166"/>
      <c r="N1309" s="171"/>
      <c r="O1309" s="171"/>
    </row>
    <row r="1310" spans="1:15">
      <c r="A1310" s="166" t="b">
        <v>0</v>
      </c>
      <c r="B1310" s="166"/>
      <c r="C1310" s="413" t="s">
        <v>3874</v>
      </c>
      <c r="D1310" s="177">
        <v>12</v>
      </c>
      <c r="E1310" s="168"/>
      <c r="F1310" s="171"/>
      <c r="G1310" s="170"/>
      <c r="H1310" s="177"/>
      <c r="I1310" s="171"/>
      <c r="J1310" s="171"/>
      <c r="K1310" s="166" t="str">
        <f ca="1">IFERROR(VLOOKUP(C1310,' Disaggregation - Section E '!A$10:N429,3,0),"")</f>
        <v/>
      </c>
      <c r="L1310" s="171"/>
      <c r="M1310" s="166"/>
      <c r="N1310" s="171"/>
      <c r="O1310" s="171"/>
    </row>
    <row r="1311" spans="1:15">
      <c r="A1311" s="166" t="b">
        <v>0</v>
      </c>
      <c r="B1311" s="166"/>
      <c r="C1311" s="413" t="s">
        <v>3875</v>
      </c>
      <c r="D1311" s="177">
        <v>13</v>
      </c>
      <c r="E1311" s="168"/>
      <c r="F1311" s="171"/>
      <c r="G1311" s="170"/>
      <c r="H1311" s="177"/>
      <c r="I1311" s="171"/>
      <c r="J1311" s="171"/>
      <c r="K1311" s="166" t="str">
        <f ca="1">IFERROR(VLOOKUP(C1311,' Disaggregation - Section E '!A$10:N430,3,0),"")</f>
        <v/>
      </c>
      <c r="L1311" s="171"/>
      <c r="M1311" s="166"/>
      <c r="N1311" s="171"/>
      <c r="O1311" s="171"/>
    </row>
    <row r="1312" spans="1:15">
      <c r="A1312" s="166" t="b">
        <v>0</v>
      </c>
      <c r="B1312" s="166"/>
      <c r="C1312" s="413" t="s">
        <v>3876</v>
      </c>
      <c r="D1312" s="177">
        <v>13</v>
      </c>
      <c r="E1312" s="168"/>
      <c r="F1312" s="171"/>
      <c r="G1312" s="170"/>
      <c r="H1312" s="177"/>
      <c r="I1312" s="171"/>
      <c r="J1312" s="171"/>
      <c r="K1312" s="166" t="str">
        <f ca="1">IFERROR(VLOOKUP(C1312,' Disaggregation - Section E '!A$10:N431,3,0),"")</f>
        <v/>
      </c>
      <c r="L1312" s="171"/>
      <c r="M1312" s="166"/>
      <c r="N1312" s="171"/>
      <c r="O1312" s="171"/>
    </row>
    <row r="1313" spans="1:15">
      <c r="A1313" s="166" t="b">
        <v>0</v>
      </c>
      <c r="B1313" s="166"/>
      <c r="C1313" s="413" t="s">
        <v>3877</v>
      </c>
      <c r="D1313" s="177">
        <v>13</v>
      </c>
      <c r="E1313" s="168"/>
      <c r="F1313" s="171"/>
      <c r="G1313" s="170"/>
      <c r="H1313" s="177"/>
      <c r="I1313" s="171"/>
      <c r="J1313" s="171"/>
      <c r="K1313" s="166" t="str">
        <f ca="1">IFERROR(VLOOKUP(C1313,' Disaggregation - Section E '!A$10:N432,3,0),"")</f>
        <v/>
      </c>
      <c r="L1313" s="171"/>
      <c r="M1313" s="166"/>
      <c r="N1313" s="171"/>
      <c r="O1313" s="171"/>
    </row>
    <row r="1314" spans="1:15">
      <c r="A1314" s="166" t="b">
        <v>0</v>
      </c>
      <c r="B1314" s="166"/>
      <c r="C1314" s="413" t="s">
        <v>3878</v>
      </c>
      <c r="D1314" s="177">
        <v>13</v>
      </c>
      <c r="E1314" s="168"/>
      <c r="F1314" s="171"/>
      <c r="G1314" s="170"/>
      <c r="H1314" s="177"/>
      <c r="I1314" s="171"/>
      <c r="J1314" s="171"/>
      <c r="K1314" s="166" t="str">
        <f ca="1">IFERROR(VLOOKUP(C1314,' Disaggregation - Section E '!A$10:N433,3,0),"")</f>
        <v/>
      </c>
      <c r="L1314" s="171"/>
      <c r="M1314" s="166"/>
      <c r="N1314" s="171"/>
      <c r="O1314" s="171"/>
    </row>
    <row r="1315" spans="1:15">
      <c r="A1315" s="166" t="b">
        <v>0</v>
      </c>
      <c r="B1315" s="166"/>
      <c r="C1315" s="413" t="s">
        <v>3879</v>
      </c>
      <c r="D1315" s="177">
        <v>13</v>
      </c>
      <c r="E1315" s="168"/>
      <c r="F1315" s="171"/>
      <c r="G1315" s="170"/>
      <c r="H1315" s="177"/>
      <c r="I1315" s="171"/>
      <c r="J1315" s="171"/>
      <c r="K1315" s="166" t="str">
        <f ca="1">IFERROR(VLOOKUP(C1315,' Disaggregation - Section E '!A$10:N434,3,0),"")</f>
        <v/>
      </c>
      <c r="L1315" s="171"/>
      <c r="M1315" s="166"/>
      <c r="N1315" s="171"/>
      <c r="O1315" s="171"/>
    </row>
    <row r="1316" spans="1:15">
      <c r="A1316" s="166" t="b">
        <v>0</v>
      </c>
      <c r="B1316" s="166"/>
      <c r="C1316" s="413" t="s">
        <v>3880</v>
      </c>
      <c r="D1316" s="177">
        <v>13</v>
      </c>
      <c r="E1316" s="168"/>
      <c r="F1316" s="171"/>
      <c r="G1316" s="170"/>
      <c r="H1316" s="177"/>
      <c r="I1316" s="171"/>
      <c r="J1316" s="171"/>
      <c r="K1316" s="166" t="str">
        <f ca="1">IFERROR(VLOOKUP(C1316,' Disaggregation - Section E '!A$10:N435,3,0),"")</f>
        <v/>
      </c>
      <c r="L1316" s="171"/>
      <c r="M1316" s="166"/>
      <c r="N1316" s="171"/>
      <c r="O1316" s="171"/>
    </row>
    <row r="1317" spans="1:15">
      <c r="A1317" s="166" t="b">
        <v>0</v>
      </c>
      <c r="B1317" s="166"/>
      <c r="C1317" s="413" t="s">
        <v>3881</v>
      </c>
      <c r="D1317" s="177">
        <v>13</v>
      </c>
      <c r="E1317" s="168"/>
      <c r="F1317" s="171"/>
      <c r="G1317" s="170"/>
      <c r="H1317" s="177"/>
      <c r="I1317" s="171"/>
      <c r="J1317" s="171"/>
      <c r="K1317" s="166" t="str">
        <f ca="1">IFERROR(VLOOKUP(C1317,' Disaggregation - Section E '!A$10:N436,3,0),"")</f>
        <v/>
      </c>
      <c r="L1317" s="171"/>
      <c r="M1317" s="166"/>
      <c r="N1317" s="171"/>
      <c r="O1317" s="171"/>
    </row>
    <row r="1318" spans="1:15">
      <c r="A1318" s="166" t="b">
        <v>0</v>
      </c>
      <c r="B1318" s="166"/>
      <c r="C1318" s="413" t="s">
        <v>3882</v>
      </c>
      <c r="D1318" s="177">
        <v>13</v>
      </c>
      <c r="E1318" s="168"/>
      <c r="F1318" s="171"/>
      <c r="G1318" s="170"/>
      <c r="H1318" s="177"/>
      <c r="I1318" s="171"/>
      <c r="J1318" s="171"/>
      <c r="K1318" s="166" t="str">
        <f ca="1">IFERROR(VLOOKUP(C1318,' Disaggregation - Section E '!A$10:N437,3,0),"")</f>
        <v/>
      </c>
      <c r="L1318" s="171"/>
      <c r="M1318" s="166"/>
      <c r="N1318" s="171"/>
      <c r="O1318" s="171"/>
    </row>
    <row r="1319" spans="1:15">
      <c r="A1319" s="166" t="b">
        <v>0</v>
      </c>
      <c r="B1319" s="166"/>
      <c r="C1319" s="413" t="s">
        <v>3883</v>
      </c>
      <c r="D1319" s="177">
        <v>13</v>
      </c>
      <c r="E1319" s="168"/>
      <c r="F1319" s="171"/>
      <c r="G1319" s="170"/>
      <c r="H1319" s="177"/>
      <c r="I1319" s="171"/>
      <c r="J1319" s="171"/>
      <c r="K1319" s="166" t="str">
        <f ca="1">IFERROR(VLOOKUP(C1319,' Disaggregation - Section E '!A$10:N438,3,0),"")</f>
        <v/>
      </c>
      <c r="L1319" s="171"/>
      <c r="M1319" s="166"/>
      <c r="N1319" s="171"/>
      <c r="O1319" s="171"/>
    </row>
    <row r="1320" spans="1:15">
      <c r="A1320" s="166" t="b">
        <v>0</v>
      </c>
      <c r="B1320" s="166"/>
      <c r="C1320" s="413" t="s">
        <v>3884</v>
      </c>
      <c r="D1320" s="177">
        <v>13</v>
      </c>
      <c r="E1320" s="168"/>
      <c r="F1320" s="171"/>
      <c r="G1320" s="170"/>
      <c r="H1320" s="177"/>
      <c r="I1320" s="171"/>
      <c r="J1320" s="171"/>
      <c r="K1320" s="166" t="str">
        <f ca="1">IFERROR(VLOOKUP(C1320,' Disaggregation - Section E '!A$10:N439,3,0),"")</f>
        <v/>
      </c>
      <c r="L1320" s="171"/>
      <c r="M1320" s="166"/>
      <c r="N1320" s="171"/>
      <c r="O1320" s="171"/>
    </row>
    <row r="1321" spans="1:15">
      <c r="A1321" s="166" t="b">
        <v>0</v>
      </c>
      <c r="B1321" s="166"/>
      <c r="C1321" s="413" t="s">
        <v>3885</v>
      </c>
      <c r="D1321" s="177">
        <v>14</v>
      </c>
      <c r="E1321" s="168"/>
      <c r="F1321" s="171"/>
      <c r="G1321" s="170"/>
      <c r="H1321" s="177"/>
      <c r="I1321" s="171"/>
      <c r="J1321" s="171"/>
      <c r="K1321" s="166" t="str">
        <f ca="1">IFERROR(VLOOKUP(C1321,' Disaggregation - Section E '!A$10:N440,3,0),"")</f>
        <v/>
      </c>
      <c r="L1321" s="171"/>
      <c r="M1321" s="166"/>
      <c r="N1321" s="171"/>
      <c r="O1321" s="171"/>
    </row>
    <row r="1322" spans="1:15">
      <c r="A1322" s="166" t="b">
        <v>0</v>
      </c>
      <c r="B1322" s="166"/>
      <c r="C1322" s="413" t="s">
        <v>3886</v>
      </c>
      <c r="D1322" s="177">
        <v>14</v>
      </c>
      <c r="E1322" s="168"/>
      <c r="F1322" s="171"/>
      <c r="G1322" s="170"/>
      <c r="H1322" s="177"/>
      <c r="I1322" s="171"/>
      <c r="J1322" s="171"/>
      <c r="K1322" s="166" t="str">
        <f ca="1">IFERROR(VLOOKUP(C1322,' Disaggregation - Section E '!A$10:N441,3,0),"")</f>
        <v/>
      </c>
      <c r="L1322" s="171"/>
      <c r="M1322" s="166"/>
      <c r="N1322" s="171"/>
      <c r="O1322" s="171"/>
    </row>
    <row r="1323" spans="1:15">
      <c r="A1323" s="166" t="b">
        <v>0</v>
      </c>
      <c r="B1323" s="166"/>
      <c r="C1323" s="413" t="s">
        <v>3887</v>
      </c>
      <c r="D1323" s="177">
        <v>14</v>
      </c>
      <c r="E1323" s="168"/>
      <c r="F1323" s="171"/>
      <c r="G1323" s="170"/>
      <c r="H1323" s="177"/>
      <c r="I1323" s="171"/>
      <c r="J1323" s="171"/>
      <c r="K1323" s="166" t="str">
        <f ca="1">IFERROR(VLOOKUP(C1323,' Disaggregation - Section E '!A$10:N442,3,0),"")</f>
        <v/>
      </c>
      <c r="L1323" s="171"/>
      <c r="M1323" s="166"/>
      <c r="N1323" s="171"/>
      <c r="O1323" s="171"/>
    </row>
    <row r="1324" spans="1:15">
      <c r="A1324" s="166" t="b">
        <v>0</v>
      </c>
      <c r="B1324" s="166"/>
      <c r="C1324" s="413" t="s">
        <v>3888</v>
      </c>
      <c r="D1324" s="177">
        <v>14</v>
      </c>
      <c r="E1324" s="168"/>
      <c r="F1324" s="171"/>
      <c r="G1324" s="170"/>
      <c r="H1324" s="177"/>
      <c r="I1324" s="171"/>
      <c r="J1324" s="171"/>
      <c r="K1324" s="166" t="str">
        <f ca="1">IFERROR(VLOOKUP(C1324,' Disaggregation - Section E '!A$10:N443,3,0),"")</f>
        <v/>
      </c>
      <c r="L1324" s="171"/>
      <c r="M1324" s="166"/>
      <c r="N1324" s="171"/>
      <c r="O1324" s="171"/>
    </row>
    <row r="1325" spans="1:15">
      <c r="A1325" s="166" t="b">
        <v>0</v>
      </c>
      <c r="B1325" s="166"/>
      <c r="C1325" s="413" t="s">
        <v>3889</v>
      </c>
      <c r="D1325" s="177">
        <v>14</v>
      </c>
      <c r="E1325" s="168"/>
      <c r="F1325" s="171"/>
      <c r="G1325" s="170"/>
      <c r="H1325" s="177"/>
      <c r="I1325" s="171"/>
      <c r="J1325" s="171"/>
      <c r="K1325" s="166" t="str">
        <f ca="1">IFERROR(VLOOKUP(C1325,' Disaggregation - Section E '!A$10:N444,3,0),"")</f>
        <v/>
      </c>
      <c r="L1325" s="171"/>
      <c r="M1325" s="166"/>
      <c r="N1325" s="171"/>
      <c r="O1325" s="171"/>
    </row>
    <row r="1326" spans="1:15">
      <c r="A1326" s="166" t="b">
        <v>0</v>
      </c>
      <c r="B1326" s="166"/>
      <c r="C1326" s="413" t="s">
        <v>3890</v>
      </c>
      <c r="D1326" s="177">
        <v>14</v>
      </c>
      <c r="E1326" s="168"/>
      <c r="F1326" s="171"/>
      <c r="G1326" s="170"/>
      <c r="H1326" s="177"/>
      <c r="I1326" s="171"/>
      <c r="J1326" s="171"/>
      <c r="K1326" s="166" t="str">
        <f ca="1">IFERROR(VLOOKUP(C1326,' Disaggregation - Section E '!A$10:N445,3,0),"")</f>
        <v/>
      </c>
      <c r="L1326" s="171"/>
      <c r="M1326" s="166"/>
      <c r="N1326" s="171"/>
      <c r="O1326" s="171"/>
    </row>
    <row r="1327" spans="1:15">
      <c r="A1327" s="166" t="b">
        <v>0</v>
      </c>
      <c r="B1327" s="166"/>
      <c r="C1327" s="413" t="s">
        <v>3891</v>
      </c>
      <c r="D1327" s="177">
        <v>14</v>
      </c>
      <c r="E1327" s="168"/>
      <c r="F1327" s="171"/>
      <c r="G1327" s="170"/>
      <c r="H1327" s="177"/>
      <c r="I1327" s="171"/>
      <c r="J1327" s="171"/>
      <c r="K1327" s="166" t="str">
        <f ca="1">IFERROR(VLOOKUP(C1327,' Disaggregation - Section E '!A$10:N446,3,0),"")</f>
        <v/>
      </c>
      <c r="L1327" s="171"/>
      <c r="M1327" s="166"/>
      <c r="N1327" s="171"/>
      <c r="O1327" s="171"/>
    </row>
    <row r="1328" spans="1:15">
      <c r="A1328" s="166" t="b">
        <v>0</v>
      </c>
      <c r="B1328" s="166"/>
      <c r="C1328" s="413" t="s">
        <v>3892</v>
      </c>
      <c r="D1328" s="177">
        <v>14</v>
      </c>
      <c r="E1328" s="168"/>
      <c r="F1328" s="171"/>
      <c r="G1328" s="170"/>
      <c r="H1328" s="177"/>
      <c r="I1328" s="171"/>
      <c r="J1328" s="171"/>
      <c r="K1328" s="166" t="str">
        <f ca="1">IFERROR(VLOOKUP(C1328,' Disaggregation - Section E '!A$10:N447,3,0),"")</f>
        <v/>
      </c>
      <c r="L1328" s="171"/>
      <c r="M1328" s="166"/>
      <c r="N1328" s="171"/>
      <c r="O1328" s="171"/>
    </row>
    <row r="1329" spans="1:15">
      <c r="A1329" s="166" t="b">
        <v>0</v>
      </c>
      <c r="B1329" s="166"/>
      <c r="C1329" s="413" t="s">
        <v>3893</v>
      </c>
      <c r="D1329" s="177">
        <v>14</v>
      </c>
      <c r="E1329" s="168"/>
      <c r="F1329" s="171"/>
      <c r="G1329" s="170"/>
      <c r="H1329" s="177"/>
      <c r="I1329" s="171"/>
      <c r="J1329" s="171"/>
      <c r="K1329" s="166" t="str">
        <f ca="1">IFERROR(VLOOKUP(C1329,' Disaggregation - Section E '!A$10:N448,3,0),"")</f>
        <v/>
      </c>
      <c r="L1329" s="171"/>
      <c r="M1329" s="166"/>
      <c r="N1329" s="171"/>
      <c r="O1329" s="171"/>
    </row>
    <row r="1330" spans="1:15">
      <c r="A1330" s="166" t="b">
        <v>0</v>
      </c>
      <c r="B1330" s="166"/>
      <c r="C1330" s="413" t="s">
        <v>3894</v>
      </c>
      <c r="D1330" s="177">
        <v>14</v>
      </c>
      <c r="E1330" s="168"/>
      <c r="F1330" s="171"/>
      <c r="G1330" s="170"/>
      <c r="H1330" s="177"/>
      <c r="I1330" s="171"/>
      <c r="J1330" s="171"/>
      <c r="K1330" s="166" t="str">
        <f ca="1">IFERROR(VLOOKUP(C1330,' Disaggregation - Section E '!A$10:N449,3,0),"")</f>
        <v/>
      </c>
      <c r="L1330" s="171"/>
      <c r="M1330" s="166"/>
      <c r="N1330" s="171"/>
      <c r="O1330" s="171"/>
    </row>
    <row r="1331" spans="1:15">
      <c r="A1331" s="166" t="b">
        <v>0</v>
      </c>
      <c r="B1331" s="166"/>
      <c r="C1331" s="413" t="s">
        <v>3895</v>
      </c>
      <c r="D1331" s="177">
        <v>15</v>
      </c>
      <c r="E1331" s="168"/>
      <c r="F1331" s="171"/>
      <c r="G1331" s="170"/>
      <c r="H1331" s="177"/>
      <c r="I1331" s="171"/>
      <c r="J1331" s="171"/>
      <c r="K1331" s="166" t="str">
        <f ca="1">IFERROR(VLOOKUP(C1331,' Disaggregation - Section E '!A$10:N450,3,0),"")</f>
        <v/>
      </c>
      <c r="L1331" s="171"/>
      <c r="M1331" s="166"/>
      <c r="N1331" s="171"/>
      <c r="O1331" s="171"/>
    </row>
    <row r="1332" spans="1:15">
      <c r="A1332" s="166" t="b">
        <v>0</v>
      </c>
      <c r="B1332" s="166"/>
      <c r="C1332" s="413" t="s">
        <v>3896</v>
      </c>
      <c r="D1332" s="177">
        <v>15</v>
      </c>
      <c r="E1332" s="168"/>
      <c r="F1332" s="171"/>
      <c r="G1332" s="170"/>
      <c r="H1332" s="177"/>
      <c r="I1332" s="171"/>
      <c r="J1332" s="171"/>
      <c r="K1332" s="166" t="str">
        <f ca="1">IFERROR(VLOOKUP(C1332,' Disaggregation - Section E '!A$10:N451,3,0),"")</f>
        <v/>
      </c>
      <c r="L1332" s="171"/>
      <c r="M1332" s="166"/>
      <c r="N1332" s="171"/>
      <c r="O1332" s="171"/>
    </row>
    <row r="1333" spans="1:15">
      <c r="A1333" s="166" t="b">
        <v>0</v>
      </c>
      <c r="B1333" s="166"/>
      <c r="C1333" s="413" t="s">
        <v>3897</v>
      </c>
      <c r="D1333" s="177">
        <v>15</v>
      </c>
      <c r="E1333" s="168"/>
      <c r="F1333" s="171"/>
      <c r="G1333" s="170"/>
      <c r="H1333" s="177"/>
      <c r="I1333" s="171"/>
      <c r="J1333" s="171"/>
      <c r="K1333" s="166" t="str">
        <f ca="1">IFERROR(VLOOKUP(C1333,' Disaggregation - Section E '!A$10:N452,3,0),"")</f>
        <v/>
      </c>
      <c r="L1333" s="171"/>
      <c r="M1333" s="166"/>
      <c r="N1333" s="171"/>
      <c r="O1333" s="171"/>
    </row>
    <row r="1334" spans="1:15">
      <c r="A1334" s="166" t="b">
        <v>0</v>
      </c>
      <c r="B1334" s="166"/>
      <c r="C1334" s="413" t="s">
        <v>3898</v>
      </c>
      <c r="D1334" s="177">
        <v>15</v>
      </c>
      <c r="E1334" s="168"/>
      <c r="F1334" s="171"/>
      <c r="G1334" s="170"/>
      <c r="H1334" s="177"/>
      <c r="I1334" s="171"/>
      <c r="J1334" s="171"/>
      <c r="K1334" s="166" t="str">
        <f ca="1">IFERROR(VLOOKUP(C1334,' Disaggregation - Section E '!A$10:N453,3,0),"")</f>
        <v/>
      </c>
      <c r="L1334" s="171"/>
      <c r="M1334" s="166"/>
      <c r="N1334" s="171"/>
      <c r="O1334" s="171"/>
    </row>
    <row r="1335" spans="1:15">
      <c r="A1335" s="166" t="b">
        <v>0</v>
      </c>
      <c r="B1335" s="166"/>
      <c r="C1335" s="413" t="s">
        <v>3899</v>
      </c>
      <c r="D1335" s="177">
        <v>15</v>
      </c>
      <c r="E1335" s="168"/>
      <c r="F1335" s="171"/>
      <c r="G1335" s="170"/>
      <c r="H1335" s="177"/>
      <c r="I1335" s="171"/>
      <c r="J1335" s="171"/>
      <c r="K1335" s="166" t="str">
        <f ca="1">IFERROR(VLOOKUP(C1335,' Disaggregation - Section E '!A$10:N454,3,0),"")</f>
        <v/>
      </c>
      <c r="L1335" s="171"/>
      <c r="M1335" s="166"/>
      <c r="N1335" s="171"/>
      <c r="O1335" s="171"/>
    </row>
    <row r="1336" spans="1:15">
      <c r="A1336" s="166" t="b">
        <v>0</v>
      </c>
      <c r="B1336" s="166"/>
      <c r="C1336" s="413" t="s">
        <v>3900</v>
      </c>
      <c r="D1336" s="177">
        <v>15</v>
      </c>
      <c r="E1336" s="168"/>
      <c r="F1336" s="171"/>
      <c r="G1336" s="170"/>
      <c r="H1336" s="177"/>
      <c r="I1336" s="171"/>
      <c r="J1336" s="171"/>
      <c r="K1336" s="166" t="str">
        <f ca="1">IFERROR(VLOOKUP(C1336,' Disaggregation - Section E '!A$10:N455,3,0),"")</f>
        <v/>
      </c>
      <c r="L1336" s="171"/>
      <c r="M1336" s="166"/>
      <c r="N1336" s="171"/>
      <c r="O1336" s="171"/>
    </row>
    <row r="1337" spans="1:15">
      <c r="A1337" s="166" t="b">
        <v>0</v>
      </c>
      <c r="B1337" s="166"/>
      <c r="C1337" s="413" t="s">
        <v>3901</v>
      </c>
      <c r="D1337" s="177">
        <v>15</v>
      </c>
      <c r="E1337" s="168"/>
      <c r="F1337" s="171"/>
      <c r="G1337" s="170"/>
      <c r="H1337" s="177"/>
      <c r="I1337" s="171"/>
      <c r="J1337" s="171"/>
      <c r="K1337" s="166" t="str">
        <f ca="1">IFERROR(VLOOKUP(C1337,' Disaggregation - Section E '!A$10:N456,3,0),"")</f>
        <v/>
      </c>
      <c r="L1337" s="171"/>
      <c r="M1337" s="166"/>
      <c r="N1337" s="171"/>
      <c r="O1337" s="171"/>
    </row>
    <row r="1338" spans="1:15">
      <c r="A1338" s="166" t="b">
        <v>0</v>
      </c>
      <c r="B1338" s="166"/>
      <c r="C1338" s="413" t="s">
        <v>3902</v>
      </c>
      <c r="D1338" s="177">
        <v>15</v>
      </c>
      <c r="E1338" s="168"/>
      <c r="F1338" s="171"/>
      <c r="G1338" s="170"/>
      <c r="H1338" s="177"/>
      <c r="I1338" s="171"/>
      <c r="J1338" s="171"/>
      <c r="K1338" s="166" t="str">
        <f ca="1">IFERROR(VLOOKUP(C1338,' Disaggregation - Section E '!A$10:N457,3,0),"")</f>
        <v/>
      </c>
      <c r="L1338" s="171"/>
      <c r="M1338" s="166"/>
      <c r="N1338" s="171"/>
      <c r="O1338" s="171"/>
    </row>
    <row r="1339" spans="1:15">
      <c r="A1339" s="166" t="b">
        <v>0</v>
      </c>
      <c r="B1339" s="166"/>
      <c r="C1339" s="413" t="s">
        <v>3903</v>
      </c>
      <c r="D1339" s="177">
        <v>15</v>
      </c>
      <c r="E1339" s="168"/>
      <c r="F1339" s="171"/>
      <c r="G1339" s="170"/>
      <c r="H1339" s="177"/>
      <c r="I1339" s="171"/>
      <c r="J1339" s="171"/>
      <c r="K1339" s="166" t="str">
        <f ca="1">IFERROR(VLOOKUP(C1339,' Disaggregation - Section E '!A$10:N458,3,0),"")</f>
        <v/>
      </c>
      <c r="L1339" s="171"/>
      <c r="M1339" s="166"/>
      <c r="N1339" s="171"/>
      <c r="O1339" s="171"/>
    </row>
    <row r="1340" spans="1:15">
      <c r="A1340" s="166" t="b">
        <v>0</v>
      </c>
      <c r="B1340" s="166"/>
      <c r="C1340" s="413" t="s">
        <v>3904</v>
      </c>
      <c r="D1340" s="177">
        <v>15</v>
      </c>
      <c r="E1340" s="168"/>
      <c r="F1340" s="171"/>
      <c r="G1340" s="170"/>
      <c r="H1340" s="177"/>
      <c r="I1340" s="171"/>
      <c r="J1340" s="171"/>
      <c r="K1340" s="166" t="str">
        <f ca="1">IFERROR(VLOOKUP(C1340,' Disaggregation - Section E '!A$10:N459,3,0),"")</f>
        <v/>
      </c>
      <c r="L1340" s="171"/>
      <c r="M1340" s="166"/>
      <c r="N1340" s="171"/>
      <c r="O1340" s="171"/>
    </row>
    <row r="1341" spans="1:15">
      <c r="A1341" s="166" t="b">
        <f t="shared" ref="A1341:A1404" ca="1" si="142">IF(M1341&lt;&gt;"",TRUE,FALSE)</f>
        <v>1</v>
      </c>
      <c r="B1341" s="166"/>
      <c r="C1341" s="172" t="str">
        <f ca="1">IF(COUNTA(D$1189:D1341)=1,"",OFFSET(B1341,-COUNTA(D$1189:D1341)+1,1))</f>
        <v>a1G3p000005dHa5EAE</v>
      </c>
      <c r="D1341" s="177"/>
      <c r="E1341" s="168">
        <f ca="1">IFERROR(IF(VLOOKUP(C1341,' Disaggregation - Section E '!A$10:J460,7,0)="","",VLOOKUP(C1341,' Disaggregation - Section E '!A$10:J460,7,0)*100),"")</f>
        <v>28.685258964143429</v>
      </c>
      <c r="F1341" s="171" t="str">
        <f ca="1">IFERROR(IF(VLOOKUP(C1341,' Disaggregation - Section E '!A$10:N460,5,0)=0,"",VLOOKUP(C1341,' Disaggregation - Section E '!A$10:N460,5,0)),"")</f>
        <v>25+</v>
      </c>
      <c r="G1341" s="170">
        <f ca="1">IFERROR(IF(VLOOKUP(C1341,' Disaggregation - Section E '!A$10:N460,6,0)="","",VLOOKUP(C1341,' Disaggregation - Section E '!A$10:N460,6,0)),"")</f>
        <v>288</v>
      </c>
      <c r="H1341" s="177">
        <f ca="1">IFERROR(IF(INDEX(' Disaggregation - Section E '!F$10:F460,MATCH(C1341,' Disaggregation - Section E '!A$10:A460,0)+1,1)&lt;&gt;0,INDEX(' Disaggregation - Section E '!F$10:F460,MATCH(C1341,' Disaggregation - Section E '!A$10:A460,0)+1,1),""),"")</f>
        <v>1004</v>
      </c>
      <c r="I1341" s="171">
        <f ca="1">IFERROR(IF(VLOOKUP(C1341,' Disaggregation - Section E '!A$10:N460,8,0)=0,"",VLOOKUP(C1341,' Disaggregation - Section E '!A$10:N460,8,0)),"")</f>
        <v>2021</v>
      </c>
      <c r="J1341" s="171" t="str">
        <f ca="1">IFERROR(IF(VLOOKUP(C1341,' Disaggregation - Section E '!A$10:N460,13,0)=0,"",VLOOKUP(C1341,' Disaggregation - Section E '!A$10:N460,13,0)),"")</f>
        <v/>
      </c>
      <c r="K1341" s="166" t="str">
        <f ca="1">IFERROR(VLOOKUP(C1341,' Disaggregation - Section E '!A$10:N460,3,0),"")</f>
        <v>HIV I-9a⁽ᴹ⁾ Porcentaje de HSH y viven con el VIH</v>
      </c>
      <c r="L1341" s="171" t="str">
        <f ca="1">IFERROR(IF(VLOOKUP(C1341,' Disaggregation - Section E '!A$10:N460,14,0)=0,"",VLOOKUP(C1341,' Disaggregation - Section E '!A$10:N460,14,0)),"")</f>
        <v/>
      </c>
      <c r="M1341" s="166" t="str">
        <f ca="1">IFERROR(IF(VLOOKUP(C1341,' Disaggregation - Section E '!A$10:T460,20,0)=0,"",VLOOKUP(C1341,' Disaggregation - Section E '!A$10:T460,20,0)),"")</f>
        <v>IDR-00657</v>
      </c>
      <c r="N1341" s="171" t="str">
        <f ca="1">IFERROR(IF(VLOOKUP(C1341,' Disaggregation - Section E '!A$10:N460,9,0)=0,"",VLOOKUP(C1341,' Disaggregation - Section E '!A$10:N460,9,0)),"")</f>
        <v>Estudio Bioconductual en HSH</v>
      </c>
      <c r="O1341" s="171" t="str">
        <f ca="1">IFERROR(IF(VLOOKUP(C1341,' Disaggregation - Section E '!A$10:N460,10,0)=0,"",VLOOKUP(C1341,' Disaggregation - Section E '!A$10:N460,10,0)),"")</f>
        <v>El dato corresponde al Estudio Bioconductual realizado el año 2021</v>
      </c>
    </row>
    <row r="1342" spans="1:15">
      <c r="A1342" s="166" t="b">
        <f t="shared" ca="1" si="142"/>
        <v>1</v>
      </c>
      <c r="B1342" s="166"/>
      <c r="C1342" s="172" t="str">
        <f ca="1">IF(COUNTA(D$1189:D1342)=1,"",OFFSET(B1342,-COUNTA(D$1189:D1342)+1,1))</f>
        <v>a1G3p000005dHa6EAE</v>
      </c>
      <c r="D1342" s="177"/>
      <c r="E1342" s="168">
        <f ca="1">IFERROR(IF(VLOOKUP(C1342,' Disaggregation - Section E '!A$10:J461,7,0)="","",VLOOKUP(C1342,' Disaggregation - Section E '!A$10:J461,7,0)*100),"")</f>
        <v>21.069182389937108</v>
      </c>
      <c r="F1342" s="171" t="str">
        <f ca="1">IFERROR(IF(VLOOKUP(C1342,' Disaggregation - Section E '!A$10:N461,5,0)=0,"",VLOOKUP(C1342,' Disaggregation - Section E '!A$10:N461,5,0)),"")</f>
        <v>&lt;25</v>
      </c>
      <c r="G1342" s="170">
        <f ca="1">IFERROR(IF(VLOOKUP(C1342,' Disaggregation - Section E '!A$10:N461,6,0)="","",VLOOKUP(C1342,' Disaggregation - Section E '!A$10:N461,6,0)),"")</f>
        <v>134</v>
      </c>
      <c r="H1342" s="177">
        <f ca="1">IFERROR(IF(INDEX(' Disaggregation - Section E '!F$10:F461,MATCH(C1342,' Disaggregation - Section E '!A$10:A461,0)+1,1)&lt;&gt;0,INDEX(' Disaggregation - Section E '!F$10:F461,MATCH(C1342,' Disaggregation - Section E '!A$10:A461,0)+1,1),""),"")</f>
        <v>636</v>
      </c>
      <c r="I1342" s="171">
        <f ca="1">IFERROR(IF(VLOOKUP(C1342,' Disaggregation - Section E '!A$10:N461,8,0)=0,"",VLOOKUP(C1342,' Disaggregation - Section E '!A$10:N461,8,0)),"")</f>
        <v>2021</v>
      </c>
      <c r="J1342" s="171" t="str">
        <f ca="1">IFERROR(IF(VLOOKUP(C1342,' Disaggregation - Section E '!A$10:N461,13,0)=0,"",VLOOKUP(C1342,' Disaggregation - Section E '!A$10:N461,13,0)),"")</f>
        <v/>
      </c>
      <c r="K1342" s="166" t="str">
        <f ca="1">IFERROR(VLOOKUP(C1342,' Disaggregation - Section E '!A$10:N461,3,0),"")</f>
        <v>HIV I-9a⁽ᴹ⁾ Porcentaje de HSH y viven con el VIH</v>
      </c>
      <c r="L1342" s="171" t="str">
        <f ca="1">IFERROR(IF(VLOOKUP(C1342,' Disaggregation - Section E '!A$10:N461,14,0)=0,"",VLOOKUP(C1342,' Disaggregation - Section E '!A$10:N461,14,0)),"")</f>
        <v/>
      </c>
      <c r="M1342" s="166" t="str">
        <f ca="1">IFERROR(IF(VLOOKUP(C1342,' Disaggregation - Section E '!A$10:T461,20,0)=0,"",VLOOKUP(C1342,' Disaggregation - Section E '!A$10:T461,20,0)),"")</f>
        <v>IDR-00656</v>
      </c>
      <c r="N1342" s="171" t="str">
        <f ca="1">IFERROR(IF(VLOOKUP(C1342,' Disaggregation - Section E '!A$10:N461,9,0)=0,"",VLOOKUP(C1342,' Disaggregation - Section E '!A$10:N461,9,0)),"")</f>
        <v>Estudio Bioconductual en HSH</v>
      </c>
      <c r="O1342" s="171" t="str">
        <f ca="1">IFERROR(IF(VLOOKUP(C1342,' Disaggregation - Section E '!A$10:N461,10,0)=0,"",VLOOKUP(C1342,' Disaggregation - Section E '!A$10:N461,10,0)),"")</f>
        <v>El dato corresponde al Estudio Bioconductual realizado el año 2021</v>
      </c>
    </row>
    <row r="1343" spans="1:15">
      <c r="A1343" s="166" t="b">
        <f t="shared" ca="1" si="142"/>
        <v>0</v>
      </c>
      <c r="B1343" s="166"/>
      <c r="C1343" s="172" t="str">
        <f ca="1">IF(COUNTA(D$1189:D1343)=1,"",OFFSET(B1343,-COUNTA(D$1189:D1343)+1,1))</f>
        <v>a1G3p000005dHa7EAE</v>
      </c>
      <c r="D1343" s="177"/>
      <c r="E1343" s="168" t="str">
        <f ca="1">IFERROR(IF(VLOOKUP(C1343,' Disaggregation - Section E '!A$10:J462,7,0)="","",VLOOKUP(C1343,' Disaggregation - Section E '!A$10:J462,7,0)*100),"")</f>
        <v/>
      </c>
      <c r="F1343" s="171" t="str">
        <f ca="1">IFERROR(IF(VLOOKUP(C1343,' Disaggregation - Section E '!A$10:N462,5,0)=0,"",VLOOKUP(C1343,' Disaggregation - Section E '!A$10:N462,5,0)),"")</f>
        <v/>
      </c>
      <c r="G1343" s="170" t="str">
        <f ca="1">IFERROR(IF(VLOOKUP(C1343,' Disaggregation - Section E '!A$10:N462,6,0)="","",VLOOKUP(C1343,' Disaggregation - Section E '!A$10:N462,6,0)),"")</f>
        <v/>
      </c>
      <c r="H1343" s="177" t="str">
        <f ca="1">IFERROR(IF(INDEX(' Disaggregation - Section E '!F$10:F462,MATCH(C1343,' Disaggregation - Section E '!A$10:A462,0)+1,1)&lt;&gt;0,INDEX(' Disaggregation - Section E '!F$10:F462,MATCH(C1343,' Disaggregation - Section E '!A$10:A462,0)+1,1),""),"")</f>
        <v/>
      </c>
      <c r="I1343" s="171" t="str">
        <f ca="1">IFERROR(IF(VLOOKUP(C1343,' Disaggregation - Section E '!A$10:N462,8,0)=0,"",VLOOKUP(C1343,' Disaggregation - Section E '!A$10:N462,8,0)),"")</f>
        <v/>
      </c>
      <c r="J1343" s="171" t="str">
        <f ca="1">IFERROR(IF(VLOOKUP(C1343,' Disaggregation - Section E '!A$10:N462,13,0)=0,"",VLOOKUP(C1343,' Disaggregation - Section E '!A$10:N462,13,0)),"")</f>
        <v/>
      </c>
      <c r="K1343" s="166" t="str">
        <f ca="1">IFERROR(VLOOKUP(C1343,' Disaggregation - Section E '!A$10:N462,3,0),"")</f>
        <v>HIV I-9a⁽ᴹ⁾ Porcentaje de HSH y viven con el VIH</v>
      </c>
      <c r="L1343" s="171" t="str">
        <f ca="1">IFERROR(IF(VLOOKUP(C1343,' Disaggregation - Section E '!A$10:N462,14,0)=0,"",VLOOKUP(C1343,' Disaggregation - Section E '!A$10:N462,14,0)),"")</f>
        <v/>
      </c>
      <c r="M1343" s="166" t="str">
        <f ca="1">IFERROR(IF(VLOOKUP(C1343,' Disaggregation - Section E '!A$10:T462,20,0)=0,"",VLOOKUP(C1343,' Disaggregation - Section E '!A$10:T462,20,0)),"")</f>
        <v/>
      </c>
      <c r="N1343" s="171" t="str">
        <f ca="1">IFERROR(IF(VLOOKUP(C1343,' Disaggregation - Section E '!A$10:N462,9,0)=0,"",VLOOKUP(C1343,' Disaggregation - Section E '!A$10:N462,9,0)),"")</f>
        <v/>
      </c>
      <c r="O1343" s="171" t="str">
        <f ca="1">IFERROR(IF(VLOOKUP(C1343,' Disaggregation - Section E '!A$10:N462,10,0)=0,"",VLOOKUP(C1343,' Disaggregation - Section E '!A$10:N462,10,0)),"")</f>
        <v/>
      </c>
    </row>
    <row r="1344" spans="1:15">
      <c r="A1344" s="166" t="b">
        <f t="shared" ca="1" si="142"/>
        <v>0</v>
      </c>
      <c r="B1344" s="166"/>
      <c r="C1344" s="172" t="str">
        <f ca="1">IF(COUNTA(D$1189:D1344)=1,"",OFFSET(B1344,-COUNTA(D$1189:D1344)+1,1))</f>
        <v>a1G3p000005dHa8EAE</v>
      </c>
      <c r="D1344" s="177"/>
      <c r="E1344" s="168" t="str">
        <f ca="1">IFERROR(IF(VLOOKUP(C1344,' Disaggregation - Section E '!A$10:J463,7,0)="","",VLOOKUP(C1344,' Disaggregation - Section E '!A$10:J463,7,0)*100),"")</f>
        <v/>
      </c>
      <c r="F1344" s="171" t="str">
        <f ca="1">IFERROR(IF(VLOOKUP(C1344,' Disaggregation - Section E '!A$10:N463,5,0)=0,"",VLOOKUP(C1344,' Disaggregation - Section E '!A$10:N463,5,0)),"")</f>
        <v/>
      </c>
      <c r="G1344" s="170" t="str">
        <f ca="1">IFERROR(IF(VLOOKUP(C1344,' Disaggregation - Section E '!A$10:N463,6,0)="","",VLOOKUP(C1344,' Disaggregation - Section E '!A$10:N463,6,0)),"")</f>
        <v/>
      </c>
      <c r="H1344" s="177" t="str">
        <f ca="1">IFERROR(IF(INDEX(' Disaggregation - Section E '!F$10:F463,MATCH(C1344,' Disaggregation - Section E '!A$10:A463,0)+1,1)&lt;&gt;0,INDEX(' Disaggregation - Section E '!F$10:F463,MATCH(C1344,' Disaggregation - Section E '!A$10:A463,0)+1,1),""),"")</f>
        <v/>
      </c>
      <c r="I1344" s="171" t="str">
        <f ca="1">IFERROR(IF(VLOOKUP(C1344,' Disaggregation - Section E '!A$10:N463,8,0)=0,"",VLOOKUP(C1344,' Disaggregation - Section E '!A$10:N463,8,0)),"")</f>
        <v/>
      </c>
      <c r="J1344" s="171" t="str">
        <f ca="1">IFERROR(IF(VLOOKUP(C1344,' Disaggregation - Section E '!A$10:N463,13,0)=0,"",VLOOKUP(C1344,' Disaggregation - Section E '!A$10:N463,13,0)),"")</f>
        <v/>
      </c>
      <c r="K1344" s="166" t="str">
        <f ca="1">IFERROR(VLOOKUP(C1344,' Disaggregation - Section E '!A$10:N463,3,0),"")</f>
        <v>HIV I-9a⁽ᴹ⁾ Porcentaje de HSH y viven con el VIH</v>
      </c>
      <c r="L1344" s="171" t="str">
        <f ca="1">IFERROR(IF(VLOOKUP(C1344,' Disaggregation - Section E '!A$10:N463,14,0)=0,"",VLOOKUP(C1344,' Disaggregation - Section E '!A$10:N463,14,0)),"")</f>
        <v/>
      </c>
      <c r="M1344" s="166" t="str">
        <f ca="1">IFERROR(IF(VLOOKUP(C1344,' Disaggregation - Section E '!A$10:T463,20,0)=0,"",VLOOKUP(C1344,' Disaggregation - Section E '!A$10:T463,20,0)),"")</f>
        <v/>
      </c>
      <c r="N1344" s="171" t="str">
        <f ca="1">IFERROR(IF(VLOOKUP(C1344,' Disaggregation - Section E '!A$10:N463,9,0)=0,"",VLOOKUP(C1344,' Disaggregation - Section E '!A$10:N463,9,0)),"")</f>
        <v/>
      </c>
      <c r="O1344" s="171" t="str">
        <f ca="1">IFERROR(IF(VLOOKUP(C1344,' Disaggregation - Section E '!A$10:N463,10,0)=0,"",VLOOKUP(C1344,' Disaggregation - Section E '!A$10:N463,10,0)),"")</f>
        <v/>
      </c>
    </row>
    <row r="1345" spans="1:15">
      <c r="A1345" s="166" t="b">
        <f t="shared" ca="1" si="142"/>
        <v>0</v>
      </c>
      <c r="B1345" s="166"/>
      <c r="C1345" s="172" t="str">
        <f ca="1">IF(COUNTA(D$1189:D1345)=1,"",OFFSET(B1345,-COUNTA(D$1189:D1345)+1,1))</f>
        <v>a1G3p000005dHa9EAE</v>
      </c>
      <c r="D1345" s="177"/>
      <c r="E1345" s="168" t="str">
        <f ca="1">IFERROR(IF(VLOOKUP(C1345,' Disaggregation - Section E '!A$10:J464,7,0)="","",VLOOKUP(C1345,' Disaggregation - Section E '!A$10:J464,7,0)*100),"")</f>
        <v/>
      </c>
      <c r="F1345" s="171" t="str">
        <f ca="1">IFERROR(IF(VLOOKUP(C1345,' Disaggregation - Section E '!A$10:N464,5,0)=0,"",VLOOKUP(C1345,' Disaggregation - Section E '!A$10:N464,5,0)),"")</f>
        <v/>
      </c>
      <c r="G1345" s="170" t="str">
        <f ca="1">IFERROR(IF(VLOOKUP(C1345,' Disaggregation - Section E '!A$10:N464,6,0)="","",VLOOKUP(C1345,' Disaggregation - Section E '!A$10:N464,6,0)),"")</f>
        <v/>
      </c>
      <c r="H1345" s="177" t="str">
        <f ca="1">IFERROR(IF(INDEX(' Disaggregation - Section E '!F$10:F464,MATCH(C1345,' Disaggregation - Section E '!A$10:A464,0)+1,1)&lt;&gt;0,INDEX(' Disaggregation - Section E '!F$10:F464,MATCH(C1345,' Disaggregation - Section E '!A$10:A464,0)+1,1),""),"")</f>
        <v/>
      </c>
      <c r="I1345" s="171" t="str">
        <f ca="1">IFERROR(IF(VLOOKUP(C1345,' Disaggregation - Section E '!A$10:N464,8,0)=0,"",VLOOKUP(C1345,' Disaggregation - Section E '!A$10:N464,8,0)),"")</f>
        <v/>
      </c>
      <c r="J1345" s="171" t="str">
        <f ca="1">IFERROR(IF(VLOOKUP(C1345,' Disaggregation - Section E '!A$10:N464,13,0)=0,"",VLOOKUP(C1345,' Disaggregation - Section E '!A$10:N464,13,0)),"")</f>
        <v/>
      </c>
      <c r="K1345" s="166" t="str">
        <f ca="1">IFERROR(VLOOKUP(C1345,' Disaggregation - Section E '!A$10:N464,3,0),"")</f>
        <v>HIV I-9a⁽ᴹ⁾ Porcentaje de HSH y viven con el VIH</v>
      </c>
      <c r="L1345" s="171" t="str">
        <f ca="1">IFERROR(IF(VLOOKUP(C1345,' Disaggregation - Section E '!A$10:N464,14,0)=0,"",VLOOKUP(C1345,' Disaggregation - Section E '!A$10:N464,14,0)),"")</f>
        <v/>
      </c>
      <c r="M1345" s="166" t="str">
        <f ca="1">IFERROR(IF(VLOOKUP(C1345,' Disaggregation - Section E '!A$10:T464,20,0)=0,"",VLOOKUP(C1345,' Disaggregation - Section E '!A$10:T464,20,0)),"")</f>
        <v/>
      </c>
      <c r="N1345" s="171" t="str">
        <f ca="1">IFERROR(IF(VLOOKUP(C1345,' Disaggregation - Section E '!A$10:N464,9,0)=0,"",VLOOKUP(C1345,' Disaggregation - Section E '!A$10:N464,9,0)),"")</f>
        <v/>
      </c>
      <c r="O1345" s="171" t="str">
        <f ca="1">IFERROR(IF(VLOOKUP(C1345,' Disaggregation - Section E '!A$10:N464,10,0)=0,"",VLOOKUP(C1345,' Disaggregation - Section E '!A$10:N464,10,0)),"")</f>
        <v/>
      </c>
    </row>
    <row r="1346" spans="1:15">
      <c r="A1346" s="166" t="b">
        <f t="shared" ca="1" si="142"/>
        <v>0</v>
      </c>
      <c r="B1346" s="166"/>
      <c r="C1346" s="172" t="str">
        <f ca="1">IF(COUNTA(D$1189:D1346)=1,"",OFFSET(B1346,-COUNTA(D$1189:D1346)+1,1))</f>
        <v>a1G3p000005dHaAEAU</v>
      </c>
      <c r="D1346" s="177"/>
      <c r="E1346" s="168" t="str">
        <f ca="1">IFERROR(IF(VLOOKUP(C1346,' Disaggregation - Section E '!A$10:J465,7,0)="","",VLOOKUP(C1346,' Disaggregation - Section E '!A$10:J465,7,0)*100),"")</f>
        <v/>
      </c>
      <c r="F1346" s="171" t="str">
        <f ca="1">IFERROR(IF(VLOOKUP(C1346,' Disaggregation - Section E '!A$10:N465,5,0)=0,"",VLOOKUP(C1346,' Disaggregation - Section E '!A$10:N465,5,0)),"")</f>
        <v/>
      </c>
      <c r="G1346" s="170" t="str">
        <f ca="1">IFERROR(IF(VLOOKUP(C1346,' Disaggregation - Section E '!A$10:N465,6,0)="","",VLOOKUP(C1346,' Disaggregation - Section E '!A$10:N465,6,0)),"")</f>
        <v/>
      </c>
      <c r="H1346" s="177" t="str">
        <f ca="1">IFERROR(IF(INDEX(' Disaggregation - Section E '!F$10:F465,MATCH(C1346,' Disaggregation - Section E '!A$10:A465,0)+1,1)&lt;&gt;0,INDEX(' Disaggregation - Section E '!F$10:F465,MATCH(C1346,' Disaggregation - Section E '!A$10:A465,0)+1,1),""),"")</f>
        <v/>
      </c>
      <c r="I1346" s="171" t="str">
        <f ca="1">IFERROR(IF(VLOOKUP(C1346,' Disaggregation - Section E '!A$10:N465,8,0)=0,"",VLOOKUP(C1346,' Disaggregation - Section E '!A$10:N465,8,0)),"")</f>
        <v/>
      </c>
      <c r="J1346" s="171" t="str">
        <f ca="1">IFERROR(IF(VLOOKUP(C1346,' Disaggregation - Section E '!A$10:N465,13,0)=0,"",VLOOKUP(C1346,' Disaggregation - Section E '!A$10:N465,13,0)),"")</f>
        <v/>
      </c>
      <c r="K1346" s="166" t="str">
        <f ca="1">IFERROR(VLOOKUP(C1346,' Disaggregation - Section E '!A$10:N465,3,0),"")</f>
        <v>HIV I-9a⁽ᴹ⁾ Porcentaje de HSH y viven con el VIH</v>
      </c>
      <c r="L1346" s="171" t="str">
        <f ca="1">IFERROR(IF(VLOOKUP(C1346,' Disaggregation - Section E '!A$10:N465,14,0)=0,"",VLOOKUP(C1346,' Disaggregation - Section E '!A$10:N465,14,0)),"")</f>
        <v/>
      </c>
      <c r="M1346" s="166" t="str">
        <f ca="1">IFERROR(IF(VLOOKUP(C1346,' Disaggregation - Section E '!A$10:T465,20,0)=0,"",VLOOKUP(C1346,' Disaggregation - Section E '!A$10:T465,20,0)),"")</f>
        <v/>
      </c>
      <c r="N1346" s="171" t="str">
        <f ca="1">IFERROR(IF(VLOOKUP(C1346,' Disaggregation - Section E '!A$10:N465,9,0)=0,"",VLOOKUP(C1346,' Disaggregation - Section E '!A$10:N465,9,0)),"")</f>
        <v/>
      </c>
      <c r="O1346" s="171" t="str">
        <f ca="1">IFERROR(IF(VLOOKUP(C1346,' Disaggregation - Section E '!A$10:N465,10,0)=0,"",VLOOKUP(C1346,' Disaggregation - Section E '!A$10:N465,10,0)),"")</f>
        <v/>
      </c>
    </row>
    <row r="1347" spans="1:15">
      <c r="A1347" s="166" t="b">
        <f t="shared" ca="1" si="142"/>
        <v>0</v>
      </c>
      <c r="B1347" s="166"/>
      <c r="C1347" s="172" t="str">
        <f ca="1">IF(COUNTA(D$1189:D1347)=1,"",OFFSET(B1347,-COUNTA(D$1189:D1347)+1,1))</f>
        <v>a1G3p000005dHaBEAU</v>
      </c>
      <c r="D1347" s="177"/>
      <c r="E1347" s="168" t="str">
        <f ca="1">IFERROR(IF(VLOOKUP(C1347,' Disaggregation - Section E '!A$10:J466,7,0)="","",VLOOKUP(C1347,' Disaggregation - Section E '!A$10:J466,7,0)*100),"")</f>
        <v/>
      </c>
      <c r="F1347" s="171" t="str">
        <f ca="1">IFERROR(IF(VLOOKUP(C1347,' Disaggregation - Section E '!A$10:N466,5,0)=0,"",VLOOKUP(C1347,' Disaggregation - Section E '!A$10:N466,5,0)),"")</f>
        <v/>
      </c>
      <c r="G1347" s="170" t="str">
        <f ca="1">IFERROR(IF(VLOOKUP(C1347,' Disaggregation - Section E '!A$10:N466,6,0)="","",VLOOKUP(C1347,' Disaggregation - Section E '!A$10:N466,6,0)),"")</f>
        <v/>
      </c>
      <c r="H1347" s="177" t="str">
        <f ca="1">IFERROR(IF(INDEX(' Disaggregation - Section E '!F$10:F466,MATCH(C1347,' Disaggregation - Section E '!A$10:A466,0)+1,1)&lt;&gt;0,INDEX(' Disaggregation - Section E '!F$10:F466,MATCH(C1347,' Disaggregation - Section E '!A$10:A466,0)+1,1),""),"")</f>
        <v/>
      </c>
      <c r="I1347" s="171" t="str">
        <f ca="1">IFERROR(IF(VLOOKUP(C1347,' Disaggregation - Section E '!A$10:N466,8,0)=0,"",VLOOKUP(C1347,' Disaggregation - Section E '!A$10:N466,8,0)),"")</f>
        <v/>
      </c>
      <c r="J1347" s="171" t="str">
        <f ca="1">IFERROR(IF(VLOOKUP(C1347,' Disaggregation - Section E '!A$10:N466,13,0)=0,"",VLOOKUP(C1347,' Disaggregation - Section E '!A$10:N466,13,0)),"")</f>
        <v/>
      </c>
      <c r="K1347" s="166" t="str">
        <f ca="1">IFERROR(VLOOKUP(C1347,' Disaggregation - Section E '!A$10:N466,3,0),"")</f>
        <v>HIV I-9a⁽ᴹ⁾ Porcentaje de HSH y viven con el VIH</v>
      </c>
      <c r="L1347" s="171" t="str">
        <f ca="1">IFERROR(IF(VLOOKUP(C1347,' Disaggregation - Section E '!A$10:N466,14,0)=0,"",VLOOKUP(C1347,' Disaggregation - Section E '!A$10:N466,14,0)),"")</f>
        <v/>
      </c>
      <c r="M1347" s="166" t="str">
        <f ca="1">IFERROR(IF(VLOOKUP(C1347,' Disaggregation - Section E '!A$10:T466,20,0)=0,"",VLOOKUP(C1347,' Disaggregation - Section E '!A$10:T466,20,0)),"")</f>
        <v/>
      </c>
      <c r="N1347" s="171" t="str">
        <f ca="1">IFERROR(IF(VLOOKUP(C1347,' Disaggregation - Section E '!A$10:N466,9,0)=0,"",VLOOKUP(C1347,' Disaggregation - Section E '!A$10:N466,9,0)),"")</f>
        <v/>
      </c>
      <c r="O1347" s="171" t="str">
        <f ca="1">IFERROR(IF(VLOOKUP(C1347,' Disaggregation - Section E '!A$10:N466,10,0)=0,"",VLOOKUP(C1347,' Disaggregation - Section E '!A$10:N466,10,0)),"")</f>
        <v/>
      </c>
    </row>
    <row r="1348" spans="1:15">
      <c r="A1348" s="166" t="b">
        <f t="shared" ca="1" si="142"/>
        <v>0</v>
      </c>
      <c r="B1348" s="166"/>
      <c r="C1348" s="172" t="str">
        <f ca="1">IF(COUNTA(D$1189:D1348)=1,"",OFFSET(B1348,-COUNTA(D$1189:D1348)+1,1))</f>
        <v>a1G3p000005dHaCEAU</v>
      </c>
      <c r="D1348" s="177"/>
      <c r="E1348" s="168" t="str">
        <f ca="1">IFERROR(IF(VLOOKUP(C1348,' Disaggregation - Section E '!A$10:J467,7,0)="","",VLOOKUP(C1348,' Disaggregation - Section E '!A$10:J467,7,0)*100),"")</f>
        <v/>
      </c>
      <c r="F1348" s="171" t="str">
        <f ca="1">IFERROR(IF(VLOOKUP(C1348,' Disaggregation - Section E '!A$10:N467,5,0)=0,"",VLOOKUP(C1348,' Disaggregation - Section E '!A$10:N467,5,0)),"")</f>
        <v/>
      </c>
      <c r="G1348" s="170" t="str">
        <f ca="1">IFERROR(IF(VLOOKUP(C1348,' Disaggregation - Section E '!A$10:N467,6,0)="","",VLOOKUP(C1348,' Disaggregation - Section E '!A$10:N467,6,0)),"")</f>
        <v/>
      </c>
      <c r="H1348" s="177" t="str">
        <f ca="1">IFERROR(IF(INDEX(' Disaggregation - Section E '!F$10:F467,MATCH(C1348,' Disaggregation - Section E '!A$10:A467,0)+1,1)&lt;&gt;0,INDEX(' Disaggregation - Section E '!F$10:F467,MATCH(C1348,' Disaggregation - Section E '!A$10:A467,0)+1,1),""),"")</f>
        <v/>
      </c>
      <c r="I1348" s="171" t="str">
        <f ca="1">IFERROR(IF(VLOOKUP(C1348,' Disaggregation - Section E '!A$10:N467,8,0)=0,"",VLOOKUP(C1348,' Disaggregation - Section E '!A$10:N467,8,0)),"")</f>
        <v/>
      </c>
      <c r="J1348" s="171" t="str">
        <f ca="1">IFERROR(IF(VLOOKUP(C1348,' Disaggregation - Section E '!A$10:N467,13,0)=0,"",VLOOKUP(C1348,' Disaggregation - Section E '!A$10:N467,13,0)),"")</f>
        <v/>
      </c>
      <c r="K1348" s="166" t="str">
        <f ca="1">IFERROR(VLOOKUP(C1348,' Disaggregation - Section E '!A$10:N467,3,0),"")</f>
        <v>HIV I-9a⁽ᴹ⁾ Porcentaje de HSH y viven con el VIH</v>
      </c>
      <c r="L1348" s="171" t="str">
        <f ca="1">IFERROR(IF(VLOOKUP(C1348,' Disaggregation - Section E '!A$10:N467,14,0)=0,"",VLOOKUP(C1348,' Disaggregation - Section E '!A$10:N467,14,0)),"")</f>
        <v/>
      </c>
      <c r="M1348" s="166" t="str">
        <f ca="1">IFERROR(IF(VLOOKUP(C1348,' Disaggregation - Section E '!A$10:T467,20,0)=0,"",VLOOKUP(C1348,' Disaggregation - Section E '!A$10:T467,20,0)),"")</f>
        <v/>
      </c>
      <c r="N1348" s="171" t="str">
        <f ca="1">IFERROR(IF(VLOOKUP(C1348,' Disaggregation - Section E '!A$10:N467,9,0)=0,"",VLOOKUP(C1348,' Disaggregation - Section E '!A$10:N467,9,0)),"")</f>
        <v/>
      </c>
      <c r="O1348" s="171" t="str">
        <f ca="1">IFERROR(IF(VLOOKUP(C1348,' Disaggregation - Section E '!A$10:N467,10,0)=0,"",VLOOKUP(C1348,' Disaggregation - Section E '!A$10:N467,10,0)),"")</f>
        <v/>
      </c>
    </row>
    <row r="1349" spans="1:15">
      <c r="A1349" s="166" t="b">
        <f t="shared" ca="1" si="142"/>
        <v>0</v>
      </c>
      <c r="B1349" s="166"/>
      <c r="C1349" s="172" t="str">
        <f ca="1">IF(COUNTA(D$1189:D1349)=1,"",OFFSET(B1349,-COUNTA(D$1189:D1349)+1,1))</f>
        <v>a1G3p000005dHaDEAU</v>
      </c>
      <c r="D1349" s="177"/>
      <c r="E1349" s="168" t="str">
        <f ca="1">IFERROR(IF(VLOOKUP(C1349,' Disaggregation - Section E '!A$10:J468,7,0)="","",VLOOKUP(C1349,' Disaggregation - Section E '!A$10:J468,7,0)*100),"")</f>
        <v/>
      </c>
      <c r="F1349" s="171" t="str">
        <f ca="1">IFERROR(IF(VLOOKUP(C1349,' Disaggregation - Section E '!A$10:N468,5,0)=0,"",VLOOKUP(C1349,' Disaggregation - Section E '!A$10:N468,5,0)),"")</f>
        <v/>
      </c>
      <c r="G1349" s="170" t="str">
        <f ca="1">IFERROR(IF(VLOOKUP(C1349,' Disaggregation - Section E '!A$10:N468,6,0)="","",VLOOKUP(C1349,' Disaggregation - Section E '!A$10:N468,6,0)),"")</f>
        <v/>
      </c>
      <c r="H1349" s="177" t="str">
        <f ca="1">IFERROR(IF(INDEX(' Disaggregation - Section E '!F$10:F468,MATCH(C1349,' Disaggregation - Section E '!A$10:A468,0)+1,1)&lt;&gt;0,INDEX(' Disaggregation - Section E '!F$10:F468,MATCH(C1349,' Disaggregation - Section E '!A$10:A468,0)+1,1),""),"")</f>
        <v/>
      </c>
      <c r="I1349" s="171" t="str">
        <f ca="1">IFERROR(IF(VLOOKUP(C1349,' Disaggregation - Section E '!A$10:N468,8,0)=0,"",VLOOKUP(C1349,' Disaggregation - Section E '!A$10:N468,8,0)),"")</f>
        <v/>
      </c>
      <c r="J1349" s="171" t="str">
        <f ca="1">IFERROR(IF(VLOOKUP(C1349,' Disaggregation - Section E '!A$10:N468,13,0)=0,"",VLOOKUP(C1349,' Disaggregation - Section E '!A$10:N468,13,0)),"")</f>
        <v/>
      </c>
      <c r="K1349" s="166" t="str">
        <f ca="1">IFERROR(VLOOKUP(C1349,' Disaggregation - Section E '!A$10:N468,3,0),"")</f>
        <v>HIV I-9a⁽ᴹ⁾ Porcentaje de HSH y viven con el VIH</v>
      </c>
      <c r="L1349" s="171" t="str">
        <f ca="1">IFERROR(IF(VLOOKUP(C1349,' Disaggregation - Section E '!A$10:N468,14,0)=0,"",VLOOKUP(C1349,' Disaggregation - Section E '!A$10:N468,14,0)),"")</f>
        <v/>
      </c>
      <c r="M1349" s="166" t="str">
        <f ca="1">IFERROR(IF(VLOOKUP(C1349,' Disaggregation - Section E '!A$10:T468,20,0)=0,"",VLOOKUP(C1349,' Disaggregation - Section E '!A$10:T468,20,0)),"")</f>
        <v/>
      </c>
      <c r="N1349" s="171" t="str">
        <f ca="1">IFERROR(IF(VLOOKUP(C1349,' Disaggregation - Section E '!A$10:N468,9,0)=0,"",VLOOKUP(C1349,' Disaggregation - Section E '!A$10:N468,9,0)),"")</f>
        <v/>
      </c>
      <c r="O1349" s="171" t="str">
        <f ca="1">IFERROR(IF(VLOOKUP(C1349,' Disaggregation - Section E '!A$10:N468,10,0)=0,"",VLOOKUP(C1349,' Disaggregation - Section E '!A$10:N468,10,0)),"")</f>
        <v/>
      </c>
    </row>
    <row r="1350" spans="1:15">
      <c r="A1350" s="166" t="b">
        <f t="shared" ca="1" si="142"/>
        <v>0</v>
      </c>
      <c r="B1350" s="166"/>
      <c r="C1350" s="172" t="str">
        <f ca="1">IF(COUNTA(D$1189:D1350)=1,"",OFFSET(B1350,-COUNTA(D$1189:D1350)+1,1))</f>
        <v>a1G3p000005dHaEEAU</v>
      </c>
      <c r="D1350" s="177"/>
      <c r="E1350" s="168" t="str">
        <f ca="1">IFERROR(IF(VLOOKUP(C1350,' Disaggregation - Section E '!A$10:J469,7,0)="","",VLOOKUP(C1350,' Disaggregation - Section E '!A$10:J469,7,0)*100),"")</f>
        <v/>
      </c>
      <c r="F1350" s="171" t="str">
        <f ca="1">IFERROR(IF(VLOOKUP(C1350,' Disaggregation - Section E '!A$10:N469,5,0)=0,"",VLOOKUP(C1350,' Disaggregation - Section E '!A$10:N469,5,0)),"")</f>
        <v/>
      </c>
      <c r="G1350" s="170" t="str">
        <f ca="1">IFERROR(IF(VLOOKUP(C1350,' Disaggregation - Section E '!A$10:N469,6,0)="","",VLOOKUP(C1350,' Disaggregation - Section E '!A$10:N469,6,0)),"")</f>
        <v/>
      </c>
      <c r="H1350" s="177" t="str">
        <f ca="1">IFERROR(IF(INDEX(' Disaggregation - Section E '!F$10:F469,MATCH(C1350,' Disaggregation - Section E '!A$10:A469,0)+1,1)&lt;&gt;0,INDEX(' Disaggregation - Section E '!F$10:F469,MATCH(C1350,' Disaggregation - Section E '!A$10:A469,0)+1,1),""),"")</f>
        <v/>
      </c>
      <c r="I1350" s="171" t="str">
        <f ca="1">IFERROR(IF(VLOOKUP(C1350,' Disaggregation - Section E '!A$10:N469,8,0)=0,"",VLOOKUP(C1350,' Disaggregation - Section E '!A$10:N469,8,0)),"")</f>
        <v/>
      </c>
      <c r="J1350" s="171" t="str">
        <f ca="1">IFERROR(IF(VLOOKUP(C1350,' Disaggregation - Section E '!A$10:N469,13,0)=0,"",VLOOKUP(C1350,' Disaggregation - Section E '!A$10:N469,13,0)),"")</f>
        <v/>
      </c>
      <c r="K1350" s="166" t="str">
        <f ca="1">IFERROR(VLOOKUP(C1350,' Disaggregation - Section E '!A$10:N469,3,0),"")</f>
        <v>HIV I-9a⁽ᴹ⁾ Porcentaje de HSH y viven con el VIH</v>
      </c>
      <c r="L1350" s="171" t="str">
        <f ca="1">IFERROR(IF(VLOOKUP(C1350,' Disaggregation - Section E '!A$10:N469,14,0)=0,"",VLOOKUP(C1350,' Disaggregation - Section E '!A$10:N469,14,0)),"")</f>
        <v/>
      </c>
      <c r="M1350" s="166" t="str">
        <f ca="1">IFERROR(IF(VLOOKUP(C1350,' Disaggregation - Section E '!A$10:T469,20,0)=0,"",VLOOKUP(C1350,' Disaggregation - Section E '!A$10:T469,20,0)),"")</f>
        <v/>
      </c>
      <c r="N1350" s="171" t="str">
        <f ca="1">IFERROR(IF(VLOOKUP(C1350,' Disaggregation - Section E '!A$10:N469,9,0)=0,"",VLOOKUP(C1350,' Disaggregation - Section E '!A$10:N469,9,0)),"")</f>
        <v/>
      </c>
      <c r="O1350" s="171" t="str">
        <f ca="1">IFERROR(IF(VLOOKUP(C1350,' Disaggregation - Section E '!A$10:N469,10,0)=0,"",VLOOKUP(C1350,' Disaggregation - Section E '!A$10:N469,10,0)),"")</f>
        <v/>
      </c>
    </row>
    <row r="1351" spans="1:15">
      <c r="A1351" s="166" t="b">
        <f t="shared" ca="1" si="142"/>
        <v>1</v>
      </c>
      <c r="B1351" s="166"/>
      <c r="C1351" s="172" t="str">
        <f ca="1">IF(COUNTA(D$1189:D1351)=1,"",OFFSET(B1351,-COUNTA(D$1189:D1351)+1,1))</f>
        <v>a1G3p000005dHaFEAU</v>
      </c>
      <c r="D1351" s="177"/>
      <c r="E1351" s="168">
        <f ca="1">IFERROR(IF(VLOOKUP(C1351,' Disaggregation - Section E '!A$10:J470,7,0)="","",VLOOKUP(C1351,' Disaggregation - Section E '!A$10:J470,7,0)*100),"")</f>
        <v>33.093525179856115</v>
      </c>
      <c r="F1351" s="171" t="str">
        <f ca="1">IFERROR(IF(VLOOKUP(C1351,' Disaggregation - Section E '!A$10:N470,5,0)=0,"",VLOOKUP(C1351,' Disaggregation - Section E '!A$10:N470,5,0)),"")</f>
        <v>25+</v>
      </c>
      <c r="G1351" s="170">
        <f ca="1">IFERROR(IF(VLOOKUP(C1351,' Disaggregation - Section E '!A$10:N470,6,0)="","",VLOOKUP(C1351,' Disaggregation - Section E '!A$10:N470,6,0)),"")</f>
        <v>138</v>
      </c>
      <c r="H1351" s="177">
        <f ca="1">IFERROR(IF(INDEX(' Disaggregation - Section E '!F$10:F470,MATCH(C1351,' Disaggregation - Section E '!A$10:A470,0)+1,1)&lt;&gt;0,INDEX(' Disaggregation - Section E '!F$10:F470,MATCH(C1351,' Disaggregation - Section E '!A$10:A470,0)+1,1),""),"")</f>
        <v>417</v>
      </c>
      <c r="I1351" s="171">
        <f ca="1">IFERROR(IF(VLOOKUP(C1351,' Disaggregation - Section E '!A$10:N470,8,0)=0,"",VLOOKUP(C1351,' Disaggregation - Section E '!A$10:N470,8,0)),"")</f>
        <v>2021</v>
      </c>
      <c r="J1351" s="171" t="str">
        <f ca="1">IFERROR(IF(VLOOKUP(C1351,' Disaggregation - Section E '!A$10:N470,13,0)=0,"",VLOOKUP(C1351,' Disaggregation - Section E '!A$10:N470,13,0)),"")</f>
        <v/>
      </c>
      <c r="K1351" s="166" t="str">
        <f ca="1">IFERROR(VLOOKUP(C1351,' Disaggregation - Section E '!A$10:N470,3,0),"")</f>
        <v>HIV I-9b⁽ᴹ⁾ Porcentaje de personas transgénero que viven con el VIH</v>
      </c>
      <c r="L1351" s="171" t="str">
        <f ca="1">IFERROR(IF(VLOOKUP(C1351,' Disaggregation - Section E '!A$10:N470,14,0)=0,"",VLOOKUP(C1351,' Disaggregation - Section E '!A$10:N470,14,0)),"")</f>
        <v/>
      </c>
      <c r="M1351" s="166" t="str">
        <f ca="1">IFERROR(IF(VLOOKUP(C1351,' Disaggregation - Section E '!A$10:T470,20,0)=0,"",VLOOKUP(C1351,' Disaggregation - Section E '!A$10:T470,20,0)),"")</f>
        <v>IDR-00659</v>
      </c>
      <c r="N1351" s="171" t="str">
        <f ca="1">IFERROR(IF(VLOOKUP(C1351,' Disaggregation - Section E '!A$10:N470,9,0)=0,"",VLOOKUP(C1351,' Disaggregation - Section E '!A$10:N470,9,0)),"")</f>
        <v>Estudio Bioconductual en  mujeres transgénero</v>
      </c>
      <c r="O1351" s="171" t="str">
        <f ca="1">IFERROR(IF(VLOOKUP(C1351,' Disaggregation - Section E '!A$10:N470,10,0)=0,"",VLOOKUP(C1351,' Disaggregation - Section E '!A$10:N470,10,0)),"")</f>
        <v>El dato corresponde al Estudio Bioconductual realizado el año 2021, se debe tomar como proporción referencial proxy de prevalencia.</v>
      </c>
    </row>
    <row r="1352" spans="1:15">
      <c r="A1352" s="166" t="b">
        <f t="shared" ca="1" si="142"/>
        <v>1</v>
      </c>
      <c r="B1352" s="166"/>
      <c r="C1352" s="172" t="str">
        <f ca="1">IF(COUNTA(D$1189:D1352)=1,"",OFFSET(B1352,-COUNTA(D$1189:D1352)+1,1))</f>
        <v>a1G3p000005dHaGEAU</v>
      </c>
      <c r="D1352" s="177"/>
      <c r="E1352" s="168">
        <f ca="1">IFERROR(IF(VLOOKUP(C1352,' Disaggregation - Section E '!A$10:J471,7,0)="","",VLOOKUP(C1352,' Disaggregation - Section E '!A$10:J471,7,0)*100),"")</f>
        <v>22.321428571428573</v>
      </c>
      <c r="F1352" s="171" t="str">
        <f ca="1">IFERROR(IF(VLOOKUP(C1352,' Disaggregation - Section E '!A$10:N471,5,0)=0,"",VLOOKUP(C1352,' Disaggregation - Section E '!A$10:N471,5,0)),"")</f>
        <v>&lt;25</v>
      </c>
      <c r="G1352" s="170">
        <f ca="1">IFERROR(IF(VLOOKUP(C1352,' Disaggregation - Section E '!A$10:N471,6,0)="","",VLOOKUP(C1352,' Disaggregation - Section E '!A$10:N471,6,0)),"")</f>
        <v>25</v>
      </c>
      <c r="H1352" s="177">
        <f ca="1">IFERROR(IF(INDEX(' Disaggregation - Section E '!F$10:F471,MATCH(C1352,' Disaggregation - Section E '!A$10:A471,0)+1,1)&lt;&gt;0,INDEX(' Disaggregation - Section E '!F$10:F471,MATCH(C1352,' Disaggregation - Section E '!A$10:A471,0)+1,1),""),"")</f>
        <v>112</v>
      </c>
      <c r="I1352" s="171">
        <f ca="1">IFERROR(IF(VLOOKUP(C1352,' Disaggregation - Section E '!A$10:N471,8,0)=0,"",VLOOKUP(C1352,' Disaggregation - Section E '!A$10:N471,8,0)),"")</f>
        <v>2021</v>
      </c>
      <c r="J1352" s="171" t="str">
        <f ca="1">IFERROR(IF(VLOOKUP(C1352,' Disaggregation - Section E '!A$10:N471,13,0)=0,"",VLOOKUP(C1352,' Disaggregation - Section E '!A$10:N471,13,0)),"")</f>
        <v/>
      </c>
      <c r="K1352" s="166" t="str">
        <f ca="1">IFERROR(VLOOKUP(C1352,' Disaggregation - Section E '!A$10:N471,3,0),"")</f>
        <v>HIV I-9b⁽ᴹ⁾ Porcentaje de personas transgénero que viven con el VIH</v>
      </c>
      <c r="L1352" s="171" t="str">
        <f ca="1">IFERROR(IF(VLOOKUP(C1352,' Disaggregation - Section E '!A$10:N471,14,0)=0,"",VLOOKUP(C1352,' Disaggregation - Section E '!A$10:N471,14,0)),"")</f>
        <v/>
      </c>
      <c r="M1352" s="166" t="str">
        <f ca="1">IFERROR(IF(VLOOKUP(C1352,' Disaggregation - Section E '!A$10:T471,20,0)=0,"",VLOOKUP(C1352,' Disaggregation - Section E '!A$10:T471,20,0)),"")</f>
        <v>IDR-00658</v>
      </c>
      <c r="N1352" s="171" t="str">
        <f ca="1">IFERROR(IF(VLOOKUP(C1352,' Disaggregation - Section E '!A$10:N471,9,0)=0,"",VLOOKUP(C1352,' Disaggregation - Section E '!A$10:N471,9,0)),"")</f>
        <v>Estudio Bioconductual en  mujeres transgénero</v>
      </c>
      <c r="O1352" s="171" t="str">
        <f ca="1">IFERROR(IF(VLOOKUP(C1352,' Disaggregation - Section E '!A$10:N471,10,0)=0,"",VLOOKUP(C1352,' Disaggregation - Section E '!A$10:N471,10,0)),"")</f>
        <v>El dato corresponde al Estudio Bioconductual realizado el año 2021, se debe tomar como proporción referencial proxy de prevalencia.</v>
      </c>
    </row>
    <row r="1353" spans="1:15">
      <c r="A1353" s="166" t="b">
        <f t="shared" ca="1" si="142"/>
        <v>0</v>
      </c>
      <c r="B1353" s="166"/>
      <c r="C1353" s="172" t="str">
        <f ca="1">IF(COUNTA(D$1189:D1353)=1,"",OFFSET(B1353,-COUNTA(D$1189:D1353)+1,1))</f>
        <v>a1G3p000005dHaHEAU</v>
      </c>
      <c r="D1353" s="177"/>
      <c r="E1353" s="168" t="str">
        <f ca="1">IFERROR(IF(VLOOKUP(C1353,' Disaggregation - Section E '!A$10:J472,7,0)="","",VLOOKUP(C1353,' Disaggregation - Section E '!A$10:J472,7,0)*100),"")</f>
        <v/>
      </c>
      <c r="F1353" s="171" t="str">
        <f ca="1">IFERROR(IF(VLOOKUP(C1353,' Disaggregation - Section E '!A$10:N472,5,0)=0,"",VLOOKUP(C1353,' Disaggregation - Section E '!A$10:N472,5,0)),"")</f>
        <v/>
      </c>
      <c r="G1353" s="170" t="str">
        <f ca="1">IFERROR(IF(VLOOKUP(C1353,' Disaggregation - Section E '!A$10:N472,6,0)="","",VLOOKUP(C1353,' Disaggregation - Section E '!A$10:N472,6,0)),"")</f>
        <v/>
      </c>
      <c r="H1353" s="177" t="str">
        <f ca="1">IFERROR(IF(INDEX(' Disaggregation - Section E '!F$10:F472,MATCH(C1353,' Disaggregation - Section E '!A$10:A472,0)+1,1)&lt;&gt;0,INDEX(' Disaggregation - Section E '!F$10:F472,MATCH(C1353,' Disaggregation - Section E '!A$10:A472,0)+1,1),""),"")</f>
        <v/>
      </c>
      <c r="I1353" s="171" t="str">
        <f ca="1">IFERROR(IF(VLOOKUP(C1353,' Disaggregation - Section E '!A$10:N472,8,0)=0,"",VLOOKUP(C1353,' Disaggregation - Section E '!A$10:N472,8,0)),"")</f>
        <v/>
      </c>
      <c r="J1353" s="171" t="str">
        <f ca="1">IFERROR(IF(VLOOKUP(C1353,' Disaggregation - Section E '!A$10:N472,13,0)=0,"",VLOOKUP(C1353,' Disaggregation - Section E '!A$10:N472,13,0)),"")</f>
        <v/>
      </c>
      <c r="K1353" s="166" t="str">
        <f ca="1">IFERROR(VLOOKUP(C1353,' Disaggregation - Section E '!A$10:N472,3,0),"")</f>
        <v>HIV I-9b⁽ᴹ⁾ Porcentaje de personas transgénero que viven con el VIH</v>
      </c>
      <c r="L1353" s="171" t="str">
        <f ca="1">IFERROR(IF(VLOOKUP(C1353,' Disaggregation - Section E '!A$10:N472,14,0)=0,"",VLOOKUP(C1353,' Disaggregation - Section E '!A$10:N472,14,0)),"")</f>
        <v/>
      </c>
      <c r="M1353" s="166" t="str">
        <f ca="1">IFERROR(IF(VLOOKUP(C1353,' Disaggregation - Section E '!A$10:T472,20,0)=0,"",VLOOKUP(C1353,' Disaggregation - Section E '!A$10:T472,20,0)),"")</f>
        <v/>
      </c>
      <c r="N1353" s="171" t="str">
        <f ca="1">IFERROR(IF(VLOOKUP(C1353,' Disaggregation - Section E '!A$10:N472,9,0)=0,"",VLOOKUP(C1353,' Disaggregation - Section E '!A$10:N472,9,0)),"")</f>
        <v/>
      </c>
      <c r="O1353" s="171" t="str">
        <f ca="1">IFERROR(IF(VLOOKUP(C1353,' Disaggregation - Section E '!A$10:N472,10,0)=0,"",VLOOKUP(C1353,' Disaggregation - Section E '!A$10:N472,10,0)),"")</f>
        <v/>
      </c>
    </row>
    <row r="1354" spans="1:15">
      <c r="A1354" s="166" t="b">
        <f t="shared" ca="1" si="142"/>
        <v>0</v>
      </c>
      <c r="B1354" s="166"/>
      <c r="C1354" s="172" t="str">
        <f ca="1">IF(COUNTA(D$1189:D1354)=1,"",OFFSET(B1354,-COUNTA(D$1189:D1354)+1,1))</f>
        <v>a1G3p000005dHaIEAU</v>
      </c>
      <c r="D1354" s="177"/>
      <c r="E1354" s="168" t="str">
        <f ca="1">IFERROR(IF(VLOOKUP(C1354,' Disaggregation - Section E '!A$10:J473,7,0)="","",VLOOKUP(C1354,' Disaggregation - Section E '!A$10:J473,7,0)*100),"")</f>
        <v/>
      </c>
      <c r="F1354" s="171" t="str">
        <f ca="1">IFERROR(IF(VLOOKUP(C1354,' Disaggregation - Section E '!A$10:N473,5,0)=0,"",VLOOKUP(C1354,' Disaggregation - Section E '!A$10:N473,5,0)),"")</f>
        <v/>
      </c>
      <c r="G1354" s="170" t="str">
        <f ca="1">IFERROR(IF(VLOOKUP(C1354,' Disaggregation - Section E '!A$10:N473,6,0)="","",VLOOKUP(C1354,' Disaggregation - Section E '!A$10:N473,6,0)),"")</f>
        <v/>
      </c>
      <c r="H1354" s="177" t="str">
        <f ca="1">IFERROR(IF(INDEX(' Disaggregation - Section E '!F$10:F473,MATCH(C1354,' Disaggregation - Section E '!A$10:A473,0)+1,1)&lt;&gt;0,INDEX(' Disaggregation - Section E '!F$10:F473,MATCH(C1354,' Disaggregation - Section E '!A$10:A473,0)+1,1),""),"")</f>
        <v/>
      </c>
      <c r="I1354" s="171" t="str">
        <f ca="1">IFERROR(IF(VLOOKUP(C1354,' Disaggregation - Section E '!A$10:N473,8,0)=0,"",VLOOKUP(C1354,' Disaggregation - Section E '!A$10:N473,8,0)),"")</f>
        <v/>
      </c>
      <c r="J1354" s="171" t="str">
        <f ca="1">IFERROR(IF(VLOOKUP(C1354,' Disaggregation - Section E '!A$10:N473,13,0)=0,"",VLOOKUP(C1354,' Disaggregation - Section E '!A$10:N473,13,0)),"")</f>
        <v/>
      </c>
      <c r="K1354" s="166" t="str">
        <f ca="1">IFERROR(VLOOKUP(C1354,' Disaggregation - Section E '!A$10:N473,3,0),"")</f>
        <v>HIV I-9b⁽ᴹ⁾ Porcentaje de personas transgénero que viven con el VIH</v>
      </c>
      <c r="L1354" s="171" t="str">
        <f ca="1">IFERROR(IF(VLOOKUP(C1354,' Disaggregation - Section E '!A$10:N473,14,0)=0,"",VLOOKUP(C1354,' Disaggregation - Section E '!A$10:N473,14,0)),"")</f>
        <v/>
      </c>
      <c r="M1354" s="166" t="str">
        <f ca="1">IFERROR(IF(VLOOKUP(C1354,' Disaggregation - Section E '!A$10:T473,20,0)=0,"",VLOOKUP(C1354,' Disaggregation - Section E '!A$10:T473,20,0)),"")</f>
        <v/>
      </c>
      <c r="N1354" s="171" t="str">
        <f ca="1">IFERROR(IF(VLOOKUP(C1354,' Disaggregation - Section E '!A$10:N473,9,0)=0,"",VLOOKUP(C1354,' Disaggregation - Section E '!A$10:N473,9,0)),"")</f>
        <v/>
      </c>
      <c r="O1354" s="171" t="str">
        <f ca="1">IFERROR(IF(VLOOKUP(C1354,' Disaggregation - Section E '!A$10:N473,10,0)=0,"",VLOOKUP(C1354,' Disaggregation - Section E '!A$10:N473,10,0)),"")</f>
        <v/>
      </c>
    </row>
    <row r="1355" spans="1:15">
      <c r="A1355" s="166" t="b">
        <f t="shared" ca="1" si="142"/>
        <v>0</v>
      </c>
      <c r="B1355" s="166"/>
      <c r="C1355" s="172" t="str">
        <f ca="1">IF(COUNTA(D$1189:D1355)=1,"",OFFSET(B1355,-COUNTA(D$1189:D1355)+1,1))</f>
        <v>a1G3p000005dHaJEAU</v>
      </c>
      <c r="D1355" s="177"/>
      <c r="E1355" s="168" t="str">
        <f ca="1">IFERROR(IF(VLOOKUP(C1355,' Disaggregation - Section E '!A$10:J474,7,0)="","",VLOOKUP(C1355,' Disaggregation - Section E '!A$10:J474,7,0)*100),"")</f>
        <v/>
      </c>
      <c r="F1355" s="171" t="str">
        <f ca="1">IFERROR(IF(VLOOKUP(C1355,' Disaggregation - Section E '!A$10:N474,5,0)=0,"",VLOOKUP(C1355,' Disaggregation - Section E '!A$10:N474,5,0)),"")</f>
        <v/>
      </c>
      <c r="G1355" s="170" t="str">
        <f ca="1">IFERROR(IF(VLOOKUP(C1355,' Disaggregation - Section E '!A$10:N474,6,0)="","",VLOOKUP(C1355,' Disaggregation - Section E '!A$10:N474,6,0)),"")</f>
        <v/>
      </c>
      <c r="H1355" s="177" t="str">
        <f ca="1">IFERROR(IF(INDEX(' Disaggregation - Section E '!F$10:F474,MATCH(C1355,' Disaggregation - Section E '!A$10:A474,0)+1,1)&lt;&gt;0,INDEX(' Disaggregation - Section E '!F$10:F474,MATCH(C1355,' Disaggregation - Section E '!A$10:A474,0)+1,1),""),"")</f>
        <v/>
      </c>
      <c r="I1355" s="171" t="str">
        <f ca="1">IFERROR(IF(VLOOKUP(C1355,' Disaggregation - Section E '!A$10:N474,8,0)=0,"",VLOOKUP(C1355,' Disaggregation - Section E '!A$10:N474,8,0)),"")</f>
        <v/>
      </c>
      <c r="J1355" s="171" t="str">
        <f ca="1">IFERROR(IF(VLOOKUP(C1355,' Disaggregation - Section E '!A$10:N474,13,0)=0,"",VLOOKUP(C1355,' Disaggregation - Section E '!A$10:N474,13,0)),"")</f>
        <v/>
      </c>
      <c r="K1355" s="166" t="str">
        <f ca="1">IFERROR(VLOOKUP(C1355,' Disaggregation - Section E '!A$10:N474,3,0),"")</f>
        <v>HIV I-9b⁽ᴹ⁾ Porcentaje de personas transgénero que viven con el VIH</v>
      </c>
      <c r="L1355" s="171" t="str">
        <f ca="1">IFERROR(IF(VLOOKUP(C1355,' Disaggregation - Section E '!A$10:N474,14,0)=0,"",VLOOKUP(C1355,' Disaggregation - Section E '!A$10:N474,14,0)),"")</f>
        <v/>
      </c>
      <c r="M1355" s="166" t="str">
        <f ca="1">IFERROR(IF(VLOOKUP(C1355,' Disaggregation - Section E '!A$10:T474,20,0)=0,"",VLOOKUP(C1355,' Disaggregation - Section E '!A$10:T474,20,0)),"")</f>
        <v/>
      </c>
      <c r="N1355" s="171" t="str">
        <f ca="1">IFERROR(IF(VLOOKUP(C1355,' Disaggregation - Section E '!A$10:N474,9,0)=0,"",VLOOKUP(C1355,' Disaggregation - Section E '!A$10:N474,9,0)),"")</f>
        <v/>
      </c>
      <c r="O1355" s="171" t="str">
        <f ca="1">IFERROR(IF(VLOOKUP(C1355,' Disaggregation - Section E '!A$10:N474,10,0)=0,"",VLOOKUP(C1355,' Disaggregation - Section E '!A$10:N474,10,0)),"")</f>
        <v/>
      </c>
    </row>
    <row r="1356" spans="1:15">
      <c r="A1356" s="166" t="b">
        <f t="shared" ca="1" si="142"/>
        <v>0</v>
      </c>
      <c r="B1356" s="166"/>
      <c r="C1356" s="172" t="str">
        <f ca="1">IF(COUNTA(D$1189:D1356)=1,"",OFFSET(B1356,-COUNTA(D$1189:D1356)+1,1))</f>
        <v>a1G3p000005dHaKEAU</v>
      </c>
      <c r="D1356" s="177"/>
      <c r="E1356" s="168" t="str">
        <f ca="1">IFERROR(IF(VLOOKUP(C1356,' Disaggregation - Section E '!A$10:J475,7,0)="","",VLOOKUP(C1356,' Disaggregation - Section E '!A$10:J475,7,0)*100),"")</f>
        <v/>
      </c>
      <c r="F1356" s="171" t="str">
        <f ca="1">IFERROR(IF(VLOOKUP(C1356,' Disaggregation - Section E '!A$10:N475,5,0)=0,"",VLOOKUP(C1356,' Disaggregation - Section E '!A$10:N475,5,0)),"")</f>
        <v/>
      </c>
      <c r="G1356" s="170" t="str">
        <f ca="1">IFERROR(IF(VLOOKUP(C1356,' Disaggregation - Section E '!A$10:N475,6,0)="","",VLOOKUP(C1356,' Disaggregation - Section E '!A$10:N475,6,0)),"")</f>
        <v/>
      </c>
      <c r="H1356" s="177" t="str">
        <f ca="1">IFERROR(IF(INDEX(' Disaggregation - Section E '!F$10:F475,MATCH(C1356,' Disaggregation - Section E '!A$10:A475,0)+1,1)&lt;&gt;0,INDEX(' Disaggregation - Section E '!F$10:F475,MATCH(C1356,' Disaggregation - Section E '!A$10:A475,0)+1,1),""),"")</f>
        <v/>
      </c>
      <c r="I1356" s="171" t="str">
        <f ca="1">IFERROR(IF(VLOOKUP(C1356,' Disaggregation - Section E '!A$10:N475,8,0)=0,"",VLOOKUP(C1356,' Disaggregation - Section E '!A$10:N475,8,0)),"")</f>
        <v/>
      </c>
      <c r="J1356" s="171" t="str">
        <f ca="1">IFERROR(IF(VLOOKUP(C1356,' Disaggregation - Section E '!A$10:N475,13,0)=0,"",VLOOKUP(C1356,' Disaggregation - Section E '!A$10:N475,13,0)),"")</f>
        <v/>
      </c>
      <c r="K1356" s="166" t="str">
        <f ca="1">IFERROR(VLOOKUP(C1356,' Disaggregation - Section E '!A$10:N475,3,0),"")</f>
        <v>HIV I-9b⁽ᴹ⁾ Porcentaje de personas transgénero que viven con el VIH</v>
      </c>
      <c r="L1356" s="171" t="str">
        <f ca="1">IFERROR(IF(VLOOKUP(C1356,' Disaggregation - Section E '!A$10:N475,14,0)=0,"",VLOOKUP(C1356,' Disaggregation - Section E '!A$10:N475,14,0)),"")</f>
        <v/>
      </c>
      <c r="M1356" s="166" t="str">
        <f ca="1">IFERROR(IF(VLOOKUP(C1356,' Disaggregation - Section E '!A$10:T475,20,0)=0,"",VLOOKUP(C1356,' Disaggregation - Section E '!A$10:T475,20,0)),"")</f>
        <v/>
      </c>
      <c r="N1356" s="171" t="str">
        <f ca="1">IFERROR(IF(VLOOKUP(C1356,' Disaggregation - Section E '!A$10:N475,9,0)=0,"",VLOOKUP(C1356,' Disaggregation - Section E '!A$10:N475,9,0)),"")</f>
        <v/>
      </c>
      <c r="O1356" s="171" t="str">
        <f ca="1">IFERROR(IF(VLOOKUP(C1356,' Disaggregation - Section E '!A$10:N475,10,0)=0,"",VLOOKUP(C1356,' Disaggregation - Section E '!A$10:N475,10,0)),"")</f>
        <v/>
      </c>
    </row>
    <row r="1357" spans="1:15">
      <c r="A1357" s="166" t="b">
        <f t="shared" ca="1" si="142"/>
        <v>0</v>
      </c>
      <c r="B1357" s="166"/>
      <c r="C1357" s="172" t="str">
        <f ca="1">IF(COUNTA(D$1189:D1357)=1,"",OFFSET(B1357,-COUNTA(D$1189:D1357)+1,1))</f>
        <v>a1G3p000005dHaLEAU</v>
      </c>
      <c r="D1357" s="177"/>
      <c r="E1357" s="168" t="str">
        <f ca="1">IFERROR(IF(VLOOKUP(C1357,' Disaggregation - Section E '!A$10:J476,7,0)="","",VLOOKUP(C1357,' Disaggregation - Section E '!A$10:J476,7,0)*100),"")</f>
        <v/>
      </c>
      <c r="F1357" s="171" t="str">
        <f ca="1">IFERROR(IF(VLOOKUP(C1357,' Disaggregation - Section E '!A$10:N476,5,0)=0,"",VLOOKUP(C1357,' Disaggregation - Section E '!A$10:N476,5,0)),"")</f>
        <v/>
      </c>
      <c r="G1357" s="170" t="str">
        <f ca="1">IFERROR(IF(VLOOKUP(C1357,' Disaggregation - Section E '!A$10:N476,6,0)="","",VLOOKUP(C1357,' Disaggregation - Section E '!A$10:N476,6,0)),"")</f>
        <v/>
      </c>
      <c r="H1357" s="177" t="str">
        <f ca="1">IFERROR(IF(INDEX(' Disaggregation - Section E '!F$10:F476,MATCH(C1357,' Disaggregation - Section E '!A$10:A476,0)+1,1)&lt;&gt;0,INDEX(' Disaggregation - Section E '!F$10:F476,MATCH(C1357,' Disaggregation - Section E '!A$10:A476,0)+1,1),""),"")</f>
        <v/>
      </c>
      <c r="I1357" s="171" t="str">
        <f ca="1">IFERROR(IF(VLOOKUP(C1357,' Disaggregation - Section E '!A$10:N476,8,0)=0,"",VLOOKUP(C1357,' Disaggregation - Section E '!A$10:N476,8,0)),"")</f>
        <v/>
      </c>
      <c r="J1357" s="171" t="str">
        <f ca="1">IFERROR(IF(VLOOKUP(C1357,' Disaggregation - Section E '!A$10:N476,13,0)=0,"",VLOOKUP(C1357,' Disaggregation - Section E '!A$10:N476,13,0)),"")</f>
        <v/>
      </c>
      <c r="K1357" s="166" t="str">
        <f ca="1">IFERROR(VLOOKUP(C1357,' Disaggregation - Section E '!A$10:N476,3,0),"")</f>
        <v>HIV I-9b⁽ᴹ⁾ Porcentaje de personas transgénero que viven con el VIH</v>
      </c>
      <c r="L1357" s="171" t="str">
        <f ca="1">IFERROR(IF(VLOOKUP(C1357,' Disaggregation - Section E '!A$10:N476,14,0)=0,"",VLOOKUP(C1357,' Disaggregation - Section E '!A$10:N476,14,0)),"")</f>
        <v/>
      </c>
      <c r="M1357" s="166" t="str">
        <f ca="1">IFERROR(IF(VLOOKUP(C1357,' Disaggregation - Section E '!A$10:T476,20,0)=0,"",VLOOKUP(C1357,' Disaggregation - Section E '!A$10:T476,20,0)),"")</f>
        <v/>
      </c>
      <c r="N1357" s="171" t="str">
        <f ca="1">IFERROR(IF(VLOOKUP(C1357,' Disaggregation - Section E '!A$10:N476,9,0)=0,"",VLOOKUP(C1357,' Disaggregation - Section E '!A$10:N476,9,0)),"")</f>
        <v/>
      </c>
      <c r="O1357" s="171" t="str">
        <f ca="1">IFERROR(IF(VLOOKUP(C1357,' Disaggregation - Section E '!A$10:N476,10,0)=0,"",VLOOKUP(C1357,' Disaggregation - Section E '!A$10:N476,10,0)),"")</f>
        <v/>
      </c>
    </row>
    <row r="1358" spans="1:15">
      <c r="A1358" s="166" t="b">
        <f t="shared" ca="1" si="142"/>
        <v>0</v>
      </c>
      <c r="B1358" s="166"/>
      <c r="C1358" s="172" t="str">
        <f ca="1">IF(COUNTA(D$1189:D1358)=1,"",OFFSET(B1358,-COUNTA(D$1189:D1358)+1,1))</f>
        <v>a1G3p000005dHaMEAU</v>
      </c>
      <c r="D1358" s="177"/>
      <c r="E1358" s="168" t="str">
        <f ca="1">IFERROR(IF(VLOOKUP(C1358,' Disaggregation - Section E '!A$10:J477,7,0)="","",VLOOKUP(C1358,' Disaggregation - Section E '!A$10:J477,7,0)*100),"")</f>
        <v/>
      </c>
      <c r="F1358" s="171" t="str">
        <f ca="1">IFERROR(IF(VLOOKUP(C1358,' Disaggregation - Section E '!A$10:N477,5,0)=0,"",VLOOKUP(C1358,' Disaggregation - Section E '!A$10:N477,5,0)),"")</f>
        <v/>
      </c>
      <c r="G1358" s="170" t="str">
        <f ca="1">IFERROR(IF(VLOOKUP(C1358,' Disaggregation - Section E '!A$10:N477,6,0)="","",VLOOKUP(C1358,' Disaggregation - Section E '!A$10:N477,6,0)),"")</f>
        <v/>
      </c>
      <c r="H1358" s="177" t="str">
        <f ca="1">IFERROR(IF(INDEX(' Disaggregation - Section E '!F$10:F477,MATCH(C1358,' Disaggregation - Section E '!A$10:A477,0)+1,1)&lt;&gt;0,INDEX(' Disaggregation - Section E '!F$10:F477,MATCH(C1358,' Disaggregation - Section E '!A$10:A477,0)+1,1),""),"")</f>
        <v/>
      </c>
      <c r="I1358" s="171" t="str">
        <f ca="1">IFERROR(IF(VLOOKUP(C1358,' Disaggregation - Section E '!A$10:N477,8,0)=0,"",VLOOKUP(C1358,' Disaggregation - Section E '!A$10:N477,8,0)),"")</f>
        <v/>
      </c>
      <c r="J1358" s="171" t="str">
        <f ca="1">IFERROR(IF(VLOOKUP(C1358,' Disaggregation - Section E '!A$10:N477,13,0)=0,"",VLOOKUP(C1358,' Disaggregation - Section E '!A$10:N477,13,0)),"")</f>
        <v/>
      </c>
      <c r="K1358" s="166" t="str">
        <f ca="1">IFERROR(VLOOKUP(C1358,' Disaggregation - Section E '!A$10:N477,3,0),"")</f>
        <v>HIV I-9b⁽ᴹ⁾ Porcentaje de personas transgénero que viven con el VIH</v>
      </c>
      <c r="L1358" s="171" t="str">
        <f ca="1">IFERROR(IF(VLOOKUP(C1358,' Disaggregation - Section E '!A$10:N477,14,0)=0,"",VLOOKUP(C1358,' Disaggregation - Section E '!A$10:N477,14,0)),"")</f>
        <v/>
      </c>
      <c r="M1358" s="166" t="str">
        <f ca="1">IFERROR(IF(VLOOKUP(C1358,' Disaggregation - Section E '!A$10:T477,20,0)=0,"",VLOOKUP(C1358,' Disaggregation - Section E '!A$10:T477,20,0)),"")</f>
        <v/>
      </c>
      <c r="N1358" s="171" t="str">
        <f ca="1">IFERROR(IF(VLOOKUP(C1358,' Disaggregation - Section E '!A$10:N477,9,0)=0,"",VLOOKUP(C1358,' Disaggregation - Section E '!A$10:N477,9,0)),"")</f>
        <v/>
      </c>
      <c r="O1358" s="171" t="str">
        <f ca="1">IFERROR(IF(VLOOKUP(C1358,' Disaggregation - Section E '!A$10:N477,10,0)=0,"",VLOOKUP(C1358,' Disaggregation - Section E '!A$10:N477,10,0)),"")</f>
        <v/>
      </c>
    </row>
    <row r="1359" spans="1:15">
      <c r="A1359" s="166" t="b">
        <f t="shared" ca="1" si="142"/>
        <v>0</v>
      </c>
      <c r="B1359" s="166"/>
      <c r="C1359" s="172" t="str">
        <f ca="1">IF(COUNTA(D$1189:D1359)=1,"",OFFSET(B1359,-COUNTA(D$1189:D1359)+1,1))</f>
        <v>a1G3p000005dHaNEAU</v>
      </c>
      <c r="D1359" s="177"/>
      <c r="E1359" s="168" t="str">
        <f ca="1">IFERROR(IF(VLOOKUP(C1359,' Disaggregation - Section E '!A$10:J478,7,0)="","",VLOOKUP(C1359,' Disaggregation - Section E '!A$10:J478,7,0)*100),"")</f>
        <v/>
      </c>
      <c r="F1359" s="171" t="str">
        <f ca="1">IFERROR(IF(VLOOKUP(C1359,' Disaggregation - Section E '!A$10:N478,5,0)=0,"",VLOOKUP(C1359,' Disaggregation - Section E '!A$10:N478,5,0)),"")</f>
        <v/>
      </c>
      <c r="G1359" s="170" t="str">
        <f ca="1">IFERROR(IF(VLOOKUP(C1359,' Disaggregation - Section E '!A$10:N478,6,0)="","",VLOOKUP(C1359,' Disaggregation - Section E '!A$10:N478,6,0)),"")</f>
        <v/>
      </c>
      <c r="H1359" s="177" t="str">
        <f ca="1">IFERROR(IF(INDEX(' Disaggregation - Section E '!F$10:F478,MATCH(C1359,' Disaggregation - Section E '!A$10:A478,0)+1,1)&lt;&gt;0,INDEX(' Disaggregation - Section E '!F$10:F478,MATCH(C1359,' Disaggregation - Section E '!A$10:A478,0)+1,1),""),"")</f>
        <v/>
      </c>
      <c r="I1359" s="171" t="str">
        <f ca="1">IFERROR(IF(VLOOKUP(C1359,' Disaggregation - Section E '!A$10:N478,8,0)=0,"",VLOOKUP(C1359,' Disaggregation - Section E '!A$10:N478,8,0)),"")</f>
        <v/>
      </c>
      <c r="J1359" s="171" t="str">
        <f ca="1">IFERROR(IF(VLOOKUP(C1359,' Disaggregation - Section E '!A$10:N478,13,0)=0,"",VLOOKUP(C1359,' Disaggregation - Section E '!A$10:N478,13,0)),"")</f>
        <v/>
      </c>
      <c r="K1359" s="166" t="str">
        <f ca="1">IFERROR(VLOOKUP(C1359,' Disaggregation - Section E '!A$10:N478,3,0),"")</f>
        <v>HIV I-9b⁽ᴹ⁾ Porcentaje de personas transgénero que viven con el VIH</v>
      </c>
      <c r="L1359" s="171" t="str">
        <f ca="1">IFERROR(IF(VLOOKUP(C1359,' Disaggregation - Section E '!A$10:N478,14,0)=0,"",VLOOKUP(C1359,' Disaggregation - Section E '!A$10:N478,14,0)),"")</f>
        <v/>
      </c>
      <c r="M1359" s="166" t="str">
        <f ca="1">IFERROR(IF(VLOOKUP(C1359,' Disaggregation - Section E '!A$10:T478,20,0)=0,"",VLOOKUP(C1359,' Disaggregation - Section E '!A$10:T478,20,0)),"")</f>
        <v/>
      </c>
      <c r="N1359" s="171" t="str">
        <f ca="1">IFERROR(IF(VLOOKUP(C1359,' Disaggregation - Section E '!A$10:N478,9,0)=0,"",VLOOKUP(C1359,' Disaggregation - Section E '!A$10:N478,9,0)),"")</f>
        <v/>
      </c>
      <c r="O1359" s="171" t="str">
        <f ca="1">IFERROR(IF(VLOOKUP(C1359,' Disaggregation - Section E '!A$10:N478,10,0)=0,"",VLOOKUP(C1359,' Disaggregation - Section E '!A$10:N478,10,0)),"")</f>
        <v/>
      </c>
    </row>
    <row r="1360" spans="1:15">
      <c r="A1360" s="166" t="b">
        <f t="shared" ca="1" si="142"/>
        <v>0</v>
      </c>
      <c r="B1360" s="166"/>
      <c r="C1360" s="172" t="str">
        <f ca="1">IF(COUNTA(D$1189:D1360)=1,"",OFFSET(B1360,-COUNTA(D$1189:D1360)+1,1))</f>
        <v>a1G3p000005dHaOEAU</v>
      </c>
      <c r="D1360" s="177"/>
      <c r="E1360" s="168" t="str">
        <f ca="1">IFERROR(IF(VLOOKUP(C1360,' Disaggregation - Section E '!A$10:J479,7,0)="","",VLOOKUP(C1360,' Disaggregation - Section E '!A$10:J479,7,0)*100),"")</f>
        <v/>
      </c>
      <c r="F1360" s="171" t="str">
        <f ca="1">IFERROR(IF(VLOOKUP(C1360,' Disaggregation - Section E '!A$10:N479,5,0)=0,"",VLOOKUP(C1360,' Disaggregation - Section E '!A$10:N479,5,0)),"")</f>
        <v/>
      </c>
      <c r="G1360" s="170" t="str">
        <f ca="1">IFERROR(IF(VLOOKUP(C1360,' Disaggregation - Section E '!A$10:N479,6,0)="","",VLOOKUP(C1360,' Disaggregation - Section E '!A$10:N479,6,0)),"")</f>
        <v/>
      </c>
      <c r="H1360" s="177" t="str">
        <f ca="1">IFERROR(IF(INDEX(' Disaggregation - Section E '!F$10:F479,MATCH(C1360,' Disaggregation - Section E '!A$10:A479,0)+1,1)&lt;&gt;0,INDEX(' Disaggregation - Section E '!F$10:F479,MATCH(C1360,' Disaggregation - Section E '!A$10:A479,0)+1,1),""),"")</f>
        <v/>
      </c>
      <c r="I1360" s="171" t="str">
        <f ca="1">IFERROR(IF(VLOOKUP(C1360,' Disaggregation - Section E '!A$10:N479,8,0)=0,"",VLOOKUP(C1360,' Disaggregation - Section E '!A$10:N479,8,0)),"")</f>
        <v/>
      </c>
      <c r="J1360" s="171" t="str">
        <f ca="1">IFERROR(IF(VLOOKUP(C1360,' Disaggregation - Section E '!A$10:N479,13,0)=0,"",VLOOKUP(C1360,' Disaggregation - Section E '!A$10:N479,13,0)),"")</f>
        <v/>
      </c>
      <c r="K1360" s="166" t="str">
        <f ca="1">IFERROR(VLOOKUP(C1360,' Disaggregation - Section E '!A$10:N479,3,0),"")</f>
        <v>HIV I-9b⁽ᴹ⁾ Porcentaje de personas transgénero que viven con el VIH</v>
      </c>
      <c r="L1360" s="171" t="str">
        <f ca="1">IFERROR(IF(VLOOKUP(C1360,' Disaggregation - Section E '!A$10:N479,14,0)=0,"",VLOOKUP(C1360,' Disaggregation - Section E '!A$10:N479,14,0)),"")</f>
        <v/>
      </c>
      <c r="M1360" s="166" t="str">
        <f ca="1">IFERROR(IF(VLOOKUP(C1360,' Disaggregation - Section E '!A$10:T479,20,0)=0,"",VLOOKUP(C1360,' Disaggregation - Section E '!A$10:T479,20,0)),"")</f>
        <v/>
      </c>
      <c r="N1360" s="171" t="str">
        <f ca="1">IFERROR(IF(VLOOKUP(C1360,' Disaggregation - Section E '!A$10:N479,9,0)=0,"",VLOOKUP(C1360,' Disaggregation - Section E '!A$10:N479,9,0)),"")</f>
        <v/>
      </c>
      <c r="O1360" s="171" t="str">
        <f ca="1">IFERROR(IF(VLOOKUP(C1360,' Disaggregation - Section E '!A$10:N479,10,0)=0,"",VLOOKUP(C1360,' Disaggregation - Section E '!A$10:N479,10,0)),"")</f>
        <v/>
      </c>
    </row>
    <row r="1361" spans="1:15">
      <c r="A1361" s="166" t="b">
        <f t="shared" ca="1" si="142"/>
        <v>0</v>
      </c>
      <c r="B1361" s="166"/>
      <c r="C1361" s="172" t="str">
        <f ca="1">IF(COUNTA(D$1189:D1361)=1,"",OFFSET(B1361,-COUNTA(D$1189:D1361)+1,1))</f>
        <v>a1G3p000005dHaPEAU</v>
      </c>
      <c r="D1361" s="177"/>
      <c r="E1361" s="168" t="str">
        <f ca="1">IFERROR(IF(VLOOKUP(C1361,' Disaggregation - Section E '!A$10:J480,7,0)="","",VLOOKUP(C1361,' Disaggregation - Section E '!A$10:J480,7,0)*100),"")</f>
        <v/>
      </c>
      <c r="F1361" s="171" t="str">
        <f ca="1">IFERROR(IF(VLOOKUP(C1361,' Disaggregation - Section E '!A$10:N480,5,0)=0,"",VLOOKUP(C1361,' Disaggregation - Section E '!A$10:N480,5,0)),"")</f>
        <v/>
      </c>
      <c r="G1361" s="170" t="str">
        <f ca="1">IFERROR(IF(VLOOKUP(C1361,' Disaggregation - Section E '!A$10:N480,6,0)="","",VLOOKUP(C1361,' Disaggregation - Section E '!A$10:N480,6,0)),"")</f>
        <v/>
      </c>
      <c r="H1361" s="177" t="str">
        <f ca="1">IFERROR(IF(INDEX(' Disaggregation - Section E '!F$10:F480,MATCH(C1361,' Disaggregation - Section E '!A$10:A480,0)+1,1)&lt;&gt;0,INDEX(' Disaggregation - Section E '!F$10:F480,MATCH(C1361,' Disaggregation - Section E '!A$10:A480,0)+1,1),""),"")</f>
        <v/>
      </c>
      <c r="I1361" s="171" t="str">
        <f ca="1">IFERROR(IF(VLOOKUP(C1361,' Disaggregation - Section E '!A$10:N480,8,0)=0,"",VLOOKUP(C1361,' Disaggregation - Section E '!A$10:N480,8,0)),"")</f>
        <v/>
      </c>
      <c r="J1361" s="171" t="str">
        <f ca="1">IFERROR(IF(VLOOKUP(C1361,' Disaggregation - Section E '!A$10:N480,13,0)=0,"",VLOOKUP(C1361,' Disaggregation - Section E '!A$10:N480,13,0)),"")</f>
        <v/>
      </c>
      <c r="K1361" s="166" t="str">
        <f ca="1">IFERROR(VLOOKUP(C1361,' Disaggregation - Section E '!A$10:N480,3,0),"")</f>
        <v/>
      </c>
      <c r="L1361" s="171" t="str">
        <f ca="1">IFERROR(IF(VLOOKUP(C1361,' Disaggregation - Section E '!A$10:N480,14,0)=0,"",VLOOKUP(C1361,' Disaggregation - Section E '!A$10:N480,14,0)),"")</f>
        <v/>
      </c>
      <c r="M1361" s="166" t="str">
        <f ca="1">IFERROR(IF(VLOOKUP(C1361,' Disaggregation - Section E '!A$10:T480,20,0)=0,"",VLOOKUP(C1361,' Disaggregation - Section E '!A$10:T480,20,0)),"")</f>
        <v/>
      </c>
      <c r="N1361" s="171" t="str">
        <f ca="1">IFERROR(IF(VLOOKUP(C1361,' Disaggregation - Section E '!A$10:N480,9,0)=0,"",VLOOKUP(C1361,' Disaggregation - Section E '!A$10:N480,9,0)),"")</f>
        <v/>
      </c>
      <c r="O1361" s="171" t="str">
        <f ca="1">IFERROR(IF(VLOOKUP(C1361,' Disaggregation - Section E '!A$10:N480,10,0)=0,"",VLOOKUP(C1361,' Disaggregation - Section E '!A$10:N480,10,0)),"")</f>
        <v/>
      </c>
    </row>
    <row r="1362" spans="1:15">
      <c r="A1362" s="166" t="b">
        <f t="shared" ca="1" si="142"/>
        <v>0</v>
      </c>
      <c r="B1362" s="166"/>
      <c r="C1362" s="172" t="str">
        <f ca="1">IF(COUNTA(D$1189:D1362)=1,"",OFFSET(B1362,-COUNTA(D$1189:D1362)+1,1))</f>
        <v>a1G3p000005dHaQEAU</v>
      </c>
      <c r="D1362" s="177"/>
      <c r="E1362" s="168" t="str">
        <f ca="1">IFERROR(IF(VLOOKUP(C1362,' Disaggregation - Section E '!A$10:J481,7,0)="","",VLOOKUP(C1362,' Disaggregation - Section E '!A$10:J481,7,0)*100),"")</f>
        <v/>
      </c>
      <c r="F1362" s="171" t="str">
        <f ca="1">IFERROR(IF(VLOOKUP(C1362,' Disaggregation - Section E '!A$10:N481,5,0)=0,"",VLOOKUP(C1362,' Disaggregation - Section E '!A$10:N481,5,0)),"")</f>
        <v/>
      </c>
      <c r="G1362" s="170" t="str">
        <f ca="1">IFERROR(IF(VLOOKUP(C1362,' Disaggregation - Section E '!A$10:N481,6,0)="","",VLOOKUP(C1362,' Disaggregation - Section E '!A$10:N481,6,0)),"")</f>
        <v/>
      </c>
      <c r="H1362" s="177" t="str">
        <f ca="1">IFERROR(IF(INDEX(' Disaggregation - Section E '!F$10:F481,MATCH(C1362,' Disaggregation - Section E '!A$10:A481,0)+1,1)&lt;&gt;0,INDEX(' Disaggregation - Section E '!F$10:F481,MATCH(C1362,' Disaggregation - Section E '!A$10:A481,0)+1,1),""),"")</f>
        <v/>
      </c>
      <c r="I1362" s="171" t="str">
        <f ca="1">IFERROR(IF(VLOOKUP(C1362,' Disaggregation - Section E '!A$10:N481,8,0)=0,"",VLOOKUP(C1362,' Disaggregation - Section E '!A$10:N481,8,0)),"")</f>
        <v/>
      </c>
      <c r="J1362" s="171" t="str">
        <f ca="1">IFERROR(IF(VLOOKUP(C1362,' Disaggregation - Section E '!A$10:N481,13,0)=0,"",VLOOKUP(C1362,' Disaggregation - Section E '!A$10:N481,13,0)),"")</f>
        <v/>
      </c>
      <c r="K1362" s="166" t="str">
        <f ca="1">IFERROR(VLOOKUP(C1362,' Disaggregation - Section E '!A$10:N481,3,0),"")</f>
        <v/>
      </c>
      <c r="L1362" s="171" t="str">
        <f ca="1">IFERROR(IF(VLOOKUP(C1362,' Disaggregation - Section E '!A$10:N481,14,0)=0,"",VLOOKUP(C1362,' Disaggregation - Section E '!A$10:N481,14,0)),"")</f>
        <v/>
      </c>
      <c r="M1362" s="166" t="str">
        <f ca="1">IFERROR(IF(VLOOKUP(C1362,' Disaggregation - Section E '!A$10:T481,20,0)=0,"",VLOOKUP(C1362,' Disaggregation - Section E '!A$10:T481,20,0)),"")</f>
        <v/>
      </c>
      <c r="N1362" s="171" t="str">
        <f ca="1">IFERROR(IF(VLOOKUP(C1362,' Disaggregation - Section E '!A$10:N481,9,0)=0,"",VLOOKUP(C1362,' Disaggregation - Section E '!A$10:N481,9,0)),"")</f>
        <v/>
      </c>
      <c r="O1362" s="171" t="str">
        <f ca="1">IFERROR(IF(VLOOKUP(C1362,' Disaggregation - Section E '!A$10:N481,10,0)=0,"",VLOOKUP(C1362,' Disaggregation - Section E '!A$10:N481,10,0)),"")</f>
        <v/>
      </c>
    </row>
    <row r="1363" spans="1:15">
      <c r="A1363" s="166" t="b">
        <f t="shared" ca="1" si="142"/>
        <v>0</v>
      </c>
      <c r="B1363" s="166"/>
      <c r="C1363" s="172" t="str">
        <f ca="1">IF(COUNTA(D$1189:D1363)=1,"",OFFSET(B1363,-COUNTA(D$1189:D1363)+1,1))</f>
        <v>a1G3p000005dHaREAU</v>
      </c>
      <c r="D1363" s="177"/>
      <c r="E1363" s="168" t="str">
        <f ca="1">IFERROR(IF(VLOOKUP(C1363,' Disaggregation - Section E '!A$10:J482,7,0)="","",VLOOKUP(C1363,' Disaggregation - Section E '!A$10:J482,7,0)*100),"")</f>
        <v/>
      </c>
      <c r="F1363" s="171" t="str">
        <f ca="1">IFERROR(IF(VLOOKUP(C1363,' Disaggregation - Section E '!A$10:N482,5,0)=0,"",VLOOKUP(C1363,' Disaggregation - Section E '!A$10:N482,5,0)),"")</f>
        <v/>
      </c>
      <c r="G1363" s="170" t="str">
        <f ca="1">IFERROR(IF(VLOOKUP(C1363,' Disaggregation - Section E '!A$10:N482,6,0)="","",VLOOKUP(C1363,' Disaggregation - Section E '!A$10:N482,6,0)),"")</f>
        <v/>
      </c>
      <c r="H1363" s="177" t="str">
        <f ca="1">IFERROR(IF(INDEX(' Disaggregation - Section E '!F$10:F482,MATCH(C1363,' Disaggregation - Section E '!A$10:A482,0)+1,1)&lt;&gt;0,INDEX(' Disaggregation - Section E '!F$10:F482,MATCH(C1363,' Disaggregation - Section E '!A$10:A482,0)+1,1),""),"")</f>
        <v/>
      </c>
      <c r="I1363" s="171" t="str">
        <f ca="1">IFERROR(IF(VLOOKUP(C1363,' Disaggregation - Section E '!A$10:N482,8,0)=0,"",VLOOKUP(C1363,' Disaggregation - Section E '!A$10:N482,8,0)),"")</f>
        <v/>
      </c>
      <c r="J1363" s="171" t="str">
        <f ca="1">IFERROR(IF(VLOOKUP(C1363,' Disaggregation - Section E '!A$10:N482,13,0)=0,"",VLOOKUP(C1363,' Disaggregation - Section E '!A$10:N482,13,0)),"")</f>
        <v/>
      </c>
      <c r="K1363" s="166" t="str">
        <f ca="1">IFERROR(VLOOKUP(C1363,' Disaggregation - Section E '!A$10:N482,3,0),"")</f>
        <v/>
      </c>
      <c r="L1363" s="171" t="str">
        <f ca="1">IFERROR(IF(VLOOKUP(C1363,' Disaggregation - Section E '!A$10:N482,14,0)=0,"",VLOOKUP(C1363,' Disaggregation - Section E '!A$10:N482,14,0)),"")</f>
        <v/>
      </c>
      <c r="M1363" s="166" t="str">
        <f ca="1">IFERROR(IF(VLOOKUP(C1363,' Disaggregation - Section E '!A$10:T482,20,0)=0,"",VLOOKUP(C1363,' Disaggregation - Section E '!A$10:T482,20,0)),"")</f>
        <v/>
      </c>
      <c r="N1363" s="171" t="str">
        <f ca="1">IFERROR(IF(VLOOKUP(C1363,' Disaggregation - Section E '!A$10:N482,9,0)=0,"",VLOOKUP(C1363,' Disaggregation - Section E '!A$10:N482,9,0)),"")</f>
        <v/>
      </c>
      <c r="O1363" s="171" t="str">
        <f ca="1">IFERROR(IF(VLOOKUP(C1363,' Disaggregation - Section E '!A$10:N482,10,0)=0,"",VLOOKUP(C1363,' Disaggregation - Section E '!A$10:N482,10,0)),"")</f>
        <v/>
      </c>
    </row>
    <row r="1364" spans="1:15">
      <c r="A1364" s="166" t="b">
        <f t="shared" ca="1" si="142"/>
        <v>0</v>
      </c>
      <c r="B1364" s="166"/>
      <c r="C1364" s="172" t="str">
        <f ca="1">IF(COUNTA(D$1189:D1364)=1,"",OFFSET(B1364,-COUNTA(D$1189:D1364)+1,1))</f>
        <v>a1G3p000005dHaSEAU</v>
      </c>
      <c r="D1364" s="177"/>
      <c r="E1364" s="168" t="str">
        <f ca="1">IFERROR(IF(VLOOKUP(C1364,' Disaggregation - Section E '!A$10:J483,7,0)="","",VLOOKUP(C1364,' Disaggregation - Section E '!A$10:J483,7,0)*100),"")</f>
        <v/>
      </c>
      <c r="F1364" s="171" t="str">
        <f ca="1">IFERROR(IF(VLOOKUP(C1364,' Disaggregation - Section E '!A$10:N483,5,0)=0,"",VLOOKUP(C1364,' Disaggregation - Section E '!A$10:N483,5,0)),"")</f>
        <v/>
      </c>
      <c r="G1364" s="170" t="str">
        <f ca="1">IFERROR(IF(VLOOKUP(C1364,' Disaggregation - Section E '!A$10:N483,6,0)="","",VLOOKUP(C1364,' Disaggregation - Section E '!A$10:N483,6,0)),"")</f>
        <v/>
      </c>
      <c r="H1364" s="177" t="str">
        <f ca="1">IFERROR(IF(INDEX(' Disaggregation - Section E '!F$10:F483,MATCH(C1364,' Disaggregation - Section E '!A$10:A483,0)+1,1)&lt;&gt;0,INDEX(' Disaggregation - Section E '!F$10:F483,MATCH(C1364,' Disaggregation - Section E '!A$10:A483,0)+1,1),""),"")</f>
        <v/>
      </c>
      <c r="I1364" s="171" t="str">
        <f ca="1">IFERROR(IF(VLOOKUP(C1364,' Disaggregation - Section E '!A$10:N483,8,0)=0,"",VLOOKUP(C1364,' Disaggregation - Section E '!A$10:N483,8,0)),"")</f>
        <v/>
      </c>
      <c r="J1364" s="171" t="str">
        <f ca="1">IFERROR(IF(VLOOKUP(C1364,' Disaggregation - Section E '!A$10:N483,13,0)=0,"",VLOOKUP(C1364,' Disaggregation - Section E '!A$10:N483,13,0)),"")</f>
        <v/>
      </c>
      <c r="K1364" s="166" t="str">
        <f ca="1">IFERROR(VLOOKUP(C1364,' Disaggregation - Section E '!A$10:N483,3,0),"")</f>
        <v/>
      </c>
      <c r="L1364" s="171" t="str">
        <f ca="1">IFERROR(IF(VLOOKUP(C1364,' Disaggregation - Section E '!A$10:N483,14,0)=0,"",VLOOKUP(C1364,' Disaggregation - Section E '!A$10:N483,14,0)),"")</f>
        <v/>
      </c>
      <c r="M1364" s="166" t="str">
        <f ca="1">IFERROR(IF(VLOOKUP(C1364,' Disaggregation - Section E '!A$10:T483,20,0)=0,"",VLOOKUP(C1364,' Disaggregation - Section E '!A$10:T483,20,0)),"")</f>
        <v/>
      </c>
      <c r="N1364" s="171" t="str">
        <f ca="1">IFERROR(IF(VLOOKUP(C1364,' Disaggregation - Section E '!A$10:N483,9,0)=0,"",VLOOKUP(C1364,' Disaggregation - Section E '!A$10:N483,9,0)),"")</f>
        <v/>
      </c>
      <c r="O1364" s="171" t="str">
        <f ca="1">IFERROR(IF(VLOOKUP(C1364,' Disaggregation - Section E '!A$10:N483,10,0)=0,"",VLOOKUP(C1364,' Disaggregation - Section E '!A$10:N483,10,0)),"")</f>
        <v/>
      </c>
    </row>
    <row r="1365" spans="1:15">
      <c r="A1365" s="166" t="b">
        <f t="shared" ca="1" si="142"/>
        <v>0</v>
      </c>
      <c r="B1365" s="166"/>
      <c r="C1365" s="172" t="str">
        <f ca="1">IF(COUNTA(D$1189:D1365)=1,"",OFFSET(B1365,-COUNTA(D$1189:D1365)+1,1))</f>
        <v>a1G3p000005dHaTEAU</v>
      </c>
      <c r="D1365" s="177"/>
      <c r="E1365" s="168" t="str">
        <f ca="1">IFERROR(IF(VLOOKUP(C1365,' Disaggregation - Section E '!A$10:J484,7,0)="","",VLOOKUP(C1365,' Disaggregation - Section E '!A$10:J484,7,0)*100),"")</f>
        <v/>
      </c>
      <c r="F1365" s="171" t="str">
        <f ca="1">IFERROR(IF(VLOOKUP(C1365,' Disaggregation - Section E '!A$10:N484,5,0)=0,"",VLOOKUP(C1365,' Disaggregation - Section E '!A$10:N484,5,0)),"")</f>
        <v/>
      </c>
      <c r="G1365" s="170" t="str">
        <f ca="1">IFERROR(IF(VLOOKUP(C1365,' Disaggregation - Section E '!A$10:N484,6,0)="","",VLOOKUP(C1365,' Disaggregation - Section E '!A$10:N484,6,0)),"")</f>
        <v/>
      </c>
      <c r="H1365" s="177" t="str">
        <f ca="1">IFERROR(IF(INDEX(' Disaggregation - Section E '!F$10:F484,MATCH(C1365,' Disaggregation - Section E '!A$10:A484,0)+1,1)&lt;&gt;0,INDEX(' Disaggregation - Section E '!F$10:F484,MATCH(C1365,' Disaggregation - Section E '!A$10:A484,0)+1,1),""),"")</f>
        <v/>
      </c>
      <c r="I1365" s="171" t="str">
        <f ca="1">IFERROR(IF(VLOOKUP(C1365,' Disaggregation - Section E '!A$10:N484,8,0)=0,"",VLOOKUP(C1365,' Disaggregation - Section E '!A$10:N484,8,0)),"")</f>
        <v/>
      </c>
      <c r="J1365" s="171" t="str">
        <f ca="1">IFERROR(IF(VLOOKUP(C1365,' Disaggregation - Section E '!A$10:N484,13,0)=0,"",VLOOKUP(C1365,' Disaggregation - Section E '!A$10:N484,13,0)),"")</f>
        <v/>
      </c>
      <c r="K1365" s="166" t="str">
        <f ca="1">IFERROR(VLOOKUP(C1365,' Disaggregation - Section E '!A$10:N484,3,0),"")</f>
        <v/>
      </c>
      <c r="L1365" s="171" t="str">
        <f ca="1">IFERROR(IF(VLOOKUP(C1365,' Disaggregation - Section E '!A$10:N484,14,0)=0,"",VLOOKUP(C1365,' Disaggregation - Section E '!A$10:N484,14,0)),"")</f>
        <v/>
      </c>
      <c r="M1365" s="166" t="str">
        <f ca="1">IFERROR(IF(VLOOKUP(C1365,' Disaggregation - Section E '!A$10:T484,20,0)=0,"",VLOOKUP(C1365,' Disaggregation - Section E '!A$10:T484,20,0)),"")</f>
        <v/>
      </c>
      <c r="N1365" s="171" t="str">
        <f ca="1">IFERROR(IF(VLOOKUP(C1365,' Disaggregation - Section E '!A$10:N484,9,0)=0,"",VLOOKUP(C1365,' Disaggregation - Section E '!A$10:N484,9,0)),"")</f>
        <v/>
      </c>
      <c r="O1365" s="171" t="str">
        <f ca="1">IFERROR(IF(VLOOKUP(C1365,' Disaggregation - Section E '!A$10:N484,10,0)=0,"",VLOOKUP(C1365,' Disaggregation - Section E '!A$10:N484,10,0)),"")</f>
        <v/>
      </c>
    </row>
    <row r="1366" spans="1:15">
      <c r="A1366" s="166" t="b">
        <f t="shared" ca="1" si="142"/>
        <v>0</v>
      </c>
      <c r="B1366" s="166"/>
      <c r="C1366" s="172" t="str">
        <f ca="1">IF(COUNTA(D$1189:D1366)=1,"",OFFSET(B1366,-COUNTA(D$1189:D1366)+1,1))</f>
        <v>a1G3p000005dHaUEAU</v>
      </c>
      <c r="D1366" s="177"/>
      <c r="E1366" s="168" t="str">
        <f ca="1">IFERROR(IF(VLOOKUP(C1366,' Disaggregation - Section E '!A$10:J485,7,0)="","",VLOOKUP(C1366,' Disaggregation - Section E '!A$10:J485,7,0)*100),"")</f>
        <v/>
      </c>
      <c r="F1366" s="171" t="str">
        <f ca="1">IFERROR(IF(VLOOKUP(C1366,' Disaggregation - Section E '!A$10:N485,5,0)=0,"",VLOOKUP(C1366,' Disaggregation - Section E '!A$10:N485,5,0)),"")</f>
        <v/>
      </c>
      <c r="G1366" s="170" t="str">
        <f ca="1">IFERROR(IF(VLOOKUP(C1366,' Disaggregation - Section E '!A$10:N485,6,0)="","",VLOOKUP(C1366,' Disaggregation - Section E '!A$10:N485,6,0)),"")</f>
        <v/>
      </c>
      <c r="H1366" s="177" t="str">
        <f ca="1">IFERROR(IF(INDEX(' Disaggregation - Section E '!F$10:F485,MATCH(C1366,' Disaggregation - Section E '!A$10:A485,0)+1,1)&lt;&gt;0,INDEX(' Disaggregation - Section E '!F$10:F485,MATCH(C1366,' Disaggregation - Section E '!A$10:A485,0)+1,1),""),"")</f>
        <v/>
      </c>
      <c r="I1366" s="171" t="str">
        <f ca="1">IFERROR(IF(VLOOKUP(C1366,' Disaggregation - Section E '!A$10:N485,8,0)=0,"",VLOOKUP(C1366,' Disaggregation - Section E '!A$10:N485,8,0)),"")</f>
        <v/>
      </c>
      <c r="J1366" s="171" t="str">
        <f ca="1">IFERROR(IF(VLOOKUP(C1366,' Disaggregation - Section E '!A$10:N485,13,0)=0,"",VLOOKUP(C1366,' Disaggregation - Section E '!A$10:N485,13,0)),"")</f>
        <v/>
      </c>
      <c r="K1366" s="166" t="str">
        <f ca="1">IFERROR(VLOOKUP(C1366,' Disaggregation - Section E '!A$10:N485,3,0),"")</f>
        <v/>
      </c>
      <c r="L1366" s="171" t="str">
        <f ca="1">IFERROR(IF(VLOOKUP(C1366,' Disaggregation - Section E '!A$10:N485,14,0)=0,"",VLOOKUP(C1366,' Disaggregation - Section E '!A$10:N485,14,0)),"")</f>
        <v/>
      </c>
      <c r="M1366" s="166" t="str">
        <f ca="1">IFERROR(IF(VLOOKUP(C1366,' Disaggregation - Section E '!A$10:T485,20,0)=0,"",VLOOKUP(C1366,' Disaggregation - Section E '!A$10:T485,20,0)),"")</f>
        <v/>
      </c>
      <c r="N1366" s="171" t="str">
        <f ca="1">IFERROR(IF(VLOOKUP(C1366,' Disaggregation - Section E '!A$10:N485,9,0)=0,"",VLOOKUP(C1366,' Disaggregation - Section E '!A$10:N485,9,0)),"")</f>
        <v/>
      </c>
      <c r="O1366" s="171" t="str">
        <f ca="1">IFERROR(IF(VLOOKUP(C1366,' Disaggregation - Section E '!A$10:N485,10,0)=0,"",VLOOKUP(C1366,' Disaggregation - Section E '!A$10:N485,10,0)),"")</f>
        <v/>
      </c>
    </row>
    <row r="1367" spans="1:15">
      <c r="A1367" s="166" t="b">
        <f t="shared" ca="1" si="142"/>
        <v>0</v>
      </c>
      <c r="B1367" s="166"/>
      <c r="C1367" s="172" t="str">
        <f ca="1">IF(COUNTA(D$1189:D1367)=1,"",OFFSET(B1367,-COUNTA(D$1189:D1367)+1,1))</f>
        <v>a1G3p000005dHaVEAU</v>
      </c>
      <c r="D1367" s="177"/>
      <c r="E1367" s="168" t="str">
        <f ca="1">IFERROR(IF(VLOOKUP(C1367,' Disaggregation - Section E '!A$10:J486,7,0)="","",VLOOKUP(C1367,' Disaggregation - Section E '!A$10:J486,7,0)*100),"")</f>
        <v/>
      </c>
      <c r="F1367" s="171" t="str">
        <f ca="1">IFERROR(IF(VLOOKUP(C1367,' Disaggregation - Section E '!A$10:N486,5,0)=0,"",VLOOKUP(C1367,' Disaggregation - Section E '!A$10:N486,5,0)),"")</f>
        <v/>
      </c>
      <c r="G1367" s="170" t="str">
        <f ca="1">IFERROR(IF(VLOOKUP(C1367,' Disaggregation - Section E '!A$10:N486,6,0)="","",VLOOKUP(C1367,' Disaggregation - Section E '!A$10:N486,6,0)),"")</f>
        <v/>
      </c>
      <c r="H1367" s="177" t="str">
        <f ca="1">IFERROR(IF(INDEX(' Disaggregation - Section E '!F$10:F486,MATCH(C1367,' Disaggregation - Section E '!A$10:A486,0)+1,1)&lt;&gt;0,INDEX(' Disaggregation - Section E '!F$10:F486,MATCH(C1367,' Disaggregation - Section E '!A$10:A486,0)+1,1),""),"")</f>
        <v/>
      </c>
      <c r="I1367" s="171" t="str">
        <f ca="1">IFERROR(IF(VLOOKUP(C1367,' Disaggregation - Section E '!A$10:N486,8,0)=0,"",VLOOKUP(C1367,' Disaggregation - Section E '!A$10:N486,8,0)),"")</f>
        <v/>
      </c>
      <c r="J1367" s="171" t="str">
        <f ca="1">IFERROR(IF(VLOOKUP(C1367,' Disaggregation - Section E '!A$10:N486,13,0)=0,"",VLOOKUP(C1367,' Disaggregation - Section E '!A$10:N486,13,0)),"")</f>
        <v/>
      </c>
      <c r="K1367" s="166" t="str">
        <f ca="1">IFERROR(VLOOKUP(C1367,' Disaggregation - Section E '!A$10:N486,3,0),"")</f>
        <v/>
      </c>
      <c r="L1367" s="171" t="str">
        <f ca="1">IFERROR(IF(VLOOKUP(C1367,' Disaggregation - Section E '!A$10:N486,14,0)=0,"",VLOOKUP(C1367,' Disaggregation - Section E '!A$10:N486,14,0)),"")</f>
        <v/>
      </c>
      <c r="M1367" s="166" t="str">
        <f ca="1">IFERROR(IF(VLOOKUP(C1367,' Disaggregation - Section E '!A$10:T486,20,0)=0,"",VLOOKUP(C1367,' Disaggregation - Section E '!A$10:T486,20,0)),"")</f>
        <v/>
      </c>
      <c r="N1367" s="171" t="str">
        <f ca="1">IFERROR(IF(VLOOKUP(C1367,' Disaggregation - Section E '!A$10:N486,9,0)=0,"",VLOOKUP(C1367,' Disaggregation - Section E '!A$10:N486,9,0)),"")</f>
        <v/>
      </c>
      <c r="O1367" s="171" t="str">
        <f ca="1">IFERROR(IF(VLOOKUP(C1367,' Disaggregation - Section E '!A$10:N486,10,0)=0,"",VLOOKUP(C1367,' Disaggregation - Section E '!A$10:N486,10,0)),"")</f>
        <v/>
      </c>
    </row>
    <row r="1368" spans="1:15">
      <c r="A1368" s="166" t="b">
        <f t="shared" ca="1" si="142"/>
        <v>0</v>
      </c>
      <c r="B1368" s="166"/>
      <c r="C1368" s="172" t="str">
        <f ca="1">IF(COUNTA(D$1189:D1368)=1,"",OFFSET(B1368,-COUNTA(D$1189:D1368)+1,1))</f>
        <v>a1G3p000005dHaWEAU</v>
      </c>
      <c r="D1368" s="177"/>
      <c r="E1368" s="168" t="str">
        <f ca="1">IFERROR(IF(VLOOKUP(C1368,' Disaggregation - Section E '!A$10:J487,7,0)="","",VLOOKUP(C1368,' Disaggregation - Section E '!A$10:J487,7,0)*100),"")</f>
        <v/>
      </c>
      <c r="F1368" s="171" t="str">
        <f ca="1">IFERROR(IF(VLOOKUP(C1368,' Disaggregation - Section E '!A$10:N487,5,0)=0,"",VLOOKUP(C1368,' Disaggregation - Section E '!A$10:N487,5,0)),"")</f>
        <v/>
      </c>
      <c r="G1368" s="170" t="str">
        <f ca="1">IFERROR(IF(VLOOKUP(C1368,' Disaggregation - Section E '!A$10:N487,6,0)="","",VLOOKUP(C1368,' Disaggregation - Section E '!A$10:N487,6,0)),"")</f>
        <v/>
      </c>
      <c r="H1368" s="177" t="str">
        <f ca="1">IFERROR(IF(INDEX(' Disaggregation - Section E '!F$10:F487,MATCH(C1368,' Disaggregation - Section E '!A$10:A487,0)+1,1)&lt;&gt;0,INDEX(' Disaggregation - Section E '!F$10:F487,MATCH(C1368,' Disaggregation - Section E '!A$10:A487,0)+1,1),""),"")</f>
        <v/>
      </c>
      <c r="I1368" s="171" t="str">
        <f ca="1">IFERROR(IF(VLOOKUP(C1368,' Disaggregation - Section E '!A$10:N487,8,0)=0,"",VLOOKUP(C1368,' Disaggregation - Section E '!A$10:N487,8,0)),"")</f>
        <v/>
      </c>
      <c r="J1368" s="171" t="str">
        <f ca="1">IFERROR(IF(VLOOKUP(C1368,' Disaggregation - Section E '!A$10:N487,13,0)=0,"",VLOOKUP(C1368,' Disaggregation - Section E '!A$10:N487,13,0)),"")</f>
        <v/>
      </c>
      <c r="K1368" s="166" t="str">
        <f ca="1">IFERROR(VLOOKUP(C1368,' Disaggregation - Section E '!A$10:N487,3,0),"")</f>
        <v/>
      </c>
      <c r="L1368" s="171" t="str">
        <f ca="1">IFERROR(IF(VLOOKUP(C1368,' Disaggregation - Section E '!A$10:N487,14,0)=0,"",VLOOKUP(C1368,' Disaggregation - Section E '!A$10:N487,14,0)),"")</f>
        <v/>
      </c>
      <c r="M1368" s="166" t="str">
        <f ca="1">IFERROR(IF(VLOOKUP(C1368,' Disaggregation - Section E '!A$10:T487,20,0)=0,"",VLOOKUP(C1368,' Disaggregation - Section E '!A$10:T487,20,0)),"")</f>
        <v/>
      </c>
      <c r="N1368" s="171" t="str">
        <f ca="1">IFERROR(IF(VLOOKUP(C1368,' Disaggregation - Section E '!A$10:N487,9,0)=0,"",VLOOKUP(C1368,' Disaggregation - Section E '!A$10:N487,9,0)),"")</f>
        <v/>
      </c>
      <c r="O1368" s="171" t="str">
        <f ca="1">IFERROR(IF(VLOOKUP(C1368,' Disaggregation - Section E '!A$10:N487,10,0)=0,"",VLOOKUP(C1368,' Disaggregation - Section E '!A$10:N487,10,0)),"")</f>
        <v/>
      </c>
    </row>
    <row r="1369" spans="1:15">
      <c r="A1369" s="166" t="b">
        <f t="shared" ca="1" si="142"/>
        <v>0</v>
      </c>
      <c r="B1369" s="166"/>
      <c r="C1369" s="172" t="str">
        <f ca="1">IF(COUNTA(D$1189:D1369)=1,"",OFFSET(B1369,-COUNTA(D$1189:D1369)+1,1))</f>
        <v>a1G3p000005dHaXEAU</v>
      </c>
      <c r="D1369" s="177"/>
      <c r="E1369" s="168" t="str">
        <f ca="1">IFERROR(IF(VLOOKUP(C1369,' Disaggregation - Section E '!A$10:J488,7,0)="","",VLOOKUP(C1369,' Disaggregation - Section E '!A$10:J488,7,0)*100),"")</f>
        <v/>
      </c>
      <c r="F1369" s="171" t="str">
        <f ca="1">IFERROR(IF(VLOOKUP(C1369,' Disaggregation - Section E '!A$10:N488,5,0)=0,"",VLOOKUP(C1369,' Disaggregation - Section E '!A$10:N488,5,0)),"")</f>
        <v/>
      </c>
      <c r="G1369" s="170" t="str">
        <f ca="1">IFERROR(IF(VLOOKUP(C1369,' Disaggregation - Section E '!A$10:N488,6,0)="","",VLOOKUP(C1369,' Disaggregation - Section E '!A$10:N488,6,0)),"")</f>
        <v/>
      </c>
      <c r="H1369" s="177" t="str">
        <f ca="1">IFERROR(IF(INDEX(' Disaggregation - Section E '!F$10:F488,MATCH(C1369,' Disaggregation - Section E '!A$10:A488,0)+1,1)&lt;&gt;0,INDEX(' Disaggregation - Section E '!F$10:F488,MATCH(C1369,' Disaggregation - Section E '!A$10:A488,0)+1,1),""),"")</f>
        <v/>
      </c>
      <c r="I1369" s="171" t="str">
        <f ca="1">IFERROR(IF(VLOOKUP(C1369,' Disaggregation - Section E '!A$10:N488,8,0)=0,"",VLOOKUP(C1369,' Disaggregation - Section E '!A$10:N488,8,0)),"")</f>
        <v/>
      </c>
      <c r="J1369" s="171" t="str">
        <f ca="1">IFERROR(IF(VLOOKUP(C1369,' Disaggregation - Section E '!A$10:N488,13,0)=0,"",VLOOKUP(C1369,' Disaggregation - Section E '!A$10:N488,13,0)),"")</f>
        <v/>
      </c>
      <c r="K1369" s="166" t="str">
        <f ca="1">IFERROR(VLOOKUP(C1369,' Disaggregation - Section E '!A$10:N488,3,0),"")</f>
        <v/>
      </c>
      <c r="L1369" s="171" t="str">
        <f ca="1">IFERROR(IF(VLOOKUP(C1369,' Disaggregation - Section E '!A$10:N488,14,0)=0,"",VLOOKUP(C1369,' Disaggregation - Section E '!A$10:N488,14,0)),"")</f>
        <v/>
      </c>
      <c r="M1369" s="166" t="str">
        <f ca="1">IFERROR(IF(VLOOKUP(C1369,' Disaggregation - Section E '!A$10:T488,20,0)=0,"",VLOOKUP(C1369,' Disaggregation - Section E '!A$10:T488,20,0)),"")</f>
        <v/>
      </c>
      <c r="N1369" s="171" t="str">
        <f ca="1">IFERROR(IF(VLOOKUP(C1369,' Disaggregation - Section E '!A$10:N488,9,0)=0,"",VLOOKUP(C1369,' Disaggregation - Section E '!A$10:N488,9,0)),"")</f>
        <v/>
      </c>
      <c r="O1369" s="171" t="str">
        <f ca="1">IFERROR(IF(VLOOKUP(C1369,' Disaggregation - Section E '!A$10:N488,10,0)=0,"",VLOOKUP(C1369,' Disaggregation - Section E '!A$10:N488,10,0)),"")</f>
        <v/>
      </c>
    </row>
    <row r="1370" spans="1:15">
      <c r="A1370" s="166" t="b">
        <f t="shared" ca="1" si="142"/>
        <v>0</v>
      </c>
      <c r="B1370" s="166"/>
      <c r="C1370" s="172" t="str">
        <f ca="1">IF(COUNTA(D$1189:D1370)=1,"",OFFSET(B1370,-COUNTA(D$1189:D1370)+1,1))</f>
        <v>a1G3p000005dHaYEAU</v>
      </c>
      <c r="D1370" s="177"/>
      <c r="E1370" s="168" t="str">
        <f ca="1">IFERROR(IF(VLOOKUP(C1370,' Disaggregation - Section E '!A$10:J489,7,0)="","",VLOOKUP(C1370,' Disaggregation - Section E '!A$10:J489,7,0)*100),"")</f>
        <v/>
      </c>
      <c r="F1370" s="171" t="str">
        <f ca="1">IFERROR(IF(VLOOKUP(C1370,' Disaggregation - Section E '!A$10:N489,5,0)=0,"",VLOOKUP(C1370,' Disaggregation - Section E '!A$10:N489,5,0)),"")</f>
        <v/>
      </c>
      <c r="G1370" s="170" t="str">
        <f ca="1">IFERROR(IF(VLOOKUP(C1370,' Disaggregation - Section E '!A$10:N489,6,0)="","",VLOOKUP(C1370,' Disaggregation - Section E '!A$10:N489,6,0)),"")</f>
        <v/>
      </c>
      <c r="H1370" s="177" t="str">
        <f ca="1">IFERROR(IF(INDEX(' Disaggregation - Section E '!F$10:F489,MATCH(C1370,' Disaggregation - Section E '!A$10:A489,0)+1,1)&lt;&gt;0,INDEX(' Disaggregation - Section E '!F$10:F489,MATCH(C1370,' Disaggregation - Section E '!A$10:A489,0)+1,1),""),"")</f>
        <v/>
      </c>
      <c r="I1370" s="171" t="str">
        <f ca="1">IFERROR(IF(VLOOKUP(C1370,' Disaggregation - Section E '!A$10:N489,8,0)=0,"",VLOOKUP(C1370,' Disaggregation - Section E '!A$10:N489,8,0)),"")</f>
        <v/>
      </c>
      <c r="J1370" s="171" t="str">
        <f ca="1">IFERROR(IF(VLOOKUP(C1370,' Disaggregation - Section E '!A$10:N489,13,0)=0,"",VLOOKUP(C1370,' Disaggregation - Section E '!A$10:N489,13,0)),"")</f>
        <v/>
      </c>
      <c r="K1370" s="166" t="str">
        <f ca="1">IFERROR(VLOOKUP(C1370,' Disaggregation - Section E '!A$10:N489,3,0),"")</f>
        <v/>
      </c>
      <c r="L1370" s="171" t="str">
        <f ca="1">IFERROR(IF(VLOOKUP(C1370,' Disaggregation - Section E '!A$10:N489,14,0)=0,"",VLOOKUP(C1370,' Disaggregation - Section E '!A$10:N489,14,0)),"")</f>
        <v/>
      </c>
      <c r="M1370" s="166" t="str">
        <f ca="1">IFERROR(IF(VLOOKUP(C1370,' Disaggregation - Section E '!A$10:T489,20,0)=0,"",VLOOKUP(C1370,' Disaggregation - Section E '!A$10:T489,20,0)),"")</f>
        <v/>
      </c>
      <c r="N1370" s="171" t="str">
        <f ca="1">IFERROR(IF(VLOOKUP(C1370,' Disaggregation - Section E '!A$10:N489,9,0)=0,"",VLOOKUP(C1370,' Disaggregation - Section E '!A$10:N489,9,0)),"")</f>
        <v/>
      </c>
      <c r="O1370" s="171" t="str">
        <f ca="1">IFERROR(IF(VLOOKUP(C1370,' Disaggregation - Section E '!A$10:N489,10,0)=0,"",VLOOKUP(C1370,' Disaggregation - Section E '!A$10:N489,10,0)),"")</f>
        <v/>
      </c>
    </row>
    <row r="1371" spans="1:15">
      <c r="A1371" s="166" t="b">
        <f t="shared" ca="1" si="142"/>
        <v>1</v>
      </c>
      <c r="B1371" s="166"/>
      <c r="C1371" s="172" t="str">
        <f ca="1">IF(COUNTA(D$1189:D1371)=1,"",OFFSET(B1371,-COUNTA(D$1189:D1371)+1,1))</f>
        <v>a1G3p000005dHaZEAU</v>
      </c>
      <c r="D1371" s="177"/>
      <c r="E1371" s="168" t="str">
        <f ca="1">IFERROR(IF(VLOOKUP(C1371,' Disaggregation - Section E '!A$10:J490,7,0)="","",VLOOKUP(C1371,' Disaggregation - Section E '!A$10:J490,7,0)*100),"")</f>
        <v/>
      </c>
      <c r="F1371" s="171" t="str">
        <f ca="1">IFERROR(IF(VLOOKUP(C1371,' Disaggregation - Section E '!A$10:N490,5,0)=0,"",VLOOKUP(C1371,' Disaggregation - Section E '!A$10:N490,5,0)),"")</f>
        <v>Transgénero</v>
      </c>
      <c r="G1371" s="170" t="str">
        <f ca="1">IFERROR(IF(VLOOKUP(C1371,' Disaggregation - Section E '!A$10:N490,6,0)="","",VLOOKUP(C1371,' Disaggregation - Section E '!A$10:N490,6,0)),"")</f>
        <v/>
      </c>
      <c r="H1371" s="177" t="str">
        <f ca="1">IFERROR(IF(INDEX(' Disaggregation - Section E '!F$10:F490,MATCH(C1371,' Disaggregation - Section E '!A$10:A490,0)+1,1)&lt;&gt;0,INDEX(' Disaggregation - Section E '!F$10:F490,MATCH(C1371,' Disaggregation - Section E '!A$10:A490,0)+1,1),""),"")</f>
        <v/>
      </c>
      <c r="I1371" s="171" t="str">
        <f ca="1">IFERROR(IF(VLOOKUP(C1371,' Disaggregation - Section E '!A$10:N490,8,0)=0,"",VLOOKUP(C1371,' Disaggregation - Section E '!A$10:N490,8,0)),"")</f>
        <v/>
      </c>
      <c r="J1371" s="171" t="str">
        <f ca="1">IFERROR(IF(VLOOKUP(C1371,' Disaggregation - Section E '!A$10:N490,13,0)=0,"",VLOOKUP(C1371,' Disaggregation - Section E '!A$10:N490,13,0)),"")</f>
        <v/>
      </c>
      <c r="K1371" s="166" t="str">
        <f ca="1">IFERROR(VLOOKUP(C1371,' Disaggregation - Section E '!A$10:N490,3,0),"")</f>
        <v>HIV I-10⁽ᴹ⁾ Porcentaje de trabajadores sexuales que viven con el VIH</v>
      </c>
      <c r="L1371" s="171" t="str">
        <f ca="1">IFERROR(IF(VLOOKUP(C1371,' Disaggregation - Section E '!A$10:N490,14,0)=0,"",VLOOKUP(C1371,' Disaggregation - Section E '!A$10:N490,14,0)),"")</f>
        <v/>
      </c>
      <c r="M1371" s="166" t="str">
        <f ca="1">IFERROR(IF(VLOOKUP(C1371,' Disaggregation - Section E '!A$10:T490,20,0)=0,"",VLOOKUP(C1371,' Disaggregation - Section E '!A$10:T490,20,0)),"")</f>
        <v>IDR-00776</v>
      </c>
      <c r="N1371" s="171" t="str">
        <f ca="1">IFERROR(IF(VLOOKUP(C1371,' Disaggregation - Section E '!A$10:N490,9,0)=0,"",VLOOKUP(C1371,' Disaggregation - Section E '!A$10:N490,9,0)),"")</f>
        <v/>
      </c>
      <c r="O1371" s="171" t="str">
        <f ca="1">IFERROR(IF(VLOOKUP(C1371,' Disaggregation - Section E '!A$10:N490,10,0)=0,"",VLOOKUP(C1371,' Disaggregation - Section E '!A$10:N490,10,0)),"")</f>
        <v/>
      </c>
    </row>
    <row r="1372" spans="1:15">
      <c r="A1372" s="166" t="b">
        <f t="shared" ca="1" si="142"/>
        <v>1</v>
      </c>
      <c r="B1372" s="166"/>
      <c r="C1372" s="172" t="str">
        <f ca="1">IF(COUNTA(D$1189:D1372)=1,"",OFFSET(B1372,-COUNTA(D$1189:D1372)+1,1))</f>
        <v>a1G3p000005dHaaEAE</v>
      </c>
      <c r="D1372" s="177"/>
      <c r="E1372" s="168" t="str">
        <f ca="1">IFERROR(IF(VLOOKUP(C1372,' Disaggregation - Section E '!A$10:J491,7,0)="","",VLOOKUP(C1372,' Disaggregation - Section E '!A$10:J491,7,0)*100),"")</f>
        <v/>
      </c>
      <c r="F1372" s="171" t="str">
        <f ca="1">IFERROR(IF(VLOOKUP(C1372,' Disaggregation - Section E '!A$10:N491,5,0)=0,"",VLOOKUP(C1372,' Disaggregation - Section E '!A$10:N491,5,0)),"")</f>
        <v>Mujeres</v>
      </c>
      <c r="G1372" s="170" t="str">
        <f ca="1">IFERROR(IF(VLOOKUP(C1372,' Disaggregation - Section E '!A$10:N491,6,0)="","",VLOOKUP(C1372,' Disaggregation - Section E '!A$10:N491,6,0)),"")</f>
        <v/>
      </c>
      <c r="H1372" s="177" t="str">
        <f ca="1">IFERROR(IF(INDEX(' Disaggregation - Section E '!F$10:F491,MATCH(C1372,' Disaggregation - Section E '!A$10:A491,0)+1,1)&lt;&gt;0,INDEX(' Disaggregation - Section E '!F$10:F491,MATCH(C1372,' Disaggregation - Section E '!A$10:A491,0)+1,1),""),"")</f>
        <v/>
      </c>
      <c r="I1372" s="171" t="str">
        <f ca="1">IFERROR(IF(VLOOKUP(C1372,' Disaggregation - Section E '!A$10:N491,8,0)=0,"",VLOOKUP(C1372,' Disaggregation - Section E '!A$10:N491,8,0)),"")</f>
        <v/>
      </c>
      <c r="J1372" s="171" t="str">
        <f ca="1">IFERROR(IF(VLOOKUP(C1372,' Disaggregation - Section E '!A$10:N491,13,0)=0,"",VLOOKUP(C1372,' Disaggregation - Section E '!A$10:N491,13,0)),"")</f>
        <v/>
      </c>
      <c r="K1372" s="166" t="str">
        <f ca="1">IFERROR(VLOOKUP(C1372,' Disaggregation - Section E '!A$10:N491,3,0),"")</f>
        <v>HIV I-10⁽ᴹ⁾ Porcentaje de trabajadores sexuales que viven con el VIH</v>
      </c>
      <c r="L1372" s="171" t="str">
        <f ca="1">IFERROR(IF(VLOOKUP(C1372,' Disaggregation - Section E '!A$10:N491,14,0)=0,"",VLOOKUP(C1372,' Disaggregation - Section E '!A$10:N491,14,0)),"")</f>
        <v/>
      </c>
      <c r="M1372" s="166" t="str">
        <f ca="1">IFERROR(IF(VLOOKUP(C1372,' Disaggregation - Section E '!A$10:T491,20,0)=0,"",VLOOKUP(C1372,' Disaggregation - Section E '!A$10:T491,20,0)),"")</f>
        <v>IDR-00775</v>
      </c>
      <c r="N1372" s="171" t="str">
        <f ca="1">IFERROR(IF(VLOOKUP(C1372,' Disaggregation - Section E '!A$10:N491,9,0)=0,"",VLOOKUP(C1372,' Disaggregation - Section E '!A$10:N491,9,0)),"")</f>
        <v/>
      </c>
      <c r="O1372" s="171" t="str">
        <f ca="1">IFERROR(IF(VLOOKUP(C1372,' Disaggregation - Section E '!A$10:N491,10,0)=0,"",VLOOKUP(C1372,' Disaggregation - Section E '!A$10:N491,10,0)),"")</f>
        <v/>
      </c>
    </row>
    <row r="1373" spans="1:15">
      <c r="A1373" s="166" t="b">
        <f t="shared" ca="1" si="142"/>
        <v>1</v>
      </c>
      <c r="B1373" s="166"/>
      <c r="C1373" s="172" t="str">
        <f ca="1">IF(COUNTA(D$1189:D1373)=1,"",OFFSET(B1373,-COUNTA(D$1189:D1373)+1,1))</f>
        <v>a1G3p000005dHabEAE</v>
      </c>
      <c r="D1373" s="177"/>
      <c r="E1373" s="168" t="str">
        <f ca="1">IFERROR(IF(VLOOKUP(C1373,' Disaggregation - Section E '!A$10:J492,7,0)="","",VLOOKUP(C1373,' Disaggregation - Section E '!A$10:J492,7,0)*100),"")</f>
        <v/>
      </c>
      <c r="F1373" s="171" t="str">
        <f ca="1">IFERROR(IF(VLOOKUP(C1373,' Disaggregation - Section E '!A$10:N492,5,0)=0,"",VLOOKUP(C1373,' Disaggregation - Section E '!A$10:N492,5,0)),"")</f>
        <v>Hombres</v>
      </c>
      <c r="G1373" s="170" t="str">
        <f ca="1">IFERROR(IF(VLOOKUP(C1373,' Disaggregation - Section E '!A$10:N492,6,0)="","",VLOOKUP(C1373,' Disaggregation - Section E '!A$10:N492,6,0)),"")</f>
        <v/>
      </c>
      <c r="H1373" s="177" t="str">
        <f ca="1">IFERROR(IF(INDEX(' Disaggregation - Section E '!F$10:F492,MATCH(C1373,' Disaggregation - Section E '!A$10:A492,0)+1,1)&lt;&gt;0,INDEX(' Disaggregation - Section E '!F$10:F492,MATCH(C1373,' Disaggregation - Section E '!A$10:A492,0)+1,1),""),"")</f>
        <v/>
      </c>
      <c r="I1373" s="171" t="str">
        <f ca="1">IFERROR(IF(VLOOKUP(C1373,' Disaggregation - Section E '!A$10:N492,8,0)=0,"",VLOOKUP(C1373,' Disaggregation - Section E '!A$10:N492,8,0)),"")</f>
        <v/>
      </c>
      <c r="J1373" s="171" t="str">
        <f ca="1">IFERROR(IF(VLOOKUP(C1373,' Disaggregation - Section E '!A$10:N492,13,0)=0,"",VLOOKUP(C1373,' Disaggregation - Section E '!A$10:N492,13,0)),"")</f>
        <v/>
      </c>
      <c r="K1373" s="166" t="str">
        <f ca="1">IFERROR(VLOOKUP(C1373,' Disaggregation - Section E '!A$10:N492,3,0),"")</f>
        <v>HIV I-10⁽ᴹ⁾ Porcentaje de trabajadores sexuales que viven con el VIH</v>
      </c>
      <c r="L1373" s="171" t="str">
        <f ca="1">IFERROR(IF(VLOOKUP(C1373,' Disaggregation - Section E '!A$10:N492,14,0)=0,"",VLOOKUP(C1373,' Disaggregation - Section E '!A$10:N492,14,0)),"")</f>
        <v/>
      </c>
      <c r="M1373" s="166" t="str">
        <f ca="1">IFERROR(IF(VLOOKUP(C1373,' Disaggregation - Section E '!A$10:T492,20,0)=0,"",VLOOKUP(C1373,' Disaggregation - Section E '!A$10:T492,20,0)),"")</f>
        <v>IDR-00774</v>
      </c>
      <c r="N1373" s="171" t="str">
        <f ca="1">IFERROR(IF(VLOOKUP(C1373,' Disaggregation - Section E '!A$10:N492,9,0)=0,"",VLOOKUP(C1373,' Disaggregation - Section E '!A$10:N492,9,0)),"")</f>
        <v/>
      </c>
      <c r="O1373" s="171" t="str">
        <f ca="1">IFERROR(IF(VLOOKUP(C1373,' Disaggregation - Section E '!A$10:N492,10,0)=0,"",VLOOKUP(C1373,' Disaggregation - Section E '!A$10:N492,10,0)),"")</f>
        <v/>
      </c>
    </row>
    <row r="1374" spans="1:15">
      <c r="A1374" s="166" t="b">
        <f t="shared" ca="1" si="142"/>
        <v>1</v>
      </c>
      <c r="B1374" s="166"/>
      <c r="C1374" s="172" t="str">
        <f ca="1">IF(COUNTA(D$1189:D1374)=1,"",OFFSET(B1374,-COUNTA(D$1189:D1374)+1,1))</f>
        <v>a1G3p000005dHacEAE</v>
      </c>
      <c r="D1374" s="177"/>
      <c r="E1374" s="168" t="str">
        <f ca="1">IFERROR(IF(VLOOKUP(C1374,' Disaggregation - Section E '!A$10:J493,7,0)="","",VLOOKUP(C1374,' Disaggregation - Section E '!A$10:J493,7,0)*100),"")</f>
        <v/>
      </c>
      <c r="F1374" s="171" t="str">
        <f ca="1">IFERROR(IF(VLOOKUP(C1374,' Disaggregation - Section E '!A$10:N493,5,0)=0,"",VLOOKUP(C1374,' Disaggregation - Section E '!A$10:N493,5,0)),"")</f>
        <v>25+</v>
      </c>
      <c r="G1374" s="170" t="str">
        <f ca="1">IFERROR(IF(VLOOKUP(C1374,' Disaggregation - Section E '!A$10:N493,6,0)="","",VLOOKUP(C1374,' Disaggregation - Section E '!A$10:N493,6,0)),"")</f>
        <v/>
      </c>
      <c r="H1374" s="177" t="str">
        <f ca="1">IFERROR(IF(INDEX(' Disaggregation - Section E '!F$10:F493,MATCH(C1374,' Disaggregation - Section E '!A$10:A493,0)+1,1)&lt;&gt;0,INDEX(' Disaggregation - Section E '!F$10:F493,MATCH(C1374,' Disaggregation - Section E '!A$10:A493,0)+1,1),""),"")</f>
        <v/>
      </c>
      <c r="I1374" s="171" t="str">
        <f ca="1">IFERROR(IF(VLOOKUP(C1374,' Disaggregation - Section E '!A$10:N493,8,0)=0,"",VLOOKUP(C1374,' Disaggregation - Section E '!A$10:N493,8,0)),"")</f>
        <v/>
      </c>
      <c r="J1374" s="171" t="str">
        <f ca="1">IFERROR(IF(VLOOKUP(C1374,' Disaggregation - Section E '!A$10:N493,13,0)=0,"",VLOOKUP(C1374,' Disaggregation - Section E '!A$10:N493,13,0)),"")</f>
        <v/>
      </c>
      <c r="K1374" s="166" t="str">
        <f ca="1">IFERROR(VLOOKUP(C1374,' Disaggregation - Section E '!A$10:N493,3,0),"")</f>
        <v>HIV I-10⁽ᴹ⁾ Porcentaje de trabajadores sexuales que viven con el VIH</v>
      </c>
      <c r="L1374" s="171" t="str">
        <f ca="1">IFERROR(IF(VLOOKUP(C1374,' Disaggregation - Section E '!A$10:N493,14,0)=0,"",VLOOKUP(C1374,' Disaggregation - Section E '!A$10:N493,14,0)),"")</f>
        <v/>
      </c>
      <c r="M1374" s="166" t="str">
        <f ca="1">IFERROR(IF(VLOOKUP(C1374,' Disaggregation - Section E '!A$10:T493,20,0)=0,"",VLOOKUP(C1374,' Disaggregation - Section E '!A$10:T493,20,0)),"")</f>
        <v>IDR-00661</v>
      </c>
      <c r="N1374" s="171" t="str">
        <f ca="1">IFERROR(IF(VLOOKUP(C1374,' Disaggregation - Section E '!A$10:N493,9,0)=0,"",VLOOKUP(C1374,' Disaggregation - Section E '!A$10:N493,9,0)),"")</f>
        <v/>
      </c>
      <c r="O1374" s="171" t="str">
        <f ca="1">IFERROR(IF(VLOOKUP(C1374,' Disaggregation - Section E '!A$10:N493,10,0)=0,"",VLOOKUP(C1374,' Disaggregation - Section E '!A$10:N493,10,0)),"")</f>
        <v/>
      </c>
    </row>
    <row r="1375" spans="1:15">
      <c r="A1375" s="166" t="b">
        <f t="shared" ca="1" si="142"/>
        <v>1</v>
      </c>
      <c r="B1375" s="166"/>
      <c r="C1375" s="172" t="str">
        <f ca="1">IF(COUNTA(D$1189:D1375)=1,"",OFFSET(B1375,-COUNTA(D$1189:D1375)+1,1))</f>
        <v>a1G3p000005dHadEAE</v>
      </c>
      <c r="D1375" s="177"/>
      <c r="E1375" s="168" t="str">
        <f ca="1">IFERROR(IF(VLOOKUP(C1375,' Disaggregation - Section E '!A$10:J494,7,0)="","",VLOOKUP(C1375,' Disaggregation - Section E '!A$10:J494,7,0)*100),"")</f>
        <v/>
      </c>
      <c r="F1375" s="171" t="str">
        <f ca="1">IFERROR(IF(VLOOKUP(C1375,' Disaggregation - Section E '!A$10:N494,5,0)=0,"",VLOOKUP(C1375,' Disaggregation - Section E '!A$10:N494,5,0)),"")</f>
        <v>&lt;25</v>
      </c>
      <c r="G1375" s="170" t="str">
        <f ca="1">IFERROR(IF(VLOOKUP(C1375,' Disaggregation - Section E '!A$10:N494,6,0)="","",VLOOKUP(C1375,' Disaggregation - Section E '!A$10:N494,6,0)),"")</f>
        <v/>
      </c>
      <c r="H1375" s="177" t="str">
        <f ca="1">IFERROR(IF(INDEX(' Disaggregation - Section E '!F$10:F494,MATCH(C1375,' Disaggregation - Section E '!A$10:A494,0)+1,1)&lt;&gt;0,INDEX(' Disaggregation - Section E '!F$10:F494,MATCH(C1375,' Disaggregation - Section E '!A$10:A494,0)+1,1),""),"")</f>
        <v/>
      </c>
      <c r="I1375" s="171" t="str">
        <f ca="1">IFERROR(IF(VLOOKUP(C1375,' Disaggregation - Section E '!A$10:N494,8,0)=0,"",VLOOKUP(C1375,' Disaggregation - Section E '!A$10:N494,8,0)),"")</f>
        <v/>
      </c>
      <c r="J1375" s="171" t="str">
        <f ca="1">IFERROR(IF(VLOOKUP(C1375,' Disaggregation - Section E '!A$10:N494,13,0)=0,"",VLOOKUP(C1375,' Disaggregation - Section E '!A$10:N494,13,0)),"")</f>
        <v/>
      </c>
      <c r="K1375" s="166" t="str">
        <f ca="1">IFERROR(VLOOKUP(C1375,' Disaggregation - Section E '!A$10:N494,3,0),"")</f>
        <v>HIV I-10⁽ᴹ⁾ Porcentaje de trabajadores sexuales que viven con el VIH</v>
      </c>
      <c r="L1375" s="171" t="str">
        <f ca="1">IFERROR(IF(VLOOKUP(C1375,' Disaggregation - Section E '!A$10:N494,14,0)=0,"",VLOOKUP(C1375,' Disaggregation - Section E '!A$10:N494,14,0)),"")</f>
        <v/>
      </c>
      <c r="M1375" s="166" t="str">
        <f ca="1">IFERROR(IF(VLOOKUP(C1375,' Disaggregation - Section E '!A$10:T494,20,0)=0,"",VLOOKUP(C1375,' Disaggregation - Section E '!A$10:T494,20,0)),"")</f>
        <v>IDR-00660</v>
      </c>
      <c r="N1375" s="171" t="str">
        <f ca="1">IFERROR(IF(VLOOKUP(C1375,' Disaggregation - Section E '!A$10:N494,9,0)=0,"",VLOOKUP(C1375,' Disaggregation - Section E '!A$10:N494,9,0)),"")</f>
        <v/>
      </c>
      <c r="O1375" s="171" t="str">
        <f ca="1">IFERROR(IF(VLOOKUP(C1375,' Disaggregation - Section E '!A$10:N494,10,0)=0,"",VLOOKUP(C1375,' Disaggregation - Section E '!A$10:N494,10,0)),"")</f>
        <v/>
      </c>
    </row>
    <row r="1376" spans="1:15">
      <c r="A1376" s="166" t="b">
        <f t="shared" ca="1" si="142"/>
        <v>0</v>
      </c>
      <c r="B1376" s="166"/>
      <c r="C1376" s="172" t="str">
        <f ca="1">IF(COUNTA(D$1189:D1376)=1,"",OFFSET(B1376,-COUNTA(D$1189:D1376)+1,1))</f>
        <v>a1G3p000005dHaeEAE</v>
      </c>
      <c r="D1376" s="177"/>
      <c r="E1376" s="168" t="str">
        <f ca="1">IFERROR(IF(VLOOKUP(C1376,' Disaggregation - Section E '!A$10:J495,7,0)="","",VLOOKUP(C1376,' Disaggregation - Section E '!A$10:J495,7,0)*100),"")</f>
        <v/>
      </c>
      <c r="F1376" s="171" t="str">
        <f ca="1">IFERROR(IF(VLOOKUP(C1376,' Disaggregation - Section E '!A$10:N495,5,0)=0,"",VLOOKUP(C1376,' Disaggregation - Section E '!A$10:N495,5,0)),"")</f>
        <v/>
      </c>
      <c r="G1376" s="170" t="str">
        <f ca="1">IFERROR(IF(VLOOKUP(C1376,' Disaggregation - Section E '!A$10:N495,6,0)="","",VLOOKUP(C1376,' Disaggregation - Section E '!A$10:N495,6,0)),"")</f>
        <v/>
      </c>
      <c r="H1376" s="177" t="str">
        <f ca="1">IFERROR(IF(INDEX(' Disaggregation - Section E '!F$10:F495,MATCH(C1376,' Disaggregation - Section E '!A$10:A495,0)+1,1)&lt;&gt;0,INDEX(' Disaggregation - Section E '!F$10:F495,MATCH(C1376,' Disaggregation - Section E '!A$10:A495,0)+1,1),""),"")</f>
        <v/>
      </c>
      <c r="I1376" s="171" t="str">
        <f ca="1">IFERROR(IF(VLOOKUP(C1376,' Disaggregation - Section E '!A$10:N495,8,0)=0,"",VLOOKUP(C1376,' Disaggregation - Section E '!A$10:N495,8,0)),"")</f>
        <v/>
      </c>
      <c r="J1376" s="171" t="str">
        <f ca="1">IFERROR(IF(VLOOKUP(C1376,' Disaggregation - Section E '!A$10:N495,13,0)=0,"",VLOOKUP(C1376,' Disaggregation - Section E '!A$10:N495,13,0)),"")</f>
        <v/>
      </c>
      <c r="K1376" s="166" t="str">
        <f ca="1">IFERROR(VLOOKUP(C1376,' Disaggregation - Section E '!A$10:N495,3,0),"")</f>
        <v>HIV I-10⁽ᴹ⁾ Porcentaje de trabajadores sexuales que viven con el VIH</v>
      </c>
      <c r="L1376" s="171" t="str">
        <f ca="1">IFERROR(IF(VLOOKUP(C1376,' Disaggregation - Section E '!A$10:N495,14,0)=0,"",VLOOKUP(C1376,' Disaggregation - Section E '!A$10:N495,14,0)),"")</f>
        <v/>
      </c>
      <c r="M1376" s="166" t="str">
        <f ca="1">IFERROR(IF(VLOOKUP(C1376,' Disaggregation - Section E '!A$10:T495,20,0)=0,"",VLOOKUP(C1376,' Disaggregation - Section E '!A$10:T495,20,0)),"")</f>
        <v/>
      </c>
      <c r="N1376" s="171" t="str">
        <f ca="1">IFERROR(IF(VLOOKUP(C1376,' Disaggregation - Section E '!A$10:N495,9,0)=0,"",VLOOKUP(C1376,' Disaggregation - Section E '!A$10:N495,9,0)),"")</f>
        <v/>
      </c>
      <c r="O1376" s="171" t="str">
        <f ca="1">IFERROR(IF(VLOOKUP(C1376,' Disaggregation - Section E '!A$10:N495,10,0)=0,"",VLOOKUP(C1376,' Disaggregation - Section E '!A$10:N495,10,0)),"")</f>
        <v/>
      </c>
    </row>
    <row r="1377" spans="1:15">
      <c r="A1377" s="166" t="b">
        <f t="shared" ca="1" si="142"/>
        <v>0</v>
      </c>
      <c r="B1377" s="166"/>
      <c r="C1377" s="172" t="str">
        <f ca="1">IF(COUNTA(D$1189:D1377)=1,"",OFFSET(B1377,-COUNTA(D$1189:D1377)+1,1))</f>
        <v>a1G3p000005dHafEAE</v>
      </c>
      <c r="D1377" s="177"/>
      <c r="E1377" s="168" t="str">
        <f ca="1">IFERROR(IF(VLOOKUP(C1377,' Disaggregation - Section E '!A$10:J496,7,0)="","",VLOOKUP(C1377,' Disaggregation - Section E '!A$10:J496,7,0)*100),"")</f>
        <v/>
      </c>
      <c r="F1377" s="171" t="str">
        <f ca="1">IFERROR(IF(VLOOKUP(C1377,' Disaggregation - Section E '!A$10:N496,5,0)=0,"",VLOOKUP(C1377,' Disaggregation - Section E '!A$10:N496,5,0)),"")</f>
        <v/>
      </c>
      <c r="G1377" s="170" t="str">
        <f ca="1">IFERROR(IF(VLOOKUP(C1377,' Disaggregation - Section E '!A$10:N496,6,0)="","",VLOOKUP(C1377,' Disaggregation - Section E '!A$10:N496,6,0)),"")</f>
        <v/>
      </c>
      <c r="H1377" s="177" t="str">
        <f ca="1">IFERROR(IF(INDEX(' Disaggregation - Section E '!F$10:F496,MATCH(C1377,' Disaggregation - Section E '!A$10:A496,0)+1,1)&lt;&gt;0,INDEX(' Disaggregation - Section E '!F$10:F496,MATCH(C1377,' Disaggregation - Section E '!A$10:A496,0)+1,1),""),"")</f>
        <v/>
      </c>
      <c r="I1377" s="171" t="str">
        <f ca="1">IFERROR(IF(VLOOKUP(C1377,' Disaggregation - Section E '!A$10:N496,8,0)=0,"",VLOOKUP(C1377,' Disaggregation - Section E '!A$10:N496,8,0)),"")</f>
        <v/>
      </c>
      <c r="J1377" s="171" t="str">
        <f ca="1">IFERROR(IF(VLOOKUP(C1377,' Disaggregation - Section E '!A$10:N496,13,0)=0,"",VLOOKUP(C1377,' Disaggregation - Section E '!A$10:N496,13,0)),"")</f>
        <v/>
      </c>
      <c r="K1377" s="166" t="str">
        <f ca="1">IFERROR(VLOOKUP(C1377,' Disaggregation - Section E '!A$10:N496,3,0),"")</f>
        <v>HIV I-10⁽ᴹ⁾ Porcentaje de trabajadores sexuales que viven con el VIH</v>
      </c>
      <c r="L1377" s="171" t="str">
        <f ca="1">IFERROR(IF(VLOOKUP(C1377,' Disaggregation - Section E '!A$10:N496,14,0)=0,"",VLOOKUP(C1377,' Disaggregation - Section E '!A$10:N496,14,0)),"")</f>
        <v/>
      </c>
      <c r="M1377" s="166" t="str">
        <f ca="1">IFERROR(IF(VLOOKUP(C1377,' Disaggregation - Section E '!A$10:T496,20,0)=0,"",VLOOKUP(C1377,' Disaggregation - Section E '!A$10:T496,20,0)),"")</f>
        <v/>
      </c>
      <c r="N1377" s="171" t="str">
        <f ca="1">IFERROR(IF(VLOOKUP(C1377,' Disaggregation - Section E '!A$10:N496,9,0)=0,"",VLOOKUP(C1377,' Disaggregation - Section E '!A$10:N496,9,0)),"")</f>
        <v/>
      </c>
      <c r="O1377" s="171" t="str">
        <f ca="1">IFERROR(IF(VLOOKUP(C1377,' Disaggregation - Section E '!A$10:N496,10,0)=0,"",VLOOKUP(C1377,' Disaggregation - Section E '!A$10:N496,10,0)),"")</f>
        <v/>
      </c>
    </row>
    <row r="1378" spans="1:15">
      <c r="A1378" s="166" t="b">
        <f t="shared" ca="1" si="142"/>
        <v>0</v>
      </c>
      <c r="B1378" s="166"/>
      <c r="C1378" s="172" t="str">
        <f ca="1">IF(COUNTA(D$1189:D1378)=1,"",OFFSET(B1378,-COUNTA(D$1189:D1378)+1,1))</f>
        <v>a1G3p000005dHagEAE</v>
      </c>
      <c r="D1378" s="177"/>
      <c r="E1378" s="168" t="str">
        <f ca="1">IFERROR(IF(VLOOKUP(C1378,' Disaggregation - Section E '!A$10:J497,7,0)="","",VLOOKUP(C1378,' Disaggregation - Section E '!A$10:J497,7,0)*100),"")</f>
        <v/>
      </c>
      <c r="F1378" s="171" t="str">
        <f ca="1">IFERROR(IF(VLOOKUP(C1378,' Disaggregation - Section E '!A$10:N497,5,0)=0,"",VLOOKUP(C1378,' Disaggregation - Section E '!A$10:N497,5,0)),"")</f>
        <v/>
      </c>
      <c r="G1378" s="170" t="str">
        <f ca="1">IFERROR(IF(VLOOKUP(C1378,' Disaggregation - Section E '!A$10:N497,6,0)="","",VLOOKUP(C1378,' Disaggregation - Section E '!A$10:N497,6,0)),"")</f>
        <v/>
      </c>
      <c r="H1378" s="177" t="str">
        <f ca="1">IFERROR(IF(INDEX(' Disaggregation - Section E '!F$10:F497,MATCH(C1378,' Disaggregation - Section E '!A$10:A497,0)+1,1)&lt;&gt;0,INDEX(' Disaggregation - Section E '!F$10:F497,MATCH(C1378,' Disaggregation - Section E '!A$10:A497,0)+1,1),""),"")</f>
        <v/>
      </c>
      <c r="I1378" s="171" t="str">
        <f ca="1">IFERROR(IF(VLOOKUP(C1378,' Disaggregation - Section E '!A$10:N497,8,0)=0,"",VLOOKUP(C1378,' Disaggregation - Section E '!A$10:N497,8,0)),"")</f>
        <v/>
      </c>
      <c r="J1378" s="171" t="str">
        <f ca="1">IFERROR(IF(VLOOKUP(C1378,' Disaggregation - Section E '!A$10:N497,13,0)=0,"",VLOOKUP(C1378,' Disaggregation - Section E '!A$10:N497,13,0)),"")</f>
        <v/>
      </c>
      <c r="K1378" s="166" t="str">
        <f ca="1">IFERROR(VLOOKUP(C1378,' Disaggregation - Section E '!A$10:N497,3,0),"")</f>
        <v>HIV I-10⁽ᴹ⁾ Porcentaje de trabajadores sexuales que viven con el VIH</v>
      </c>
      <c r="L1378" s="171" t="str">
        <f ca="1">IFERROR(IF(VLOOKUP(C1378,' Disaggregation - Section E '!A$10:N497,14,0)=0,"",VLOOKUP(C1378,' Disaggregation - Section E '!A$10:N497,14,0)),"")</f>
        <v/>
      </c>
      <c r="M1378" s="166" t="str">
        <f ca="1">IFERROR(IF(VLOOKUP(C1378,' Disaggregation - Section E '!A$10:T497,20,0)=0,"",VLOOKUP(C1378,' Disaggregation - Section E '!A$10:T497,20,0)),"")</f>
        <v/>
      </c>
      <c r="N1378" s="171" t="str">
        <f ca="1">IFERROR(IF(VLOOKUP(C1378,' Disaggregation - Section E '!A$10:N497,9,0)=0,"",VLOOKUP(C1378,' Disaggregation - Section E '!A$10:N497,9,0)),"")</f>
        <v/>
      </c>
      <c r="O1378" s="171" t="str">
        <f ca="1">IFERROR(IF(VLOOKUP(C1378,' Disaggregation - Section E '!A$10:N497,10,0)=0,"",VLOOKUP(C1378,' Disaggregation - Section E '!A$10:N497,10,0)),"")</f>
        <v/>
      </c>
    </row>
    <row r="1379" spans="1:15">
      <c r="A1379" s="166" t="b">
        <f t="shared" ca="1" si="142"/>
        <v>0</v>
      </c>
      <c r="B1379" s="166"/>
      <c r="C1379" s="172" t="str">
        <f ca="1">IF(COUNTA(D$1189:D1379)=1,"",OFFSET(B1379,-COUNTA(D$1189:D1379)+1,1))</f>
        <v>a1G3p000005dHahEAE</v>
      </c>
      <c r="D1379" s="177"/>
      <c r="E1379" s="168" t="str">
        <f ca="1">IFERROR(IF(VLOOKUP(C1379,' Disaggregation - Section E '!A$10:J498,7,0)="","",VLOOKUP(C1379,' Disaggregation - Section E '!A$10:J498,7,0)*100),"")</f>
        <v/>
      </c>
      <c r="F1379" s="171" t="str">
        <f ca="1">IFERROR(IF(VLOOKUP(C1379,' Disaggregation - Section E '!A$10:N498,5,0)=0,"",VLOOKUP(C1379,' Disaggregation - Section E '!A$10:N498,5,0)),"")</f>
        <v/>
      </c>
      <c r="G1379" s="170" t="str">
        <f ca="1">IFERROR(IF(VLOOKUP(C1379,' Disaggregation - Section E '!A$10:N498,6,0)="","",VLOOKUP(C1379,' Disaggregation - Section E '!A$10:N498,6,0)),"")</f>
        <v/>
      </c>
      <c r="H1379" s="177" t="str">
        <f ca="1">IFERROR(IF(INDEX(' Disaggregation - Section E '!F$10:F498,MATCH(C1379,' Disaggregation - Section E '!A$10:A498,0)+1,1)&lt;&gt;0,INDEX(' Disaggregation - Section E '!F$10:F498,MATCH(C1379,' Disaggregation - Section E '!A$10:A498,0)+1,1),""),"")</f>
        <v/>
      </c>
      <c r="I1379" s="171" t="str">
        <f ca="1">IFERROR(IF(VLOOKUP(C1379,' Disaggregation - Section E '!A$10:N498,8,0)=0,"",VLOOKUP(C1379,' Disaggregation - Section E '!A$10:N498,8,0)),"")</f>
        <v/>
      </c>
      <c r="J1379" s="171" t="str">
        <f ca="1">IFERROR(IF(VLOOKUP(C1379,' Disaggregation - Section E '!A$10:N498,13,0)=0,"",VLOOKUP(C1379,' Disaggregation - Section E '!A$10:N498,13,0)),"")</f>
        <v/>
      </c>
      <c r="K1379" s="166" t="str">
        <f ca="1">IFERROR(VLOOKUP(C1379,' Disaggregation - Section E '!A$10:N498,3,0),"")</f>
        <v>HIV I-10⁽ᴹ⁾ Porcentaje de trabajadores sexuales que viven con el VIH</v>
      </c>
      <c r="L1379" s="171" t="str">
        <f ca="1">IFERROR(IF(VLOOKUP(C1379,' Disaggregation - Section E '!A$10:N498,14,0)=0,"",VLOOKUP(C1379,' Disaggregation - Section E '!A$10:N498,14,0)),"")</f>
        <v/>
      </c>
      <c r="M1379" s="166" t="str">
        <f ca="1">IFERROR(IF(VLOOKUP(C1379,' Disaggregation - Section E '!A$10:T498,20,0)=0,"",VLOOKUP(C1379,' Disaggregation - Section E '!A$10:T498,20,0)),"")</f>
        <v/>
      </c>
      <c r="N1379" s="171" t="str">
        <f ca="1">IFERROR(IF(VLOOKUP(C1379,' Disaggregation - Section E '!A$10:N498,9,0)=0,"",VLOOKUP(C1379,' Disaggregation - Section E '!A$10:N498,9,0)),"")</f>
        <v/>
      </c>
      <c r="O1379" s="171" t="str">
        <f ca="1">IFERROR(IF(VLOOKUP(C1379,' Disaggregation - Section E '!A$10:N498,10,0)=0,"",VLOOKUP(C1379,' Disaggregation - Section E '!A$10:N498,10,0)),"")</f>
        <v/>
      </c>
    </row>
    <row r="1380" spans="1:15">
      <c r="A1380" s="166" t="b">
        <f t="shared" ca="1" si="142"/>
        <v>0</v>
      </c>
      <c r="B1380" s="166"/>
      <c r="C1380" s="172" t="str">
        <f ca="1">IF(COUNTA(D$1189:D1380)=1,"",OFFSET(B1380,-COUNTA(D$1189:D1380)+1,1))</f>
        <v>a1G3p000005dHaiEAE</v>
      </c>
      <c r="D1380" s="177"/>
      <c r="E1380" s="168" t="str">
        <f ca="1">IFERROR(IF(VLOOKUP(C1380,' Disaggregation - Section E '!A$10:J499,7,0)="","",VLOOKUP(C1380,' Disaggregation - Section E '!A$10:J499,7,0)*100),"")</f>
        <v/>
      </c>
      <c r="F1380" s="171" t="str">
        <f ca="1">IFERROR(IF(VLOOKUP(C1380,' Disaggregation - Section E '!A$10:N499,5,0)=0,"",VLOOKUP(C1380,' Disaggregation - Section E '!A$10:N499,5,0)),"")</f>
        <v/>
      </c>
      <c r="G1380" s="170" t="str">
        <f ca="1">IFERROR(IF(VLOOKUP(C1380,' Disaggregation - Section E '!A$10:N499,6,0)="","",VLOOKUP(C1380,' Disaggregation - Section E '!A$10:N499,6,0)),"")</f>
        <v/>
      </c>
      <c r="H1380" s="177" t="str">
        <f ca="1">IFERROR(IF(INDEX(' Disaggregation - Section E '!F$10:F499,MATCH(C1380,' Disaggregation - Section E '!A$10:A499,0)+1,1)&lt;&gt;0,INDEX(' Disaggregation - Section E '!F$10:F499,MATCH(C1380,' Disaggregation - Section E '!A$10:A499,0)+1,1),""),"")</f>
        <v/>
      </c>
      <c r="I1380" s="171" t="str">
        <f ca="1">IFERROR(IF(VLOOKUP(C1380,' Disaggregation - Section E '!A$10:N499,8,0)=0,"",VLOOKUP(C1380,' Disaggregation - Section E '!A$10:N499,8,0)),"")</f>
        <v/>
      </c>
      <c r="J1380" s="171" t="str">
        <f ca="1">IFERROR(IF(VLOOKUP(C1380,' Disaggregation - Section E '!A$10:N499,13,0)=0,"",VLOOKUP(C1380,' Disaggregation - Section E '!A$10:N499,13,0)),"")</f>
        <v/>
      </c>
      <c r="K1380" s="166" t="str">
        <f ca="1">IFERROR(VLOOKUP(C1380,' Disaggregation - Section E '!A$10:N499,3,0),"")</f>
        <v>HIV I-10⁽ᴹ⁾ Porcentaje de trabajadores sexuales que viven con el VIH</v>
      </c>
      <c r="L1380" s="171" t="str">
        <f ca="1">IFERROR(IF(VLOOKUP(C1380,' Disaggregation - Section E '!A$10:N499,14,0)=0,"",VLOOKUP(C1380,' Disaggregation - Section E '!A$10:N499,14,0)),"")</f>
        <v/>
      </c>
      <c r="M1380" s="166" t="str">
        <f ca="1">IFERROR(IF(VLOOKUP(C1380,' Disaggregation - Section E '!A$10:T499,20,0)=0,"",VLOOKUP(C1380,' Disaggregation - Section E '!A$10:T499,20,0)),"")</f>
        <v/>
      </c>
      <c r="N1380" s="171" t="str">
        <f ca="1">IFERROR(IF(VLOOKUP(C1380,' Disaggregation - Section E '!A$10:N499,9,0)=0,"",VLOOKUP(C1380,' Disaggregation - Section E '!A$10:N499,9,0)),"")</f>
        <v/>
      </c>
      <c r="O1380" s="171" t="str">
        <f ca="1">IFERROR(IF(VLOOKUP(C1380,' Disaggregation - Section E '!A$10:N499,10,0)=0,"",VLOOKUP(C1380,' Disaggregation - Section E '!A$10:N499,10,0)),"")</f>
        <v/>
      </c>
    </row>
    <row r="1381" spans="1:15">
      <c r="A1381" s="166" t="b">
        <f t="shared" ca="1" si="142"/>
        <v>0</v>
      </c>
      <c r="B1381" s="166"/>
      <c r="C1381" s="172" t="str">
        <f ca="1">IF(COUNTA(D$1189:D1381)=1,"",OFFSET(B1381,-COUNTA(D$1189:D1381)+1,1))</f>
        <v>a1G3p000005dHajEAE</v>
      </c>
      <c r="D1381" s="177"/>
      <c r="E1381" s="168" t="str">
        <f ca="1">IFERROR(IF(VLOOKUP(C1381,' Disaggregation - Section E '!A$10:J500,7,0)="","",VLOOKUP(C1381,' Disaggregation - Section E '!A$10:J500,7,0)*100),"")</f>
        <v/>
      </c>
      <c r="F1381" s="171" t="str">
        <f ca="1">IFERROR(IF(VLOOKUP(C1381,' Disaggregation - Section E '!A$10:N500,5,0)=0,"",VLOOKUP(C1381,' Disaggregation - Section E '!A$10:N500,5,0)),"")</f>
        <v/>
      </c>
      <c r="G1381" s="170" t="str">
        <f ca="1">IFERROR(IF(VLOOKUP(C1381,' Disaggregation - Section E '!A$10:N500,6,0)="","",VLOOKUP(C1381,' Disaggregation - Section E '!A$10:N500,6,0)),"")</f>
        <v/>
      </c>
      <c r="H1381" s="177" t="str">
        <f ca="1">IFERROR(IF(INDEX(' Disaggregation - Section E '!F$10:F500,MATCH(C1381,' Disaggregation - Section E '!A$10:A500,0)+1,1)&lt;&gt;0,INDEX(' Disaggregation - Section E '!F$10:F500,MATCH(C1381,' Disaggregation - Section E '!A$10:A500,0)+1,1),""),"")</f>
        <v/>
      </c>
      <c r="I1381" s="171" t="str">
        <f ca="1">IFERROR(IF(VLOOKUP(C1381,' Disaggregation - Section E '!A$10:N500,8,0)=0,"",VLOOKUP(C1381,' Disaggregation - Section E '!A$10:N500,8,0)),"")</f>
        <v/>
      </c>
      <c r="J1381" s="171" t="str">
        <f ca="1">IFERROR(IF(VLOOKUP(C1381,' Disaggregation - Section E '!A$10:N500,13,0)=0,"",VLOOKUP(C1381,' Disaggregation - Section E '!A$10:N500,13,0)),"")</f>
        <v/>
      </c>
      <c r="K1381" s="166" t="str">
        <f ca="1">IFERROR(VLOOKUP(C1381,' Disaggregation - Section E '!A$10:N500,3,0),"")</f>
        <v/>
      </c>
      <c r="L1381" s="171" t="str">
        <f ca="1">IFERROR(IF(VLOOKUP(C1381,' Disaggregation - Section E '!A$10:N500,14,0)=0,"",VLOOKUP(C1381,' Disaggregation - Section E '!A$10:N500,14,0)),"")</f>
        <v/>
      </c>
      <c r="M1381" s="166" t="str">
        <f ca="1">IFERROR(IF(VLOOKUP(C1381,' Disaggregation - Section E '!A$10:T500,20,0)=0,"",VLOOKUP(C1381,' Disaggregation - Section E '!A$10:T500,20,0)),"")</f>
        <v/>
      </c>
      <c r="N1381" s="171" t="str">
        <f ca="1">IFERROR(IF(VLOOKUP(C1381,' Disaggregation - Section E '!A$10:N500,9,0)=0,"",VLOOKUP(C1381,' Disaggregation - Section E '!A$10:N500,9,0)),"")</f>
        <v/>
      </c>
      <c r="O1381" s="171" t="str">
        <f ca="1">IFERROR(IF(VLOOKUP(C1381,' Disaggregation - Section E '!A$10:N500,10,0)=0,"",VLOOKUP(C1381,' Disaggregation - Section E '!A$10:N500,10,0)),"")</f>
        <v/>
      </c>
    </row>
    <row r="1382" spans="1:15">
      <c r="A1382" s="166" t="b">
        <f t="shared" ca="1" si="142"/>
        <v>0</v>
      </c>
      <c r="B1382" s="166"/>
      <c r="C1382" s="172" t="str">
        <f ca="1">IF(COUNTA(D$1189:D1382)=1,"",OFFSET(B1382,-COUNTA(D$1189:D1382)+1,1))</f>
        <v>a1G3p000005dHakEAE</v>
      </c>
      <c r="D1382" s="177"/>
      <c r="E1382" s="168" t="str">
        <f ca="1">IFERROR(IF(VLOOKUP(C1382,' Disaggregation - Section E '!A$10:J501,7,0)="","",VLOOKUP(C1382,' Disaggregation - Section E '!A$10:J501,7,0)*100),"")</f>
        <v/>
      </c>
      <c r="F1382" s="171" t="str">
        <f ca="1">IFERROR(IF(VLOOKUP(C1382,' Disaggregation - Section E '!A$10:N501,5,0)=0,"",VLOOKUP(C1382,' Disaggregation - Section E '!A$10:N501,5,0)),"")</f>
        <v/>
      </c>
      <c r="G1382" s="170" t="str">
        <f ca="1">IFERROR(IF(VLOOKUP(C1382,' Disaggregation - Section E '!A$10:N501,6,0)="","",VLOOKUP(C1382,' Disaggregation - Section E '!A$10:N501,6,0)),"")</f>
        <v/>
      </c>
      <c r="H1382" s="177" t="str">
        <f ca="1">IFERROR(IF(INDEX(' Disaggregation - Section E '!F$10:F501,MATCH(C1382,' Disaggregation - Section E '!A$10:A501,0)+1,1)&lt;&gt;0,INDEX(' Disaggregation - Section E '!F$10:F501,MATCH(C1382,' Disaggregation - Section E '!A$10:A501,0)+1,1),""),"")</f>
        <v/>
      </c>
      <c r="I1382" s="171" t="str">
        <f ca="1">IFERROR(IF(VLOOKUP(C1382,' Disaggregation - Section E '!A$10:N501,8,0)=0,"",VLOOKUP(C1382,' Disaggregation - Section E '!A$10:N501,8,0)),"")</f>
        <v/>
      </c>
      <c r="J1382" s="171" t="str">
        <f ca="1">IFERROR(IF(VLOOKUP(C1382,' Disaggregation - Section E '!A$10:N501,13,0)=0,"",VLOOKUP(C1382,' Disaggregation - Section E '!A$10:N501,13,0)),"")</f>
        <v/>
      </c>
      <c r="K1382" s="166" t="str">
        <f ca="1">IFERROR(VLOOKUP(C1382,' Disaggregation - Section E '!A$10:N501,3,0),"")</f>
        <v/>
      </c>
      <c r="L1382" s="171" t="str">
        <f ca="1">IFERROR(IF(VLOOKUP(C1382,' Disaggregation - Section E '!A$10:N501,14,0)=0,"",VLOOKUP(C1382,' Disaggregation - Section E '!A$10:N501,14,0)),"")</f>
        <v/>
      </c>
      <c r="M1382" s="166" t="str">
        <f ca="1">IFERROR(IF(VLOOKUP(C1382,' Disaggregation - Section E '!A$10:T501,20,0)=0,"",VLOOKUP(C1382,' Disaggregation - Section E '!A$10:T501,20,0)),"")</f>
        <v/>
      </c>
      <c r="N1382" s="171" t="str">
        <f ca="1">IFERROR(IF(VLOOKUP(C1382,' Disaggregation - Section E '!A$10:N501,9,0)=0,"",VLOOKUP(C1382,' Disaggregation - Section E '!A$10:N501,9,0)),"")</f>
        <v/>
      </c>
      <c r="O1382" s="171" t="str">
        <f ca="1">IFERROR(IF(VLOOKUP(C1382,' Disaggregation - Section E '!A$10:N501,10,0)=0,"",VLOOKUP(C1382,' Disaggregation - Section E '!A$10:N501,10,0)),"")</f>
        <v/>
      </c>
    </row>
    <row r="1383" spans="1:15">
      <c r="A1383" s="166" t="b">
        <f t="shared" ca="1" si="142"/>
        <v>0</v>
      </c>
      <c r="B1383" s="166"/>
      <c r="C1383" s="172" t="str">
        <f ca="1">IF(COUNTA(D$1189:D1383)=1,"",OFFSET(B1383,-COUNTA(D$1189:D1383)+1,1))</f>
        <v>a1G3p000005dHalEAE</v>
      </c>
      <c r="D1383" s="177"/>
      <c r="E1383" s="168" t="str">
        <f ca="1">IFERROR(IF(VLOOKUP(C1383,' Disaggregation - Section E '!A$10:J502,7,0)="","",VLOOKUP(C1383,' Disaggregation - Section E '!A$10:J502,7,0)*100),"")</f>
        <v/>
      </c>
      <c r="F1383" s="171" t="str">
        <f ca="1">IFERROR(IF(VLOOKUP(C1383,' Disaggregation - Section E '!A$10:N502,5,0)=0,"",VLOOKUP(C1383,' Disaggregation - Section E '!A$10:N502,5,0)),"")</f>
        <v/>
      </c>
      <c r="G1383" s="170" t="str">
        <f ca="1">IFERROR(IF(VLOOKUP(C1383,' Disaggregation - Section E '!A$10:N502,6,0)="","",VLOOKUP(C1383,' Disaggregation - Section E '!A$10:N502,6,0)),"")</f>
        <v/>
      </c>
      <c r="H1383" s="177" t="str">
        <f ca="1">IFERROR(IF(INDEX(' Disaggregation - Section E '!F$10:F502,MATCH(C1383,' Disaggregation - Section E '!A$10:A502,0)+1,1)&lt;&gt;0,INDEX(' Disaggregation - Section E '!F$10:F502,MATCH(C1383,' Disaggregation - Section E '!A$10:A502,0)+1,1),""),"")</f>
        <v/>
      </c>
      <c r="I1383" s="171" t="str">
        <f ca="1">IFERROR(IF(VLOOKUP(C1383,' Disaggregation - Section E '!A$10:N502,8,0)=0,"",VLOOKUP(C1383,' Disaggregation - Section E '!A$10:N502,8,0)),"")</f>
        <v/>
      </c>
      <c r="J1383" s="171" t="str">
        <f ca="1">IFERROR(IF(VLOOKUP(C1383,' Disaggregation - Section E '!A$10:N502,13,0)=0,"",VLOOKUP(C1383,' Disaggregation - Section E '!A$10:N502,13,0)),"")</f>
        <v/>
      </c>
      <c r="K1383" s="166" t="str">
        <f ca="1">IFERROR(VLOOKUP(C1383,' Disaggregation - Section E '!A$10:N502,3,0),"")</f>
        <v/>
      </c>
      <c r="L1383" s="171" t="str">
        <f ca="1">IFERROR(IF(VLOOKUP(C1383,' Disaggregation - Section E '!A$10:N502,14,0)=0,"",VLOOKUP(C1383,' Disaggregation - Section E '!A$10:N502,14,0)),"")</f>
        <v/>
      </c>
      <c r="M1383" s="166" t="str">
        <f ca="1">IFERROR(IF(VLOOKUP(C1383,' Disaggregation - Section E '!A$10:T502,20,0)=0,"",VLOOKUP(C1383,' Disaggregation - Section E '!A$10:T502,20,0)),"")</f>
        <v/>
      </c>
      <c r="N1383" s="171" t="str">
        <f ca="1">IFERROR(IF(VLOOKUP(C1383,' Disaggregation - Section E '!A$10:N502,9,0)=0,"",VLOOKUP(C1383,' Disaggregation - Section E '!A$10:N502,9,0)),"")</f>
        <v/>
      </c>
      <c r="O1383" s="171" t="str">
        <f ca="1">IFERROR(IF(VLOOKUP(C1383,' Disaggregation - Section E '!A$10:N502,10,0)=0,"",VLOOKUP(C1383,' Disaggregation - Section E '!A$10:N502,10,0)),"")</f>
        <v/>
      </c>
    </row>
    <row r="1384" spans="1:15">
      <c r="A1384" s="166" t="b">
        <f t="shared" ca="1" si="142"/>
        <v>0</v>
      </c>
      <c r="B1384" s="166"/>
      <c r="C1384" s="172" t="str">
        <f ca="1">IF(COUNTA(D$1189:D1384)=1,"",OFFSET(B1384,-COUNTA(D$1189:D1384)+1,1))</f>
        <v>a1G3p000005dHamEAE</v>
      </c>
      <c r="D1384" s="177"/>
      <c r="E1384" s="168" t="str">
        <f ca="1">IFERROR(IF(VLOOKUP(C1384,' Disaggregation - Section E '!A$10:J503,7,0)="","",VLOOKUP(C1384,' Disaggregation - Section E '!A$10:J503,7,0)*100),"")</f>
        <v/>
      </c>
      <c r="F1384" s="171" t="str">
        <f ca="1">IFERROR(IF(VLOOKUP(C1384,' Disaggregation - Section E '!A$10:N503,5,0)=0,"",VLOOKUP(C1384,' Disaggregation - Section E '!A$10:N503,5,0)),"")</f>
        <v/>
      </c>
      <c r="G1384" s="170" t="str">
        <f ca="1">IFERROR(IF(VLOOKUP(C1384,' Disaggregation - Section E '!A$10:N503,6,0)="","",VLOOKUP(C1384,' Disaggregation - Section E '!A$10:N503,6,0)),"")</f>
        <v/>
      </c>
      <c r="H1384" s="177" t="str">
        <f ca="1">IFERROR(IF(INDEX(' Disaggregation - Section E '!F$10:F503,MATCH(C1384,' Disaggregation - Section E '!A$10:A503,0)+1,1)&lt;&gt;0,INDEX(' Disaggregation - Section E '!F$10:F503,MATCH(C1384,' Disaggregation - Section E '!A$10:A503,0)+1,1),""),"")</f>
        <v/>
      </c>
      <c r="I1384" s="171" t="str">
        <f ca="1">IFERROR(IF(VLOOKUP(C1384,' Disaggregation - Section E '!A$10:N503,8,0)=0,"",VLOOKUP(C1384,' Disaggregation - Section E '!A$10:N503,8,0)),"")</f>
        <v/>
      </c>
      <c r="J1384" s="171" t="str">
        <f ca="1">IFERROR(IF(VLOOKUP(C1384,' Disaggregation - Section E '!A$10:N503,13,0)=0,"",VLOOKUP(C1384,' Disaggregation - Section E '!A$10:N503,13,0)),"")</f>
        <v/>
      </c>
      <c r="K1384" s="166" t="str">
        <f ca="1">IFERROR(VLOOKUP(C1384,' Disaggregation - Section E '!A$10:N503,3,0),"")</f>
        <v/>
      </c>
      <c r="L1384" s="171" t="str">
        <f ca="1">IFERROR(IF(VLOOKUP(C1384,' Disaggregation - Section E '!A$10:N503,14,0)=0,"",VLOOKUP(C1384,' Disaggregation - Section E '!A$10:N503,14,0)),"")</f>
        <v/>
      </c>
      <c r="M1384" s="166" t="str">
        <f ca="1">IFERROR(IF(VLOOKUP(C1384,' Disaggregation - Section E '!A$10:T503,20,0)=0,"",VLOOKUP(C1384,' Disaggregation - Section E '!A$10:T503,20,0)),"")</f>
        <v/>
      </c>
      <c r="N1384" s="171" t="str">
        <f ca="1">IFERROR(IF(VLOOKUP(C1384,' Disaggregation - Section E '!A$10:N503,9,0)=0,"",VLOOKUP(C1384,' Disaggregation - Section E '!A$10:N503,9,0)),"")</f>
        <v/>
      </c>
      <c r="O1384" s="171" t="str">
        <f ca="1">IFERROR(IF(VLOOKUP(C1384,' Disaggregation - Section E '!A$10:N503,10,0)=0,"",VLOOKUP(C1384,' Disaggregation - Section E '!A$10:N503,10,0)),"")</f>
        <v/>
      </c>
    </row>
    <row r="1385" spans="1:15">
      <c r="A1385" s="166" t="b">
        <f t="shared" ca="1" si="142"/>
        <v>0</v>
      </c>
      <c r="B1385" s="166"/>
      <c r="C1385" s="172" t="str">
        <f ca="1">IF(COUNTA(D$1189:D1385)=1,"",OFFSET(B1385,-COUNTA(D$1189:D1385)+1,1))</f>
        <v>a1G3p000005dHanEAE</v>
      </c>
      <c r="D1385" s="177"/>
      <c r="E1385" s="168" t="str">
        <f ca="1">IFERROR(IF(VLOOKUP(C1385,' Disaggregation - Section E '!A$10:J504,7,0)="","",VLOOKUP(C1385,' Disaggregation - Section E '!A$10:J504,7,0)*100),"")</f>
        <v/>
      </c>
      <c r="F1385" s="171" t="str">
        <f ca="1">IFERROR(IF(VLOOKUP(C1385,' Disaggregation - Section E '!A$10:N504,5,0)=0,"",VLOOKUP(C1385,' Disaggregation - Section E '!A$10:N504,5,0)),"")</f>
        <v/>
      </c>
      <c r="G1385" s="170" t="str">
        <f ca="1">IFERROR(IF(VLOOKUP(C1385,' Disaggregation - Section E '!A$10:N504,6,0)="","",VLOOKUP(C1385,' Disaggregation - Section E '!A$10:N504,6,0)),"")</f>
        <v/>
      </c>
      <c r="H1385" s="177" t="str">
        <f ca="1">IFERROR(IF(INDEX(' Disaggregation - Section E '!F$10:F504,MATCH(C1385,' Disaggregation - Section E '!A$10:A504,0)+1,1)&lt;&gt;0,INDEX(' Disaggregation - Section E '!F$10:F504,MATCH(C1385,' Disaggregation - Section E '!A$10:A504,0)+1,1),""),"")</f>
        <v/>
      </c>
      <c r="I1385" s="171" t="str">
        <f ca="1">IFERROR(IF(VLOOKUP(C1385,' Disaggregation - Section E '!A$10:N504,8,0)=0,"",VLOOKUP(C1385,' Disaggregation - Section E '!A$10:N504,8,0)),"")</f>
        <v/>
      </c>
      <c r="J1385" s="171" t="str">
        <f ca="1">IFERROR(IF(VLOOKUP(C1385,' Disaggregation - Section E '!A$10:N504,13,0)=0,"",VLOOKUP(C1385,' Disaggregation - Section E '!A$10:N504,13,0)),"")</f>
        <v/>
      </c>
      <c r="K1385" s="166" t="str">
        <f ca="1">IFERROR(VLOOKUP(C1385,' Disaggregation - Section E '!A$10:N504,3,0),"")</f>
        <v/>
      </c>
      <c r="L1385" s="171" t="str">
        <f ca="1">IFERROR(IF(VLOOKUP(C1385,' Disaggregation - Section E '!A$10:N504,14,0)=0,"",VLOOKUP(C1385,' Disaggregation - Section E '!A$10:N504,14,0)),"")</f>
        <v/>
      </c>
      <c r="M1385" s="166" t="str">
        <f ca="1">IFERROR(IF(VLOOKUP(C1385,' Disaggregation - Section E '!A$10:T504,20,0)=0,"",VLOOKUP(C1385,' Disaggregation - Section E '!A$10:T504,20,0)),"")</f>
        <v/>
      </c>
      <c r="N1385" s="171" t="str">
        <f ca="1">IFERROR(IF(VLOOKUP(C1385,' Disaggregation - Section E '!A$10:N504,9,0)=0,"",VLOOKUP(C1385,' Disaggregation - Section E '!A$10:N504,9,0)),"")</f>
        <v/>
      </c>
      <c r="O1385" s="171" t="str">
        <f ca="1">IFERROR(IF(VLOOKUP(C1385,' Disaggregation - Section E '!A$10:N504,10,0)=0,"",VLOOKUP(C1385,' Disaggregation - Section E '!A$10:N504,10,0)),"")</f>
        <v/>
      </c>
    </row>
    <row r="1386" spans="1:15">
      <c r="A1386" s="166" t="b">
        <f t="shared" ca="1" si="142"/>
        <v>0</v>
      </c>
      <c r="B1386" s="166"/>
      <c r="C1386" s="172" t="str">
        <f ca="1">IF(COUNTA(D$1189:D1386)=1,"",OFFSET(B1386,-COUNTA(D$1189:D1386)+1,1))</f>
        <v>a1G3p000005dHaoEAE</v>
      </c>
      <c r="D1386" s="177"/>
      <c r="E1386" s="168" t="str">
        <f ca="1">IFERROR(IF(VLOOKUP(C1386,' Disaggregation - Section E '!A$10:J505,7,0)="","",VLOOKUP(C1386,' Disaggregation - Section E '!A$10:J505,7,0)*100),"")</f>
        <v/>
      </c>
      <c r="F1386" s="171" t="str">
        <f ca="1">IFERROR(IF(VLOOKUP(C1386,' Disaggregation - Section E '!A$10:N505,5,0)=0,"",VLOOKUP(C1386,' Disaggregation - Section E '!A$10:N505,5,0)),"")</f>
        <v/>
      </c>
      <c r="G1386" s="170" t="str">
        <f ca="1">IFERROR(IF(VLOOKUP(C1386,' Disaggregation - Section E '!A$10:N505,6,0)="","",VLOOKUP(C1386,' Disaggregation - Section E '!A$10:N505,6,0)),"")</f>
        <v/>
      </c>
      <c r="H1386" s="177" t="str">
        <f ca="1">IFERROR(IF(INDEX(' Disaggregation - Section E '!F$10:F505,MATCH(C1386,' Disaggregation - Section E '!A$10:A505,0)+1,1)&lt;&gt;0,INDEX(' Disaggregation - Section E '!F$10:F505,MATCH(C1386,' Disaggregation - Section E '!A$10:A505,0)+1,1),""),"")</f>
        <v/>
      </c>
      <c r="I1386" s="171" t="str">
        <f ca="1">IFERROR(IF(VLOOKUP(C1386,' Disaggregation - Section E '!A$10:N505,8,0)=0,"",VLOOKUP(C1386,' Disaggregation - Section E '!A$10:N505,8,0)),"")</f>
        <v/>
      </c>
      <c r="J1386" s="171" t="str">
        <f ca="1">IFERROR(IF(VLOOKUP(C1386,' Disaggregation - Section E '!A$10:N505,13,0)=0,"",VLOOKUP(C1386,' Disaggregation - Section E '!A$10:N505,13,0)),"")</f>
        <v/>
      </c>
      <c r="K1386" s="166" t="str">
        <f ca="1">IFERROR(VLOOKUP(C1386,' Disaggregation - Section E '!A$10:N505,3,0),"")</f>
        <v/>
      </c>
      <c r="L1386" s="171" t="str">
        <f ca="1">IFERROR(IF(VLOOKUP(C1386,' Disaggregation - Section E '!A$10:N505,14,0)=0,"",VLOOKUP(C1386,' Disaggregation - Section E '!A$10:N505,14,0)),"")</f>
        <v/>
      </c>
      <c r="M1386" s="166" t="str">
        <f ca="1">IFERROR(IF(VLOOKUP(C1386,' Disaggregation - Section E '!A$10:T505,20,0)=0,"",VLOOKUP(C1386,' Disaggregation - Section E '!A$10:T505,20,0)),"")</f>
        <v/>
      </c>
      <c r="N1386" s="171" t="str">
        <f ca="1">IFERROR(IF(VLOOKUP(C1386,' Disaggregation - Section E '!A$10:N505,9,0)=0,"",VLOOKUP(C1386,' Disaggregation - Section E '!A$10:N505,9,0)),"")</f>
        <v/>
      </c>
      <c r="O1386" s="171" t="str">
        <f ca="1">IFERROR(IF(VLOOKUP(C1386,' Disaggregation - Section E '!A$10:N505,10,0)=0,"",VLOOKUP(C1386,' Disaggregation - Section E '!A$10:N505,10,0)),"")</f>
        <v/>
      </c>
    </row>
    <row r="1387" spans="1:15">
      <c r="A1387" s="166" t="b">
        <f t="shared" ca="1" si="142"/>
        <v>0</v>
      </c>
      <c r="B1387" s="166"/>
      <c r="C1387" s="172" t="str">
        <f ca="1">IF(COUNTA(D$1189:D1387)=1,"",OFFSET(B1387,-COUNTA(D$1189:D1387)+1,1))</f>
        <v>a1G3p000005dHapEAE</v>
      </c>
      <c r="D1387" s="177"/>
      <c r="E1387" s="168" t="str">
        <f ca="1">IFERROR(IF(VLOOKUP(C1387,' Disaggregation - Section E '!A$10:J506,7,0)="","",VLOOKUP(C1387,' Disaggregation - Section E '!A$10:J506,7,0)*100),"")</f>
        <v/>
      </c>
      <c r="F1387" s="171" t="str">
        <f ca="1">IFERROR(IF(VLOOKUP(C1387,' Disaggregation - Section E '!A$10:N506,5,0)=0,"",VLOOKUP(C1387,' Disaggregation - Section E '!A$10:N506,5,0)),"")</f>
        <v/>
      </c>
      <c r="G1387" s="170" t="str">
        <f ca="1">IFERROR(IF(VLOOKUP(C1387,' Disaggregation - Section E '!A$10:N506,6,0)="","",VLOOKUP(C1387,' Disaggregation - Section E '!A$10:N506,6,0)),"")</f>
        <v/>
      </c>
      <c r="H1387" s="177" t="str">
        <f ca="1">IFERROR(IF(INDEX(' Disaggregation - Section E '!F$10:F506,MATCH(C1387,' Disaggregation - Section E '!A$10:A506,0)+1,1)&lt;&gt;0,INDEX(' Disaggregation - Section E '!F$10:F506,MATCH(C1387,' Disaggregation - Section E '!A$10:A506,0)+1,1),""),"")</f>
        <v/>
      </c>
      <c r="I1387" s="171" t="str">
        <f ca="1">IFERROR(IF(VLOOKUP(C1387,' Disaggregation - Section E '!A$10:N506,8,0)=0,"",VLOOKUP(C1387,' Disaggregation - Section E '!A$10:N506,8,0)),"")</f>
        <v/>
      </c>
      <c r="J1387" s="171" t="str">
        <f ca="1">IFERROR(IF(VLOOKUP(C1387,' Disaggregation - Section E '!A$10:N506,13,0)=0,"",VLOOKUP(C1387,' Disaggregation - Section E '!A$10:N506,13,0)),"")</f>
        <v/>
      </c>
      <c r="K1387" s="166" t="str">
        <f ca="1">IFERROR(VLOOKUP(C1387,' Disaggregation - Section E '!A$10:N506,3,0),"")</f>
        <v/>
      </c>
      <c r="L1387" s="171" t="str">
        <f ca="1">IFERROR(IF(VLOOKUP(C1387,' Disaggregation - Section E '!A$10:N506,14,0)=0,"",VLOOKUP(C1387,' Disaggregation - Section E '!A$10:N506,14,0)),"")</f>
        <v/>
      </c>
      <c r="M1387" s="166" t="str">
        <f ca="1">IFERROR(IF(VLOOKUP(C1387,' Disaggregation - Section E '!A$10:T506,20,0)=0,"",VLOOKUP(C1387,' Disaggregation - Section E '!A$10:T506,20,0)),"")</f>
        <v/>
      </c>
      <c r="N1387" s="171" t="str">
        <f ca="1">IFERROR(IF(VLOOKUP(C1387,' Disaggregation - Section E '!A$10:N506,9,0)=0,"",VLOOKUP(C1387,' Disaggregation - Section E '!A$10:N506,9,0)),"")</f>
        <v/>
      </c>
      <c r="O1387" s="171" t="str">
        <f ca="1">IFERROR(IF(VLOOKUP(C1387,' Disaggregation - Section E '!A$10:N506,10,0)=0,"",VLOOKUP(C1387,' Disaggregation - Section E '!A$10:N506,10,0)),"")</f>
        <v/>
      </c>
    </row>
    <row r="1388" spans="1:15">
      <c r="A1388" s="166" t="b">
        <f t="shared" ca="1" si="142"/>
        <v>0</v>
      </c>
      <c r="B1388" s="166"/>
      <c r="C1388" s="172" t="str">
        <f ca="1">IF(COUNTA(D$1189:D1388)=1,"",OFFSET(B1388,-COUNTA(D$1189:D1388)+1,1))</f>
        <v>a1G3p000005dHaqEAE</v>
      </c>
      <c r="D1388" s="177"/>
      <c r="E1388" s="168" t="str">
        <f ca="1">IFERROR(IF(VLOOKUP(C1388,' Disaggregation - Section E '!A$10:J507,7,0)="","",VLOOKUP(C1388,' Disaggregation - Section E '!A$10:J507,7,0)*100),"")</f>
        <v/>
      </c>
      <c r="F1388" s="171" t="str">
        <f ca="1">IFERROR(IF(VLOOKUP(C1388,' Disaggregation - Section E '!A$10:N507,5,0)=0,"",VLOOKUP(C1388,' Disaggregation - Section E '!A$10:N507,5,0)),"")</f>
        <v/>
      </c>
      <c r="G1388" s="170" t="str">
        <f ca="1">IFERROR(IF(VLOOKUP(C1388,' Disaggregation - Section E '!A$10:N507,6,0)="","",VLOOKUP(C1388,' Disaggregation - Section E '!A$10:N507,6,0)),"")</f>
        <v/>
      </c>
      <c r="H1388" s="177" t="str">
        <f ca="1">IFERROR(IF(INDEX(' Disaggregation - Section E '!F$10:F507,MATCH(C1388,' Disaggregation - Section E '!A$10:A507,0)+1,1)&lt;&gt;0,INDEX(' Disaggregation - Section E '!F$10:F507,MATCH(C1388,' Disaggregation - Section E '!A$10:A507,0)+1,1),""),"")</f>
        <v/>
      </c>
      <c r="I1388" s="171" t="str">
        <f ca="1">IFERROR(IF(VLOOKUP(C1388,' Disaggregation - Section E '!A$10:N507,8,0)=0,"",VLOOKUP(C1388,' Disaggregation - Section E '!A$10:N507,8,0)),"")</f>
        <v/>
      </c>
      <c r="J1388" s="171" t="str">
        <f ca="1">IFERROR(IF(VLOOKUP(C1388,' Disaggregation - Section E '!A$10:N507,13,0)=0,"",VLOOKUP(C1388,' Disaggregation - Section E '!A$10:N507,13,0)),"")</f>
        <v/>
      </c>
      <c r="K1388" s="166" t="str">
        <f ca="1">IFERROR(VLOOKUP(C1388,' Disaggregation - Section E '!A$10:N507,3,0),"")</f>
        <v/>
      </c>
      <c r="L1388" s="171" t="str">
        <f ca="1">IFERROR(IF(VLOOKUP(C1388,' Disaggregation - Section E '!A$10:N507,14,0)=0,"",VLOOKUP(C1388,' Disaggregation - Section E '!A$10:N507,14,0)),"")</f>
        <v/>
      </c>
      <c r="M1388" s="166" t="str">
        <f ca="1">IFERROR(IF(VLOOKUP(C1388,' Disaggregation - Section E '!A$10:T507,20,0)=0,"",VLOOKUP(C1388,' Disaggregation - Section E '!A$10:T507,20,0)),"")</f>
        <v/>
      </c>
      <c r="N1388" s="171" t="str">
        <f ca="1">IFERROR(IF(VLOOKUP(C1388,' Disaggregation - Section E '!A$10:N507,9,0)=0,"",VLOOKUP(C1388,' Disaggregation - Section E '!A$10:N507,9,0)),"")</f>
        <v/>
      </c>
      <c r="O1388" s="171" t="str">
        <f ca="1">IFERROR(IF(VLOOKUP(C1388,' Disaggregation - Section E '!A$10:N507,10,0)=0,"",VLOOKUP(C1388,' Disaggregation - Section E '!A$10:N507,10,0)),"")</f>
        <v/>
      </c>
    </row>
    <row r="1389" spans="1:15">
      <c r="A1389" s="166" t="b">
        <f t="shared" ca="1" si="142"/>
        <v>0</v>
      </c>
      <c r="B1389" s="166"/>
      <c r="C1389" s="172" t="str">
        <f ca="1">IF(COUNTA(D$1189:D1389)=1,"",OFFSET(B1389,-COUNTA(D$1189:D1389)+1,1))</f>
        <v>a1G3p000005dHarEAE</v>
      </c>
      <c r="D1389" s="177"/>
      <c r="E1389" s="168" t="str">
        <f ca="1">IFERROR(IF(VLOOKUP(C1389,' Disaggregation - Section E '!A$10:J508,7,0)="","",VLOOKUP(C1389,' Disaggregation - Section E '!A$10:J508,7,0)*100),"")</f>
        <v/>
      </c>
      <c r="F1389" s="171" t="str">
        <f ca="1">IFERROR(IF(VLOOKUP(C1389,' Disaggregation - Section E '!A$10:N508,5,0)=0,"",VLOOKUP(C1389,' Disaggregation - Section E '!A$10:N508,5,0)),"")</f>
        <v/>
      </c>
      <c r="G1389" s="170" t="str">
        <f ca="1">IFERROR(IF(VLOOKUP(C1389,' Disaggregation - Section E '!A$10:N508,6,0)="","",VLOOKUP(C1389,' Disaggregation - Section E '!A$10:N508,6,0)),"")</f>
        <v/>
      </c>
      <c r="H1389" s="177" t="str">
        <f ca="1">IFERROR(IF(INDEX(' Disaggregation - Section E '!F$10:F508,MATCH(C1389,' Disaggregation - Section E '!A$10:A508,0)+1,1)&lt;&gt;0,INDEX(' Disaggregation - Section E '!F$10:F508,MATCH(C1389,' Disaggregation - Section E '!A$10:A508,0)+1,1),""),"")</f>
        <v/>
      </c>
      <c r="I1389" s="171" t="str">
        <f ca="1">IFERROR(IF(VLOOKUP(C1389,' Disaggregation - Section E '!A$10:N508,8,0)=0,"",VLOOKUP(C1389,' Disaggregation - Section E '!A$10:N508,8,0)),"")</f>
        <v/>
      </c>
      <c r="J1389" s="171" t="str">
        <f ca="1">IFERROR(IF(VLOOKUP(C1389,' Disaggregation - Section E '!A$10:N508,13,0)=0,"",VLOOKUP(C1389,' Disaggregation - Section E '!A$10:N508,13,0)),"")</f>
        <v/>
      </c>
      <c r="K1389" s="166" t="str">
        <f ca="1">IFERROR(VLOOKUP(C1389,' Disaggregation - Section E '!A$10:N508,3,0),"")</f>
        <v/>
      </c>
      <c r="L1389" s="171" t="str">
        <f ca="1">IFERROR(IF(VLOOKUP(C1389,' Disaggregation - Section E '!A$10:N508,14,0)=0,"",VLOOKUP(C1389,' Disaggregation - Section E '!A$10:N508,14,0)),"")</f>
        <v/>
      </c>
      <c r="M1389" s="166" t="str">
        <f ca="1">IFERROR(IF(VLOOKUP(C1389,' Disaggregation - Section E '!A$10:T508,20,0)=0,"",VLOOKUP(C1389,' Disaggregation - Section E '!A$10:T508,20,0)),"")</f>
        <v/>
      </c>
      <c r="N1389" s="171" t="str">
        <f ca="1">IFERROR(IF(VLOOKUP(C1389,' Disaggregation - Section E '!A$10:N508,9,0)=0,"",VLOOKUP(C1389,' Disaggregation - Section E '!A$10:N508,9,0)),"")</f>
        <v/>
      </c>
      <c r="O1389" s="171" t="str">
        <f ca="1">IFERROR(IF(VLOOKUP(C1389,' Disaggregation - Section E '!A$10:N508,10,0)=0,"",VLOOKUP(C1389,' Disaggregation - Section E '!A$10:N508,10,0)),"")</f>
        <v/>
      </c>
    </row>
    <row r="1390" spans="1:15">
      <c r="A1390" s="166" t="b">
        <f t="shared" ca="1" si="142"/>
        <v>0</v>
      </c>
      <c r="B1390" s="166"/>
      <c r="C1390" s="172" t="str">
        <f ca="1">IF(COUNTA(D$1189:D1390)=1,"",OFFSET(B1390,-COUNTA(D$1189:D1390)+1,1))</f>
        <v>a1G3p000005dHasEAE</v>
      </c>
      <c r="D1390" s="177"/>
      <c r="E1390" s="168" t="str">
        <f ca="1">IFERROR(IF(VLOOKUP(C1390,' Disaggregation - Section E '!A$10:J509,7,0)="","",VLOOKUP(C1390,' Disaggregation - Section E '!A$10:J509,7,0)*100),"")</f>
        <v/>
      </c>
      <c r="F1390" s="171" t="str">
        <f ca="1">IFERROR(IF(VLOOKUP(C1390,' Disaggregation - Section E '!A$10:N509,5,0)=0,"",VLOOKUP(C1390,' Disaggregation - Section E '!A$10:N509,5,0)),"")</f>
        <v/>
      </c>
      <c r="G1390" s="170" t="str">
        <f ca="1">IFERROR(IF(VLOOKUP(C1390,' Disaggregation - Section E '!A$10:N509,6,0)="","",VLOOKUP(C1390,' Disaggregation - Section E '!A$10:N509,6,0)),"")</f>
        <v/>
      </c>
      <c r="H1390" s="177" t="str">
        <f ca="1">IFERROR(IF(INDEX(' Disaggregation - Section E '!F$10:F509,MATCH(C1390,' Disaggregation - Section E '!A$10:A509,0)+1,1)&lt;&gt;0,INDEX(' Disaggregation - Section E '!F$10:F509,MATCH(C1390,' Disaggregation - Section E '!A$10:A509,0)+1,1),""),"")</f>
        <v/>
      </c>
      <c r="I1390" s="171" t="str">
        <f ca="1">IFERROR(IF(VLOOKUP(C1390,' Disaggregation - Section E '!A$10:N509,8,0)=0,"",VLOOKUP(C1390,' Disaggregation - Section E '!A$10:N509,8,0)),"")</f>
        <v/>
      </c>
      <c r="J1390" s="171" t="str">
        <f ca="1">IFERROR(IF(VLOOKUP(C1390,' Disaggregation - Section E '!A$10:N509,13,0)=0,"",VLOOKUP(C1390,' Disaggregation - Section E '!A$10:N509,13,0)),"")</f>
        <v/>
      </c>
      <c r="K1390" s="166" t="str">
        <f ca="1">IFERROR(VLOOKUP(C1390,' Disaggregation - Section E '!A$10:N509,3,0),"")</f>
        <v/>
      </c>
      <c r="L1390" s="171" t="str">
        <f ca="1">IFERROR(IF(VLOOKUP(C1390,' Disaggregation - Section E '!A$10:N509,14,0)=0,"",VLOOKUP(C1390,' Disaggregation - Section E '!A$10:N509,14,0)),"")</f>
        <v/>
      </c>
      <c r="M1390" s="166" t="str">
        <f ca="1">IFERROR(IF(VLOOKUP(C1390,' Disaggregation - Section E '!A$10:T509,20,0)=0,"",VLOOKUP(C1390,' Disaggregation - Section E '!A$10:T509,20,0)),"")</f>
        <v/>
      </c>
      <c r="N1390" s="171" t="str">
        <f ca="1">IFERROR(IF(VLOOKUP(C1390,' Disaggregation - Section E '!A$10:N509,9,0)=0,"",VLOOKUP(C1390,' Disaggregation - Section E '!A$10:N509,9,0)),"")</f>
        <v/>
      </c>
      <c r="O1390" s="171" t="str">
        <f ca="1">IFERROR(IF(VLOOKUP(C1390,' Disaggregation - Section E '!A$10:N509,10,0)=0,"",VLOOKUP(C1390,' Disaggregation - Section E '!A$10:N509,10,0)),"")</f>
        <v/>
      </c>
    </row>
    <row r="1391" spans="1:15">
      <c r="A1391" s="166" t="b">
        <f t="shared" ca="1" si="142"/>
        <v>0</v>
      </c>
      <c r="B1391" s="166"/>
      <c r="C1391" s="172" t="str">
        <f ca="1">IF(COUNTA(D$1189:D1391)=1,"",OFFSET(B1391,-COUNTA(D$1189:D1391)+1,1))</f>
        <v>a1G3p000005dHatEAE</v>
      </c>
      <c r="D1391" s="177"/>
      <c r="E1391" s="168" t="str">
        <f ca="1">IFERROR(IF(VLOOKUP(C1391,' Disaggregation - Section E '!A$10:J510,7,0)="","",VLOOKUP(C1391,' Disaggregation - Section E '!A$10:J510,7,0)*100),"")</f>
        <v/>
      </c>
      <c r="F1391" s="171" t="str">
        <f ca="1">IFERROR(IF(VLOOKUP(C1391,' Disaggregation - Section E '!A$10:N510,5,0)=0,"",VLOOKUP(C1391,' Disaggregation - Section E '!A$10:N510,5,0)),"")</f>
        <v/>
      </c>
      <c r="G1391" s="170" t="str">
        <f ca="1">IFERROR(IF(VLOOKUP(C1391,' Disaggregation - Section E '!A$10:N510,6,0)="","",VLOOKUP(C1391,' Disaggregation - Section E '!A$10:N510,6,0)),"")</f>
        <v/>
      </c>
      <c r="H1391" s="177" t="str">
        <f ca="1">IFERROR(IF(INDEX(' Disaggregation - Section E '!F$10:F510,MATCH(C1391,' Disaggregation - Section E '!A$10:A510,0)+1,1)&lt;&gt;0,INDEX(' Disaggregation - Section E '!F$10:F510,MATCH(C1391,' Disaggregation - Section E '!A$10:A510,0)+1,1),""),"")</f>
        <v/>
      </c>
      <c r="I1391" s="171" t="str">
        <f ca="1">IFERROR(IF(VLOOKUP(C1391,' Disaggregation - Section E '!A$10:N510,8,0)=0,"",VLOOKUP(C1391,' Disaggregation - Section E '!A$10:N510,8,0)),"")</f>
        <v/>
      </c>
      <c r="J1391" s="171" t="str">
        <f ca="1">IFERROR(IF(VLOOKUP(C1391,' Disaggregation - Section E '!A$10:N510,13,0)=0,"",VLOOKUP(C1391,' Disaggregation - Section E '!A$10:N510,13,0)),"")</f>
        <v/>
      </c>
      <c r="K1391" s="166" t="str">
        <f ca="1">IFERROR(VLOOKUP(C1391,' Disaggregation - Section E '!A$10:N510,3,0),"")</f>
        <v/>
      </c>
      <c r="L1391" s="171" t="str">
        <f ca="1">IFERROR(IF(VLOOKUP(C1391,' Disaggregation - Section E '!A$10:N510,14,0)=0,"",VLOOKUP(C1391,' Disaggregation - Section E '!A$10:N510,14,0)),"")</f>
        <v/>
      </c>
      <c r="M1391" s="166" t="str">
        <f ca="1">IFERROR(IF(VLOOKUP(C1391,' Disaggregation - Section E '!A$10:T510,20,0)=0,"",VLOOKUP(C1391,' Disaggregation - Section E '!A$10:T510,20,0)),"")</f>
        <v/>
      </c>
      <c r="N1391" s="171" t="str">
        <f ca="1">IFERROR(IF(VLOOKUP(C1391,' Disaggregation - Section E '!A$10:N510,9,0)=0,"",VLOOKUP(C1391,' Disaggregation - Section E '!A$10:N510,9,0)),"")</f>
        <v/>
      </c>
      <c r="O1391" s="171" t="str">
        <f ca="1">IFERROR(IF(VLOOKUP(C1391,' Disaggregation - Section E '!A$10:N510,10,0)=0,"",VLOOKUP(C1391,' Disaggregation - Section E '!A$10:N510,10,0)),"")</f>
        <v/>
      </c>
    </row>
    <row r="1392" spans="1:15">
      <c r="A1392" s="166" t="b">
        <f t="shared" ca="1" si="142"/>
        <v>0</v>
      </c>
      <c r="B1392" s="166"/>
      <c r="C1392" s="172" t="str">
        <f ca="1">IF(COUNTA(D$1189:D1392)=1,"",OFFSET(B1392,-COUNTA(D$1189:D1392)+1,1))</f>
        <v>a1G3p000005dHauEAE</v>
      </c>
      <c r="D1392" s="177"/>
      <c r="E1392" s="168" t="str">
        <f ca="1">IFERROR(IF(VLOOKUP(C1392,' Disaggregation - Section E '!A$10:J511,7,0)="","",VLOOKUP(C1392,' Disaggregation - Section E '!A$10:J511,7,0)*100),"")</f>
        <v/>
      </c>
      <c r="F1392" s="171" t="str">
        <f ca="1">IFERROR(IF(VLOOKUP(C1392,' Disaggregation - Section E '!A$10:N511,5,0)=0,"",VLOOKUP(C1392,' Disaggregation - Section E '!A$10:N511,5,0)),"")</f>
        <v/>
      </c>
      <c r="G1392" s="170" t="str">
        <f ca="1">IFERROR(IF(VLOOKUP(C1392,' Disaggregation - Section E '!A$10:N511,6,0)="","",VLOOKUP(C1392,' Disaggregation - Section E '!A$10:N511,6,0)),"")</f>
        <v/>
      </c>
      <c r="H1392" s="177" t="str">
        <f ca="1">IFERROR(IF(INDEX(' Disaggregation - Section E '!F$10:F511,MATCH(C1392,' Disaggregation - Section E '!A$10:A511,0)+1,1)&lt;&gt;0,INDEX(' Disaggregation - Section E '!F$10:F511,MATCH(C1392,' Disaggregation - Section E '!A$10:A511,0)+1,1),""),"")</f>
        <v/>
      </c>
      <c r="I1392" s="171" t="str">
        <f ca="1">IFERROR(IF(VLOOKUP(C1392,' Disaggregation - Section E '!A$10:N511,8,0)=0,"",VLOOKUP(C1392,' Disaggregation - Section E '!A$10:N511,8,0)),"")</f>
        <v/>
      </c>
      <c r="J1392" s="171" t="str">
        <f ca="1">IFERROR(IF(VLOOKUP(C1392,' Disaggregation - Section E '!A$10:N511,13,0)=0,"",VLOOKUP(C1392,' Disaggregation - Section E '!A$10:N511,13,0)),"")</f>
        <v/>
      </c>
      <c r="K1392" s="166" t="str">
        <f ca="1">IFERROR(VLOOKUP(C1392,' Disaggregation - Section E '!A$10:N511,3,0),"")</f>
        <v/>
      </c>
      <c r="L1392" s="171" t="str">
        <f ca="1">IFERROR(IF(VLOOKUP(C1392,' Disaggregation - Section E '!A$10:N511,14,0)=0,"",VLOOKUP(C1392,' Disaggregation - Section E '!A$10:N511,14,0)),"")</f>
        <v/>
      </c>
      <c r="M1392" s="166" t="str">
        <f ca="1">IFERROR(IF(VLOOKUP(C1392,' Disaggregation - Section E '!A$10:T511,20,0)=0,"",VLOOKUP(C1392,' Disaggregation - Section E '!A$10:T511,20,0)),"")</f>
        <v/>
      </c>
      <c r="N1392" s="171" t="str">
        <f ca="1">IFERROR(IF(VLOOKUP(C1392,' Disaggregation - Section E '!A$10:N511,9,0)=0,"",VLOOKUP(C1392,' Disaggregation - Section E '!A$10:N511,9,0)),"")</f>
        <v/>
      </c>
      <c r="O1392" s="171" t="str">
        <f ca="1">IFERROR(IF(VLOOKUP(C1392,' Disaggregation - Section E '!A$10:N511,10,0)=0,"",VLOOKUP(C1392,' Disaggregation - Section E '!A$10:N511,10,0)),"")</f>
        <v/>
      </c>
    </row>
    <row r="1393" spans="1:15">
      <c r="A1393" s="166" t="b">
        <f t="shared" ca="1" si="142"/>
        <v>0</v>
      </c>
      <c r="B1393" s="166"/>
      <c r="C1393" s="172" t="str">
        <f ca="1">IF(COUNTA(D$1189:D1393)=1,"",OFFSET(B1393,-COUNTA(D$1189:D1393)+1,1))</f>
        <v>a1G3p000005dHavEAE</v>
      </c>
      <c r="D1393" s="177"/>
      <c r="E1393" s="168" t="str">
        <f ca="1">IFERROR(IF(VLOOKUP(C1393,' Disaggregation - Section E '!A$10:J512,7,0)="","",VLOOKUP(C1393,' Disaggregation - Section E '!A$10:J512,7,0)*100),"")</f>
        <v/>
      </c>
      <c r="F1393" s="171" t="str">
        <f ca="1">IFERROR(IF(VLOOKUP(C1393,' Disaggregation - Section E '!A$10:N512,5,0)=0,"",VLOOKUP(C1393,' Disaggregation - Section E '!A$10:N512,5,0)),"")</f>
        <v/>
      </c>
      <c r="G1393" s="170" t="str">
        <f ca="1">IFERROR(IF(VLOOKUP(C1393,' Disaggregation - Section E '!A$10:N512,6,0)="","",VLOOKUP(C1393,' Disaggregation - Section E '!A$10:N512,6,0)),"")</f>
        <v/>
      </c>
      <c r="H1393" s="177" t="str">
        <f ca="1">IFERROR(IF(INDEX(' Disaggregation - Section E '!F$10:F512,MATCH(C1393,' Disaggregation - Section E '!A$10:A512,0)+1,1)&lt;&gt;0,INDEX(' Disaggregation - Section E '!F$10:F512,MATCH(C1393,' Disaggregation - Section E '!A$10:A512,0)+1,1),""),"")</f>
        <v/>
      </c>
      <c r="I1393" s="171" t="str">
        <f ca="1">IFERROR(IF(VLOOKUP(C1393,' Disaggregation - Section E '!A$10:N512,8,0)=0,"",VLOOKUP(C1393,' Disaggregation - Section E '!A$10:N512,8,0)),"")</f>
        <v/>
      </c>
      <c r="J1393" s="171" t="str">
        <f ca="1">IFERROR(IF(VLOOKUP(C1393,' Disaggregation - Section E '!A$10:N512,13,0)=0,"",VLOOKUP(C1393,' Disaggregation - Section E '!A$10:N512,13,0)),"")</f>
        <v/>
      </c>
      <c r="K1393" s="166" t="str">
        <f ca="1">IFERROR(VLOOKUP(C1393,' Disaggregation - Section E '!A$10:N512,3,0),"")</f>
        <v/>
      </c>
      <c r="L1393" s="171" t="str">
        <f ca="1">IFERROR(IF(VLOOKUP(C1393,' Disaggregation - Section E '!A$10:N512,14,0)=0,"",VLOOKUP(C1393,' Disaggregation - Section E '!A$10:N512,14,0)),"")</f>
        <v/>
      </c>
      <c r="M1393" s="166" t="str">
        <f ca="1">IFERROR(IF(VLOOKUP(C1393,' Disaggregation - Section E '!A$10:T512,20,0)=0,"",VLOOKUP(C1393,' Disaggregation - Section E '!A$10:T512,20,0)),"")</f>
        <v/>
      </c>
      <c r="N1393" s="171" t="str">
        <f ca="1">IFERROR(IF(VLOOKUP(C1393,' Disaggregation - Section E '!A$10:N512,9,0)=0,"",VLOOKUP(C1393,' Disaggregation - Section E '!A$10:N512,9,0)),"")</f>
        <v/>
      </c>
      <c r="O1393" s="171" t="str">
        <f ca="1">IFERROR(IF(VLOOKUP(C1393,' Disaggregation - Section E '!A$10:N512,10,0)=0,"",VLOOKUP(C1393,' Disaggregation - Section E '!A$10:N512,10,0)),"")</f>
        <v/>
      </c>
    </row>
    <row r="1394" spans="1:15">
      <c r="A1394" s="166" t="b">
        <f t="shared" ca="1" si="142"/>
        <v>0</v>
      </c>
      <c r="B1394" s="166"/>
      <c r="C1394" s="172" t="str">
        <f ca="1">IF(COUNTA(D$1189:D1394)=1,"",OFFSET(B1394,-COUNTA(D$1189:D1394)+1,1))</f>
        <v>a1G3p000005dHawEAE</v>
      </c>
      <c r="D1394" s="177"/>
      <c r="E1394" s="168" t="str">
        <f ca="1">IFERROR(IF(VLOOKUP(C1394,' Disaggregation - Section E '!A$10:J513,7,0)="","",VLOOKUP(C1394,' Disaggregation - Section E '!A$10:J513,7,0)*100),"")</f>
        <v/>
      </c>
      <c r="F1394" s="171" t="str">
        <f ca="1">IFERROR(IF(VLOOKUP(C1394,' Disaggregation - Section E '!A$10:N513,5,0)=0,"",VLOOKUP(C1394,' Disaggregation - Section E '!A$10:N513,5,0)),"")</f>
        <v/>
      </c>
      <c r="G1394" s="170" t="str">
        <f ca="1">IFERROR(IF(VLOOKUP(C1394,' Disaggregation - Section E '!A$10:N513,6,0)="","",VLOOKUP(C1394,' Disaggregation - Section E '!A$10:N513,6,0)),"")</f>
        <v/>
      </c>
      <c r="H1394" s="177" t="str">
        <f ca="1">IFERROR(IF(INDEX(' Disaggregation - Section E '!F$10:F513,MATCH(C1394,' Disaggregation - Section E '!A$10:A513,0)+1,1)&lt;&gt;0,INDEX(' Disaggregation - Section E '!F$10:F513,MATCH(C1394,' Disaggregation - Section E '!A$10:A513,0)+1,1),""),"")</f>
        <v/>
      </c>
      <c r="I1394" s="171" t="str">
        <f ca="1">IFERROR(IF(VLOOKUP(C1394,' Disaggregation - Section E '!A$10:N513,8,0)=0,"",VLOOKUP(C1394,' Disaggregation - Section E '!A$10:N513,8,0)),"")</f>
        <v/>
      </c>
      <c r="J1394" s="171" t="str">
        <f ca="1">IFERROR(IF(VLOOKUP(C1394,' Disaggregation - Section E '!A$10:N513,13,0)=0,"",VLOOKUP(C1394,' Disaggregation - Section E '!A$10:N513,13,0)),"")</f>
        <v/>
      </c>
      <c r="K1394" s="166" t="str">
        <f ca="1">IFERROR(VLOOKUP(C1394,' Disaggregation - Section E '!A$10:N513,3,0),"")</f>
        <v/>
      </c>
      <c r="L1394" s="171" t="str">
        <f ca="1">IFERROR(IF(VLOOKUP(C1394,' Disaggregation - Section E '!A$10:N513,14,0)=0,"",VLOOKUP(C1394,' Disaggregation - Section E '!A$10:N513,14,0)),"")</f>
        <v/>
      </c>
      <c r="M1394" s="166" t="str">
        <f ca="1">IFERROR(IF(VLOOKUP(C1394,' Disaggregation - Section E '!A$10:T513,20,0)=0,"",VLOOKUP(C1394,' Disaggregation - Section E '!A$10:T513,20,0)),"")</f>
        <v/>
      </c>
      <c r="N1394" s="171" t="str">
        <f ca="1">IFERROR(IF(VLOOKUP(C1394,' Disaggregation - Section E '!A$10:N513,9,0)=0,"",VLOOKUP(C1394,' Disaggregation - Section E '!A$10:N513,9,0)),"")</f>
        <v/>
      </c>
      <c r="O1394" s="171" t="str">
        <f ca="1">IFERROR(IF(VLOOKUP(C1394,' Disaggregation - Section E '!A$10:N513,10,0)=0,"",VLOOKUP(C1394,' Disaggregation - Section E '!A$10:N513,10,0)),"")</f>
        <v/>
      </c>
    </row>
    <row r="1395" spans="1:15">
      <c r="A1395" s="166" t="b">
        <f t="shared" ca="1" si="142"/>
        <v>0</v>
      </c>
      <c r="B1395" s="166"/>
      <c r="C1395" s="172" t="str">
        <f ca="1">IF(COUNTA(D$1189:D1395)=1,"",OFFSET(B1395,-COUNTA(D$1189:D1395)+1,1))</f>
        <v>a1G3p000005dHaxEAE</v>
      </c>
      <c r="D1395" s="177"/>
      <c r="E1395" s="168" t="str">
        <f ca="1">IFERROR(IF(VLOOKUP(C1395,' Disaggregation - Section E '!A$10:J514,7,0)="","",VLOOKUP(C1395,' Disaggregation - Section E '!A$10:J514,7,0)*100),"")</f>
        <v/>
      </c>
      <c r="F1395" s="171" t="str">
        <f ca="1">IFERROR(IF(VLOOKUP(C1395,' Disaggregation - Section E '!A$10:N514,5,0)=0,"",VLOOKUP(C1395,' Disaggregation - Section E '!A$10:N514,5,0)),"")</f>
        <v/>
      </c>
      <c r="G1395" s="170" t="str">
        <f ca="1">IFERROR(IF(VLOOKUP(C1395,' Disaggregation - Section E '!A$10:N514,6,0)="","",VLOOKUP(C1395,' Disaggregation - Section E '!A$10:N514,6,0)),"")</f>
        <v/>
      </c>
      <c r="H1395" s="177" t="str">
        <f ca="1">IFERROR(IF(INDEX(' Disaggregation - Section E '!F$10:F514,MATCH(C1395,' Disaggregation - Section E '!A$10:A514,0)+1,1)&lt;&gt;0,INDEX(' Disaggregation - Section E '!F$10:F514,MATCH(C1395,' Disaggregation - Section E '!A$10:A514,0)+1,1),""),"")</f>
        <v/>
      </c>
      <c r="I1395" s="171" t="str">
        <f ca="1">IFERROR(IF(VLOOKUP(C1395,' Disaggregation - Section E '!A$10:N514,8,0)=0,"",VLOOKUP(C1395,' Disaggregation - Section E '!A$10:N514,8,0)),"")</f>
        <v/>
      </c>
      <c r="J1395" s="171" t="str">
        <f ca="1">IFERROR(IF(VLOOKUP(C1395,' Disaggregation - Section E '!A$10:N514,13,0)=0,"",VLOOKUP(C1395,' Disaggregation - Section E '!A$10:N514,13,0)),"")</f>
        <v/>
      </c>
      <c r="K1395" s="166" t="str">
        <f ca="1">IFERROR(VLOOKUP(C1395,' Disaggregation - Section E '!A$10:N514,3,0),"")</f>
        <v/>
      </c>
      <c r="L1395" s="171" t="str">
        <f ca="1">IFERROR(IF(VLOOKUP(C1395,' Disaggregation - Section E '!A$10:N514,14,0)=0,"",VLOOKUP(C1395,' Disaggregation - Section E '!A$10:N514,14,0)),"")</f>
        <v/>
      </c>
      <c r="M1395" s="166" t="str">
        <f ca="1">IFERROR(IF(VLOOKUP(C1395,' Disaggregation - Section E '!A$10:T514,20,0)=0,"",VLOOKUP(C1395,' Disaggregation - Section E '!A$10:T514,20,0)),"")</f>
        <v/>
      </c>
      <c r="N1395" s="171" t="str">
        <f ca="1">IFERROR(IF(VLOOKUP(C1395,' Disaggregation - Section E '!A$10:N514,9,0)=0,"",VLOOKUP(C1395,' Disaggregation - Section E '!A$10:N514,9,0)),"")</f>
        <v/>
      </c>
      <c r="O1395" s="171" t="str">
        <f ca="1">IFERROR(IF(VLOOKUP(C1395,' Disaggregation - Section E '!A$10:N514,10,0)=0,"",VLOOKUP(C1395,' Disaggregation - Section E '!A$10:N514,10,0)),"")</f>
        <v/>
      </c>
    </row>
    <row r="1396" spans="1:15">
      <c r="A1396" s="166" t="b">
        <f t="shared" ca="1" si="142"/>
        <v>0</v>
      </c>
      <c r="B1396" s="166"/>
      <c r="C1396" s="172" t="str">
        <f ca="1">IF(COUNTA(D$1189:D1396)=1,"",OFFSET(B1396,-COUNTA(D$1189:D1396)+1,1))</f>
        <v>a1G3p000005dHayEAE</v>
      </c>
      <c r="D1396" s="177"/>
      <c r="E1396" s="168" t="str">
        <f ca="1">IFERROR(IF(VLOOKUP(C1396,' Disaggregation - Section E '!A$10:J515,7,0)="","",VLOOKUP(C1396,' Disaggregation - Section E '!A$10:J515,7,0)*100),"")</f>
        <v/>
      </c>
      <c r="F1396" s="171" t="str">
        <f ca="1">IFERROR(IF(VLOOKUP(C1396,' Disaggregation - Section E '!A$10:N515,5,0)=0,"",VLOOKUP(C1396,' Disaggregation - Section E '!A$10:N515,5,0)),"")</f>
        <v/>
      </c>
      <c r="G1396" s="170" t="str">
        <f ca="1">IFERROR(IF(VLOOKUP(C1396,' Disaggregation - Section E '!A$10:N515,6,0)="","",VLOOKUP(C1396,' Disaggregation - Section E '!A$10:N515,6,0)),"")</f>
        <v/>
      </c>
      <c r="H1396" s="177" t="str">
        <f ca="1">IFERROR(IF(INDEX(' Disaggregation - Section E '!F$10:F515,MATCH(C1396,' Disaggregation - Section E '!A$10:A515,0)+1,1)&lt;&gt;0,INDEX(' Disaggregation - Section E '!F$10:F515,MATCH(C1396,' Disaggregation - Section E '!A$10:A515,0)+1,1),""),"")</f>
        <v/>
      </c>
      <c r="I1396" s="171" t="str">
        <f ca="1">IFERROR(IF(VLOOKUP(C1396,' Disaggregation - Section E '!A$10:N515,8,0)=0,"",VLOOKUP(C1396,' Disaggregation - Section E '!A$10:N515,8,0)),"")</f>
        <v/>
      </c>
      <c r="J1396" s="171" t="str">
        <f ca="1">IFERROR(IF(VLOOKUP(C1396,' Disaggregation - Section E '!A$10:N515,13,0)=0,"",VLOOKUP(C1396,' Disaggregation - Section E '!A$10:N515,13,0)),"")</f>
        <v/>
      </c>
      <c r="K1396" s="166" t="str">
        <f ca="1">IFERROR(VLOOKUP(C1396,' Disaggregation - Section E '!A$10:N515,3,0),"")</f>
        <v/>
      </c>
      <c r="L1396" s="171" t="str">
        <f ca="1">IFERROR(IF(VLOOKUP(C1396,' Disaggregation - Section E '!A$10:N515,14,0)=0,"",VLOOKUP(C1396,' Disaggregation - Section E '!A$10:N515,14,0)),"")</f>
        <v/>
      </c>
      <c r="M1396" s="166" t="str">
        <f ca="1">IFERROR(IF(VLOOKUP(C1396,' Disaggregation - Section E '!A$10:T515,20,0)=0,"",VLOOKUP(C1396,' Disaggregation - Section E '!A$10:T515,20,0)),"")</f>
        <v/>
      </c>
      <c r="N1396" s="171" t="str">
        <f ca="1">IFERROR(IF(VLOOKUP(C1396,' Disaggregation - Section E '!A$10:N515,9,0)=0,"",VLOOKUP(C1396,' Disaggregation - Section E '!A$10:N515,9,0)),"")</f>
        <v/>
      </c>
      <c r="O1396" s="171" t="str">
        <f ca="1">IFERROR(IF(VLOOKUP(C1396,' Disaggregation - Section E '!A$10:N515,10,0)=0,"",VLOOKUP(C1396,' Disaggregation - Section E '!A$10:N515,10,0)),"")</f>
        <v/>
      </c>
    </row>
    <row r="1397" spans="1:15">
      <c r="A1397" s="166" t="b">
        <f t="shared" ca="1" si="142"/>
        <v>0</v>
      </c>
      <c r="B1397" s="166"/>
      <c r="C1397" s="172" t="str">
        <f ca="1">IF(COUNTA(D$1189:D1397)=1,"",OFFSET(B1397,-COUNTA(D$1189:D1397)+1,1))</f>
        <v>a1G3p000005dHazEAE</v>
      </c>
      <c r="D1397" s="177"/>
      <c r="E1397" s="168" t="str">
        <f ca="1">IFERROR(IF(VLOOKUP(C1397,' Disaggregation - Section E '!A$10:J516,7,0)="","",VLOOKUP(C1397,' Disaggregation - Section E '!A$10:J516,7,0)*100),"")</f>
        <v/>
      </c>
      <c r="F1397" s="171" t="str">
        <f ca="1">IFERROR(IF(VLOOKUP(C1397,' Disaggregation - Section E '!A$10:N516,5,0)=0,"",VLOOKUP(C1397,' Disaggregation - Section E '!A$10:N516,5,0)),"")</f>
        <v/>
      </c>
      <c r="G1397" s="170" t="str">
        <f ca="1">IFERROR(IF(VLOOKUP(C1397,' Disaggregation - Section E '!A$10:N516,6,0)="","",VLOOKUP(C1397,' Disaggregation - Section E '!A$10:N516,6,0)),"")</f>
        <v/>
      </c>
      <c r="H1397" s="177" t="str">
        <f ca="1">IFERROR(IF(INDEX(' Disaggregation - Section E '!F$10:F516,MATCH(C1397,' Disaggregation - Section E '!A$10:A516,0)+1,1)&lt;&gt;0,INDEX(' Disaggregation - Section E '!F$10:F516,MATCH(C1397,' Disaggregation - Section E '!A$10:A516,0)+1,1),""),"")</f>
        <v/>
      </c>
      <c r="I1397" s="171" t="str">
        <f ca="1">IFERROR(IF(VLOOKUP(C1397,' Disaggregation - Section E '!A$10:N516,8,0)=0,"",VLOOKUP(C1397,' Disaggregation - Section E '!A$10:N516,8,0)),"")</f>
        <v/>
      </c>
      <c r="J1397" s="171" t="str">
        <f ca="1">IFERROR(IF(VLOOKUP(C1397,' Disaggregation - Section E '!A$10:N516,13,0)=0,"",VLOOKUP(C1397,' Disaggregation - Section E '!A$10:N516,13,0)),"")</f>
        <v/>
      </c>
      <c r="K1397" s="166" t="str">
        <f ca="1">IFERROR(VLOOKUP(C1397,' Disaggregation - Section E '!A$10:N516,3,0),"")</f>
        <v/>
      </c>
      <c r="L1397" s="171" t="str">
        <f ca="1">IFERROR(IF(VLOOKUP(C1397,' Disaggregation - Section E '!A$10:N516,14,0)=0,"",VLOOKUP(C1397,' Disaggregation - Section E '!A$10:N516,14,0)),"")</f>
        <v/>
      </c>
      <c r="M1397" s="166" t="str">
        <f ca="1">IFERROR(IF(VLOOKUP(C1397,' Disaggregation - Section E '!A$10:T516,20,0)=0,"",VLOOKUP(C1397,' Disaggregation - Section E '!A$10:T516,20,0)),"")</f>
        <v/>
      </c>
      <c r="N1397" s="171" t="str">
        <f ca="1">IFERROR(IF(VLOOKUP(C1397,' Disaggregation - Section E '!A$10:N516,9,0)=0,"",VLOOKUP(C1397,' Disaggregation - Section E '!A$10:N516,9,0)),"")</f>
        <v/>
      </c>
      <c r="O1397" s="171" t="str">
        <f ca="1">IFERROR(IF(VLOOKUP(C1397,' Disaggregation - Section E '!A$10:N516,10,0)=0,"",VLOOKUP(C1397,' Disaggregation - Section E '!A$10:N516,10,0)),"")</f>
        <v/>
      </c>
    </row>
    <row r="1398" spans="1:15">
      <c r="A1398" s="166" t="b">
        <f t="shared" ca="1" si="142"/>
        <v>0</v>
      </c>
      <c r="B1398" s="166"/>
      <c r="C1398" s="172" t="str">
        <f ca="1">IF(COUNTA(D$1189:D1398)=1,"",OFFSET(B1398,-COUNTA(D$1189:D1398)+1,1))</f>
        <v>a1G3p000005dHb0EAE</v>
      </c>
      <c r="D1398" s="177"/>
      <c r="E1398" s="168" t="str">
        <f ca="1">IFERROR(IF(VLOOKUP(C1398,' Disaggregation - Section E '!A$10:J517,7,0)="","",VLOOKUP(C1398,' Disaggregation - Section E '!A$10:J517,7,0)*100),"")</f>
        <v/>
      </c>
      <c r="F1398" s="171" t="str">
        <f ca="1">IFERROR(IF(VLOOKUP(C1398,' Disaggregation - Section E '!A$10:N517,5,0)=0,"",VLOOKUP(C1398,' Disaggregation - Section E '!A$10:N517,5,0)),"")</f>
        <v/>
      </c>
      <c r="G1398" s="170" t="str">
        <f ca="1">IFERROR(IF(VLOOKUP(C1398,' Disaggregation - Section E '!A$10:N517,6,0)="","",VLOOKUP(C1398,' Disaggregation - Section E '!A$10:N517,6,0)),"")</f>
        <v/>
      </c>
      <c r="H1398" s="177" t="str">
        <f ca="1">IFERROR(IF(INDEX(' Disaggregation - Section E '!F$10:F517,MATCH(C1398,' Disaggregation - Section E '!A$10:A517,0)+1,1)&lt;&gt;0,INDEX(' Disaggregation - Section E '!F$10:F517,MATCH(C1398,' Disaggregation - Section E '!A$10:A517,0)+1,1),""),"")</f>
        <v/>
      </c>
      <c r="I1398" s="171" t="str">
        <f ca="1">IFERROR(IF(VLOOKUP(C1398,' Disaggregation - Section E '!A$10:N517,8,0)=0,"",VLOOKUP(C1398,' Disaggregation - Section E '!A$10:N517,8,0)),"")</f>
        <v/>
      </c>
      <c r="J1398" s="171" t="str">
        <f ca="1">IFERROR(IF(VLOOKUP(C1398,' Disaggregation - Section E '!A$10:N517,13,0)=0,"",VLOOKUP(C1398,' Disaggregation - Section E '!A$10:N517,13,0)),"")</f>
        <v/>
      </c>
      <c r="K1398" s="166" t="str">
        <f ca="1">IFERROR(VLOOKUP(C1398,' Disaggregation - Section E '!A$10:N517,3,0),"")</f>
        <v/>
      </c>
      <c r="L1398" s="171" t="str">
        <f ca="1">IFERROR(IF(VLOOKUP(C1398,' Disaggregation - Section E '!A$10:N517,14,0)=0,"",VLOOKUP(C1398,' Disaggregation - Section E '!A$10:N517,14,0)),"")</f>
        <v/>
      </c>
      <c r="M1398" s="166" t="str">
        <f ca="1">IFERROR(IF(VLOOKUP(C1398,' Disaggregation - Section E '!A$10:T517,20,0)=0,"",VLOOKUP(C1398,' Disaggregation - Section E '!A$10:T517,20,0)),"")</f>
        <v/>
      </c>
      <c r="N1398" s="171" t="str">
        <f ca="1">IFERROR(IF(VLOOKUP(C1398,' Disaggregation - Section E '!A$10:N517,9,0)=0,"",VLOOKUP(C1398,' Disaggregation - Section E '!A$10:N517,9,0)),"")</f>
        <v/>
      </c>
      <c r="O1398" s="171" t="str">
        <f ca="1">IFERROR(IF(VLOOKUP(C1398,' Disaggregation - Section E '!A$10:N517,10,0)=0,"",VLOOKUP(C1398,' Disaggregation - Section E '!A$10:N517,10,0)),"")</f>
        <v/>
      </c>
    </row>
    <row r="1399" spans="1:15">
      <c r="A1399" s="166" t="b">
        <f t="shared" ca="1" si="142"/>
        <v>0</v>
      </c>
      <c r="B1399" s="166"/>
      <c r="C1399" s="172" t="str">
        <f ca="1">IF(COUNTA(D$1189:D1399)=1,"",OFFSET(B1399,-COUNTA(D$1189:D1399)+1,1))</f>
        <v>a1G3p000005dHb1EAE</v>
      </c>
      <c r="D1399" s="177"/>
      <c r="E1399" s="168" t="str">
        <f ca="1">IFERROR(IF(VLOOKUP(C1399,' Disaggregation - Section E '!A$10:J518,7,0)="","",VLOOKUP(C1399,' Disaggregation - Section E '!A$10:J518,7,0)*100),"")</f>
        <v/>
      </c>
      <c r="F1399" s="171" t="str">
        <f ca="1">IFERROR(IF(VLOOKUP(C1399,' Disaggregation - Section E '!A$10:N518,5,0)=0,"",VLOOKUP(C1399,' Disaggregation - Section E '!A$10:N518,5,0)),"")</f>
        <v/>
      </c>
      <c r="G1399" s="170" t="str">
        <f ca="1">IFERROR(IF(VLOOKUP(C1399,' Disaggregation - Section E '!A$10:N518,6,0)="","",VLOOKUP(C1399,' Disaggregation - Section E '!A$10:N518,6,0)),"")</f>
        <v/>
      </c>
      <c r="H1399" s="177" t="str">
        <f ca="1">IFERROR(IF(INDEX(' Disaggregation - Section E '!F$10:F518,MATCH(C1399,' Disaggregation - Section E '!A$10:A518,0)+1,1)&lt;&gt;0,INDEX(' Disaggregation - Section E '!F$10:F518,MATCH(C1399,' Disaggregation - Section E '!A$10:A518,0)+1,1),""),"")</f>
        <v/>
      </c>
      <c r="I1399" s="171" t="str">
        <f ca="1">IFERROR(IF(VLOOKUP(C1399,' Disaggregation - Section E '!A$10:N518,8,0)=0,"",VLOOKUP(C1399,' Disaggregation - Section E '!A$10:N518,8,0)),"")</f>
        <v/>
      </c>
      <c r="J1399" s="171" t="str">
        <f ca="1">IFERROR(IF(VLOOKUP(C1399,' Disaggregation - Section E '!A$10:N518,13,0)=0,"",VLOOKUP(C1399,' Disaggregation - Section E '!A$10:N518,13,0)),"")</f>
        <v/>
      </c>
      <c r="K1399" s="166" t="str">
        <f ca="1">IFERROR(VLOOKUP(C1399,' Disaggregation - Section E '!A$10:N518,3,0),"")</f>
        <v/>
      </c>
      <c r="L1399" s="171" t="str">
        <f ca="1">IFERROR(IF(VLOOKUP(C1399,' Disaggregation - Section E '!A$10:N518,14,0)=0,"",VLOOKUP(C1399,' Disaggregation - Section E '!A$10:N518,14,0)),"")</f>
        <v/>
      </c>
      <c r="M1399" s="166" t="str">
        <f ca="1">IFERROR(IF(VLOOKUP(C1399,' Disaggregation - Section E '!A$10:T518,20,0)=0,"",VLOOKUP(C1399,' Disaggregation - Section E '!A$10:T518,20,0)),"")</f>
        <v/>
      </c>
      <c r="N1399" s="171" t="str">
        <f ca="1">IFERROR(IF(VLOOKUP(C1399,' Disaggregation - Section E '!A$10:N518,9,0)=0,"",VLOOKUP(C1399,' Disaggregation - Section E '!A$10:N518,9,0)),"")</f>
        <v/>
      </c>
      <c r="O1399" s="171" t="str">
        <f ca="1">IFERROR(IF(VLOOKUP(C1399,' Disaggregation - Section E '!A$10:N518,10,0)=0,"",VLOOKUP(C1399,' Disaggregation - Section E '!A$10:N518,10,0)),"")</f>
        <v/>
      </c>
    </row>
    <row r="1400" spans="1:15">
      <c r="A1400" s="166" t="b">
        <f t="shared" ca="1" si="142"/>
        <v>0</v>
      </c>
      <c r="B1400" s="166"/>
      <c r="C1400" s="172" t="str">
        <f ca="1">IF(COUNTA(D$1189:D1400)=1,"",OFFSET(B1400,-COUNTA(D$1189:D1400)+1,1))</f>
        <v>a1G3p000005dHb2EAE</v>
      </c>
      <c r="D1400" s="177"/>
      <c r="E1400" s="168" t="str">
        <f ca="1">IFERROR(IF(VLOOKUP(C1400,' Disaggregation - Section E '!A$10:J519,7,0)="","",VLOOKUP(C1400,' Disaggregation - Section E '!A$10:J519,7,0)*100),"")</f>
        <v/>
      </c>
      <c r="F1400" s="171" t="str">
        <f ca="1">IFERROR(IF(VLOOKUP(C1400,' Disaggregation - Section E '!A$10:N519,5,0)=0,"",VLOOKUP(C1400,' Disaggregation - Section E '!A$10:N519,5,0)),"")</f>
        <v/>
      </c>
      <c r="G1400" s="170" t="str">
        <f ca="1">IFERROR(IF(VLOOKUP(C1400,' Disaggregation - Section E '!A$10:N519,6,0)="","",VLOOKUP(C1400,' Disaggregation - Section E '!A$10:N519,6,0)),"")</f>
        <v/>
      </c>
      <c r="H1400" s="177" t="str">
        <f ca="1">IFERROR(IF(INDEX(' Disaggregation - Section E '!F$10:F519,MATCH(C1400,' Disaggregation - Section E '!A$10:A519,0)+1,1)&lt;&gt;0,INDEX(' Disaggregation - Section E '!F$10:F519,MATCH(C1400,' Disaggregation - Section E '!A$10:A519,0)+1,1),""),"")</f>
        <v/>
      </c>
      <c r="I1400" s="171" t="str">
        <f ca="1">IFERROR(IF(VLOOKUP(C1400,' Disaggregation - Section E '!A$10:N519,8,0)=0,"",VLOOKUP(C1400,' Disaggregation - Section E '!A$10:N519,8,0)),"")</f>
        <v/>
      </c>
      <c r="J1400" s="171" t="str">
        <f ca="1">IFERROR(IF(VLOOKUP(C1400,' Disaggregation - Section E '!A$10:N519,13,0)=0,"",VLOOKUP(C1400,' Disaggregation - Section E '!A$10:N519,13,0)),"")</f>
        <v/>
      </c>
      <c r="K1400" s="166" t="str">
        <f ca="1">IFERROR(VLOOKUP(C1400,' Disaggregation - Section E '!A$10:N519,3,0),"")</f>
        <v/>
      </c>
      <c r="L1400" s="171" t="str">
        <f ca="1">IFERROR(IF(VLOOKUP(C1400,' Disaggregation - Section E '!A$10:N519,14,0)=0,"",VLOOKUP(C1400,' Disaggregation - Section E '!A$10:N519,14,0)),"")</f>
        <v/>
      </c>
      <c r="M1400" s="166" t="str">
        <f ca="1">IFERROR(IF(VLOOKUP(C1400,' Disaggregation - Section E '!A$10:T519,20,0)=0,"",VLOOKUP(C1400,' Disaggregation - Section E '!A$10:T519,20,0)),"")</f>
        <v/>
      </c>
      <c r="N1400" s="171" t="str">
        <f ca="1">IFERROR(IF(VLOOKUP(C1400,' Disaggregation - Section E '!A$10:N519,9,0)=0,"",VLOOKUP(C1400,' Disaggregation - Section E '!A$10:N519,9,0)),"")</f>
        <v/>
      </c>
      <c r="O1400" s="171" t="str">
        <f ca="1">IFERROR(IF(VLOOKUP(C1400,' Disaggregation - Section E '!A$10:N519,10,0)=0,"",VLOOKUP(C1400,' Disaggregation - Section E '!A$10:N519,10,0)),"")</f>
        <v/>
      </c>
    </row>
    <row r="1401" spans="1:15">
      <c r="A1401" s="166" t="b">
        <f t="shared" ca="1" si="142"/>
        <v>0</v>
      </c>
      <c r="B1401" s="166"/>
      <c r="C1401" s="172" t="str">
        <f ca="1">IF(COUNTA(D$1189:D1401)=1,"",OFFSET(B1401,-COUNTA(D$1189:D1401)+1,1))</f>
        <v>a1G3p000005dHb3EAE</v>
      </c>
      <c r="D1401" s="177"/>
      <c r="E1401" s="168" t="str">
        <f ca="1">IFERROR(IF(VLOOKUP(C1401,' Disaggregation - Section E '!A$10:J520,7,0)="","",VLOOKUP(C1401,' Disaggregation - Section E '!A$10:J520,7,0)*100),"")</f>
        <v/>
      </c>
      <c r="F1401" s="171" t="str">
        <f ca="1">IFERROR(IF(VLOOKUP(C1401,' Disaggregation - Section E '!A$10:N520,5,0)=0,"",VLOOKUP(C1401,' Disaggregation - Section E '!A$10:N520,5,0)),"")</f>
        <v/>
      </c>
      <c r="G1401" s="170" t="str">
        <f ca="1">IFERROR(IF(VLOOKUP(C1401,' Disaggregation - Section E '!A$10:N520,6,0)="","",VLOOKUP(C1401,' Disaggregation - Section E '!A$10:N520,6,0)),"")</f>
        <v/>
      </c>
      <c r="H1401" s="177" t="str">
        <f ca="1">IFERROR(IF(INDEX(' Disaggregation - Section E '!F$10:F520,MATCH(C1401,' Disaggregation - Section E '!A$10:A520,0)+1,1)&lt;&gt;0,INDEX(' Disaggregation - Section E '!F$10:F520,MATCH(C1401,' Disaggregation - Section E '!A$10:A520,0)+1,1),""),"")</f>
        <v/>
      </c>
      <c r="I1401" s="171" t="str">
        <f ca="1">IFERROR(IF(VLOOKUP(C1401,' Disaggregation - Section E '!A$10:N520,8,0)=0,"",VLOOKUP(C1401,' Disaggregation - Section E '!A$10:N520,8,0)),"")</f>
        <v/>
      </c>
      <c r="J1401" s="171" t="str">
        <f ca="1">IFERROR(IF(VLOOKUP(C1401,' Disaggregation - Section E '!A$10:N520,13,0)=0,"",VLOOKUP(C1401,' Disaggregation - Section E '!A$10:N520,13,0)),"")</f>
        <v/>
      </c>
      <c r="K1401" s="166" t="str">
        <f ca="1">IFERROR(VLOOKUP(C1401,' Disaggregation - Section E '!A$10:N520,3,0),"")</f>
        <v/>
      </c>
      <c r="L1401" s="171" t="str">
        <f ca="1">IFERROR(IF(VLOOKUP(C1401,' Disaggregation - Section E '!A$10:N520,14,0)=0,"",VLOOKUP(C1401,' Disaggregation - Section E '!A$10:N520,14,0)),"")</f>
        <v/>
      </c>
      <c r="M1401" s="166" t="str">
        <f ca="1">IFERROR(IF(VLOOKUP(C1401,' Disaggregation - Section E '!A$10:T520,20,0)=0,"",VLOOKUP(C1401,' Disaggregation - Section E '!A$10:T520,20,0)),"")</f>
        <v/>
      </c>
      <c r="N1401" s="171" t="str">
        <f ca="1">IFERROR(IF(VLOOKUP(C1401,' Disaggregation - Section E '!A$10:N520,9,0)=0,"",VLOOKUP(C1401,' Disaggregation - Section E '!A$10:N520,9,0)),"")</f>
        <v/>
      </c>
      <c r="O1401" s="171" t="str">
        <f ca="1">IFERROR(IF(VLOOKUP(C1401,' Disaggregation - Section E '!A$10:N520,10,0)=0,"",VLOOKUP(C1401,' Disaggregation - Section E '!A$10:N520,10,0)),"")</f>
        <v/>
      </c>
    </row>
    <row r="1402" spans="1:15">
      <c r="A1402" s="166" t="b">
        <f t="shared" ca="1" si="142"/>
        <v>0</v>
      </c>
      <c r="B1402" s="166"/>
      <c r="C1402" s="172" t="str">
        <f ca="1">IF(COUNTA(D$1189:D1402)=1,"",OFFSET(B1402,-COUNTA(D$1189:D1402)+1,1))</f>
        <v>a1G3p000005dHb4EAE</v>
      </c>
      <c r="D1402" s="177"/>
      <c r="E1402" s="168" t="str">
        <f ca="1">IFERROR(IF(VLOOKUP(C1402,' Disaggregation - Section E '!A$10:J521,7,0)="","",VLOOKUP(C1402,' Disaggregation - Section E '!A$10:J521,7,0)*100),"")</f>
        <v/>
      </c>
      <c r="F1402" s="171" t="str">
        <f ca="1">IFERROR(IF(VLOOKUP(C1402,' Disaggregation - Section E '!A$10:N521,5,0)=0,"",VLOOKUP(C1402,' Disaggregation - Section E '!A$10:N521,5,0)),"")</f>
        <v/>
      </c>
      <c r="G1402" s="170" t="str">
        <f ca="1">IFERROR(IF(VLOOKUP(C1402,' Disaggregation - Section E '!A$10:N521,6,0)="","",VLOOKUP(C1402,' Disaggregation - Section E '!A$10:N521,6,0)),"")</f>
        <v/>
      </c>
      <c r="H1402" s="177" t="str">
        <f ca="1">IFERROR(IF(INDEX(' Disaggregation - Section E '!F$10:F521,MATCH(C1402,' Disaggregation - Section E '!A$10:A521,0)+1,1)&lt;&gt;0,INDEX(' Disaggregation - Section E '!F$10:F521,MATCH(C1402,' Disaggregation - Section E '!A$10:A521,0)+1,1),""),"")</f>
        <v/>
      </c>
      <c r="I1402" s="171" t="str">
        <f ca="1">IFERROR(IF(VLOOKUP(C1402,' Disaggregation - Section E '!A$10:N521,8,0)=0,"",VLOOKUP(C1402,' Disaggregation - Section E '!A$10:N521,8,0)),"")</f>
        <v/>
      </c>
      <c r="J1402" s="171" t="str">
        <f ca="1">IFERROR(IF(VLOOKUP(C1402,' Disaggregation - Section E '!A$10:N521,13,0)=0,"",VLOOKUP(C1402,' Disaggregation - Section E '!A$10:N521,13,0)),"")</f>
        <v/>
      </c>
      <c r="K1402" s="166" t="str">
        <f ca="1">IFERROR(VLOOKUP(C1402,' Disaggregation - Section E '!A$10:N521,3,0),"")</f>
        <v/>
      </c>
      <c r="L1402" s="171" t="str">
        <f ca="1">IFERROR(IF(VLOOKUP(C1402,' Disaggregation - Section E '!A$10:N521,14,0)=0,"",VLOOKUP(C1402,' Disaggregation - Section E '!A$10:N521,14,0)),"")</f>
        <v/>
      </c>
      <c r="M1402" s="166" t="str">
        <f ca="1">IFERROR(IF(VLOOKUP(C1402,' Disaggregation - Section E '!A$10:T521,20,0)=0,"",VLOOKUP(C1402,' Disaggregation - Section E '!A$10:T521,20,0)),"")</f>
        <v/>
      </c>
      <c r="N1402" s="171" t="str">
        <f ca="1">IFERROR(IF(VLOOKUP(C1402,' Disaggregation - Section E '!A$10:N521,9,0)=0,"",VLOOKUP(C1402,' Disaggregation - Section E '!A$10:N521,9,0)),"")</f>
        <v/>
      </c>
      <c r="O1402" s="171" t="str">
        <f ca="1">IFERROR(IF(VLOOKUP(C1402,' Disaggregation - Section E '!A$10:N521,10,0)=0,"",VLOOKUP(C1402,' Disaggregation - Section E '!A$10:N521,10,0)),"")</f>
        <v/>
      </c>
    </row>
    <row r="1403" spans="1:15">
      <c r="A1403" s="166" t="b">
        <f t="shared" ca="1" si="142"/>
        <v>0</v>
      </c>
      <c r="B1403" s="166"/>
      <c r="C1403" s="172" t="str">
        <f ca="1">IF(COUNTA(D$1189:D1403)=1,"",OFFSET(B1403,-COUNTA(D$1189:D1403)+1,1))</f>
        <v>a1G3p000005dHb5EAE</v>
      </c>
      <c r="D1403" s="177"/>
      <c r="E1403" s="168" t="str">
        <f ca="1">IFERROR(IF(VLOOKUP(C1403,' Disaggregation - Section E '!A$10:J522,7,0)="","",VLOOKUP(C1403,' Disaggregation - Section E '!A$10:J522,7,0)*100),"")</f>
        <v/>
      </c>
      <c r="F1403" s="171" t="str">
        <f ca="1">IFERROR(IF(VLOOKUP(C1403,' Disaggregation - Section E '!A$10:N522,5,0)=0,"",VLOOKUP(C1403,' Disaggregation - Section E '!A$10:N522,5,0)),"")</f>
        <v/>
      </c>
      <c r="G1403" s="170" t="str">
        <f ca="1">IFERROR(IF(VLOOKUP(C1403,' Disaggregation - Section E '!A$10:N522,6,0)="","",VLOOKUP(C1403,' Disaggregation - Section E '!A$10:N522,6,0)),"")</f>
        <v/>
      </c>
      <c r="H1403" s="177" t="str">
        <f ca="1">IFERROR(IF(INDEX(' Disaggregation - Section E '!F$10:F522,MATCH(C1403,' Disaggregation - Section E '!A$10:A522,0)+1,1)&lt;&gt;0,INDEX(' Disaggregation - Section E '!F$10:F522,MATCH(C1403,' Disaggregation - Section E '!A$10:A522,0)+1,1),""),"")</f>
        <v/>
      </c>
      <c r="I1403" s="171" t="str">
        <f ca="1">IFERROR(IF(VLOOKUP(C1403,' Disaggregation - Section E '!A$10:N522,8,0)=0,"",VLOOKUP(C1403,' Disaggregation - Section E '!A$10:N522,8,0)),"")</f>
        <v/>
      </c>
      <c r="J1403" s="171" t="str">
        <f ca="1">IFERROR(IF(VLOOKUP(C1403,' Disaggregation - Section E '!A$10:N522,13,0)=0,"",VLOOKUP(C1403,' Disaggregation - Section E '!A$10:N522,13,0)),"")</f>
        <v/>
      </c>
      <c r="K1403" s="166" t="str">
        <f ca="1">IFERROR(VLOOKUP(C1403,' Disaggregation - Section E '!A$10:N522,3,0),"")</f>
        <v/>
      </c>
      <c r="L1403" s="171" t="str">
        <f ca="1">IFERROR(IF(VLOOKUP(C1403,' Disaggregation - Section E '!A$10:N522,14,0)=0,"",VLOOKUP(C1403,' Disaggregation - Section E '!A$10:N522,14,0)),"")</f>
        <v/>
      </c>
      <c r="M1403" s="166" t="str">
        <f ca="1">IFERROR(IF(VLOOKUP(C1403,' Disaggregation - Section E '!A$10:T522,20,0)=0,"",VLOOKUP(C1403,' Disaggregation - Section E '!A$10:T522,20,0)),"")</f>
        <v/>
      </c>
      <c r="N1403" s="171" t="str">
        <f ca="1">IFERROR(IF(VLOOKUP(C1403,' Disaggregation - Section E '!A$10:N522,9,0)=0,"",VLOOKUP(C1403,' Disaggregation - Section E '!A$10:N522,9,0)),"")</f>
        <v/>
      </c>
      <c r="O1403" s="171" t="str">
        <f ca="1">IFERROR(IF(VLOOKUP(C1403,' Disaggregation - Section E '!A$10:N522,10,0)=0,"",VLOOKUP(C1403,' Disaggregation - Section E '!A$10:N522,10,0)),"")</f>
        <v/>
      </c>
    </row>
    <row r="1404" spans="1:15">
      <c r="A1404" s="166" t="b">
        <f t="shared" ca="1" si="142"/>
        <v>0</v>
      </c>
      <c r="B1404" s="166"/>
      <c r="C1404" s="172" t="str">
        <f ca="1">IF(COUNTA(D$1189:D1404)=1,"",OFFSET(B1404,-COUNTA(D$1189:D1404)+1,1))</f>
        <v>a1G3p000005dHb6EAE</v>
      </c>
      <c r="D1404" s="177"/>
      <c r="E1404" s="168" t="str">
        <f ca="1">IFERROR(IF(VLOOKUP(C1404,' Disaggregation - Section E '!A$10:J523,7,0)="","",VLOOKUP(C1404,' Disaggregation - Section E '!A$10:J523,7,0)*100),"")</f>
        <v/>
      </c>
      <c r="F1404" s="171" t="str">
        <f ca="1">IFERROR(IF(VLOOKUP(C1404,' Disaggregation - Section E '!A$10:N523,5,0)=0,"",VLOOKUP(C1404,' Disaggregation - Section E '!A$10:N523,5,0)),"")</f>
        <v/>
      </c>
      <c r="G1404" s="170" t="str">
        <f ca="1">IFERROR(IF(VLOOKUP(C1404,' Disaggregation - Section E '!A$10:N523,6,0)="","",VLOOKUP(C1404,' Disaggregation - Section E '!A$10:N523,6,0)),"")</f>
        <v/>
      </c>
      <c r="H1404" s="177" t="str">
        <f ca="1">IFERROR(IF(INDEX(' Disaggregation - Section E '!F$10:F523,MATCH(C1404,' Disaggregation - Section E '!A$10:A523,0)+1,1)&lt;&gt;0,INDEX(' Disaggregation - Section E '!F$10:F523,MATCH(C1404,' Disaggregation - Section E '!A$10:A523,0)+1,1),""),"")</f>
        <v/>
      </c>
      <c r="I1404" s="171" t="str">
        <f ca="1">IFERROR(IF(VLOOKUP(C1404,' Disaggregation - Section E '!A$10:N523,8,0)=0,"",VLOOKUP(C1404,' Disaggregation - Section E '!A$10:N523,8,0)),"")</f>
        <v/>
      </c>
      <c r="J1404" s="171" t="str">
        <f ca="1">IFERROR(IF(VLOOKUP(C1404,' Disaggregation - Section E '!A$10:N523,13,0)=0,"",VLOOKUP(C1404,' Disaggregation - Section E '!A$10:N523,13,0)),"")</f>
        <v/>
      </c>
      <c r="K1404" s="166" t="str">
        <f ca="1">IFERROR(VLOOKUP(C1404,' Disaggregation - Section E '!A$10:N523,3,0),"")</f>
        <v/>
      </c>
      <c r="L1404" s="171" t="str">
        <f ca="1">IFERROR(IF(VLOOKUP(C1404,' Disaggregation - Section E '!A$10:N523,14,0)=0,"",VLOOKUP(C1404,' Disaggregation - Section E '!A$10:N523,14,0)),"")</f>
        <v/>
      </c>
      <c r="M1404" s="166" t="str">
        <f ca="1">IFERROR(IF(VLOOKUP(C1404,' Disaggregation - Section E '!A$10:T523,20,0)=0,"",VLOOKUP(C1404,' Disaggregation - Section E '!A$10:T523,20,0)),"")</f>
        <v/>
      </c>
      <c r="N1404" s="171" t="str">
        <f ca="1">IFERROR(IF(VLOOKUP(C1404,' Disaggregation - Section E '!A$10:N523,9,0)=0,"",VLOOKUP(C1404,' Disaggregation - Section E '!A$10:N523,9,0)),"")</f>
        <v/>
      </c>
      <c r="O1404" s="171" t="str">
        <f ca="1">IFERROR(IF(VLOOKUP(C1404,' Disaggregation - Section E '!A$10:N523,10,0)=0,"",VLOOKUP(C1404,' Disaggregation - Section E '!A$10:N523,10,0)),"")</f>
        <v/>
      </c>
    </row>
    <row r="1405" spans="1:15">
      <c r="A1405" s="166" t="b">
        <f t="shared" ref="A1405:A1415" ca="1" si="143">IF(M1405&lt;&gt;"",TRUE,FALSE)</f>
        <v>0</v>
      </c>
      <c r="B1405" s="166"/>
      <c r="C1405" s="172" t="str">
        <f ca="1">IF(COUNTA(D$1189:D1405)=1,"",OFFSET(B1405,-COUNTA(D$1189:D1405)+1,1))</f>
        <v>a1G3p000005dHb7EAE</v>
      </c>
      <c r="D1405" s="177"/>
      <c r="E1405" s="168" t="str">
        <f ca="1">IFERROR(IF(VLOOKUP(C1405,' Disaggregation - Section E '!A$10:J524,7,0)="","",VLOOKUP(C1405,' Disaggregation - Section E '!A$10:J524,7,0)*100),"")</f>
        <v/>
      </c>
      <c r="F1405" s="171" t="str">
        <f ca="1">IFERROR(IF(VLOOKUP(C1405,' Disaggregation - Section E '!A$10:N524,5,0)=0,"",VLOOKUP(C1405,' Disaggregation - Section E '!A$10:N524,5,0)),"")</f>
        <v/>
      </c>
      <c r="G1405" s="170" t="str">
        <f ca="1">IFERROR(IF(VLOOKUP(C1405,' Disaggregation - Section E '!A$10:N524,6,0)="","",VLOOKUP(C1405,' Disaggregation - Section E '!A$10:N524,6,0)),"")</f>
        <v/>
      </c>
      <c r="H1405" s="177" t="str">
        <f ca="1">IFERROR(IF(INDEX(' Disaggregation - Section E '!F$10:F524,MATCH(C1405,' Disaggregation - Section E '!A$10:A524,0)+1,1)&lt;&gt;0,INDEX(' Disaggregation - Section E '!F$10:F524,MATCH(C1405,' Disaggregation - Section E '!A$10:A524,0)+1,1),""),"")</f>
        <v/>
      </c>
      <c r="I1405" s="171" t="str">
        <f ca="1">IFERROR(IF(VLOOKUP(C1405,' Disaggregation - Section E '!A$10:N524,8,0)=0,"",VLOOKUP(C1405,' Disaggregation - Section E '!A$10:N524,8,0)),"")</f>
        <v/>
      </c>
      <c r="J1405" s="171" t="str">
        <f ca="1">IFERROR(IF(VLOOKUP(C1405,' Disaggregation - Section E '!A$10:N524,13,0)=0,"",VLOOKUP(C1405,' Disaggregation - Section E '!A$10:N524,13,0)),"")</f>
        <v/>
      </c>
      <c r="K1405" s="166" t="str">
        <f ca="1">IFERROR(VLOOKUP(C1405,' Disaggregation - Section E '!A$10:N524,3,0),"")</f>
        <v/>
      </c>
      <c r="L1405" s="171" t="str">
        <f ca="1">IFERROR(IF(VLOOKUP(C1405,' Disaggregation - Section E '!A$10:N524,14,0)=0,"",VLOOKUP(C1405,' Disaggregation - Section E '!A$10:N524,14,0)),"")</f>
        <v/>
      </c>
      <c r="M1405" s="166" t="str">
        <f ca="1">IFERROR(IF(VLOOKUP(C1405,' Disaggregation - Section E '!A$10:T524,20,0)=0,"",VLOOKUP(C1405,' Disaggregation - Section E '!A$10:T524,20,0)),"")</f>
        <v/>
      </c>
      <c r="N1405" s="171" t="str">
        <f ca="1">IFERROR(IF(VLOOKUP(C1405,' Disaggregation - Section E '!A$10:N524,9,0)=0,"",VLOOKUP(C1405,' Disaggregation - Section E '!A$10:N524,9,0)),"")</f>
        <v/>
      </c>
      <c r="O1405" s="171" t="str">
        <f ca="1">IFERROR(IF(VLOOKUP(C1405,' Disaggregation - Section E '!A$10:N524,10,0)=0,"",VLOOKUP(C1405,' Disaggregation - Section E '!A$10:N524,10,0)),"")</f>
        <v/>
      </c>
    </row>
    <row r="1406" spans="1:15">
      <c r="A1406" s="166" t="b">
        <f t="shared" ca="1" si="143"/>
        <v>0</v>
      </c>
      <c r="B1406" s="166"/>
      <c r="C1406" s="172" t="str">
        <f ca="1">IF(COUNTA(D$1189:D1406)=1,"",OFFSET(B1406,-COUNTA(D$1189:D1406)+1,1))</f>
        <v>a1G3p000005dHb8EAE</v>
      </c>
      <c r="D1406" s="177"/>
      <c r="E1406" s="168" t="str">
        <f ca="1">IFERROR(IF(VLOOKUP(C1406,' Disaggregation - Section E '!A$10:J525,7,0)="","",VLOOKUP(C1406,' Disaggregation - Section E '!A$10:J525,7,0)*100),"")</f>
        <v/>
      </c>
      <c r="F1406" s="171" t="str">
        <f ca="1">IFERROR(IF(VLOOKUP(C1406,' Disaggregation - Section E '!A$10:N525,5,0)=0,"",VLOOKUP(C1406,' Disaggregation - Section E '!A$10:N525,5,0)),"")</f>
        <v/>
      </c>
      <c r="G1406" s="170" t="str">
        <f ca="1">IFERROR(IF(VLOOKUP(C1406,' Disaggregation - Section E '!A$10:N525,6,0)="","",VLOOKUP(C1406,' Disaggregation - Section E '!A$10:N525,6,0)),"")</f>
        <v/>
      </c>
      <c r="H1406" s="177" t="str">
        <f ca="1">IFERROR(IF(INDEX(' Disaggregation - Section E '!F$10:F525,MATCH(C1406,' Disaggregation - Section E '!A$10:A525,0)+1,1)&lt;&gt;0,INDEX(' Disaggregation - Section E '!F$10:F525,MATCH(C1406,' Disaggregation - Section E '!A$10:A525,0)+1,1),""),"")</f>
        <v/>
      </c>
      <c r="I1406" s="171" t="str">
        <f ca="1">IFERROR(IF(VLOOKUP(C1406,' Disaggregation - Section E '!A$10:N525,8,0)=0,"",VLOOKUP(C1406,' Disaggregation - Section E '!A$10:N525,8,0)),"")</f>
        <v/>
      </c>
      <c r="J1406" s="171" t="str">
        <f ca="1">IFERROR(IF(VLOOKUP(C1406,' Disaggregation - Section E '!A$10:N525,13,0)=0,"",VLOOKUP(C1406,' Disaggregation - Section E '!A$10:N525,13,0)),"")</f>
        <v/>
      </c>
      <c r="K1406" s="166" t="str">
        <f ca="1">IFERROR(VLOOKUP(C1406,' Disaggregation - Section E '!A$10:N525,3,0),"")</f>
        <v/>
      </c>
      <c r="L1406" s="171" t="str">
        <f ca="1">IFERROR(IF(VLOOKUP(C1406,' Disaggregation - Section E '!A$10:N525,14,0)=0,"",VLOOKUP(C1406,' Disaggregation - Section E '!A$10:N525,14,0)),"")</f>
        <v/>
      </c>
      <c r="M1406" s="166" t="str">
        <f ca="1">IFERROR(IF(VLOOKUP(C1406,' Disaggregation - Section E '!A$10:T525,20,0)=0,"",VLOOKUP(C1406,' Disaggregation - Section E '!A$10:T525,20,0)),"")</f>
        <v/>
      </c>
      <c r="N1406" s="171" t="str">
        <f ca="1">IFERROR(IF(VLOOKUP(C1406,' Disaggregation - Section E '!A$10:N525,9,0)=0,"",VLOOKUP(C1406,' Disaggregation - Section E '!A$10:N525,9,0)),"")</f>
        <v/>
      </c>
      <c r="O1406" s="171" t="str">
        <f ca="1">IFERROR(IF(VLOOKUP(C1406,' Disaggregation - Section E '!A$10:N525,10,0)=0,"",VLOOKUP(C1406,' Disaggregation - Section E '!A$10:N525,10,0)),"")</f>
        <v/>
      </c>
    </row>
    <row r="1407" spans="1:15">
      <c r="A1407" s="166" t="b">
        <f t="shared" ca="1" si="143"/>
        <v>0</v>
      </c>
      <c r="B1407" s="166"/>
      <c r="C1407" s="172" t="str">
        <f ca="1">IF(COUNTA(D$1189:D1407)=1,"",OFFSET(B1407,-COUNTA(D$1189:D1407)+1,1))</f>
        <v>a1G3p000005dHb9EAE</v>
      </c>
      <c r="D1407" s="177"/>
      <c r="E1407" s="168" t="str">
        <f ca="1">IFERROR(IF(VLOOKUP(C1407,' Disaggregation - Section E '!A$10:J526,7,0)="","",VLOOKUP(C1407,' Disaggregation - Section E '!A$10:J526,7,0)*100),"")</f>
        <v/>
      </c>
      <c r="F1407" s="171" t="str">
        <f ca="1">IFERROR(IF(VLOOKUP(C1407,' Disaggregation - Section E '!A$10:N526,5,0)=0,"",VLOOKUP(C1407,' Disaggregation - Section E '!A$10:N526,5,0)),"")</f>
        <v/>
      </c>
      <c r="G1407" s="170" t="str">
        <f ca="1">IFERROR(IF(VLOOKUP(C1407,' Disaggregation - Section E '!A$10:N526,6,0)="","",VLOOKUP(C1407,' Disaggregation - Section E '!A$10:N526,6,0)),"")</f>
        <v/>
      </c>
      <c r="H1407" s="177" t="str">
        <f ca="1">IFERROR(IF(INDEX(' Disaggregation - Section E '!F$10:F526,MATCH(C1407,' Disaggregation - Section E '!A$10:A526,0)+1,1)&lt;&gt;0,INDEX(' Disaggregation - Section E '!F$10:F526,MATCH(C1407,' Disaggregation - Section E '!A$10:A526,0)+1,1),""),"")</f>
        <v/>
      </c>
      <c r="I1407" s="171" t="str">
        <f ca="1">IFERROR(IF(VLOOKUP(C1407,' Disaggregation - Section E '!A$10:N526,8,0)=0,"",VLOOKUP(C1407,' Disaggregation - Section E '!A$10:N526,8,0)),"")</f>
        <v/>
      </c>
      <c r="J1407" s="171" t="str">
        <f ca="1">IFERROR(IF(VLOOKUP(C1407,' Disaggregation - Section E '!A$10:N526,13,0)=0,"",VLOOKUP(C1407,' Disaggregation - Section E '!A$10:N526,13,0)),"")</f>
        <v/>
      </c>
      <c r="K1407" s="166" t="str">
        <f ca="1">IFERROR(VLOOKUP(C1407,' Disaggregation - Section E '!A$10:N526,3,0),"")</f>
        <v/>
      </c>
      <c r="L1407" s="171" t="str">
        <f ca="1">IFERROR(IF(VLOOKUP(C1407,' Disaggregation - Section E '!A$10:N526,14,0)=0,"",VLOOKUP(C1407,' Disaggregation - Section E '!A$10:N526,14,0)),"")</f>
        <v/>
      </c>
      <c r="M1407" s="166" t="str">
        <f ca="1">IFERROR(IF(VLOOKUP(C1407,' Disaggregation - Section E '!A$10:T526,20,0)=0,"",VLOOKUP(C1407,' Disaggregation - Section E '!A$10:T526,20,0)),"")</f>
        <v/>
      </c>
      <c r="N1407" s="171" t="str">
        <f ca="1">IFERROR(IF(VLOOKUP(C1407,' Disaggregation - Section E '!A$10:N526,9,0)=0,"",VLOOKUP(C1407,' Disaggregation - Section E '!A$10:N526,9,0)),"")</f>
        <v/>
      </c>
      <c r="O1407" s="171" t="str">
        <f ca="1">IFERROR(IF(VLOOKUP(C1407,' Disaggregation - Section E '!A$10:N526,10,0)=0,"",VLOOKUP(C1407,' Disaggregation - Section E '!A$10:N526,10,0)),"")</f>
        <v/>
      </c>
    </row>
    <row r="1408" spans="1:15">
      <c r="A1408" s="166" t="b">
        <f t="shared" ca="1" si="143"/>
        <v>0</v>
      </c>
      <c r="B1408" s="166"/>
      <c r="C1408" s="172" t="str">
        <f ca="1">IF(COUNTA(D$1189:D1408)=1,"",OFFSET(B1408,-COUNTA(D$1189:D1408)+1,1))</f>
        <v>a1G3p000005dHbAEAU</v>
      </c>
      <c r="D1408" s="177"/>
      <c r="E1408" s="168" t="str">
        <f ca="1">IFERROR(IF(VLOOKUP(C1408,' Disaggregation - Section E '!A$10:J527,7,0)="","",VLOOKUP(C1408,' Disaggregation - Section E '!A$10:J527,7,0)*100),"")</f>
        <v/>
      </c>
      <c r="F1408" s="171" t="str">
        <f ca="1">IFERROR(IF(VLOOKUP(C1408,' Disaggregation - Section E '!A$10:N527,5,0)=0,"",VLOOKUP(C1408,' Disaggregation - Section E '!A$10:N527,5,0)),"")</f>
        <v/>
      </c>
      <c r="G1408" s="170" t="str">
        <f ca="1">IFERROR(IF(VLOOKUP(C1408,' Disaggregation - Section E '!A$10:N527,6,0)="","",VLOOKUP(C1408,' Disaggregation - Section E '!A$10:N527,6,0)),"")</f>
        <v/>
      </c>
      <c r="H1408" s="177" t="str">
        <f ca="1">IFERROR(IF(INDEX(' Disaggregation - Section E '!F$10:F527,MATCH(C1408,' Disaggregation - Section E '!A$10:A527,0)+1,1)&lt;&gt;0,INDEX(' Disaggregation - Section E '!F$10:F527,MATCH(C1408,' Disaggregation - Section E '!A$10:A527,0)+1,1),""),"")</f>
        <v/>
      </c>
      <c r="I1408" s="171" t="str">
        <f ca="1">IFERROR(IF(VLOOKUP(C1408,' Disaggregation - Section E '!A$10:N527,8,0)=0,"",VLOOKUP(C1408,' Disaggregation - Section E '!A$10:N527,8,0)),"")</f>
        <v/>
      </c>
      <c r="J1408" s="171" t="str">
        <f ca="1">IFERROR(IF(VLOOKUP(C1408,' Disaggregation - Section E '!A$10:N527,13,0)=0,"",VLOOKUP(C1408,' Disaggregation - Section E '!A$10:N527,13,0)),"")</f>
        <v/>
      </c>
      <c r="K1408" s="166" t="str">
        <f ca="1">IFERROR(VLOOKUP(C1408,' Disaggregation - Section E '!A$10:N527,3,0),"")</f>
        <v/>
      </c>
      <c r="L1408" s="171" t="str">
        <f ca="1">IFERROR(IF(VLOOKUP(C1408,' Disaggregation - Section E '!A$10:N527,14,0)=0,"",VLOOKUP(C1408,' Disaggregation - Section E '!A$10:N527,14,0)),"")</f>
        <v/>
      </c>
      <c r="M1408" s="166" t="str">
        <f ca="1">IFERROR(IF(VLOOKUP(C1408,' Disaggregation - Section E '!A$10:T527,20,0)=0,"",VLOOKUP(C1408,' Disaggregation - Section E '!A$10:T527,20,0)),"")</f>
        <v/>
      </c>
      <c r="N1408" s="171" t="str">
        <f ca="1">IFERROR(IF(VLOOKUP(C1408,' Disaggregation - Section E '!A$10:N527,9,0)=0,"",VLOOKUP(C1408,' Disaggregation - Section E '!A$10:N527,9,0)),"")</f>
        <v/>
      </c>
      <c r="O1408" s="171" t="str">
        <f ca="1">IFERROR(IF(VLOOKUP(C1408,' Disaggregation - Section E '!A$10:N527,10,0)=0,"",VLOOKUP(C1408,' Disaggregation - Section E '!A$10:N527,10,0)),"")</f>
        <v/>
      </c>
    </row>
    <row r="1409" spans="1:16">
      <c r="A1409" s="166" t="b">
        <f t="shared" ca="1" si="143"/>
        <v>0</v>
      </c>
      <c r="B1409" s="166"/>
      <c r="C1409" s="172" t="str">
        <f ca="1">IF(COUNTA(D$1189:D1409)=1,"",OFFSET(B1409,-COUNTA(D$1189:D1409)+1,1))</f>
        <v>a1G3p000005dHbBEAU</v>
      </c>
      <c r="D1409" s="177"/>
      <c r="E1409" s="168" t="str">
        <f ca="1">IFERROR(IF(VLOOKUP(C1409,' Disaggregation - Section E '!A$10:J528,7,0)="","",VLOOKUP(C1409,' Disaggregation - Section E '!A$10:J528,7,0)*100),"")</f>
        <v/>
      </c>
      <c r="F1409" s="171" t="str">
        <f ca="1">IFERROR(IF(VLOOKUP(C1409,' Disaggregation - Section E '!A$10:N528,5,0)=0,"",VLOOKUP(C1409,' Disaggregation - Section E '!A$10:N528,5,0)),"")</f>
        <v/>
      </c>
      <c r="G1409" s="170" t="str">
        <f ca="1">IFERROR(IF(VLOOKUP(C1409,' Disaggregation - Section E '!A$10:N528,6,0)="","",VLOOKUP(C1409,' Disaggregation - Section E '!A$10:N528,6,0)),"")</f>
        <v/>
      </c>
      <c r="H1409" s="177" t="str">
        <f ca="1">IFERROR(IF(INDEX(' Disaggregation - Section E '!F$10:F528,MATCH(C1409,' Disaggregation - Section E '!A$10:A528,0)+1,1)&lt;&gt;0,INDEX(' Disaggregation - Section E '!F$10:F528,MATCH(C1409,' Disaggregation - Section E '!A$10:A528,0)+1,1),""),"")</f>
        <v/>
      </c>
      <c r="I1409" s="171" t="str">
        <f ca="1">IFERROR(IF(VLOOKUP(C1409,' Disaggregation - Section E '!A$10:N528,8,0)=0,"",VLOOKUP(C1409,' Disaggregation - Section E '!A$10:N528,8,0)),"")</f>
        <v/>
      </c>
      <c r="J1409" s="171" t="str">
        <f ca="1">IFERROR(IF(VLOOKUP(C1409,' Disaggregation - Section E '!A$10:N528,13,0)=0,"",VLOOKUP(C1409,' Disaggregation - Section E '!A$10:N528,13,0)),"")</f>
        <v/>
      </c>
      <c r="K1409" s="166" t="str">
        <f ca="1">IFERROR(VLOOKUP(C1409,' Disaggregation - Section E '!A$10:N528,3,0),"")</f>
        <v/>
      </c>
      <c r="L1409" s="171" t="str">
        <f ca="1">IFERROR(IF(VLOOKUP(C1409,' Disaggregation - Section E '!A$10:N528,14,0)=0,"",VLOOKUP(C1409,' Disaggregation - Section E '!A$10:N528,14,0)),"")</f>
        <v/>
      </c>
      <c r="M1409" s="166" t="str">
        <f ca="1">IFERROR(IF(VLOOKUP(C1409,' Disaggregation - Section E '!A$10:T528,20,0)=0,"",VLOOKUP(C1409,' Disaggregation - Section E '!A$10:T528,20,0)),"")</f>
        <v/>
      </c>
      <c r="N1409" s="171" t="str">
        <f ca="1">IFERROR(IF(VLOOKUP(C1409,' Disaggregation - Section E '!A$10:N528,9,0)=0,"",VLOOKUP(C1409,' Disaggregation - Section E '!A$10:N528,9,0)),"")</f>
        <v/>
      </c>
      <c r="O1409" s="171" t="str">
        <f ca="1">IFERROR(IF(VLOOKUP(C1409,' Disaggregation - Section E '!A$10:N528,10,0)=0,"",VLOOKUP(C1409,' Disaggregation - Section E '!A$10:N528,10,0)),"")</f>
        <v/>
      </c>
    </row>
    <row r="1410" spans="1:16">
      <c r="A1410" s="166" t="b">
        <f t="shared" ca="1" si="143"/>
        <v>0</v>
      </c>
      <c r="B1410" s="166"/>
      <c r="C1410" s="172" t="str">
        <f ca="1">IF(COUNTA(D$1189:D1410)=1,"",OFFSET(B1410,-COUNTA(D$1189:D1410)+1,1))</f>
        <v>a1G3p000005dHbCEAU</v>
      </c>
      <c r="D1410" s="177"/>
      <c r="E1410" s="168" t="str">
        <f ca="1">IFERROR(IF(VLOOKUP(C1410,' Disaggregation - Section E '!A$10:J529,7,0)="","",VLOOKUP(C1410,' Disaggregation - Section E '!A$10:J529,7,0)*100),"")</f>
        <v/>
      </c>
      <c r="F1410" s="171" t="str">
        <f ca="1">IFERROR(IF(VLOOKUP(C1410,' Disaggregation - Section E '!A$10:N529,5,0)=0,"",VLOOKUP(C1410,' Disaggregation - Section E '!A$10:N529,5,0)),"")</f>
        <v/>
      </c>
      <c r="G1410" s="170" t="str">
        <f ca="1">IFERROR(IF(VLOOKUP(C1410,' Disaggregation - Section E '!A$10:N529,6,0)="","",VLOOKUP(C1410,' Disaggregation - Section E '!A$10:N529,6,0)),"")</f>
        <v/>
      </c>
      <c r="H1410" s="177" t="str">
        <f ca="1">IFERROR(IF(INDEX(' Disaggregation - Section E '!F$10:F529,MATCH(C1410,' Disaggregation - Section E '!A$10:A529,0)+1,1)&lt;&gt;0,INDEX(' Disaggregation - Section E '!F$10:F529,MATCH(C1410,' Disaggregation - Section E '!A$10:A529,0)+1,1),""),"")</f>
        <v/>
      </c>
      <c r="I1410" s="171" t="str">
        <f ca="1">IFERROR(IF(VLOOKUP(C1410,' Disaggregation - Section E '!A$10:N529,8,0)=0,"",VLOOKUP(C1410,' Disaggregation - Section E '!A$10:N529,8,0)),"")</f>
        <v/>
      </c>
      <c r="J1410" s="171" t="str">
        <f ca="1">IFERROR(IF(VLOOKUP(C1410,' Disaggregation - Section E '!A$10:N529,13,0)=0,"",VLOOKUP(C1410,' Disaggregation - Section E '!A$10:N529,13,0)),"")</f>
        <v/>
      </c>
      <c r="K1410" s="166" t="str">
        <f ca="1">IFERROR(VLOOKUP(C1410,' Disaggregation - Section E '!A$10:N529,3,0),"")</f>
        <v/>
      </c>
      <c r="L1410" s="171" t="str">
        <f ca="1">IFERROR(IF(VLOOKUP(C1410,' Disaggregation - Section E '!A$10:N529,14,0)=0,"",VLOOKUP(C1410,' Disaggregation - Section E '!A$10:N529,14,0)),"")</f>
        <v/>
      </c>
      <c r="M1410" s="166" t="str">
        <f ca="1">IFERROR(IF(VLOOKUP(C1410,' Disaggregation - Section E '!A$10:T529,20,0)=0,"",VLOOKUP(C1410,' Disaggregation - Section E '!A$10:T529,20,0)),"")</f>
        <v/>
      </c>
      <c r="N1410" s="171" t="str">
        <f ca="1">IFERROR(IF(VLOOKUP(C1410,' Disaggregation - Section E '!A$10:N529,9,0)=0,"",VLOOKUP(C1410,' Disaggregation - Section E '!A$10:N529,9,0)),"")</f>
        <v/>
      </c>
      <c r="O1410" s="171" t="str">
        <f ca="1">IFERROR(IF(VLOOKUP(C1410,' Disaggregation - Section E '!A$10:N529,10,0)=0,"",VLOOKUP(C1410,' Disaggregation - Section E '!A$10:N529,10,0)),"")</f>
        <v/>
      </c>
    </row>
    <row r="1411" spans="1:16">
      <c r="A1411" s="166" t="b">
        <f t="shared" ca="1" si="143"/>
        <v>0</v>
      </c>
      <c r="B1411" s="166"/>
      <c r="C1411" s="172" t="str">
        <f ca="1">IF(COUNTA(D$1189:D1411)=1,"",OFFSET(B1411,-COUNTA(D$1189:D1411)+1,1))</f>
        <v>a1G3p000005dHbDEAU</v>
      </c>
      <c r="D1411" s="177"/>
      <c r="E1411" s="168" t="str">
        <f ca="1">IFERROR(IF(VLOOKUP(C1411,' Disaggregation - Section E '!A$10:J530,7,0)="","",VLOOKUP(C1411,' Disaggregation - Section E '!A$10:J530,7,0)*100),"")</f>
        <v/>
      </c>
      <c r="F1411" s="171" t="str">
        <f ca="1">IFERROR(IF(VLOOKUP(C1411,' Disaggregation - Section E '!A$10:N530,5,0)=0,"",VLOOKUP(C1411,' Disaggregation - Section E '!A$10:N530,5,0)),"")</f>
        <v/>
      </c>
      <c r="G1411" s="170" t="str">
        <f ca="1">IFERROR(IF(VLOOKUP(C1411,' Disaggregation - Section E '!A$10:N530,6,0)="","",VLOOKUP(C1411,' Disaggregation - Section E '!A$10:N530,6,0)),"")</f>
        <v/>
      </c>
      <c r="H1411" s="177" t="str">
        <f ca="1">IFERROR(IF(INDEX(' Disaggregation - Section E '!F$10:F530,MATCH(C1411,' Disaggregation - Section E '!A$10:A530,0)+1,1)&lt;&gt;0,INDEX(' Disaggregation - Section E '!F$10:F530,MATCH(C1411,' Disaggregation - Section E '!A$10:A530,0)+1,1),""),"")</f>
        <v/>
      </c>
      <c r="I1411" s="171" t="str">
        <f ca="1">IFERROR(IF(VLOOKUP(C1411,' Disaggregation - Section E '!A$10:N530,8,0)=0,"",VLOOKUP(C1411,' Disaggregation - Section E '!A$10:N530,8,0)),"")</f>
        <v/>
      </c>
      <c r="J1411" s="171" t="str">
        <f ca="1">IFERROR(IF(VLOOKUP(C1411,' Disaggregation - Section E '!A$10:N530,13,0)=0,"",VLOOKUP(C1411,' Disaggregation - Section E '!A$10:N530,13,0)),"")</f>
        <v/>
      </c>
      <c r="K1411" s="166" t="str">
        <f ca="1">IFERROR(VLOOKUP(C1411,' Disaggregation - Section E '!A$10:N530,3,0),"")</f>
        <v/>
      </c>
      <c r="L1411" s="171" t="str">
        <f ca="1">IFERROR(IF(VLOOKUP(C1411,' Disaggregation - Section E '!A$10:N530,14,0)=0,"",VLOOKUP(C1411,' Disaggregation - Section E '!A$10:N530,14,0)),"")</f>
        <v/>
      </c>
      <c r="M1411" s="166" t="str">
        <f ca="1">IFERROR(IF(VLOOKUP(C1411,' Disaggregation - Section E '!A$10:T530,20,0)=0,"",VLOOKUP(C1411,' Disaggregation - Section E '!A$10:T530,20,0)),"")</f>
        <v/>
      </c>
      <c r="N1411" s="171" t="str">
        <f ca="1">IFERROR(IF(VLOOKUP(C1411,' Disaggregation - Section E '!A$10:N530,9,0)=0,"",VLOOKUP(C1411,' Disaggregation - Section E '!A$10:N530,9,0)),"")</f>
        <v/>
      </c>
      <c r="O1411" s="171" t="str">
        <f ca="1">IFERROR(IF(VLOOKUP(C1411,' Disaggregation - Section E '!A$10:N530,10,0)=0,"",VLOOKUP(C1411,' Disaggregation - Section E '!A$10:N530,10,0)),"")</f>
        <v/>
      </c>
    </row>
    <row r="1412" spans="1:16">
      <c r="A1412" s="166" t="b">
        <f t="shared" ca="1" si="143"/>
        <v>0</v>
      </c>
      <c r="B1412" s="166"/>
      <c r="C1412" s="172" t="str">
        <f ca="1">IF(COUNTA(D$1189:D1412)=1,"",OFFSET(B1412,-COUNTA(D$1189:D1412)+1,1))</f>
        <v>a1G3p000005dHbEEAU</v>
      </c>
      <c r="D1412" s="177"/>
      <c r="E1412" s="168" t="str">
        <f ca="1">IFERROR(IF(VLOOKUP(C1412,' Disaggregation - Section E '!A$10:J531,7,0)="","",VLOOKUP(C1412,' Disaggregation - Section E '!A$10:J531,7,0)*100),"")</f>
        <v/>
      </c>
      <c r="F1412" s="171" t="str">
        <f ca="1">IFERROR(IF(VLOOKUP(C1412,' Disaggregation - Section E '!A$10:N531,5,0)=0,"",VLOOKUP(C1412,' Disaggregation - Section E '!A$10:N531,5,0)),"")</f>
        <v/>
      </c>
      <c r="G1412" s="170" t="str">
        <f ca="1">IFERROR(IF(VLOOKUP(C1412,' Disaggregation - Section E '!A$10:N531,6,0)="","",VLOOKUP(C1412,' Disaggregation - Section E '!A$10:N531,6,0)),"")</f>
        <v/>
      </c>
      <c r="H1412" s="177" t="str">
        <f ca="1">IFERROR(IF(INDEX(' Disaggregation - Section E '!F$10:F531,MATCH(C1412,' Disaggregation - Section E '!A$10:A531,0)+1,1)&lt;&gt;0,INDEX(' Disaggregation - Section E '!F$10:F531,MATCH(C1412,' Disaggregation - Section E '!A$10:A531,0)+1,1),""),"")</f>
        <v/>
      </c>
      <c r="I1412" s="171" t="str">
        <f ca="1">IFERROR(IF(VLOOKUP(C1412,' Disaggregation - Section E '!A$10:N531,8,0)=0,"",VLOOKUP(C1412,' Disaggregation - Section E '!A$10:N531,8,0)),"")</f>
        <v/>
      </c>
      <c r="J1412" s="171" t="str">
        <f ca="1">IFERROR(IF(VLOOKUP(C1412,' Disaggregation - Section E '!A$10:N531,13,0)=0,"",VLOOKUP(C1412,' Disaggregation - Section E '!A$10:N531,13,0)),"")</f>
        <v/>
      </c>
      <c r="K1412" s="166" t="str">
        <f ca="1">IFERROR(VLOOKUP(C1412,' Disaggregation - Section E '!A$10:N531,3,0),"")</f>
        <v/>
      </c>
      <c r="L1412" s="171" t="str">
        <f ca="1">IFERROR(IF(VLOOKUP(C1412,' Disaggregation - Section E '!A$10:N531,14,0)=0,"",VLOOKUP(C1412,' Disaggregation - Section E '!A$10:N531,14,0)),"")</f>
        <v/>
      </c>
      <c r="M1412" s="166" t="str">
        <f ca="1">IFERROR(IF(VLOOKUP(C1412,' Disaggregation - Section E '!A$10:T531,20,0)=0,"",VLOOKUP(C1412,' Disaggregation - Section E '!A$10:T531,20,0)),"")</f>
        <v/>
      </c>
      <c r="N1412" s="171" t="str">
        <f ca="1">IFERROR(IF(VLOOKUP(C1412,' Disaggregation - Section E '!A$10:N531,9,0)=0,"",VLOOKUP(C1412,' Disaggregation - Section E '!A$10:N531,9,0)),"")</f>
        <v/>
      </c>
      <c r="O1412" s="171" t="str">
        <f ca="1">IFERROR(IF(VLOOKUP(C1412,' Disaggregation - Section E '!A$10:N531,10,0)=0,"",VLOOKUP(C1412,' Disaggregation - Section E '!A$10:N531,10,0)),"")</f>
        <v/>
      </c>
    </row>
    <row r="1413" spans="1:16">
      <c r="A1413" s="166" t="b">
        <f t="shared" ca="1" si="143"/>
        <v>0</v>
      </c>
      <c r="B1413" s="166"/>
      <c r="C1413" s="172" t="str">
        <f ca="1">IF(COUNTA(D$1189:D1413)=1,"",OFFSET(B1413,-COUNTA(D$1189:D1413)+1,1))</f>
        <v>a1G3p000005dHbFEAU</v>
      </c>
      <c r="D1413" s="177"/>
      <c r="E1413" s="168" t="str">
        <f ca="1">IFERROR(IF(VLOOKUP(C1413,' Disaggregation - Section E '!A$10:J532,7,0)="","",VLOOKUP(C1413,' Disaggregation - Section E '!A$10:J532,7,0)*100),"")</f>
        <v/>
      </c>
      <c r="F1413" s="171" t="str">
        <f ca="1">IFERROR(IF(VLOOKUP(C1413,' Disaggregation - Section E '!A$10:N532,5,0)=0,"",VLOOKUP(C1413,' Disaggregation - Section E '!A$10:N532,5,0)),"")</f>
        <v/>
      </c>
      <c r="G1413" s="170" t="str">
        <f ca="1">IFERROR(IF(VLOOKUP(C1413,' Disaggregation - Section E '!A$10:N532,6,0)="","",VLOOKUP(C1413,' Disaggregation - Section E '!A$10:N532,6,0)),"")</f>
        <v/>
      </c>
      <c r="H1413" s="177" t="str">
        <f ca="1">IFERROR(IF(INDEX(' Disaggregation - Section E '!F$10:F532,MATCH(C1413,' Disaggregation - Section E '!A$10:A532,0)+1,1)&lt;&gt;0,INDEX(' Disaggregation - Section E '!F$10:F532,MATCH(C1413,' Disaggregation - Section E '!A$10:A532,0)+1,1),""),"")</f>
        <v/>
      </c>
      <c r="I1413" s="171" t="str">
        <f ca="1">IFERROR(IF(VLOOKUP(C1413,' Disaggregation - Section E '!A$10:N532,8,0)=0,"",VLOOKUP(C1413,' Disaggregation - Section E '!A$10:N532,8,0)),"")</f>
        <v/>
      </c>
      <c r="J1413" s="171" t="str">
        <f ca="1">IFERROR(IF(VLOOKUP(C1413,' Disaggregation - Section E '!A$10:N532,13,0)=0,"",VLOOKUP(C1413,' Disaggregation - Section E '!A$10:N532,13,0)),"")</f>
        <v/>
      </c>
      <c r="K1413" s="166" t="str">
        <f ca="1">IFERROR(VLOOKUP(C1413,' Disaggregation - Section E '!A$10:N532,3,0),"")</f>
        <v/>
      </c>
      <c r="L1413" s="171" t="str">
        <f ca="1">IFERROR(IF(VLOOKUP(C1413,' Disaggregation - Section E '!A$10:N532,14,0)=0,"",VLOOKUP(C1413,' Disaggregation - Section E '!A$10:N532,14,0)),"")</f>
        <v/>
      </c>
      <c r="M1413" s="166" t="str">
        <f ca="1">IFERROR(IF(VLOOKUP(C1413,' Disaggregation - Section E '!A$10:T532,20,0)=0,"",VLOOKUP(C1413,' Disaggregation - Section E '!A$10:T532,20,0)),"")</f>
        <v/>
      </c>
      <c r="N1413" s="171" t="str">
        <f ca="1">IFERROR(IF(VLOOKUP(C1413,' Disaggregation - Section E '!A$10:N532,9,0)=0,"",VLOOKUP(C1413,' Disaggregation - Section E '!A$10:N532,9,0)),"")</f>
        <v/>
      </c>
      <c r="O1413" s="171" t="str">
        <f ca="1">IFERROR(IF(VLOOKUP(C1413,' Disaggregation - Section E '!A$10:N532,10,0)=0,"",VLOOKUP(C1413,' Disaggregation - Section E '!A$10:N532,10,0)),"")</f>
        <v/>
      </c>
    </row>
    <row r="1414" spans="1:16">
      <c r="A1414" s="166" t="b">
        <f t="shared" ca="1" si="143"/>
        <v>0</v>
      </c>
      <c r="B1414" s="166"/>
      <c r="C1414" s="172" t="str">
        <f ca="1">IF(COUNTA(D$1189:D1414)=1,"",OFFSET(B1414,-COUNTA(D$1189:D1414)+1,1))</f>
        <v>a1G3p000005dHbGEAU</v>
      </c>
      <c r="D1414" s="177"/>
      <c r="E1414" s="168" t="str">
        <f ca="1">IFERROR(IF(VLOOKUP(C1414,' Disaggregation - Section E '!A$10:J533,7,0)="","",VLOOKUP(C1414,' Disaggregation - Section E '!A$10:J533,7,0)*100),"")</f>
        <v/>
      </c>
      <c r="F1414" s="171" t="str">
        <f ca="1">IFERROR(IF(VLOOKUP(C1414,' Disaggregation - Section E '!A$10:N533,5,0)=0,"",VLOOKUP(C1414,' Disaggregation - Section E '!A$10:N533,5,0)),"")</f>
        <v/>
      </c>
      <c r="G1414" s="170" t="str">
        <f ca="1">IFERROR(IF(VLOOKUP(C1414,' Disaggregation - Section E '!A$10:N533,6,0)="","",VLOOKUP(C1414,' Disaggregation - Section E '!A$10:N533,6,0)),"")</f>
        <v/>
      </c>
      <c r="H1414" s="177" t="str">
        <f ca="1">IFERROR(IF(INDEX(' Disaggregation - Section E '!F$10:F533,MATCH(C1414,' Disaggregation - Section E '!A$10:A533,0)+1,1)&lt;&gt;0,INDEX(' Disaggregation - Section E '!F$10:F533,MATCH(C1414,' Disaggregation - Section E '!A$10:A533,0)+1,1),""),"")</f>
        <v/>
      </c>
      <c r="I1414" s="171" t="str">
        <f ca="1">IFERROR(IF(VLOOKUP(C1414,' Disaggregation - Section E '!A$10:N533,8,0)=0,"",VLOOKUP(C1414,' Disaggregation - Section E '!A$10:N533,8,0)),"")</f>
        <v/>
      </c>
      <c r="J1414" s="171" t="str">
        <f ca="1">IFERROR(IF(VLOOKUP(C1414,' Disaggregation - Section E '!A$10:N533,13,0)=0,"",VLOOKUP(C1414,' Disaggregation - Section E '!A$10:N533,13,0)),"")</f>
        <v/>
      </c>
      <c r="K1414" s="166" t="str">
        <f ca="1">IFERROR(VLOOKUP(C1414,' Disaggregation - Section E '!A$10:N533,3,0),"")</f>
        <v/>
      </c>
      <c r="L1414" s="171" t="str">
        <f ca="1">IFERROR(IF(VLOOKUP(C1414,' Disaggregation - Section E '!A$10:N533,14,0)=0,"",VLOOKUP(C1414,' Disaggregation - Section E '!A$10:N533,14,0)),"")</f>
        <v/>
      </c>
      <c r="M1414" s="166" t="str">
        <f ca="1">IFERROR(IF(VLOOKUP(C1414,' Disaggregation - Section E '!A$10:T533,20,0)=0,"",VLOOKUP(C1414,' Disaggregation - Section E '!A$10:T533,20,0)),"")</f>
        <v/>
      </c>
      <c r="N1414" s="171" t="str">
        <f ca="1">IFERROR(IF(VLOOKUP(C1414,' Disaggregation - Section E '!A$10:N533,9,0)=0,"",VLOOKUP(C1414,' Disaggregation - Section E '!A$10:N533,9,0)),"")</f>
        <v/>
      </c>
      <c r="O1414" s="171" t="str">
        <f ca="1">IFERROR(IF(VLOOKUP(C1414,' Disaggregation - Section E '!A$10:N533,10,0)=0,"",VLOOKUP(C1414,' Disaggregation - Section E '!A$10:N533,10,0)),"")</f>
        <v/>
      </c>
    </row>
    <row r="1415" spans="1:16">
      <c r="A1415" s="166" t="b">
        <f t="shared" ca="1" si="143"/>
        <v>0</v>
      </c>
      <c r="B1415" s="166"/>
      <c r="C1415" s="172" t="str">
        <f ca="1">IF(COUNTA(D$1189:D1415)=1,"",OFFSET(B1415,-COUNTA(D$1189:D1415)+1,1))</f>
        <v>a1G3p000005dHbHEAU</v>
      </c>
      <c r="D1415" s="177"/>
      <c r="E1415" s="168" t="str">
        <f ca="1">IFERROR(IF(VLOOKUP(C1415,' Disaggregation - Section E '!A$10:J534,7,0)="","",VLOOKUP(C1415,' Disaggregation - Section E '!A$10:J534,7,0)*100),"")</f>
        <v/>
      </c>
      <c r="F1415" s="171" t="str">
        <f ca="1">IFERROR(IF(VLOOKUP(C1415,' Disaggregation - Section E '!A$10:N534,5,0)=0,"",VLOOKUP(C1415,' Disaggregation - Section E '!A$10:N534,5,0)),"")</f>
        <v/>
      </c>
      <c r="G1415" s="170" t="str">
        <f ca="1">IFERROR(IF(VLOOKUP(C1415,' Disaggregation - Section E '!A$10:N534,6,0)="","",VLOOKUP(C1415,' Disaggregation - Section E '!A$10:N534,6,0)),"")</f>
        <v/>
      </c>
      <c r="H1415" s="177" t="str">
        <f ca="1">IFERROR(IF(INDEX(' Disaggregation - Section E '!F$10:F534,MATCH(C1415,' Disaggregation - Section E '!A$10:A534,0)+1,1)&lt;&gt;0,INDEX(' Disaggregation - Section E '!F$10:F534,MATCH(C1415,' Disaggregation - Section E '!A$10:A534,0)+1,1),""),"")</f>
        <v/>
      </c>
      <c r="I1415" s="171" t="str">
        <f ca="1">IFERROR(IF(VLOOKUP(C1415,' Disaggregation - Section E '!A$10:N534,8,0)=0,"",VLOOKUP(C1415,' Disaggregation - Section E '!A$10:N534,8,0)),"")</f>
        <v/>
      </c>
      <c r="J1415" s="171" t="str">
        <f ca="1">IFERROR(IF(VLOOKUP(C1415,' Disaggregation - Section E '!A$10:N534,13,0)=0,"",VLOOKUP(C1415,' Disaggregation - Section E '!A$10:N534,13,0)),"")</f>
        <v/>
      </c>
      <c r="K1415" s="166" t="str">
        <f ca="1">IFERROR(VLOOKUP(C1415,' Disaggregation - Section E '!A$10:N534,3,0),"")</f>
        <v/>
      </c>
      <c r="L1415" s="171" t="str">
        <f ca="1">IFERROR(IF(VLOOKUP(C1415,' Disaggregation - Section E '!A$10:N534,14,0)=0,"",VLOOKUP(C1415,' Disaggregation - Section E '!A$10:N534,14,0)),"")</f>
        <v/>
      </c>
      <c r="M1415" s="166" t="str">
        <f ca="1">IFERROR(IF(VLOOKUP(C1415,' Disaggregation - Section E '!A$10:T534,20,0)=0,"",VLOOKUP(C1415,' Disaggregation - Section E '!A$10:T534,20,0)),"")</f>
        <v/>
      </c>
      <c r="N1415" s="171" t="str">
        <f ca="1">IFERROR(IF(VLOOKUP(C1415,' Disaggregation - Section E '!A$10:N534,9,0)=0,"",VLOOKUP(C1415,' Disaggregation - Section E '!A$10:N534,9,0)),"")</f>
        <v/>
      </c>
      <c r="O1415" s="171" t="str">
        <f ca="1">IFERROR(IF(VLOOKUP(C1415,' Disaggregation - Section E '!A$10:N534,10,0)=0,"",VLOOKUP(C1415,' Disaggregation - Section E '!A$10:N534,10,0)),"")</f>
        <v/>
      </c>
    </row>
    <row r="1417" spans="1:16">
      <c r="A1417" s="165" t="s">
        <v>3905</v>
      </c>
    </row>
    <row r="1418" spans="1:16">
      <c r="A1418" s="166" t="s">
        <v>348</v>
      </c>
      <c r="B1418" s="166"/>
      <c r="C1418" s="166" t="s">
        <v>341</v>
      </c>
      <c r="D1418" s="166" t="s">
        <v>3346</v>
      </c>
      <c r="E1418" s="166" t="s">
        <v>3046</v>
      </c>
      <c r="F1418" s="166" t="s">
        <v>3754</v>
      </c>
      <c r="G1418" s="166" t="s">
        <v>3048</v>
      </c>
      <c r="H1418" s="166" t="s">
        <v>3047</v>
      </c>
      <c r="I1418" s="166" t="s">
        <v>3335</v>
      </c>
      <c r="J1418" s="166" t="s">
        <v>3049</v>
      </c>
      <c r="K1418" s="166" t="s">
        <v>3598</v>
      </c>
      <c r="L1418" s="166"/>
      <c r="M1418" s="166" t="s">
        <v>3600</v>
      </c>
      <c r="N1418" s="166" t="s">
        <v>3599</v>
      </c>
      <c r="O1418" s="166" t="s">
        <v>3601</v>
      </c>
      <c r="P1418" s="166" t="s">
        <v>3602</v>
      </c>
    </row>
    <row r="1419" spans="1:16" hidden="1">
      <c r="A1419" s="166" t="b">
        <f ca="1">IF(M1419&lt;&gt;"",TRUE,FALSE)</f>
        <v>0</v>
      </c>
      <c r="B1419" s="166"/>
      <c r="C1419" s="166" t="str">
        <f ca="1">IF(COUNTA(D$1418:D1419)=1,"",OFFSET(B1417,-COUNTA(D$1418:D1419)+3,1))</f>
        <v/>
      </c>
      <c r="D1419" s="177"/>
      <c r="E1419" s="168" t="str">
        <f ca="1">IFERROR(IF(VLOOKUP(C1419,' Disaggregation - Section E '!A$618:N623,7,0)="","",VLOOKUP(C1419,' Disaggregation - Section E '!A$618:N623,7,0)*100),"")</f>
        <v/>
      </c>
      <c r="F1419" s="171" t="str">
        <f ca="1">IFERROR(VLOOKUP(C1419,' Disaggregation - Section E '!A$618:N623,5,0),"")</f>
        <v/>
      </c>
      <c r="G1419" s="170" t="str">
        <f ca="1">IFERROR(IF(VLOOKUP(C1419,' Disaggregation - Section E '!A$618:N623,6,0)="","",VLOOKUP(C1419,' Disaggregation - Section E '!A$618:N623,6,0)),"")</f>
        <v/>
      </c>
      <c r="H1419" s="177" t="str">
        <f ca="1">IFERROR(IF(INDEX(' Disaggregation - Section E '!F$618:F1820,MATCH(C1419,' Disaggregation - Section E '!A$618:A1820,0)+1,1)&lt;&gt;0,INDEX(' Disaggregation - Section E '!F$618:F$1820,MATCH(C1419,' Disaggregation - Section E '!A$618:A1820,0)+1,1),""),"")</f>
        <v/>
      </c>
      <c r="I1419" s="171" t="str">
        <f ca="1">IFERROR(IF(VLOOKUP(C1419,' Disaggregation - Section E '!A$618:N623,8,0)=0,"",VLOOKUP(C1419,' Disaggregation - Section E '!A$618:N623,8,0)),"")</f>
        <v/>
      </c>
      <c r="J1419" s="171" t="str">
        <f ca="1">IFERROR(IF(VLOOKUP(C1419,' Disaggregation - Section E '!A$618:N1820,13,0)=0,"",VLOOKUP(C1419,' Disaggregation - Section E '!A$618:N1820,13,0)),"")</f>
        <v/>
      </c>
      <c r="K1419" s="166" t="str">
        <f ca="1">IFERROR(VLOOKUP(C1419,' Disaggregation - Section E '!A$618:N623,3,0),"")</f>
        <v/>
      </c>
      <c r="L1419" s="166"/>
      <c r="M1419" s="166" t="str">
        <f ca="1">IFERROR(IF(VLOOKUP(C1419,' Disaggregation - Section E '!A$618:T623,20,0)=0,"",VLOOKUP(C1419,' Disaggregation - Section E '!A$618:T623,20,0)),"")</f>
        <v/>
      </c>
      <c r="N1419" s="171" t="str">
        <f ca="1">IFERROR(IF(VLOOKUP(C1419,' Disaggregation - Section E '!A$618:N623,14,0)=0,"",VLOOKUP(C1419,' Disaggregation - Section E '!A$618:N623,14,0)),"")</f>
        <v/>
      </c>
      <c r="O1419" s="171" t="str">
        <f ca="1">IFERROR(IF(VLOOKUP(C1419,' Disaggregation - Section E '!A$618:N623,9,0)=0,"",VLOOKUP(C1419,' Disaggregation - Section E '!A$618:N623,9,0)),"")</f>
        <v/>
      </c>
      <c r="P1419" s="171" t="str">
        <f ca="1">IFERROR(IF(VLOOKUP(C1419,' Disaggregation - Section E '!A$618:N623,10,0)=0,"",VLOOKUP(C1419,' Disaggregation - Section E '!A$618:N623,10,0)),"")</f>
        <v/>
      </c>
    </row>
    <row r="1420" spans="1:16">
      <c r="A1420" s="166" t="b">
        <v>0</v>
      </c>
      <c r="B1420" s="166"/>
      <c r="C1420" s="166" t="s">
        <v>3906</v>
      </c>
      <c r="D1420" s="177">
        <v>1</v>
      </c>
      <c r="E1420" s="168"/>
      <c r="F1420" s="171"/>
      <c r="G1420" s="170"/>
      <c r="H1420" s="177"/>
      <c r="I1420" s="171"/>
      <c r="J1420" s="171"/>
      <c r="K1420" s="166" t="str">
        <f ca="1">IFERROR(VLOOKUP(C1420,' Disaggregation - Section E '!A$618:N624,3,0),"")</f>
        <v>KP-1a⁽ᴹ⁾ Porcentaje de HSH alcanzados por programas de prevención del VIH - paquete definido de servicios</v>
      </c>
      <c r="L1420" s="166"/>
      <c r="M1420" s="166"/>
      <c r="N1420" s="171"/>
      <c r="O1420" s="171"/>
      <c r="P1420" s="171"/>
    </row>
    <row r="1421" spans="1:16">
      <c r="A1421" s="166" t="b">
        <v>0</v>
      </c>
      <c r="B1421" s="166"/>
      <c r="C1421" s="166" t="s">
        <v>3907</v>
      </c>
      <c r="D1421" s="177">
        <v>1</v>
      </c>
      <c r="E1421" s="168"/>
      <c r="F1421" s="171"/>
      <c r="G1421" s="170"/>
      <c r="H1421" s="177"/>
      <c r="I1421" s="171"/>
      <c r="J1421" s="171"/>
      <c r="K1421" s="166" t="str">
        <f ca="1">IFERROR(VLOOKUP(C1421,' Disaggregation - Section E '!A$618:N625,3,0),"")</f>
        <v>KP-1a⁽ᴹ⁾ Porcentaje de HSH alcanzados por programas de prevención del VIH - paquete definido de servicios</v>
      </c>
      <c r="L1421" s="166"/>
      <c r="M1421" s="166"/>
      <c r="N1421" s="171"/>
      <c r="O1421" s="171"/>
      <c r="P1421" s="171"/>
    </row>
    <row r="1422" spans="1:16">
      <c r="A1422" s="166" t="b">
        <v>0</v>
      </c>
      <c r="B1422" s="166"/>
      <c r="C1422" s="166" t="s">
        <v>3908</v>
      </c>
      <c r="D1422" s="177">
        <v>1</v>
      </c>
      <c r="E1422" s="168"/>
      <c r="F1422" s="171"/>
      <c r="G1422" s="170"/>
      <c r="H1422" s="177"/>
      <c r="I1422" s="171"/>
      <c r="J1422" s="171"/>
      <c r="K1422" s="166" t="str">
        <f ca="1">IFERROR(VLOOKUP(C1422,' Disaggregation - Section E '!A$618:N626,3,0),"")</f>
        <v>KP-1a⁽ᴹ⁾ Porcentaje de HSH alcanzados por programas de prevención del VIH - paquete definido de servicios</v>
      </c>
      <c r="L1422" s="166"/>
      <c r="M1422" s="166"/>
      <c r="N1422" s="171"/>
      <c r="O1422" s="171"/>
      <c r="P1422" s="171"/>
    </row>
    <row r="1423" spans="1:16">
      <c r="A1423" s="166" t="b">
        <v>0</v>
      </c>
      <c r="B1423" s="166"/>
      <c r="C1423" s="166" t="s">
        <v>3909</v>
      </c>
      <c r="D1423" s="177">
        <v>1</v>
      </c>
      <c r="E1423" s="168"/>
      <c r="F1423" s="171"/>
      <c r="G1423" s="170"/>
      <c r="H1423" s="177"/>
      <c r="I1423" s="171"/>
      <c r="J1423" s="171"/>
      <c r="K1423" s="166" t="str">
        <f ca="1">IFERROR(VLOOKUP(C1423,' Disaggregation - Section E '!A$618:N627,3,0),"")</f>
        <v>KP-1a⁽ᴹ⁾ Porcentaje de HSH alcanzados por programas de prevención del VIH - paquete definido de servicios</v>
      </c>
      <c r="L1423" s="166"/>
      <c r="M1423" s="166"/>
      <c r="N1423" s="171"/>
      <c r="O1423" s="171"/>
      <c r="P1423" s="171"/>
    </row>
    <row r="1424" spans="1:16">
      <c r="A1424" s="166" t="b">
        <v>0</v>
      </c>
      <c r="B1424" s="166"/>
      <c r="C1424" s="166" t="s">
        <v>3910</v>
      </c>
      <c r="D1424" s="177">
        <v>1</v>
      </c>
      <c r="E1424" s="168"/>
      <c r="F1424" s="171"/>
      <c r="G1424" s="170"/>
      <c r="H1424" s="177"/>
      <c r="I1424" s="171"/>
      <c r="J1424" s="171"/>
      <c r="K1424" s="166" t="str">
        <f ca="1">IFERROR(VLOOKUP(C1424,' Disaggregation - Section E '!A$618:N628,3,0),"")</f>
        <v/>
      </c>
      <c r="L1424" s="166"/>
      <c r="M1424" s="166"/>
      <c r="N1424" s="171"/>
      <c r="O1424" s="171"/>
      <c r="P1424" s="171"/>
    </row>
    <row r="1425" spans="1:16">
      <c r="A1425" s="166" t="b">
        <v>0</v>
      </c>
      <c r="B1425" s="166"/>
      <c r="C1425" s="166" t="s">
        <v>3911</v>
      </c>
      <c r="D1425" s="177">
        <v>1</v>
      </c>
      <c r="E1425" s="168"/>
      <c r="F1425" s="171"/>
      <c r="G1425" s="170"/>
      <c r="H1425" s="177"/>
      <c r="I1425" s="171"/>
      <c r="J1425" s="171"/>
      <c r="K1425" s="166" t="str">
        <f ca="1">IFERROR(VLOOKUP(C1425,' Disaggregation - Section E '!A$618:N629,3,0),"")</f>
        <v/>
      </c>
      <c r="L1425" s="166"/>
      <c r="M1425" s="166"/>
      <c r="N1425" s="171"/>
      <c r="O1425" s="171"/>
      <c r="P1425" s="171"/>
    </row>
    <row r="1426" spans="1:16">
      <c r="A1426" s="166" t="b">
        <v>0</v>
      </c>
      <c r="B1426" s="166"/>
      <c r="C1426" s="166" t="s">
        <v>3912</v>
      </c>
      <c r="D1426" s="177">
        <v>1</v>
      </c>
      <c r="E1426" s="168"/>
      <c r="F1426" s="171"/>
      <c r="G1426" s="170"/>
      <c r="H1426" s="177"/>
      <c r="I1426" s="171"/>
      <c r="J1426" s="171"/>
      <c r="K1426" s="166" t="str">
        <f ca="1">IFERROR(VLOOKUP(C1426,' Disaggregation - Section E '!A$618:N630,3,0),"")</f>
        <v/>
      </c>
      <c r="L1426" s="166"/>
      <c r="M1426" s="166"/>
      <c r="N1426" s="171"/>
      <c r="O1426" s="171"/>
      <c r="P1426" s="171"/>
    </row>
    <row r="1427" spans="1:16">
      <c r="A1427" s="166" t="b">
        <v>0</v>
      </c>
      <c r="B1427" s="166"/>
      <c r="C1427" s="166" t="s">
        <v>3913</v>
      </c>
      <c r="D1427" s="177">
        <v>1</v>
      </c>
      <c r="E1427" s="168"/>
      <c r="F1427" s="171"/>
      <c r="G1427" s="170"/>
      <c r="H1427" s="177"/>
      <c r="I1427" s="171"/>
      <c r="J1427" s="171"/>
      <c r="K1427" s="166" t="str">
        <f ca="1">IFERROR(VLOOKUP(C1427,' Disaggregation - Section E '!A$618:N631,3,0),"")</f>
        <v/>
      </c>
      <c r="L1427" s="166"/>
      <c r="M1427" s="166"/>
      <c r="N1427" s="171"/>
      <c r="O1427" s="171"/>
      <c r="P1427" s="171"/>
    </row>
    <row r="1428" spans="1:16">
      <c r="A1428" s="166" t="b">
        <v>0</v>
      </c>
      <c r="B1428" s="166"/>
      <c r="C1428" s="166" t="s">
        <v>3914</v>
      </c>
      <c r="D1428" s="177">
        <v>1</v>
      </c>
      <c r="E1428" s="168"/>
      <c r="F1428" s="171"/>
      <c r="G1428" s="170"/>
      <c r="H1428" s="177"/>
      <c r="I1428" s="171"/>
      <c r="J1428" s="171"/>
      <c r="K1428" s="166" t="str">
        <f ca="1">IFERROR(VLOOKUP(C1428,' Disaggregation - Section E '!A$618:N632,3,0),"")</f>
        <v/>
      </c>
      <c r="L1428" s="166"/>
      <c r="M1428" s="166"/>
      <c r="N1428" s="171"/>
      <c r="O1428" s="171"/>
      <c r="P1428" s="171"/>
    </row>
    <row r="1429" spans="1:16">
      <c r="A1429" s="166" t="b">
        <v>0</v>
      </c>
      <c r="B1429" s="166"/>
      <c r="C1429" s="166" t="s">
        <v>3915</v>
      </c>
      <c r="D1429" s="177">
        <v>1</v>
      </c>
      <c r="E1429" s="168"/>
      <c r="F1429" s="171"/>
      <c r="G1429" s="170"/>
      <c r="H1429" s="177"/>
      <c r="I1429" s="171"/>
      <c r="J1429" s="171"/>
      <c r="K1429" s="166" t="str">
        <f ca="1">IFERROR(VLOOKUP(C1429,' Disaggregation - Section E '!A$618:N633,3,0),"")</f>
        <v/>
      </c>
      <c r="L1429" s="166"/>
      <c r="M1429" s="166"/>
      <c r="N1429" s="171"/>
      <c r="O1429" s="171"/>
      <c r="P1429" s="171"/>
    </row>
    <row r="1430" spans="1:16">
      <c r="A1430" s="166" t="b">
        <v>0</v>
      </c>
      <c r="B1430" s="166"/>
      <c r="C1430" s="166" t="s">
        <v>3916</v>
      </c>
      <c r="D1430" s="177">
        <v>1</v>
      </c>
      <c r="E1430" s="168"/>
      <c r="F1430" s="171"/>
      <c r="G1430" s="170"/>
      <c r="H1430" s="177"/>
      <c r="I1430" s="171"/>
      <c r="J1430" s="171"/>
      <c r="K1430" s="166" t="str">
        <f ca="1">IFERROR(VLOOKUP(C1430,' Disaggregation - Section E '!A$618:N634,3,0),"")</f>
        <v/>
      </c>
      <c r="L1430" s="166"/>
      <c r="M1430" s="166"/>
      <c r="N1430" s="171"/>
      <c r="O1430" s="171"/>
      <c r="P1430" s="171"/>
    </row>
    <row r="1431" spans="1:16">
      <c r="A1431" s="166" t="b">
        <v>0</v>
      </c>
      <c r="B1431" s="166"/>
      <c r="C1431" s="166" t="s">
        <v>3917</v>
      </c>
      <c r="D1431" s="177">
        <v>1</v>
      </c>
      <c r="E1431" s="168"/>
      <c r="F1431" s="171"/>
      <c r="G1431" s="170"/>
      <c r="H1431" s="177"/>
      <c r="I1431" s="171"/>
      <c r="J1431" s="171"/>
      <c r="K1431" s="166" t="str">
        <f ca="1">IFERROR(VLOOKUP(C1431,' Disaggregation - Section E '!A$618:N635,3,0),"")</f>
        <v/>
      </c>
      <c r="L1431" s="166"/>
      <c r="M1431" s="166"/>
      <c r="N1431" s="171"/>
      <c r="O1431" s="171"/>
      <c r="P1431" s="171"/>
    </row>
    <row r="1432" spans="1:16">
      <c r="A1432" s="166" t="b">
        <v>0</v>
      </c>
      <c r="B1432" s="166"/>
      <c r="C1432" s="166" t="s">
        <v>3918</v>
      </c>
      <c r="D1432" s="177">
        <v>1</v>
      </c>
      <c r="E1432" s="168"/>
      <c r="F1432" s="171"/>
      <c r="G1432" s="170"/>
      <c r="H1432" s="177"/>
      <c r="I1432" s="171"/>
      <c r="J1432" s="171"/>
      <c r="K1432" s="166" t="str">
        <f ca="1">IFERROR(VLOOKUP(C1432,' Disaggregation - Section E '!A$618:N636,3,0),"")</f>
        <v/>
      </c>
      <c r="L1432" s="166"/>
      <c r="M1432" s="166"/>
      <c r="N1432" s="171"/>
      <c r="O1432" s="171"/>
      <c r="P1432" s="171"/>
    </row>
    <row r="1433" spans="1:16">
      <c r="A1433" s="166" t="b">
        <v>0</v>
      </c>
      <c r="B1433" s="166"/>
      <c r="C1433" s="166" t="s">
        <v>3919</v>
      </c>
      <c r="D1433" s="177">
        <v>1</v>
      </c>
      <c r="E1433" s="168"/>
      <c r="F1433" s="171"/>
      <c r="G1433" s="170"/>
      <c r="H1433" s="177"/>
      <c r="I1433" s="171"/>
      <c r="J1433" s="171"/>
      <c r="K1433" s="166" t="str">
        <f ca="1">IFERROR(VLOOKUP(C1433,' Disaggregation - Section E '!A$618:N637,3,0),"")</f>
        <v/>
      </c>
      <c r="L1433" s="166"/>
      <c r="M1433" s="166"/>
      <c r="N1433" s="171"/>
      <c r="O1433" s="171"/>
      <c r="P1433" s="171"/>
    </row>
    <row r="1434" spans="1:16">
      <c r="A1434" s="166" t="b">
        <v>0</v>
      </c>
      <c r="B1434" s="166"/>
      <c r="C1434" s="166" t="s">
        <v>3920</v>
      </c>
      <c r="D1434" s="177">
        <v>1</v>
      </c>
      <c r="E1434" s="168"/>
      <c r="F1434" s="171"/>
      <c r="G1434" s="170"/>
      <c r="H1434" s="177"/>
      <c r="I1434" s="171"/>
      <c r="J1434" s="171"/>
      <c r="K1434" s="166" t="str">
        <f ca="1">IFERROR(VLOOKUP(C1434,' Disaggregation - Section E '!A$618:N638,3,0),"")</f>
        <v/>
      </c>
      <c r="L1434" s="166"/>
      <c r="M1434" s="166"/>
      <c r="N1434" s="171"/>
      <c r="O1434" s="171"/>
      <c r="P1434" s="171"/>
    </row>
    <row r="1435" spans="1:16">
      <c r="A1435" s="166" t="b">
        <v>0</v>
      </c>
      <c r="B1435" s="166"/>
      <c r="C1435" s="166" t="s">
        <v>3921</v>
      </c>
      <c r="D1435" s="177">
        <v>1</v>
      </c>
      <c r="E1435" s="168"/>
      <c r="F1435" s="171"/>
      <c r="G1435" s="170"/>
      <c r="H1435" s="177"/>
      <c r="I1435" s="171"/>
      <c r="J1435" s="171"/>
      <c r="K1435" s="166" t="str">
        <f ca="1">IFERROR(VLOOKUP(C1435,' Disaggregation - Section E '!A$618:N639,3,0),"")</f>
        <v/>
      </c>
      <c r="L1435" s="166"/>
      <c r="M1435" s="166"/>
      <c r="N1435" s="171"/>
      <c r="O1435" s="171"/>
      <c r="P1435" s="171"/>
    </row>
    <row r="1436" spans="1:16">
      <c r="A1436" s="166" t="b">
        <v>0</v>
      </c>
      <c r="B1436" s="166"/>
      <c r="C1436" s="166" t="s">
        <v>3922</v>
      </c>
      <c r="D1436" s="177">
        <v>1</v>
      </c>
      <c r="E1436" s="168"/>
      <c r="F1436" s="171"/>
      <c r="G1436" s="170"/>
      <c r="H1436" s="177"/>
      <c r="I1436" s="171"/>
      <c r="J1436" s="171"/>
      <c r="K1436" s="166" t="str">
        <f ca="1">IFERROR(VLOOKUP(C1436,' Disaggregation - Section E '!A$618:N640,3,0),"")</f>
        <v/>
      </c>
      <c r="L1436" s="166"/>
      <c r="M1436" s="166"/>
      <c r="N1436" s="171"/>
      <c r="O1436" s="171"/>
      <c r="P1436" s="171"/>
    </row>
    <row r="1437" spans="1:16">
      <c r="A1437" s="166" t="b">
        <v>0</v>
      </c>
      <c r="B1437" s="166"/>
      <c r="C1437" s="166" t="s">
        <v>3923</v>
      </c>
      <c r="D1437" s="177">
        <v>1</v>
      </c>
      <c r="E1437" s="168"/>
      <c r="F1437" s="171"/>
      <c r="G1437" s="170"/>
      <c r="H1437" s="177"/>
      <c r="I1437" s="171"/>
      <c r="J1437" s="171"/>
      <c r="K1437" s="166" t="str">
        <f ca="1">IFERROR(VLOOKUP(C1437,' Disaggregation - Section E '!A$618:N641,3,0),"")</f>
        <v/>
      </c>
      <c r="L1437" s="166"/>
      <c r="M1437" s="166"/>
      <c r="N1437" s="171"/>
      <c r="O1437" s="171"/>
      <c r="P1437" s="171"/>
    </row>
    <row r="1438" spans="1:16">
      <c r="A1438" s="166" t="b">
        <v>0</v>
      </c>
      <c r="B1438" s="166"/>
      <c r="C1438" s="166" t="s">
        <v>3924</v>
      </c>
      <c r="D1438" s="177">
        <v>1</v>
      </c>
      <c r="E1438" s="168"/>
      <c r="F1438" s="171"/>
      <c r="G1438" s="170"/>
      <c r="H1438" s="177"/>
      <c r="I1438" s="171"/>
      <c r="J1438" s="171"/>
      <c r="K1438" s="166" t="str">
        <f ca="1">IFERROR(VLOOKUP(C1438,' Disaggregation - Section E '!A$618:N642,3,0),"")</f>
        <v/>
      </c>
      <c r="L1438" s="166"/>
      <c r="M1438" s="166"/>
      <c r="N1438" s="171"/>
      <c r="O1438" s="171"/>
      <c r="P1438" s="171"/>
    </row>
    <row r="1439" spans="1:16">
      <c r="A1439" s="166" t="b">
        <v>0</v>
      </c>
      <c r="B1439" s="166"/>
      <c r="C1439" s="166" t="s">
        <v>3925</v>
      </c>
      <c r="D1439" s="177">
        <v>1</v>
      </c>
      <c r="E1439" s="168"/>
      <c r="F1439" s="171"/>
      <c r="G1439" s="170"/>
      <c r="H1439" s="177"/>
      <c r="I1439" s="171"/>
      <c r="J1439" s="171"/>
      <c r="K1439" s="166" t="str">
        <f ca="1">IFERROR(VLOOKUP(C1439,' Disaggregation - Section E '!A$618:N643,3,0),"")</f>
        <v/>
      </c>
      <c r="L1439" s="166"/>
      <c r="M1439" s="166"/>
      <c r="N1439" s="171"/>
      <c r="O1439" s="171"/>
      <c r="P1439" s="171"/>
    </row>
    <row r="1440" spans="1:16">
      <c r="A1440" s="166" t="b">
        <v>0</v>
      </c>
      <c r="B1440" s="166"/>
      <c r="C1440" s="166" t="s">
        <v>3926</v>
      </c>
      <c r="D1440" s="177">
        <v>2</v>
      </c>
      <c r="E1440" s="168"/>
      <c r="F1440" s="171"/>
      <c r="G1440" s="170"/>
      <c r="H1440" s="177"/>
      <c r="I1440" s="171"/>
      <c r="J1440" s="171"/>
      <c r="K1440" s="166" t="str">
        <f ca="1">IFERROR(VLOOKUP(C1440,' Disaggregation - Section E '!A$618:N644,3,0),"")</f>
        <v/>
      </c>
      <c r="L1440" s="166"/>
      <c r="M1440" s="166"/>
      <c r="N1440" s="171"/>
      <c r="O1440" s="171"/>
      <c r="P1440" s="171"/>
    </row>
    <row r="1441" spans="1:16">
      <c r="A1441" s="166" t="b">
        <v>0</v>
      </c>
      <c r="B1441" s="166"/>
      <c r="C1441" s="166" t="s">
        <v>3927</v>
      </c>
      <c r="D1441" s="177">
        <v>2</v>
      </c>
      <c r="E1441" s="168"/>
      <c r="F1441" s="171"/>
      <c r="G1441" s="170"/>
      <c r="H1441" s="177"/>
      <c r="I1441" s="171"/>
      <c r="J1441" s="171"/>
      <c r="K1441" s="166" t="str">
        <f ca="1">IFERROR(VLOOKUP(C1441,' Disaggregation - Section E '!A$618:N645,3,0),"")</f>
        <v/>
      </c>
      <c r="L1441" s="166"/>
      <c r="M1441" s="166"/>
      <c r="N1441" s="171"/>
      <c r="O1441" s="171"/>
      <c r="P1441" s="171"/>
    </row>
    <row r="1442" spans="1:16">
      <c r="A1442" s="166" t="b">
        <v>0</v>
      </c>
      <c r="B1442" s="166"/>
      <c r="C1442" s="166" t="s">
        <v>3928</v>
      </c>
      <c r="D1442" s="177">
        <v>2</v>
      </c>
      <c r="E1442" s="168"/>
      <c r="F1442" s="171"/>
      <c r="G1442" s="170"/>
      <c r="H1442" s="177"/>
      <c r="I1442" s="171"/>
      <c r="J1442" s="171"/>
      <c r="K1442" s="166" t="str">
        <f ca="1">IFERROR(VLOOKUP(C1442,' Disaggregation - Section E '!A$618:N646,3,0),"")</f>
        <v/>
      </c>
      <c r="L1442" s="166"/>
      <c r="M1442" s="166"/>
      <c r="N1442" s="171"/>
      <c r="O1442" s="171"/>
      <c r="P1442" s="171"/>
    </row>
    <row r="1443" spans="1:16">
      <c r="A1443" s="166" t="b">
        <v>0</v>
      </c>
      <c r="B1443" s="166"/>
      <c r="C1443" s="166" t="s">
        <v>3929</v>
      </c>
      <c r="D1443" s="177">
        <v>2</v>
      </c>
      <c r="E1443" s="168"/>
      <c r="F1443" s="171"/>
      <c r="G1443" s="170"/>
      <c r="H1443" s="177"/>
      <c r="I1443" s="171"/>
      <c r="J1443" s="171"/>
      <c r="K1443" s="166" t="str">
        <f ca="1">IFERROR(VLOOKUP(C1443,' Disaggregation - Section E '!A$618:N647,3,0),"")</f>
        <v/>
      </c>
      <c r="L1443" s="166"/>
      <c r="M1443" s="166"/>
      <c r="N1443" s="171"/>
      <c r="O1443" s="171"/>
      <c r="P1443" s="171"/>
    </row>
    <row r="1444" spans="1:16">
      <c r="A1444" s="166" t="b">
        <v>0</v>
      </c>
      <c r="B1444" s="166"/>
      <c r="C1444" s="166" t="s">
        <v>3930</v>
      </c>
      <c r="D1444" s="177">
        <v>2</v>
      </c>
      <c r="E1444" s="168"/>
      <c r="F1444" s="171"/>
      <c r="G1444" s="170"/>
      <c r="H1444" s="177"/>
      <c r="I1444" s="171"/>
      <c r="J1444" s="171"/>
      <c r="K1444" s="166" t="str">
        <f ca="1">IFERROR(VLOOKUP(C1444,' Disaggregation - Section E '!A$618:N648,3,0),"")</f>
        <v/>
      </c>
      <c r="L1444" s="166"/>
      <c r="M1444" s="166"/>
      <c r="N1444" s="171"/>
      <c r="O1444" s="171"/>
      <c r="P1444" s="171"/>
    </row>
    <row r="1445" spans="1:16">
      <c r="A1445" s="166" t="b">
        <v>0</v>
      </c>
      <c r="B1445" s="166"/>
      <c r="C1445" s="166" t="s">
        <v>3931</v>
      </c>
      <c r="D1445" s="177">
        <v>2</v>
      </c>
      <c r="E1445" s="168"/>
      <c r="F1445" s="171"/>
      <c r="G1445" s="170"/>
      <c r="H1445" s="177"/>
      <c r="I1445" s="171"/>
      <c r="J1445" s="171"/>
      <c r="K1445" s="166" t="str">
        <f ca="1">IFERROR(VLOOKUP(C1445,' Disaggregation - Section E '!A$618:N649,3,0),"")</f>
        <v/>
      </c>
      <c r="L1445" s="166"/>
      <c r="M1445" s="166"/>
      <c r="N1445" s="171"/>
      <c r="O1445" s="171"/>
      <c r="P1445" s="171"/>
    </row>
    <row r="1446" spans="1:16">
      <c r="A1446" s="166" t="b">
        <v>0</v>
      </c>
      <c r="B1446" s="166"/>
      <c r="C1446" s="166" t="s">
        <v>3932</v>
      </c>
      <c r="D1446" s="177">
        <v>2</v>
      </c>
      <c r="E1446" s="168"/>
      <c r="F1446" s="171"/>
      <c r="G1446" s="170"/>
      <c r="H1446" s="177"/>
      <c r="I1446" s="171"/>
      <c r="J1446" s="171"/>
      <c r="K1446" s="166" t="str">
        <f ca="1">IFERROR(VLOOKUP(C1446,' Disaggregation - Section E '!A$618:N650,3,0),"")</f>
        <v/>
      </c>
      <c r="L1446" s="166"/>
      <c r="M1446" s="166"/>
      <c r="N1446" s="171"/>
      <c r="O1446" s="171"/>
      <c r="P1446" s="171"/>
    </row>
    <row r="1447" spans="1:16">
      <c r="A1447" s="166" t="b">
        <v>0</v>
      </c>
      <c r="B1447" s="166"/>
      <c r="C1447" s="166" t="s">
        <v>3933</v>
      </c>
      <c r="D1447" s="177">
        <v>2</v>
      </c>
      <c r="E1447" s="168"/>
      <c r="F1447" s="171"/>
      <c r="G1447" s="170"/>
      <c r="H1447" s="177"/>
      <c r="I1447" s="171"/>
      <c r="J1447" s="171"/>
      <c r="K1447" s="166" t="str">
        <f ca="1">IFERROR(VLOOKUP(C1447,' Disaggregation - Section E '!A$618:N651,3,0),"")</f>
        <v/>
      </c>
      <c r="L1447" s="166"/>
      <c r="M1447" s="166"/>
      <c r="N1447" s="171"/>
      <c r="O1447" s="171"/>
      <c r="P1447" s="171"/>
    </row>
    <row r="1448" spans="1:16">
      <c r="A1448" s="166" t="b">
        <v>0</v>
      </c>
      <c r="B1448" s="166"/>
      <c r="C1448" s="166" t="s">
        <v>3934</v>
      </c>
      <c r="D1448" s="177">
        <v>2</v>
      </c>
      <c r="E1448" s="168"/>
      <c r="F1448" s="171"/>
      <c r="G1448" s="170"/>
      <c r="H1448" s="177"/>
      <c r="I1448" s="171"/>
      <c r="J1448" s="171"/>
      <c r="K1448" s="166" t="str">
        <f ca="1">IFERROR(VLOOKUP(C1448,' Disaggregation - Section E '!A$618:N652,3,0),"")</f>
        <v/>
      </c>
      <c r="L1448" s="166"/>
      <c r="M1448" s="166"/>
      <c r="N1448" s="171"/>
      <c r="O1448" s="171"/>
      <c r="P1448" s="171"/>
    </row>
    <row r="1449" spans="1:16">
      <c r="A1449" s="166" t="b">
        <v>0</v>
      </c>
      <c r="B1449" s="166"/>
      <c r="C1449" s="166" t="s">
        <v>3935</v>
      </c>
      <c r="D1449" s="177">
        <v>2</v>
      </c>
      <c r="E1449" s="168"/>
      <c r="F1449" s="171"/>
      <c r="G1449" s="170"/>
      <c r="H1449" s="177"/>
      <c r="I1449" s="171"/>
      <c r="J1449" s="171"/>
      <c r="K1449" s="166" t="str">
        <f ca="1">IFERROR(VLOOKUP(C1449,' Disaggregation - Section E '!A$618:N653,3,0),"")</f>
        <v/>
      </c>
      <c r="L1449" s="166"/>
      <c r="M1449" s="166"/>
      <c r="N1449" s="171"/>
      <c r="O1449" s="171"/>
      <c r="P1449" s="171"/>
    </row>
    <row r="1450" spans="1:16">
      <c r="A1450" s="166" t="b">
        <v>0</v>
      </c>
      <c r="B1450" s="166"/>
      <c r="C1450" s="166" t="s">
        <v>3936</v>
      </c>
      <c r="D1450" s="177">
        <v>2</v>
      </c>
      <c r="E1450" s="168"/>
      <c r="F1450" s="171"/>
      <c r="G1450" s="170"/>
      <c r="H1450" s="177"/>
      <c r="I1450" s="171"/>
      <c r="J1450" s="171"/>
      <c r="K1450" s="166" t="str">
        <f ca="1">IFERROR(VLOOKUP(C1450,' Disaggregation - Section E '!A$618:N654,3,0),"")</f>
        <v/>
      </c>
      <c r="L1450" s="166"/>
      <c r="M1450" s="166"/>
      <c r="N1450" s="171"/>
      <c r="O1450" s="171"/>
      <c r="P1450" s="171"/>
    </row>
    <row r="1451" spans="1:16">
      <c r="A1451" s="166" t="b">
        <v>0</v>
      </c>
      <c r="B1451" s="166"/>
      <c r="C1451" s="166" t="s">
        <v>3937</v>
      </c>
      <c r="D1451" s="177">
        <v>2</v>
      </c>
      <c r="E1451" s="168"/>
      <c r="F1451" s="171"/>
      <c r="G1451" s="170"/>
      <c r="H1451" s="177"/>
      <c r="I1451" s="171"/>
      <c r="J1451" s="171"/>
      <c r="K1451" s="166" t="str">
        <f ca="1">IFERROR(VLOOKUP(C1451,' Disaggregation - Section E '!A$618:N655,3,0),"")</f>
        <v/>
      </c>
      <c r="L1451" s="166"/>
      <c r="M1451" s="166"/>
      <c r="N1451" s="171"/>
      <c r="O1451" s="171"/>
      <c r="P1451" s="171"/>
    </row>
    <row r="1452" spans="1:16">
      <c r="A1452" s="166" t="b">
        <v>0</v>
      </c>
      <c r="B1452" s="166"/>
      <c r="C1452" s="166" t="s">
        <v>3938</v>
      </c>
      <c r="D1452" s="177">
        <v>2</v>
      </c>
      <c r="E1452" s="168"/>
      <c r="F1452" s="171"/>
      <c r="G1452" s="170"/>
      <c r="H1452" s="177"/>
      <c r="I1452" s="171"/>
      <c r="J1452" s="171"/>
      <c r="K1452" s="166" t="str">
        <f ca="1">IFERROR(VLOOKUP(C1452,' Disaggregation - Section E '!A$618:N656,3,0),"")</f>
        <v/>
      </c>
      <c r="L1452" s="166"/>
      <c r="M1452" s="166"/>
      <c r="N1452" s="171"/>
      <c r="O1452" s="171"/>
      <c r="P1452" s="171"/>
    </row>
    <row r="1453" spans="1:16">
      <c r="A1453" s="166" t="b">
        <v>0</v>
      </c>
      <c r="B1453" s="166"/>
      <c r="C1453" s="166" t="s">
        <v>3939</v>
      </c>
      <c r="D1453" s="177">
        <v>2</v>
      </c>
      <c r="E1453" s="168"/>
      <c r="F1453" s="171"/>
      <c r="G1453" s="170"/>
      <c r="H1453" s="177"/>
      <c r="I1453" s="171"/>
      <c r="J1453" s="171"/>
      <c r="K1453" s="166" t="str">
        <f ca="1">IFERROR(VLOOKUP(C1453,' Disaggregation - Section E '!A$618:N657,3,0),"")</f>
        <v/>
      </c>
      <c r="L1453" s="166"/>
      <c r="M1453" s="166"/>
      <c r="N1453" s="171"/>
      <c r="O1453" s="171"/>
      <c r="P1453" s="171"/>
    </row>
    <row r="1454" spans="1:16">
      <c r="A1454" s="166" t="b">
        <v>0</v>
      </c>
      <c r="B1454" s="166"/>
      <c r="C1454" s="166" t="s">
        <v>3940</v>
      </c>
      <c r="D1454" s="177">
        <v>2</v>
      </c>
      <c r="E1454" s="168"/>
      <c r="F1454" s="171"/>
      <c r="G1454" s="170"/>
      <c r="H1454" s="177"/>
      <c r="I1454" s="171"/>
      <c r="J1454" s="171"/>
      <c r="K1454" s="166" t="str">
        <f ca="1">IFERROR(VLOOKUP(C1454,' Disaggregation - Section E '!A$618:N658,3,0),"")</f>
        <v/>
      </c>
      <c r="L1454" s="166"/>
      <c r="M1454" s="166"/>
      <c r="N1454" s="171"/>
      <c r="O1454" s="171"/>
      <c r="P1454" s="171"/>
    </row>
    <row r="1455" spans="1:16">
      <c r="A1455" s="166" t="b">
        <v>0</v>
      </c>
      <c r="B1455" s="166"/>
      <c r="C1455" s="166" t="s">
        <v>3941</v>
      </c>
      <c r="D1455" s="177">
        <v>2</v>
      </c>
      <c r="E1455" s="168"/>
      <c r="F1455" s="171"/>
      <c r="G1455" s="170"/>
      <c r="H1455" s="177"/>
      <c r="I1455" s="171"/>
      <c r="J1455" s="171"/>
      <c r="K1455" s="166" t="str">
        <f ca="1">IFERROR(VLOOKUP(C1455,' Disaggregation - Section E '!A$618:N659,3,0),"")</f>
        <v/>
      </c>
      <c r="L1455" s="166"/>
      <c r="M1455" s="166"/>
      <c r="N1455" s="171"/>
      <c r="O1455" s="171"/>
      <c r="P1455" s="171"/>
    </row>
    <row r="1456" spans="1:16">
      <c r="A1456" s="166" t="b">
        <v>0</v>
      </c>
      <c r="B1456" s="166"/>
      <c r="C1456" s="166" t="s">
        <v>3942</v>
      </c>
      <c r="D1456" s="177">
        <v>2</v>
      </c>
      <c r="E1456" s="168"/>
      <c r="F1456" s="171"/>
      <c r="G1456" s="170"/>
      <c r="H1456" s="177"/>
      <c r="I1456" s="171"/>
      <c r="J1456" s="171"/>
      <c r="K1456" s="166" t="str">
        <f ca="1">IFERROR(VLOOKUP(C1456,' Disaggregation - Section E '!A$618:N660,3,0),"")</f>
        <v/>
      </c>
      <c r="L1456" s="166"/>
      <c r="M1456" s="166"/>
      <c r="N1456" s="171"/>
      <c r="O1456" s="171"/>
      <c r="P1456" s="171"/>
    </row>
    <row r="1457" spans="1:16">
      <c r="A1457" s="166" t="b">
        <v>0</v>
      </c>
      <c r="B1457" s="166"/>
      <c r="C1457" s="166" t="s">
        <v>3943</v>
      </c>
      <c r="D1457" s="177">
        <v>2</v>
      </c>
      <c r="E1457" s="168"/>
      <c r="F1457" s="171"/>
      <c r="G1457" s="170"/>
      <c r="H1457" s="177"/>
      <c r="I1457" s="171"/>
      <c r="J1457" s="171"/>
      <c r="K1457" s="166" t="str">
        <f ca="1">IFERROR(VLOOKUP(C1457,' Disaggregation - Section E '!A$618:N661,3,0),"")</f>
        <v/>
      </c>
      <c r="L1457" s="166"/>
      <c r="M1457" s="166"/>
      <c r="N1457" s="171"/>
      <c r="O1457" s="171"/>
      <c r="P1457" s="171"/>
    </row>
    <row r="1458" spans="1:16">
      <c r="A1458" s="166" t="b">
        <v>0</v>
      </c>
      <c r="B1458" s="166"/>
      <c r="C1458" s="166" t="s">
        <v>3944</v>
      </c>
      <c r="D1458" s="177">
        <v>2</v>
      </c>
      <c r="E1458" s="168"/>
      <c r="F1458" s="171"/>
      <c r="G1458" s="170"/>
      <c r="H1458" s="177"/>
      <c r="I1458" s="171"/>
      <c r="J1458" s="171"/>
      <c r="K1458" s="166" t="str">
        <f ca="1">IFERROR(VLOOKUP(C1458,' Disaggregation - Section E '!A$618:N662,3,0),"")</f>
        <v/>
      </c>
      <c r="L1458" s="166"/>
      <c r="M1458" s="166"/>
      <c r="N1458" s="171"/>
      <c r="O1458" s="171"/>
      <c r="P1458" s="171"/>
    </row>
    <row r="1459" spans="1:16">
      <c r="A1459" s="166" t="b">
        <v>0</v>
      </c>
      <c r="B1459" s="166"/>
      <c r="C1459" s="166" t="s">
        <v>3945</v>
      </c>
      <c r="D1459" s="177">
        <v>2</v>
      </c>
      <c r="E1459" s="168"/>
      <c r="F1459" s="171"/>
      <c r="G1459" s="170"/>
      <c r="H1459" s="177"/>
      <c r="I1459" s="171"/>
      <c r="J1459" s="171"/>
      <c r="K1459" s="166" t="str">
        <f ca="1">IFERROR(VLOOKUP(C1459,' Disaggregation - Section E '!A$618:N663,3,0),"")</f>
        <v/>
      </c>
      <c r="L1459" s="166"/>
      <c r="M1459" s="166"/>
      <c r="N1459" s="171"/>
      <c r="O1459" s="171"/>
      <c r="P1459" s="171"/>
    </row>
    <row r="1460" spans="1:16">
      <c r="A1460" s="166" t="b">
        <v>0</v>
      </c>
      <c r="B1460" s="166"/>
      <c r="C1460" s="166" t="s">
        <v>3946</v>
      </c>
      <c r="D1460" s="177">
        <v>3</v>
      </c>
      <c r="E1460" s="168"/>
      <c r="F1460" s="171"/>
      <c r="G1460" s="170"/>
      <c r="H1460" s="177"/>
      <c r="I1460" s="171"/>
      <c r="J1460" s="171"/>
      <c r="K1460" s="166" t="str">
        <f ca="1">IFERROR(VLOOKUP(C1460,' Disaggregation - Section E '!A$618:N664,3,0),"")</f>
        <v/>
      </c>
      <c r="L1460" s="166"/>
      <c r="M1460" s="166"/>
      <c r="N1460" s="171"/>
      <c r="O1460" s="171"/>
      <c r="P1460" s="171"/>
    </row>
    <row r="1461" spans="1:16">
      <c r="A1461" s="166" t="b">
        <v>0</v>
      </c>
      <c r="B1461" s="166"/>
      <c r="C1461" s="166" t="s">
        <v>3947</v>
      </c>
      <c r="D1461" s="177">
        <v>3</v>
      </c>
      <c r="E1461" s="168"/>
      <c r="F1461" s="171"/>
      <c r="G1461" s="170"/>
      <c r="H1461" s="177"/>
      <c r="I1461" s="171"/>
      <c r="J1461" s="171"/>
      <c r="K1461" s="166" t="str">
        <f ca="1">IFERROR(VLOOKUP(C1461,' Disaggregation - Section E '!A$618:N665,3,0),"")</f>
        <v/>
      </c>
      <c r="L1461" s="166"/>
      <c r="M1461" s="166"/>
      <c r="N1461" s="171"/>
      <c r="O1461" s="171"/>
      <c r="P1461" s="171"/>
    </row>
    <row r="1462" spans="1:16">
      <c r="A1462" s="166" t="b">
        <v>0</v>
      </c>
      <c r="B1462" s="166"/>
      <c r="C1462" s="166" t="s">
        <v>3948</v>
      </c>
      <c r="D1462" s="177">
        <v>3</v>
      </c>
      <c r="E1462" s="168"/>
      <c r="F1462" s="171"/>
      <c r="G1462" s="170"/>
      <c r="H1462" s="177"/>
      <c r="I1462" s="171"/>
      <c r="J1462" s="171"/>
      <c r="K1462" s="166" t="str">
        <f ca="1">IFERROR(VLOOKUP(C1462,' Disaggregation - Section E '!A$618:N666,3,0),"")</f>
        <v/>
      </c>
      <c r="L1462" s="166"/>
      <c r="M1462" s="166"/>
      <c r="N1462" s="171"/>
      <c r="O1462" s="171"/>
      <c r="P1462" s="171"/>
    </row>
    <row r="1463" spans="1:16">
      <c r="A1463" s="166" t="b">
        <v>0</v>
      </c>
      <c r="B1463" s="166"/>
      <c r="C1463" s="166" t="s">
        <v>3949</v>
      </c>
      <c r="D1463" s="177">
        <v>3</v>
      </c>
      <c r="E1463" s="168"/>
      <c r="F1463" s="171"/>
      <c r="G1463" s="170"/>
      <c r="H1463" s="177"/>
      <c r="I1463" s="171"/>
      <c r="J1463" s="171"/>
      <c r="K1463" s="166" t="str">
        <f ca="1">IFERROR(VLOOKUP(C1463,' Disaggregation - Section E '!A$618:N667,3,0),"")</f>
        <v/>
      </c>
      <c r="L1463" s="166"/>
      <c r="M1463" s="166"/>
      <c r="N1463" s="171"/>
      <c r="O1463" s="171"/>
      <c r="P1463" s="171"/>
    </row>
    <row r="1464" spans="1:16">
      <c r="A1464" s="166" t="b">
        <v>0</v>
      </c>
      <c r="B1464" s="166"/>
      <c r="C1464" s="166" t="s">
        <v>3950</v>
      </c>
      <c r="D1464" s="177">
        <v>3</v>
      </c>
      <c r="E1464" s="168"/>
      <c r="F1464" s="171"/>
      <c r="G1464" s="170"/>
      <c r="H1464" s="177"/>
      <c r="I1464" s="171"/>
      <c r="J1464" s="171"/>
      <c r="K1464" s="166" t="str">
        <f ca="1">IFERROR(VLOOKUP(C1464,' Disaggregation - Section E '!A$618:N668,3,0),"")</f>
        <v/>
      </c>
      <c r="L1464" s="166"/>
      <c r="M1464" s="166"/>
      <c r="N1464" s="171"/>
      <c r="O1464" s="171"/>
      <c r="P1464" s="171"/>
    </row>
    <row r="1465" spans="1:16">
      <c r="A1465" s="166" t="b">
        <v>0</v>
      </c>
      <c r="B1465" s="166"/>
      <c r="C1465" s="166" t="s">
        <v>3951</v>
      </c>
      <c r="D1465" s="177">
        <v>3</v>
      </c>
      <c r="E1465" s="168"/>
      <c r="F1465" s="171"/>
      <c r="G1465" s="170"/>
      <c r="H1465" s="177"/>
      <c r="I1465" s="171"/>
      <c r="J1465" s="171"/>
      <c r="K1465" s="166" t="str">
        <f ca="1">IFERROR(VLOOKUP(C1465,' Disaggregation - Section E '!A$618:N669,3,0),"")</f>
        <v/>
      </c>
      <c r="L1465" s="166"/>
      <c r="M1465" s="166"/>
      <c r="N1465" s="171"/>
      <c r="O1465" s="171"/>
      <c r="P1465" s="171"/>
    </row>
    <row r="1466" spans="1:16">
      <c r="A1466" s="166" t="b">
        <v>0</v>
      </c>
      <c r="B1466" s="166"/>
      <c r="C1466" s="166" t="s">
        <v>3952</v>
      </c>
      <c r="D1466" s="177">
        <v>3</v>
      </c>
      <c r="E1466" s="168"/>
      <c r="F1466" s="171"/>
      <c r="G1466" s="170"/>
      <c r="H1466" s="177"/>
      <c r="I1466" s="171"/>
      <c r="J1466" s="171"/>
      <c r="K1466" s="166" t="str">
        <f ca="1">IFERROR(VLOOKUP(C1466,' Disaggregation - Section E '!A$618:N670,3,0),"")</f>
        <v/>
      </c>
      <c r="L1466" s="166"/>
      <c r="M1466" s="166"/>
      <c r="N1466" s="171"/>
      <c r="O1466" s="171"/>
      <c r="P1466" s="171"/>
    </row>
    <row r="1467" spans="1:16">
      <c r="A1467" s="166" t="b">
        <v>0</v>
      </c>
      <c r="B1467" s="166"/>
      <c r="C1467" s="166" t="s">
        <v>3953</v>
      </c>
      <c r="D1467" s="177">
        <v>3</v>
      </c>
      <c r="E1467" s="168"/>
      <c r="F1467" s="171"/>
      <c r="G1467" s="170"/>
      <c r="H1467" s="177"/>
      <c r="I1467" s="171"/>
      <c r="J1467" s="171"/>
      <c r="K1467" s="166" t="str">
        <f ca="1">IFERROR(VLOOKUP(C1467,' Disaggregation - Section E '!A$618:N671,3,0),"")</f>
        <v/>
      </c>
      <c r="L1467" s="166"/>
      <c r="M1467" s="166"/>
      <c r="N1467" s="171"/>
      <c r="O1467" s="171"/>
      <c r="P1467" s="171"/>
    </row>
    <row r="1468" spans="1:16">
      <c r="A1468" s="166" t="b">
        <v>0</v>
      </c>
      <c r="B1468" s="166"/>
      <c r="C1468" s="166" t="s">
        <v>3954</v>
      </c>
      <c r="D1468" s="177">
        <v>3</v>
      </c>
      <c r="E1468" s="168"/>
      <c r="F1468" s="171"/>
      <c r="G1468" s="170"/>
      <c r="H1468" s="177"/>
      <c r="I1468" s="171"/>
      <c r="J1468" s="171"/>
      <c r="K1468" s="166" t="str">
        <f ca="1">IFERROR(VLOOKUP(C1468,' Disaggregation - Section E '!A$618:N672,3,0),"")</f>
        <v/>
      </c>
      <c r="L1468" s="166"/>
      <c r="M1468" s="166"/>
      <c r="N1468" s="171"/>
      <c r="O1468" s="171"/>
      <c r="P1468" s="171"/>
    </row>
    <row r="1469" spans="1:16">
      <c r="A1469" s="166" t="b">
        <v>0</v>
      </c>
      <c r="B1469" s="166"/>
      <c r="C1469" s="166" t="s">
        <v>3955</v>
      </c>
      <c r="D1469" s="177">
        <v>3</v>
      </c>
      <c r="E1469" s="168"/>
      <c r="F1469" s="171"/>
      <c r="G1469" s="170"/>
      <c r="H1469" s="177"/>
      <c r="I1469" s="171"/>
      <c r="J1469" s="171"/>
      <c r="K1469" s="166" t="str">
        <f ca="1">IFERROR(VLOOKUP(C1469,' Disaggregation - Section E '!A$618:N673,3,0),"")</f>
        <v/>
      </c>
      <c r="L1469" s="166"/>
      <c r="M1469" s="166"/>
      <c r="N1469" s="171"/>
      <c r="O1469" s="171"/>
      <c r="P1469" s="171"/>
    </row>
    <row r="1470" spans="1:16">
      <c r="A1470" s="166" t="b">
        <v>0</v>
      </c>
      <c r="B1470" s="166"/>
      <c r="C1470" s="166" t="s">
        <v>3956</v>
      </c>
      <c r="D1470" s="177">
        <v>3</v>
      </c>
      <c r="E1470" s="168"/>
      <c r="F1470" s="171"/>
      <c r="G1470" s="170"/>
      <c r="H1470" s="177"/>
      <c r="I1470" s="171"/>
      <c r="J1470" s="171"/>
      <c r="K1470" s="166" t="str">
        <f ca="1">IFERROR(VLOOKUP(C1470,' Disaggregation - Section E '!A$618:N674,3,0),"")</f>
        <v/>
      </c>
      <c r="L1470" s="166"/>
      <c r="M1470" s="166"/>
      <c r="N1470" s="171"/>
      <c r="O1470" s="171"/>
      <c r="P1470" s="171"/>
    </row>
    <row r="1471" spans="1:16">
      <c r="A1471" s="166" t="b">
        <v>0</v>
      </c>
      <c r="B1471" s="166"/>
      <c r="C1471" s="166" t="s">
        <v>3957</v>
      </c>
      <c r="D1471" s="177">
        <v>3</v>
      </c>
      <c r="E1471" s="168"/>
      <c r="F1471" s="171"/>
      <c r="G1471" s="170"/>
      <c r="H1471" s="177"/>
      <c r="I1471" s="171"/>
      <c r="J1471" s="171"/>
      <c r="K1471" s="166" t="str">
        <f ca="1">IFERROR(VLOOKUP(C1471,' Disaggregation - Section E '!A$618:N675,3,0),"")</f>
        <v/>
      </c>
      <c r="L1471" s="166"/>
      <c r="M1471" s="166"/>
      <c r="N1471" s="171"/>
      <c r="O1471" s="171"/>
      <c r="P1471" s="171"/>
    </row>
    <row r="1472" spans="1:16">
      <c r="A1472" s="166" t="b">
        <v>0</v>
      </c>
      <c r="B1472" s="166"/>
      <c r="C1472" s="166" t="s">
        <v>3958</v>
      </c>
      <c r="D1472" s="177">
        <v>3</v>
      </c>
      <c r="E1472" s="168"/>
      <c r="F1472" s="171"/>
      <c r="G1472" s="170"/>
      <c r="H1472" s="177"/>
      <c r="I1472" s="171"/>
      <c r="J1472" s="171"/>
      <c r="K1472" s="166" t="str">
        <f ca="1">IFERROR(VLOOKUP(C1472,' Disaggregation - Section E '!A$618:N676,3,0),"")</f>
        <v/>
      </c>
      <c r="L1472" s="166"/>
      <c r="M1472" s="166"/>
      <c r="N1472" s="171"/>
      <c r="O1472" s="171"/>
      <c r="P1472" s="171"/>
    </row>
    <row r="1473" spans="1:16">
      <c r="A1473" s="166" t="b">
        <v>0</v>
      </c>
      <c r="B1473" s="166"/>
      <c r="C1473" s="166" t="s">
        <v>3959</v>
      </c>
      <c r="D1473" s="177">
        <v>3</v>
      </c>
      <c r="E1473" s="168"/>
      <c r="F1473" s="171"/>
      <c r="G1473" s="170"/>
      <c r="H1473" s="177"/>
      <c r="I1473" s="171"/>
      <c r="J1473" s="171"/>
      <c r="K1473" s="166" t="str">
        <f ca="1">IFERROR(VLOOKUP(C1473,' Disaggregation - Section E '!A$618:N677,3,0),"")</f>
        <v/>
      </c>
      <c r="L1473" s="166"/>
      <c r="M1473" s="166"/>
      <c r="N1473" s="171"/>
      <c r="O1473" s="171"/>
      <c r="P1473" s="171"/>
    </row>
    <row r="1474" spans="1:16">
      <c r="A1474" s="166" t="b">
        <v>0</v>
      </c>
      <c r="B1474" s="166"/>
      <c r="C1474" s="166" t="s">
        <v>3960</v>
      </c>
      <c r="D1474" s="177">
        <v>3</v>
      </c>
      <c r="E1474" s="168"/>
      <c r="F1474" s="171"/>
      <c r="G1474" s="170"/>
      <c r="H1474" s="177"/>
      <c r="I1474" s="171"/>
      <c r="J1474" s="171"/>
      <c r="K1474" s="166" t="str">
        <f ca="1">IFERROR(VLOOKUP(C1474,' Disaggregation - Section E '!A$618:N678,3,0),"")</f>
        <v/>
      </c>
      <c r="L1474" s="166"/>
      <c r="M1474" s="166"/>
      <c r="N1474" s="171"/>
      <c r="O1474" s="171"/>
      <c r="P1474" s="171"/>
    </row>
    <row r="1475" spans="1:16">
      <c r="A1475" s="166" t="b">
        <v>0</v>
      </c>
      <c r="B1475" s="166"/>
      <c r="C1475" s="166" t="s">
        <v>3961</v>
      </c>
      <c r="D1475" s="177">
        <v>3</v>
      </c>
      <c r="E1475" s="168"/>
      <c r="F1475" s="171"/>
      <c r="G1475" s="170"/>
      <c r="H1475" s="177"/>
      <c r="I1475" s="171"/>
      <c r="J1475" s="171"/>
      <c r="K1475" s="166" t="str">
        <f ca="1">IFERROR(VLOOKUP(C1475,' Disaggregation - Section E '!A$618:N679,3,0),"")</f>
        <v/>
      </c>
      <c r="L1475" s="166"/>
      <c r="M1475" s="166"/>
      <c r="N1475" s="171"/>
      <c r="O1475" s="171"/>
      <c r="P1475" s="171"/>
    </row>
    <row r="1476" spans="1:16">
      <c r="A1476" s="166" t="b">
        <v>0</v>
      </c>
      <c r="B1476" s="166"/>
      <c r="C1476" s="166" t="s">
        <v>3962</v>
      </c>
      <c r="D1476" s="177">
        <v>3</v>
      </c>
      <c r="E1476" s="168"/>
      <c r="F1476" s="171"/>
      <c r="G1476" s="170"/>
      <c r="H1476" s="177"/>
      <c r="I1476" s="171"/>
      <c r="J1476" s="171"/>
      <c r="K1476" s="166" t="str">
        <f ca="1">IFERROR(VLOOKUP(C1476,' Disaggregation - Section E '!A$618:N680,3,0),"")</f>
        <v/>
      </c>
      <c r="L1476" s="166"/>
      <c r="M1476" s="166"/>
      <c r="N1476" s="171"/>
      <c r="O1476" s="171"/>
      <c r="P1476" s="171"/>
    </row>
    <row r="1477" spans="1:16">
      <c r="A1477" s="166" t="b">
        <v>0</v>
      </c>
      <c r="B1477" s="166"/>
      <c r="C1477" s="166" t="s">
        <v>3963</v>
      </c>
      <c r="D1477" s="177">
        <v>3</v>
      </c>
      <c r="E1477" s="168"/>
      <c r="F1477" s="171"/>
      <c r="G1477" s="170"/>
      <c r="H1477" s="177"/>
      <c r="I1477" s="171"/>
      <c r="J1477" s="171"/>
      <c r="K1477" s="166" t="str">
        <f ca="1">IFERROR(VLOOKUP(C1477,' Disaggregation - Section E '!A$618:N681,3,0),"")</f>
        <v/>
      </c>
      <c r="L1477" s="166"/>
      <c r="M1477" s="166"/>
      <c r="N1477" s="171"/>
      <c r="O1477" s="171"/>
      <c r="P1477" s="171"/>
    </row>
    <row r="1478" spans="1:16">
      <c r="A1478" s="166" t="b">
        <v>0</v>
      </c>
      <c r="B1478" s="166"/>
      <c r="C1478" s="166" t="s">
        <v>3964</v>
      </c>
      <c r="D1478" s="177">
        <v>3</v>
      </c>
      <c r="E1478" s="168"/>
      <c r="F1478" s="171"/>
      <c r="G1478" s="170"/>
      <c r="H1478" s="177"/>
      <c r="I1478" s="171"/>
      <c r="J1478" s="171"/>
      <c r="K1478" s="166" t="str">
        <f ca="1">IFERROR(VLOOKUP(C1478,' Disaggregation - Section E '!A$618:N682,3,0),"")</f>
        <v/>
      </c>
      <c r="L1478" s="166"/>
      <c r="M1478" s="166"/>
      <c r="N1478" s="171"/>
      <c r="O1478" s="171"/>
      <c r="P1478" s="171"/>
    </row>
    <row r="1479" spans="1:16">
      <c r="A1479" s="166" t="b">
        <v>0</v>
      </c>
      <c r="B1479" s="166"/>
      <c r="C1479" s="166" t="s">
        <v>3965</v>
      </c>
      <c r="D1479" s="177">
        <v>3</v>
      </c>
      <c r="E1479" s="168"/>
      <c r="F1479" s="171"/>
      <c r="G1479" s="170"/>
      <c r="H1479" s="177"/>
      <c r="I1479" s="171"/>
      <c r="J1479" s="171"/>
      <c r="K1479" s="166" t="str">
        <f ca="1">IFERROR(VLOOKUP(C1479,' Disaggregation - Section E '!A$618:N683,3,0),"")</f>
        <v/>
      </c>
      <c r="L1479" s="166"/>
      <c r="M1479" s="166"/>
      <c r="N1479" s="171"/>
      <c r="O1479" s="171"/>
      <c r="P1479" s="171"/>
    </row>
    <row r="1480" spans="1:16">
      <c r="A1480" s="166" t="b">
        <v>0</v>
      </c>
      <c r="B1480" s="166"/>
      <c r="C1480" s="166" t="s">
        <v>3966</v>
      </c>
      <c r="D1480" s="177">
        <v>4</v>
      </c>
      <c r="E1480" s="168"/>
      <c r="F1480" s="171"/>
      <c r="G1480" s="170"/>
      <c r="H1480" s="177"/>
      <c r="I1480" s="171"/>
      <c r="J1480" s="171"/>
      <c r="K1480" s="166" t="str">
        <f ca="1">IFERROR(VLOOKUP(C1480,' Disaggregation - Section E '!A$618:N684,3,0),"")</f>
        <v/>
      </c>
      <c r="L1480" s="166"/>
      <c r="M1480" s="166"/>
      <c r="N1480" s="171"/>
      <c r="O1480" s="171"/>
      <c r="P1480" s="171"/>
    </row>
    <row r="1481" spans="1:16">
      <c r="A1481" s="166" t="b">
        <v>0</v>
      </c>
      <c r="B1481" s="166"/>
      <c r="C1481" s="166" t="s">
        <v>3967</v>
      </c>
      <c r="D1481" s="177">
        <v>4</v>
      </c>
      <c r="E1481" s="168"/>
      <c r="F1481" s="171"/>
      <c r="G1481" s="170"/>
      <c r="H1481" s="177"/>
      <c r="I1481" s="171"/>
      <c r="J1481" s="171"/>
      <c r="K1481" s="166" t="str">
        <f ca="1">IFERROR(VLOOKUP(C1481,' Disaggregation - Section E '!A$618:N685,3,0),"")</f>
        <v/>
      </c>
      <c r="L1481" s="166"/>
      <c r="M1481" s="166"/>
      <c r="N1481" s="171"/>
      <c r="O1481" s="171"/>
      <c r="P1481" s="171"/>
    </row>
    <row r="1482" spans="1:16">
      <c r="A1482" s="166" t="b">
        <v>0</v>
      </c>
      <c r="B1482" s="166"/>
      <c r="C1482" s="166" t="s">
        <v>3968</v>
      </c>
      <c r="D1482" s="177">
        <v>4</v>
      </c>
      <c r="E1482" s="168"/>
      <c r="F1482" s="171"/>
      <c r="G1482" s="170"/>
      <c r="H1482" s="177"/>
      <c r="I1482" s="171"/>
      <c r="J1482" s="171"/>
      <c r="K1482" s="166" t="str">
        <f ca="1">IFERROR(VLOOKUP(C1482,' Disaggregation - Section E '!A$618:N686,3,0),"")</f>
        <v/>
      </c>
      <c r="L1482" s="166"/>
      <c r="M1482" s="166"/>
      <c r="N1482" s="171"/>
      <c r="O1482" s="171"/>
      <c r="P1482" s="171"/>
    </row>
    <row r="1483" spans="1:16">
      <c r="A1483" s="166" t="b">
        <v>0</v>
      </c>
      <c r="B1483" s="166"/>
      <c r="C1483" s="166" t="s">
        <v>3969</v>
      </c>
      <c r="D1483" s="177">
        <v>4</v>
      </c>
      <c r="E1483" s="168"/>
      <c r="F1483" s="171"/>
      <c r="G1483" s="170"/>
      <c r="H1483" s="177"/>
      <c r="I1483" s="171"/>
      <c r="J1483" s="171"/>
      <c r="K1483" s="166" t="str">
        <f ca="1">IFERROR(VLOOKUP(C1483,' Disaggregation - Section E '!A$618:N687,3,0),"")</f>
        <v/>
      </c>
      <c r="L1483" s="166"/>
      <c r="M1483" s="166"/>
      <c r="N1483" s="171"/>
      <c r="O1483" s="171"/>
      <c r="P1483" s="171"/>
    </row>
    <row r="1484" spans="1:16">
      <c r="A1484" s="166" t="b">
        <v>0</v>
      </c>
      <c r="B1484" s="166"/>
      <c r="C1484" s="166" t="s">
        <v>3970</v>
      </c>
      <c r="D1484" s="177">
        <v>4</v>
      </c>
      <c r="E1484" s="168"/>
      <c r="F1484" s="171"/>
      <c r="G1484" s="170"/>
      <c r="H1484" s="177"/>
      <c r="I1484" s="171"/>
      <c r="J1484" s="171"/>
      <c r="K1484" s="166" t="str">
        <f ca="1">IFERROR(VLOOKUP(C1484,' Disaggregation - Section E '!A$618:N688,3,0),"")</f>
        <v/>
      </c>
      <c r="L1484" s="166"/>
      <c r="M1484" s="166"/>
      <c r="N1484" s="171"/>
      <c r="O1484" s="171"/>
      <c r="P1484" s="171"/>
    </row>
    <row r="1485" spans="1:16">
      <c r="A1485" s="166" t="b">
        <v>0</v>
      </c>
      <c r="B1485" s="166"/>
      <c r="C1485" s="166" t="s">
        <v>3971</v>
      </c>
      <c r="D1485" s="177">
        <v>4</v>
      </c>
      <c r="E1485" s="168"/>
      <c r="F1485" s="171"/>
      <c r="G1485" s="170"/>
      <c r="H1485" s="177"/>
      <c r="I1485" s="171"/>
      <c r="J1485" s="171"/>
      <c r="K1485" s="166" t="str">
        <f ca="1">IFERROR(VLOOKUP(C1485,' Disaggregation - Section E '!A$618:N689,3,0),"")</f>
        <v/>
      </c>
      <c r="L1485" s="166"/>
      <c r="M1485" s="166"/>
      <c r="N1485" s="171"/>
      <c r="O1485" s="171"/>
      <c r="P1485" s="171"/>
    </row>
    <row r="1486" spans="1:16">
      <c r="A1486" s="166" t="b">
        <v>0</v>
      </c>
      <c r="B1486" s="166"/>
      <c r="C1486" s="166" t="s">
        <v>3972</v>
      </c>
      <c r="D1486" s="177">
        <v>4</v>
      </c>
      <c r="E1486" s="168"/>
      <c r="F1486" s="171"/>
      <c r="G1486" s="170"/>
      <c r="H1486" s="177"/>
      <c r="I1486" s="171"/>
      <c r="J1486" s="171"/>
      <c r="K1486" s="166" t="str">
        <f ca="1">IFERROR(VLOOKUP(C1486,' Disaggregation - Section E '!A$618:N690,3,0),"")</f>
        <v/>
      </c>
      <c r="L1486" s="166"/>
      <c r="M1486" s="166"/>
      <c r="N1486" s="171"/>
      <c r="O1486" s="171"/>
      <c r="P1486" s="171"/>
    </row>
    <row r="1487" spans="1:16">
      <c r="A1487" s="166" t="b">
        <v>0</v>
      </c>
      <c r="B1487" s="166"/>
      <c r="C1487" s="166" t="s">
        <v>3973</v>
      </c>
      <c r="D1487" s="177">
        <v>4</v>
      </c>
      <c r="E1487" s="168"/>
      <c r="F1487" s="171"/>
      <c r="G1487" s="170"/>
      <c r="H1487" s="177"/>
      <c r="I1487" s="171"/>
      <c r="J1487" s="171"/>
      <c r="K1487" s="166" t="str">
        <f ca="1">IFERROR(VLOOKUP(C1487,' Disaggregation - Section E '!A$618:N691,3,0),"")</f>
        <v/>
      </c>
      <c r="L1487" s="166"/>
      <c r="M1487" s="166"/>
      <c r="N1487" s="171"/>
      <c r="O1487" s="171"/>
      <c r="P1487" s="171"/>
    </row>
    <row r="1488" spans="1:16">
      <c r="A1488" s="166" t="b">
        <v>0</v>
      </c>
      <c r="B1488" s="166"/>
      <c r="C1488" s="166" t="s">
        <v>3974</v>
      </c>
      <c r="D1488" s="177">
        <v>4</v>
      </c>
      <c r="E1488" s="168"/>
      <c r="F1488" s="171"/>
      <c r="G1488" s="170"/>
      <c r="H1488" s="177"/>
      <c r="I1488" s="171"/>
      <c r="J1488" s="171"/>
      <c r="K1488" s="166" t="str">
        <f ca="1">IFERROR(VLOOKUP(C1488,' Disaggregation - Section E '!A$618:N692,3,0),"")</f>
        <v/>
      </c>
      <c r="L1488" s="166"/>
      <c r="M1488" s="166"/>
      <c r="N1488" s="171"/>
      <c r="O1488" s="171"/>
      <c r="P1488" s="171"/>
    </row>
    <row r="1489" spans="1:16">
      <c r="A1489" s="166" t="b">
        <v>0</v>
      </c>
      <c r="B1489" s="166"/>
      <c r="C1489" s="166" t="s">
        <v>3975</v>
      </c>
      <c r="D1489" s="177">
        <v>4</v>
      </c>
      <c r="E1489" s="168"/>
      <c r="F1489" s="171"/>
      <c r="G1489" s="170"/>
      <c r="H1489" s="177"/>
      <c r="I1489" s="171"/>
      <c r="J1489" s="171"/>
      <c r="K1489" s="166" t="str">
        <f ca="1">IFERROR(VLOOKUP(C1489,' Disaggregation - Section E '!A$618:N693,3,0),"")</f>
        <v/>
      </c>
      <c r="L1489" s="166"/>
      <c r="M1489" s="166"/>
      <c r="N1489" s="171"/>
      <c r="O1489" s="171"/>
      <c r="P1489" s="171"/>
    </row>
    <row r="1490" spans="1:16">
      <c r="A1490" s="166" t="b">
        <v>0</v>
      </c>
      <c r="B1490" s="166"/>
      <c r="C1490" s="166" t="s">
        <v>3976</v>
      </c>
      <c r="D1490" s="177">
        <v>4</v>
      </c>
      <c r="E1490" s="168"/>
      <c r="F1490" s="171"/>
      <c r="G1490" s="170"/>
      <c r="H1490" s="177"/>
      <c r="I1490" s="171"/>
      <c r="J1490" s="171"/>
      <c r="K1490" s="166" t="str">
        <f ca="1">IFERROR(VLOOKUP(C1490,' Disaggregation - Section E '!A$618:N694,3,0),"")</f>
        <v/>
      </c>
      <c r="L1490" s="166"/>
      <c r="M1490" s="166"/>
      <c r="N1490" s="171"/>
      <c r="O1490" s="171"/>
      <c r="P1490" s="171"/>
    </row>
    <row r="1491" spans="1:16">
      <c r="A1491" s="166" t="b">
        <v>0</v>
      </c>
      <c r="B1491" s="166"/>
      <c r="C1491" s="166" t="s">
        <v>3977</v>
      </c>
      <c r="D1491" s="177">
        <v>4</v>
      </c>
      <c r="E1491" s="168"/>
      <c r="F1491" s="171"/>
      <c r="G1491" s="170"/>
      <c r="H1491" s="177"/>
      <c r="I1491" s="171"/>
      <c r="J1491" s="171"/>
      <c r="K1491" s="166" t="str">
        <f ca="1">IFERROR(VLOOKUP(C1491,' Disaggregation - Section E '!A$618:N695,3,0),"")</f>
        <v/>
      </c>
      <c r="L1491" s="166"/>
      <c r="M1491" s="166"/>
      <c r="N1491" s="171"/>
      <c r="O1491" s="171"/>
      <c r="P1491" s="171"/>
    </row>
    <row r="1492" spans="1:16">
      <c r="A1492" s="166" t="b">
        <v>0</v>
      </c>
      <c r="B1492" s="166"/>
      <c r="C1492" s="166" t="s">
        <v>3978</v>
      </c>
      <c r="D1492" s="177">
        <v>4</v>
      </c>
      <c r="E1492" s="168"/>
      <c r="F1492" s="171"/>
      <c r="G1492" s="170"/>
      <c r="H1492" s="177"/>
      <c r="I1492" s="171"/>
      <c r="J1492" s="171"/>
      <c r="K1492" s="166" t="str">
        <f ca="1">IFERROR(VLOOKUP(C1492,' Disaggregation - Section E '!A$618:N696,3,0),"")</f>
        <v/>
      </c>
      <c r="L1492" s="166"/>
      <c r="M1492" s="166"/>
      <c r="N1492" s="171"/>
      <c r="O1492" s="171"/>
      <c r="P1492" s="171"/>
    </row>
    <row r="1493" spans="1:16">
      <c r="A1493" s="166" t="b">
        <v>0</v>
      </c>
      <c r="B1493" s="166"/>
      <c r="C1493" s="166" t="s">
        <v>3979</v>
      </c>
      <c r="D1493" s="177">
        <v>4</v>
      </c>
      <c r="E1493" s="168"/>
      <c r="F1493" s="171"/>
      <c r="G1493" s="170"/>
      <c r="H1493" s="177"/>
      <c r="I1493" s="171"/>
      <c r="J1493" s="171"/>
      <c r="K1493" s="166" t="str">
        <f ca="1">IFERROR(VLOOKUP(C1493,' Disaggregation - Section E '!A$618:N697,3,0),"")</f>
        <v/>
      </c>
      <c r="L1493" s="166"/>
      <c r="M1493" s="166"/>
      <c r="N1493" s="171"/>
      <c r="O1493" s="171"/>
      <c r="P1493" s="171"/>
    </row>
    <row r="1494" spans="1:16">
      <c r="A1494" s="166" t="b">
        <v>0</v>
      </c>
      <c r="B1494" s="166"/>
      <c r="C1494" s="166" t="s">
        <v>3980</v>
      </c>
      <c r="D1494" s="177">
        <v>4</v>
      </c>
      <c r="E1494" s="168"/>
      <c r="F1494" s="171"/>
      <c r="G1494" s="170"/>
      <c r="H1494" s="177"/>
      <c r="I1494" s="171"/>
      <c r="J1494" s="171"/>
      <c r="K1494" s="166" t="str">
        <f ca="1">IFERROR(VLOOKUP(C1494,' Disaggregation - Section E '!A$618:N698,3,0),"")</f>
        <v/>
      </c>
      <c r="L1494" s="166"/>
      <c r="M1494" s="166"/>
      <c r="N1494" s="171"/>
      <c r="O1494" s="171"/>
      <c r="P1494" s="171"/>
    </row>
    <row r="1495" spans="1:16">
      <c r="A1495" s="166" t="b">
        <v>0</v>
      </c>
      <c r="B1495" s="166"/>
      <c r="C1495" s="166" t="s">
        <v>3981</v>
      </c>
      <c r="D1495" s="177">
        <v>4</v>
      </c>
      <c r="E1495" s="168"/>
      <c r="F1495" s="171"/>
      <c r="G1495" s="170"/>
      <c r="H1495" s="177"/>
      <c r="I1495" s="171"/>
      <c r="J1495" s="171"/>
      <c r="K1495" s="166" t="str">
        <f ca="1">IFERROR(VLOOKUP(C1495,' Disaggregation - Section E '!A$618:N699,3,0),"")</f>
        <v/>
      </c>
      <c r="L1495" s="166"/>
      <c r="M1495" s="166"/>
      <c r="N1495" s="171"/>
      <c r="O1495" s="171"/>
      <c r="P1495" s="171"/>
    </row>
    <row r="1496" spans="1:16">
      <c r="A1496" s="166" t="b">
        <v>0</v>
      </c>
      <c r="B1496" s="166"/>
      <c r="C1496" s="166" t="s">
        <v>3982</v>
      </c>
      <c r="D1496" s="177">
        <v>4</v>
      </c>
      <c r="E1496" s="168"/>
      <c r="F1496" s="171"/>
      <c r="G1496" s="170"/>
      <c r="H1496" s="177"/>
      <c r="I1496" s="171"/>
      <c r="J1496" s="171"/>
      <c r="K1496" s="166" t="str">
        <f ca="1">IFERROR(VLOOKUP(C1496,' Disaggregation - Section E '!A$618:N700,3,0),"")</f>
        <v/>
      </c>
      <c r="L1496" s="166"/>
      <c r="M1496" s="166"/>
      <c r="N1496" s="171"/>
      <c r="O1496" s="171"/>
      <c r="P1496" s="171"/>
    </row>
    <row r="1497" spans="1:16">
      <c r="A1497" s="166" t="b">
        <v>0</v>
      </c>
      <c r="B1497" s="166"/>
      <c r="C1497" s="166" t="s">
        <v>3983</v>
      </c>
      <c r="D1497" s="177">
        <v>4</v>
      </c>
      <c r="E1497" s="168"/>
      <c r="F1497" s="171"/>
      <c r="G1497" s="170"/>
      <c r="H1497" s="177"/>
      <c r="I1497" s="171"/>
      <c r="J1497" s="171"/>
      <c r="K1497" s="166" t="str">
        <f ca="1">IFERROR(VLOOKUP(C1497,' Disaggregation - Section E '!A$618:N701,3,0),"")</f>
        <v/>
      </c>
      <c r="L1497" s="166"/>
      <c r="M1497" s="166"/>
      <c r="N1497" s="171"/>
      <c r="O1497" s="171"/>
      <c r="P1497" s="171"/>
    </row>
    <row r="1498" spans="1:16">
      <c r="A1498" s="166" t="b">
        <v>0</v>
      </c>
      <c r="B1498" s="166"/>
      <c r="C1498" s="166" t="s">
        <v>3984</v>
      </c>
      <c r="D1498" s="177">
        <v>4</v>
      </c>
      <c r="E1498" s="168"/>
      <c r="F1498" s="171"/>
      <c r="G1498" s="170"/>
      <c r="H1498" s="177"/>
      <c r="I1498" s="171"/>
      <c r="J1498" s="171"/>
      <c r="K1498" s="166" t="str">
        <f ca="1">IFERROR(VLOOKUP(C1498,' Disaggregation - Section E '!A$618:N702,3,0),"")</f>
        <v/>
      </c>
      <c r="L1498" s="166"/>
      <c r="M1498" s="166"/>
      <c r="N1498" s="171"/>
      <c r="O1498" s="171"/>
      <c r="P1498" s="171"/>
    </row>
    <row r="1499" spans="1:16">
      <c r="A1499" s="166" t="b">
        <v>0</v>
      </c>
      <c r="B1499" s="166"/>
      <c r="C1499" s="166" t="s">
        <v>3985</v>
      </c>
      <c r="D1499" s="177">
        <v>4</v>
      </c>
      <c r="E1499" s="168"/>
      <c r="F1499" s="171"/>
      <c r="G1499" s="170"/>
      <c r="H1499" s="177"/>
      <c r="I1499" s="171"/>
      <c r="J1499" s="171"/>
      <c r="K1499" s="166" t="str">
        <f ca="1">IFERROR(VLOOKUP(C1499,' Disaggregation - Section E '!A$618:N703,3,0),"")</f>
        <v/>
      </c>
      <c r="L1499" s="166"/>
      <c r="M1499" s="166"/>
      <c r="N1499" s="171"/>
      <c r="O1499" s="171"/>
      <c r="P1499" s="171"/>
    </row>
    <row r="1500" spans="1:16">
      <c r="A1500" s="166" t="b">
        <v>0</v>
      </c>
      <c r="B1500" s="166"/>
      <c r="C1500" s="166" t="s">
        <v>3986</v>
      </c>
      <c r="D1500" s="177">
        <v>5</v>
      </c>
      <c r="E1500" s="168"/>
      <c r="F1500" s="171"/>
      <c r="G1500" s="170"/>
      <c r="H1500" s="177"/>
      <c r="I1500" s="171"/>
      <c r="J1500" s="171"/>
      <c r="K1500" s="166" t="str">
        <f ca="1">IFERROR(VLOOKUP(C1500,' Disaggregation - Section E '!A$618:N704,3,0),"")</f>
        <v/>
      </c>
      <c r="L1500" s="166"/>
      <c r="M1500" s="166"/>
      <c r="N1500" s="171"/>
      <c r="O1500" s="171"/>
      <c r="P1500" s="171"/>
    </row>
    <row r="1501" spans="1:16">
      <c r="A1501" s="166" t="b">
        <v>0</v>
      </c>
      <c r="B1501" s="166"/>
      <c r="C1501" s="166" t="s">
        <v>3987</v>
      </c>
      <c r="D1501" s="177">
        <v>5</v>
      </c>
      <c r="E1501" s="168"/>
      <c r="F1501" s="171"/>
      <c r="G1501" s="170"/>
      <c r="H1501" s="177"/>
      <c r="I1501" s="171"/>
      <c r="J1501" s="171"/>
      <c r="K1501" s="166" t="str">
        <f ca="1">IFERROR(VLOOKUP(C1501,' Disaggregation - Section E '!A$618:N705,3,0),"")</f>
        <v/>
      </c>
      <c r="L1501" s="166"/>
      <c r="M1501" s="166"/>
      <c r="N1501" s="171"/>
      <c r="O1501" s="171"/>
      <c r="P1501" s="171"/>
    </row>
    <row r="1502" spans="1:16">
      <c r="A1502" s="166" t="b">
        <v>0</v>
      </c>
      <c r="B1502" s="166"/>
      <c r="C1502" s="166" t="s">
        <v>3988</v>
      </c>
      <c r="D1502" s="177">
        <v>5</v>
      </c>
      <c r="E1502" s="168"/>
      <c r="F1502" s="171"/>
      <c r="G1502" s="170"/>
      <c r="H1502" s="177"/>
      <c r="I1502" s="171"/>
      <c r="J1502" s="171"/>
      <c r="K1502" s="166" t="str">
        <f ca="1">IFERROR(VLOOKUP(C1502,' Disaggregation - Section E '!A$618:N706,3,0),"")</f>
        <v/>
      </c>
      <c r="L1502" s="166"/>
      <c r="M1502" s="166"/>
      <c r="N1502" s="171"/>
      <c r="O1502" s="171"/>
      <c r="P1502" s="171"/>
    </row>
    <row r="1503" spans="1:16">
      <c r="A1503" s="166" t="b">
        <v>0</v>
      </c>
      <c r="B1503" s="166"/>
      <c r="C1503" s="166" t="s">
        <v>3989</v>
      </c>
      <c r="D1503" s="177">
        <v>5</v>
      </c>
      <c r="E1503" s="168"/>
      <c r="F1503" s="171"/>
      <c r="G1503" s="170"/>
      <c r="H1503" s="177"/>
      <c r="I1503" s="171"/>
      <c r="J1503" s="171"/>
      <c r="K1503" s="166" t="str">
        <f ca="1">IFERROR(VLOOKUP(C1503,' Disaggregation - Section E '!A$618:N707,3,0),"")</f>
        <v/>
      </c>
      <c r="L1503" s="166"/>
      <c r="M1503" s="166"/>
      <c r="N1503" s="171"/>
      <c r="O1503" s="171"/>
      <c r="P1503" s="171"/>
    </row>
    <row r="1504" spans="1:16">
      <c r="A1504" s="166" t="b">
        <v>0</v>
      </c>
      <c r="B1504" s="166"/>
      <c r="C1504" s="166" t="s">
        <v>3990</v>
      </c>
      <c r="D1504" s="177">
        <v>5</v>
      </c>
      <c r="E1504" s="168"/>
      <c r="F1504" s="171"/>
      <c r="G1504" s="170"/>
      <c r="H1504" s="177"/>
      <c r="I1504" s="171"/>
      <c r="J1504" s="171"/>
      <c r="K1504" s="166" t="str">
        <f ca="1">IFERROR(VLOOKUP(C1504,' Disaggregation - Section E '!A$618:N708,3,0),"")</f>
        <v/>
      </c>
      <c r="L1504" s="166"/>
      <c r="M1504" s="166"/>
      <c r="N1504" s="171"/>
      <c r="O1504" s="171"/>
      <c r="P1504" s="171"/>
    </row>
    <row r="1505" spans="1:16">
      <c r="A1505" s="166" t="b">
        <v>0</v>
      </c>
      <c r="B1505" s="166"/>
      <c r="C1505" s="166" t="s">
        <v>3991</v>
      </c>
      <c r="D1505" s="177">
        <v>5</v>
      </c>
      <c r="E1505" s="168"/>
      <c r="F1505" s="171"/>
      <c r="G1505" s="170"/>
      <c r="H1505" s="177"/>
      <c r="I1505" s="171"/>
      <c r="J1505" s="171"/>
      <c r="K1505" s="166" t="str">
        <f ca="1">IFERROR(VLOOKUP(C1505,' Disaggregation - Section E '!A$618:N709,3,0),"")</f>
        <v/>
      </c>
      <c r="L1505" s="166"/>
      <c r="M1505" s="166"/>
      <c r="N1505" s="171"/>
      <c r="O1505" s="171"/>
      <c r="P1505" s="171"/>
    </row>
    <row r="1506" spans="1:16">
      <c r="A1506" s="166" t="b">
        <v>0</v>
      </c>
      <c r="B1506" s="166"/>
      <c r="C1506" s="166" t="s">
        <v>3992</v>
      </c>
      <c r="D1506" s="177">
        <v>5</v>
      </c>
      <c r="E1506" s="168"/>
      <c r="F1506" s="171"/>
      <c r="G1506" s="170"/>
      <c r="H1506" s="177"/>
      <c r="I1506" s="171"/>
      <c r="J1506" s="171"/>
      <c r="K1506" s="166" t="str">
        <f ca="1">IFERROR(VLOOKUP(C1506,' Disaggregation - Section E '!A$618:N710,3,0),"")</f>
        <v/>
      </c>
      <c r="L1506" s="166"/>
      <c r="M1506" s="166"/>
      <c r="N1506" s="171"/>
      <c r="O1506" s="171"/>
      <c r="P1506" s="171"/>
    </row>
    <row r="1507" spans="1:16">
      <c r="A1507" s="166" t="b">
        <v>0</v>
      </c>
      <c r="B1507" s="166"/>
      <c r="C1507" s="166" t="s">
        <v>3993</v>
      </c>
      <c r="D1507" s="177">
        <v>5</v>
      </c>
      <c r="E1507" s="168"/>
      <c r="F1507" s="171"/>
      <c r="G1507" s="170"/>
      <c r="H1507" s="177"/>
      <c r="I1507" s="171"/>
      <c r="J1507" s="171"/>
      <c r="K1507" s="166" t="str">
        <f ca="1">IFERROR(VLOOKUP(C1507,' Disaggregation - Section E '!A$618:N711,3,0),"")</f>
        <v/>
      </c>
      <c r="L1507" s="166"/>
      <c r="M1507" s="166"/>
      <c r="N1507" s="171"/>
      <c r="O1507" s="171"/>
      <c r="P1507" s="171"/>
    </row>
    <row r="1508" spans="1:16">
      <c r="A1508" s="166" t="b">
        <v>0</v>
      </c>
      <c r="B1508" s="166"/>
      <c r="C1508" s="166" t="s">
        <v>3994</v>
      </c>
      <c r="D1508" s="177">
        <v>5</v>
      </c>
      <c r="E1508" s="168"/>
      <c r="F1508" s="171"/>
      <c r="G1508" s="170"/>
      <c r="H1508" s="177"/>
      <c r="I1508" s="171"/>
      <c r="J1508" s="171"/>
      <c r="K1508" s="166" t="str">
        <f ca="1">IFERROR(VLOOKUP(C1508,' Disaggregation - Section E '!A$618:N712,3,0),"")</f>
        <v/>
      </c>
      <c r="L1508" s="166"/>
      <c r="M1508" s="166"/>
      <c r="N1508" s="171"/>
      <c r="O1508" s="171"/>
      <c r="P1508" s="171"/>
    </row>
    <row r="1509" spans="1:16">
      <c r="A1509" s="166" t="b">
        <v>0</v>
      </c>
      <c r="B1509" s="166"/>
      <c r="C1509" s="166" t="s">
        <v>3995</v>
      </c>
      <c r="D1509" s="177">
        <v>5</v>
      </c>
      <c r="E1509" s="168"/>
      <c r="F1509" s="171"/>
      <c r="G1509" s="170"/>
      <c r="H1509" s="177"/>
      <c r="I1509" s="171"/>
      <c r="J1509" s="171"/>
      <c r="K1509" s="166" t="str">
        <f ca="1">IFERROR(VLOOKUP(C1509,' Disaggregation - Section E '!A$618:N713,3,0),"")</f>
        <v/>
      </c>
      <c r="L1509" s="166"/>
      <c r="M1509" s="166"/>
      <c r="N1509" s="171"/>
      <c r="O1509" s="171"/>
      <c r="P1509" s="171"/>
    </row>
    <row r="1510" spans="1:16">
      <c r="A1510" s="166" t="b">
        <v>0</v>
      </c>
      <c r="B1510" s="166"/>
      <c r="C1510" s="166" t="s">
        <v>3996</v>
      </c>
      <c r="D1510" s="177">
        <v>5</v>
      </c>
      <c r="E1510" s="168"/>
      <c r="F1510" s="171"/>
      <c r="G1510" s="170"/>
      <c r="H1510" s="177"/>
      <c r="I1510" s="171"/>
      <c r="J1510" s="171"/>
      <c r="K1510" s="166" t="str">
        <f ca="1">IFERROR(VLOOKUP(C1510,' Disaggregation - Section E '!A$618:N714,3,0),"")</f>
        <v/>
      </c>
      <c r="L1510" s="166"/>
      <c r="M1510" s="166"/>
      <c r="N1510" s="171"/>
      <c r="O1510" s="171"/>
      <c r="P1510" s="171"/>
    </row>
    <row r="1511" spans="1:16">
      <c r="A1511" s="166" t="b">
        <v>0</v>
      </c>
      <c r="B1511" s="166"/>
      <c r="C1511" s="166" t="s">
        <v>3997</v>
      </c>
      <c r="D1511" s="177">
        <v>5</v>
      </c>
      <c r="E1511" s="168"/>
      <c r="F1511" s="171"/>
      <c r="G1511" s="170"/>
      <c r="H1511" s="177"/>
      <c r="I1511" s="171"/>
      <c r="J1511" s="171"/>
      <c r="K1511" s="166" t="str">
        <f ca="1">IFERROR(VLOOKUP(C1511,' Disaggregation - Section E '!A$618:N715,3,0),"")</f>
        <v/>
      </c>
      <c r="L1511" s="166"/>
      <c r="M1511" s="166"/>
      <c r="N1511" s="171"/>
      <c r="O1511" s="171"/>
      <c r="P1511" s="171"/>
    </row>
    <row r="1512" spans="1:16">
      <c r="A1512" s="166" t="b">
        <v>0</v>
      </c>
      <c r="B1512" s="166"/>
      <c r="C1512" s="166" t="s">
        <v>3998</v>
      </c>
      <c r="D1512" s="177">
        <v>5</v>
      </c>
      <c r="E1512" s="168"/>
      <c r="F1512" s="171"/>
      <c r="G1512" s="170"/>
      <c r="H1512" s="177"/>
      <c r="I1512" s="171"/>
      <c r="J1512" s="171"/>
      <c r="K1512" s="166" t="str">
        <f ca="1">IFERROR(VLOOKUP(C1512,' Disaggregation - Section E '!A$618:N716,3,0),"")</f>
        <v/>
      </c>
      <c r="L1512" s="166"/>
      <c r="M1512" s="166"/>
      <c r="N1512" s="171"/>
      <c r="O1512" s="171"/>
      <c r="P1512" s="171"/>
    </row>
    <row r="1513" spans="1:16">
      <c r="A1513" s="166" t="b">
        <v>0</v>
      </c>
      <c r="B1513" s="166"/>
      <c r="C1513" s="166" t="s">
        <v>3999</v>
      </c>
      <c r="D1513" s="177">
        <v>5</v>
      </c>
      <c r="E1513" s="168"/>
      <c r="F1513" s="171"/>
      <c r="G1513" s="170"/>
      <c r="H1513" s="177"/>
      <c r="I1513" s="171"/>
      <c r="J1513" s="171"/>
      <c r="K1513" s="166" t="str">
        <f ca="1">IFERROR(VLOOKUP(C1513,' Disaggregation - Section E '!A$618:N717,3,0),"")</f>
        <v/>
      </c>
      <c r="L1513" s="166"/>
      <c r="M1513" s="166"/>
      <c r="N1513" s="171"/>
      <c r="O1513" s="171"/>
      <c r="P1513" s="171"/>
    </row>
    <row r="1514" spans="1:16">
      <c r="A1514" s="166" t="b">
        <v>0</v>
      </c>
      <c r="B1514" s="166"/>
      <c r="C1514" s="166" t="s">
        <v>4000</v>
      </c>
      <c r="D1514" s="177">
        <v>5</v>
      </c>
      <c r="E1514" s="168"/>
      <c r="F1514" s="171"/>
      <c r="G1514" s="170"/>
      <c r="H1514" s="177"/>
      <c r="I1514" s="171"/>
      <c r="J1514" s="171"/>
      <c r="K1514" s="166" t="str">
        <f ca="1">IFERROR(VLOOKUP(C1514,' Disaggregation - Section E '!A$618:N718,3,0),"")</f>
        <v/>
      </c>
      <c r="L1514" s="166"/>
      <c r="M1514" s="166"/>
      <c r="N1514" s="171"/>
      <c r="O1514" s="171"/>
      <c r="P1514" s="171"/>
    </row>
    <row r="1515" spans="1:16">
      <c r="A1515" s="166" t="b">
        <v>0</v>
      </c>
      <c r="B1515" s="166"/>
      <c r="C1515" s="166" t="s">
        <v>4001</v>
      </c>
      <c r="D1515" s="177">
        <v>5</v>
      </c>
      <c r="E1515" s="168"/>
      <c r="F1515" s="171"/>
      <c r="G1515" s="170"/>
      <c r="H1515" s="177"/>
      <c r="I1515" s="171"/>
      <c r="J1515" s="171"/>
      <c r="K1515" s="166" t="str">
        <f ca="1">IFERROR(VLOOKUP(C1515,' Disaggregation - Section E '!A$618:N719,3,0),"")</f>
        <v/>
      </c>
      <c r="L1515" s="166"/>
      <c r="M1515" s="166"/>
      <c r="N1515" s="171"/>
      <c r="O1515" s="171"/>
      <c r="P1515" s="171"/>
    </row>
    <row r="1516" spans="1:16">
      <c r="A1516" s="166" t="b">
        <v>0</v>
      </c>
      <c r="B1516" s="166"/>
      <c r="C1516" s="166" t="s">
        <v>4002</v>
      </c>
      <c r="D1516" s="177">
        <v>5</v>
      </c>
      <c r="E1516" s="168"/>
      <c r="F1516" s="171"/>
      <c r="G1516" s="170"/>
      <c r="H1516" s="177"/>
      <c r="I1516" s="171"/>
      <c r="J1516" s="171"/>
      <c r="K1516" s="166" t="str">
        <f ca="1">IFERROR(VLOOKUP(C1516,' Disaggregation - Section E '!A$618:N720,3,0),"")</f>
        <v/>
      </c>
      <c r="L1516" s="166"/>
      <c r="M1516" s="166"/>
      <c r="N1516" s="171"/>
      <c r="O1516" s="171"/>
      <c r="P1516" s="171"/>
    </row>
    <row r="1517" spans="1:16">
      <c r="A1517" s="166" t="b">
        <v>0</v>
      </c>
      <c r="B1517" s="166"/>
      <c r="C1517" s="166" t="s">
        <v>4003</v>
      </c>
      <c r="D1517" s="177">
        <v>5</v>
      </c>
      <c r="E1517" s="168"/>
      <c r="F1517" s="171"/>
      <c r="G1517" s="170"/>
      <c r="H1517" s="177"/>
      <c r="I1517" s="171"/>
      <c r="J1517" s="171"/>
      <c r="K1517" s="166" t="str">
        <f ca="1">IFERROR(VLOOKUP(C1517,' Disaggregation - Section E '!A$618:N721,3,0),"")</f>
        <v/>
      </c>
      <c r="L1517" s="166"/>
      <c r="M1517" s="166"/>
      <c r="N1517" s="171"/>
      <c r="O1517" s="171"/>
      <c r="P1517" s="171"/>
    </row>
    <row r="1518" spans="1:16">
      <c r="A1518" s="166" t="b">
        <v>0</v>
      </c>
      <c r="B1518" s="166"/>
      <c r="C1518" s="166" t="s">
        <v>4004</v>
      </c>
      <c r="D1518" s="177">
        <v>5</v>
      </c>
      <c r="E1518" s="168"/>
      <c r="F1518" s="171"/>
      <c r="G1518" s="170"/>
      <c r="H1518" s="177"/>
      <c r="I1518" s="171"/>
      <c r="J1518" s="171"/>
      <c r="K1518" s="166" t="str">
        <f ca="1">IFERROR(VLOOKUP(C1518,' Disaggregation - Section E '!A$618:N722,3,0),"")</f>
        <v/>
      </c>
      <c r="L1518" s="166"/>
      <c r="M1518" s="166"/>
      <c r="N1518" s="171"/>
      <c r="O1518" s="171"/>
      <c r="P1518" s="171"/>
    </row>
    <row r="1519" spans="1:16">
      <c r="A1519" s="166" t="b">
        <v>0</v>
      </c>
      <c r="B1519" s="166"/>
      <c r="C1519" s="166" t="s">
        <v>4005</v>
      </c>
      <c r="D1519" s="177">
        <v>5</v>
      </c>
      <c r="E1519" s="168"/>
      <c r="F1519" s="171"/>
      <c r="G1519" s="170"/>
      <c r="H1519" s="177"/>
      <c r="I1519" s="171"/>
      <c r="J1519" s="171"/>
      <c r="K1519" s="166" t="str">
        <f ca="1">IFERROR(VLOOKUP(C1519,' Disaggregation - Section E '!A$618:N723,3,0),"")</f>
        <v/>
      </c>
      <c r="L1519" s="166"/>
      <c r="M1519" s="166"/>
      <c r="N1519" s="171"/>
      <c r="O1519" s="171"/>
      <c r="P1519" s="171"/>
    </row>
    <row r="1520" spans="1:16">
      <c r="A1520" s="166" t="b">
        <v>0</v>
      </c>
      <c r="B1520" s="166"/>
      <c r="C1520" s="166" t="s">
        <v>4006</v>
      </c>
      <c r="D1520" s="177">
        <v>6</v>
      </c>
      <c r="E1520" s="168"/>
      <c r="F1520" s="171"/>
      <c r="G1520" s="170"/>
      <c r="H1520" s="177"/>
      <c r="I1520" s="171"/>
      <c r="J1520" s="171"/>
      <c r="K1520" s="166" t="str">
        <f ca="1">IFERROR(VLOOKUP(C1520,' Disaggregation - Section E '!A$618:N724,3,0),"")</f>
        <v/>
      </c>
      <c r="L1520" s="166"/>
      <c r="M1520" s="166"/>
      <c r="N1520" s="171"/>
      <c r="O1520" s="171"/>
      <c r="P1520" s="171"/>
    </row>
    <row r="1521" spans="1:16">
      <c r="A1521" s="166" t="b">
        <v>0</v>
      </c>
      <c r="B1521" s="166"/>
      <c r="C1521" s="166" t="s">
        <v>4007</v>
      </c>
      <c r="D1521" s="177">
        <v>6</v>
      </c>
      <c r="E1521" s="168"/>
      <c r="F1521" s="171"/>
      <c r="G1521" s="170"/>
      <c r="H1521" s="177"/>
      <c r="I1521" s="171"/>
      <c r="J1521" s="171"/>
      <c r="K1521" s="166" t="str">
        <f ca="1">IFERROR(VLOOKUP(C1521,' Disaggregation - Section E '!A$618:N725,3,0),"")</f>
        <v/>
      </c>
      <c r="L1521" s="166"/>
      <c r="M1521" s="166"/>
      <c r="N1521" s="171"/>
      <c r="O1521" s="171"/>
      <c r="P1521" s="171"/>
    </row>
    <row r="1522" spans="1:16">
      <c r="A1522" s="166" t="b">
        <v>0</v>
      </c>
      <c r="B1522" s="166"/>
      <c r="C1522" s="166" t="s">
        <v>4008</v>
      </c>
      <c r="D1522" s="177">
        <v>6</v>
      </c>
      <c r="E1522" s="168"/>
      <c r="F1522" s="171"/>
      <c r="G1522" s="170"/>
      <c r="H1522" s="177"/>
      <c r="I1522" s="171"/>
      <c r="J1522" s="171"/>
      <c r="K1522" s="166" t="str">
        <f ca="1">IFERROR(VLOOKUP(C1522,' Disaggregation - Section E '!A$618:N726,3,0),"")</f>
        <v/>
      </c>
      <c r="L1522" s="166"/>
      <c r="M1522" s="166"/>
      <c r="N1522" s="171"/>
      <c r="O1522" s="171"/>
      <c r="P1522" s="171"/>
    </row>
    <row r="1523" spans="1:16">
      <c r="A1523" s="166" t="b">
        <v>0</v>
      </c>
      <c r="B1523" s="166"/>
      <c r="C1523" s="166" t="s">
        <v>4009</v>
      </c>
      <c r="D1523" s="177">
        <v>6</v>
      </c>
      <c r="E1523" s="168"/>
      <c r="F1523" s="171"/>
      <c r="G1523" s="170"/>
      <c r="H1523" s="177"/>
      <c r="I1523" s="171"/>
      <c r="J1523" s="171"/>
      <c r="K1523" s="166" t="str">
        <f ca="1">IFERROR(VLOOKUP(C1523,' Disaggregation - Section E '!A$618:N727,3,0),"")</f>
        <v/>
      </c>
      <c r="L1523" s="166"/>
      <c r="M1523" s="166"/>
      <c r="N1523" s="171"/>
      <c r="O1523" s="171"/>
      <c r="P1523" s="171"/>
    </row>
    <row r="1524" spans="1:16">
      <c r="A1524" s="166" t="b">
        <v>0</v>
      </c>
      <c r="B1524" s="166"/>
      <c r="C1524" s="166" t="s">
        <v>4010</v>
      </c>
      <c r="D1524" s="177">
        <v>6</v>
      </c>
      <c r="E1524" s="168"/>
      <c r="F1524" s="171"/>
      <c r="G1524" s="170"/>
      <c r="H1524" s="177"/>
      <c r="I1524" s="171"/>
      <c r="J1524" s="171"/>
      <c r="K1524" s="166" t="str">
        <f ca="1">IFERROR(VLOOKUP(C1524,' Disaggregation - Section E '!A$618:N728,3,0),"")</f>
        <v/>
      </c>
      <c r="L1524" s="166"/>
      <c r="M1524" s="166"/>
      <c r="N1524" s="171"/>
      <c r="O1524" s="171"/>
      <c r="P1524" s="171"/>
    </row>
    <row r="1525" spans="1:16">
      <c r="A1525" s="166" t="b">
        <v>0</v>
      </c>
      <c r="B1525" s="166"/>
      <c r="C1525" s="166" t="s">
        <v>4011</v>
      </c>
      <c r="D1525" s="177">
        <v>6</v>
      </c>
      <c r="E1525" s="168"/>
      <c r="F1525" s="171"/>
      <c r="G1525" s="170"/>
      <c r="H1525" s="177"/>
      <c r="I1525" s="171"/>
      <c r="J1525" s="171"/>
      <c r="K1525" s="166" t="str">
        <f ca="1">IFERROR(VLOOKUP(C1525,' Disaggregation - Section E '!A$618:N729,3,0),"")</f>
        <v/>
      </c>
      <c r="L1525" s="166"/>
      <c r="M1525" s="166"/>
      <c r="N1525" s="171"/>
      <c r="O1525" s="171"/>
      <c r="P1525" s="171"/>
    </row>
    <row r="1526" spans="1:16">
      <c r="A1526" s="166" t="b">
        <v>0</v>
      </c>
      <c r="B1526" s="166"/>
      <c r="C1526" s="166" t="s">
        <v>4012</v>
      </c>
      <c r="D1526" s="177">
        <v>6</v>
      </c>
      <c r="E1526" s="168"/>
      <c r="F1526" s="171"/>
      <c r="G1526" s="170"/>
      <c r="H1526" s="177"/>
      <c r="I1526" s="171"/>
      <c r="J1526" s="171"/>
      <c r="K1526" s="166" t="str">
        <f ca="1">IFERROR(VLOOKUP(C1526,' Disaggregation - Section E '!A$618:N730,3,0),"")</f>
        <v/>
      </c>
      <c r="L1526" s="166"/>
      <c r="M1526" s="166"/>
      <c r="N1526" s="171"/>
      <c r="O1526" s="171"/>
      <c r="P1526" s="171"/>
    </row>
    <row r="1527" spans="1:16">
      <c r="A1527" s="166" t="b">
        <v>0</v>
      </c>
      <c r="B1527" s="166"/>
      <c r="C1527" s="166" t="s">
        <v>4013</v>
      </c>
      <c r="D1527" s="177">
        <v>6</v>
      </c>
      <c r="E1527" s="168"/>
      <c r="F1527" s="171"/>
      <c r="G1527" s="170"/>
      <c r="H1527" s="177"/>
      <c r="I1527" s="171"/>
      <c r="J1527" s="171"/>
      <c r="K1527" s="166" t="str">
        <f ca="1">IFERROR(VLOOKUP(C1527,' Disaggregation - Section E '!A$618:N731,3,0),"")</f>
        <v/>
      </c>
      <c r="L1527" s="166"/>
      <c r="M1527" s="166"/>
      <c r="N1527" s="171"/>
      <c r="O1527" s="171"/>
      <c r="P1527" s="171"/>
    </row>
    <row r="1528" spans="1:16">
      <c r="A1528" s="166" t="b">
        <v>0</v>
      </c>
      <c r="B1528" s="166"/>
      <c r="C1528" s="166" t="s">
        <v>4014</v>
      </c>
      <c r="D1528" s="177">
        <v>6</v>
      </c>
      <c r="E1528" s="168"/>
      <c r="F1528" s="171"/>
      <c r="G1528" s="170"/>
      <c r="H1528" s="177"/>
      <c r="I1528" s="171"/>
      <c r="J1528" s="171"/>
      <c r="K1528" s="166" t="str">
        <f ca="1">IFERROR(VLOOKUP(C1528,' Disaggregation - Section E '!A$618:N732,3,0),"")</f>
        <v/>
      </c>
      <c r="L1528" s="166"/>
      <c r="M1528" s="166"/>
      <c r="N1528" s="171"/>
      <c r="O1528" s="171"/>
      <c r="P1528" s="171"/>
    </row>
    <row r="1529" spans="1:16">
      <c r="A1529" s="166" t="b">
        <v>0</v>
      </c>
      <c r="B1529" s="166"/>
      <c r="C1529" s="166" t="s">
        <v>4015</v>
      </c>
      <c r="D1529" s="177">
        <v>6</v>
      </c>
      <c r="E1529" s="168"/>
      <c r="F1529" s="171"/>
      <c r="G1529" s="170"/>
      <c r="H1529" s="177"/>
      <c r="I1529" s="171"/>
      <c r="J1529" s="171"/>
      <c r="K1529" s="166" t="str">
        <f ca="1">IFERROR(VLOOKUP(C1529,' Disaggregation - Section E '!A$618:N733,3,0),"")</f>
        <v/>
      </c>
      <c r="L1529" s="166"/>
      <c r="M1529" s="166"/>
      <c r="N1529" s="171"/>
      <c r="O1529" s="171"/>
      <c r="P1529" s="171"/>
    </row>
    <row r="1530" spans="1:16">
      <c r="A1530" s="166" t="b">
        <v>0</v>
      </c>
      <c r="B1530" s="166"/>
      <c r="C1530" s="166" t="s">
        <v>4016</v>
      </c>
      <c r="D1530" s="177">
        <v>6</v>
      </c>
      <c r="E1530" s="168"/>
      <c r="F1530" s="171"/>
      <c r="G1530" s="170"/>
      <c r="H1530" s="177"/>
      <c r="I1530" s="171"/>
      <c r="J1530" s="171"/>
      <c r="K1530" s="166" t="str">
        <f ca="1">IFERROR(VLOOKUP(C1530,' Disaggregation - Section E '!A$618:N734,3,0),"")</f>
        <v/>
      </c>
      <c r="L1530" s="166"/>
      <c r="M1530" s="166"/>
      <c r="N1530" s="171"/>
      <c r="O1530" s="171"/>
      <c r="P1530" s="171"/>
    </row>
    <row r="1531" spans="1:16">
      <c r="A1531" s="166" t="b">
        <v>0</v>
      </c>
      <c r="B1531" s="166"/>
      <c r="C1531" s="166" t="s">
        <v>4017</v>
      </c>
      <c r="D1531" s="177">
        <v>6</v>
      </c>
      <c r="E1531" s="168"/>
      <c r="F1531" s="171"/>
      <c r="G1531" s="170"/>
      <c r="H1531" s="177"/>
      <c r="I1531" s="171"/>
      <c r="J1531" s="171"/>
      <c r="K1531" s="166" t="str">
        <f ca="1">IFERROR(VLOOKUP(C1531,' Disaggregation - Section E '!A$618:N735,3,0),"")</f>
        <v/>
      </c>
      <c r="L1531" s="166"/>
      <c r="M1531" s="166"/>
      <c r="N1531" s="171"/>
      <c r="O1531" s="171"/>
      <c r="P1531" s="171"/>
    </row>
    <row r="1532" spans="1:16">
      <c r="A1532" s="166" t="b">
        <v>0</v>
      </c>
      <c r="B1532" s="166"/>
      <c r="C1532" s="166" t="s">
        <v>4018</v>
      </c>
      <c r="D1532" s="177">
        <v>6</v>
      </c>
      <c r="E1532" s="168"/>
      <c r="F1532" s="171"/>
      <c r="G1532" s="170"/>
      <c r="H1532" s="177"/>
      <c r="I1532" s="171"/>
      <c r="J1532" s="171"/>
      <c r="K1532" s="166" t="str">
        <f ca="1">IFERROR(VLOOKUP(C1532,' Disaggregation - Section E '!A$618:N736,3,0),"")</f>
        <v/>
      </c>
      <c r="L1532" s="166"/>
      <c r="M1532" s="166"/>
      <c r="N1532" s="171"/>
      <c r="O1532" s="171"/>
      <c r="P1532" s="171"/>
    </row>
    <row r="1533" spans="1:16">
      <c r="A1533" s="166" t="b">
        <v>0</v>
      </c>
      <c r="B1533" s="166"/>
      <c r="C1533" s="166" t="s">
        <v>4019</v>
      </c>
      <c r="D1533" s="177">
        <v>6</v>
      </c>
      <c r="E1533" s="168"/>
      <c r="F1533" s="171"/>
      <c r="G1533" s="170"/>
      <c r="H1533" s="177"/>
      <c r="I1533" s="171"/>
      <c r="J1533" s="171"/>
      <c r="K1533" s="166" t="str">
        <f ca="1">IFERROR(VLOOKUP(C1533,' Disaggregation - Section E '!A$618:N737,3,0),"")</f>
        <v/>
      </c>
      <c r="L1533" s="166"/>
      <c r="M1533" s="166"/>
      <c r="N1533" s="171"/>
      <c r="O1533" s="171"/>
      <c r="P1533" s="171"/>
    </row>
    <row r="1534" spans="1:16">
      <c r="A1534" s="166" t="b">
        <v>0</v>
      </c>
      <c r="B1534" s="166"/>
      <c r="C1534" s="166" t="s">
        <v>4020</v>
      </c>
      <c r="D1534" s="177">
        <v>6</v>
      </c>
      <c r="E1534" s="168"/>
      <c r="F1534" s="171"/>
      <c r="G1534" s="170"/>
      <c r="H1534" s="177"/>
      <c r="I1534" s="171"/>
      <c r="J1534" s="171"/>
      <c r="K1534" s="166" t="str">
        <f ca="1">IFERROR(VLOOKUP(C1534,' Disaggregation - Section E '!A$618:N738,3,0),"")</f>
        <v/>
      </c>
      <c r="L1534" s="166"/>
      <c r="M1534" s="166"/>
      <c r="N1534" s="171"/>
      <c r="O1534" s="171"/>
      <c r="P1534" s="171"/>
    </row>
    <row r="1535" spans="1:16">
      <c r="A1535" s="166" t="b">
        <v>0</v>
      </c>
      <c r="B1535" s="166"/>
      <c r="C1535" s="166" t="s">
        <v>4021</v>
      </c>
      <c r="D1535" s="177">
        <v>6</v>
      </c>
      <c r="E1535" s="168"/>
      <c r="F1535" s="171"/>
      <c r="G1535" s="170"/>
      <c r="H1535" s="177"/>
      <c r="I1535" s="171"/>
      <c r="J1535" s="171"/>
      <c r="K1535" s="166" t="str">
        <f ca="1">IFERROR(VLOOKUP(C1535,' Disaggregation - Section E '!A$618:N739,3,0),"")</f>
        <v/>
      </c>
      <c r="L1535" s="166"/>
      <c r="M1535" s="166"/>
      <c r="N1535" s="171"/>
      <c r="O1535" s="171"/>
      <c r="P1535" s="171"/>
    </row>
    <row r="1536" spans="1:16">
      <c r="A1536" s="166" t="b">
        <v>0</v>
      </c>
      <c r="B1536" s="166"/>
      <c r="C1536" s="166" t="s">
        <v>4022</v>
      </c>
      <c r="D1536" s="177">
        <v>6</v>
      </c>
      <c r="E1536" s="168"/>
      <c r="F1536" s="171"/>
      <c r="G1536" s="170"/>
      <c r="H1536" s="177"/>
      <c r="I1536" s="171"/>
      <c r="J1536" s="171"/>
      <c r="K1536" s="166" t="str">
        <f ca="1">IFERROR(VLOOKUP(C1536,' Disaggregation - Section E '!A$618:N740,3,0),"")</f>
        <v/>
      </c>
      <c r="L1536" s="166"/>
      <c r="M1536" s="166"/>
      <c r="N1536" s="171"/>
      <c r="O1536" s="171"/>
      <c r="P1536" s="171"/>
    </row>
    <row r="1537" spans="1:16">
      <c r="A1537" s="166" t="b">
        <v>0</v>
      </c>
      <c r="B1537" s="166"/>
      <c r="C1537" s="166" t="s">
        <v>4023</v>
      </c>
      <c r="D1537" s="177">
        <v>6</v>
      </c>
      <c r="E1537" s="168"/>
      <c r="F1537" s="171"/>
      <c r="G1537" s="170"/>
      <c r="H1537" s="177"/>
      <c r="I1537" s="171"/>
      <c r="J1537" s="171"/>
      <c r="K1537" s="166" t="str">
        <f ca="1">IFERROR(VLOOKUP(C1537,' Disaggregation - Section E '!A$618:N741,3,0),"")</f>
        <v/>
      </c>
      <c r="L1537" s="166"/>
      <c r="M1537" s="166"/>
      <c r="N1537" s="171"/>
      <c r="O1537" s="171"/>
      <c r="P1537" s="171"/>
    </row>
    <row r="1538" spans="1:16">
      <c r="A1538" s="166" t="b">
        <v>0</v>
      </c>
      <c r="B1538" s="166"/>
      <c r="C1538" s="166" t="s">
        <v>4024</v>
      </c>
      <c r="D1538" s="177">
        <v>6</v>
      </c>
      <c r="E1538" s="168"/>
      <c r="F1538" s="171"/>
      <c r="G1538" s="170"/>
      <c r="H1538" s="177"/>
      <c r="I1538" s="171"/>
      <c r="J1538" s="171"/>
      <c r="K1538" s="166" t="str">
        <f ca="1">IFERROR(VLOOKUP(C1538,' Disaggregation - Section E '!A$618:N742,3,0),"")</f>
        <v/>
      </c>
      <c r="L1538" s="166"/>
      <c r="M1538" s="166"/>
      <c r="N1538" s="171"/>
      <c r="O1538" s="171"/>
      <c r="P1538" s="171"/>
    </row>
    <row r="1539" spans="1:16">
      <c r="A1539" s="166" t="b">
        <v>0</v>
      </c>
      <c r="B1539" s="166"/>
      <c r="C1539" s="166" t="s">
        <v>4025</v>
      </c>
      <c r="D1539" s="177">
        <v>6</v>
      </c>
      <c r="E1539" s="168"/>
      <c r="F1539" s="171"/>
      <c r="G1539" s="170"/>
      <c r="H1539" s="177"/>
      <c r="I1539" s="171"/>
      <c r="J1539" s="171"/>
      <c r="K1539" s="166" t="str">
        <f ca="1">IFERROR(VLOOKUP(C1539,' Disaggregation - Section E '!A$618:N743,3,0),"")</f>
        <v/>
      </c>
      <c r="L1539" s="166"/>
      <c r="M1539" s="166"/>
      <c r="N1539" s="171"/>
      <c r="O1539" s="171"/>
      <c r="P1539" s="171"/>
    </row>
    <row r="1540" spans="1:16">
      <c r="A1540" s="166" t="b">
        <v>0</v>
      </c>
      <c r="B1540" s="166"/>
      <c r="C1540" s="166" t="s">
        <v>4026</v>
      </c>
      <c r="D1540" s="177">
        <v>7</v>
      </c>
      <c r="E1540" s="168"/>
      <c r="F1540" s="171"/>
      <c r="G1540" s="170"/>
      <c r="H1540" s="177"/>
      <c r="I1540" s="171"/>
      <c r="J1540" s="171"/>
      <c r="K1540" s="166" t="str">
        <f ca="1">IFERROR(VLOOKUP(C1540,' Disaggregation - Section E '!A$618:N744,3,0),"")</f>
        <v/>
      </c>
      <c r="L1540" s="166"/>
      <c r="M1540" s="166"/>
      <c r="N1540" s="171"/>
      <c r="O1540" s="171"/>
      <c r="P1540" s="171"/>
    </row>
    <row r="1541" spans="1:16">
      <c r="A1541" s="166" t="b">
        <v>0</v>
      </c>
      <c r="B1541" s="166"/>
      <c r="C1541" s="166" t="s">
        <v>4027</v>
      </c>
      <c r="D1541" s="177">
        <v>7</v>
      </c>
      <c r="E1541" s="168"/>
      <c r="F1541" s="171"/>
      <c r="G1541" s="170"/>
      <c r="H1541" s="177"/>
      <c r="I1541" s="171"/>
      <c r="J1541" s="171"/>
      <c r="K1541" s="166" t="str">
        <f ca="1">IFERROR(VLOOKUP(C1541,' Disaggregation - Section E '!A$618:N745,3,0),"")</f>
        <v/>
      </c>
      <c r="L1541" s="166"/>
      <c r="M1541" s="166"/>
      <c r="N1541" s="171"/>
      <c r="O1541" s="171"/>
      <c r="P1541" s="171"/>
    </row>
    <row r="1542" spans="1:16">
      <c r="A1542" s="166" t="b">
        <v>0</v>
      </c>
      <c r="B1542" s="166"/>
      <c r="C1542" s="166" t="s">
        <v>4028</v>
      </c>
      <c r="D1542" s="177">
        <v>7</v>
      </c>
      <c r="E1542" s="168"/>
      <c r="F1542" s="171"/>
      <c r="G1542" s="170"/>
      <c r="H1542" s="177"/>
      <c r="I1542" s="171"/>
      <c r="J1542" s="171"/>
      <c r="K1542" s="166" t="str">
        <f ca="1">IFERROR(VLOOKUP(C1542,' Disaggregation - Section E '!A$618:N746,3,0),"")</f>
        <v/>
      </c>
      <c r="L1542" s="166"/>
      <c r="M1542" s="166"/>
      <c r="N1542" s="171"/>
      <c r="O1542" s="171"/>
      <c r="P1542" s="171"/>
    </row>
    <row r="1543" spans="1:16">
      <c r="A1543" s="166" t="b">
        <v>0</v>
      </c>
      <c r="B1543" s="166"/>
      <c r="C1543" s="166" t="s">
        <v>4029</v>
      </c>
      <c r="D1543" s="177">
        <v>7</v>
      </c>
      <c r="E1543" s="168"/>
      <c r="F1543" s="171"/>
      <c r="G1543" s="170"/>
      <c r="H1543" s="177"/>
      <c r="I1543" s="171"/>
      <c r="J1543" s="171"/>
      <c r="K1543" s="166" t="str">
        <f ca="1">IFERROR(VLOOKUP(C1543,' Disaggregation - Section E '!A$618:N747,3,0),"")</f>
        <v/>
      </c>
      <c r="L1543" s="166"/>
      <c r="M1543" s="166"/>
      <c r="N1543" s="171"/>
      <c r="O1543" s="171"/>
      <c r="P1543" s="171"/>
    </row>
    <row r="1544" spans="1:16">
      <c r="A1544" s="166" t="b">
        <v>0</v>
      </c>
      <c r="B1544" s="166"/>
      <c r="C1544" s="166" t="s">
        <v>4030</v>
      </c>
      <c r="D1544" s="177">
        <v>7</v>
      </c>
      <c r="E1544" s="168"/>
      <c r="F1544" s="171"/>
      <c r="G1544" s="170"/>
      <c r="H1544" s="177"/>
      <c r="I1544" s="171"/>
      <c r="J1544" s="171"/>
      <c r="K1544" s="166" t="str">
        <f ca="1">IFERROR(VLOOKUP(C1544,' Disaggregation - Section E '!A$618:N748,3,0),"")</f>
        <v/>
      </c>
      <c r="L1544" s="166"/>
      <c r="M1544" s="166"/>
      <c r="N1544" s="171"/>
      <c r="O1544" s="171"/>
      <c r="P1544" s="171"/>
    </row>
    <row r="1545" spans="1:16">
      <c r="A1545" s="166" t="b">
        <v>0</v>
      </c>
      <c r="B1545" s="166"/>
      <c r="C1545" s="166" t="s">
        <v>4031</v>
      </c>
      <c r="D1545" s="177">
        <v>7</v>
      </c>
      <c r="E1545" s="168"/>
      <c r="F1545" s="171"/>
      <c r="G1545" s="170"/>
      <c r="H1545" s="177"/>
      <c r="I1545" s="171"/>
      <c r="J1545" s="171"/>
      <c r="K1545" s="166" t="str">
        <f ca="1">IFERROR(VLOOKUP(C1545,' Disaggregation - Section E '!A$618:N749,3,0),"")</f>
        <v/>
      </c>
      <c r="L1545" s="166"/>
      <c r="M1545" s="166"/>
      <c r="N1545" s="171"/>
      <c r="O1545" s="171"/>
      <c r="P1545" s="171"/>
    </row>
    <row r="1546" spans="1:16">
      <c r="A1546" s="166" t="b">
        <v>0</v>
      </c>
      <c r="B1546" s="166"/>
      <c r="C1546" s="166" t="s">
        <v>4032</v>
      </c>
      <c r="D1546" s="177">
        <v>7</v>
      </c>
      <c r="E1546" s="168"/>
      <c r="F1546" s="171"/>
      <c r="G1546" s="170"/>
      <c r="H1546" s="177"/>
      <c r="I1546" s="171"/>
      <c r="J1546" s="171"/>
      <c r="K1546" s="166" t="str">
        <f ca="1">IFERROR(VLOOKUP(C1546,' Disaggregation - Section E '!A$618:N750,3,0),"")</f>
        <v/>
      </c>
      <c r="L1546" s="166"/>
      <c r="M1546" s="166"/>
      <c r="N1546" s="171"/>
      <c r="O1546" s="171"/>
      <c r="P1546" s="171"/>
    </row>
    <row r="1547" spans="1:16">
      <c r="A1547" s="166" t="b">
        <v>0</v>
      </c>
      <c r="B1547" s="166"/>
      <c r="C1547" s="166" t="s">
        <v>4033</v>
      </c>
      <c r="D1547" s="177">
        <v>7</v>
      </c>
      <c r="E1547" s="168"/>
      <c r="F1547" s="171"/>
      <c r="G1547" s="170"/>
      <c r="H1547" s="177"/>
      <c r="I1547" s="171"/>
      <c r="J1547" s="171"/>
      <c r="K1547" s="166" t="str">
        <f ca="1">IFERROR(VLOOKUP(C1547,' Disaggregation - Section E '!A$618:N751,3,0),"")</f>
        <v/>
      </c>
      <c r="L1547" s="166"/>
      <c r="M1547" s="166"/>
      <c r="N1547" s="171"/>
      <c r="O1547" s="171"/>
      <c r="P1547" s="171"/>
    </row>
    <row r="1548" spans="1:16">
      <c r="A1548" s="166" t="b">
        <v>0</v>
      </c>
      <c r="B1548" s="166"/>
      <c r="C1548" s="166" t="s">
        <v>4034</v>
      </c>
      <c r="D1548" s="177">
        <v>7</v>
      </c>
      <c r="E1548" s="168"/>
      <c r="F1548" s="171"/>
      <c r="G1548" s="170"/>
      <c r="H1548" s="177"/>
      <c r="I1548" s="171"/>
      <c r="J1548" s="171"/>
      <c r="K1548" s="166" t="str">
        <f ca="1">IFERROR(VLOOKUP(C1548,' Disaggregation - Section E '!A$618:N752,3,0),"")</f>
        <v/>
      </c>
      <c r="L1548" s="166"/>
      <c r="M1548" s="166"/>
      <c r="N1548" s="171"/>
      <c r="O1548" s="171"/>
      <c r="P1548" s="171"/>
    </row>
    <row r="1549" spans="1:16">
      <c r="A1549" s="166" t="b">
        <v>0</v>
      </c>
      <c r="B1549" s="166"/>
      <c r="C1549" s="166" t="s">
        <v>4035</v>
      </c>
      <c r="D1549" s="177">
        <v>7</v>
      </c>
      <c r="E1549" s="168"/>
      <c r="F1549" s="171"/>
      <c r="G1549" s="170"/>
      <c r="H1549" s="177"/>
      <c r="I1549" s="171"/>
      <c r="J1549" s="171"/>
      <c r="K1549" s="166" t="str">
        <f ca="1">IFERROR(VLOOKUP(C1549,' Disaggregation - Section E '!A$618:N753,3,0),"")</f>
        <v/>
      </c>
      <c r="L1549" s="166"/>
      <c r="M1549" s="166"/>
      <c r="N1549" s="171"/>
      <c r="O1549" s="171"/>
      <c r="P1549" s="171"/>
    </row>
    <row r="1550" spans="1:16">
      <c r="A1550" s="166" t="b">
        <v>0</v>
      </c>
      <c r="B1550" s="166"/>
      <c r="C1550" s="166" t="s">
        <v>4036</v>
      </c>
      <c r="D1550" s="177">
        <v>7</v>
      </c>
      <c r="E1550" s="168"/>
      <c r="F1550" s="171"/>
      <c r="G1550" s="170"/>
      <c r="H1550" s="177"/>
      <c r="I1550" s="171"/>
      <c r="J1550" s="171"/>
      <c r="K1550" s="166" t="str">
        <f ca="1">IFERROR(VLOOKUP(C1550,' Disaggregation - Section E '!A$618:N754,3,0),"")</f>
        <v/>
      </c>
      <c r="L1550" s="166"/>
      <c r="M1550" s="166"/>
      <c r="N1550" s="171"/>
      <c r="O1550" s="171"/>
      <c r="P1550" s="171"/>
    </row>
    <row r="1551" spans="1:16">
      <c r="A1551" s="166" t="b">
        <v>0</v>
      </c>
      <c r="B1551" s="166"/>
      <c r="C1551" s="166" t="s">
        <v>4037</v>
      </c>
      <c r="D1551" s="177">
        <v>7</v>
      </c>
      <c r="E1551" s="168"/>
      <c r="F1551" s="171"/>
      <c r="G1551" s="170"/>
      <c r="H1551" s="177"/>
      <c r="I1551" s="171"/>
      <c r="J1551" s="171"/>
      <c r="K1551" s="166" t="str">
        <f ca="1">IFERROR(VLOOKUP(C1551,' Disaggregation - Section E '!A$618:N755,3,0),"")</f>
        <v/>
      </c>
      <c r="L1551" s="166"/>
      <c r="M1551" s="166"/>
      <c r="N1551" s="171"/>
      <c r="O1551" s="171"/>
      <c r="P1551" s="171"/>
    </row>
    <row r="1552" spans="1:16">
      <c r="A1552" s="166" t="b">
        <v>0</v>
      </c>
      <c r="B1552" s="166"/>
      <c r="C1552" s="166" t="s">
        <v>4038</v>
      </c>
      <c r="D1552" s="177">
        <v>7</v>
      </c>
      <c r="E1552" s="168"/>
      <c r="F1552" s="171"/>
      <c r="G1552" s="170"/>
      <c r="H1552" s="177"/>
      <c r="I1552" s="171"/>
      <c r="J1552" s="171"/>
      <c r="K1552" s="166" t="str">
        <f ca="1">IFERROR(VLOOKUP(C1552,' Disaggregation - Section E '!A$618:N756,3,0),"")</f>
        <v/>
      </c>
      <c r="L1552" s="166"/>
      <c r="M1552" s="166"/>
      <c r="N1552" s="171"/>
      <c r="O1552" s="171"/>
      <c r="P1552" s="171"/>
    </row>
    <row r="1553" spans="1:16">
      <c r="A1553" s="166" t="b">
        <v>0</v>
      </c>
      <c r="B1553" s="166"/>
      <c r="C1553" s="166" t="s">
        <v>4039</v>
      </c>
      <c r="D1553" s="177">
        <v>7</v>
      </c>
      <c r="E1553" s="168"/>
      <c r="F1553" s="171"/>
      <c r="G1553" s="170"/>
      <c r="H1553" s="177"/>
      <c r="I1553" s="171"/>
      <c r="J1553" s="171"/>
      <c r="K1553" s="166" t="str">
        <f ca="1">IFERROR(VLOOKUP(C1553,' Disaggregation - Section E '!A$618:N757,3,0),"")</f>
        <v/>
      </c>
      <c r="L1553" s="166"/>
      <c r="M1553" s="166"/>
      <c r="N1553" s="171"/>
      <c r="O1553" s="171"/>
      <c r="P1553" s="171"/>
    </row>
    <row r="1554" spans="1:16">
      <c r="A1554" s="166" t="b">
        <v>0</v>
      </c>
      <c r="B1554" s="166"/>
      <c r="C1554" s="166" t="s">
        <v>4040</v>
      </c>
      <c r="D1554" s="177">
        <v>7</v>
      </c>
      <c r="E1554" s="168"/>
      <c r="F1554" s="171"/>
      <c r="G1554" s="170"/>
      <c r="H1554" s="177"/>
      <c r="I1554" s="171"/>
      <c r="J1554" s="171"/>
      <c r="K1554" s="166" t="str">
        <f ca="1">IFERROR(VLOOKUP(C1554,' Disaggregation - Section E '!A$618:N758,3,0),"")</f>
        <v/>
      </c>
      <c r="L1554" s="166"/>
      <c r="M1554" s="166"/>
      <c r="N1554" s="171"/>
      <c r="O1554" s="171"/>
      <c r="P1554" s="171"/>
    </row>
    <row r="1555" spans="1:16">
      <c r="A1555" s="166" t="b">
        <v>0</v>
      </c>
      <c r="B1555" s="166"/>
      <c r="C1555" s="166" t="s">
        <v>4041</v>
      </c>
      <c r="D1555" s="177">
        <v>7</v>
      </c>
      <c r="E1555" s="168"/>
      <c r="F1555" s="171"/>
      <c r="G1555" s="170"/>
      <c r="H1555" s="177"/>
      <c r="I1555" s="171"/>
      <c r="J1555" s="171"/>
      <c r="K1555" s="166" t="str">
        <f ca="1">IFERROR(VLOOKUP(C1555,' Disaggregation - Section E '!A$618:N759,3,0),"")</f>
        <v/>
      </c>
      <c r="L1555" s="166"/>
      <c r="M1555" s="166"/>
      <c r="N1555" s="171"/>
      <c r="O1555" s="171"/>
      <c r="P1555" s="171"/>
    </row>
    <row r="1556" spans="1:16">
      <c r="A1556" s="166" t="b">
        <v>0</v>
      </c>
      <c r="B1556" s="166"/>
      <c r="C1556" s="166" t="s">
        <v>4042</v>
      </c>
      <c r="D1556" s="177">
        <v>7</v>
      </c>
      <c r="E1556" s="168"/>
      <c r="F1556" s="171"/>
      <c r="G1556" s="170"/>
      <c r="H1556" s="177"/>
      <c r="I1556" s="171"/>
      <c r="J1556" s="171"/>
      <c r="K1556" s="166" t="str">
        <f ca="1">IFERROR(VLOOKUP(C1556,' Disaggregation - Section E '!A$618:N760,3,0),"")</f>
        <v/>
      </c>
      <c r="L1556" s="166"/>
      <c r="M1556" s="166"/>
      <c r="N1556" s="171"/>
      <c r="O1556" s="171"/>
      <c r="P1556" s="171"/>
    </row>
    <row r="1557" spans="1:16">
      <c r="A1557" s="166" t="b">
        <v>0</v>
      </c>
      <c r="B1557" s="166"/>
      <c r="C1557" s="166" t="s">
        <v>4043</v>
      </c>
      <c r="D1557" s="177">
        <v>7</v>
      </c>
      <c r="E1557" s="168"/>
      <c r="F1557" s="171"/>
      <c r="G1557" s="170"/>
      <c r="H1557" s="177"/>
      <c r="I1557" s="171"/>
      <c r="J1557" s="171"/>
      <c r="K1557" s="166" t="str">
        <f ca="1">IFERROR(VLOOKUP(C1557,' Disaggregation - Section E '!A$618:N761,3,0),"")</f>
        <v/>
      </c>
      <c r="L1557" s="166"/>
      <c r="M1557" s="166"/>
      <c r="N1557" s="171"/>
      <c r="O1557" s="171"/>
      <c r="P1557" s="171"/>
    </row>
    <row r="1558" spans="1:16">
      <c r="A1558" s="166" t="b">
        <v>0</v>
      </c>
      <c r="B1558" s="166"/>
      <c r="C1558" s="166" t="s">
        <v>4044</v>
      </c>
      <c r="D1558" s="177">
        <v>7</v>
      </c>
      <c r="E1558" s="168"/>
      <c r="F1558" s="171"/>
      <c r="G1558" s="170"/>
      <c r="H1558" s="177"/>
      <c r="I1558" s="171"/>
      <c r="J1558" s="171"/>
      <c r="K1558" s="166" t="str">
        <f ca="1">IFERROR(VLOOKUP(C1558,' Disaggregation - Section E '!A$618:N762,3,0),"")</f>
        <v/>
      </c>
      <c r="L1558" s="166"/>
      <c r="M1558" s="166"/>
      <c r="N1558" s="171"/>
      <c r="O1558" s="171"/>
      <c r="P1558" s="171"/>
    </row>
    <row r="1559" spans="1:16">
      <c r="A1559" s="166" t="b">
        <v>0</v>
      </c>
      <c r="B1559" s="166"/>
      <c r="C1559" s="166" t="s">
        <v>4045</v>
      </c>
      <c r="D1559" s="177">
        <v>7</v>
      </c>
      <c r="E1559" s="168"/>
      <c r="F1559" s="171"/>
      <c r="G1559" s="170"/>
      <c r="H1559" s="177"/>
      <c r="I1559" s="171"/>
      <c r="J1559" s="171"/>
      <c r="K1559" s="166" t="str">
        <f ca="1">IFERROR(VLOOKUP(C1559,' Disaggregation - Section E '!A$618:N763,3,0),"")</f>
        <v/>
      </c>
      <c r="L1559" s="166"/>
      <c r="M1559" s="166"/>
      <c r="N1559" s="171"/>
      <c r="O1559" s="171"/>
      <c r="P1559" s="171"/>
    </row>
    <row r="1560" spans="1:16">
      <c r="A1560" s="166" t="b">
        <v>0</v>
      </c>
      <c r="B1560" s="166"/>
      <c r="C1560" s="166" t="s">
        <v>4046</v>
      </c>
      <c r="D1560" s="177">
        <v>8</v>
      </c>
      <c r="E1560" s="168"/>
      <c r="F1560" s="171"/>
      <c r="G1560" s="170"/>
      <c r="H1560" s="177"/>
      <c r="I1560" s="171"/>
      <c r="J1560" s="171"/>
      <c r="K1560" s="166" t="str">
        <f ca="1">IFERROR(VLOOKUP(C1560,' Disaggregation - Section E '!A$618:N764,3,0),"")</f>
        <v/>
      </c>
      <c r="L1560" s="166"/>
      <c r="M1560" s="166"/>
      <c r="N1560" s="171"/>
      <c r="O1560" s="171"/>
      <c r="P1560" s="171"/>
    </row>
    <row r="1561" spans="1:16">
      <c r="A1561" s="166" t="b">
        <v>0</v>
      </c>
      <c r="B1561" s="166"/>
      <c r="C1561" s="166" t="s">
        <v>4047</v>
      </c>
      <c r="D1561" s="177">
        <v>8</v>
      </c>
      <c r="E1561" s="168"/>
      <c r="F1561" s="171"/>
      <c r="G1561" s="170"/>
      <c r="H1561" s="177"/>
      <c r="I1561" s="171"/>
      <c r="J1561" s="171"/>
      <c r="K1561" s="166" t="str">
        <f ca="1">IFERROR(VLOOKUP(C1561,' Disaggregation - Section E '!A$618:N765,3,0),"")</f>
        <v/>
      </c>
      <c r="L1561" s="166"/>
      <c r="M1561" s="166"/>
      <c r="N1561" s="171"/>
      <c r="O1561" s="171"/>
      <c r="P1561" s="171"/>
    </row>
    <row r="1562" spans="1:16">
      <c r="A1562" s="166" t="b">
        <v>0</v>
      </c>
      <c r="B1562" s="166"/>
      <c r="C1562" s="166" t="s">
        <v>4048</v>
      </c>
      <c r="D1562" s="177">
        <v>8</v>
      </c>
      <c r="E1562" s="168"/>
      <c r="F1562" s="171"/>
      <c r="G1562" s="170"/>
      <c r="H1562" s="177"/>
      <c r="I1562" s="171"/>
      <c r="J1562" s="171"/>
      <c r="K1562" s="166" t="str">
        <f ca="1">IFERROR(VLOOKUP(C1562,' Disaggregation - Section E '!A$618:N766,3,0),"")</f>
        <v/>
      </c>
      <c r="L1562" s="166"/>
      <c r="M1562" s="166"/>
      <c r="N1562" s="171"/>
      <c r="O1562" s="171"/>
      <c r="P1562" s="171"/>
    </row>
    <row r="1563" spans="1:16">
      <c r="A1563" s="166" t="b">
        <v>0</v>
      </c>
      <c r="B1563" s="166"/>
      <c r="C1563" s="166" t="s">
        <v>4049</v>
      </c>
      <c r="D1563" s="177">
        <v>8</v>
      </c>
      <c r="E1563" s="168"/>
      <c r="F1563" s="171"/>
      <c r="G1563" s="170"/>
      <c r="H1563" s="177"/>
      <c r="I1563" s="171"/>
      <c r="J1563" s="171"/>
      <c r="K1563" s="166" t="str">
        <f ca="1">IFERROR(VLOOKUP(C1563,' Disaggregation - Section E '!A$618:N767,3,0),"")</f>
        <v/>
      </c>
      <c r="L1563" s="166"/>
      <c r="M1563" s="166"/>
      <c r="N1563" s="171"/>
      <c r="O1563" s="171"/>
      <c r="P1563" s="171"/>
    </row>
    <row r="1564" spans="1:16">
      <c r="A1564" s="166" t="b">
        <v>0</v>
      </c>
      <c r="B1564" s="166"/>
      <c r="C1564" s="166" t="s">
        <v>4050</v>
      </c>
      <c r="D1564" s="177">
        <v>8</v>
      </c>
      <c r="E1564" s="168"/>
      <c r="F1564" s="171"/>
      <c r="G1564" s="170"/>
      <c r="H1564" s="177"/>
      <c r="I1564" s="171"/>
      <c r="J1564" s="171"/>
      <c r="K1564" s="166" t="str">
        <f ca="1">IFERROR(VLOOKUP(C1564,' Disaggregation - Section E '!A$618:N768,3,0),"")</f>
        <v/>
      </c>
      <c r="L1564" s="166"/>
      <c r="M1564" s="166"/>
      <c r="N1564" s="171"/>
      <c r="O1564" s="171"/>
      <c r="P1564" s="171"/>
    </row>
    <row r="1565" spans="1:16">
      <c r="A1565" s="166" t="b">
        <v>0</v>
      </c>
      <c r="B1565" s="166"/>
      <c r="C1565" s="166" t="s">
        <v>4051</v>
      </c>
      <c r="D1565" s="177">
        <v>8</v>
      </c>
      <c r="E1565" s="168"/>
      <c r="F1565" s="171"/>
      <c r="G1565" s="170"/>
      <c r="H1565" s="177"/>
      <c r="I1565" s="171"/>
      <c r="J1565" s="171"/>
      <c r="K1565" s="166" t="str">
        <f ca="1">IFERROR(VLOOKUP(C1565,' Disaggregation - Section E '!A$618:N769,3,0),"")</f>
        <v/>
      </c>
      <c r="L1565" s="166"/>
      <c r="M1565" s="166"/>
      <c r="N1565" s="171"/>
      <c r="O1565" s="171"/>
      <c r="P1565" s="171"/>
    </row>
    <row r="1566" spans="1:16">
      <c r="A1566" s="166" t="b">
        <v>0</v>
      </c>
      <c r="B1566" s="166"/>
      <c r="C1566" s="166" t="s">
        <v>4052</v>
      </c>
      <c r="D1566" s="177">
        <v>8</v>
      </c>
      <c r="E1566" s="168"/>
      <c r="F1566" s="171"/>
      <c r="G1566" s="170"/>
      <c r="H1566" s="177"/>
      <c r="I1566" s="171"/>
      <c r="J1566" s="171"/>
      <c r="K1566" s="166" t="str">
        <f ca="1">IFERROR(VLOOKUP(C1566,' Disaggregation - Section E '!A$618:N770,3,0),"")</f>
        <v/>
      </c>
      <c r="L1566" s="166"/>
      <c r="M1566" s="166"/>
      <c r="N1566" s="171"/>
      <c r="O1566" s="171"/>
      <c r="P1566" s="171"/>
    </row>
    <row r="1567" spans="1:16">
      <c r="A1567" s="166" t="b">
        <v>0</v>
      </c>
      <c r="B1567" s="166"/>
      <c r="C1567" s="166" t="s">
        <v>4053</v>
      </c>
      <c r="D1567" s="177">
        <v>8</v>
      </c>
      <c r="E1567" s="168"/>
      <c r="F1567" s="171"/>
      <c r="G1567" s="170"/>
      <c r="H1567" s="177"/>
      <c r="I1567" s="171"/>
      <c r="J1567" s="171"/>
      <c r="K1567" s="166" t="str">
        <f ca="1">IFERROR(VLOOKUP(C1567,' Disaggregation - Section E '!A$618:N771,3,0),"")</f>
        <v/>
      </c>
      <c r="L1567" s="166"/>
      <c r="M1567" s="166"/>
      <c r="N1567" s="171"/>
      <c r="O1567" s="171"/>
      <c r="P1567" s="171"/>
    </row>
    <row r="1568" spans="1:16">
      <c r="A1568" s="166" t="b">
        <v>0</v>
      </c>
      <c r="B1568" s="166"/>
      <c r="C1568" s="166" t="s">
        <v>4054</v>
      </c>
      <c r="D1568" s="177">
        <v>8</v>
      </c>
      <c r="E1568" s="168"/>
      <c r="F1568" s="171"/>
      <c r="G1568" s="170"/>
      <c r="H1568" s="177"/>
      <c r="I1568" s="171"/>
      <c r="J1568" s="171"/>
      <c r="K1568" s="166" t="str">
        <f ca="1">IFERROR(VLOOKUP(C1568,' Disaggregation - Section E '!A$618:N772,3,0),"")</f>
        <v/>
      </c>
      <c r="L1568" s="166"/>
      <c r="M1568" s="166"/>
      <c r="N1568" s="171"/>
      <c r="O1568" s="171"/>
      <c r="P1568" s="171"/>
    </row>
    <row r="1569" spans="1:16">
      <c r="A1569" s="166" t="b">
        <v>0</v>
      </c>
      <c r="B1569" s="166"/>
      <c r="C1569" s="166" t="s">
        <v>4055</v>
      </c>
      <c r="D1569" s="177">
        <v>8</v>
      </c>
      <c r="E1569" s="168"/>
      <c r="F1569" s="171"/>
      <c r="G1569" s="170"/>
      <c r="H1569" s="177"/>
      <c r="I1569" s="171"/>
      <c r="J1569" s="171"/>
      <c r="K1569" s="166" t="str">
        <f ca="1">IFERROR(VLOOKUP(C1569,' Disaggregation - Section E '!A$618:N773,3,0),"")</f>
        <v/>
      </c>
      <c r="L1569" s="166"/>
      <c r="M1569" s="166"/>
      <c r="N1569" s="171"/>
      <c r="O1569" s="171"/>
      <c r="P1569" s="171"/>
    </row>
    <row r="1570" spans="1:16">
      <c r="A1570" s="166" t="b">
        <v>0</v>
      </c>
      <c r="B1570" s="166"/>
      <c r="C1570" s="166" t="s">
        <v>4056</v>
      </c>
      <c r="D1570" s="177">
        <v>8</v>
      </c>
      <c r="E1570" s="168"/>
      <c r="F1570" s="171"/>
      <c r="G1570" s="170"/>
      <c r="H1570" s="177"/>
      <c r="I1570" s="171"/>
      <c r="J1570" s="171"/>
      <c r="K1570" s="166" t="str">
        <f ca="1">IFERROR(VLOOKUP(C1570,' Disaggregation - Section E '!A$618:N774,3,0),"")</f>
        <v/>
      </c>
      <c r="L1570" s="166"/>
      <c r="M1570" s="166"/>
      <c r="N1570" s="171"/>
      <c r="O1570" s="171"/>
      <c r="P1570" s="171"/>
    </row>
    <row r="1571" spans="1:16">
      <c r="A1571" s="166" t="b">
        <v>0</v>
      </c>
      <c r="B1571" s="166"/>
      <c r="C1571" s="166" t="s">
        <v>4057</v>
      </c>
      <c r="D1571" s="177">
        <v>8</v>
      </c>
      <c r="E1571" s="168"/>
      <c r="F1571" s="171"/>
      <c r="G1571" s="170"/>
      <c r="H1571" s="177"/>
      <c r="I1571" s="171"/>
      <c r="J1571" s="171"/>
      <c r="K1571" s="166" t="str">
        <f ca="1">IFERROR(VLOOKUP(C1571,' Disaggregation - Section E '!A$618:N775,3,0),"")</f>
        <v/>
      </c>
      <c r="L1571" s="166"/>
      <c r="M1571" s="166"/>
      <c r="N1571" s="171"/>
      <c r="O1571" s="171"/>
      <c r="P1571" s="171"/>
    </row>
    <row r="1572" spans="1:16">
      <c r="A1572" s="166" t="b">
        <v>0</v>
      </c>
      <c r="B1572" s="166"/>
      <c r="C1572" s="166" t="s">
        <v>4058</v>
      </c>
      <c r="D1572" s="177">
        <v>8</v>
      </c>
      <c r="E1572" s="168"/>
      <c r="F1572" s="171"/>
      <c r="G1572" s="170"/>
      <c r="H1572" s="177"/>
      <c r="I1572" s="171"/>
      <c r="J1572" s="171"/>
      <c r="K1572" s="166" t="str">
        <f ca="1">IFERROR(VLOOKUP(C1572,' Disaggregation - Section E '!A$618:N776,3,0),"")</f>
        <v/>
      </c>
      <c r="L1572" s="166"/>
      <c r="M1572" s="166"/>
      <c r="N1572" s="171"/>
      <c r="O1572" s="171"/>
      <c r="P1572" s="171"/>
    </row>
    <row r="1573" spans="1:16">
      <c r="A1573" s="166" t="b">
        <v>0</v>
      </c>
      <c r="B1573" s="166"/>
      <c r="C1573" s="166" t="s">
        <v>4059</v>
      </c>
      <c r="D1573" s="177">
        <v>8</v>
      </c>
      <c r="E1573" s="168"/>
      <c r="F1573" s="171"/>
      <c r="G1573" s="170"/>
      <c r="H1573" s="177"/>
      <c r="I1573" s="171"/>
      <c r="J1573" s="171"/>
      <c r="K1573" s="166" t="str">
        <f ca="1">IFERROR(VLOOKUP(C1573,' Disaggregation - Section E '!A$618:N777,3,0),"")</f>
        <v/>
      </c>
      <c r="L1573" s="166"/>
      <c r="M1573" s="166"/>
      <c r="N1573" s="171"/>
      <c r="O1573" s="171"/>
      <c r="P1573" s="171"/>
    </row>
    <row r="1574" spans="1:16">
      <c r="A1574" s="166" t="b">
        <v>0</v>
      </c>
      <c r="B1574" s="166"/>
      <c r="C1574" s="166" t="s">
        <v>4060</v>
      </c>
      <c r="D1574" s="177">
        <v>8</v>
      </c>
      <c r="E1574" s="168"/>
      <c r="F1574" s="171"/>
      <c r="G1574" s="170"/>
      <c r="H1574" s="177"/>
      <c r="I1574" s="171"/>
      <c r="J1574" s="171"/>
      <c r="K1574" s="166" t="str">
        <f ca="1">IFERROR(VLOOKUP(C1574,' Disaggregation - Section E '!A$618:N778,3,0),"")</f>
        <v/>
      </c>
      <c r="L1574" s="166"/>
      <c r="M1574" s="166"/>
      <c r="N1574" s="171"/>
      <c r="O1574" s="171"/>
      <c r="P1574" s="171"/>
    </row>
    <row r="1575" spans="1:16">
      <c r="A1575" s="166" t="b">
        <v>0</v>
      </c>
      <c r="B1575" s="166"/>
      <c r="C1575" s="166" t="s">
        <v>4061</v>
      </c>
      <c r="D1575" s="177">
        <v>8</v>
      </c>
      <c r="E1575" s="168"/>
      <c r="F1575" s="171"/>
      <c r="G1575" s="170"/>
      <c r="H1575" s="177"/>
      <c r="I1575" s="171"/>
      <c r="J1575" s="171"/>
      <c r="K1575" s="166" t="str">
        <f ca="1">IFERROR(VLOOKUP(C1575,' Disaggregation - Section E '!A$618:N779,3,0),"")</f>
        <v/>
      </c>
      <c r="L1575" s="166"/>
      <c r="M1575" s="166"/>
      <c r="N1575" s="171"/>
      <c r="O1575" s="171"/>
      <c r="P1575" s="171"/>
    </row>
    <row r="1576" spans="1:16">
      <c r="A1576" s="166" t="b">
        <v>0</v>
      </c>
      <c r="B1576" s="166"/>
      <c r="C1576" s="166" t="s">
        <v>4062</v>
      </c>
      <c r="D1576" s="177">
        <v>8</v>
      </c>
      <c r="E1576" s="168"/>
      <c r="F1576" s="171"/>
      <c r="G1576" s="170"/>
      <c r="H1576" s="177"/>
      <c r="I1576" s="171"/>
      <c r="J1576" s="171"/>
      <c r="K1576" s="166" t="str">
        <f ca="1">IFERROR(VLOOKUP(C1576,' Disaggregation - Section E '!A$618:N780,3,0),"")</f>
        <v/>
      </c>
      <c r="L1576" s="166"/>
      <c r="M1576" s="166"/>
      <c r="N1576" s="171"/>
      <c r="O1576" s="171"/>
      <c r="P1576" s="171"/>
    </row>
    <row r="1577" spans="1:16">
      <c r="A1577" s="166" t="b">
        <v>0</v>
      </c>
      <c r="B1577" s="166"/>
      <c r="C1577" s="166" t="s">
        <v>4063</v>
      </c>
      <c r="D1577" s="177">
        <v>8</v>
      </c>
      <c r="E1577" s="168"/>
      <c r="F1577" s="171"/>
      <c r="G1577" s="170"/>
      <c r="H1577" s="177"/>
      <c r="I1577" s="171"/>
      <c r="J1577" s="171"/>
      <c r="K1577" s="166" t="str">
        <f ca="1">IFERROR(VLOOKUP(C1577,' Disaggregation - Section E '!A$618:N781,3,0),"")</f>
        <v/>
      </c>
      <c r="L1577" s="166"/>
      <c r="M1577" s="166"/>
      <c r="N1577" s="171"/>
      <c r="O1577" s="171"/>
      <c r="P1577" s="171"/>
    </row>
    <row r="1578" spans="1:16">
      <c r="A1578" s="166" t="b">
        <v>0</v>
      </c>
      <c r="B1578" s="166"/>
      <c r="C1578" s="166" t="s">
        <v>4064</v>
      </c>
      <c r="D1578" s="177">
        <v>8</v>
      </c>
      <c r="E1578" s="168"/>
      <c r="F1578" s="171"/>
      <c r="G1578" s="170"/>
      <c r="H1578" s="177"/>
      <c r="I1578" s="171"/>
      <c r="J1578" s="171"/>
      <c r="K1578" s="166" t="str">
        <f ca="1">IFERROR(VLOOKUP(C1578,' Disaggregation - Section E '!A$618:N782,3,0),"")</f>
        <v/>
      </c>
      <c r="L1578" s="166"/>
      <c r="M1578" s="166"/>
      <c r="N1578" s="171"/>
      <c r="O1578" s="171"/>
      <c r="P1578" s="171"/>
    </row>
    <row r="1579" spans="1:16">
      <c r="A1579" s="166" t="b">
        <v>0</v>
      </c>
      <c r="B1579" s="166"/>
      <c r="C1579" s="166" t="s">
        <v>4065</v>
      </c>
      <c r="D1579" s="177">
        <v>8</v>
      </c>
      <c r="E1579" s="168"/>
      <c r="F1579" s="171"/>
      <c r="G1579" s="170"/>
      <c r="H1579" s="177"/>
      <c r="I1579" s="171"/>
      <c r="J1579" s="171"/>
      <c r="K1579" s="166" t="str">
        <f ca="1">IFERROR(VLOOKUP(C1579,' Disaggregation - Section E '!A$618:N783,3,0),"")</f>
        <v/>
      </c>
      <c r="L1579" s="166"/>
      <c r="M1579" s="166"/>
      <c r="N1579" s="171"/>
      <c r="O1579" s="171"/>
      <c r="P1579" s="171"/>
    </row>
    <row r="1580" spans="1:16">
      <c r="A1580" s="166" t="b">
        <v>0</v>
      </c>
      <c r="B1580" s="166"/>
      <c r="C1580" s="166" t="s">
        <v>4066</v>
      </c>
      <c r="D1580" s="177">
        <v>9</v>
      </c>
      <c r="E1580" s="168"/>
      <c r="F1580" s="171"/>
      <c r="G1580" s="170"/>
      <c r="H1580" s="177"/>
      <c r="I1580" s="171"/>
      <c r="J1580" s="171"/>
      <c r="K1580" s="166" t="str">
        <f ca="1">IFERROR(VLOOKUP(C1580,' Disaggregation - Section E '!A$618:N784,3,0),"")</f>
        <v/>
      </c>
      <c r="L1580" s="166"/>
      <c r="M1580" s="166"/>
      <c r="N1580" s="171"/>
      <c r="O1580" s="171"/>
      <c r="P1580" s="171"/>
    </row>
    <row r="1581" spans="1:16">
      <c r="A1581" s="166" t="b">
        <v>0</v>
      </c>
      <c r="B1581" s="166"/>
      <c r="C1581" s="166" t="s">
        <v>4067</v>
      </c>
      <c r="D1581" s="177">
        <v>9</v>
      </c>
      <c r="E1581" s="168"/>
      <c r="F1581" s="171"/>
      <c r="G1581" s="170"/>
      <c r="H1581" s="177"/>
      <c r="I1581" s="171"/>
      <c r="J1581" s="171"/>
      <c r="K1581" s="166" t="str">
        <f ca="1">IFERROR(VLOOKUP(C1581,' Disaggregation - Section E '!A$618:N785,3,0),"")</f>
        <v/>
      </c>
      <c r="L1581" s="166"/>
      <c r="M1581" s="166"/>
      <c r="N1581" s="171"/>
      <c r="O1581" s="171"/>
      <c r="P1581" s="171"/>
    </row>
    <row r="1582" spans="1:16">
      <c r="A1582" s="166" t="b">
        <v>0</v>
      </c>
      <c r="B1582" s="166"/>
      <c r="C1582" s="166" t="s">
        <v>4068</v>
      </c>
      <c r="D1582" s="177">
        <v>9</v>
      </c>
      <c r="E1582" s="168"/>
      <c r="F1582" s="171"/>
      <c r="G1582" s="170"/>
      <c r="H1582" s="177"/>
      <c r="I1582" s="171"/>
      <c r="J1582" s="171"/>
      <c r="K1582" s="166" t="str">
        <f ca="1">IFERROR(VLOOKUP(C1582,' Disaggregation - Section E '!A$618:N786,3,0),"")</f>
        <v/>
      </c>
      <c r="L1582" s="166"/>
      <c r="M1582" s="166"/>
      <c r="N1582" s="171"/>
      <c r="O1582" s="171"/>
      <c r="P1582" s="171"/>
    </row>
    <row r="1583" spans="1:16">
      <c r="A1583" s="166" t="b">
        <v>0</v>
      </c>
      <c r="B1583" s="166"/>
      <c r="C1583" s="166" t="s">
        <v>4069</v>
      </c>
      <c r="D1583" s="177">
        <v>9</v>
      </c>
      <c r="E1583" s="168"/>
      <c r="F1583" s="171"/>
      <c r="G1583" s="170"/>
      <c r="H1583" s="177"/>
      <c r="I1583" s="171"/>
      <c r="J1583" s="171"/>
      <c r="K1583" s="166" t="str">
        <f ca="1">IFERROR(VLOOKUP(C1583,' Disaggregation - Section E '!A$618:N787,3,0),"")</f>
        <v/>
      </c>
      <c r="L1583" s="166"/>
      <c r="M1583" s="166"/>
      <c r="N1583" s="171"/>
      <c r="O1583" s="171"/>
      <c r="P1583" s="171"/>
    </row>
    <row r="1584" spans="1:16">
      <c r="A1584" s="166" t="b">
        <v>0</v>
      </c>
      <c r="B1584" s="166"/>
      <c r="C1584" s="166" t="s">
        <v>4070</v>
      </c>
      <c r="D1584" s="177">
        <v>9</v>
      </c>
      <c r="E1584" s="168"/>
      <c r="F1584" s="171"/>
      <c r="G1584" s="170"/>
      <c r="H1584" s="177"/>
      <c r="I1584" s="171"/>
      <c r="J1584" s="171"/>
      <c r="K1584" s="166" t="str">
        <f ca="1">IFERROR(VLOOKUP(C1584,' Disaggregation - Section E '!A$618:N788,3,0),"")</f>
        <v/>
      </c>
      <c r="L1584" s="166"/>
      <c r="M1584" s="166"/>
      <c r="N1584" s="171"/>
      <c r="O1584" s="171"/>
      <c r="P1584" s="171"/>
    </row>
    <row r="1585" spans="1:16">
      <c r="A1585" s="166" t="b">
        <v>0</v>
      </c>
      <c r="B1585" s="166"/>
      <c r="C1585" s="166" t="s">
        <v>4071</v>
      </c>
      <c r="D1585" s="177">
        <v>9</v>
      </c>
      <c r="E1585" s="168"/>
      <c r="F1585" s="171"/>
      <c r="G1585" s="170"/>
      <c r="H1585" s="177"/>
      <c r="I1585" s="171"/>
      <c r="J1585" s="171"/>
      <c r="K1585" s="166" t="str">
        <f ca="1">IFERROR(VLOOKUP(C1585,' Disaggregation - Section E '!A$618:N789,3,0),"")</f>
        <v/>
      </c>
      <c r="L1585" s="166"/>
      <c r="M1585" s="166"/>
      <c r="N1585" s="171"/>
      <c r="O1585" s="171"/>
      <c r="P1585" s="171"/>
    </row>
    <row r="1586" spans="1:16">
      <c r="A1586" s="166" t="b">
        <v>0</v>
      </c>
      <c r="B1586" s="166"/>
      <c r="C1586" s="166" t="s">
        <v>4072</v>
      </c>
      <c r="D1586" s="177">
        <v>9</v>
      </c>
      <c r="E1586" s="168"/>
      <c r="F1586" s="171"/>
      <c r="G1586" s="170"/>
      <c r="H1586" s="177"/>
      <c r="I1586" s="171"/>
      <c r="J1586" s="171"/>
      <c r="K1586" s="166" t="str">
        <f ca="1">IFERROR(VLOOKUP(C1586,' Disaggregation - Section E '!A$618:N790,3,0),"")</f>
        <v/>
      </c>
      <c r="L1586" s="166"/>
      <c r="M1586" s="166"/>
      <c r="N1586" s="171"/>
      <c r="O1586" s="171"/>
      <c r="P1586" s="171"/>
    </row>
    <row r="1587" spans="1:16">
      <c r="A1587" s="166" t="b">
        <v>0</v>
      </c>
      <c r="B1587" s="166"/>
      <c r="C1587" s="166" t="s">
        <v>4073</v>
      </c>
      <c r="D1587" s="177">
        <v>9</v>
      </c>
      <c r="E1587" s="168"/>
      <c r="F1587" s="171"/>
      <c r="G1587" s="170"/>
      <c r="H1587" s="177"/>
      <c r="I1587" s="171"/>
      <c r="J1587" s="171"/>
      <c r="K1587" s="166" t="str">
        <f ca="1">IFERROR(VLOOKUP(C1587,' Disaggregation - Section E '!A$618:N791,3,0),"")</f>
        <v/>
      </c>
      <c r="L1587" s="166"/>
      <c r="M1587" s="166"/>
      <c r="N1587" s="171"/>
      <c r="O1587" s="171"/>
      <c r="P1587" s="171"/>
    </row>
    <row r="1588" spans="1:16">
      <c r="A1588" s="166" t="b">
        <v>0</v>
      </c>
      <c r="B1588" s="166"/>
      <c r="C1588" s="166" t="s">
        <v>4074</v>
      </c>
      <c r="D1588" s="177">
        <v>9</v>
      </c>
      <c r="E1588" s="168"/>
      <c r="F1588" s="171"/>
      <c r="G1588" s="170"/>
      <c r="H1588" s="177"/>
      <c r="I1588" s="171"/>
      <c r="J1588" s="171"/>
      <c r="K1588" s="166" t="str">
        <f ca="1">IFERROR(VLOOKUP(C1588,' Disaggregation - Section E '!A$618:N792,3,0),"")</f>
        <v/>
      </c>
      <c r="L1588" s="166"/>
      <c r="M1588" s="166"/>
      <c r="N1588" s="171"/>
      <c r="O1588" s="171"/>
      <c r="P1588" s="171"/>
    </row>
    <row r="1589" spans="1:16">
      <c r="A1589" s="166" t="b">
        <v>0</v>
      </c>
      <c r="B1589" s="166"/>
      <c r="C1589" s="166" t="s">
        <v>4075</v>
      </c>
      <c r="D1589" s="177">
        <v>9</v>
      </c>
      <c r="E1589" s="168"/>
      <c r="F1589" s="171"/>
      <c r="G1589" s="170"/>
      <c r="H1589" s="177"/>
      <c r="I1589" s="171"/>
      <c r="J1589" s="171"/>
      <c r="K1589" s="166" t="str">
        <f ca="1">IFERROR(VLOOKUP(C1589,' Disaggregation - Section E '!A$618:N793,3,0),"")</f>
        <v/>
      </c>
      <c r="L1589" s="166"/>
      <c r="M1589" s="166"/>
      <c r="N1589" s="171"/>
      <c r="O1589" s="171"/>
      <c r="P1589" s="171"/>
    </row>
    <row r="1590" spans="1:16">
      <c r="A1590" s="166" t="b">
        <v>0</v>
      </c>
      <c r="B1590" s="166"/>
      <c r="C1590" s="166" t="s">
        <v>4076</v>
      </c>
      <c r="D1590" s="177">
        <v>9</v>
      </c>
      <c r="E1590" s="168"/>
      <c r="F1590" s="171"/>
      <c r="G1590" s="170"/>
      <c r="H1590" s="177"/>
      <c r="I1590" s="171"/>
      <c r="J1590" s="171"/>
      <c r="K1590" s="166" t="str">
        <f ca="1">IFERROR(VLOOKUP(C1590,' Disaggregation - Section E '!A$618:N794,3,0),"")</f>
        <v/>
      </c>
      <c r="L1590" s="166"/>
      <c r="M1590" s="166"/>
      <c r="N1590" s="171"/>
      <c r="O1590" s="171"/>
      <c r="P1590" s="171"/>
    </row>
    <row r="1591" spans="1:16">
      <c r="A1591" s="166" t="b">
        <v>0</v>
      </c>
      <c r="B1591" s="166"/>
      <c r="C1591" s="166" t="s">
        <v>4077</v>
      </c>
      <c r="D1591" s="177">
        <v>9</v>
      </c>
      <c r="E1591" s="168"/>
      <c r="F1591" s="171"/>
      <c r="G1591" s="170"/>
      <c r="H1591" s="177"/>
      <c r="I1591" s="171"/>
      <c r="J1591" s="171"/>
      <c r="K1591" s="166" t="str">
        <f ca="1">IFERROR(VLOOKUP(C1591,' Disaggregation - Section E '!A$618:N795,3,0),"")</f>
        <v/>
      </c>
      <c r="L1591" s="166"/>
      <c r="M1591" s="166"/>
      <c r="N1591" s="171"/>
      <c r="O1591" s="171"/>
      <c r="P1591" s="171"/>
    </row>
    <row r="1592" spans="1:16">
      <c r="A1592" s="166" t="b">
        <v>0</v>
      </c>
      <c r="B1592" s="166"/>
      <c r="C1592" s="166" t="s">
        <v>4078</v>
      </c>
      <c r="D1592" s="177">
        <v>9</v>
      </c>
      <c r="E1592" s="168"/>
      <c r="F1592" s="171"/>
      <c r="G1592" s="170"/>
      <c r="H1592" s="177"/>
      <c r="I1592" s="171"/>
      <c r="J1592" s="171"/>
      <c r="K1592" s="166" t="str">
        <f ca="1">IFERROR(VLOOKUP(C1592,' Disaggregation - Section E '!A$618:N796,3,0),"")</f>
        <v/>
      </c>
      <c r="L1592" s="166"/>
      <c r="M1592" s="166"/>
      <c r="N1592" s="171"/>
      <c r="O1592" s="171"/>
      <c r="P1592" s="171"/>
    </row>
    <row r="1593" spans="1:16">
      <c r="A1593" s="166" t="b">
        <v>0</v>
      </c>
      <c r="B1593" s="166"/>
      <c r="C1593" s="166" t="s">
        <v>4079</v>
      </c>
      <c r="D1593" s="177">
        <v>9</v>
      </c>
      <c r="E1593" s="168"/>
      <c r="F1593" s="171"/>
      <c r="G1593" s="170"/>
      <c r="H1593" s="177"/>
      <c r="I1593" s="171"/>
      <c r="J1593" s="171"/>
      <c r="K1593" s="166" t="str">
        <f ca="1">IFERROR(VLOOKUP(C1593,' Disaggregation - Section E '!A$618:N797,3,0),"")</f>
        <v/>
      </c>
      <c r="L1593" s="166"/>
      <c r="M1593" s="166"/>
      <c r="N1593" s="171"/>
      <c r="O1593" s="171"/>
      <c r="P1593" s="171"/>
    </row>
    <row r="1594" spans="1:16">
      <c r="A1594" s="166" t="b">
        <v>0</v>
      </c>
      <c r="B1594" s="166"/>
      <c r="C1594" s="166" t="s">
        <v>4080</v>
      </c>
      <c r="D1594" s="177">
        <v>9</v>
      </c>
      <c r="E1594" s="168"/>
      <c r="F1594" s="171"/>
      <c r="G1594" s="170"/>
      <c r="H1594" s="177"/>
      <c r="I1594" s="171"/>
      <c r="J1594" s="171"/>
      <c r="K1594" s="166" t="str">
        <f ca="1">IFERROR(VLOOKUP(C1594,' Disaggregation - Section E '!A$618:N798,3,0),"")</f>
        <v/>
      </c>
      <c r="L1594" s="166"/>
      <c r="M1594" s="166"/>
      <c r="N1594" s="171"/>
      <c r="O1594" s="171"/>
      <c r="P1594" s="171"/>
    </row>
    <row r="1595" spans="1:16">
      <c r="A1595" s="166" t="b">
        <v>0</v>
      </c>
      <c r="B1595" s="166"/>
      <c r="C1595" s="166" t="s">
        <v>4081</v>
      </c>
      <c r="D1595" s="177">
        <v>9</v>
      </c>
      <c r="E1595" s="168"/>
      <c r="F1595" s="171"/>
      <c r="G1595" s="170"/>
      <c r="H1595" s="177"/>
      <c r="I1595" s="171"/>
      <c r="J1595" s="171"/>
      <c r="K1595" s="166" t="str">
        <f ca="1">IFERROR(VLOOKUP(C1595,' Disaggregation - Section E '!A$618:N799,3,0),"")</f>
        <v/>
      </c>
      <c r="L1595" s="166"/>
      <c r="M1595" s="166"/>
      <c r="N1595" s="171"/>
      <c r="O1595" s="171"/>
      <c r="P1595" s="171"/>
    </row>
    <row r="1596" spans="1:16">
      <c r="A1596" s="166" t="b">
        <v>0</v>
      </c>
      <c r="B1596" s="166"/>
      <c r="C1596" s="166" t="s">
        <v>4082</v>
      </c>
      <c r="D1596" s="177">
        <v>9</v>
      </c>
      <c r="E1596" s="168"/>
      <c r="F1596" s="171"/>
      <c r="G1596" s="170"/>
      <c r="H1596" s="177"/>
      <c r="I1596" s="171"/>
      <c r="J1596" s="171"/>
      <c r="K1596" s="166" t="str">
        <f ca="1">IFERROR(VLOOKUP(C1596,' Disaggregation - Section E '!A$618:N800,3,0),"")</f>
        <v/>
      </c>
      <c r="L1596" s="166"/>
      <c r="M1596" s="166"/>
      <c r="N1596" s="171"/>
      <c r="O1596" s="171"/>
      <c r="P1596" s="171"/>
    </row>
    <row r="1597" spans="1:16">
      <c r="A1597" s="166" t="b">
        <v>0</v>
      </c>
      <c r="B1597" s="166"/>
      <c r="C1597" s="166" t="s">
        <v>4083</v>
      </c>
      <c r="D1597" s="177">
        <v>9</v>
      </c>
      <c r="E1597" s="168"/>
      <c r="F1597" s="171"/>
      <c r="G1597" s="170"/>
      <c r="H1597" s="177"/>
      <c r="I1597" s="171"/>
      <c r="J1597" s="171"/>
      <c r="K1597" s="166" t="str">
        <f ca="1">IFERROR(VLOOKUP(C1597,' Disaggregation - Section E '!A$618:N801,3,0),"")</f>
        <v/>
      </c>
      <c r="L1597" s="166"/>
      <c r="M1597" s="166"/>
      <c r="N1597" s="171"/>
      <c r="O1597" s="171"/>
      <c r="P1597" s="171"/>
    </row>
    <row r="1598" spans="1:16">
      <c r="A1598" s="166" t="b">
        <v>0</v>
      </c>
      <c r="B1598" s="166"/>
      <c r="C1598" s="166" t="s">
        <v>4084</v>
      </c>
      <c r="D1598" s="177">
        <v>9</v>
      </c>
      <c r="E1598" s="168"/>
      <c r="F1598" s="171"/>
      <c r="G1598" s="170"/>
      <c r="H1598" s="177"/>
      <c r="I1598" s="171"/>
      <c r="J1598" s="171"/>
      <c r="K1598" s="166" t="str">
        <f ca="1">IFERROR(VLOOKUP(C1598,' Disaggregation - Section E '!A$618:N802,3,0),"")</f>
        <v/>
      </c>
      <c r="L1598" s="166"/>
      <c r="M1598" s="166"/>
      <c r="N1598" s="171"/>
      <c r="O1598" s="171"/>
      <c r="P1598" s="171"/>
    </row>
    <row r="1599" spans="1:16">
      <c r="A1599" s="166" t="b">
        <v>0</v>
      </c>
      <c r="B1599" s="166"/>
      <c r="C1599" s="166" t="s">
        <v>4085</v>
      </c>
      <c r="D1599" s="177">
        <v>9</v>
      </c>
      <c r="E1599" s="168"/>
      <c r="F1599" s="171"/>
      <c r="G1599" s="170"/>
      <c r="H1599" s="177"/>
      <c r="I1599" s="171"/>
      <c r="J1599" s="171"/>
      <c r="K1599" s="166" t="str">
        <f ca="1">IFERROR(VLOOKUP(C1599,' Disaggregation - Section E '!A$618:N803,3,0),"")</f>
        <v/>
      </c>
      <c r="L1599" s="166"/>
      <c r="M1599" s="166"/>
      <c r="N1599" s="171"/>
      <c r="O1599" s="171"/>
      <c r="P1599" s="171"/>
    </row>
    <row r="1600" spans="1:16">
      <c r="A1600" s="166" t="b">
        <v>0</v>
      </c>
      <c r="B1600" s="166"/>
      <c r="C1600" s="166" t="s">
        <v>4086</v>
      </c>
      <c r="D1600" s="177">
        <v>10</v>
      </c>
      <c r="E1600" s="168"/>
      <c r="F1600" s="171"/>
      <c r="G1600" s="170"/>
      <c r="H1600" s="177"/>
      <c r="I1600" s="171"/>
      <c r="J1600" s="171"/>
      <c r="K1600" s="166" t="str">
        <f ca="1">IFERROR(VLOOKUP(C1600,' Disaggregation - Section E '!A$618:N804,3,0),"")</f>
        <v/>
      </c>
      <c r="L1600" s="166"/>
      <c r="M1600" s="166"/>
      <c r="N1600" s="171"/>
      <c r="O1600" s="171"/>
      <c r="P1600" s="171"/>
    </row>
    <row r="1601" spans="1:16">
      <c r="A1601" s="166" t="b">
        <v>0</v>
      </c>
      <c r="B1601" s="166"/>
      <c r="C1601" s="166" t="s">
        <v>4087</v>
      </c>
      <c r="D1601" s="177">
        <v>10</v>
      </c>
      <c r="E1601" s="168"/>
      <c r="F1601" s="171"/>
      <c r="G1601" s="170"/>
      <c r="H1601" s="177"/>
      <c r="I1601" s="171"/>
      <c r="J1601" s="171"/>
      <c r="K1601" s="166" t="str">
        <f ca="1">IFERROR(VLOOKUP(C1601,' Disaggregation - Section E '!A$618:N805,3,0),"")</f>
        <v/>
      </c>
      <c r="L1601" s="166"/>
      <c r="M1601" s="166"/>
      <c r="N1601" s="171"/>
      <c r="O1601" s="171"/>
      <c r="P1601" s="171"/>
    </row>
    <row r="1602" spans="1:16">
      <c r="A1602" s="166" t="b">
        <v>0</v>
      </c>
      <c r="B1602" s="166"/>
      <c r="C1602" s="166" t="s">
        <v>4088</v>
      </c>
      <c r="D1602" s="177">
        <v>10</v>
      </c>
      <c r="E1602" s="168"/>
      <c r="F1602" s="171"/>
      <c r="G1602" s="170"/>
      <c r="H1602" s="177"/>
      <c r="I1602" s="171"/>
      <c r="J1602" s="171"/>
      <c r="K1602" s="166" t="str">
        <f ca="1">IFERROR(VLOOKUP(C1602,' Disaggregation - Section E '!A$618:N806,3,0),"")</f>
        <v/>
      </c>
      <c r="L1602" s="166"/>
      <c r="M1602" s="166"/>
      <c r="N1602" s="171"/>
      <c r="O1602" s="171"/>
      <c r="P1602" s="171"/>
    </row>
    <row r="1603" spans="1:16">
      <c r="A1603" s="166" t="b">
        <v>0</v>
      </c>
      <c r="B1603" s="166"/>
      <c r="C1603" s="166" t="s">
        <v>4089</v>
      </c>
      <c r="D1603" s="177">
        <v>10</v>
      </c>
      <c r="E1603" s="168"/>
      <c r="F1603" s="171"/>
      <c r="G1603" s="170"/>
      <c r="H1603" s="177"/>
      <c r="I1603" s="171"/>
      <c r="J1603" s="171"/>
      <c r="K1603" s="166" t="str">
        <f ca="1">IFERROR(VLOOKUP(C1603,' Disaggregation - Section E '!A$618:N807,3,0),"")</f>
        <v/>
      </c>
      <c r="L1603" s="166"/>
      <c r="M1603" s="166"/>
      <c r="N1603" s="171"/>
      <c r="O1603" s="171"/>
      <c r="P1603" s="171"/>
    </row>
    <row r="1604" spans="1:16">
      <c r="A1604" s="166" t="b">
        <v>0</v>
      </c>
      <c r="B1604" s="166"/>
      <c r="C1604" s="166" t="s">
        <v>4090</v>
      </c>
      <c r="D1604" s="177">
        <v>10</v>
      </c>
      <c r="E1604" s="168"/>
      <c r="F1604" s="171"/>
      <c r="G1604" s="170"/>
      <c r="H1604" s="177"/>
      <c r="I1604" s="171"/>
      <c r="J1604" s="171"/>
      <c r="K1604" s="166" t="str">
        <f ca="1">IFERROR(VLOOKUP(C1604,' Disaggregation - Section E '!A$618:N808,3,0),"")</f>
        <v/>
      </c>
      <c r="L1604" s="166"/>
      <c r="M1604" s="166"/>
      <c r="N1604" s="171"/>
      <c r="O1604" s="171"/>
      <c r="P1604" s="171"/>
    </row>
    <row r="1605" spans="1:16">
      <c r="A1605" s="166" t="b">
        <v>0</v>
      </c>
      <c r="B1605" s="166"/>
      <c r="C1605" s="166" t="s">
        <v>4091</v>
      </c>
      <c r="D1605" s="177">
        <v>10</v>
      </c>
      <c r="E1605" s="168"/>
      <c r="F1605" s="171"/>
      <c r="G1605" s="170"/>
      <c r="H1605" s="177"/>
      <c r="I1605" s="171"/>
      <c r="J1605" s="171"/>
      <c r="K1605" s="166" t="str">
        <f ca="1">IFERROR(VLOOKUP(C1605,' Disaggregation - Section E '!A$618:N809,3,0),"")</f>
        <v/>
      </c>
      <c r="L1605" s="166"/>
      <c r="M1605" s="166"/>
      <c r="N1605" s="171"/>
      <c r="O1605" s="171"/>
      <c r="P1605" s="171"/>
    </row>
    <row r="1606" spans="1:16">
      <c r="A1606" s="166" t="b">
        <v>0</v>
      </c>
      <c r="B1606" s="166"/>
      <c r="C1606" s="166" t="s">
        <v>4092</v>
      </c>
      <c r="D1606" s="177">
        <v>10</v>
      </c>
      <c r="E1606" s="168"/>
      <c r="F1606" s="171"/>
      <c r="G1606" s="170"/>
      <c r="H1606" s="177"/>
      <c r="I1606" s="171"/>
      <c r="J1606" s="171"/>
      <c r="K1606" s="166" t="str">
        <f ca="1">IFERROR(VLOOKUP(C1606,' Disaggregation - Section E '!A$618:N810,3,0),"")</f>
        <v/>
      </c>
      <c r="L1606" s="166"/>
      <c r="M1606" s="166"/>
      <c r="N1606" s="171"/>
      <c r="O1606" s="171"/>
      <c r="P1606" s="171"/>
    </row>
    <row r="1607" spans="1:16">
      <c r="A1607" s="166" t="b">
        <v>0</v>
      </c>
      <c r="B1607" s="166"/>
      <c r="C1607" s="166" t="s">
        <v>4093</v>
      </c>
      <c r="D1607" s="177">
        <v>10</v>
      </c>
      <c r="E1607" s="168"/>
      <c r="F1607" s="171"/>
      <c r="G1607" s="170"/>
      <c r="H1607" s="177"/>
      <c r="I1607" s="171"/>
      <c r="J1607" s="171"/>
      <c r="K1607" s="166" t="str">
        <f ca="1">IFERROR(VLOOKUP(C1607,' Disaggregation - Section E '!A$618:N811,3,0),"")</f>
        <v/>
      </c>
      <c r="L1607" s="166"/>
      <c r="M1607" s="166"/>
      <c r="N1607" s="171"/>
      <c r="O1607" s="171"/>
      <c r="P1607" s="171"/>
    </row>
    <row r="1608" spans="1:16">
      <c r="A1608" s="166" t="b">
        <v>0</v>
      </c>
      <c r="B1608" s="166"/>
      <c r="C1608" s="166" t="s">
        <v>4094</v>
      </c>
      <c r="D1608" s="177">
        <v>10</v>
      </c>
      <c r="E1608" s="168"/>
      <c r="F1608" s="171"/>
      <c r="G1608" s="170"/>
      <c r="H1608" s="177"/>
      <c r="I1608" s="171"/>
      <c r="J1608" s="171"/>
      <c r="K1608" s="166" t="str">
        <f ca="1">IFERROR(VLOOKUP(C1608,' Disaggregation - Section E '!A$618:N812,3,0),"")</f>
        <v/>
      </c>
      <c r="L1608" s="166"/>
      <c r="M1608" s="166"/>
      <c r="N1608" s="171"/>
      <c r="O1608" s="171"/>
      <c r="P1608" s="171"/>
    </row>
    <row r="1609" spans="1:16">
      <c r="A1609" s="166" t="b">
        <v>0</v>
      </c>
      <c r="B1609" s="166"/>
      <c r="C1609" s="166" t="s">
        <v>4095</v>
      </c>
      <c r="D1609" s="177">
        <v>10</v>
      </c>
      <c r="E1609" s="168"/>
      <c r="F1609" s="171"/>
      <c r="G1609" s="170"/>
      <c r="H1609" s="177"/>
      <c r="I1609" s="171"/>
      <c r="J1609" s="171"/>
      <c r="K1609" s="166" t="str">
        <f ca="1">IFERROR(VLOOKUP(C1609,' Disaggregation - Section E '!A$618:N813,3,0),"")</f>
        <v/>
      </c>
      <c r="L1609" s="166"/>
      <c r="M1609" s="166"/>
      <c r="N1609" s="171"/>
      <c r="O1609" s="171"/>
      <c r="P1609" s="171"/>
    </row>
    <row r="1610" spans="1:16">
      <c r="A1610" s="166" t="b">
        <v>0</v>
      </c>
      <c r="B1610" s="166"/>
      <c r="C1610" s="166" t="s">
        <v>4096</v>
      </c>
      <c r="D1610" s="177">
        <v>10</v>
      </c>
      <c r="E1610" s="168"/>
      <c r="F1610" s="171"/>
      <c r="G1610" s="170"/>
      <c r="H1610" s="177"/>
      <c r="I1610" s="171"/>
      <c r="J1610" s="171"/>
      <c r="K1610" s="166" t="str">
        <f ca="1">IFERROR(VLOOKUP(C1610,' Disaggregation - Section E '!A$618:N814,3,0),"")</f>
        <v/>
      </c>
      <c r="L1610" s="166"/>
      <c r="M1610" s="166"/>
      <c r="N1610" s="171"/>
      <c r="O1610" s="171"/>
      <c r="P1610" s="171"/>
    </row>
    <row r="1611" spans="1:16">
      <c r="A1611" s="166" t="b">
        <v>0</v>
      </c>
      <c r="B1611" s="166"/>
      <c r="C1611" s="166" t="s">
        <v>4097</v>
      </c>
      <c r="D1611" s="177">
        <v>10</v>
      </c>
      <c r="E1611" s="168"/>
      <c r="F1611" s="171"/>
      <c r="G1611" s="170"/>
      <c r="H1611" s="177"/>
      <c r="I1611" s="171"/>
      <c r="J1611" s="171"/>
      <c r="K1611" s="166" t="str">
        <f ca="1">IFERROR(VLOOKUP(C1611,' Disaggregation - Section E '!A$618:N815,3,0),"")</f>
        <v/>
      </c>
      <c r="L1611" s="166"/>
      <c r="M1611" s="166"/>
      <c r="N1611" s="171"/>
      <c r="O1611" s="171"/>
      <c r="P1611" s="171"/>
    </row>
    <row r="1612" spans="1:16">
      <c r="A1612" s="166" t="b">
        <v>0</v>
      </c>
      <c r="B1612" s="166"/>
      <c r="C1612" s="166" t="s">
        <v>4098</v>
      </c>
      <c r="D1612" s="177">
        <v>10</v>
      </c>
      <c r="E1612" s="168"/>
      <c r="F1612" s="171"/>
      <c r="G1612" s="170"/>
      <c r="H1612" s="177"/>
      <c r="I1612" s="171"/>
      <c r="J1612" s="171"/>
      <c r="K1612" s="166" t="str">
        <f ca="1">IFERROR(VLOOKUP(C1612,' Disaggregation - Section E '!A$618:N816,3,0),"")</f>
        <v/>
      </c>
      <c r="L1612" s="166"/>
      <c r="M1612" s="166"/>
      <c r="N1612" s="171"/>
      <c r="O1612" s="171"/>
      <c r="P1612" s="171"/>
    </row>
    <row r="1613" spans="1:16">
      <c r="A1613" s="166" t="b">
        <v>0</v>
      </c>
      <c r="B1613" s="166"/>
      <c r="C1613" s="166" t="s">
        <v>4099</v>
      </c>
      <c r="D1613" s="177">
        <v>10</v>
      </c>
      <c r="E1613" s="168"/>
      <c r="F1613" s="171"/>
      <c r="G1613" s="170"/>
      <c r="H1613" s="177"/>
      <c r="I1613" s="171"/>
      <c r="J1613" s="171"/>
      <c r="K1613" s="166" t="str">
        <f ca="1">IFERROR(VLOOKUP(C1613,' Disaggregation - Section E '!A$618:N817,3,0),"")</f>
        <v/>
      </c>
      <c r="L1613" s="166"/>
      <c r="M1613" s="166"/>
      <c r="N1613" s="171"/>
      <c r="O1613" s="171"/>
      <c r="P1613" s="171"/>
    </row>
    <row r="1614" spans="1:16">
      <c r="A1614" s="166" t="b">
        <v>0</v>
      </c>
      <c r="B1614" s="166"/>
      <c r="C1614" s="166" t="s">
        <v>4100</v>
      </c>
      <c r="D1614" s="177">
        <v>10</v>
      </c>
      <c r="E1614" s="168"/>
      <c r="F1614" s="171"/>
      <c r="G1614" s="170"/>
      <c r="H1614" s="177"/>
      <c r="I1614" s="171"/>
      <c r="J1614" s="171"/>
      <c r="K1614" s="166" t="str">
        <f ca="1">IFERROR(VLOOKUP(C1614,' Disaggregation - Section E '!A$618:N818,3,0),"")</f>
        <v/>
      </c>
      <c r="L1614" s="166"/>
      <c r="M1614" s="166"/>
      <c r="N1614" s="171"/>
      <c r="O1614" s="171"/>
      <c r="P1614" s="171"/>
    </row>
    <row r="1615" spans="1:16">
      <c r="A1615" s="166" t="b">
        <v>0</v>
      </c>
      <c r="B1615" s="166"/>
      <c r="C1615" s="166" t="s">
        <v>4101</v>
      </c>
      <c r="D1615" s="177">
        <v>10</v>
      </c>
      <c r="E1615" s="168"/>
      <c r="F1615" s="171"/>
      <c r="G1615" s="170"/>
      <c r="H1615" s="177"/>
      <c r="I1615" s="171"/>
      <c r="J1615" s="171"/>
      <c r="K1615" s="166" t="str">
        <f ca="1">IFERROR(VLOOKUP(C1615,' Disaggregation - Section E '!A$618:N819,3,0),"")</f>
        <v/>
      </c>
      <c r="L1615" s="166"/>
      <c r="M1615" s="166"/>
      <c r="N1615" s="171"/>
      <c r="O1615" s="171"/>
      <c r="P1615" s="171"/>
    </row>
    <row r="1616" spans="1:16">
      <c r="A1616" s="166" t="b">
        <v>0</v>
      </c>
      <c r="B1616" s="166"/>
      <c r="C1616" s="166" t="s">
        <v>4102</v>
      </c>
      <c r="D1616" s="177">
        <v>10</v>
      </c>
      <c r="E1616" s="168"/>
      <c r="F1616" s="171"/>
      <c r="G1616" s="170"/>
      <c r="H1616" s="177"/>
      <c r="I1616" s="171"/>
      <c r="J1616" s="171"/>
      <c r="K1616" s="166" t="str">
        <f ca="1">IFERROR(VLOOKUP(C1616,' Disaggregation - Section E '!A$618:N820,3,0),"")</f>
        <v/>
      </c>
      <c r="L1616" s="166"/>
      <c r="M1616" s="166"/>
      <c r="N1616" s="171"/>
      <c r="O1616" s="171"/>
      <c r="P1616" s="171"/>
    </row>
    <row r="1617" spans="1:16">
      <c r="A1617" s="166" t="b">
        <v>0</v>
      </c>
      <c r="B1617" s="166"/>
      <c r="C1617" s="166" t="s">
        <v>4103</v>
      </c>
      <c r="D1617" s="177">
        <v>10</v>
      </c>
      <c r="E1617" s="168"/>
      <c r="F1617" s="171"/>
      <c r="G1617" s="170"/>
      <c r="H1617" s="177"/>
      <c r="I1617" s="171"/>
      <c r="J1617" s="171"/>
      <c r="K1617" s="166" t="str">
        <f ca="1">IFERROR(VLOOKUP(C1617,' Disaggregation - Section E '!A$618:N821,3,0),"")</f>
        <v/>
      </c>
      <c r="L1617" s="166"/>
      <c r="M1617" s="166"/>
      <c r="N1617" s="171"/>
      <c r="O1617" s="171"/>
      <c r="P1617" s="171"/>
    </row>
    <row r="1618" spans="1:16">
      <c r="A1618" s="166" t="b">
        <v>0</v>
      </c>
      <c r="B1618" s="166"/>
      <c r="C1618" s="166" t="s">
        <v>4104</v>
      </c>
      <c r="D1618" s="177">
        <v>10</v>
      </c>
      <c r="E1618" s="168"/>
      <c r="F1618" s="171"/>
      <c r="G1618" s="170"/>
      <c r="H1618" s="177"/>
      <c r="I1618" s="171"/>
      <c r="J1618" s="171"/>
      <c r="K1618" s="166" t="str">
        <f ca="1">IFERROR(VLOOKUP(C1618,' Disaggregation - Section E '!A$618:N822,3,0),"")</f>
        <v/>
      </c>
      <c r="L1618" s="166"/>
      <c r="M1618" s="166"/>
      <c r="N1618" s="171"/>
      <c r="O1618" s="171"/>
      <c r="P1618" s="171"/>
    </row>
    <row r="1619" spans="1:16">
      <c r="A1619" s="166" t="b">
        <v>0</v>
      </c>
      <c r="B1619" s="166"/>
      <c r="C1619" s="166" t="s">
        <v>4105</v>
      </c>
      <c r="D1619" s="177">
        <v>10</v>
      </c>
      <c r="E1619" s="168"/>
      <c r="F1619" s="171"/>
      <c r="G1619" s="170"/>
      <c r="H1619" s="177"/>
      <c r="I1619" s="171"/>
      <c r="J1619" s="171"/>
      <c r="K1619" s="166" t="str">
        <f ca="1">IFERROR(VLOOKUP(C1619,' Disaggregation - Section E '!A$618:N823,3,0),"")</f>
        <v/>
      </c>
      <c r="L1619" s="166"/>
      <c r="M1619" s="166"/>
      <c r="N1619" s="171"/>
      <c r="O1619" s="171"/>
      <c r="P1619" s="171"/>
    </row>
    <row r="1620" spans="1:16">
      <c r="A1620" s="166" t="b">
        <v>0</v>
      </c>
      <c r="B1620" s="166"/>
      <c r="C1620" s="166" t="s">
        <v>4106</v>
      </c>
      <c r="D1620" s="177">
        <v>11</v>
      </c>
      <c r="E1620" s="168"/>
      <c r="F1620" s="171"/>
      <c r="G1620" s="170"/>
      <c r="H1620" s="177"/>
      <c r="I1620" s="171"/>
      <c r="J1620" s="171"/>
      <c r="K1620" s="166" t="str">
        <f ca="1">IFERROR(VLOOKUP(C1620,' Disaggregation - Section E '!A$618:N824,3,0),"")</f>
        <v/>
      </c>
      <c r="L1620" s="166"/>
      <c r="M1620" s="166"/>
      <c r="N1620" s="171"/>
      <c r="O1620" s="171"/>
      <c r="P1620" s="171"/>
    </row>
    <row r="1621" spans="1:16">
      <c r="A1621" s="166" t="b">
        <v>0</v>
      </c>
      <c r="B1621" s="166"/>
      <c r="C1621" s="166" t="s">
        <v>4107</v>
      </c>
      <c r="D1621" s="177">
        <v>11</v>
      </c>
      <c r="E1621" s="168"/>
      <c r="F1621" s="171"/>
      <c r="G1621" s="170"/>
      <c r="H1621" s="177"/>
      <c r="I1621" s="171"/>
      <c r="J1621" s="171"/>
      <c r="K1621" s="166" t="str">
        <f ca="1">IFERROR(VLOOKUP(C1621,' Disaggregation - Section E '!A$618:N825,3,0),"")</f>
        <v/>
      </c>
      <c r="L1621" s="166"/>
      <c r="M1621" s="166"/>
      <c r="N1621" s="171"/>
      <c r="O1621" s="171"/>
      <c r="P1621" s="171"/>
    </row>
    <row r="1622" spans="1:16">
      <c r="A1622" s="166" t="b">
        <v>0</v>
      </c>
      <c r="B1622" s="166"/>
      <c r="C1622" s="166" t="s">
        <v>4108</v>
      </c>
      <c r="D1622" s="177">
        <v>11</v>
      </c>
      <c r="E1622" s="168"/>
      <c r="F1622" s="171"/>
      <c r="G1622" s="170"/>
      <c r="H1622" s="177"/>
      <c r="I1622" s="171"/>
      <c r="J1622" s="171"/>
      <c r="K1622" s="166" t="str">
        <f ca="1">IFERROR(VLOOKUP(C1622,' Disaggregation - Section E '!A$618:N826,3,0),"")</f>
        <v/>
      </c>
      <c r="L1622" s="166"/>
      <c r="M1622" s="166"/>
      <c r="N1622" s="171"/>
      <c r="O1622" s="171"/>
      <c r="P1622" s="171"/>
    </row>
    <row r="1623" spans="1:16">
      <c r="A1623" s="166" t="b">
        <v>0</v>
      </c>
      <c r="B1623" s="166"/>
      <c r="C1623" s="166" t="s">
        <v>4109</v>
      </c>
      <c r="D1623" s="177">
        <v>11</v>
      </c>
      <c r="E1623" s="168"/>
      <c r="F1623" s="171"/>
      <c r="G1623" s="170"/>
      <c r="H1623" s="177"/>
      <c r="I1623" s="171"/>
      <c r="J1623" s="171"/>
      <c r="K1623" s="166" t="str">
        <f ca="1">IFERROR(VLOOKUP(C1623,' Disaggregation - Section E '!A$618:N827,3,0),"")</f>
        <v/>
      </c>
      <c r="L1623" s="166"/>
      <c r="M1623" s="166"/>
      <c r="N1623" s="171"/>
      <c r="O1623" s="171"/>
      <c r="P1623" s="171"/>
    </row>
    <row r="1624" spans="1:16">
      <c r="A1624" s="166" t="b">
        <v>0</v>
      </c>
      <c r="B1624" s="166"/>
      <c r="C1624" s="166" t="s">
        <v>4110</v>
      </c>
      <c r="D1624" s="177">
        <v>11</v>
      </c>
      <c r="E1624" s="168"/>
      <c r="F1624" s="171"/>
      <c r="G1624" s="170"/>
      <c r="H1624" s="177"/>
      <c r="I1624" s="171"/>
      <c r="J1624" s="171"/>
      <c r="K1624" s="166" t="str">
        <f ca="1">IFERROR(VLOOKUP(C1624,' Disaggregation - Section E '!A$618:N828,3,0),"")</f>
        <v/>
      </c>
      <c r="L1624" s="166"/>
      <c r="M1624" s="166"/>
      <c r="N1624" s="171"/>
      <c r="O1624" s="171"/>
      <c r="P1624" s="171"/>
    </row>
    <row r="1625" spans="1:16">
      <c r="A1625" s="166" t="b">
        <v>0</v>
      </c>
      <c r="B1625" s="166"/>
      <c r="C1625" s="166" t="s">
        <v>4111</v>
      </c>
      <c r="D1625" s="177">
        <v>11</v>
      </c>
      <c r="E1625" s="168"/>
      <c r="F1625" s="171"/>
      <c r="G1625" s="170"/>
      <c r="H1625" s="177"/>
      <c r="I1625" s="171"/>
      <c r="J1625" s="171"/>
      <c r="K1625" s="166" t="str">
        <f ca="1">IFERROR(VLOOKUP(C1625,' Disaggregation - Section E '!A$618:N829,3,0),"")</f>
        <v/>
      </c>
      <c r="L1625" s="166"/>
      <c r="M1625" s="166"/>
      <c r="N1625" s="171"/>
      <c r="O1625" s="171"/>
      <c r="P1625" s="171"/>
    </row>
    <row r="1626" spans="1:16">
      <c r="A1626" s="166" t="b">
        <v>0</v>
      </c>
      <c r="B1626" s="166"/>
      <c r="C1626" s="166" t="s">
        <v>4112</v>
      </c>
      <c r="D1626" s="177">
        <v>11</v>
      </c>
      <c r="E1626" s="168"/>
      <c r="F1626" s="171"/>
      <c r="G1626" s="170"/>
      <c r="H1626" s="177"/>
      <c r="I1626" s="171"/>
      <c r="J1626" s="171"/>
      <c r="K1626" s="166" t="str">
        <f ca="1">IFERROR(VLOOKUP(C1626,' Disaggregation - Section E '!A$618:N830,3,0),"")</f>
        <v/>
      </c>
      <c r="L1626" s="166"/>
      <c r="M1626" s="166"/>
      <c r="N1626" s="171"/>
      <c r="O1626" s="171"/>
      <c r="P1626" s="171"/>
    </row>
    <row r="1627" spans="1:16">
      <c r="A1627" s="166" t="b">
        <v>0</v>
      </c>
      <c r="B1627" s="166"/>
      <c r="C1627" s="166" t="s">
        <v>4113</v>
      </c>
      <c r="D1627" s="177">
        <v>11</v>
      </c>
      <c r="E1627" s="168"/>
      <c r="F1627" s="171"/>
      <c r="G1627" s="170"/>
      <c r="H1627" s="177"/>
      <c r="I1627" s="171"/>
      <c r="J1627" s="171"/>
      <c r="K1627" s="166" t="str">
        <f ca="1">IFERROR(VLOOKUP(C1627,' Disaggregation - Section E '!A$618:N831,3,0),"")</f>
        <v/>
      </c>
      <c r="L1627" s="166"/>
      <c r="M1627" s="166"/>
      <c r="N1627" s="171"/>
      <c r="O1627" s="171"/>
      <c r="P1627" s="171"/>
    </row>
    <row r="1628" spans="1:16">
      <c r="A1628" s="166" t="b">
        <v>0</v>
      </c>
      <c r="B1628" s="166"/>
      <c r="C1628" s="166" t="s">
        <v>4114</v>
      </c>
      <c r="D1628" s="177">
        <v>11</v>
      </c>
      <c r="E1628" s="168"/>
      <c r="F1628" s="171"/>
      <c r="G1628" s="170"/>
      <c r="H1628" s="177"/>
      <c r="I1628" s="171"/>
      <c r="J1628" s="171"/>
      <c r="K1628" s="166" t="str">
        <f ca="1">IFERROR(VLOOKUP(C1628,' Disaggregation - Section E '!A$618:N832,3,0),"")</f>
        <v/>
      </c>
      <c r="L1628" s="166"/>
      <c r="M1628" s="166"/>
      <c r="N1628" s="171"/>
      <c r="O1628" s="171"/>
      <c r="P1628" s="171"/>
    </row>
    <row r="1629" spans="1:16">
      <c r="A1629" s="166" t="b">
        <v>0</v>
      </c>
      <c r="B1629" s="166"/>
      <c r="C1629" s="166" t="s">
        <v>4115</v>
      </c>
      <c r="D1629" s="177">
        <v>11</v>
      </c>
      <c r="E1629" s="168"/>
      <c r="F1629" s="171"/>
      <c r="G1629" s="170"/>
      <c r="H1629" s="177"/>
      <c r="I1629" s="171"/>
      <c r="J1629" s="171"/>
      <c r="K1629" s="166" t="str">
        <f ca="1">IFERROR(VLOOKUP(C1629,' Disaggregation - Section E '!A$618:N833,3,0),"")</f>
        <v/>
      </c>
      <c r="L1629" s="166"/>
      <c r="M1629" s="166"/>
      <c r="N1629" s="171"/>
      <c r="O1629" s="171"/>
      <c r="P1629" s="171"/>
    </row>
    <row r="1630" spans="1:16">
      <c r="A1630" s="166" t="b">
        <v>0</v>
      </c>
      <c r="B1630" s="166"/>
      <c r="C1630" s="166" t="s">
        <v>4116</v>
      </c>
      <c r="D1630" s="177">
        <v>11</v>
      </c>
      <c r="E1630" s="168"/>
      <c r="F1630" s="171"/>
      <c r="G1630" s="170"/>
      <c r="H1630" s="177"/>
      <c r="I1630" s="171"/>
      <c r="J1630" s="171"/>
      <c r="K1630" s="166" t="str">
        <f ca="1">IFERROR(VLOOKUP(C1630,' Disaggregation - Section E '!A$618:N834,3,0),"")</f>
        <v/>
      </c>
      <c r="L1630" s="166"/>
      <c r="M1630" s="166"/>
      <c r="N1630" s="171"/>
      <c r="O1630" s="171"/>
      <c r="P1630" s="171"/>
    </row>
    <row r="1631" spans="1:16">
      <c r="A1631" s="166" t="b">
        <v>0</v>
      </c>
      <c r="B1631" s="166"/>
      <c r="C1631" s="166" t="s">
        <v>4117</v>
      </c>
      <c r="D1631" s="177">
        <v>11</v>
      </c>
      <c r="E1631" s="168"/>
      <c r="F1631" s="171"/>
      <c r="G1631" s="170"/>
      <c r="H1631" s="177"/>
      <c r="I1631" s="171"/>
      <c r="J1631" s="171"/>
      <c r="K1631" s="166" t="str">
        <f ca="1">IFERROR(VLOOKUP(C1631,' Disaggregation - Section E '!A$618:N835,3,0),"")</f>
        <v/>
      </c>
      <c r="L1631" s="166"/>
      <c r="M1631" s="166"/>
      <c r="N1631" s="171"/>
      <c r="O1631" s="171"/>
      <c r="P1631" s="171"/>
    </row>
    <row r="1632" spans="1:16">
      <c r="A1632" s="166" t="b">
        <v>0</v>
      </c>
      <c r="B1632" s="166"/>
      <c r="C1632" s="166" t="s">
        <v>4118</v>
      </c>
      <c r="D1632" s="177">
        <v>11</v>
      </c>
      <c r="E1632" s="168"/>
      <c r="F1632" s="171"/>
      <c r="G1632" s="170"/>
      <c r="H1632" s="177"/>
      <c r="I1632" s="171"/>
      <c r="J1632" s="171"/>
      <c r="K1632" s="166" t="str">
        <f ca="1">IFERROR(VLOOKUP(C1632,' Disaggregation - Section E '!A$618:N836,3,0),"")</f>
        <v/>
      </c>
      <c r="L1632" s="166"/>
      <c r="M1632" s="166"/>
      <c r="N1632" s="171"/>
      <c r="O1632" s="171"/>
      <c r="P1632" s="171"/>
    </row>
    <row r="1633" spans="1:16">
      <c r="A1633" s="166" t="b">
        <v>0</v>
      </c>
      <c r="B1633" s="166"/>
      <c r="C1633" s="166" t="s">
        <v>4119</v>
      </c>
      <c r="D1633" s="177">
        <v>11</v>
      </c>
      <c r="E1633" s="168"/>
      <c r="F1633" s="171"/>
      <c r="G1633" s="170"/>
      <c r="H1633" s="177"/>
      <c r="I1633" s="171"/>
      <c r="J1633" s="171"/>
      <c r="K1633" s="166" t="str">
        <f ca="1">IFERROR(VLOOKUP(C1633,' Disaggregation - Section E '!A$618:N837,3,0),"")</f>
        <v/>
      </c>
      <c r="L1633" s="166"/>
      <c r="M1633" s="166"/>
      <c r="N1633" s="171"/>
      <c r="O1633" s="171"/>
      <c r="P1633" s="171"/>
    </row>
    <row r="1634" spans="1:16">
      <c r="A1634" s="166" t="b">
        <v>0</v>
      </c>
      <c r="B1634" s="166"/>
      <c r="C1634" s="166" t="s">
        <v>4120</v>
      </c>
      <c r="D1634" s="177">
        <v>11</v>
      </c>
      <c r="E1634" s="168"/>
      <c r="F1634" s="171"/>
      <c r="G1634" s="170"/>
      <c r="H1634" s="177"/>
      <c r="I1634" s="171"/>
      <c r="J1634" s="171"/>
      <c r="K1634" s="166" t="str">
        <f ca="1">IFERROR(VLOOKUP(C1634,' Disaggregation - Section E '!A$618:N838,3,0),"")</f>
        <v/>
      </c>
      <c r="L1634" s="166"/>
      <c r="M1634" s="166"/>
      <c r="N1634" s="171"/>
      <c r="O1634" s="171"/>
      <c r="P1634" s="171"/>
    </row>
    <row r="1635" spans="1:16">
      <c r="A1635" s="166" t="b">
        <v>0</v>
      </c>
      <c r="B1635" s="166"/>
      <c r="C1635" s="166" t="s">
        <v>4121</v>
      </c>
      <c r="D1635" s="177">
        <v>11</v>
      </c>
      <c r="E1635" s="168"/>
      <c r="F1635" s="171"/>
      <c r="G1635" s="170"/>
      <c r="H1635" s="177"/>
      <c r="I1635" s="171"/>
      <c r="J1635" s="171"/>
      <c r="K1635" s="166" t="str">
        <f ca="1">IFERROR(VLOOKUP(C1635,' Disaggregation - Section E '!A$618:N839,3,0),"")</f>
        <v/>
      </c>
      <c r="L1635" s="166"/>
      <c r="M1635" s="166"/>
      <c r="N1635" s="171"/>
      <c r="O1635" s="171"/>
      <c r="P1635" s="171"/>
    </row>
    <row r="1636" spans="1:16">
      <c r="A1636" s="166" t="b">
        <v>0</v>
      </c>
      <c r="B1636" s="166"/>
      <c r="C1636" s="166" t="s">
        <v>4122</v>
      </c>
      <c r="D1636" s="177">
        <v>11</v>
      </c>
      <c r="E1636" s="168"/>
      <c r="F1636" s="171"/>
      <c r="G1636" s="170"/>
      <c r="H1636" s="177"/>
      <c r="I1636" s="171"/>
      <c r="J1636" s="171"/>
      <c r="K1636" s="166" t="str">
        <f ca="1">IFERROR(VLOOKUP(C1636,' Disaggregation - Section E '!A$618:N840,3,0),"")</f>
        <v/>
      </c>
      <c r="L1636" s="166"/>
      <c r="M1636" s="166"/>
      <c r="N1636" s="171"/>
      <c r="O1636" s="171"/>
      <c r="P1636" s="171"/>
    </row>
    <row r="1637" spans="1:16">
      <c r="A1637" s="166" t="b">
        <v>0</v>
      </c>
      <c r="B1637" s="166"/>
      <c r="C1637" s="166" t="s">
        <v>4123</v>
      </c>
      <c r="D1637" s="177">
        <v>11</v>
      </c>
      <c r="E1637" s="168"/>
      <c r="F1637" s="171"/>
      <c r="G1637" s="170"/>
      <c r="H1637" s="177"/>
      <c r="I1637" s="171"/>
      <c r="J1637" s="171"/>
      <c r="K1637" s="166" t="str">
        <f ca="1">IFERROR(VLOOKUP(C1637,' Disaggregation - Section E '!A$618:N841,3,0),"")</f>
        <v/>
      </c>
      <c r="L1637" s="166"/>
      <c r="M1637" s="166"/>
      <c r="N1637" s="171"/>
      <c r="O1637" s="171"/>
      <c r="P1637" s="171"/>
    </row>
    <row r="1638" spans="1:16">
      <c r="A1638" s="166" t="b">
        <v>0</v>
      </c>
      <c r="B1638" s="166"/>
      <c r="C1638" s="166" t="s">
        <v>4124</v>
      </c>
      <c r="D1638" s="177">
        <v>11</v>
      </c>
      <c r="E1638" s="168"/>
      <c r="F1638" s="171"/>
      <c r="G1638" s="170"/>
      <c r="H1638" s="177"/>
      <c r="I1638" s="171"/>
      <c r="J1638" s="171"/>
      <c r="K1638" s="166" t="str">
        <f ca="1">IFERROR(VLOOKUP(C1638,' Disaggregation - Section E '!A$618:N842,3,0),"")</f>
        <v/>
      </c>
      <c r="L1638" s="166"/>
      <c r="M1638" s="166"/>
      <c r="N1638" s="171"/>
      <c r="O1638" s="171"/>
      <c r="P1638" s="171"/>
    </row>
    <row r="1639" spans="1:16">
      <c r="A1639" s="166" t="b">
        <v>0</v>
      </c>
      <c r="B1639" s="166"/>
      <c r="C1639" s="166" t="s">
        <v>4125</v>
      </c>
      <c r="D1639" s="177">
        <v>11</v>
      </c>
      <c r="E1639" s="168"/>
      <c r="F1639" s="171"/>
      <c r="G1639" s="170"/>
      <c r="H1639" s="177"/>
      <c r="I1639" s="171"/>
      <c r="J1639" s="171"/>
      <c r="K1639" s="166" t="str">
        <f ca="1">IFERROR(VLOOKUP(C1639,' Disaggregation - Section E '!A$618:N843,3,0),"")</f>
        <v/>
      </c>
      <c r="L1639" s="166"/>
      <c r="M1639" s="166"/>
      <c r="N1639" s="171"/>
      <c r="O1639" s="171"/>
      <c r="P1639" s="171"/>
    </row>
    <row r="1640" spans="1:16">
      <c r="A1640" s="166" t="b">
        <v>0</v>
      </c>
      <c r="B1640" s="166"/>
      <c r="C1640" s="166" t="s">
        <v>4126</v>
      </c>
      <c r="D1640" s="177">
        <v>12</v>
      </c>
      <c r="E1640" s="168"/>
      <c r="F1640" s="171"/>
      <c r="G1640" s="170"/>
      <c r="H1640" s="177"/>
      <c r="I1640" s="171"/>
      <c r="J1640" s="171"/>
      <c r="K1640" s="166" t="str">
        <f ca="1">IFERROR(VLOOKUP(C1640,' Disaggregation - Section E '!A$618:N844,3,0),"")</f>
        <v/>
      </c>
      <c r="L1640" s="166"/>
      <c r="M1640" s="166"/>
      <c r="N1640" s="171"/>
      <c r="O1640" s="171"/>
      <c r="P1640" s="171"/>
    </row>
    <row r="1641" spans="1:16">
      <c r="A1641" s="166" t="b">
        <v>0</v>
      </c>
      <c r="B1641" s="166"/>
      <c r="C1641" s="166" t="s">
        <v>4127</v>
      </c>
      <c r="D1641" s="177">
        <v>12</v>
      </c>
      <c r="E1641" s="168"/>
      <c r="F1641" s="171"/>
      <c r="G1641" s="170"/>
      <c r="H1641" s="177"/>
      <c r="I1641" s="171"/>
      <c r="J1641" s="171"/>
      <c r="K1641" s="166" t="str">
        <f ca="1">IFERROR(VLOOKUP(C1641,' Disaggregation - Section E '!A$618:N845,3,0),"")</f>
        <v/>
      </c>
      <c r="L1641" s="166"/>
      <c r="M1641" s="166"/>
      <c r="N1641" s="171"/>
      <c r="O1641" s="171"/>
      <c r="P1641" s="171"/>
    </row>
    <row r="1642" spans="1:16">
      <c r="A1642" s="166" t="b">
        <v>0</v>
      </c>
      <c r="B1642" s="166"/>
      <c r="C1642" s="166" t="s">
        <v>4128</v>
      </c>
      <c r="D1642" s="177">
        <v>12</v>
      </c>
      <c r="E1642" s="168"/>
      <c r="F1642" s="171"/>
      <c r="G1642" s="170"/>
      <c r="H1642" s="177"/>
      <c r="I1642" s="171"/>
      <c r="J1642" s="171"/>
      <c r="K1642" s="166" t="str">
        <f ca="1">IFERROR(VLOOKUP(C1642,' Disaggregation - Section E '!A$618:N846,3,0),"")</f>
        <v/>
      </c>
      <c r="L1642" s="166"/>
      <c r="M1642" s="166"/>
      <c r="N1642" s="171"/>
      <c r="O1642" s="171"/>
      <c r="P1642" s="171"/>
    </row>
    <row r="1643" spans="1:16">
      <c r="A1643" s="166" t="b">
        <v>0</v>
      </c>
      <c r="B1643" s="166"/>
      <c r="C1643" s="166" t="s">
        <v>4129</v>
      </c>
      <c r="D1643" s="177">
        <v>12</v>
      </c>
      <c r="E1643" s="168"/>
      <c r="F1643" s="171"/>
      <c r="G1643" s="170"/>
      <c r="H1643" s="177"/>
      <c r="I1643" s="171"/>
      <c r="J1643" s="171"/>
      <c r="K1643" s="166" t="str">
        <f ca="1">IFERROR(VLOOKUP(C1643,' Disaggregation - Section E '!A$618:N847,3,0),"")</f>
        <v/>
      </c>
      <c r="L1643" s="166"/>
      <c r="M1643" s="166"/>
      <c r="N1643" s="171"/>
      <c r="O1643" s="171"/>
      <c r="P1643" s="171"/>
    </row>
    <row r="1644" spans="1:16">
      <c r="A1644" s="166" t="b">
        <v>0</v>
      </c>
      <c r="B1644" s="166"/>
      <c r="C1644" s="166" t="s">
        <v>4130</v>
      </c>
      <c r="D1644" s="177">
        <v>12</v>
      </c>
      <c r="E1644" s="168"/>
      <c r="F1644" s="171"/>
      <c r="G1644" s="170"/>
      <c r="H1644" s="177"/>
      <c r="I1644" s="171"/>
      <c r="J1644" s="171"/>
      <c r="K1644" s="166" t="str">
        <f ca="1">IFERROR(VLOOKUP(C1644,' Disaggregation - Section E '!A$618:N848,3,0),"")</f>
        <v/>
      </c>
      <c r="L1644" s="166"/>
      <c r="M1644" s="166"/>
      <c r="N1644" s="171"/>
      <c r="O1644" s="171"/>
      <c r="P1644" s="171"/>
    </row>
    <row r="1645" spans="1:16">
      <c r="A1645" s="166" t="b">
        <v>0</v>
      </c>
      <c r="B1645" s="166"/>
      <c r="C1645" s="166" t="s">
        <v>4131</v>
      </c>
      <c r="D1645" s="177">
        <v>12</v>
      </c>
      <c r="E1645" s="168"/>
      <c r="F1645" s="171"/>
      <c r="G1645" s="170"/>
      <c r="H1645" s="177"/>
      <c r="I1645" s="171"/>
      <c r="J1645" s="171"/>
      <c r="K1645" s="166" t="str">
        <f ca="1">IFERROR(VLOOKUP(C1645,' Disaggregation - Section E '!A$618:N849,3,0),"")</f>
        <v/>
      </c>
      <c r="L1645" s="166"/>
      <c r="M1645" s="166"/>
      <c r="N1645" s="171"/>
      <c r="O1645" s="171"/>
      <c r="P1645" s="171"/>
    </row>
    <row r="1646" spans="1:16">
      <c r="A1646" s="166" t="b">
        <v>0</v>
      </c>
      <c r="B1646" s="166"/>
      <c r="C1646" s="166" t="s">
        <v>4132</v>
      </c>
      <c r="D1646" s="177">
        <v>12</v>
      </c>
      <c r="E1646" s="168"/>
      <c r="F1646" s="171"/>
      <c r="G1646" s="170"/>
      <c r="H1646" s="177"/>
      <c r="I1646" s="171"/>
      <c r="J1646" s="171"/>
      <c r="K1646" s="166" t="str">
        <f ca="1">IFERROR(VLOOKUP(C1646,' Disaggregation - Section E '!A$618:N850,3,0),"")</f>
        <v/>
      </c>
      <c r="L1646" s="166"/>
      <c r="M1646" s="166"/>
      <c r="N1646" s="171"/>
      <c r="O1646" s="171"/>
      <c r="P1646" s="171"/>
    </row>
    <row r="1647" spans="1:16">
      <c r="A1647" s="166" t="b">
        <v>0</v>
      </c>
      <c r="B1647" s="166"/>
      <c r="C1647" s="166" t="s">
        <v>4133</v>
      </c>
      <c r="D1647" s="177">
        <v>12</v>
      </c>
      <c r="E1647" s="168"/>
      <c r="F1647" s="171"/>
      <c r="G1647" s="170"/>
      <c r="H1647" s="177"/>
      <c r="I1647" s="171"/>
      <c r="J1647" s="171"/>
      <c r="K1647" s="166" t="str">
        <f ca="1">IFERROR(VLOOKUP(C1647,' Disaggregation - Section E '!A$618:N851,3,0),"")</f>
        <v/>
      </c>
      <c r="L1647" s="166"/>
      <c r="M1647" s="166"/>
      <c r="N1647" s="171"/>
      <c r="O1647" s="171"/>
      <c r="P1647" s="171"/>
    </row>
    <row r="1648" spans="1:16">
      <c r="A1648" s="166" t="b">
        <v>0</v>
      </c>
      <c r="B1648" s="166"/>
      <c r="C1648" s="166" t="s">
        <v>4134</v>
      </c>
      <c r="D1648" s="177">
        <v>12</v>
      </c>
      <c r="E1648" s="168"/>
      <c r="F1648" s="171"/>
      <c r="G1648" s="170"/>
      <c r="H1648" s="177"/>
      <c r="I1648" s="171"/>
      <c r="J1648" s="171"/>
      <c r="K1648" s="166" t="str">
        <f ca="1">IFERROR(VLOOKUP(C1648,' Disaggregation - Section E '!A$618:N852,3,0),"")</f>
        <v/>
      </c>
      <c r="L1648" s="166"/>
      <c r="M1648" s="166"/>
      <c r="N1648" s="171"/>
      <c r="O1648" s="171"/>
      <c r="P1648" s="171"/>
    </row>
    <row r="1649" spans="1:16">
      <c r="A1649" s="166" t="b">
        <v>0</v>
      </c>
      <c r="B1649" s="166"/>
      <c r="C1649" s="166" t="s">
        <v>4135</v>
      </c>
      <c r="D1649" s="177">
        <v>12</v>
      </c>
      <c r="E1649" s="168"/>
      <c r="F1649" s="171"/>
      <c r="G1649" s="170"/>
      <c r="H1649" s="177"/>
      <c r="I1649" s="171"/>
      <c r="J1649" s="171"/>
      <c r="K1649" s="166" t="str">
        <f ca="1">IFERROR(VLOOKUP(C1649,' Disaggregation - Section E '!A$618:N853,3,0),"")</f>
        <v/>
      </c>
      <c r="L1649" s="166"/>
      <c r="M1649" s="166"/>
      <c r="N1649" s="171"/>
      <c r="O1649" s="171"/>
      <c r="P1649" s="171"/>
    </row>
    <row r="1650" spans="1:16">
      <c r="A1650" s="166" t="b">
        <v>0</v>
      </c>
      <c r="B1650" s="166"/>
      <c r="C1650" s="166" t="s">
        <v>4136</v>
      </c>
      <c r="D1650" s="177">
        <v>12</v>
      </c>
      <c r="E1650" s="168"/>
      <c r="F1650" s="171"/>
      <c r="G1650" s="170"/>
      <c r="H1650" s="177"/>
      <c r="I1650" s="171"/>
      <c r="J1650" s="171"/>
      <c r="K1650" s="166" t="str">
        <f ca="1">IFERROR(VLOOKUP(C1650,' Disaggregation - Section E '!A$618:N854,3,0),"")</f>
        <v/>
      </c>
      <c r="L1650" s="166"/>
      <c r="M1650" s="166"/>
      <c r="N1650" s="171"/>
      <c r="O1650" s="171"/>
      <c r="P1650" s="171"/>
    </row>
    <row r="1651" spans="1:16">
      <c r="A1651" s="166" t="b">
        <v>0</v>
      </c>
      <c r="B1651" s="166"/>
      <c r="C1651" s="166" t="s">
        <v>4137</v>
      </c>
      <c r="D1651" s="177">
        <v>12</v>
      </c>
      <c r="E1651" s="168"/>
      <c r="F1651" s="171"/>
      <c r="G1651" s="170"/>
      <c r="H1651" s="177"/>
      <c r="I1651" s="171"/>
      <c r="J1651" s="171"/>
      <c r="K1651" s="166" t="str">
        <f ca="1">IFERROR(VLOOKUP(C1651,' Disaggregation - Section E '!A$618:N855,3,0),"")</f>
        <v/>
      </c>
      <c r="L1651" s="166"/>
      <c r="M1651" s="166"/>
      <c r="N1651" s="171"/>
      <c r="O1651" s="171"/>
      <c r="P1651" s="171"/>
    </row>
    <row r="1652" spans="1:16">
      <c r="A1652" s="166" t="b">
        <v>0</v>
      </c>
      <c r="B1652" s="166"/>
      <c r="C1652" s="166" t="s">
        <v>4138</v>
      </c>
      <c r="D1652" s="177">
        <v>12</v>
      </c>
      <c r="E1652" s="168"/>
      <c r="F1652" s="171"/>
      <c r="G1652" s="170"/>
      <c r="H1652" s="177"/>
      <c r="I1652" s="171"/>
      <c r="J1652" s="171"/>
      <c r="K1652" s="166" t="str">
        <f ca="1">IFERROR(VLOOKUP(C1652,' Disaggregation - Section E '!A$618:N856,3,0),"")</f>
        <v/>
      </c>
      <c r="L1652" s="166"/>
      <c r="M1652" s="166"/>
      <c r="N1652" s="171"/>
      <c r="O1652" s="171"/>
      <c r="P1652" s="171"/>
    </row>
    <row r="1653" spans="1:16">
      <c r="A1653" s="166" t="b">
        <v>0</v>
      </c>
      <c r="B1653" s="166"/>
      <c r="C1653" s="166" t="s">
        <v>4139</v>
      </c>
      <c r="D1653" s="177">
        <v>12</v>
      </c>
      <c r="E1653" s="168"/>
      <c r="F1653" s="171"/>
      <c r="G1653" s="170"/>
      <c r="H1653" s="177"/>
      <c r="I1653" s="171"/>
      <c r="J1653" s="171"/>
      <c r="K1653" s="166" t="str">
        <f ca="1">IFERROR(VLOOKUP(C1653,' Disaggregation - Section E '!A$618:N857,3,0),"")</f>
        <v/>
      </c>
      <c r="L1653" s="166"/>
      <c r="M1653" s="166"/>
      <c r="N1653" s="171"/>
      <c r="O1653" s="171"/>
      <c r="P1653" s="171"/>
    </row>
    <row r="1654" spans="1:16">
      <c r="A1654" s="166" t="b">
        <v>0</v>
      </c>
      <c r="B1654" s="166"/>
      <c r="C1654" s="166" t="s">
        <v>4140</v>
      </c>
      <c r="D1654" s="177">
        <v>12</v>
      </c>
      <c r="E1654" s="168"/>
      <c r="F1654" s="171"/>
      <c r="G1654" s="170"/>
      <c r="H1654" s="177"/>
      <c r="I1654" s="171"/>
      <c r="J1654" s="171"/>
      <c r="K1654" s="166" t="str">
        <f ca="1">IFERROR(VLOOKUP(C1654,' Disaggregation - Section E '!A$618:N858,3,0),"")</f>
        <v/>
      </c>
      <c r="L1654" s="166"/>
      <c r="M1654" s="166"/>
      <c r="N1654" s="171"/>
      <c r="O1654" s="171"/>
      <c r="P1654" s="171"/>
    </row>
    <row r="1655" spans="1:16">
      <c r="A1655" s="166" t="b">
        <v>0</v>
      </c>
      <c r="B1655" s="166"/>
      <c r="C1655" s="166" t="s">
        <v>4141</v>
      </c>
      <c r="D1655" s="177">
        <v>12</v>
      </c>
      <c r="E1655" s="168"/>
      <c r="F1655" s="171"/>
      <c r="G1655" s="170"/>
      <c r="H1655" s="177"/>
      <c r="I1655" s="171"/>
      <c r="J1655" s="171"/>
      <c r="K1655" s="166" t="str">
        <f ca="1">IFERROR(VLOOKUP(C1655,' Disaggregation - Section E '!A$618:N859,3,0),"")</f>
        <v/>
      </c>
      <c r="L1655" s="166"/>
      <c r="M1655" s="166"/>
      <c r="N1655" s="171"/>
      <c r="O1655" s="171"/>
      <c r="P1655" s="171"/>
    </row>
    <row r="1656" spans="1:16">
      <c r="A1656" s="166" t="b">
        <v>0</v>
      </c>
      <c r="B1656" s="166"/>
      <c r="C1656" s="166" t="s">
        <v>4142</v>
      </c>
      <c r="D1656" s="177">
        <v>12</v>
      </c>
      <c r="E1656" s="168"/>
      <c r="F1656" s="171"/>
      <c r="G1656" s="170"/>
      <c r="H1656" s="177"/>
      <c r="I1656" s="171"/>
      <c r="J1656" s="171"/>
      <c r="K1656" s="166" t="str">
        <f ca="1">IFERROR(VLOOKUP(C1656,' Disaggregation - Section E '!A$618:N860,3,0),"")</f>
        <v/>
      </c>
      <c r="L1656" s="166"/>
      <c r="M1656" s="166"/>
      <c r="N1656" s="171"/>
      <c r="O1656" s="171"/>
      <c r="P1656" s="171"/>
    </row>
    <row r="1657" spans="1:16">
      <c r="A1657" s="166" t="b">
        <v>0</v>
      </c>
      <c r="B1657" s="166"/>
      <c r="C1657" s="166" t="s">
        <v>4143</v>
      </c>
      <c r="D1657" s="177">
        <v>12</v>
      </c>
      <c r="E1657" s="168"/>
      <c r="F1657" s="171"/>
      <c r="G1657" s="170"/>
      <c r="H1657" s="177"/>
      <c r="I1657" s="171"/>
      <c r="J1657" s="171"/>
      <c r="K1657" s="166" t="str">
        <f ca="1">IFERROR(VLOOKUP(C1657,' Disaggregation - Section E '!A$618:N861,3,0),"")</f>
        <v/>
      </c>
      <c r="L1657" s="166"/>
      <c r="M1657" s="166"/>
      <c r="N1657" s="171"/>
      <c r="O1657" s="171"/>
      <c r="P1657" s="171"/>
    </row>
    <row r="1658" spans="1:16">
      <c r="A1658" s="166" t="b">
        <v>0</v>
      </c>
      <c r="B1658" s="166"/>
      <c r="C1658" s="166" t="s">
        <v>4144</v>
      </c>
      <c r="D1658" s="177">
        <v>12</v>
      </c>
      <c r="E1658" s="168"/>
      <c r="F1658" s="171"/>
      <c r="G1658" s="170"/>
      <c r="H1658" s="177"/>
      <c r="I1658" s="171"/>
      <c r="J1658" s="171"/>
      <c r="K1658" s="166" t="str">
        <f ca="1">IFERROR(VLOOKUP(C1658,' Disaggregation - Section E '!A$618:N862,3,0),"")</f>
        <v/>
      </c>
      <c r="L1658" s="166"/>
      <c r="M1658" s="166"/>
      <c r="N1658" s="171"/>
      <c r="O1658" s="171"/>
      <c r="P1658" s="171"/>
    </row>
    <row r="1659" spans="1:16">
      <c r="A1659" s="166" t="b">
        <v>0</v>
      </c>
      <c r="B1659" s="166"/>
      <c r="C1659" s="166" t="s">
        <v>4145</v>
      </c>
      <c r="D1659" s="177">
        <v>12</v>
      </c>
      <c r="E1659" s="168"/>
      <c r="F1659" s="171"/>
      <c r="G1659" s="170"/>
      <c r="H1659" s="177"/>
      <c r="I1659" s="171"/>
      <c r="J1659" s="171"/>
      <c r="K1659" s="166" t="str">
        <f ca="1">IFERROR(VLOOKUP(C1659,' Disaggregation - Section E '!A$618:N863,3,0),"")</f>
        <v/>
      </c>
      <c r="L1659" s="166"/>
      <c r="M1659" s="166"/>
      <c r="N1659" s="171"/>
      <c r="O1659" s="171"/>
      <c r="P1659" s="171"/>
    </row>
    <row r="1660" spans="1:16">
      <c r="A1660" s="166" t="b">
        <v>0</v>
      </c>
      <c r="B1660" s="166"/>
      <c r="C1660" s="166" t="s">
        <v>4146</v>
      </c>
      <c r="D1660" s="177">
        <v>13</v>
      </c>
      <c r="E1660" s="168"/>
      <c r="F1660" s="171"/>
      <c r="G1660" s="170"/>
      <c r="H1660" s="177"/>
      <c r="I1660" s="171"/>
      <c r="J1660" s="171"/>
      <c r="K1660" s="166" t="str">
        <f ca="1">IFERROR(VLOOKUP(C1660,' Disaggregation - Section E '!A$618:N864,3,0),"")</f>
        <v/>
      </c>
      <c r="L1660" s="166"/>
      <c r="M1660" s="166"/>
      <c r="N1660" s="171"/>
      <c r="O1660" s="171"/>
      <c r="P1660" s="171"/>
    </row>
    <row r="1661" spans="1:16">
      <c r="A1661" s="166" t="b">
        <v>0</v>
      </c>
      <c r="B1661" s="166"/>
      <c r="C1661" s="166" t="s">
        <v>4147</v>
      </c>
      <c r="D1661" s="177">
        <v>13</v>
      </c>
      <c r="E1661" s="168"/>
      <c r="F1661" s="171"/>
      <c r="G1661" s="170"/>
      <c r="H1661" s="177"/>
      <c r="I1661" s="171"/>
      <c r="J1661" s="171"/>
      <c r="K1661" s="166" t="str">
        <f ca="1">IFERROR(VLOOKUP(C1661,' Disaggregation - Section E '!A$618:N865,3,0),"")</f>
        <v/>
      </c>
      <c r="L1661" s="166"/>
      <c r="M1661" s="166"/>
      <c r="N1661" s="171"/>
      <c r="O1661" s="171"/>
      <c r="P1661" s="171"/>
    </row>
    <row r="1662" spans="1:16">
      <c r="A1662" s="166" t="b">
        <v>0</v>
      </c>
      <c r="B1662" s="166"/>
      <c r="C1662" s="166" t="s">
        <v>4148</v>
      </c>
      <c r="D1662" s="177">
        <v>13</v>
      </c>
      <c r="E1662" s="168"/>
      <c r="F1662" s="171"/>
      <c r="G1662" s="170"/>
      <c r="H1662" s="177"/>
      <c r="I1662" s="171"/>
      <c r="J1662" s="171"/>
      <c r="K1662" s="166" t="str">
        <f ca="1">IFERROR(VLOOKUP(C1662,' Disaggregation - Section E '!A$618:N866,3,0),"")</f>
        <v/>
      </c>
      <c r="L1662" s="166"/>
      <c r="M1662" s="166"/>
      <c r="N1662" s="171"/>
      <c r="O1662" s="171"/>
      <c r="P1662" s="171"/>
    </row>
    <row r="1663" spans="1:16">
      <c r="A1663" s="166" t="b">
        <v>0</v>
      </c>
      <c r="B1663" s="166"/>
      <c r="C1663" s="166" t="s">
        <v>4149</v>
      </c>
      <c r="D1663" s="177">
        <v>13</v>
      </c>
      <c r="E1663" s="168"/>
      <c r="F1663" s="171"/>
      <c r="G1663" s="170"/>
      <c r="H1663" s="177"/>
      <c r="I1663" s="171"/>
      <c r="J1663" s="171"/>
      <c r="K1663" s="166" t="str">
        <f ca="1">IFERROR(VLOOKUP(C1663,' Disaggregation - Section E '!A$618:N867,3,0),"")</f>
        <v/>
      </c>
      <c r="L1663" s="166"/>
      <c r="M1663" s="166"/>
      <c r="N1663" s="171"/>
      <c r="O1663" s="171"/>
      <c r="P1663" s="171"/>
    </row>
    <row r="1664" spans="1:16">
      <c r="A1664" s="166" t="b">
        <v>0</v>
      </c>
      <c r="B1664" s="166"/>
      <c r="C1664" s="166" t="s">
        <v>4150</v>
      </c>
      <c r="D1664" s="177">
        <v>13</v>
      </c>
      <c r="E1664" s="168"/>
      <c r="F1664" s="171"/>
      <c r="G1664" s="170"/>
      <c r="H1664" s="177"/>
      <c r="I1664" s="171"/>
      <c r="J1664" s="171"/>
      <c r="K1664" s="166" t="str">
        <f ca="1">IFERROR(VLOOKUP(C1664,' Disaggregation - Section E '!A$618:N868,3,0),"")</f>
        <v/>
      </c>
      <c r="L1664" s="166"/>
      <c r="M1664" s="166"/>
      <c r="N1664" s="171"/>
      <c r="O1664" s="171"/>
      <c r="P1664" s="171"/>
    </row>
    <row r="1665" spans="1:16">
      <c r="A1665" s="166" t="b">
        <v>0</v>
      </c>
      <c r="B1665" s="166"/>
      <c r="C1665" s="166" t="s">
        <v>4151</v>
      </c>
      <c r="D1665" s="177">
        <v>13</v>
      </c>
      <c r="E1665" s="168"/>
      <c r="F1665" s="171"/>
      <c r="G1665" s="170"/>
      <c r="H1665" s="177"/>
      <c r="I1665" s="171"/>
      <c r="J1665" s="171"/>
      <c r="K1665" s="166" t="str">
        <f ca="1">IFERROR(VLOOKUP(C1665,' Disaggregation - Section E '!A$618:N869,3,0),"")</f>
        <v/>
      </c>
      <c r="L1665" s="166"/>
      <c r="M1665" s="166"/>
      <c r="N1665" s="171"/>
      <c r="O1665" s="171"/>
      <c r="P1665" s="171"/>
    </row>
    <row r="1666" spans="1:16">
      <c r="A1666" s="166" t="b">
        <v>0</v>
      </c>
      <c r="B1666" s="166"/>
      <c r="C1666" s="166" t="s">
        <v>4152</v>
      </c>
      <c r="D1666" s="177">
        <v>13</v>
      </c>
      <c r="E1666" s="168"/>
      <c r="F1666" s="171"/>
      <c r="G1666" s="170"/>
      <c r="H1666" s="177"/>
      <c r="I1666" s="171"/>
      <c r="J1666" s="171"/>
      <c r="K1666" s="166" t="str">
        <f ca="1">IFERROR(VLOOKUP(C1666,' Disaggregation - Section E '!A$618:N870,3,0),"")</f>
        <v/>
      </c>
      <c r="L1666" s="166"/>
      <c r="M1666" s="166"/>
      <c r="N1666" s="171"/>
      <c r="O1666" s="171"/>
      <c r="P1666" s="171"/>
    </row>
    <row r="1667" spans="1:16">
      <c r="A1667" s="166" t="b">
        <v>0</v>
      </c>
      <c r="B1667" s="166"/>
      <c r="C1667" s="166" t="s">
        <v>4153</v>
      </c>
      <c r="D1667" s="177">
        <v>13</v>
      </c>
      <c r="E1667" s="168"/>
      <c r="F1667" s="171"/>
      <c r="G1667" s="170"/>
      <c r="H1667" s="177"/>
      <c r="I1667" s="171"/>
      <c r="J1667" s="171"/>
      <c r="K1667" s="166" t="str">
        <f ca="1">IFERROR(VLOOKUP(C1667,' Disaggregation - Section E '!A$618:N871,3,0),"")</f>
        <v/>
      </c>
      <c r="L1667" s="166"/>
      <c r="M1667" s="166"/>
      <c r="N1667" s="171"/>
      <c r="O1667" s="171"/>
      <c r="P1667" s="171"/>
    </row>
    <row r="1668" spans="1:16">
      <c r="A1668" s="166" t="b">
        <v>0</v>
      </c>
      <c r="B1668" s="166"/>
      <c r="C1668" s="166" t="s">
        <v>4154</v>
      </c>
      <c r="D1668" s="177">
        <v>13</v>
      </c>
      <c r="E1668" s="168"/>
      <c r="F1668" s="171"/>
      <c r="G1668" s="170"/>
      <c r="H1668" s="177"/>
      <c r="I1668" s="171"/>
      <c r="J1668" s="171"/>
      <c r="K1668" s="166" t="str">
        <f ca="1">IFERROR(VLOOKUP(C1668,' Disaggregation - Section E '!A$618:N872,3,0),"")</f>
        <v/>
      </c>
      <c r="L1668" s="166"/>
      <c r="M1668" s="166"/>
      <c r="N1668" s="171"/>
      <c r="O1668" s="171"/>
      <c r="P1668" s="171"/>
    </row>
    <row r="1669" spans="1:16">
      <c r="A1669" s="166" t="b">
        <v>0</v>
      </c>
      <c r="B1669" s="166"/>
      <c r="C1669" s="166" t="s">
        <v>4155</v>
      </c>
      <c r="D1669" s="177">
        <v>13</v>
      </c>
      <c r="E1669" s="168"/>
      <c r="F1669" s="171"/>
      <c r="G1669" s="170"/>
      <c r="H1669" s="177"/>
      <c r="I1669" s="171"/>
      <c r="J1669" s="171"/>
      <c r="K1669" s="166" t="str">
        <f ca="1">IFERROR(VLOOKUP(C1669,' Disaggregation - Section E '!A$618:N873,3,0),"")</f>
        <v/>
      </c>
      <c r="L1669" s="166"/>
      <c r="M1669" s="166"/>
      <c r="N1669" s="171"/>
      <c r="O1669" s="171"/>
      <c r="P1669" s="171"/>
    </row>
    <row r="1670" spans="1:16">
      <c r="A1670" s="166" t="b">
        <v>0</v>
      </c>
      <c r="B1670" s="166"/>
      <c r="C1670" s="166" t="s">
        <v>4156</v>
      </c>
      <c r="D1670" s="177">
        <v>13</v>
      </c>
      <c r="E1670" s="168"/>
      <c r="F1670" s="171"/>
      <c r="G1670" s="170"/>
      <c r="H1670" s="177"/>
      <c r="I1670" s="171"/>
      <c r="J1670" s="171"/>
      <c r="K1670" s="166" t="str">
        <f ca="1">IFERROR(VLOOKUP(C1670,' Disaggregation - Section E '!A$618:N874,3,0),"")</f>
        <v/>
      </c>
      <c r="L1670" s="166"/>
      <c r="M1670" s="166"/>
      <c r="N1670" s="171"/>
      <c r="O1670" s="171"/>
      <c r="P1670" s="171"/>
    </row>
    <row r="1671" spans="1:16">
      <c r="A1671" s="166" t="b">
        <v>0</v>
      </c>
      <c r="B1671" s="166"/>
      <c r="C1671" s="166" t="s">
        <v>4157</v>
      </c>
      <c r="D1671" s="177">
        <v>13</v>
      </c>
      <c r="E1671" s="168"/>
      <c r="F1671" s="171"/>
      <c r="G1671" s="170"/>
      <c r="H1671" s="177"/>
      <c r="I1671" s="171"/>
      <c r="J1671" s="171"/>
      <c r="K1671" s="166" t="str">
        <f ca="1">IFERROR(VLOOKUP(C1671,' Disaggregation - Section E '!A$618:N875,3,0),"")</f>
        <v/>
      </c>
      <c r="L1671" s="166"/>
      <c r="M1671" s="166"/>
      <c r="N1671" s="171"/>
      <c r="O1671" s="171"/>
      <c r="P1671" s="171"/>
    </row>
    <row r="1672" spans="1:16">
      <c r="A1672" s="166" t="b">
        <v>0</v>
      </c>
      <c r="B1672" s="166"/>
      <c r="C1672" s="166" t="s">
        <v>4158</v>
      </c>
      <c r="D1672" s="177">
        <v>13</v>
      </c>
      <c r="E1672" s="168"/>
      <c r="F1672" s="171"/>
      <c r="G1672" s="170"/>
      <c r="H1672" s="177"/>
      <c r="I1672" s="171"/>
      <c r="J1672" s="171"/>
      <c r="K1672" s="166" t="str">
        <f ca="1">IFERROR(VLOOKUP(C1672,' Disaggregation - Section E '!A$618:N876,3,0),"")</f>
        <v/>
      </c>
      <c r="L1672" s="166"/>
      <c r="M1672" s="166"/>
      <c r="N1672" s="171"/>
      <c r="O1672" s="171"/>
      <c r="P1672" s="171"/>
    </row>
    <row r="1673" spans="1:16">
      <c r="A1673" s="166" t="b">
        <v>0</v>
      </c>
      <c r="B1673" s="166"/>
      <c r="C1673" s="166" t="s">
        <v>4159</v>
      </c>
      <c r="D1673" s="177">
        <v>13</v>
      </c>
      <c r="E1673" s="168"/>
      <c r="F1673" s="171"/>
      <c r="G1673" s="170"/>
      <c r="H1673" s="177"/>
      <c r="I1673" s="171"/>
      <c r="J1673" s="171"/>
      <c r="K1673" s="166" t="str">
        <f ca="1">IFERROR(VLOOKUP(C1673,' Disaggregation - Section E '!A$618:N877,3,0),"")</f>
        <v/>
      </c>
      <c r="L1673" s="166"/>
      <c r="M1673" s="166"/>
      <c r="N1673" s="171"/>
      <c r="O1673" s="171"/>
      <c r="P1673" s="171"/>
    </row>
    <row r="1674" spans="1:16">
      <c r="A1674" s="166" t="b">
        <v>0</v>
      </c>
      <c r="B1674" s="166"/>
      <c r="C1674" s="166" t="s">
        <v>4160</v>
      </c>
      <c r="D1674" s="177">
        <v>13</v>
      </c>
      <c r="E1674" s="168"/>
      <c r="F1674" s="171"/>
      <c r="G1674" s="170"/>
      <c r="H1674" s="177"/>
      <c r="I1674" s="171"/>
      <c r="J1674" s="171"/>
      <c r="K1674" s="166" t="str">
        <f ca="1">IFERROR(VLOOKUP(C1674,' Disaggregation - Section E '!A$618:N878,3,0),"")</f>
        <v/>
      </c>
      <c r="L1674" s="166"/>
      <c r="M1674" s="166"/>
      <c r="N1674" s="171"/>
      <c r="O1674" s="171"/>
      <c r="P1674" s="171"/>
    </row>
    <row r="1675" spans="1:16">
      <c r="A1675" s="166" t="b">
        <v>0</v>
      </c>
      <c r="B1675" s="166"/>
      <c r="C1675" s="166" t="s">
        <v>4161</v>
      </c>
      <c r="D1675" s="177">
        <v>13</v>
      </c>
      <c r="E1675" s="168"/>
      <c r="F1675" s="171"/>
      <c r="G1675" s="170"/>
      <c r="H1675" s="177"/>
      <c r="I1675" s="171"/>
      <c r="J1675" s="171"/>
      <c r="K1675" s="166" t="str">
        <f ca="1">IFERROR(VLOOKUP(C1675,' Disaggregation - Section E '!A$618:N879,3,0),"")</f>
        <v/>
      </c>
      <c r="L1675" s="166"/>
      <c r="M1675" s="166"/>
      <c r="N1675" s="171"/>
      <c r="O1675" s="171"/>
      <c r="P1675" s="171"/>
    </row>
    <row r="1676" spans="1:16">
      <c r="A1676" s="166" t="b">
        <v>0</v>
      </c>
      <c r="B1676" s="166"/>
      <c r="C1676" s="166" t="s">
        <v>4162</v>
      </c>
      <c r="D1676" s="177">
        <v>13</v>
      </c>
      <c r="E1676" s="168"/>
      <c r="F1676" s="171"/>
      <c r="G1676" s="170"/>
      <c r="H1676" s="177"/>
      <c r="I1676" s="171"/>
      <c r="J1676" s="171"/>
      <c r="K1676" s="166" t="str">
        <f ca="1">IFERROR(VLOOKUP(C1676,' Disaggregation - Section E '!A$618:N880,3,0),"")</f>
        <v/>
      </c>
      <c r="L1676" s="166"/>
      <c r="M1676" s="166"/>
      <c r="N1676" s="171"/>
      <c r="O1676" s="171"/>
      <c r="P1676" s="171"/>
    </row>
    <row r="1677" spans="1:16">
      <c r="A1677" s="166" t="b">
        <v>0</v>
      </c>
      <c r="B1677" s="166"/>
      <c r="C1677" s="166" t="s">
        <v>4163</v>
      </c>
      <c r="D1677" s="177">
        <v>13</v>
      </c>
      <c r="E1677" s="168"/>
      <c r="F1677" s="171"/>
      <c r="G1677" s="170"/>
      <c r="H1677" s="177"/>
      <c r="I1677" s="171"/>
      <c r="J1677" s="171"/>
      <c r="K1677" s="166" t="str">
        <f ca="1">IFERROR(VLOOKUP(C1677,' Disaggregation - Section E '!A$618:N881,3,0),"")</f>
        <v/>
      </c>
      <c r="L1677" s="166"/>
      <c r="M1677" s="166"/>
      <c r="N1677" s="171"/>
      <c r="O1677" s="171"/>
      <c r="P1677" s="171"/>
    </row>
    <row r="1678" spans="1:16">
      <c r="A1678" s="166" t="b">
        <v>0</v>
      </c>
      <c r="B1678" s="166"/>
      <c r="C1678" s="166" t="s">
        <v>4164</v>
      </c>
      <c r="D1678" s="177">
        <v>13</v>
      </c>
      <c r="E1678" s="168"/>
      <c r="F1678" s="171"/>
      <c r="G1678" s="170"/>
      <c r="H1678" s="177"/>
      <c r="I1678" s="171"/>
      <c r="J1678" s="171"/>
      <c r="K1678" s="166" t="str">
        <f ca="1">IFERROR(VLOOKUP(C1678,' Disaggregation - Section E '!A$618:N882,3,0),"")</f>
        <v/>
      </c>
      <c r="L1678" s="166"/>
      <c r="M1678" s="166"/>
      <c r="N1678" s="171"/>
      <c r="O1678" s="171"/>
      <c r="P1678" s="171"/>
    </row>
    <row r="1679" spans="1:16">
      <c r="A1679" s="166" t="b">
        <v>0</v>
      </c>
      <c r="B1679" s="166"/>
      <c r="C1679" s="166" t="s">
        <v>4165</v>
      </c>
      <c r="D1679" s="177">
        <v>13</v>
      </c>
      <c r="E1679" s="168"/>
      <c r="F1679" s="171"/>
      <c r="G1679" s="170"/>
      <c r="H1679" s="177"/>
      <c r="I1679" s="171"/>
      <c r="J1679" s="171"/>
      <c r="K1679" s="166" t="str">
        <f ca="1">IFERROR(VLOOKUP(C1679,' Disaggregation - Section E '!A$618:N883,3,0),"")</f>
        <v/>
      </c>
      <c r="L1679" s="166"/>
      <c r="M1679" s="166"/>
      <c r="N1679" s="171"/>
      <c r="O1679" s="171"/>
      <c r="P1679" s="171"/>
    </row>
    <row r="1680" spans="1:16">
      <c r="A1680" s="166" t="b">
        <v>0</v>
      </c>
      <c r="B1680" s="166"/>
      <c r="C1680" s="166" t="s">
        <v>4166</v>
      </c>
      <c r="D1680" s="177">
        <v>14</v>
      </c>
      <c r="E1680" s="168"/>
      <c r="F1680" s="171"/>
      <c r="G1680" s="170"/>
      <c r="H1680" s="177"/>
      <c r="I1680" s="171"/>
      <c r="J1680" s="171"/>
      <c r="K1680" s="166" t="str">
        <f ca="1">IFERROR(VLOOKUP(C1680,' Disaggregation - Section E '!A$618:N884,3,0),"")</f>
        <v/>
      </c>
      <c r="L1680" s="166"/>
      <c r="M1680" s="166"/>
      <c r="N1680" s="171"/>
      <c r="O1680" s="171"/>
      <c r="P1680" s="171"/>
    </row>
    <row r="1681" spans="1:16">
      <c r="A1681" s="166" t="b">
        <v>0</v>
      </c>
      <c r="B1681" s="166"/>
      <c r="C1681" s="166" t="s">
        <v>4167</v>
      </c>
      <c r="D1681" s="177">
        <v>14</v>
      </c>
      <c r="E1681" s="168"/>
      <c r="F1681" s="171"/>
      <c r="G1681" s="170"/>
      <c r="H1681" s="177"/>
      <c r="I1681" s="171"/>
      <c r="J1681" s="171"/>
      <c r="K1681" s="166" t="str">
        <f ca="1">IFERROR(VLOOKUP(C1681,' Disaggregation - Section E '!A$618:N885,3,0),"")</f>
        <v/>
      </c>
      <c r="L1681" s="166"/>
      <c r="M1681" s="166"/>
      <c r="N1681" s="171"/>
      <c r="O1681" s="171"/>
      <c r="P1681" s="171"/>
    </row>
    <row r="1682" spans="1:16">
      <c r="A1682" s="166" t="b">
        <v>0</v>
      </c>
      <c r="B1682" s="166"/>
      <c r="C1682" s="166" t="s">
        <v>4168</v>
      </c>
      <c r="D1682" s="177">
        <v>14</v>
      </c>
      <c r="E1682" s="168"/>
      <c r="F1682" s="171"/>
      <c r="G1682" s="170"/>
      <c r="H1682" s="177"/>
      <c r="I1682" s="171"/>
      <c r="J1682" s="171"/>
      <c r="K1682" s="166" t="str">
        <f ca="1">IFERROR(VLOOKUP(C1682,' Disaggregation - Section E '!A$618:N886,3,0),"")</f>
        <v/>
      </c>
      <c r="L1682" s="166"/>
      <c r="M1682" s="166"/>
      <c r="N1682" s="171"/>
      <c r="O1682" s="171"/>
      <c r="P1682" s="171"/>
    </row>
    <row r="1683" spans="1:16">
      <c r="A1683" s="166" t="b">
        <v>0</v>
      </c>
      <c r="B1683" s="166"/>
      <c r="C1683" s="166" t="s">
        <v>4169</v>
      </c>
      <c r="D1683" s="177">
        <v>14</v>
      </c>
      <c r="E1683" s="168"/>
      <c r="F1683" s="171"/>
      <c r="G1683" s="170"/>
      <c r="H1683" s="177"/>
      <c r="I1683" s="171"/>
      <c r="J1683" s="171"/>
      <c r="K1683" s="166" t="str">
        <f ca="1">IFERROR(VLOOKUP(C1683,' Disaggregation - Section E '!A$618:N887,3,0),"")</f>
        <v/>
      </c>
      <c r="L1683" s="166"/>
      <c r="M1683" s="166"/>
      <c r="N1683" s="171"/>
      <c r="O1683" s="171"/>
      <c r="P1683" s="171"/>
    </row>
    <row r="1684" spans="1:16">
      <c r="A1684" s="166" t="b">
        <v>0</v>
      </c>
      <c r="B1684" s="166"/>
      <c r="C1684" s="166" t="s">
        <v>4170</v>
      </c>
      <c r="D1684" s="177">
        <v>14</v>
      </c>
      <c r="E1684" s="168"/>
      <c r="F1684" s="171"/>
      <c r="G1684" s="170"/>
      <c r="H1684" s="177"/>
      <c r="I1684" s="171"/>
      <c r="J1684" s="171"/>
      <c r="K1684" s="166" t="str">
        <f ca="1">IFERROR(VLOOKUP(C1684,' Disaggregation - Section E '!A$618:N888,3,0),"")</f>
        <v/>
      </c>
      <c r="L1684" s="166"/>
      <c r="M1684" s="166"/>
      <c r="N1684" s="171"/>
      <c r="O1684" s="171"/>
      <c r="P1684" s="171"/>
    </row>
    <row r="1685" spans="1:16">
      <c r="A1685" s="166" t="b">
        <v>0</v>
      </c>
      <c r="B1685" s="166"/>
      <c r="C1685" s="166" t="s">
        <v>4171</v>
      </c>
      <c r="D1685" s="177">
        <v>14</v>
      </c>
      <c r="E1685" s="168"/>
      <c r="F1685" s="171"/>
      <c r="G1685" s="170"/>
      <c r="H1685" s="177"/>
      <c r="I1685" s="171"/>
      <c r="J1685" s="171"/>
      <c r="K1685" s="166" t="str">
        <f ca="1">IFERROR(VLOOKUP(C1685,' Disaggregation - Section E '!A$618:N889,3,0),"")</f>
        <v/>
      </c>
      <c r="L1685" s="166"/>
      <c r="M1685" s="166"/>
      <c r="N1685" s="171"/>
      <c r="O1685" s="171"/>
      <c r="P1685" s="171"/>
    </row>
    <row r="1686" spans="1:16">
      <c r="A1686" s="166" t="b">
        <v>0</v>
      </c>
      <c r="B1686" s="166"/>
      <c r="C1686" s="166" t="s">
        <v>4172</v>
      </c>
      <c r="D1686" s="177">
        <v>14</v>
      </c>
      <c r="E1686" s="168"/>
      <c r="F1686" s="171"/>
      <c r="G1686" s="170"/>
      <c r="H1686" s="177"/>
      <c r="I1686" s="171"/>
      <c r="J1686" s="171"/>
      <c r="K1686" s="166" t="str">
        <f ca="1">IFERROR(VLOOKUP(C1686,' Disaggregation - Section E '!A$618:N890,3,0),"")</f>
        <v/>
      </c>
      <c r="L1686" s="166"/>
      <c r="M1686" s="166"/>
      <c r="N1686" s="171"/>
      <c r="O1686" s="171"/>
      <c r="P1686" s="171"/>
    </row>
    <row r="1687" spans="1:16">
      <c r="A1687" s="166" t="b">
        <v>0</v>
      </c>
      <c r="B1687" s="166"/>
      <c r="C1687" s="166" t="s">
        <v>4173</v>
      </c>
      <c r="D1687" s="177">
        <v>14</v>
      </c>
      <c r="E1687" s="168"/>
      <c r="F1687" s="171"/>
      <c r="G1687" s="170"/>
      <c r="H1687" s="177"/>
      <c r="I1687" s="171"/>
      <c r="J1687" s="171"/>
      <c r="K1687" s="166" t="str">
        <f ca="1">IFERROR(VLOOKUP(C1687,' Disaggregation - Section E '!A$618:N891,3,0),"")</f>
        <v/>
      </c>
      <c r="L1687" s="166"/>
      <c r="M1687" s="166"/>
      <c r="N1687" s="171"/>
      <c r="O1687" s="171"/>
      <c r="P1687" s="171"/>
    </row>
    <row r="1688" spans="1:16">
      <c r="A1688" s="166" t="b">
        <v>0</v>
      </c>
      <c r="B1688" s="166"/>
      <c r="C1688" s="166" t="s">
        <v>4174</v>
      </c>
      <c r="D1688" s="177">
        <v>14</v>
      </c>
      <c r="E1688" s="168"/>
      <c r="F1688" s="171"/>
      <c r="G1688" s="170"/>
      <c r="H1688" s="177"/>
      <c r="I1688" s="171"/>
      <c r="J1688" s="171"/>
      <c r="K1688" s="166" t="str">
        <f ca="1">IFERROR(VLOOKUP(C1688,' Disaggregation - Section E '!A$618:N892,3,0),"")</f>
        <v/>
      </c>
      <c r="L1688" s="166"/>
      <c r="M1688" s="166"/>
      <c r="N1688" s="171"/>
      <c r="O1688" s="171"/>
      <c r="P1688" s="171"/>
    </row>
    <row r="1689" spans="1:16">
      <c r="A1689" s="166" t="b">
        <v>0</v>
      </c>
      <c r="B1689" s="166"/>
      <c r="C1689" s="166" t="s">
        <v>4175</v>
      </c>
      <c r="D1689" s="177">
        <v>14</v>
      </c>
      <c r="E1689" s="168"/>
      <c r="F1689" s="171"/>
      <c r="G1689" s="170"/>
      <c r="H1689" s="177"/>
      <c r="I1689" s="171"/>
      <c r="J1689" s="171"/>
      <c r="K1689" s="166" t="str">
        <f ca="1">IFERROR(VLOOKUP(C1689,' Disaggregation - Section E '!A$618:N893,3,0),"")</f>
        <v/>
      </c>
      <c r="L1689" s="166"/>
      <c r="M1689" s="166"/>
      <c r="N1689" s="171"/>
      <c r="O1689" s="171"/>
      <c r="P1689" s="171"/>
    </row>
    <row r="1690" spans="1:16">
      <c r="A1690" s="166" t="b">
        <v>0</v>
      </c>
      <c r="B1690" s="166"/>
      <c r="C1690" s="166" t="s">
        <v>4176</v>
      </c>
      <c r="D1690" s="177">
        <v>14</v>
      </c>
      <c r="E1690" s="168"/>
      <c r="F1690" s="171"/>
      <c r="G1690" s="170"/>
      <c r="H1690" s="177"/>
      <c r="I1690" s="171"/>
      <c r="J1690" s="171"/>
      <c r="K1690" s="166" t="str">
        <f ca="1">IFERROR(VLOOKUP(C1690,' Disaggregation - Section E '!A$618:N894,3,0),"")</f>
        <v/>
      </c>
      <c r="L1690" s="166"/>
      <c r="M1690" s="166"/>
      <c r="N1690" s="171"/>
      <c r="O1690" s="171"/>
      <c r="P1690" s="171"/>
    </row>
    <row r="1691" spans="1:16">
      <c r="A1691" s="166" t="b">
        <v>0</v>
      </c>
      <c r="B1691" s="166"/>
      <c r="C1691" s="166" t="s">
        <v>4177</v>
      </c>
      <c r="D1691" s="177">
        <v>14</v>
      </c>
      <c r="E1691" s="168"/>
      <c r="F1691" s="171"/>
      <c r="G1691" s="170"/>
      <c r="H1691" s="177"/>
      <c r="I1691" s="171"/>
      <c r="J1691" s="171"/>
      <c r="K1691" s="166" t="str">
        <f ca="1">IFERROR(VLOOKUP(C1691,' Disaggregation - Section E '!A$618:N895,3,0),"")</f>
        <v/>
      </c>
      <c r="L1691" s="166"/>
      <c r="M1691" s="166"/>
      <c r="N1691" s="171"/>
      <c r="O1691" s="171"/>
      <c r="P1691" s="171"/>
    </row>
    <row r="1692" spans="1:16">
      <c r="A1692" s="166" t="b">
        <v>0</v>
      </c>
      <c r="B1692" s="166"/>
      <c r="C1692" s="166" t="s">
        <v>4178</v>
      </c>
      <c r="D1692" s="177">
        <v>14</v>
      </c>
      <c r="E1692" s="168"/>
      <c r="F1692" s="171"/>
      <c r="G1692" s="170"/>
      <c r="H1692" s="177"/>
      <c r="I1692" s="171"/>
      <c r="J1692" s="171"/>
      <c r="K1692" s="166" t="str">
        <f ca="1">IFERROR(VLOOKUP(C1692,' Disaggregation - Section E '!A$618:N896,3,0),"")</f>
        <v/>
      </c>
      <c r="L1692" s="166"/>
      <c r="M1692" s="166"/>
      <c r="N1692" s="171"/>
      <c r="O1692" s="171"/>
      <c r="P1692" s="171"/>
    </row>
    <row r="1693" spans="1:16">
      <c r="A1693" s="166" t="b">
        <v>0</v>
      </c>
      <c r="B1693" s="166"/>
      <c r="C1693" s="166" t="s">
        <v>4179</v>
      </c>
      <c r="D1693" s="177">
        <v>14</v>
      </c>
      <c r="E1693" s="168"/>
      <c r="F1693" s="171"/>
      <c r="G1693" s="170"/>
      <c r="H1693" s="177"/>
      <c r="I1693" s="171"/>
      <c r="J1693" s="171"/>
      <c r="K1693" s="166" t="str">
        <f ca="1">IFERROR(VLOOKUP(C1693,' Disaggregation - Section E '!A$618:N897,3,0),"")</f>
        <v/>
      </c>
      <c r="L1693" s="166"/>
      <c r="M1693" s="166"/>
      <c r="N1693" s="171"/>
      <c r="O1693" s="171"/>
      <c r="P1693" s="171"/>
    </row>
    <row r="1694" spans="1:16">
      <c r="A1694" s="166" t="b">
        <v>0</v>
      </c>
      <c r="B1694" s="166"/>
      <c r="C1694" s="166" t="s">
        <v>4180</v>
      </c>
      <c r="D1694" s="177">
        <v>14</v>
      </c>
      <c r="E1694" s="168"/>
      <c r="F1694" s="171"/>
      <c r="G1694" s="170"/>
      <c r="H1694" s="177"/>
      <c r="I1694" s="171"/>
      <c r="J1694" s="171"/>
      <c r="K1694" s="166" t="str">
        <f ca="1">IFERROR(VLOOKUP(C1694,' Disaggregation - Section E '!A$618:N898,3,0),"")</f>
        <v/>
      </c>
      <c r="L1694" s="166"/>
      <c r="M1694" s="166"/>
      <c r="N1694" s="171"/>
      <c r="O1694" s="171"/>
      <c r="P1694" s="171"/>
    </row>
    <row r="1695" spans="1:16">
      <c r="A1695" s="166" t="b">
        <v>0</v>
      </c>
      <c r="B1695" s="166"/>
      <c r="C1695" s="166" t="s">
        <v>4181</v>
      </c>
      <c r="D1695" s="177">
        <v>14</v>
      </c>
      <c r="E1695" s="168"/>
      <c r="F1695" s="171"/>
      <c r="G1695" s="170"/>
      <c r="H1695" s="177"/>
      <c r="I1695" s="171"/>
      <c r="J1695" s="171"/>
      <c r="K1695" s="166" t="str">
        <f ca="1">IFERROR(VLOOKUP(C1695,' Disaggregation - Section E '!A$618:N899,3,0),"")</f>
        <v/>
      </c>
      <c r="L1695" s="166"/>
      <c r="M1695" s="166"/>
      <c r="N1695" s="171"/>
      <c r="O1695" s="171"/>
      <c r="P1695" s="171"/>
    </row>
    <row r="1696" spans="1:16">
      <c r="A1696" s="166" t="b">
        <v>0</v>
      </c>
      <c r="B1696" s="166"/>
      <c r="C1696" s="166" t="s">
        <v>4182</v>
      </c>
      <c r="D1696" s="177">
        <v>14</v>
      </c>
      <c r="E1696" s="168"/>
      <c r="F1696" s="171"/>
      <c r="G1696" s="170"/>
      <c r="H1696" s="177"/>
      <c r="I1696" s="171"/>
      <c r="J1696" s="171"/>
      <c r="K1696" s="166" t="str">
        <f ca="1">IFERROR(VLOOKUP(C1696,' Disaggregation - Section E '!A$618:N900,3,0),"")</f>
        <v/>
      </c>
      <c r="L1696" s="166"/>
      <c r="M1696" s="166"/>
      <c r="N1696" s="171"/>
      <c r="O1696" s="171"/>
      <c r="P1696" s="171"/>
    </row>
    <row r="1697" spans="1:16">
      <c r="A1697" s="166" t="b">
        <v>0</v>
      </c>
      <c r="B1697" s="166"/>
      <c r="C1697" s="166" t="s">
        <v>4183</v>
      </c>
      <c r="D1697" s="177">
        <v>14</v>
      </c>
      <c r="E1697" s="168"/>
      <c r="F1697" s="171"/>
      <c r="G1697" s="170"/>
      <c r="H1697" s="177"/>
      <c r="I1697" s="171"/>
      <c r="J1697" s="171"/>
      <c r="K1697" s="166" t="str">
        <f ca="1">IFERROR(VLOOKUP(C1697,' Disaggregation - Section E '!A$618:N901,3,0),"")</f>
        <v/>
      </c>
      <c r="L1697" s="166"/>
      <c r="M1697" s="166"/>
      <c r="N1697" s="171"/>
      <c r="O1697" s="171"/>
      <c r="P1697" s="171"/>
    </row>
    <row r="1698" spans="1:16">
      <c r="A1698" s="166" t="b">
        <v>0</v>
      </c>
      <c r="B1698" s="166"/>
      <c r="C1698" s="166" t="s">
        <v>4184</v>
      </c>
      <c r="D1698" s="177">
        <v>14</v>
      </c>
      <c r="E1698" s="168"/>
      <c r="F1698" s="171"/>
      <c r="G1698" s="170"/>
      <c r="H1698" s="177"/>
      <c r="I1698" s="171"/>
      <c r="J1698" s="171"/>
      <c r="K1698" s="166" t="str">
        <f ca="1">IFERROR(VLOOKUP(C1698,' Disaggregation - Section E '!A$618:N902,3,0),"")</f>
        <v/>
      </c>
      <c r="L1698" s="166"/>
      <c r="M1698" s="166"/>
      <c r="N1698" s="171"/>
      <c r="O1698" s="171"/>
      <c r="P1698" s="171"/>
    </row>
    <row r="1699" spans="1:16">
      <c r="A1699" s="166" t="b">
        <v>0</v>
      </c>
      <c r="B1699" s="166"/>
      <c r="C1699" s="166" t="s">
        <v>4185</v>
      </c>
      <c r="D1699" s="177">
        <v>14</v>
      </c>
      <c r="E1699" s="168"/>
      <c r="F1699" s="171"/>
      <c r="G1699" s="170"/>
      <c r="H1699" s="177"/>
      <c r="I1699" s="171"/>
      <c r="J1699" s="171"/>
      <c r="K1699" s="166" t="str">
        <f ca="1">IFERROR(VLOOKUP(C1699,' Disaggregation - Section E '!A$618:N903,3,0),"")</f>
        <v/>
      </c>
      <c r="L1699" s="166"/>
      <c r="M1699" s="166"/>
      <c r="N1699" s="171"/>
      <c r="O1699" s="171"/>
      <c r="P1699" s="171"/>
    </row>
    <row r="1700" spans="1:16">
      <c r="A1700" s="166" t="b">
        <v>0</v>
      </c>
      <c r="B1700" s="166"/>
      <c r="C1700" s="166" t="s">
        <v>4186</v>
      </c>
      <c r="D1700" s="177">
        <v>15</v>
      </c>
      <c r="E1700" s="168"/>
      <c r="F1700" s="171"/>
      <c r="G1700" s="170"/>
      <c r="H1700" s="177"/>
      <c r="I1700" s="171"/>
      <c r="J1700" s="171"/>
      <c r="K1700" s="166" t="str">
        <f ca="1">IFERROR(VLOOKUP(C1700,' Disaggregation - Section E '!A$618:N904,3,0),"")</f>
        <v/>
      </c>
      <c r="L1700" s="166"/>
      <c r="M1700" s="166"/>
      <c r="N1700" s="171"/>
      <c r="O1700" s="171"/>
      <c r="P1700" s="171"/>
    </row>
    <row r="1701" spans="1:16">
      <c r="A1701" s="166" t="b">
        <v>0</v>
      </c>
      <c r="B1701" s="166"/>
      <c r="C1701" s="166" t="s">
        <v>4187</v>
      </c>
      <c r="D1701" s="177">
        <v>15</v>
      </c>
      <c r="E1701" s="168"/>
      <c r="F1701" s="171"/>
      <c r="G1701" s="170"/>
      <c r="H1701" s="177"/>
      <c r="I1701" s="171"/>
      <c r="J1701" s="171"/>
      <c r="K1701" s="166" t="str">
        <f ca="1">IFERROR(VLOOKUP(C1701,' Disaggregation - Section E '!A$618:N905,3,0),"")</f>
        <v/>
      </c>
      <c r="L1701" s="166"/>
      <c r="M1701" s="166"/>
      <c r="N1701" s="171"/>
      <c r="O1701" s="171"/>
      <c r="P1701" s="171"/>
    </row>
    <row r="1702" spans="1:16">
      <c r="A1702" s="166" t="b">
        <v>0</v>
      </c>
      <c r="B1702" s="166"/>
      <c r="C1702" s="166" t="s">
        <v>4188</v>
      </c>
      <c r="D1702" s="177">
        <v>15</v>
      </c>
      <c r="E1702" s="168"/>
      <c r="F1702" s="171"/>
      <c r="G1702" s="170"/>
      <c r="H1702" s="177"/>
      <c r="I1702" s="171"/>
      <c r="J1702" s="171"/>
      <c r="K1702" s="166" t="str">
        <f ca="1">IFERROR(VLOOKUP(C1702,' Disaggregation - Section E '!A$618:N906,3,0),"")</f>
        <v/>
      </c>
      <c r="L1702" s="166"/>
      <c r="M1702" s="166"/>
      <c r="N1702" s="171"/>
      <c r="O1702" s="171"/>
      <c r="P1702" s="171"/>
    </row>
    <row r="1703" spans="1:16">
      <c r="A1703" s="166" t="b">
        <v>0</v>
      </c>
      <c r="B1703" s="166"/>
      <c r="C1703" s="166" t="s">
        <v>4189</v>
      </c>
      <c r="D1703" s="177">
        <v>15</v>
      </c>
      <c r="E1703" s="168"/>
      <c r="F1703" s="171"/>
      <c r="G1703" s="170"/>
      <c r="H1703" s="177"/>
      <c r="I1703" s="171"/>
      <c r="J1703" s="171"/>
      <c r="K1703" s="166" t="str">
        <f ca="1">IFERROR(VLOOKUP(C1703,' Disaggregation - Section E '!A$618:N907,3,0),"")</f>
        <v/>
      </c>
      <c r="L1703" s="166"/>
      <c r="M1703" s="166"/>
      <c r="N1703" s="171"/>
      <c r="O1703" s="171"/>
      <c r="P1703" s="171"/>
    </row>
    <row r="1704" spans="1:16">
      <c r="A1704" s="166" t="b">
        <v>0</v>
      </c>
      <c r="B1704" s="166"/>
      <c r="C1704" s="166" t="s">
        <v>4190</v>
      </c>
      <c r="D1704" s="177">
        <v>15</v>
      </c>
      <c r="E1704" s="168"/>
      <c r="F1704" s="171"/>
      <c r="G1704" s="170"/>
      <c r="H1704" s="177"/>
      <c r="I1704" s="171"/>
      <c r="J1704" s="171"/>
      <c r="K1704" s="166" t="str">
        <f ca="1">IFERROR(VLOOKUP(C1704,' Disaggregation - Section E '!A$618:N908,3,0),"")</f>
        <v/>
      </c>
      <c r="L1704" s="166"/>
      <c r="M1704" s="166"/>
      <c r="N1704" s="171"/>
      <c r="O1704" s="171"/>
      <c r="P1704" s="171"/>
    </row>
    <row r="1705" spans="1:16">
      <c r="A1705" s="166" t="b">
        <v>0</v>
      </c>
      <c r="B1705" s="166"/>
      <c r="C1705" s="166" t="s">
        <v>4191</v>
      </c>
      <c r="D1705" s="177">
        <v>15</v>
      </c>
      <c r="E1705" s="168"/>
      <c r="F1705" s="171"/>
      <c r="G1705" s="170"/>
      <c r="H1705" s="177"/>
      <c r="I1705" s="171"/>
      <c r="J1705" s="171"/>
      <c r="K1705" s="166" t="str">
        <f ca="1">IFERROR(VLOOKUP(C1705,' Disaggregation - Section E '!A$618:N909,3,0),"")</f>
        <v/>
      </c>
      <c r="L1705" s="166"/>
      <c r="M1705" s="166"/>
      <c r="N1705" s="171"/>
      <c r="O1705" s="171"/>
      <c r="P1705" s="171"/>
    </row>
    <row r="1706" spans="1:16">
      <c r="A1706" s="166" t="b">
        <v>0</v>
      </c>
      <c r="B1706" s="166"/>
      <c r="C1706" s="166" t="s">
        <v>4192</v>
      </c>
      <c r="D1706" s="177">
        <v>15</v>
      </c>
      <c r="E1706" s="168"/>
      <c r="F1706" s="171"/>
      <c r="G1706" s="170"/>
      <c r="H1706" s="177"/>
      <c r="I1706" s="171"/>
      <c r="J1706" s="171"/>
      <c r="K1706" s="166" t="str">
        <f ca="1">IFERROR(VLOOKUP(C1706,' Disaggregation - Section E '!A$618:N910,3,0),"")</f>
        <v/>
      </c>
      <c r="L1706" s="166"/>
      <c r="M1706" s="166"/>
      <c r="N1706" s="171"/>
      <c r="O1706" s="171"/>
      <c r="P1706" s="171"/>
    </row>
    <row r="1707" spans="1:16">
      <c r="A1707" s="166" t="b">
        <v>0</v>
      </c>
      <c r="B1707" s="166"/>
      <c r="C1707" s="166" t="s">
        <v>4193</v>
      </c>
      <c r="D1707" s="177">
        <v>15</v>
      </c>
      <c r="E1707" s="168"/>
      <c r="F1707" s="171"/>
      <c r="G1707" s="170"/>
      <c r="H1707" s="177"/>
      <c r="I1707" s="171"/>
      <c r="J1707" s="171"/>
      <c r="K1707" s="166" t="str">
        <f ca="1">IFERROR(VLOOKUP(C1707,' Disaggregation - Section E '!A$618:N911,3,0),"")</f>
        <v/>
      </c>
      <c r="L1707" s="166"/>
      <c r="M1707" s="166"/>
      <c r="N1707" s="171"/>
      <c r="O1707" s="171"/>
      <c r="P1707" s="171"/>
    </row>
    <row r="1708" spans="1:16">
      <c r="A1708" s="166" t="b">
        <v>0</v>
      </c>
      <c r="B1708" s="166"/>
      <c r="C1708" s="166" t="s">
        <v>4194</v>
      </c>
      <c r="D1708" s="177">
        <v>15</v>
      </c>
      <c r="E1708" s="168"/>
      <c r="F1708" s="171"/>
      <c r="G1708" s="170"/>
      <c r="H1708" s="177"/>
      <c r="I1708" s="171"/>
      <c r="J1708" s="171"/>
      <c r="K1708" s="166" t="str">
        <f ca="1">IFERROR(VLOOKUP(C1708,' Disaggregation - Section E '!A$618:N912,3,0),"")</f>
        <v/>
      </c>
      <c r="L1708" s="166"/>
      <c r="M1708" s="166"/>
      <c r="N1708" s="171"/>
      <c r="O1708" s="171"/>
      <c r="P1708" s="171"/>
    </row>
    <row r="1709" spans="1:16">
      <c r="A1709" s="166" t="b">
        <v>0</v>
      </c>
      <c r="B1709" s="166"/>
      <c r="C1709" s="166" t="s">
        <v>4195</v>
      </c>
      <c r="D1709" s="177">
        <v>15</v>
      </c>
      <c r="E1709" s="168"/>
      <c r="F1709" s="171"/>
      <c r="G1709" s="170"/>
      <c r="H1709" s="177"/>
      <c r="I1709" s="171"/>
      <c r="J1709" s="171"/>
      <c r="K1709" s="166" t="str">
        <f ca="1">IFERROR(VLOOKUP(C1709,' Disaggregation - Section E '!A$618:N913,3,0),"")</f>
        <v/>
      </c>
      <c r="L1709" s="166"/>
      <c r="M1709" s="166"/>
      <c r="N1709" s="171"/>
      <c r="O1709" s="171"/>
      <c r="P1709" s="171"/>
    </row>
    <row r="1710" spans="1:16">
      <c r="A1710" s="166" t="b">
        <v>0</v>
      </c>
      <c r="B1710" s="166"/>
      <c r="C1710" s="166" t="s">
        <v>4196</v>
      </c>
      <c r="D1710" s="177">
        <v>15</v>
      </c>
      <c r="E1710" s="168"/>
      <c r="F1710" s="171"/>
      <c r="G1710" s="170"/>
      <c r="H1710" s="177"/>
      <c r="I1710" s="171"/>
      <c r="J1710" s="171"/>
      <c r="K1710" s="166" t="str">
        <f ca="1">IFERROR(VLOOKUP(C1710,' Disaggregation - Section E '!A$618:N914,3,0),"")</f>
        <v/>
      </c>
      <c r="L1710" s="166"/>
      <c r="M1710" s="166"/>
      <c r="N1710" s="171"/>
      <c r="O1710" s="171"/>
      <c r="P1710" s="171"/>
    </row>
    <row r="1711" spans="1:16">
      <c r="A1711" s="166" t="b">
        <v>0</v>
      </c>
      <c r="B1711" s="166"/>
      <c r="C1711" s="166" t="s">
        <v>4197</v>
      </c>
      <c r="D1711" s="177">
        <v>15</v>
      </c>
      <c r="E1711" s="168"/>
      <c r="F1711" s="171"/>
      <c r="G1711" s="170"/>
      <c r="H1711" s="177"/>
      <c r="I1711" s="171"/>
      <c r="J1711" s="171"/>
      <c r="K1711" s="166" t="str">
        <f ca="1">IFERROR(VLOOKUP(C1711,' Disaggregation - Section E '!A$618:N915,3,0),"")</f>
        <v/>
      </c>
      <c r="L1711" s="166"/>
      <c r="M1711" s="166"/>
      <c r="N1711" s="171"/>
      <c r="O1711" s="171"/>
      <c r="P1711" s="171"/>
    </row>
    <row r="1712" spans="1:16">
      <c r="A1712" s="166" t="b">
        <v>0</v>
      </c>
      <c r="B1712" s="166"/>
      <c r="C1712" s="166" t="s">
        <v>4198</v>
      </c>
      <c r="D1712" s="177">
        <v>15</v>
      </c>
      <c r="E1712" s="168"/>
      <c r="F1712" s="171"/>
      <c r="G1712" s="170"/>
      <c r="H1712" s="177"/>
      <c r="I1712" s="171"/>
      <c r="J1712" s="171"/>
      <c r="K1712" s="166" t="str">
        <f ca="1">IFERROR(VLOOKUP(C1712,' Disaggregation - Section E '!A$618:N916,3,0),"")</f>
        <v/>
      </c>
      <c r="L1712" s="166"/>
      <c r="M1712" s="166"/>
      <c r="N1712" s="171"/>
      <c r="O1712" s="171"/>
      <c r="P1712" s="171"/>
    </row>
    <row r="1713" spans="1:16">
      <c r="A1713" s="166" t="b">
        <v>0</v>
      </c>
      <c r="B1713" s="166"/>
      <c r="C1713" s="166" t="s">
        <v>4199</v>
      </c>
      <c r="D1713" s="177">
        <v>15</v>
      </c>
      <c r="E1713" s="168"/>
      <c r="F1713" s="171"/>
      <c r="G1713" s="170"/>
      <c r="H1713" s="177"/>
      <c r="I1713" s="171"/>
      <c r="J1713" s="171"/>
      <c r="K1713" s="166" t="str">
        <f ca="1">IFERROR(VLOOKUP(C1713,' Disaggregation - Section E '!A$618:N917,3,0),"")</f>
        <v/>
      </c>
      <c r="L1713" s="166"/>
      <c r="M1713" s="166"/>
      <c r="N1713" s="171"/>
      <c r="O1713" s="171"/>
      <c r="P1713" s="171"/>
    </row>
    <row r="1714" spans="1:16">
      <c r="A1714" s="166" t="b">
        <v>0</v>
      </c>
      <c r="B1714" s="166"/>
      <c r="C1714" s="166" t="s">
        <v>4200</v>
      </c>
      <c r="D1714" s="177">
        <v>15</v>
      </c>
      <c r="E1714" s="168"/>
      <c r="F1714" s="171"/>
      <c r="G1714" s="170"/>
      <c r="H1714" s="177"/>
      <c r="I1714" s="171"/>
      <c r="J1714" s="171"/>
      <c r="K1714" s="166" t="str">
        <f ca="1">IFERROR(VLOOKUP(C1714,' Disaggregation - Section E '!A$618:N918,3,0),"")</f>
        <v/>
      </c>
      <c r="L1714" s="166"/>
      <c r="M1714" s="166"/>
      <c r="N1714" s="171"/>
      <c r="O1714" s="171"/>
      <c r="P1714" s="171"/>
    </row>
    <row r="1715" spans="1:16">
      <c r="A1715" s="166" t="b">
        <v>0</v>
      </c>
      <c r="B1715" s="166"/>
      <c r="C1715" s="166" t="s">
        <v>4201</v>
      </c>
      <c r="D1715" s="177">
        <v>15</v>
      </c>
      <c r="E1715" s="168"/>
      <c r="F1715" s="171"/>
      <c r="G1715" s="170"/>
      <c r="H1715" s="177"/>
      <c r="I1715" s="171"/>
      <c r="J1715" s="171"/>
      <c r="K1715" s="166" t="str">
        <f ca="1">IFERROR(VLOOKUP(C1715,' Disaggregation - Section E '!A$618:N919,3,0),"")</f>
        <v/>
      </c>
      <c r="L1715" s="166"/>
      <c r="M1715" s="166"/>
      <c r="N1715" s="171"/>
      <c r="O1715" s="171"/>
      <c r="P1715" s="171"/>
    </row>
    <row r="1716" spans="1:16">
      <c r="A1716" s="166" t="b">
        <v>0</v>
      </c>
      <c r="B1716" s="166"/>
      <c r="C1716" s="166" t="s">
        <v>4202</v>
      </c>
      <c r="D1716" s="177">
        <v>15</v>
      </c>
      <c r="E1716" s="168"/>
      <c r="F1716" s="171"/>
      <c r="G1716" s="170"/>
      <c r="H1716" s="177"/>
      <c r="I1716" s="171"/>
      <c r="J1716" s="171"/>
      <c r="K1716" s="166" t="str">
        <f ca="1">IFERROR(VLOOKUP(C1716,' Disaggregation - Section E '!A$618:N920,3,0),"")</f>
        <v/>
      </c>
      <c r="L1716" s="166"/>
      <c r="M1716" s="166"/>
      <c r="N1716" s="171"/>
      <c r="O1716" s="171"/>
      <c r="P1716" s="171"/>
    </row>
    <row r="1717" spans="1:16">
      <c r="A1717" s="166" t="b">
        <v>0</v>
      </c>
      <c r="B1717" s="166"/>
      <c r="C1717" s="166" t="s">
        <v>4203</v>
      </c>
      <c r="D1717" s="177">
        <v>15</v>
      </c>
      <c r="E1717" s="168"/>
      <c r="F1717" s="171"/>
      <c r="G1717" s="170"/>
      <c r="H1717" s="177"/>
      <c r="I1717" s="171"/>
      <c r="J1717" s="171"/>
      <c r="K1717" s="166" t="str">
        <f ca="1">IFERROR(VLOOKUP(C1717,' Disaggregation - Section E '!A$618:N921,3,0),"")</f>
        <v/>
      </c>
      <c r="L1717" s="166"/>
      <c r="M1717" s="166"/>
      <c r="N1717" s="171"/>
      <c r="O1717" s="171"/>
      <c r="P1717" s="171"/>
    </row>
    <row r="1718" spans="1:16">
      <c r="A1718" s="166" t="b">
        <v>0</v>
      </c>
      <c r="B1718" s="166"/>
      <c r="C1718" s="166" t="s">
        <v>4204</v>
      </c>
      <c r="D1718" s="177">
        <v>15</v>
      </c>
      <c r="E1718" s="168"/>
      <c r="F1718" s="171"/>
      <c r="G1718" s="170"/>
      <c r="H1718" s="177"/>
      <c r="I1718" s="171"/>
      <c r="J1718" s="171"/>
      <c r="K1718" s="166" t="str">
        <f ca="1">IFERROR(VLOOKUP(C1718,' Disaggregation - Section E '!A$618:N922,3,0),"")</f>
        <v/>
      </c>
      <c r="L1718" s="166"/>
      <c r="M1718" s="166"/>
      <c r="N1718" s="171"/>
      <c r="O1718" s="171"/>
      <c r="P1718" s="171"/>
    </row>
    <row r="1719" spans="1:16">
      <c r="A1719" s="166" t="b">
        <v>0</v>
      </c>
      <c r="B1719" s="166"/>
      <c r="C1719" s="166" t="s">
        <v>4205</v>
      </c>
      <c r="D1719" s="177">
        <v>15</v>
      </c>
      <c r="E1719" s="168"/>
      <c r="F1719" s="171"/>
      <c r="G1719" s="170"/>
      <c r="H1719" s="177"/>
      <c r="I1719" s="171"/>
      <c r="J1719" s="171"/>
      <c r="K1719" s="166" t="str">
        <f ca="1">IFERROR(VLOOKUP(C1719,' Disaggregation - Section E '!A$618:N923,3,0),"")</f>
        <v/>
      </c>
      <c r="L1719" s="166"/>
      <c r="M1719" s="166"/>
      <c r="N1719" s="171"/>
      <c r="O1719" s="171"/>
      <c r="P1719" s="171"/>
    </row>
    <row r="1720" spans="1:16">
      <c r="A1720" s="166" t="b">
        <v>0</v>
      </c>
      <c r="B1720" s="166"/>
      <c r="C1720" s="166" t="s">
        <v>4206</v>
      </c>
      <c r="D1720" s="177">
        <v>16</v>
      </c>
      <c r="E1720" s="168"/>
      <c r="F1720" s="171"/>
      <c r="G1720" s="170"/>
      <c r="H1720" s="177"/>
      <c r="I1720" s="171"/>
      <c r="J1720" s="171"/>
      <c r="K1720" s="166" t="str">
        <f ca="1">IFERROR(VLOOKUP(C1720,' Disaggregation - Section E '!A$618:N924,3,0),"")</f>
        <v/>
      </c>
      <c r="L1720" s="166"/>
      <c r="M1720" s="166"/>
      <c r="N1720" s="171"/>
      <c r="O1720" s="171"/>
      <c r="P1720" s="171"/>
    </row>
    <row r="1721" spans="1:16">
      <c r="A1721" s="166" t="b">
        <v>0</v>
      </c>
      <c r="B1721" s="166"/>
      <c r="C1721" s="166" t="s">
        <v>4207</v>
      </c>
      <c r="D1721" s="177">
        <v>16</v>
      </c>
      <c r="E1721" s="168"/>
      <c r="F1721" s="171"/>
      <c r="G1721" s="170"/>
      <c r="H1721" s="177"/>
      <c r="I1721" s="171"/>
      <c r="J1721" s="171"/>
      <c r="K1721" s="166" t="str">
        <f ca="1">IFERROR(VLOOKUP(C1721,' Disaggregation - Section E '!A$618:N925,3,0),"")</f>
        <v/>
      </c>
      <c r="L1721" s="166"/>
      <c r="M1721" s="166"/>
      <c r="N1721" s="171"/>
      <c r="O1721" s="171"/>
      <c r="P1721" s="171"/>
    </row>
    <row r="1722" spans="1:16">
      <c r="A1722" s="166" t="b">
        <v>0</v>
      </c>
      <c r="B1722" s="166"/>
      <c r="C1722" s="166" t="s">
        <v>4208</v>
      </c>
      <c r="D1722" s="177">
        <v>16</v>
      </c>
      <c r="E1722" s="168"/>
      <c r="F1722" s="171"/>
      <c r="G1722" s="170"/>
      <c r="H1722" s="177"/>
      <c r="I1722" s="171"/>
      <c r="J1722" s="171"/>
      <c r="K1722" s="166" t="str">
        <f ca="1">IFERROR(VLOOKUP(C1722,' Disaggregation - Section E '!A$618:N926,3,0),"")</f>
        <v/>
      </c>
      <c r="L1722" s="166"/>
      <c r="M1722" s="166"/>
      <c r="N1722" s="171"/>
      <c r="O1722" s="171"/>
      <c r="P1722" s="171"/>
    </row>
    <row r="1723" spans="1:16">
      <c r="A1723" s="166" t="b">
        <v>0</v>
      </c>
      <c r="B1723" s="166"/>
      <c r="C1723" s="166" t="s">
        <v>4209</v>
      </c>
      <c r="D1723" s="177">
        <v>16</v>
      </c>
      <c r="E1723" s="168"/>
      <c r="F1723" s="171"/>
      <c r="G1723" s="170"/>
      <c r="H1723" s="177"/>
      <c r="I1723" s="171"/>
      <c r="J1723" s="171"/>
      <c r="K1723" s="166" t="str">
        <f ca="1">IFERROR(VLOOKUP(C1723,' Disaggregation - Section E '!A$618:N927,3,0),"")</f>
        <v/>
      </c>
      <c r="L1723" s="166"/>
      <c r="M1723" s="166"/>
      <c r="N1723" s="171"/>
      <c r="O1723" s="171"/>
      <c r="P1723" s="171"/>
    </row>
    <row r="1724" spans="1:16">
      <c r="A1724" s="166" t="b">
        <v>0</v>
      </c>
      <c r="B1724" s="166"/>
      <c r="C1724" s="166" t="s">
        <v>4210</v>
      </c>
      <c r="D1724" s="177">
        <v>16</v>
      </c>
      <c r="E1724" s="168"/>
      <c r="F1724" s="171"/>
      <c r="G1724" s="170"/>
      <c r="H1724" s="177"/>
      <c r="I1724" s="171"/>
      <c r="J1724" s="171"/>
      <c r="K1724" s="166" t="str">
        <f ca="1">IFERROR(VLOOKUP(C1724,' Disaggregation - Section E '!A$618:N928,3,0),"")</f>
        <v/>
      </c>
      <c r="L1724" s="166"/>
      <c r="M1724" s="166"/>
      <c r="N1724" s="171"/>
      <c r="O1724" s="171"/>
      <c r="P1724" s="171"/>
    </row>
    <row r="1725" spans="1:16">
      <c r="A1725" s="166" t="b">
        <v>0</v>
      </c>
      <c r="B1725" s="166"/>
      <c r="C1725" s="166" t="s">
        <v>4211</v>
      </c>
      <c r="D1725" s="177">
        <v>16</v>
      </c>
      <c r="E1725" s="168"/>
      <c r="F1725" s="171"/>
      <c r="G1725" s="170"/>
      <c r="H1725" s="177"/>
      <c r="I1725" s="171"/>
      <c r="J1725" s="171"/>
      <c r="K1725" s="166" t="str">
        <f ca="1">IFERROR(VLOOKUP(C1725,' Disaggregation - Section E '!A$618:N929,3,0),"")</f>
        <v/>
      </c>
      <c r="L1725" s="166"/>
      <c r="M1725" s="166"/>
      <c r="N1725" s="171"/>
      <c r="O1725" s="171"/>
      <c r="P1725" s="171"/>
    </row>
    <row r="1726" spans="1:16">
      <c r="A1726" s="166" t="b">
        <v>0</v>
      </c>
      <c r="B1726" s="166"/>
      <c r="C1726" s="166" t="s">
        <v>4212</v>
      </c>
      <c r="D1726" s="177">
        <v>16</v>
      </c>
      <c r="E1726" s="168"/>
      <c r="F1726" s="171"/>
      <c r="G1726" s="170"/>
      <c r="H1726" s="177"/>
      <c r="I1726" s="171"/>
      <c r="J1726" s="171"/>
      <c r="K1726" s="166" t="str">
        <f ca="1">IFERROR(VLOOKUP(C1726,' Disaggregation - Section E '!A$618:N930,3,0),"")</f>
        <v/>
      </c>
      <c r="L1726" s="166"/>
      <c r="M1726" s="166"/>
      <c r="N1726" s="171"/>
      <c r="O1726" s="171"/>
      <c r="P1726" s="171"/>
    </row>
    <row r="1727" spans="1:16">
      <c r="A1727" s="166" t="b">
        <v>0</v>
      </c>
      <c r="B1727" s="166"/>
      <c r="C1727" s="166" t="s">
        <v>4213</v>
      </c>
      <c r="D1727" s="177">
        <v>16</v>
      </c>
      <c r="E1727" s="168"/>
      <c r="F1727" s="171"/>
      <c r="G1727" s="170"/>
      <c r="H1727" s="177"/>
      <c r="I1727" s="171"/>
      <c r="J1727" s="171"/>
      <c r="K1727" s="166" t="str">
        <f ca="1">IFERROR(VLOOKUP(C1727,' Disaggregation - Section E '!A$618:N931,3,0),"")</f>
        <v/>
      </c>
      <c r="L1727" s="166"/>
      <c r="M1727" s="166"/>
      <c r="N1727" s="171"/>
      <c r="O1727" s="171"/>
      <c r="P1727" s="171"/>
    </row>
    <row r="1728" spans="1:16">
      <c r="A1728" s="166" t="b">
        <v>0</v>
      </c>
      <c r="B1728" s="166"/>
      <c r="C1728" s="166" t="s">
        <v>4214</v>
      </c>
      <c r="D1728" s="177">
        <v>16</v>
      </c>
      <c r="E1728" s="168"/>
      <c r="F1728" s="171"/>
      <c r="G1728" s="170"/>
      <c r="H1728" s="177"/>
      <c r="I1728" s="171"/>
      <c r="J1728" s="171"/>
      <c r="K1728" s="166" t="str">
        <f ca="1">IFERROR(VLOOKUP(C1728,' Disaggregation - Section E '!A$618:N932,3,0),"")</f>
        <v/>
      </c>
      <c r="L1728" s="166"/>
      <c r="M1728" s="166"/>
      <c r="N1728" s="171"/>
      <c r="O1728" s="171"/>
      <c r="P1728" s="171"/>
    </row>
    <row r="1729" spans="1:16">
      <c r="A1729" s="166" t="b">
        <v>0</v>
      </c>
      <c r="B1729" s="166"/>
      <c r="C1729" s="166" t="s">
        <v>4215</v>
      </c>
      <c r="D1729" s="177">
        <v>16</v>
      </c>
      <c r="E1729" s="168"/>
      <c r="F1729" s="171"/>
      <c r="G1729" s="170"/>
      <c r="H1729" s="177"/>
      <c r="I1729" s="171"/>
      <c r="J1729" s="171"/>
      <c r="K1729" s="166" t="str">
        <f ca="1">IFERROR(VLOOKUP(C1729,' Disaggregation - Section E '!A$618:N933,3,0),"")</f>
        <v/>
      </c>
      <c r="L1729" s="166"/>
      <c r="M1729" s="166"/>
      <c r="N1729" s="171"/>
      <c r="O1729" s="171"/>
      <c r="P1729" s="171"/>
    </row>
    <row r="1730" spans="1:16">
      <c r="A1730" s="166" t="b">
        <v>0</v>
      </c>
      <c r="B1730" s="166"/>
      <c r="C1730" s="166" t="s">
        <v>4216</v>
      </c>
      <c r="D1730" s="177">
        <v>16</v>
      </c>
      <c r="E1730" s="168"/>
      <c r="F1730" s="171"/>
      <c r="G1730" s="170"/>
      <c r="H1730" s="177"/>
      <c r="I1730" s="171"/>
      <c r="J1730" s="171"/>
      <c r="K1730" s="166" t="str">
        <f ca="1">IFERROR(VLOOKUP(C1730,' Disaggregation - Section E '!A$618:N934,3,0),"")</f>
        <v/>
      </c>
      <c r="L1730" s="166"/>
      <c r="M1730" s="166"/>
      <c r="N1730" s="171"/>
      <c r="O1730" s="171"/>
      <c r="P1730" s="171"/>
    </row>
    <row r="1731" spans="1:16">
      <c r="A1731" s="166" t="b">
        <v>0</v>
      </c>
      <c r="B1731" s="166"/>
      <c r="C1731" s="166" t="s">
        <v>4217</v>
      </c>
      <c r="D1731" s="177">
        <v>16</v>
      </c>
      <c r="E1731" s="168"/>
      <c r="F1731" s="171"/>
      <c r="G1731" s="170"/>
      <c r="H1731" s="177"/>
      <c r="I1731" s="171"/>
      <c r="J1731" s="171"/>
      <c r="K1731" s="166" t="str">
        <f ca="1">IFERROR(VLOOKUP(C1731,' Disaggregation - Section E '!A$618:N935,3,0),"")</f>
        <v/>
      </c>
      <c r="L1731" s="166"/>
      <c r="M1731" s="166"/>
      <c r="N1731" s="171"/>
      <c r="O1731" s="171"/>
      <c r="P1731" s="171"/>
    </row>
    <row r="1732" spans="1:16">
      <c r="A1732" s="166" t="b">
        <v>0</v>
      </c>
      <c r="B1732" s="166"/>
      <c r="C1732" s="166" t="s">
        <v>4218</v>
      </c>
      <c r="D1732" s="177">
        <v>16</v>
      </c>
      <c r="E1732" s="168"/>
      <c r="F1732" s="171"/>
      <c r="G1732" s="170"/>
      <c r="H1732" s="177"/>
      <c r="I1732" s="171"/>
      <c r="J1732" s="171"/>
      <c r="K1732" s="166" t="str">
        <f ca="1">IFERROR(VLOOKUP(C1732,' Disaggregation - Section E '!A$618:N936,3,0),"")</f>
        <v/>
      </c>
      <c r="L1732" s="166"/>
      <c r="M1732" s="166"/>
      <c r="N1732" s="171"/>
      <c r="O1732" s="171"/>
      <c r="P1732" s="171"/>
    </row>
    <row r="1733" spans="1:16">
      <c r="A1733" s="166" t="b">
        <v>0</v>
      </c>
      <c r="B1733" s="166"/>
      <c r="C1733" s="166" t="s">
        <v>4219</v>
      </c>
      <c r="D1733" s="177">
        <v>16</v>
      </c>
      <c r="E1733" s="168"/>
      <c r="F1733" s="171"/>
      <c r="G1733" s="170"/>
      <c r="H1733" s="177"/>
      <c r="I1733" s="171"/>
      <c r="J1733" s="171"/>
      <c r="K1733" s="166" t="str">
        <f ca="1">IFERROR(VLOOKUP(C1733,' Disaggregation - Section E '!A$618:N937,3,0),"")</f>
        <v/>
      </c>
      <c r="L1733" s="166"/>
      <c r="M1733" s="166"/>
      <c r="N1733" s="171"/>
      <c r="O1733" s="171"/>
      <c r="P1733" s="171"/>
    </row>
    <row r="1734" spans="1:16">
      <c r="A1734" s="166" t="b">
        <v>0</v>
      </c>
      <c r="B1734" s="166"/>
      <c r="C1734" s="166" t="s">
        <v>4220</v>
      </c>
      <c r="D1734" s="177">
        <v>16</v>
      </c>
      <c r="E1734" s="168"/>
      <c r="F1734" s="171"/>
      <c r="G1734" s="170"/>
      <c r="H1734" s="177"/>
      <c r="I1734" s="171"/>
      <c r="J1734" s="171"/>
      <c r="K1734" s="166" t="str">
        <f ca="1">IFERROR(VLOOKUP(C1734,' Disaggregation - Section E '!A$618:N938,3,0),"")</f>
        <v/>
      </c>
      <c r="L1734" s="166"/>
      <c r="M1734" s="166"/>
      <c r="N1734" s="171"/>
      <c r="O1734" s="171"/>
      <c r="P1734" s="171"/>
    </row>
    <row r="1735" spans="1:16">
      <c r="A1735" s="166" t="b">
        <v>0</v>
      </c>
      <c r="B1735" s="166"/>
      <c r="C1735" s="166" t="s">
        <v>4221</v>
      </c>
      <c r="D1735" s="177">
        <v>16</v>
      </c>
      <c r="E1735" s="168"/>
      <c r="F1735" s="171"/>
      <c r="G1735" s="170"/>
      <c r="H1735" s="177"/>
      <c r="I1735" s="171"/>
      <c r="J1735" s="171"/>
      <c r="K1735" s="166" t="str">
        <f ca="1">IFERROR(VLOOKUP(C1735,' Disaggregation - Section E '!A$618:N939,3,0),"")</f>
        <v/>
      </c>
      <c r="L1735" s="166"/>
      <c r="M1735" s="166"/>
      <c r="N1735" s="171"/>
      <c r="O1735" s="171"/>
      <c r="P1735" s="171"/>
    </row>
    <row r="1736" spans="1:16">
      <c r="A1736" s="166" t="b">
        <v>0</v>
      </c>
      <c r="B1736" s="166"/>
      <c r="C1736" s="166" t="s">
        <v>4222</v>
      </c>
      <c r="D1736" s="177">
        <v>16</v>
      </c>
      <c r="E1736" s="168"/>
      <c r="F1736" s="171"/>
      <c r="G1736" s="170"/>
      <c r="H1736" s="177"/>
      <c r="I1736" s="171"/>
      <c r="J1736" s="171"/>
      <c r="K1736" s="166" t="str">
        <f ca="1">IFERROR(VLOOKUP(C1736,' Disaggregation - Section E '!A$618:N940,3,0),"")</f>
        <v/>
      </c>
      <c r="L1736" s="166"/>
      <c r="M1736" s="166"/>
      <c r="N1736" s="171"/>
      <c r="O1736" s="171"/>
      <c r="P1736" s="171"/>
    </row>
    <row r="1737" spans="1:16">
      <c r="A1737" s="166" t="b">
        <v>0</v>
      </c>
      <c r="B1737" s="166"/>
      <c r="C1737" s="166" t="s">
        <v>4223</v>
      </c>
      <c r="D1737" s="177">
        <v>16</v>
      </c>
      <c r="E1737" s="168"/>
      <c r="F1737" s="171"/>
      <c r="G1737" s="170"/>
      <c r="H1737" s="177"/>
      <c r="I1737" s="171"/>
      <c r="J1737" s="171"/>
      <c r="K1737" s="166" t="str">
        <f ca="1">IFERROR(VLOOKUP(C1737,' Disaggregation - Section E '!A$618:N941,3,0),"")</f>
        <v/>
      </c>
      <c r="L1737" s="166"/>
      <c r="M1737" s="166"/>
      <c r="N1737" s="171"/>
      <c r="O1737" s="171"/>
      <c r="P1737" s="171"/>
    </row>
    <row r="1738" spans="1:16">
      <c r="A1738" s="166" t="b">
        <v>0</v>
      </c>
      <c r="B1738" s="166"/>
      <c r="C1738" s="166" t="s">
        <v>4224</v>
      </c>
      <c r="D1738" s="177">
        <v>16</v>
      </c>
      <c r="E1738" s="168"/>
      <c r="F1738" s="171"/>
      <c r="G1738" s="170"/>
      <c r="H1738" s="177"/>
      <c r="I1738" s="171"/>
      <c r="J1738" s="171"/>
      <c r="K1738" s="166" t="str">
        <f ca="1">IFERROR(VLOOKUP(C1738,' Disaggregation - Section E '!A$618:N942,3,0),"")</f>
        <v/>
      </c>
      <c r="L1738" s="166"/>
      <c r="M1738" s="166"/>
      <c r="N1738" s="171"/>
      <c r="O1738" s="171"/>
      <c r="P1738" s="171"/>
    </row>
    <row r="1739" spans="1:16">
      <c r="A1739" s="166" t="b">
        <v>0</v>
      </c>
      <c r="B1739" s="166"/>
      <c r="C1739" s="166" t="s">
        <v>4225</v>
      </c>
      <c r="D1739" s="177">
        <v>16</v>
      </c>
      <c r="E1739" s="168"/>
      <c r="F1739" s="171"/>
      <c r="G1739" s="170"/>
      <c r="H1739" s="177"/>
      <c r="I1739" s="171"/>
      <c r="J1739" s="171"/>
      <c r="K1739" s="166" t="str">
        <f ca="1">IFERROR(VLOOKUP(C1739,' Disaggregation - Section E '!A$618:N943,3,0),"")</f>
        <v/>
      </c>
      <c r="L1739" s="166"/>
      <c r="M1739" s="166"/>
      <c r="N1739" s="171"/>
      <c r="O1739" s="171"/>
      <c r="P1739" s="171"/>
    </row>
    <row r="1740" spans="1:16">
      <c r="A1740" s="166" t="b">
        <v>0</v>
      </c>
      <c r="B1740" s="166"/>
      <c r="C1740" s="166" t="s">
        <v>4226</v>
      </c>
      <c r="D1740" s="177">
        <v>17</v>
      </c>
      <c r="E1740" s="168"/>
      <c r="F1740" s="171"/>
      <c r="G1740" s="170"/>
      <c r="H1740" s="177"/>
      <c r="I1740" s="171"/>
      <c r="J1740" s="171"/>
      <c r="K1740" s="166" t="str">
        <f ca="1">IFERROR(VLOOKUP(C1740,' Disaggregation - Section E '!A$618:N944,3,0),"")</f>
        <v/>
      </c>
      <c r="L1740" s="166"/>
      <c r="M1740" s="166"/>
      <c r="N1740" s="171"/>
      <c r="O1740" s="171"/>
      <c r="P1740" s="171"/>
    </row>
    <row r="1741" spans="1:16">
      <c r="A1741" s="166" t="b">
        <v>0</v>
      </c>
      <c r="B1741" s="166"/>
      <c r="C1741" s="166" t="s">
        <v>4227</v>
      </c>
      <c r="D1741" s="177">
        <v>17</v>
      </c>
      <c r="E1741" s="168"/>
      <c r="F1741" s="171"/>
      <c r="G1741" s="170"/>
      <c r="H1741" s="177"/>
      <c r="I1741" s="171"/>
      <c r="J1741" s="171"/>
      <c r="K1741" s="166" t="str">
        <f ca="1">IFERROR(VLOOKUP(C1741,' Disaggregation - Section E '!A$618:N945,3,0),"")</f>
        <v/>
      </c>
      <c r="L1741" s="166"/>
      <c r="M1741" s="166"/>
      <c r="N1741" s="171"/>
      <c r="O1741" s="171"/>
      <c r="P1741" s="171"/>
    </row>
    <row r="1742" spans="1:16">
      <c r="A1742" s="166" t="b">
        <v>0</v>
      </c>
      <c r="B1742" s="166"/>
      <c r="C1742" s="166" t="s">
        <v>4228</v>
      </c>
      <c r="D1742" s="177">
        <v>17</v>
      </c>
      <c r="E1742" s="168"/>
      <c r="F1742" s="171"/>
      <c r="G1742" s="170"/>
      <c r="H1742" s="177"/>
      <c r="I1742" s="171"/>
      <c r="J1742" s="171"/>
      <c r="K1742" s="166" t="str">
        <f ca="1">IFERROR(VLOOKUP(C1742,' Disaggregation - Section E '!A$618:N946,3,0),"")</f>
        <v/>
      </c>
      <c r="L1742" s="166"/>
      <c r="M1742" s="166"/>
      <c r="N1742" s="171"/>
      <c r="O1742" s="171"/>
      <c r="P1742" s="171"/>
    </row>
    <row r="1743" spans="1:16">
      <c r="A1743" s="166" t="b">
        <v>0</v>
      </c>
      <c r="B1743" s="166"/>
      <c r="C1743" s="166" t="s">
        <v>4229</v>
      </c>
      <c r="D1743" s="177">
        <v>17</v>
      </c>
      <c r="E1743" s="168"/>
      <c r="F1743" s="171"/>
      <c r="G1743" s="170"/>
      <c r="H1743" s="177"/>
      <c r="I1743" s="171"/>
      <c r="J1743" s="171"/>
      <c r="K1743" s="166" t="str">
        <f ca="1">IFERROR(VLOOKUP(C1743,' Disaggregation - Section E '!A$618:N947,3,0),"")</f>
        <v/>
      </c>
      <c r="L1743" s="166"/>
      <c r="M1743" s="166"/>
      <c r="N1743" s="171"/>
      <c r="O1743" s="171"/>
      <c r="P1743" s="171"/>
    </row>
    <row r="1744" spans="1:16">
      <c r="A1744" s="166" t="b">
        <v>0</v>
      </c>
      <c r="B1744" s="166"/>
      <c r="C1744" s="166" t="s">
        <v>4230</v>
      </c>
      <c r="D1744" s="177">
        <v>17</v>
      </c>
      <c r="E1744" s="168"/>
      <c r="F1744" s="171"/>
      <c r="G1744" s="170"/>
      <c r="H1744" s="177"/>
      <c r="I1744" s="171"/>
      <c r="J1744" s="171"/>
      <c r="K1744" s="166" t="str">
        <f ca="1">IFERROR(VLOOKUP(C1744,' Disaggregation - Section E '!A$618:N948,3,0),"")</f>
        <v/>
      </c>
      <c r="L1744" s="166"/>
      <c r="M1744" s="166"/>
      <c r="N1744" s="171"/>
      <c r="O1744" s="171"/>
      <c r="P1744" s="171"/>
    </row>
    <row r="1745" spans="1:16">
      <c r="A1745" s="166" t="b">
        <v>0</v>
      </c>
      <c r="B1745" s="166"/>
      <c r="C1745" s="166" t="s">
        <v>4231</v>
      </c>
      <c r="D1745" s="177">
        <v>17</v>
      </c>
      <c r="E1745" s="168"/>
      <c r="F1745" s="171"/>
      <c r="G1745" s="170"/>
      <c r="H1745" s="177"/>
      <c r="I1745" s="171"/>
      <c r="J1745" s="171"/>
      <c r="K1745" s="166" t="str">
        <f ca="1">IFERROR(VLOOKUP(C1745,' Disaggregation - Section E '!A$618:N949,3,0),"")</f>
        <v/>
      </c>
      <c r="L1745" s="166"/>
      <c r="M1745" s="166"/>
      <c r="N1745" s="171"/>
      <c r="O1745" s="171"/>
      <c r="P1745" s="171"/>
    </row>
    <row r="1746" spans="1:16">
      <c r="A1746" s="166" t="b">
        <v>0</v>
      </c>
      <c r="B1746" s="166"/>
      <c r="C1746" s="166" t="s">
        <v>4232</v>
      </c>
      <c r="D1746" s="177">
        <v>17</v>
      </c>
      <c r="E1746" s="168"/>
      <c r="F1746" s="171"/>
      <c r="G1746" s="170"/>
      <c r="H1746" s="177"/>
      <c r="I1746" s="171"/>
      <c r="J1746" s="171"/>
      <c r="K1746" s="166" t="str">
        <f ca="1">IFERROR(VLOOKUP(C1746,' Disaggregation - Section E '!A$618:N950,3,0),"")</f>
        <v/>
      </c>
      <c r="L1746" s="166"/>
      <c r="M1746" s="166"/>
      <c r="N1746" s="171"/>
      <c r="O1746" s="171"/>
      <c r="P1746" s="171"/>
    </row>
    <row r="1747" spans="1:16">
      <c r="A1747" s="166" t="b">
        <v>0</v>
      </c>
      <c r="B1747" s="166"/>
      <c r="C1747" s="166" t="s">
        <v>4233</v>
      </c>
      <c r="D1747" s="177">
        <v>17</v>
      </c>
      <c r="E1747" s="168"/>
      <c r="F1747" s="171"/>
      <c r="G1747" s="170"/>
      <c r="H1747" s="177"/>
      <c r="I1747" s="171"/>
      <c r="J1747" s="171"/>
      <c r="K1747" s="166" t="str">
        <f ca="1">IFERROR(VLOOKUP(C1747,' Disaggregation - Section E '!A$618:N951,3,0),"")</f>
        <v/>
      </c>
      <c r="L1747" s="166"/>
      <c r="M1747" s="166"/>
      <c r="N1747" s="171"/>
      <c r="O1747" s="171"/>
      <c r="P1747" s="171"/>
    </row>
    <row r="1748" spans="1:16">
      <c r="A1748" s="166" t="b">
        <v>0</v>
      </c>
      <c r="B1748" s="166"/>
      <c r="C1748" s="166" t="s">
        <v>4234</v>
      </c>
      <c r="D1748" s="177">
        <v>17</v>
      </c>
      <c r="E1748" s="168"/>
      <c r="F1748" s="171"/>
      <c r="G1748" s="170"/>
      <c r="H1748" s="177"/>
      <c r="I1748" s="171"/>
      <c r="J1748" s="171"/>
      <c r="K1748" s="166" t="str">
        <f ca="1">IFERROR(VLOOKUP(C1748,' Disaggregation - Section E '!A$618:N952,3,0),"")</f>
        <v/>
      </c>
      <c r="L1748" s="166"/>
      <c r="M1748" s="166"/>
      <c r="N1748" s="171"/>
      <c r="O1748" s="171"/>
      <c r="P1748" s="171"/>
    </row>
    <row r="1749" spans="1:16">
      <c r="A1749" s="166" t="b">
        <v>0</v>
      </c>
      <c r="B1749" s="166"/>
      <c r="C1749" s="166" t="s">
        <v>4235</v>
      </c>
      <c r="D1749" s="177">
        <v>17</v>
      </c>
      <c r="E1749" s="168"/>
      <c r="F1749" s="171"/>
      <c r="G1749" s="170"/>
      <c r="H1749" s="177"/>
      <c r="I1749" s="171"/>
      <c r="J1749" s="171"/>
      <c r="K1749" s="166" t="str">
        <f ca="1">IFERROR(VLOOKUP(C1749,' Disaggregation - Section E '!A$618:N953,3,0),"")</f>
        <v/>
      </c>
      <c r="L1749" s="166"/>
      <c r="M1749" s="166"/>
      <c r="N1749" s="171"/>
      <c r="O1749" s="171"/>
      <c r="P1749" s="171"/>
    </row>
    <row r="1750" spans="1:16">
      <c r="A1750" s="166" t="b">
        <v>0</v>
      </c>
      <c r="B1750" s="166"/>
      <c r="C1750" s="166" t="s">
        <v>4236</v>
      </c>
      <c r="D1750" s="177">
        <v>17</v>
      </c>
      <c r="E1750" s="168"/>
      <c r="F1750" s="171"/>
      <c r="G1750" s="170"/>
      <c r="H1750" s="177"/>
      <c r="I1750" s="171"/>
      <c r="J1750" s="171"/>
      <c r="K1750" s="166" t="str">
        <f ca="1">IFERROR(VLOOKUP(C1750,' Disaggregation - Section E '!A$618:N954,3,0),"")</f>
        <v/>
      </c>
      <c r="L1750" s="166"/>
      <c r="M1750" s="166"/>
      <c r="N1750" s="171"/>
      <c r="O1750" s="171"/>
      <c r="P1750" s="171"/>
    </row>
    <row r="1751" spans="1:16">
      <c r="A1751" s="166" t="b">
        <v>0</v>
      </c>
      <c r="B1751" s="166"/>
      <c r="C1751" s="166" t="s">
        <v>4237</v>
      </c>
      <c r="D1751" s="177">
        <v>17</v>
      </c>
      <c r="E1751" s="168"/>
      <c r="F1751" s="171"/>
      <c r="G1751" s="170"/>
      <c r="H1751" s="177"/>
      <c r="I1751" s="171"/>
      <c r="J1751" s="171"/>
      <c r="K1751" s="166" t="str">
        <f ca="1">IFERROR(VLOOKUP(C1751,' Disaggregation - Section E '!A$618:N955,3,0),"")</f>
        <v/>
      </c>
      <c r="L1751" s="166"/>
      <c r="M1751" s="166"/>
      <c r="N1751" s="171"/>
      <c r="O1751" s="171"/>
      <c r="P1751" s="171"/>
    </row>
    <row r="1752" spans="1:16">
      <c r="A1752" s="166" t="b">
        <v>0</v>
      </c>
      <c r="B1752" s="166"/>
      <c r="C1752" s="166" t="s">
        <v>4238</v>
      </c>
      <c r="D1752" s="177">
        <v>17</v>
      </c>
      <c r="E1752" s="168"/>
      <c r="F1752" s="171"/>
      <c r="G1752" s="170"/>
      <c r="H1752" s="177"/>
      <c r="I1752" s="171"/>
      <c r="J1752" s="171"/>
      <c r="K1752" s="166" t="str">
        <f ca="1">IFERROR(VLOOKUP(C1752,' Disaggregation - Section E '!A$618:N956,3,0),"")</f>
        <v/>
      </c>
      <c r="L1752" s="166"/>
      <c r="M1752" s="166"/>
      <c r="N1752" s="171"/>
      <c r="O1752" s="171"/>
      <c r="P1752" s="171"/>
    </row>
    <row r="1753" spans="1:16">
      <c r="A1753" s="166" t="b">
        <v>0</v>
      </c>
      <c r="B1753" s="166"/>
      <c r="C1753" s="166" t="s">
        <v>4239</v>
      </c>
      <c r="D1753" s="177">
        <v>17</v>
      </c>
      <c r="E1753" s="168"/>
      <c r="F1753" s="171"/>
      <c r="G1753" s="170"/>
      <c r="H1753" s="177"/>
      <c r="I1753" s="171"/>
      <c r="J1753" s="171"/>
      <c r="K1753" s="166" t="str">
        <f ca="1">IFERROR(VLOOKUP(C1753,' Disaggregation - Section E '!A$618:N957,3,0),"")</f>
        <v/>
      </c>
      <c r="L1753" s="166"/>
      <c r="M1753" s="166"/>
      <c r="N1753" s="171"/>
      <c r="O1753" s="171"/>
      <c r="P1753" s="171"/>
    </row>
    <row r="1754" spans="1:16">
      <c r="A1754" s="166" t="b">
        <v>0</v>
      </c>
      <c r="B1754" s="166"/>
      <c r="C1754" s="166" t="s">
        <v>4240</v>
      </c>
      <c r="D1754" s="177">
        <v>17</v>
      </c>
      <c r="E1754" s="168"/>
      <c r="F1754" s="171"/>
      <c r="G1754" s="170"/>
      <c r="H1754" s="177"/>
      <c r="I1754" s="171"/>
      <c r="J1754" s="171"/>
      <c r="K1754" s="166" t="str">
        <f ca="1">IFERROR(VLOOKUP(C1754,' Disaggregation - Section E '!A$618:N958,3,0),"")</f>
        <v/>
      </c>
      <c r="L1754" s="166"/>
      <c r="M1754" s="166"/>
      <c r="N1754" s="171"/>
      <c r="O1754" s="171"/>
      <c r="P1754" s="171"/>
    </row>
    <row r="1755" spans="1:16">
      <c r="A1755" s="166" t="b">
        <v>0</v>
      </c>
      <c r="B1755" s="166"/>
      <c r="C1755" s="166" t="s">
        <v>4241</v>
      </c>
      <c r="D1755" s="177">
        <v>17</v>
      </c>
      <c r="E1755" s="168"/>
      <c r="F1755" s="171"/>
      <c r="G1755" s="170"/>
      <c r="H1755" s="177"/>
      <c r="I1755" s="171"/>
      <c r="J1755" s="171"/>
      <c r="K1755" s="166" t="str">
        <f ca="1">IFERROR(VLOOKUP(C1755,' Disaggregation - Section E '!A$618:N959,3,0),"")</f>
        <v/>
      </c>
      <c r="L1755" s="166"/>
      <c r="M1755" s="166"/>
      <c r="N1755" s="171"/>
      <c r="O1755" s="171"/>
      <c r="P1755" s="171"/>
    </row>
    <row r="1756" spans="1:16">
      <c r="A1756" s="166" t="b">
        <v>0</v>
      </c>
      <c r="B1756" s="166"/>
      <c r="C1756" s="166" t="s">
        <v>4242</v>
      </c>
      <c r="D1756" s="177">
        <v>17</v>
      </c>
      <c r="E1756" s="168"/>
      <c r="F1756" s="171"/>
      <c r="G1756" s="170"/>
      <c r="H1756" s="177"/>
      <c r="I1756" s="171"/>
      <c r="J1756" s="171"/>
      <c r="K1756" s="166" t="str">
        <f ca="1">IFERROR(VLOOKUP(C1756,' Disaggregation - Section E '!A$618:N960,3,0),"")</f>
        <v/>
      </c>
      <c r="L1756" s="166"/>
      <c r="M1756" s="166"/>
      <c r="N1756" s="171"/>
      <c r="O1756" s="171"/>
      <c r="P1756" s="171"/>
    </row>
    <row r="1757" spans="1:16">
      <c r="A1757" s="166" t="b">
        <v>0</v>
      </c>
      <c r="B1757" s="166"/>
      <c r="C1757" s="166" t="s">
        <v>4243</v>
      </c>
      <c r="D1757" s="177">
        <v>17</v>
      </c>
      <c r="E1757" s="168"/>
      <c r="F1757" s="171"/>
      <c r="G1757" s="170"/>
      <c r="H1757" s="177"/>
      <c r="I1757" s="171"/>
      <c r="J1757" s="171"/>
      <c r="K1757" s="166" t="str">
        <f ca="1">IFERROR(VLOOKUP(C1757,' Disaggregation - Section E '!A$618:N961,3,0),"")</f>
        <v/>
      </c>
      <c r="L1757" s="166"/>
      <c r="M1757" s="166"/>
      <c r="N1757" s="171"/>
      <c r="O1757" s="171"/>
      <c r="P1757" s="171"/>
    </row>
    <row r="1758" spans="1:16">
      <c r="A1758" s="166" t="b">
        <v>0</v>
      </c>
      <c r="B1758" s="166"/>
      <c r="C1758" s="166" t="s">
        <v>4244</v>
      </c>
      <c r="D1758" s="177">
        <v>17</v>
      </c>
      <c r="E1758" s="168"/>
      <c r="F1758" s="171"/>
      <c r="G1758" s="170"/>
      <c r="H1758" s="177"/>
      <c r="I1758" s="171"/>
      <c r="J1758" s="171"/>
      <c r="K1758" s="166" t="str">
        <f ca="1">IFERROR(VLOOKUP(C1758,' Disaggregation - Section E '!A$618:N962,3,0),"")</f>
        <v/>
      </c>
      <c r="L1758" s="166"/>
      <c r="M1758" s="166"/>
      <c r="N1758" s="171"/>
      <c r="O1758" s="171"/>
      <c r="P1758" s="171"/>
    </row>
    <row r="1759" spans="1:16">
      <c r="A1759" s="166" t="b">
        <v>0</v>
      </c>
      <c r="B1759" s="166"/>
      <c r="C1759" s="166" t="s">
        <v>4245</v>
      </c>
      <c r="D1759" s="177">
        <v>17</v>
      </c>
      <c r="E1759" s="168"/>
      <c r="F1759" s="171"/>
      <c r="G1759" s="170"/>
      <c r="H1759" s="177"/>
      <c r="I1759" s="171"/>
      <c r="J1759" s="171"/>
      <c r="K1759" s="166" t="str">
        <f ca="1">IFERROR(VLOOKUP(C1759,' Disaggregation - Section E '!A$618:N963,3,0),"")</f>
        <v/>
      </c>
      <c r="L1759" s="166"/>
      <c r="M1759" s="166"/>
      <c r="N1759" s="171"/>
      <c r="O1759" s="171"/>
      <c r="P1759" s="171"/>
    </row>
    <row r="1760" spans="1:16">
      <c r="A1760" s="166" t="b">
        <v>0</v>
      </c>
      <c r="B1760" s="166"/>
      <c r="C1760" s="166" t="s">
        <v>4246</v>
      </c>
      <c r="D1760" s="177">
        <v>18</v>
      </c>
      <c r="E1760" s="168"/>
      <c r="F1760" s="171"/>
      <c r="G1760" s="170"/>
      <c r="H1760" s="177"/>
      <c r="I1760" s="171"/>
      <c r="J1760" s="171"/>
      <c r="K1760" s="166" t="str">
        <f ca="1">IFERROR(VLOOKUP(C1760,' Disaggregation - Section E '!A$618:N964,3,0),"")</f>
        <v/>
      </c>
      <c r="L1760" s="166"/>
      <c r="M1760" s="166"/>
      <c r="N1760" s="171"/>
      <c r="O1760" s="171"/>
      <c r="P1760" s="171"/>
    </row>
    <row r="1761" spans="1:16">
      <c r="A1761" s="166" t="b">
        <v>0</v>
      </c>
      <c r="B1761" s="166"/>
      <c r="C1761" s="166" t="s">
        <v>4247</v>
      </c>
      <c r="D1761" s="177">
        <v>18</v>
      </c>
      <c r="E1761" s="168"/>
      <c r="F1761" s="171"/>
      <c r="G1761" s="170"/>
      <c r="H1761" s="177"/>
      <c r="I1761" s="171"/>
      <c r="J1761" s="171"/>
      <c r="K1761" s="166" t="str">
        <f ca="1">IFERROR(VLOOKUP(C1761,' Disaggregation - Section E '!A$618:N965,3,0),"")</f>
        <v/>
      </c>
      <c r="L1761" s="166"/>
      <c r="M1761" s="166"/>
      <c r="N1761" s="171"/>
      <c r="O1761" s="171"/>
      <c r="P1761" s="171"/>
    </row>
    <row r="1762" spans="1:16">
      <c r="A1762" s="166" t="b">
        <v>0</v>
      </c>
      <c r="B1762" s="166"/>
      <c r="C1762" s="166" t="s">
        <v>4248</v>
      </c>
      <c r="D1762" s="177">
        <v>18</v>
      </c>
      <c r="E1762" s="168"/>
      <c r="F1762" s="171"/>
      <c r="G1762" s="170"/>
      <c r="H1762" s="177"/>
      <c r="I1762" s="171"/>
      <c r="J1762" s="171"/>
      <c r="K1762" s="166" t="str">
        <f ca="1">IFERROR(VLOOKUP(C1762,' Disaggregation - Section E '!A$618:N966,3,0),"")</f>
        <v/>
      </c>
      <c r="L1762" s="166"/>
      <c r="M1762" s="166"/>
      <c r="N1762" s="171"/>
      <c r="O1762" s="171"/>
      <c r="P1762" s="171"/>
    </row>
    <row r="1763" spans="1:16">
      <c r="A1763" s="166" t="b">
        <v>0</v>
      </c>
      <c r="B1763" s="166"/>
      <c r="C1763" s="166" t="s">
        <v>4249</v>
      </c>
      <c r="D1763" s="177">
        <v>18</v>
      </c>
      <c r="E1763" s="168"/>
      <c r="F1763" s="171"/>
      <c r="G1763" s="170"/>
      <c r="H1763" s="177"/>
      <c r="I1763" s="171"/>
      <c r="J1763" s="171"/>
      <c r="K1763" s="166" t="str">
        <f ca="1">IFERROR(VLOOKUP(C1763,' Disaggregation - Section E '!A$618:N967,3,0),"")</f>
        <v/>
      </c>
      <c r="L1763" s="166"/>
      <c r="M1763" s="166"/>
      <c r="N1763" s="171"/>
      <c r="O1763" s="171"/>
      <c r="P1763" s="171"/>
    </row>
    <row r="1764" spans="1:16">
      <c r="A1764" s="166" t="b">
        <v>0</v>
      </c>
      <c r="B1764" s="166"/>
      <c r="C1764" s="166" t="s">
        <v>4250</v>
      </c>
      <c r="D1764" s="177">
        <v>18</v>
      </c>
      <c r="E1764" s="168"/>
      <c r="F1764" s="171"/>
      <c r="G1764" s="170"/>
      <c r="H1764" s="177"/>
      <c r="I1764" s="171"/>
      <c r="J1764" s="171"/>
      <c r="K1764" s="166" t="str">
        <f ca="1">IFERROR(VLOOKUP(C1764,' Disaggregation - Section E '!A$618:N968,3,0),"")</f>
        <v/>
      </c>
      <c r="L1764" s="166"/>
      <c r="M1764" s="166"/>
      <c r="N1764" s="171"/>
      <c r="O1764" s="171"/>
      <c r="P1764" s="171"/>
    </row>
    <row r="1765" spans="1:16">
      <c r="A1765" s="166" t="b">
        <v>0</v>
      </c>
      <c r="B1765" s="166"/>
      <c r="C1765" s="166" t="s">
        <v>4251</v>
      </c>
      <c r="D1765" s="177">
        <v>18</v>
      </c>
      <c r="E1765" s="168"/>
      <c r="F1765" s="171"/>
      <c r="G1765" s="170"/>
      <c r="H1765" s="177"/>
      <c r="I1765" s="171"/>
      <c r="J1765" s="171"/>
      <c r="K1765" s="166" t="str">
        <f ca="1">IFERROR(VLOOKUP(C1765,' Disaggregation - Section E '!A$618:N969,3,0),"")</f>
        <v/>
      </c>
      <c r="L1765" s="166"/>
      <c r="M1765" s="166"/>
      <c r="N1765" s="171"/>
      <c r="O1765" s="171"/>
      <c r="P1765" s="171"/>
    </row>
    <row r="1766" spans="1:16">
      <c r="A1766" s="166" t="b">
        <v>0</v>
      </c>
      <c r="B1766" s="166"/>
      <c r="C1766" s="166" t="s">
        <v>4252</v>
      </c>
      <c r="D1766" s="177">
        <v>18</v>
      </c>
      <c r="E1766" s="168"/>
      <c r="F1766" s="171"/>
      <c r="G1766" s="170"/>
      <c r="H1766" s="177"/>
      <c r="I1766" s="171"/>
      <c r="J1766" s="171"/>
      <c r="K1766" s="166" t="str">
        <f ca="1">IFERROR(VLOOKUP(C1766,' Disaggregation - Section E '!A$618:N970,3,0),"")</f>
        <v/>
      </c>
      <c r="L1766" s="166"/>
      <c r="M1766" s="166"/>
      <c r="N1766" s="171"/>
      <c r="O1766" s="171"/>
      <c r="P1766" s="171"/>
    </row>
    <row r="1767" spans="1:16">
      <c r="A1767" s="166" t="b">
        <v>0</v>
      </c>
      <c r="B1767" s="166"/>
      <c r="C1767" s="166" t="s">
        <v>4253</v>
      </c>
      <c r="D1767" s="177">
        <v>18</v>
      </c>
      <c r="E1767" s="168"/>
      <c r="F1767" s="171"/>
      <c r="G1767" s="170"/>
      <c r="H1767" s="177"/>
      <c r="I1767" s="171"/>
      <c r="J1767" s="171"/>
      <c r="K1767" s="166" t="str">
        <f ca="1">IFERROR(VLOOKUP(C1767,' Disaggregation - Section E '!A$618:N971,3,0),"")</f>
        <v/>
      </c>
      <c r="L1767" s="166"/>
      <c r="M1767" s="166"/>
      <c r="N1767" s="171"/>
      <c r="O1767" s="171"/>
      <c r="P1767" s="171"/>
    </row>
    <row r="1768" spans="1:16">
      <c r="A1768" s="166" t="b">
        <v>0</v>
      </c>
      <c r="B1768" s="166"/>
      <c r="C1768" s="166" t="s">
        <v>4254</v>
      </c>
      <c r="D1768" s="177">
        <v>18</v>
      </c>
      <c r="E1768" s="168"/>
      <c r="F1768" s="171"/>
      <c r="G1768" s="170"/>
      <c r="H1768" s="177"/>
      <c r="I1768" s="171"/>
      <c r="J1768" s="171"/>
      <c r="K1768" s="166" t="str">
        <f ca="1">IFERROR(VLOOKUP(C1768,' Disaggregation - Section E '!A$618:N972,3,0),"")</f>
        <v/>
      </c>
      <c r="L1768" s="166"/>
      <c r="M1768" s="166"/>
      <c r="N1768" s="171"/>
      <c r="O1768" s="171"/>
      <c r="P1768" s="171"/>
    </row>
    <row r="1769" spans="1:16">
      <c r="A1769" s="166" t="b">
        <v>0</v>
      </c>
      <c r="B1769" s="166"/>
      <c r="C1769" s="166" t="s">
        <v>4255</v>
      </c>
      <c r="D1769" s="177">
        <v>18</v>
      </c>
      <c r="E1769" s="168"/>
      <c r="F1769" s="171"/>
      <c r="G1769" s="170"/>
      <c r="H1769" s="177"/>
      <c r="I1769" s="171"/>
      <c r="J1769" s="171"/>
      <c r="K1769" s="166" t="str">
        <f ca="1">IFERROR(VLOOKUP(C1769,' Disaggregation - Section E '!A$618:N973,3,0),"")</f>
        <v/>
      </c>
      <c r="L1769" s="166"/>
      <c r="M1769" s="166"/>
      <c r="N1769" s="171"/>
      <c r="O1769" s="171"/>
      <c r="P1769" s="171"/>
    </row>
    <row r="1770" spans="1:16">
      <c r="A1770" s="166" t="b">
        <v>0</v>
      </c>
      <c r="B1770" s="166"/>
      <c r="C1770" s="166" t="s">
        <v>4256</v>
      </c>
      <c r="D1770" s="177">
        <v>18</v>
      </c>
      <c r="E1770" s="168"/>
      <c r="F1770" s="171"/>
      <c r="G1770" s="170"/>
      <c r="H1770" s="177"/>
      <c r="I1770" s="171"/>
      <c r="J1770" s="171"/>
      <c r="K1770" s="166" t="str">
        <f ca="1">IFERROR(VLOOKUP(C1770,' Disaggregation - Section E '!A$618:N974,3,0),"")</f>
        <v/>
      </c>
      <c r="L1770" s="166"/>
      <c r="M1770" s="166"/>
      <c r="N1770" s="171"/>
      <c r="O1770" s="171"/>
      <c r="P1770" s="171"/>
    </row>
    <row r="1771" spans="1:16">
      <c r="A1771" s="166" t="b">
        <v>0</v>
      </c>
      <c r="B1771" s="166"/>
      <c r="C1771" s="166" t="s">
        <v>4257</v>
      </c>
      <c r="D1771" s="177">
        <v>18</v>
      </c>
      <c r="E1771" s="168"/>
      <c r="F1771" s="171"/>
      <c r="G1771" s="170"/>
      <c r="H1771" s="177"/>
      <c r="I1771" s="171"/>
      <c r="J1771" s="171"/>
      <c r="K1771" s="166" t="str">
        <f ca="1">IFERROR(VLOOKUP(C1771,' Disaggregation - Section E '!A$618:N975,3,0),"")</f>
        <v/>
      </c>
      <c r="L1771" s="166"/>
      <c r="M1771" s="166"/>
      <c r="N1771" s="171"/>
      <c r="O1771" s="171"/>
      <c r="P1771" s="171"/>
    </row>
    <row r="1772" spans="1:16">
      <c r="A1772" s="166" t="b">
        <v>0</v>
      </c>
      <c r="B1772" s="166"/>
      <c r="C1772" s="166" t="s">
        <v>4258</v>
      </c>
      <c r="D1772" s="177">
        <v>18</v>
      </c>
      <c r="E1772" s="168"/>
      <c r="F1772" s="171"/>
      <c r="G1772" s="170"/>
      <c r="H1772" s="177"/>
      <c r="I1772" s="171"/>
      <c r="J1772" s="171"/>
      <c r="K1772" s="166" t="str">
        <f ca="1">IFERROR(VLOOKUP(C1772,' Disaggregation - Section E '!A$618:N976,3,0),"")</f>
        <v/>
      </c>
      <c r="L1772" s="166"/>
      <c r="M1772" s="166"/>
      <c r="N1772" s="171"/>
      <c r="O1772" s="171"/>
      <c r="P1772" s="171"/>
    </row>
    <row r="1773" spans="1:16">
      <c r="A1773" s="166" t="b">
        <v>0</v>
      </c>
      <c r="B1773" s="166"/>
      <c r="C1773" s="166" t="s">
        <v>4259</v>
      </c>
      <c r="D1773" s="177">
        <v>18</v>
      </c>
      <c r="E1773" s="168"/>
      <c r="F1773" s="171"/>
      <c r="G1773" s="170"/>
      <c r="H1773" s="177"/>
      <c r="I1773" s="171"/>
      <c r="J1773" s="171"/>
      <c r="K1773" s="166" t="str">
        <f ca="1">IFERROR(VLOOKUP(C1773,' Disaggregation - Section E '!A$618:N977,3,0),"")</f>
        <v/>
      </c>
      <c r="L1773" s="166"/>
      <c r="M1773" s="166"/>
      <c r="N1773" s="171"/>
      <c r="O1773" s="171"/>
      <c r="P1773" s="171"/>
    </row>
    <row r="1774" spans="1:16">
      <c r="A1774" s="166" t="b">
        <v>0</v>
      </c>
      <c r="B1774" s="166"/>
      <c r="C1774" s="166" t="s">
        <v>4260</v>
      </c>
      <c r="D1774" s="177">
        <v>18</v>
      </c>
      <c r="E1774" s="168"/>
      <c r="F1774" s="171"/>
      <c r="G1774" s="170"/>
      <c r="H1774" s="177"/>
      <c r="I1774" s="171"/>
      <c r="J1774" s="171"/>
      <c r="K1774" s="166" t="str">
        <f ca="1">IFERROR(VLOOKUP(C1774,' Disaggregation - Section E '!A$618:N978,3,0),"")</f>
        <v/>
      </c>
      <c r="L1774" s="166"/>
      <c r="M1774" s="166"/>
      <c r="N1774" s="171"/>
      <c r="O1774" s="171"/>
      <c r="P1774" s="171"/>
    </row>
    <row r="1775" spans="1:16">
      <c r="A1775" s="166" t="b">
        <v>0</v>
      </c>
      <c r="B1775" s="166"/>
      <c r="C1775" s="166" t="s">
        <v>4261</v>
      </c>
      <c r="D1775" s="177">
        <v>18</v>
      </c>
      <c r="E1775" s="168"/>
      <c r="F1775" s="171"/>
      <c r="G1775" s="170"/>
      <c r="H1775" s="177"/>
      <c r="I1775" s="171"/>
      <c r="J1775" s="171"/>
      <c r="K1775" s="166" t="str">
        <f ca="1">IFERROR(VLOOKUP(C1775,' Disaggregation - Section E '!A$618:N979,3,0),"")</f>
        <v/>
      </c>
      <c r="L1775" s="166"/>
      <c r="M1775" s="166"/>
      <c r="N1775" s="171"/>
      <c r="O1775" s="171"/>
      <c r="P1775" s="171"/>
    </row>
    <row r="1776" spans="1:16">
      <c r="A1776" s="166" t="b">
        <v>0</v>
      </c>
      <c r="B1776" s="166"/>
      <c r="C1776" s="166" t="s">
        <v>4262</v>
      </c>
      <c r="D1776" s="177">
        <v>18</v>
      </c>
      <c r="E1776" s="168"/>
      <c r="F1776" s="171"/>
      <c r="G1776" s="170"/>
      <c r="H1776" s="177"/>
      <c r="I1776" s="171"/>
      <c r="J1776" s="171"/>
      <c r="K1776" s="166" t="str">
        <f ca="1">IFERROR(VLOOKUP(C1776,' Disaggregation - Section E '!A$618:N980,3,0),"")</f>
        <v/>
      </c>
      <c r="L1776" s="166"/>
      <c r="M1776" s="166"/>
      <c r="N1776" s="171"/>
      <c r="O1776" s="171"/>
      <c r="P1776" s="171"/>
    </row>
    <row r="1777" spans="1:16">
      <c r="A1777" s="166" t="b">
        <v>0</v>
      </c>
      <c r="B1777" s="166"/>
      <c r="C1777" s="166" t="s">
        <v>4263</v>
      </c>
      <c r="D1777" s="177">
        <v>18</v>
      </c>
      <c r="E1777" s="168"/>
      <c r="F1777" s="171"/>
      <c r="G1777" s="170"/>
      <c r="H1777" s="177"/>
      <c r="I1777" s="171"/>
      <c r="J1777" s="171"/>
      <c r="K1777" s="166" t="str">
        <f ca="1">IFERROR(VLOOKUP(C1777,' Disaggregation - Section E '!A$618:N981,3,0),"")</f>
        <v/>
      </c>
      <c r="L1777" s="166"/>
      <c r="M1777" s="166"/>
      <c r="N1777" s="171"/>
      <c r="O1777" s="171"/>
      <c r="P1777" s="171"/>
    </row>
    <row r="1778" spans="1:16">
      <c r="A1778" s="166" t="b">
        <v>0</v>
      </c>
      <c r="B1778" s="166"/>
      <c r="C1778" s="166" t="s">
        <v>4264</v>
      </c>
      <c r="D1778" s="177">
        <v>18</v>
      </c>
      <c r="E1778" s="168"/>
      <c r="F1778" s="171"/>
      <c r="G1778" s="170"/>
      <c r="H1778" s="177"/>
      <c r="I1778" s="171"/>
      <c r="J1778" s="171"/>
      <c r="K1778" s="166" t="str">
        <f ca="1">IFERROR(VLOOKUP(C1778,' Disaggregation - Section E '!A$618:N982,3,0),"")</f>
        <v/>
      </c>
      <c r="L1778" s="166"/>
      <c r="M1778" s="166"/>
      <c r="N1778" s="171"/>
      <c r="O1778" s="171"/>
      <c r="P1778" s="171"/>
    </row>
    <row r="1779" spans="1:16">
      <c r="A1779" s="166" t="b">
        <v>0</v>
      </c>
      <c r="B1779" s="166"/>
      <c r="C1779" s="166" t="s">
        <v>4265</v>
      </c>
      <c r="D1779" s="177">
        <v>18</v>
      </c>
      <c r="E1779" s="168"/>
      <c r="F1779" s="171"/>
      <c r="G1779" s="170"/>
      <c r="H1779" s="177"/>
      <c r="I1779" s="171"/>
      <c r="J1779" s="171"/>
      <c r="K1779" s="166" t="str">
        <f ca="1">IFERROR(VLOOKUP(C1779,' Disaggregation - Section E '!A$618:N983,3,0),"")</f>
        <v/>
      </c>
      <c r="L1779" s="166"/>
      <c r="M1779" s="166"/>
      <c r="N1779" s="171"/>
      <c r="O1779" s="171"/>
      <c r="P1779" s="171"/>
    </row>
    <row r="1780" spans="1:16">
      <c r="A1780" s="166" t="b">
        <v>0</v>
      </c>
      <c r="B1780" s="166"/>
      <c r="C1780" s="166" t="s">
        <v>4266</v>
      </c>
      <c r="D1780" s="177">
        <v>19</v>
      </c>
      <c r="E1780" s="168"/>
      <c r="F1780" s="171"/>
      <c r="G1780" s="170"/>
      <c r="H1780" s="177"/>
      <c r="I1780" s="171"/>
      <c r="J1780" s="171"/>
      <c r="K1780" s="166" t="str">
        <f ca="1">IFERROR(VLOOKUP(C1780,' Disaggregation - Section E '!A$618:N984,3,0),"")</f>
        <v/>
      </c>
      <c r="L1780" s="166"/>
      <c r="M1780" s="166"/>
      <c r="N1780" s="171"/>
      <c r="O1780" s="171"/>
      <c r="P1780" s="171"/>
    </row>
    <row r="1781" spans="1:16">
      <c r="A1781" s="166" t="b">
        <v>0</v>
      </c>
      <c r="B1781" s="166"/>
      <c r="C1781" s="166" t="s">
        <v>4267</v>
      </c>
      <c r="D1781" s="177">
        <v>19</v>
      </c>
      <c r="E1781" s="168"/>
      <c r="F1781" s="171"/>
      <c r="G1781" s="170"/>
      <c r="H1781" s="177"/>
      <c r="I1781" s="171"/>
      <c r="J1781" s="171"/>
      <c r="K1781" s="166" t="str">
        <f ca="1">IFERROR(VLOOKUP(C1781,' Disaggregation - Section E '!A$618:N985,3,0),"")</f>
        <v/>
      </c>
      <c r="L1781" s="166"/>
      <c r="M1781" s="166"/>
      <c r="N1781" s="171"/>
      <c r="O1781" s="171"/>
      <c r="P1781" s="171"/>
    </row>
    <row r="1782" spans="1:16">
      <c r="A1782" s="166" t="b">
        <v>0</v>
      </c>
      <c r="B1782" s="166"/>
      <c r="C1782" s="166" t="s">
        <v>4268</v>
      </c>
      <c r="D1782" s="177">
        <v>19</v>
      </c>
      <c r="E1782" s="168"/>
      <c r="F1782" s="171"/>
      <c r="G1782" s="170"/>
      <c r="H1782" s="177"/>
      <c r="I1782" s="171"/>
      <c r="J1782" s="171"/>
      <c r="K1782" s="166" t="str">
        <f ca="1">IFERROR(VLOOKUP(C1782,' Disaggregation - Section E '!A$618:N986,3,0),"")</f>
        <v/>
      </c>
      <c r="L1782" s="166"/>
      <c r="M1782" s="166"/>
      <c r="N1782" s="171"/>
      <c r="O1782" s="171"/>
      <c r="P1782" s="171"/>
    </row>
    <row r="1783" spans="1:16">
      <c r="A1783" s="166" t="b">
        <v>0</v>
      </c>
      <c r="B1783" s="166"/>
      <c r="C1783" s="166" t="s">
        <v>4269</v>
      </c>
      <c r="D1783" s="177">
        <v>19</v>
      </c>
      <c r="E1783" s="168"/>
      <c r="F1783" s="171"/>
      <c r="G1783" s="170"/>
      <c r="H1783" s="177"/>
      <c r="I1783" s="171"/>
      <c r="J1783" s="171"/>
      <c r="K1783" s="166" t="str">
        <f ca="1">IFERROR(VLOOKUP(C1783,' Disaggregation - Section E '!A$618:N987,3,0),"")</f>
        <v/>
      </c>
      <c r="L1783" s="166"/>
      <c r="M1783" s="166"/>
      <c r="N1783" s="171"/>
      <c r="O1783" s="171"/>
      <c r="P1783" s="171"/>
    </row>
    <row r="1784" spans="1:16">
      <c r="A1784" s="166" t="b">
        <v>0</v>
      </c>
      <c r="B1784" s="166"/>
      <c r="C1784" s="166" t="s">
        <v>4270</v>
      </c>
      <c r="D1784" s="177">
        <v>19</v>
      </c>
      <c r="E1784" s="168"/>
      <c r="F1784" s="171"/>
      <c r="G1784" s="170"/>
      <c r="H1784" s="177"/>
      <c r="I1784" s="171"/>
      <c r="J1784" s="171"/>
      <c r="K1784" s="166" t="str">
        <f ca="1">IFERROR(VLOOKUP(C1784,' Disaggregation - Section E '!A$618:N988,3,0),"")</f>
        <v/>
      </c>
      <c r="L1784" s="166"/>
      <c r="M1784" s="166"/>
      <c r="N1784" s="171"/>
      <c r="O1784" s="171"/>
      <c r="P1784" s="171"/>
    </row>
    <row r="1785" spans="1:16">
      <c r="A1785" s="166" t="b">
        <v>0</v>
      </c>
      <c r="B1785" s="166"/>
      <c r="C1785" s="166" t="s">
        <v>4271</v>
      </c>
      <c r="D1785" s="177">
        <v>19</v>
      </c>
      <c r="E1785" s="168"/>
      <c r="F1785" s="171"/>
      <c r="G1785" s="170"/>
      <c r="H1785" s="177"/>
      <c r="I1785" s="171"/>
      <c r="J1785" s="171"/>
      <c r="K1785" s="166" t="str">
        <f ca="1">IFERROR(VLOOKUP(C1785,' Disaggregation - Section E '!A$618:N989,3,0),"")</f>
        <v/>
      </c>
      <c r="L1785" s="166"/>
      <c r="M1785" s="166"/>
      <c r="N1785" s="171"/>
      <c r="O1785" s="171"/>
      <c r="P1785" s="171"/>
    </row>
    <row r="1786" spans="1:16">
      <c r="A1786" s="166" t="b">
        <v>0</v>
      </c>
      <c r="B1786" s="166"/>
      <c r="C1786" s="166" t="s">
        <v>4272</v>
      </c>
      <c r="D1786" s="177">
        <v>19</v>
      </c>
      <c r="E1786" s="168"/>
      <c r="F1786" s="171"/>
      <c r="G1786" s="170"/>
      <c r="H1786" s="177"/>
      <c r="I1786" s="171"/>
      <c r="J1786" s="171"/>
      <c r="K1786" s="166" t="str">
        <f ca="1">IFERROR(VLOOKUP(C1786,' Disaggregation - Section E '!A$618:N990,3,0),"")</f>
        <v/>
      </c>
      <c r="L1786" s="166"/>
      <c r="M1786" s="166"/>
      <c r="N1786" s="171"/>
      <c r="O1786" s="171"/>
      <c r="P1786" s="171"/>
    </row>
    <row r="1787" spans="1:16">
      <c r="A1787" s="166" t="b">
        <v>0</v>
      </c>
      <c r="B1787" s="166"/>
      <c r="C1787" s="166" t="s">
        <v>4273</v>
      </c>
      <c r="D1787" s="177">
        <v>19</v>
      </c>
      <c r="E1787" s="168"/>
      <c r="F1787" s="171"/>
      <c r="G1787" s="170"/>
      <c r="H1787" s="177"/>
      <c r="I1787" s="171"/>
      <c r="J1787" s="171"/>
      <c r="K1787" s="166" t="str">
        <f ca="1">IFERROR(VLOOKUP(C1787,' Disaggregation - Section E '!A$618:N991,3,0),"")</f>
        <v/>
      </c>
      <c r="L1787" s="166"/>
      <c r="M1787" s="166"/>
      <c r="N1787" s="171"/>
      <c r="O1787" s="171"/>
      <c r="P1787" s="171"/>
    </row>
    <row r="1788" spans="1:16">
      <c r="A1788" s="166" t="b">
        <v>0</v>
      </c>
      <c r="B1788" s="166"/>
      <c r="C1788" s="166" t="s">
        <v>4274</v>
      </c>
      <c r="D1788" s="177">
        <v>19</v>
      </c>
      <c r="E1788" s="168"/>
      <c r="F1788" s="171"/>
      <c r="G1788" s="170"/>
      <c r="H1788" s="177"/>
      <c r="I1788" s="171"/>
      <c r="J1788" s="171"/>
      <c r="K1788" s="166" t="str">
        <f ca="1">IFERROR(VLOOKUP(C1788,' Disaggregation - Section E '!A$618:N992,3,0),"")</f>
        <v/>
      </c>
      <c r="L1788" s="166"/>
      <c r="M1788" s="166"/>
      <c r="N1788" s="171"/>
      <c r="O1788" s="171"/>
      <c r="P1788" s="171"/>
    </row>
    <row r="1789" spans="1:16">
      <c r="A1789" s="166" t="b">
        <v>0</v>
      </c>
      <c r="B1789" s="166"/>
      <c r="C1789" s="166" t="s">
        <v>4275</v>
      </c>
      <c r="D1789" s="177">
        <v>19</v>
      </c>
      <c r="E1789" s="168"/>
      <c r="F1789" s="171"/>
      <c r="G1789" s="170"/>
      <c r="H1789" s="177"/>
      <c r="I1789" s="171"/>
      <c r="J1789" s="171"/>
      <c r="K1789" s="166" t="str">
        <f ca="1">IFERROR(VLOOKUP(C1789,' Disaggregation - Section E '!A$618:N993,3,0),"")</f>
        <v/>
      </c>
      <c r="L1789" s="166"/>
      <c r="M1789" s="166"/>
      <c r="N1789" s="171"/>
      <c r="O1789" s="171"/>
      <c r="P1789" s="171"/>
    </row>
    <row r="1790" spans="1:16">
      <c r="A1790" s="166" t="b">
        <v>0</v>
      </c>
      <c r="B1790" s="166"/>
      <c r="C1790" s="166" t="s">
        <v>4276</v>
      </c>
      <c r="D1790" s="177">
        <v>19</v>
      </c>
      <c r="E1790" s="168"/>
      <c r="F1790" s="171"/>
      <c r="G1790" s="170"/>
      <c r="H1790" s="177"/>
      <c r="I1790" s="171"/>
      <c r="J1790" s="171"/>
      <c r="K1790" s="166" t="str">
        <f ca="1">IFERROR(VLOOKUP(C1790,' Disaggregation - Section E '!A$618:N994,3,0),"")</f>
        <v/>
      </c>
      <c r="L1790" s="166"/>
      <c r="M1790" s="166"/>
      <c r="N1790" s="171"/>
      <c r="O1790" s="171"/>
      <c r="P1790" s="171"/>
    </row>
    <row r="1791" spans="1:16">
      <c r="A1791" s="166" t="b">
        <v>0</v>
      </c>
      <c r="B1791" s="166"/>
      <c r="C1791" s="166" t="s">
        <v>4277</v>
      </c>
      <c r="D1791" s="177">
        <v>19</v>
      </c>
      <c r="E1791" s="168"/>
      <c r="F1791" s="171"/>
      <c r="G1791" s="170"/>
      <c r="H1791" s="177"/>
      <c r="I1791" s="171"/>
      <c r="J1791" s="171"/>
      <c r="K1791" s="166" t="str">
        <f ca="1">IFERROR(VLOOKUP(C1791,' Disaggregation - Section E '!A$618:N995,3,0),"")</f>
        <v/>
      </c>
      <c r="L1791" s="166"/>
      <c r="M1791" s="166"/>
      <c r="N1791" s="171"/>
      <c r="O1791" s="171"/>
      <c r="P1791" s="171"/>
    </row>
    <row r="1792" spans="1:16">
      <c r="A1792" s="166" t="b">
        <v>0</v>
      </c>
      <c r="B1792" s="166"/>
      <c r="C1792" s="166" t="s">
        <v>4278</v>
      </c>
      <c r="D1792" s="177">
        <v>19</v>
      </c>
      <c r="E1792" s="168"/>
      <c r="F1792" s="171"/>
      <c r="G1792" s="170"/>
      <c r="H1792" s="177"/>
      <c r="I1792" s="171"/>
      <c r="J1792" s="171"/>
      <c r="K1792" s="166" t="str">
        <f ca="1">IFERROR(VLOOKUP(C1792,' Disaggregation - Section E '!A$618:N996,3,0),"")</f>
        <v/>
      </c>
      <c r="L1792" s="166"/>
      <c r="M1792" s="166"/>
      <c r="N1792" s="171"/>
      <c r="O1792" s="171"/>
      <c r="P1792" s="171"/>
    </row>
    <row r="1793" spans="1:16">
      <c r="A1793" s="166" t="b">
        <v>0</v>
      </c>
      <c r="B1793" s="166"/>
      <c r="C1793" s="166" t="s">
        <v>4279</v>
      </c>
      <c r="D1793" s="177">
        <v>19</v>
      </c>
      <c r="E1793" s="168"/>
      <c r="F1793" s="171"/>
      <c r="G1793" s="170"/>
      <c r="H1793" s="177"/>
      <c r="I1793" s="171"/>
      <c r="J1793" s="171"/>
      <c r="K1793" s="166" t="str">
        <f ca="1">IFERROR(VLOOKUP(C1793,' Disaggregation - Section E '!A$618:N997,3,0),"")</f>
        <v/>
      </c>
      <c r="L1793" s="166"/>
      <c r="M1793" s="166"/>
      <c r="N1793" s="171"/>
      <c r="O1793" s="171"/>
      <c r="P1793" s="171"/>
    </row>
    <row r="1794" spans="1:16">
      <c r="A1794" s="166" t="b">
        <v>0</v>
      </c>
      <c r="B1794" s="166"/>
      <c r="C1794" s="166" t="s">
        <v>4280</v>
      </c>
      <c r="D1794" s="177">
        <v>19</v>
      </c>
      <c r="E1794" s="168"/>
      <c r="F1794" s="171"/>
      <c r="G1794" s="170"/>
      <c r="H1794" s="177"/>
      <c r="I1794" s="171"/>
      <c r="J1794" s="171"/>
      <c r="K1794" s="166" t="str">
        <f ca="1">IFERROR(VLOOKUP(C1794,' Disaggregation - Section E '!A$618:N998,3,0),"")</f>
        <v/>
      </c>
      <c r="L1794" s="166"/>
      <c r="M1794" s="166"/>
      <c r="N1794" s="171"/>
      <c r="O1794" s="171"/>
      <c r="P1794" s="171"/>
    </row>
    <row r="1795" spans="1:16">
      <c r="A1795" s="166" t="b">
        <v>0</v>
      </c>
      <c r="B1795" s="166"/>
      <c r="C1795" s="166" t="s">
        <v>4281</v>
      </c>
      <c r="D1795" s="177">
        <v>19</v>
      </c>
      <c r="E1795" s="168"/>
      <c r="F1795" s="171"/>
      <c r="G1795" s="170"/>
      <c r="H1795" s="177"/>
      <c r="I1795" s="171"/>
      <c r="J1795" s="171"/>
      <c r="K1795" s="166" t="str">
        <f ca="1">IFERROR(VLOOKUP(C1795,' Disaggregation - Section E '!A$618:N999,3,0),"")</f>
        <v/>
      </c>
      <c r="L1795" s="166"/>
      <c r="M1795" s="166"/>
      <c r="N1795" s="171"/>
      <c r="O1795" s="171"/>
      <c r="P1795" s="171"/>
    </row>
    <row r="1796" spans="1:16">
      <c r="A1796" s="166" t="b">
        <v>0</v>
      </c>
      <c r="B1796" s="166"/>
      <c r="C1796" s="166" t="s">
        <v>4282</v>
      </c>
      <c r="D1796" s="177">
        <v>19</v>
      </c>
      <c r="E1796" s="168"/>
      <c r="F1796" s="171"/>
      <c r="G1796" s="170"/>
      <c r="H1796" s="177"/>
      <c r="I1796" s="171"/>
      <c r="J1796" s="171"/>
      <c r="K1796" s="166" t="str">
        <f ca="1">IFERROR(VLOOKUP(C1796,' Disaggregation - Section E '!A$618:N1000,3,0),"")</f>
        <v/>
      </c>
      <c r="L1796" s="166"/>
      <c r="M1796" s="166"/>
      <c r="N1796" s="171"/>
      <c r="O1796" s="171"/>
      <c r="P1796" s="171"/>
    </row>
    <row r="1797" spans="1:16">
      <c r="A1797" s="166" t="b">
        <v>0</v>
      </c>
      <c r="B1797" s="166"/>
      <c r="C1797" s="166" t="s">
        <v>4283</v>
      </c>
      <c r="D1797" s="177">
        <v>19</v>
      </c>
      <c r="E1797" s="168"/>
      <c r="F1797" s="171"/>
      <c r="G1797" s="170"/>
      <c r="H1797" s="177"/>
      <c r="I1797" s="171"/>
      <c r="J1797" s="171"/>
      <c r="K1797" s="166" t="str">
        <f ca="1">IFERROR(VLOOKUP(C1797,' Disaggregation - Section E '!A$618:N1001,3,0),"")</f>
        <v/>
      </c>
      <c r="L1797" s="166"/>
      <c r="M1797" s="166"/>
      <c r="N1797" s="171"/>
      <c r="O1797" s="171"/>
      <c r="P1797" s="171"/>
    </row>
    <row r="1798" spans="1:16">
      <c r="A1798" s="166" t="b">
        <v>0</v>
      </c>
      <c r="B1798" s="166"/>
      <c r="C1798" s="166" t="s">
        <v>4284</v>
      </c>
      <c r="D1798" s="177">
        <v>19</v>
      </c>
      <c r="E1798" s="168"/>
      <c r="F1798" s="171"/>
      <c r="G1798" s="170"/>
      <c r="H1798" s="177"/>
      <c r="I1798" s="171"/>
      <c r="J1798" s="171"/>
      <c r="K1798" s="166" t="str">
        <f ca="1">IFERROR(VLOOKUP(C1798,' Disaggregation - Section E '!A$618:N1002,3,0),"")</f>
        <v/>
      </c>
      <c r="L1798" s="166"/>
      <c r="M1798" s="166"/>
      <c r="N1798" s="171"/>
      <c r="O1798" s="171"/>
      <c r="P1798" s="171"/>
    </row>
    <row r="1799" spans="1:16">
      <c r="A1799" s="166" t="b">
        <v>0</v>
      </c>
      <c r="B1799" s="166"/>
      <c r="C1799" s="166" t="s">
        <v>4285</v>
      </c>
      <c r="D1799" s="177">
        <v>19</v>
      </c>
      <c r="E1799" s="168"/>
      <c r="F1799" s="171"/>
      <c r="G1799" s="170"/>
      <c r="H1799" s="177"/>
      <c r="I1799" s="171"/>
      <c r="J1799" s="171"/>
      <c r="K1799" s="166" t="str">
        <f ca="1">IFERROR(VLOOKUP(C1799,' Disaggregation - Section E '!A$618:N1003,3,0),"")</f>
        <v/>
      </c>
      <c r="L1799" s="166"/>
      <c r="M1799" s="166"/>
      <c r="N1799" s="171"/>
      <c r="O1799" s="171"/>
      <c r="P1799" s="171"/>
    </row>
    <row r="1800" spans="1:16">
      <c r="A1800" s="166" t="b">
        <v>0</v>
      </c>
      <c r="B1800" s="166"/>
      <c r="C1800" s="166" t="s">
        <v>4286</v>
      </c>
      <c r="D1800" s="177">
        <v>20</v>
      </c>
      <c r="E1800" s="168"/>
      <c r="F1800" s="171"/>
      <c r="G1800" s="170"/>
      <c r="H1800" s="177"/>
      <c r="I1800" s="171"/>
      <c r="J1800" s="171"/>
      <c r="K1800" s="166" t="str">
        <f ca="1">IFERROR(VLOOKUP(C1800,' Disaggregation - Section E '!A$618:N1004,3,0),"")</f>
        <v/>
      </c>
      <c r="L1800" s="166"/>
      <c r="M1800" s="166"/>
      <c r="N1800" s="171"/>
      <c r="O1800" s="171"/>
      <c r="P1800" s="171"/>
    </row>
    <row r="1801" spans="1:16">
      <c r="A1801" s="166" t="b">
        <v>0</v>
      </c>
      <c r="B1801" s="166"/>
      <c r="C1801" s="166" t="s">
        <v>4287</v>
      </c>
      <c r="D1801" s="177">
        <v>20</v>
      </c>
      <c r="E1801" s="168"/>
      <c r="F1801" s="171"/>
      <c r="G1801" s="170"/>
      <c r="H1801" s="177"/>
      <c r="I1801" s="171"/>
      <c r="J1801" s="171"/>
      <c r="K1801" s="166" t="str">
        <f ca="1">IFERROR(VLOOKUP(C1801,' Disaggregation - Section E '!A$618:N1005,3,0),"")</f>
        <v/>
      </c>
      <c r="L1801" s="166"/>
      <c r="M1801" s="166"/>
      <c r="N1801" s="171"/>
      <c r="O1801" s="171"/>
      <c r="P1801" s="171"/>
    </row>
    <row r="1802" spans="1:16">
      <c r="A1802" s="166" t="b">
        <v>0</v>
      </c>
      <c r="B1802" s="166"/>
      <c r="C1802" s="166" t="s">
        <v>4288</v>
      </c>
      <c r="D1802" s="177">
        <v>20</v>
      </c>
      <c r="E1802" s="168"/>
      <c r="F1802" s="171"/>
      <c r="G1802" s="170"/>
      <c r="H1802" s="177"/>
      <c r="I1802" s="171"/>
      <c r="J1802" s="171"/>
      <c r="K1802" s="166" t="str">
        <f ca="1">IFERROR(VLOOKUP(C1802,' Disaggregation - Section E '!A$618:N1006,3,0),"")</f>
        <v/>
      </c>
      <c r="L1802" s="166"/>
      <c r="M1802" s="166"/>
      <c r="N1802" s="171"/>
      <c r="O1802" s="171"/>
      <c r="P1802" s="171"/>
    </row>
    <row r="1803" spans="1:16">
      <c r="A1803" s="166" t="b">
        <v>0</v>
      </c>
      <c r="B1803" s="166"/>
      <c r="C1803" s="166" t="s">
        <v>4289</v>
      </c>
      <c r="D1803" s="177">
        <v>20</v>
      </c>
      <c r="E1803" s="168"/>
      <c r="F1803" s="171"/>
      <c r="G1803" s="170"/>
      <c r="H1803" s="177"/>
      <c r="I1803" s="171"/>
      <c r="J1803" s="171"/>
      <c r="K1803" s="166" t="str">
        <f ca="1">IFERROR(VLOOKUP(C1803,' Disaggregation - Section E '!A$618:N1007,3,0),"")</f>
        <v/>
      </c>
      <c r="L1803" s="166"/>
      <c r="M1803" s="166"/>
      <c r="N1803" s="171"/>
      <c r="O1803" s="171"/>
      <c r="P1803" s="171"/>
    </row>
    <row r="1804" spans="1:16">
      <c r="A1804" s="166" t="b">
        <v>0</v>
      </c>
      <c r="B1804" s="166"/>
      <c r="C1804" s="166" t="s">
        <v>4290</v>
      </c>
      <c r="D1804" s="177">
        <v>20</v>
      </c>
      <c r="E1804" s="168"/>
      <c r="F1804" s="171"/>
      <c r="G1804" s="170"/>
      <c r="H1804" s="177"/>
      <c r="I1804" s="171"/>
      <c r="J1804" s="171"/>
      <c r="K1804" s="166" t="str">
        <f ca="1">IFERROR(VLOOKUP(C1804,' Disaggregation - Section E '!A$618:N1008,3,0),"")</f>
        <v/>
      </c>
      <c r="L1804" s="166"/>
      <c r="M1804" s="166"/>
      <c r="N1804" s="171"/>
      <c r="O1804" s="171"/>
      <c r="P1804" s="171"/>
    </row>
    <row r="1805" spans="1:16">
      <c r="A1805" s="166" t="b">
        <v>0</v>
      </c>
      <c r="B1805" s="166"/>
      <c r="C1805" s="166" t="s">
        <v>4291</v>
      </c>
      <c r="D1805" s="177">
        <v>20</v>
      </c>
      <c r="E1805" s="168"/>
      <c r="F1805" s="171"/>
      <c r="G1805" s="170"/>
      <c r="H1805" s="177"/>
      <c r="I1805" s="171"/>
      <c r="J1805" s="171"/>
      <c r="K1805" s="166" t="str">
        <f ca="1">IFERROR(VLOOKUP(C1805,' Disaggregation - Section E '!A$618:N1009,3,0),"")</f>
        <v/>
      </c>
      <c r="L1805" s="166"/>
      <c r="M1805" s="166"/>
      <c r="N1805" s="171"/>
      <c r="O1805" s="171"/>
      <c r="P1805" s="171"/>
    </row>
    <row r="1806" spans="1:16">
      <c r="A1806" s="166" t="b">
        <v>0</v>
      </c>
      <c r="B1806" s="166"/>
      <c r="C1806" s="166" t="s">
        <v>4292</v>
      </c>
      <c r="D1806" s="177">
        <v>20</v>
      </c>
      <c r="E1806" s="168"/>
      <c r="F1806" s="171"/>
      <c r="G1806" s="170"/>
      <c r="H1806" s="177"/>
      <c r="I1806" s="171"/>
      <c r="J1806" s="171"/>
      <c r="K1806" s="166" t="str">
        <f ca="1">IFERROR(VLOOKUP(C1806,' Disaggregation - Section E '!A$618:N1010,3,0),"")</f>
        <v/>
      </c>
      <c r="L1806" s="166"/>
      <c r="M1806" s="166"/>
      <c r="N1806" s="171"/>
      <c r="O1806" s="171"/>
      <c r="P1806" s="171"/>
    </row>
    <row r="1807" spans="1:16">
      <c r="A1807" s="166" t="b">
        <v>0</v>
      </c>
      <c r="B1807" s="166"/>
      <c r="C1807" s="166" t="s">
        <v>4293</v>
      </c>
      <c r="D1807" s="177">
        <v>20</v>
      </c>
      <c r="E1807" s="168"/>
      <c r="F1807" s="171"/>
      <c r="G1807" s="170"/>
      <c r="H1807" s="177"/>
      <c r="I1807" s="171"/>
      <c r="J1807" s="171"/>
      <c r="K1807" s="166" t="str">
        <f ca="1">IFERROR(VLOOKUP(C1807,' Disaggregation - Section E '!A$618:N1011,3,0),"")</f>
        <v/>
      </c>
      <c r="L1807" s="166"/>
      <c r="M1807" s="166"/>
      <c r="N1807" s="171"/>
      <c r="O1807" s="171"/>
      <c r="P1807" s="171"/>
    </row>
    <row r="1808" spans="1:16">
      <c r="A1808" s="166" t="b">
        <v>0</v>
      </c>
      <c r="B1808" s="166"/>
      <c r="C1808" s="166" t="s">
        <v>4294</v>
      </c>
      <c r="D1808" s="177">
        <v>20</v>
      </c>
      <c r="E1808" s="168"/>
      <c r="F1808" s="171"/>
      <c r="G1808" s="170"/>
      <c r="H1808" s="177"/>
      <c r="I1808" s="171"/>
      <c r="J1808" s="171"/>
      <c r="K1808" s="166" t="str">
        <f ca="1">IFERROR(VLOOKUP(C1808,' Disaggregation - Section E '!A$618:N1012,3,0),"")</f>
        <v/>
      </c>
      <c r="L1808" s="166"/>
      <c r="M1808" s="166"/>
      <c r="N1808" s="171"/>
      <c r="O1808" s="171"/>
      <c r="P1808" s="171"/>
    </row>
    <row r="1809" spans="1:16">
      <c r="A1809" s="166" t="b">
        <v>0</v>
      </c>
      <c r="B1809" s="166"/>
      <c r="C1809" s="166" t="s">
        <v>4295</v>
      </c>
      <c r="D1809" s="177">
        <v>20</v>
      </c>
      <c r="E1809" s="168"/>
      <c r="F1809" s="171"/>
      <c r="G1809" s="170"/>
      <c r="H1809" s="177"/>
      <c r="I1809" s="171"/>
      <c r="J1809" s="171"/>
      <c r="K1809" s="166" t="str">
        <f ca="1">IFERROR(VLOOKUP(C1809,' Disaggregation - Section E '!A$618:N1013,3,0),"")</f>
        <v/>
      </c>
      <c r="L1809" s="166"/>
      <c r="M1809" s="166"/>
      <c r="N1809" s="171"/>
      <c r="O1809" s="171"/>
      <c r="P1809" s="171"/>
    </row>
    <row r="1810" spans="1:16">
      <c r="A1810" s="166" t="b">
        <v>0</v>
      </c>
      <c r="B1810" s="166"/>
      <c r="C1810" s="166" t="s">
        <v>4296</v>
      </c>
      <c r="D1810" s="177">
        <v>20</v>
      </c>
      <c r="E1810" s="168"/>
      <c r="F1810" s="171"/>
      <c r="G1810" s="170"/>
      <c r="H1810" s="177"/>
      <c r="I1810" s="171"/>
      <c r="J1810" s="171"/>
      <c r="K1810" s="166" t="str">
        <f ca="1">IFERROR(VLOOKUP(C1810,' Disaggregation - Section E '!A$618:N1014,3,0),"")</f>
        <v/>
      </c>
      <c r="L1810" s="166"/>
      <c r="M1810" s="166"/>
      <c r="N1810" s="171"/>
      <c r="O1810" s="171"/>
      <c r="P1810" s="171"/>
    </row>
    <row r="1811" spans="1:16">
      <c r="A1811" s="166" t="b">
        <v>0</v>
      </c>
      <c r="B1811" s="166"/>
      <c r="C1811" s="166" t="s">
        <v>4297</v>
      </c>
      <c r="D1811" s="177">
        <v>20</v>
      </c>
      <c r="E1811" s="168"/>
      <c r="F1811" s="171"/>
      <c r="G1811" s="170"/>
      <c r="H1811" s="177"/>
      <c r="I1811" s="171"/>
      <c r="J1811" s="171"/>
      <c r="K1811" s="166" t="str">
        <f ca="1">IFERROR(VLOOKUP(C1811,' Disaggregation - Section E '!A$618:N1015,3,0),"")</f>
        <v/>
      </c>
      <c r="L1811" s="166"/>
      <c r="M1811" s="166"/>
      <c r="N1811" s="171"/>
      <c r="O1811" s="171"/>
      <c r="P1811" s="171"/>
    </row>
    <row r="1812" spans="1:16">
      <c r="A1812" s="166" t="b">
        <v>0</v>
      </c>
      <c r="B1812" s="166"/>
      <c r="C1812" s="166" t="s">
        <v>4298</v>
      </c>
      <c r="D1812" s="177">
        <v>20</v>
      </c>
      <c r="E1812" s="168"/>
      <c r="F1812" s="171"/>
      <c r="G1812" s="170"/>
      <c r="H1812" s="177"/>
      <c r="I1812" s="171"/>
      <c r="J1812" s="171"/>
      <c r="K1812" s="166" t="str">
        <f ca="1">IFERROR(VLOOKUP(C1812,' Disaggregation - Section E '!A$618:N1016,3,0),"")</f>
        <v/>
      </c>
      <c r="L1812" s="166"/>
      <c r="M1812" s="166"/>
      <c r="N1812" s="171"/>
      <c r="O1812" s="171"/>
      <c r="P1812" s="171"/>
    </row>
    <row r="1813" spans="1:16">
      <c r="A1813" s="166" t="b">
        <v>0</v>
      </c>
      <c r="B1813" s="166"/>
      <c r="C1813" s="166" t="s">
        <v>4299</v>
      </c>
      <c r="D1813" s="177">
        <v>20</v>
      </c>
      <c r="E1813" s="168"/>
      <c r="F1813" s="171"/>
      <c r="G1813" s="170"/>
      <c r="H1813" s="177"/>
      <c r="I1813" s="171"/>
      <c r="J1813" s="171"/>
      <c r="K1813" s="166" t="str">
        <f ca="1">IFERROR(VLOOKUP(C1813,' Disaggregation - Section E '!A$618:N1017,3,0),"")</f>
        <v/>
      </c>
      <c r="L1813" s="166"/>
      <c r="M1813" s="166"/>
      <c r="N1813" s="171"/>
      <c r="O1813" s="171"/>
      <c r="P1813" s="171"/>
    </row>
    <row r="1814" spans="1:16">
      <c r="A1814" s="166" t="b">
        <v>0</v>
      </c>
      <c r="B1814" s="166"/>
      <c r="C1814" s="166" t="s">
        <v>4300</v>
      </c>
      <c r="D1814" s="177">
        <v>20</v>
      </c>
      <c r="E1814" s="168"/>
      <c r="F1814" s="171"/>
      <c r="G1814" s="170"/>
      <c r="H1814" s="177"/>
      <c r="I1814" s="171"/>
      <c r="J1814" s="171"/>
      <c r="K1814" s="166" t="str">
        <f ca="1">IFERROR(VLOOKUP(C1814,' Disaggregation - Section E '!A$618:N1018,3,0),"")</f>
        <v/>
      </c>
      <c r="L1814" s="166"/>
      <c r="M1814" s="166"/>
      <c r="N1814" s="171"/>
      <c r="O1814" s="171"/>
      <c r="P1814" s="171"/>
    </row>
    <row r="1815" spans="1:16">
      <c r="A1815" s="166" t="b">
        <v>0</v>
      </c>
      <c r="B1815" s="166"/>
      <c r="C1815" s="166" t="s">
        <v>4301</v>
      </c>
      <c r="D1815" s="177">
        <v>20</v>
      </c>
      <c r="E1815" s="168"/>
      <c r="F1815" s="171"/>
      <c r="G1815" s="170"/>
      <c r="H1815" s="177"/>
      <c r="I1815" s="171"/>
      <c r="J1815" s="171"/>
      <c r="K1815" s="166" t="str">
        <f ca="1">IFERROR(VLOOKUP(C1815,' Disaggregation - Section E '!A$618:N1019,3,0),"")</f>
        <v/>
      </c>
      <c r="L1815" s="166"/>
      <c r="M1815" s="166"/>
      <c r="N1815" s="171"/>
      <c r="O1815" s="171"/>
      <c r="P1815" s="171"/>
    </row>
    <row r="1816" spans="1:16">
      <c r="A1816" s="166" t="b">
        <v>0</v>
      </c>
      <c r="B1816" s="166"/>
      <c r="C1816" s="166" t="s">
        <v>4302</v>
      </c>
      <c r="D1816" s="177">
        <v>20</v>
      </c>
      <c r="E1816" s="168"/>
      <c r="F1816" s="171"/>
      <c r="G1816" s="170"/>
      <c r="H1816" s="177"/>
      <c r="I1816" s="171"/>
      <c r="J1816" s="171"/>
      <c r="K1816" s="166" t="str">
        <f ca="1">IFERROR(VLOOKUP(C1816,' Disaggregation - Section E '!A$618:N1020,3,0),"")</f>
        <v/>
      </c>
      <c r="L1816" s="166"/>
      <c r="M1816" s="166"/>
      <c r="N1816" s="171"/>
      <c r="O1816" s="171"/>
      <c r="P1816" s="171"/>
    </row>
    <row r="1817" spans="1:16">
      <c r="A1817" s="166" t="b">
        <v>0</v>
      </c>
      <c r="B1817" s="166"/>
      <c r="C1817" s="166" t="s">
        <v>4303</v>
      </c>
      <c r="D1817" s="177">
        <v>20</v>
      </c>
      <c r="E1817" s="168"/>
      <c r="F1817" s="171"/>
      <c r="G1817" s="170"/>
      <c r="H1817" s="177"/>
      <c r="I1817" s="171"/>
      <c r="J1817" s="171"/>
      <c r="K1817" s="166" t="str">
        <f ca="1">IFERROR(VLOOKUP(C1817,' Disaggregation - Section E '!A$618:N1021,3,0),"")</f>
        <v/>
      </c>
      <c r="L1817" s="166"/>
      <c r="M1817" s="166"/>
      <c r="N1817" s="171"/>
      <c r="O1817" s="171"/>
      <c r="P1817" s="171"/>
    </row>
    <row r="1818" spans="1:16">
      <c r="A1818" s="166" t="b">
        <v>0</v>
      </c>
      <c r="B1818" s="166"/>
      <c r="C1818" s="166" t="s">
        <v>4304</v>
      </c>
      <c r="D1818" s="177">
        <v>20</v>
      </c>
      <c r="E1818" s="168"/>
      <c r="F1818" s="171"/>
      <c r="G1818" s="170"/>
      <c r="H1818" s="177"/>
      <c r="I1818" s="171"/>
      <c r="J1818" s="171"/>
      <c r="K1818" s="166" t="str">
        <f ca="1">IFERROR(VLOOKUP(C1818,' Disaggregation - Section E '!A$618:N1022,3,0),"")</f>
        <v/>
      </c>
      <c r="L1818" s="166"/>
      <c r="M1818" s="166"/>
      <c r="N1818" s="171"/>
      <c r="O1818" s="171"/>
      <c r="P1818" s="171"/>
    </row>
    <row r="1819" spans="1:16">
      <c r="A1819" s="166" t="b">
        <v>0</v>
      </c>
      <c r="B1819" s="166"/>
      <c r="C1819" s="166" t="s">
        <v>4305</v>
      </c>
      <c r="D1819" s="177">
        <v>20</v>
      </c>
      <c r="E1819" s="168"/>
      <c r="F1819" s="171"/>
      <c r="G1819" s="170"/>
      <c r="H1819" s="177"/>
      <c r="I1819" s="171"/>
      <c r="J1819" s="171"/>
      <c r="K1819" s="166" t="str">
        <f ca="1">IFERROR(VLOOKUP(C1819,' Disaggregation - Section E '!A$618:N1023,3,0),"")</f>
        <v/>
      </c>
      <c r="L1819" s="166"/>
      <c r="M1819" s="166"/>
      <c r="N1819" s="171"/>
      <c r="O1819" s="171"/>
      <c r="P1819" s="171"/>
    </row>
    <row r="1820" spans="1:16">
      <c r="A1820" s="166" t="b">
        <v>0</v>
      </c>
      <c r="B1820" s="166"/>
      <c r="C1820" s="166" t="s">
        <v>4306</v>
      </c>
      <c r="D1820" s="177">
        <v>21</v>
      </c>
      <c r="E1820" s="168"/>
      <c r="F1820" s="171"/>
      <c r="G1820" s="170"/>
      <c r="H1820" s="177"/>
      <c r="I1820" s="171"/>
      <c r="J1820" s="171"/>
      <c r="K1820" s="166" t="str">
        <f ca="1">IFERROR(VLOOKUP(C1820,' Disaggregation - Section E '!A$618:N1024,3,0),"")</f>
        <v/>
      </c>
      <c r="L1820" s="166"/>
      <c r="M1820" s="166"/>
      <c r="N1820" s="171"/>
      <c r="O1820" s="171"/>
      <c r="P1820" s="171"/>
    </row>
    <row r="1821" spans="1:16">
      <c r="A1821" s="166" t="b">
        <v>0</v>
      </c>
      <c r="B1821" s="166"/>
      <c r="C1821" s="166" t="s">
        <v>4307</v>
      </c>
      <c r="D1821" s="177">
        <v>21</v>
      </c>
      <c r="E1821" s="168"/>
      <c r="F1821" s="171"/>
      <c r="G1821" s="170"/>
      <c r="H1821" s="177"/>
      <c r="I1821" s="171"/>
      <c r="J1821" s="171"/>
      <c r="K1821" s="166" t="str">
        <f ca="1">IFERROR(VLOOKUP(C1821,' Disaggregation - Section E '!A$618:N1025,3,0),"")</f>
        <v/>
      </c>
      <c r="L1821" s="166"/>
      <c r="M1821" s="166"/>
      <c r="N1821" s="171"/>
      <c r="O1821" s="171"/>
      <c r="P1821" s="171"/>
    </row>
    <row r="1822" spans="1:16">
      <c r="A1822" s="166" t="b">
        <v>0</v>
      </c>
      <c r="B1822" s="166"/>
      <c r="C1822" s="166" t="s">
        <v>4308</v>
      </c>
      <c r="D1822" s="177">
        <v>21</v>
      </c>
      <c r="E1822" s="168"/>
      <c r="F1822" s="171"/>
      <c r="G1822" s="170"/>
      <c r="H1822" s="177"/>
      <c r="I1822" s="171"/>
      <c r="J1822" s="171"/>
      <c r="K1822" s="166" t="str">
        <f ca="1">IFERROR(VLOOKUP(C1822,' Disaggregation - Section E '!A$618:N1026,3,0),"")</f>
        <v/>
      </c>
      <c r="L1822" s="166"/>
      <c r="M1822" s="166"/>
      <c r="N1822" s="171"/>
      <c r="O1822" s="171"/>
      <c r="P1822" s="171"/>
    </row>
    <row r="1823" spans="1:16">
      <c r="A1823" s="166" t="b">
        <v>0</v>
      </c>
      <c r="B1823" s="166"/>
      <c r="C1823" s="166" t="s">
        <v>4309</v>
      </c>
      <c r="D1823" s="177">
        <v>21</v>
      </c>
      <c r="E1823" s="168"/>
      <c r="F1823" s="171"/>
      <c r="G1823" s="170"/>
      <c r="H1823" s="177"/>
      <c r="I1823" s="171"/>
      <c r="J1823" s="171"/>
      <c r="K1823" s="166" t="str">
        <f ca="1">IFERROR(VLOOKUP(C1823,' Disaggregation - Section E '!A$618:N1027,3,0),"")</f>
        <v/>
      </c>
      <c r="L1823" s="166"/>
      <c r="M1823" s="166"/>
      <c r="N1823" s="171"/>
      <c r="O1823" s="171"/>
      <c r="P1823" s="171"/>
    </row>
    <row r="1824" spans="1:16">
      <c r="A1824" s="166" t="b">
        <v>0</v>
      </c>
      <c r="B1824" s="166"/>
      <c r="C1824" s="166" t="s">
        <v>4310</v>
      </c>
      <c r="D1824" s="177">
        <v>21</v>
      </c>
      <c r="E1824" s="168"/>
      <c r="F1824" s="171"/>
      <c r="G1824" s="170"/>
      <c r="H1824" s="177"/>
      <c r="I1824" s="171"/>
      <c r="J1824" s="171"/>
      <c r="K1824" s="166" t="str">
        <f ca="1">IFERROR(VLOOKUP(C1824,' Disaggregation - Section E '!A$618:N1028,3,0),"")</f>
        <v/>
      </c>
      <c r="L1824" s="166"/>
      <c r="M1824" s="166"/>
      <c r="N1824" s="171"/>
      <c r="O1824" s="171"/>
      <c r="P1824" s="171"/>
    </row>
    <row r="1825" spans="1:16">
      <c r="A1825" s="166" t="b">
        <v>0</v>
      </c>
      <c r="B1825" s="166"/>
      <c r="C1825" s="166" t="s">
        <v>4311</v>
      </c>
      <c r="D1825" s="177">
        <v>21</v>
      </c>
      <c r="E1825" s="168"/>
      <c r="F1825" s="171"/>
      <c r="G1825" s="170"/>
      <c r="H1825" s="177"/>
      <c r="I1825" s="171"/>
      <c r="J1825" s="171"/>
      <c r="K1825" s="166" t="str">
        <f ca="1">IFERROR(VLOOKUP(C1825,' Disaggregation - Section E '!A$618:N1029,3,0),"")</f>
        <v/>
      </c>
      <c r="L1825" s="166"/>
      <c r="M1825" s="166"/>
      <c r="N1825" s="171"/>
      <c r="O1825" s="171"/>
      <c r="P1825" s="171"/>
    </row>
    <row r="1826" spans="1:16">
      <c r="A1826" s="166" t="b">
        <v>0</v>
      </c>
      <c r="B1826" s="166"/>
      <c r="C1826" s="166" t="s">
        <v>4312</v>
      </c>
      <c r="D1826" s="177">
        <v>21</v>
      </c>
      <c r="E1826" s="168"/>
      <c r="F1826" s="171"/>
      <c r="G1826" s="170"/>
      <c r="H1826" s="177"/>
      <c r="I1826" s="171"/>
      <c r="J1826" s="171"/>
      <c r="K1826" s="166" t="str">
        <f ca="1">IFERROR(VLOOKUP(C1826,' Disaggregation - Section E '!A$618:N1030,3,0),"")</f>
        <v/>
      </c>
      <c r="L1826" s="166"/>
      <c r="M1826" s="166"/>
      <c r="N1826" s="171"/>
      <c r="O1826" s="171"/>
      <c r="P1826" s="171"/>
    </row>
    <row r="1827" spans="1:16">
      <c r="A1827" s="166" t="b">
        <v>0</v>
      </c>
      <c r="B1827" s="166"/>
      <c r="C1827" s="166" t="s">
        <v>4313</v>
      </c>
      <c r="D1827" s="177">
        <v>21</v>
      </c>
      <c r="E1827" s="168"/>
      <c r="F1827" s="171"/>
      <c r="G1827" s="170"/>
      <c r="H1827" s="177"/>
      <c r="I1827" s="171"/>
      <c r="J1827" s="171"/>
      <c r="K1827" s="166" t="str">
        <f ca="1">IFERROR(VLOOKUP(C1827,' Disaggregation - Section E '!A$618:N1031,3,0),"")</f>
        <v/>
      </c>
      <c r="L1827" s="166"/>
      <c r="M1827" s="166"/>
      <c r="N1827" s="171"/>
      <c r="O1827" s="171"/>
      <c r="P1827" s="171"/>
    </row>
    <row r="1828" spans="1:16">
      <c r="A1828" s="166" t="b">
        <v>0</v>
      </c>
      <c r="B1828" s="166"/>
      <c r="C1828" s="166" t="s">
        <v>4314</v>
      </c>
      <c r="D1828" s="177">
        <v>21</v>
      </c>
      <c r="E1828" s="168"/>
      <c r="F1828" s="171"/>
      <c r="G1828" s="170"/>
      <c r="H1828" s="177"/>
      <c r="I1828" s="171"/>
      <c r="J1828" s="171"/>
      <c r="K1828" s="166" t="str">
        <f ca="1">IFERROR(VLOOKUP(C1828,' Disaggregation - Section E '!A$618:N1032,3,0),"")</f>
        <v/>
      </c>
      <c r="L1828" s="166"/>
      <c r="M1828" s="166"/>
      <c r="N1828" s="171"/>
      <c r="O1828" s="171"/>
      <c r="P1828" s="171"/>
    </row>
    <row r="1829" spans="1:16">
      <c r="A1829" s="166" t="b">
        <v>0</v>
      </c>
      <c r="B1829" s="166"/>
      <c r="C1829" s="166" t="s">
        <v>4315</v>
      </c>
      <c r="D1829" s="177">
        <v>21</v>
      </c>
      <c r="E1829" s="168"/>
      <c r="F1829" s="171"/>
      <c r="G1829" s="170"/>
      <c r="H1829" s="177"/>
      <c r="I1829" s="171"/>
      <c r="J1829" s="171"/>
      <c r="K1829" s="166" t="str">
        <f ca="1">IFERROR(VLOOKUP(C1829,' Disaggregation - Section E '!A$618:N1033,3,0),"")</f>
        <v/>
      </c>
      <c r="L1829" s="166"/>
      <c r="M1829" s="166"/>
      <c r="N1829" s="171"/>
      <c r="O1829" s="171"/>
      <c r="P1829" s="171"/>
    </row>
    <row r="1830" spans="1:16">
      <c r="A1830" s="166" t="b">
        <v>0</v>
      </c>
      <c r="B1830" s="166"/>
      <c r="C1830" s="166" t="s">
        <v>4316</v>
      </c>
      <c r="D1830" s="177">
        <v>21</v>
      </c>
      <c r="E1830" s="168"/>
      <c r="F1830" s="171"/>
      <c r="G1830" s="170"/>
      <c r="H1830" s="177"/>
      <c r="I1830" s="171"/>
      <c r="J1830" s="171"/>
      <c r="K1830" s="166" t="str">
        <f ca="1">IFERROR(VLOOKUP(C1830,' Disaggregation - Section E '!A$618:N1034,3,0),"")</f>
        <v/>
      </c>
      <c r="L1830" s="166"/>
      <c r="M1830" s="166"/>
      <c r="N1830" s="171"/>
      <c r="O1830" s="171"/>
      <c r="P1830" s="171"/>
    </row>
    <row r="1831" spans="1:16">
      <c r="A1831" s="166" t="b">
        <v>0</v>
      </c>
      <c r="B1831" s="166"/>
      <c r="C1831" s="166" t="s">
        <v>4317</v>
      </c>
      <c r="D1831" s="177">
        <v>21</v>
      </c>
      <c r="E1831" s="168"/>
      <c r="F1831" s="171"/>
      <c r="G1831" s="170"/>
      <c r="H1831" s="177"/>
      <c r="I1831" s="171"/>
      <c r="J1831" s="171"/>
      <c r="K1831" s="166" t="str">
        <f ca="1">IFERROR(VLOOKUP(C1831,' Disaggregation - Section E '!A$618:N1035,3,0),"")</f>
        <v/>
      </c>
      <c r="L1831" s="166"/>
      <c r="M1831" s="166"/>
      <c r="N1831" s="171"/>
      <c r="O1831" s="171"/>
      <c r="P1831" s="171"/>
    </row>
    <row r="1832" spans="1:16">
      <c r="A1832" s="166" t="b">
        <v>0</v>
      </c>
      <c r="B1832" s="166"/>
      <c r="C1832" s="166" t="s">
        <v>4318</v>
      </c>
      <c r="D1832" s="177">
        <v>21</v>
      </c>
      <c r="E1832" s="168"/>
      <c r="F1832" s="171"/>
      <c r="G1832" s="170"/>
      <c r="H1832" s="177"/>
      <c r="I1832" s="171"/>
      <c r="J1832" s="171"/>
      <c r="K1832" s="166" t="str">
        <f ca="1">IFERROR(VLOOKUP(C1832,' Disaggregation - Section E '!A$618:N1036,3,0),"")</f>
        <v/>
      </c>
      <c r="L1832" s="166"/>
      <c r="M1832" s="166"/>
      <c r="N1832" s="171"/>
      <c r="O1832" s="171"/>
      <c r="P1832" s="171"/>
    </row>
    <row r="1833" spans="1:16">
      <c r="A1833" s="166" t="b">
        <v>0</v>
      </c>
      <c r="B1833" s="166"/>
      <c r="C1833" s="166" t="s">
        <v>4319</v>
      </c>
      <c r="D1833" s="177">
        <v>21</v>
      </c>
      <c r="E1833" s="168"/>
      <c r="F1833" s="171"/>
      <c r="G1833" s="170"/>
      <c r="H1833" s="177"/>
      <c r="I1833" s="171"/>
      <c r="J1833" s="171"/>
      <c r="K1833" s="166" t="str">
        <f ca="1">IFERROR(VLOOKUP(C1833,' Disaggregation - Section E '!A$618:N1037,3,0),"")</f>
        <v/>
      </c>
      <c r="L1833" s="166"/>
      <c r="M1833" s="166"/>
      <c r="N1833" s="171"/>
      <c r="O1833" s="171"/>
      <c r="P1833" s="171"/>
    </row>
    <row r="1834" spans="1:16">
      <c r="A1834" s="166" t="b">
        <v>0</v>
      </c>
      <c r="B1834" s="166"/>
      <c r="C1834" s="166" t="s">
        <v>4320</v>
      </c>
      <c r="D1834" s="177">
        <v>21</v>
      </c>
      <c r="E1834" s="168"/>
      <c r="F1834" s="171"/>
      <c r="G1834" s="170"/>
      <c r="H1834" s="177"/>
      <c r="I1834" s="171"/>
      <c r="J1834" s="171"/>
      <c r="K1834" s="166" t="str">
        <f ca="1">IFERROR(VLOOKUP(C1834,' Disaggregation - Section E '!A$618:N1038,3,0),"")</f>
        <v/>
      </c>
      <c r="L1834" s="166"/>
      <c r="M1834" s="166"/>
      <c r="N1834" s="171"/>
      <c r="O1834" s="171"/>
      <c r="P1834" s="171"/>
    </row>
    <row r="1835" spans="1:16">
      <c r="A1835" s="166" t="b">
        <v>0</v>
      </c>
      <c r="B1835" s="166"/>
      <c r="C1835" s="166" t="s">
        <v>4321</v>
      </c>
      <c r="D1835" s="177">
        <v>21</v>
      </c>
      <c r="E1835" s="168"/>
      <c r="F1835" s="171"/>
      <c r="G1835" s="170"/>
      <c r="H1835" s="177"/>
      <c r="I1835" s="171"/>
      <c r="J1835" s="171"/>
      <c r="K1835" s="166" t="str">
        <f ca="1">IFERROR(VLOOKUP(C1835,' Disaggregation - Section E '!A$618:N1039,3,0),"")</f>
        <v/>
      </c>
      <c r="L1835" s="166"/>
      <c r="M1835" s="166"/>
      <c r="N1835" s="171"/>
      <c r="O1835" s="171"/>
      <c r="P1835" s="171"/>
    </row>
    <row r="1836" spans="1:16">
      <c r="A1836" s="166" t="b">
        <v>0</v>
      </c>
      <c r="B1836" s="166"/>
      <c r="C1836" s="166" t="s">
        <v>4322</v>
      </c>
      <c r="D1836" s="177">
        <v>21</v>
      </c>
      <c r="E1836" s="168"/>
      <c r="F1836" s="171"/>
      <c r="G1836" s="170"/>
      <c r="H1836" s="177"/>
      <c r="I1836" s="171"/>
      <c r="J1836" s="171"/>
      <c r="K1836" s="166" t="str">
        <f ca="1">IFERROR(VLOOKUP(C1836,' Disaggregation - Section E '!A$618:N1040,3,0),"")</f>
        <v/>
      </c>
      <c r="L1836" s="166"/>
      <c r="M1836" s="166"/>
      <c r="N1836" s="171"/>
      <c r="O1836" s="171"/>
      <c r="P1836" s="171"/>
    </row>
    <row r="1837" spans="1:16">
      <c r="A1837" s="166" t="b">
        <v>0</v>
      </c>
      <c r="B1837" s="166"/>
      <c r="C1837" s="166" t="s">
        <v>4323</v>
      </c>
      <c r="D1837" s="177">
        <v>21</v>
      </c>
      <c r="E1837" s="168"/>
      <c r="F1837" s="171"/>
      <c r="G1837" s="170"/>
      <c r="H1837" s="177"/>
      <c r="I1837" s="171"/>
      <c r="J1837" s="171"/>
      <c r="K1837" s="166" t="str">
        <f ca="1">IFERROR(VLOOKUP(C1837,' Disaggregation - Section E '!A$618:N1041,3,0),"")</f>
        <v/>
      </c>
      <c r="L1837" s="166"/>
      <c r="M1837" s="166"/>
      <c r="N1837" s="171"/>
      <c r="O1837" s="171"/>
      <c r="P1837" s="171"/>
    </row>
    <row r="1838" spans="1:16">
      <c r="A1838" s="166" t="b">
        <v>0</v>
      </c>
      <c r="B1838" s="166"/>
      <c r="C1838" s="166" t="s">
        <v>4324</v>
      </c>
      <c r="D1838" s="177">
        <v>21</v>
      </c>
      <c r="E1838" s="168"/>
      <c r="F1838" s="171"/>
      <c r="G1838" s="170"/>
      <c r="H1838" s="177"/>
      <c r="I1838" s="171"/>
      <c r="J1838" s="171"/>
      <c r="K1838" s="166" t="str">
        <f ca="1">IFERROR(VLOOKUP(C1838,' Disaggregation - Section E '!A$618:N1042,3,0),"")</f>
        <v/>
      </c>
      <c r="L1838" s="166"/>
      <c r="M1838" s="166"/>
      <c r="N1838" s="171"/>
      <c r="O1838" s="171"/>
      <c r="P1838" s="171"/>
    </row>
    <row r="1839" spans="1:16">
      <c r="A1839" s="166" t="b">
        <v>0</v>
      </c>
      <c r="B1839" s="166"/>
      <c r="C1839" s="166" t="s">
        <v>4325</v>
      </c>
      <c r="D1839" s="177">
        <v>21</v>
      </c>
      <c r="E1839" s="168"/>
      <c r="F1839" s="171"/>
      <c r="G1839" s="170"/>
      <c r="H1839" s="177"/>
      <c r="I1839" s="171"/>
      <c r="J1839" s="171"/>
      <c r="K1839" s="166" t="str">
        <f ca="1">IFERROR(VLOOKUP(C1839,' Disaggregation - Section E '!A$618:N1043,3,0),"")</f>
        <v/>
      </c>
      <c r="L1839" s="166"/>
      <c r="M1839" s="166"/>
      <c r="N1839" s="171"/>
      <c r="O1839" s="171"/>
      <c r="P1839" s="171"/>
    </row>
    <row r="1840" spans="1:16">
      <c r="A1840" s="166" t="b">
        <v>0</v>
      </c>
      <c r="B1840" s="166"/>
      <c r="C1840" s="166" t="s">
        <v>4326</v>
      </c>
      <c r="D1840" s="177">
        <v>22</v>
      </c>
      <c r="E1840" s="168"/>
      <c r="F1840" s="171"/>
      <c r="G1840" s="170"/>
      <c r="H1840" s="177"/>
      <c r="I1840" s="171"/>
      <c r="J1840" s="171"/>
      <c r="K1840" s="166" t="str">
        <f ca="1">IFERROR(VLOOKUP(C1840,' Disaggregation - Section E '!A$618:N1044,3,0),"")</f>
        <v/>
      </c>
      <c r="L1840" s="166"/>
      <c r="M1840" s="166"/>
      <c r="N1840" s="171"/>
      <c r="O1840" s="171"/>
      <c r="P1840" s="171"/>
    </row>
    <row r="1841" spans="1:16">
      <c r="A1841" s="166" t="b">
        <v>0</v>
      </c>
      <c r="B1841" s="166"/>
      <c r="C1841" s="166" t="s">
        <v>4327</v>
      </c>
      <c r="D1841" s="177">
        <v>22</v>
      </c>
      <c r="E1841" s="168"/>
      <c r="F1841" s="171"/>
      <c r="G1841" s="170"/>
      <c r="H1841" s="177"/>
      <c r="I1841" s="171"/>
      <c r="J1841" s="171"/>
      <c r="K1841" s="166" t="str">
        <f ca="1">IFERROR(VLOOKUP(C1841,' Disaggregation - Section E '!A$618:N1045,3,0),"")</f>
        <v/>
      </c>
      <c r="L1841" s="166"/>
      <c r="M1841" s="166"/>
      <c r="N1841" s="171"/>
      <c r="O1841" s="171"/>
      <c r="P1841" s="171"/>
    </row>
    <row r="1842" spans="1:16">
      <c r="A1842" s="166" t="b">
        <v>0</v>
      </c>
      <c r="B1842" s="166"/>
      <c r="C1842" s="166" t="s">
        <v>4328</v>
      </c>
      <c r="D1842" s="177">
        <v>22</v>
      </c>
      <c r="E1842" s="168"/>
      <c r="F1842" s="171"/>
      <c r="G1842" s="170"/>
      <c r="H1842" s="177"/>
      <c r="I1842" s="171"/>
      <c r="J1842" s="171"/>
      <c r="K1842" s="166" t="str">
        <f ca="1">IFERROR(VLOOKUP(C1842,' Disaggregation - Section E '!A$618:N1046,3,0),"")</f>
        <v/>
      </c>
      <c r="L1842" s="166"/>
      <c r="M1842" s="166"/>
      <c r="N1842" s="171"/>
      <c r="O1842" s="171"/>
      <c r="P1842" s="171"/>
    </row>
    <row r="1843" spans="1:16">
      <c r="A1843" s="166" t="b">
        <v>0</v>
      </c>
      <c r="B1843" s="166"/>
      <c r="C1843" s="166" t="s">
        <v>4329</v>
      </c>
      <c r="D1843" s="177">
        <v>22</v>
      </c>
      <c r="E1843" s="168"/>
      <c r="F1843" s="171"/>
      <c r="G1843" s="170"/>
      <c r="H1843" s="177"/>
      <c r="I1843" s="171"/>
      <c r="J1843" s="171"/>
      <c r="K1843" s="166" t="str">
        <f ca="1">IFERROR(VLOOKUP(C1843,' Disaggregation - Section E '!A$618:N1047,3,0),"")</f>
        <v/>
      </c>
      <c r="L1843" s="166"/>
      <c r="M1843" s="166"/>
      <c r="N1843" s="171"/>
      <c r="O1843" s="171"/>
      <c r="P1843" s="171"/>
    </row>
    <row r="1844" spans="1:16">
      <c r="A1844" s="166" t="b">
        <v>0</v>
      </c>
      <c r="B1844" s="166"/>
      <c r="C1844" s="166" t="s">
        <v>4330</v>
      </c>
      <c r="D1844" s="177">
        <v>22</v>
      </c>
      <c r="E1844" s="168"/>
      <c r="F1844" s="171"/>
      <c r="G1844" s="170"/>
      <c r="H1844" s="177"/>
      <c r="I1844" s="171"/>
      <c r="J1844" s="171"/>
      <c r="K1844" s="166" t="str">
        <f ca="1">IFERROR(VLOOKUP(C1844,' Disaggregation - Section E '!A$618:N1048,3,0),"")</f>
        <v/>
      </c>
      <c r="L1844" s="166"/>
      <c r="M1844" s="166"/>
      <c r="N1844" s="171"/>
      <c r="O1844" s="171"/>
      <c r="P1844" s="171"/>
    </row>
    <row r="1845" spans="1:16">
      <c r="A1845" s="166" t="b">
        <v>0</v>
      </c>
      <c r="B1845" s="166"/>
      <c r="C1845" s="166" t="s">
        <v>4331</v>
      </c>
      <c r="D1845" s="177">
        <v>22</v>
      </c>
      <c r="E1845" s="168"/>
      <c r="F1845" s="171"/>
      <c r="G1845" s="170"/>
      <c r="H1845" s="177"/>
      <c r="I1845" s="171"/>
      <c r="J1845" s="171"/>
      <c r="K1845" s="166" t="str">
        <f ca="1">IFERROR(VLOOKUP(C1845,' Disaggregation - Section E '!A$618:N1049,3,0),"")</f>
        <v/>
      </c>
      <c r="L1845" s="166"/>
      <c r="M1845" s="166"/>
      <c r="N1845" s="171"/>
      <c r="O1845" s="171"/>
      <c r="P1845" s="171"/>
    </row>
    <row r="1846" spans="1:16">
      <c r="A1846" s="166" t="b">
        <v>0</v>
      </c>
      <c r="B1846" s="166"/>
      <c r="C1846" s="166" t="s">
        <v>4332</v>
      </c>
      <c r="D1846" s="177">
        <v>22</v>
      </c>
      <c r="E1846" s="168"/>
      <c r="F1846" s="171"/>
      <c r="G1846" s="170"/>
      <c r="H1846" s="177"/>
      <c r="I1846" s="171"/>
      <c r="J1846" s="171"/>
      <c r="K1846" s="166" t="str">
        <f ca="1">IFERROR(VLOOKUP(C1846,' Disaggregation - Section E '!A$618:N1050,3,0),"")</f>
        <v/>
      </c>
      <c r="L1846" s="166"/>
      <c r="M1846" s="166"/>
      <c r="N1846" s="171"/>
      <c r="O1846" s="171"/>
      <c r="P1846" s="171"/>
    </row>
    <row r="1847" spans="1:16">
      <c r="A1847" s="166" t="b">
        <v>0</v>
      </c>
      <c r="B1847" s="166"/>
      <c r="C1847" s="166" t="s">
        <v>4333</v>
      </c>
      <c r="D1847" s="177">
        <v>22</v>
      </c>
      <c r="E1847" s="168"/>
      <c r="F1847" s="171"/>
      <c r="G1847" s="170"/>
      <c r="H1847" s="177"/>
      <c r="I1847" s="171"/>
      <c r="J1847" s="171"/>
      <c r="K1847" s="166" t="str">
        <f ca="1">IFERROR(VLOOKUP(C1847,' Disaggregation - Section E '!A$618:N1051,3,0),"")</f>
        <v/>
      </c>
      <c r="L1847" s="166"/>
      <c r="M1847" s="166"/>
      <c r="N1847" s="171"/>
      <c r="O1847" s="171"/>
      <c r="P1847" s="171"/>
    </row>
    <row r="1848" spans="1:16">
      <c r="A1848" s="166" t="b">
        <v>0</v>
      </c>
      <c r="B1848" s="166"/>
      <c r="C1848" s="166" t="s">
        <v>4334</v>
      </c>
      <c r="D1848" s="177">
        <v>22</v>
      </c>
      <c r="E1848" s="168"/>
      <c r="F1848" s="171"/>
      <c r="G1848" s="170"/>
      <c r="H1848" s="177"/>
      <c r="I1848" s="171"/>
      <c r="J1848" s="171"/>
      <c r="K1848" s="166" t="str">
        <f ca="1">IFERROR(VLOOKUP(C1848,' Disaggregation - Section E '!A$618:N1052,3,0),"")</f>
        <v/>
      </c>
      <c r="L1848" s="166"/>
      <c r="M1848" s="166"/>
      <c r="N1848" s="171"/>
      <c r="O1848" s="171"/>
      <c r="P1848" s="171"/>
    </row>
    <row r="1849" spans="1:16">
      <c r="A1849" s="166" t="b">
        <v>0</v>
      </c>
      <c r="B1849" s="166"/>
      <c r="C1849" s="166" t="s">
        <v>4335</v>
      </c>
      <c r="D1849" s="177">
        <v>22</v>
      </c>
      <c r="E1849" s="168"/>
      <c r="F1849" s="171"/>
      <c r="G1849" s="170"/>
      <c r="H1849" s="177"/>
      <c r="I1849" s="171"/>
      <c r="J1849" s="171"/>
      <c r="K1849" s="166" t="str">
        <f ca="1">IFERROR(VLOOKUP(C1849,' Disaggregation - Section E '!A$618:N1053,3,0),"")</f>
        <v/>
      </c>
      <c r="L1849" s="166"/>
      <c r="M1849" s="166"/>
      <c r="N1849" s="171"/>
      <c r="O1849" s="171"/>
      <c r="P1849" s="171"/>
    </row>
    <row r="1850" spans="1:16">
      <c r="A1850" s="166" t="b">
        <v>0</v>
      </c>
      <c r="B1850" s="166"/>
      <c r="C1850" s="166" t="s">
        <v>4336</v>
      </c>
      <c r="D1850" s="177">
        <v>22</v>
      </c>
      <c r="E1850" s="168"/>
      <c r="F1850" s="171"/>
      <c r="G1850" s="170"/>
      <c r="H1850" s="177"/>
      <c r="I1850" s="171"/>
      <c r="J1850" s="171"/>
      <c r="K1850" s="166" t="str">
        <f ca="1">IFERROR(VLOOKUP(C1850,' Disaggregation - Section E '!A$618:N1054,3,0),"")</f>
        <v/>
      </c>
      <c r="L1850" s="166"/>
      <c r="M1850" s="166"/>
      <c r="N1850" s="171"/>
      <c r="O1850" s="171"/>
      <c r="P1850" s="171"/>
    </row>
    <row r="1851" spans="1:16">
      <c r="A1851" s="166" t="b">
        <v>0</v>
      </c>
      <c r="B1851" s="166"/>
      <c r="C1851" s="166" t="s">
        <v>4337</v>
      </c>
      <c r="D1851" s="177">
        <v>22</v>
      </c>
      <c r="E1851" s="168"/>
      <c r="F1851" s="171"/>
      <c r="G1851" s="170"/>
      <c r="H1851" s="177"/>
      <c r="I1851" s="171"/>
      <c r="J1851" s="171"/>
      <c r="K1851" s="166" t="str">
        <f ca="1">IFERROR(VLOOKUP(C1851,' Disaggregation - Section E '!A$618:N1055,3,0),"")</f>
        <v/>
      </c>
      <c r="L1851" s="166"/>
      <c r="M1851" s="166"/>
      <c r="N1851" s="171"/>
      <c r="O1851" s="171"/>
      <c r="P1851" s="171"/>
    </row>
    <row r="1852" spans="1:16">
      <c r="A1852" s="166" t="b">
        <v>0</v>
      </c>
      <c r="B1852" s="166"/>
      <c r="C1852" s="166" t="s">
        <v>4338</v>
      </c>
      <c r="D1852" s="177">
        <v>22</v>
      </c>
      <c r="E1852" s="168"/>
      <c r="F1852" s="171"/>
      <c r="G1852" s="170"/>
      <c r="H1852" s="177"/>
      <c r="I1852" s="171"/>
      <c r="J1852" s="171"/>
      <c r="K1852" s="166" t="str">
        <f ca="1">IFERROR(VLOOKUP(C1852,' Disaggregation - Section E '!A$618:N1056,3,0),"")</f>
        <v/>
      </c>
      <c r="L1852" s="166"/>
      <c r="M1852" s="166"/>
      <c r="N1852" s="171"/>
      <c r="O1852" s="171"/>
      <c r="P1852" s="171"/>
    </row>
    <row r="1853" spans="1:16">
      <c r="A1853" s="166" t="b">
        <v>0</v>
      </c>
      <c r="B1853" s="166"/>
      <c r="C1853" s="166" t="s">
        <v>4339</v>
      </c>
      <c r="D1853" s="177">
        <v>22</v>
      </c>
      <c r="E1853" s="168"/>
      <c r="F1853" s="171"/>
      <c r="G1853" s="170"/>
      <c r="H1853" s="177"/>
      <c r="I1853" s="171"/>
      <c r="J1853" s="171"/>
      <c r="K1853" s="166" t="str">
        <f ca="1">IFERROR(VLOOKUP(C1853,' Disaggregation - Section E '!A$618:N1057,3,0),"")</f>
        <v/>
      </c>
      <c r="L1853" s="166"/>
      <c r="M1853" s="166"/>
      <c r="N1853" s="171"/>
      <c r="O1853" s="171"/>
      <c r="P1853" s="171"/>
    </row>
    <row r="1854" spans="1:16">
      <c r="A1854" s="166" t="b">
        <v>0</v>
      </c>
      <c r="B1854" s="166"/>
      <c r="C1854" s="166" t="s">
        <v>4340</v>
      </c>
      <c r="D1854" s="177">
        <v>22</v>
      </c>
      <c r="E1854" s="168"/>
      <c r="F1854" s="171"/>
      <c r="G1854" s="170"/>
      <c r="H1854" s="177"/>
      <c r="I1854" s="171"/>
      <c r="J1854" s="171"/>
      <c r="K1854" s="166" t="str">
        <f ca="1">IFERROR(VLOOKUP(C1854,' Disaggregation - Section E '!A$618:N1058,3,0),"")</f>
        <v/>
      </c>
      <c r="L1854" s="166"/>
      <c r="M1854" s="166"/>
      <c r="N1854" s="171"/>
      <c r="O1854" s="171"/>
      <c r="P1854" s="171"/>
    </row>
    <row r="1855" spans="1:16">
      <c r="A1855" s="166" t="b">
        <v>0</v>
      </c>
      <c r="B1855" s="166"/>
      <c r="C1855" s="166" t="s">
        <v>4341</v>
      </c>
      <c r="D1855" s="177">
        <v>22</v>
      </c>
      <c r="E1855" s="168"/>
      <c r="F1855" s="171"/>
      <c r="G1855" s="170"/>
      <c r="H1855" s="177"/>
      <c r="I1855" s="171"/>
      <c r="J1855" s="171"/>
      <c r="K1855" s="166" t="str">
        <f ca="1">IFERROR(VLOOKUP(C1855,' Disaggregation - Section E '!A$618:N1059,3,0),"")</f>
        <v/>
      </c>
      <c r="L1855" s="166"/>
      <c r="M1855" s="166"/>
      <c r="N1855" s="171"/>
      <c r="O1855" s="171"/>
      <c r="P1855" s="171"/>
    </row>
    <row r="1856" spans="1:16">
      <c r="A1856" s="166" t="b">
        <v>0</v>
      </c>
      <c r="B1856" s="166"/>
      <c r="C1856" s="166" t="s">
        <v>4342</v>
      </c>
      <c r="D1856" s="177">
        <v>22</v>
      </c>
      <c r="E1856" s="168"/>
      <c r="F1856" s="171"/>
      <c r="G1856" s="170"/>
      <c r="H1856" s="177"/>
      <c r="I1856" s="171"/>
      <c r="J1856" s="171"/>
      <c r="K1856" s="166" t="str">
        <f ca="1">IFERROR(VLOOKUP(C1856,' Disaggregation - Section E '!A$618:N1060,3,0),"")</f>
        <v/>
      </c>
      <c r="L1856" s="166"/>
      <c r="M1856" s="166"/>
      <c r="N1856" s="171"/>
      <c r="O1856" s="171"/>
      <c r="P1856" s="171"/>
    </row>
    <row r="1857" spans="1:16">
      <c r="A1857" s="166" t="b">
        <v>0</v>
      </c>
      <c r="B1857" s="166"/>
      <c r="C1857" s="166" t="s">
        <v>4343</v>
      </c>
      <c r="D1857" s="177">
        <v>22</v>
      </c>
      <c r="E1857" s="168"/>
      <c r="F1857" s="171"/>
      <c r="G1857" s="170"/>
      <c r="H1857" s="177"/>
      <c r="I1857" s="171"/>
      <c r="J1857" s="171"/>
      <c r="K1857" s="166" t="str">
        <f ca="1">IFERROR(VLOOKUP(C1857,' Disaggregation - Section E '!A$618:N1061,3,0),"")</f>
        <v/>
      </c>
      <c r="L1857" s="166"/>
      <c r="M1857" s="166"/>
      <c r="N1857" s="171"/>
      <c r="O1857" s="171"/>
      <c r="P1857" s="171"/>
    </row>
    <row r="1858" spans="1:16">
      <c r="A1858" s="166" t="b">
        <v>0</v>
      </c>
      <c r="B1858" s="166"/>
      <c r="C1858" s="166" t="s">
        <v>4344</v>
      </c>
      <c r="D1858" s="177">
        <v>22</v>
      </c>
      <c r="E1858" s="168"/>
      <c r="F1858" s="171"/>
      <c r="G1858" s="170"/>
      <c r="H1858" s="177"/>
      <c r="I1858" s="171"/>
      <c r="J1858" s="171"/>
      <c r="K1858" s="166" t="str">
        <f ca="1">IFERROR(VLOOKUP(C1858,' Disaggregation - Section E '!A$618:N1062,3,0),"")</f>
        <v/>
      </c>
      <c r="L1858" s="166"/>
      <c r="M1858" s="166"/>
      <c r="N1858" s="171"/>
      <c r="O1858" s="171"/>
      <c r="P1858" s="171"/>
    </row>
    <row r="1859" spans="1:16">
      <c r="A1859" s="166" t="b">
        <v>0</v>
      </c>
      <c r="B1859" s="166"/>
      <c r="C1859" s="166" t="s">
        <v>4345</v>
      </c>
      <c r="D1859" s="177">
        <v>22</v>
      </c>
      <c r="E1859" s="168"/>
      <c r="F1859" s="171"/>
      <c r="G1859" s="170"/>
      <c r="H1859" s="177"/>
      <c r="I1859" s="171"/>
      <c r="J1859" s="171"/>
      <c r="K1859" s="166" t="str">
        <f ca="1">IFERROR(VLOOKUP(C1859,' Disaggregation - Section E '!A$618:N1063,3,0),"")</f>
        <v/>
      </c>
      <c r="L1859" s="166"/>
      <c r="M1859" s="166"/>
      <c r="N1859" s="171"/>
      <c r="O1859" s="171"/>
      <c r="P1859" s="171"/>
    </row>
    <row r="1860" spans="1:16">
      <c r="A1860" s="166" t="b">
        <v>0</v>
      </c>
      <c r="B1860" s="166"/>
      <c r="C1860" s="166" t="s">
        <v>4346</v>
      </c>
      <c r="D1860" s="177">
        <v>23</v>
      </c>
      <c r="E1860" s="168"/>
      <c r="F1860" s="171"/>
      <c r="G1860" s="170"/>
      <c r="H1860" s="177"/>
      <c r="I1860" s="171"/>
      <c r="J1860" s="171"/>
      <c r="K1860" s="166" t="str">
        <f ca="1">IFERROR(VLOOKUP(C1860,' Disaggregation - Section E '!A$618:N1064,3,0),"")</f>
        <v/>
      </c>
      <c r="L1860" s="166"/>
      <c r="M1860" s="166"/>
      <c r="N1860" s="171"/>
      <c r="O1860" s="171"/>
      <c r="P1860" s="171"/>
    </row>
    <row r="1861" spans="1:16">
      <c r="A1861" s="166" t="b">
        <v>0</v>
      </c>
      <c r="B1861" s="166"/>
      <c r="C1861" s="166" t="s">
        <v>4347</v>
      </c>
      <c r="D1861" s="177">
        <v>23</v>
      </c>
      <c r="E1861" s="168"/>
      <c r="F1861" s="171"/>
      <c r="G1861" s="170"/>
      <c r="H1861" s="177"/>
      <c r="I1861" s="171"/>
      <c r="J1861" s="171"/>
      <c r="K1861" s="166" t="str">
        <f ca="1">IFERROR(VLOOKUP(C1861,' Disaggregation - Section E '!A$618:N1065,3,0),"")</f>
        <v/>
      </c>
      <c r="L1861" s="166"/>
      <c r="M1861" s="166"/>
      <c r="N1861" s="171"/>
      <c r="O1861" s="171"/>
      <c r="P1861" s="171"/>
    </row>
    <row r="1862" spans="1:16">
      <c r="A1862" s="166" t="b">
        <v>0</v>
      </c>
      <c r="B1862" s="166"/>
      <c r="C1862" s="166" t="s">
        <v>4348</v>
      </c>
      <c r="D1862" s="177">
        <v>23</v>
      </c>
      <c r="E1862" s="168"/>
      <c r="F1862" s="171"/>
      <c r="G1862" s="170"/>
      <c r="H1862" s="177"/>
      <c r="I1862" s="171"/>
      <c r="J1862" s="171"/>
      <c r="K1862" s="166" t="str">
        <f ca="1">IFERROR(VLOOKUP(C1862,' Disaggregation - Section E '!A$618:N1066,3,0),"")</f>
        <v/>
      </c>
      <c r="L1862" s="166"/>
      <c r="M1862" s="166"/>
      <c r="N1862" s="171"/>
      <c r="O1862" s="171"/>
      <c r="P1862" s="171"/>
    </row>
    <row r="1863" spans="1:16">
      <c r="A1863" s="166" t="b">
        <v>0</v>
      </c>
      <c r="B1863" s="166"/>
      <c r="C1863" s="166" t="s">
        <v>4349</v>
      </c>
      <c r="D1863" s="177">
        <v>23</v>
      </c>
      <c r="E1863" s="168"/>
      <c r="F1863" s="171"/>
      <c r="G1863" s="170"/>
      <c r="H1863" s="177"/>
      <c r="I1863" s="171"/>
      <c r="J1863" s="171"/>
      <c r="K1863" s="166" t="str">
        <f ca="1">IFERROR(VLOOKUP(C1863,' Disaggregation - Section E '!A$618:N1067,3,0),"")</f>
        <v/>
      </c>
      <c r="L1863" s="166"/>
      <c r="M1863" s="166"/>
      <c r="N1863" s="171"/>
      <c r="O1863" s="171"/>
      <c r="P1863" s="171"/>
    </row>
    <row r="1864" spans="1:16">
      <c r="A1864" s="166" t="b">
        <v>0</v>
      </c>
      <c r="B1864" s="166"/>
      <c r="C1864" s="166" t="s">
        <v>4350</v>
      </c>
      <c r="D1864" s="177">
        <v>23</v>
      </c>
      <c r="E1864" s="168"/>
      <c r="F1864" s="171"/>
      <c r="G1864" s="170"/>
      <c r="H1864" s="177"/>
      <c r="I1864" s="171"/>
      <c r="J1864" s="171"/>
      <c r="K1864" s="166" t="str">
        <f ca="1">IFERROR(VLOOKUP(C1864,' Disaggregation - Section E '!A$618:N1068,3,0),"")</f>
        <v/>
      </c>
      <c r="L1864" s="166"/>
      <c r="M1864" s="166"/>
      <c r="N1864" s="171"/>
      <c r="O1864" s="171"/>
      <c r="P1864" s="171"/>
    </row>
    <row r="1865" spans="1:16">
      <c r="A1865" s="166" t="b">
        <v>0</v>
      </c>
      <c r="B1865" s="166"/>
      <c r="C1865" s="166" t="s">
        <v>4351</v>
      </c>
      <c r="D1865" s="177">
        <v>23</v>
      </c>
      <c r="E1865" s="168"/>
      <c r="F1865" s="171"/>
      <c r="G1865" s="170"/>
      <c r="H1865" s="177"/>
      <c r="I1865" s="171"/>
      <c r="J1865" s="171"/>
      <c r="K1865" s="166" t="str">
        <f ca="1">IFERROR(VLOOKUP(C1865,' Disaggregation - Section E '!A$618:N1069,3,0),"")</f>
        <v/>
      </c>
      <c r="L1865" s="166"/>
      <c r="M1865" s="166"/>
      <c r="N1865" s="171"/>
      <c r="O1865" s="171"/>
      <c r="P1865" s="171"/>
    </row>
    <row r="1866" spans="1:16">
      <c r="A1866" s="166" t="b">
        <v>0</v>
      </c>
      <c r="B1866" s="166"/>
      <c r="C1866" s="166" t="s">
        <v>4352</v>
      </c>
      <c r="D1866" s="177">
        <v>23</v>
      </c>
      <c r="E1866" s="168"/>
      <c r="F1866" s="171"/>
      <c r="G1866" s="170"/>
      <c r="H1866" s="177"/>
      <c r="I1866" s="171"/>
      <c r="J1866" s="171"/>
      <c r="K1866" s="166" t="str">
        <f ca="1">IFERROR(VLOOKUP(C1866,' Disaggregation - Section E '!A$618:N1070,3,0),"")</f>
        <v/>
      </c>
      <c r="L1866" s="166"/>
      <c r="M1866" s="166"/>
      <c r="N1866" s="171"/>
      <c r="O1866" s="171"/>
      <c r="P1866" s="171"/>
    </row>
    <row r="1867" spans="1:16">
      <c r="A1867" s="166" t="b">
        <v>0</v>
      </c>
      <c r="B1867" s="166"/>
      <c r="C1867" s="166" t="s">
        <v>4353</v>
      </c>
      <c r="D1867" s="177">
        <v>23</v>
      </c>
      <c r="E1867" s="168"/>
      <c r="F1867" s="171"/>
      <c r="G1867" s="170"/>
      <c r="H1867" s="177"/>
      <c r="I1867" s="171"/>
      <c r="J1867" s="171"/>
      <c r="K1867" s="166" t="str">
        <f ca="1">IFERROR(VLOOKUP(C1867,' Disaggregation - Section E '!A$618:N1071,3,0),"")</f>
        <v/>
      </c>
      <c r="L1867" s="166"/>
      <c r="M1867" s="166"/>
      <c r="N1867" s="171"/>
      <c r="O1867" s="171"/>
      <c r="P1867" s="171"/>
    </row>
    <row r="1868" spans="1:16">
      <c r="A1868" s="166" t="b">
        <v>0</v>
      </c>
      <c r="B1868" s="166"/>
      <c r="C1868" s="166" t="s">
        <v>4354</v>
      </c>
      <c r="D1868" s="177">
        <v>23</v>
      </c>
      <c r="E1868" s="168"/>
      <c r="F1868" s="171"/>
      <c r="G1868" s="170"/>
      <c r="H1868" s="177"/>
      <c r="I1868" s="171"/>
      <c r="J1868" s="171"/>
      <c r="K1868" s="166" t="str">
        <f ca="1">IFERROR(VLOOKUP(C1868,' Disaggregation - Section E '!A$618:N1072,3,0),"")</f>
        <v/>
      </c>
      <c r="L1868" s="166"/>
      <c r="M1868" s="166"/>
      <c r="N1868" s="171"/>
      <c r="O1868" s="171"/>
      <c r="P1868" s="171"/>
    </row>
    <row r="1869" spans="1:16">
      <c r="A1869" s="166" t="b">
        <v>0</v>
      </c>
      <c r="B1869" s="166"/>
      <c r="C1869" s="166" t="s">
        <v>4355</v>
      </c>
      <c r="D1869" s="177">
        <v>23</v>
      </c>
      <c r="E1869" s="168"/>
      <c r="F1869" s="171"/>
      <c r="G1869" s="170"/>
      <c r="H1869" s="177"/>
      <c r="I1869" s="171"/>
      <c r="J1869" s="171"/>
      <c r="K1869" s="166" t="str">
        <f ca="1">IFERROR(VLOOKUP(C1869,' Disaggregation - Section E '!A$618:N1073,3,0),"")</f>
        <v/>
      </c>
      <c r="L1869" s="166"/>
      <c r="M1869" s="166"/>
      <c r="N1869" s="171"/>
      <c r="O1869" s="171"/>
      <c r="P1869" s="171"/>
    </row>
    <row r="1870" spans="1:16">
      <c r="A1870" s="166" t="b">
        <v>0</v>
      </c>
      <c r="B1870" s="166"/>
      <c r="C1870" s="166" t="s">
        <v>4356</v>
      </c>
      <c r="D1870" s="177">
        <v>23</v>
      </c>
      <c r="E1870" s="168"/>
      <c r="F1870" s="171"/>
      <c r="G1870" s="170"/>
      <c r="H1870" s="177"/>
      <c r="I1870" s="171"/>
      <c r="J1870" s="171"/>
      <c r="K1870" s="166" t="str">
        <f ca="1">IFERROR(VLOOKUP(C1870,' Disaggregation - Section E '!A$618:N1074,3,0),"")</f>
        <v/>
      </c>
      <c r="L1870" s="166"/>
      <c r="M1870" s="166"/>
      <c r="N1870" s="171"/>
      <c r="O1870" s="171"/>
      <c r="P1870" s="171"/>
    </row>
    <row r="1871" spans="1:16">
      <c r="A1871" s="166" t="b">
        <v>0</v>
      </c>
      <c r="B1871" s="166"/>
      <c r="C1871" s="166" t="s">
        <v>4357</v>
      </c>
      <c r="D1871" s="177">
        <v>23</v>
      </c>
      <c r="E1871" s="168"/>
      <c r="F1871" s="171"/>
      <c r="G1871" s="170"/>
      <c r="H1871" s="177"/>
      <c r="I1871" s="171"/>
      <c r="J1871" s="171"/>
      <c r="K1871" s="166" t="str">
        <f ca="1">IFERROR(VLOOKUP(C1871,' Disaggregation - Section E '!A$618:N1075,3,0),"")</f>
        <v/>
      </c>
      <c r="L1871" s="166"/>
      <c r="M1871" s="166"/>
      <c r="N1871" s="171"/>
      <c r="O1871" s="171"/>
      <c r="P1871" s="171"/>
    </row>
    <row r="1872" spans="1:16">
      <c r="A1872" s="166" t="b">
        <v>0</v>
      </c>
      <c r="B1872" s="166"/>
      <c r="C1872" s="166" t="s">
        <v>4358</v>
      </c>
      <c r="D1872" s="177">
        <v>23</v>
      </c>
      <c r="E1872" s="168"/>
      <c r="F1872" s="171"/>
      <c r="G1872" s="170"/>
      <c r="H1872" s="177"/>
      <c r="I1872" s="171"/>
      <c r="J1872" s="171"/>
      <c r="K1872" s="166" t="str">
        <f ca="1">IFERROR(VLOOKUP(C1872,' Disaggregation - Section E '!A$618:N1076,3,0),"")</f>
        <v/>
      </c>
      <c r="L1872" s="166"/>
      <c r="M1872" s="166"/>
      <c r="N1872" s="171"/>
      <c r="O1872" s="171"/>
      <c r="P1872" s="171"/>
    </row>
    <row r="1873" spans="1:16">
      <c r="A1873" s="166" t="b">
        <v>0</v>
      </c>
      <c r="B1873" s="166"/>
      <c r="C1873" s="166" t="s">
        <v>4359</v>
      </c>
      <c r="D1873" s="177">
        <v>23</v>
      </c>
      <c r="E1873" s="168"/>
      <c r="F1873" s="171"/>
      <c r="G1873" s="170"/>
      <c r="H1873" s="177"/>
      <c r="I1873" s="171"/>
      <c r="J1873" s="171"/>
      <c r="K1873" s="166" t="str">
        <f ca="1">IFERROR(VLOOKUP(C1873,' Disaggregation - Section E '!A$618:N1077,3,0),"")</f>
        <v/>
      </c>
      <c r="L1873" s="166"/>
      <c r="M1873" s="166"/>
      <c r="N1873" s="171"/>
      <c r="O1873" s="171"/>
      <c r="P1873" s="171"/>
    </row>
    <row r="1874" spans="1:16">
      <c r="A1874" s="166" t="b">
        <v>0</v>
      </c>
      <c r="B1874" s="166"/>
      <c r="C1874" s="166" t="s">
        <v>4360</v>
      </c>
      <c r="D1874" s="177">
        <v>23</v>
      </c>
      <c r="E1874" s="168"/>
      <c r="F1874" s="171"/>
      <c r="G1874" s="170"/>
      <c r="H1874" s="177"/>
      <c r="I1874" s="171"/>
      <c r="J1874" s="171"/>
      <c r="K1874" s="166" t="str">
        <f ca="1">IFERROR(VLOOKUP(C1874,' Disaggregation - Section E '!A$618:N1078,3,0),"")</f>
        <v/>
      </c>
      <c r="L1874" s="166"/>
      <c r="M1874" s="166"/>
      <c r="N1874" s="171"/>
      <c r="O1874" s="171"/>
      <c r="P1874" s="171"/>
    </row>
    <row r="1875" spans="1:16">
      <c r="A1875" s="166" t="b">
        <v>0</v>
      </c>
      <c r="B1875" s="166"/>
      <c r="C1875" s="166" t="s">
        <v>4361</v>
      </c>
      <c r="D1875" s="177">
        <v>23</v>
      </c>
      <c r="E1875" s="168"/>
      <c r="F1875" s="171"/>
      <c r="G1875" s="170"/>
      <c r="H1875" s="177"/>
      <c r="I1875" s="171"/>
      <c r="J1875" s="171"/>
      <c r="K1875" s="166" t="str">
        <f ca="1">IFERROR(VLOOKUP(C1875,' Disaggregation - Section E '!A$618:N1079,3,0),"")</f>
        <v/>
      </c>
      <c r="L1875" s="166"/>
      <c r="M1875" s="166"/>
      <c r="N1875" s="171"/>
      <c r="O1875" s="171"/>
      <c r="P1875" s="171"/>
    </row>
    <row r="1876" spans="1:16">
      <c r="A1876" s="166" t="b">
        <v>0</v>
      </c>
      <c r="B1876" s="166"/>
      <c r="C1876" s="166" t="s">
        <v>4362</v>
      </c>
      <c r="D1876" s="177">
        <v>23</v>
      </c>
      <c r="E1876" s="168"/>
      <c r="F1876" s="171"/>
      <c r="G1876" s="170"/>
      <c r="H1876" s="177"/>
      <c r="I1876" s="171"/>
      <c r="J1876" s="171"/>
      <c r="K1876" s="166" t="str">
        <f ca="1">IFERROR(VLOOKUP(C1876,' Disaggregation - Section E '!A$618:N1080,3,0),"")</f>
        <v/>
      </c>
      <c r="L1876" s="166"/>
      <c r="M1876" s="166"/>
      <c r="N1876" s="171"/>
      <c r="O1876" s="171"/>
      <c r="P1876" s="171"/>
    </row>
    <row r="1877" spans="1:16">
      <c r="A1877" s="166" t="b">
        <v>0</v>
      </c>
      <c r="B1877" s="166"/>
      <c r="C1877" s="166" t="s">
        <v>4363</v>
      </c>
      <c r="D1877" s="177">
        <v>23</v>
      </c>
      <c r="E1877" s="168"/>
      <c r="F1877" s="171"/>
      <c r="G1877" s="170"/>
      <c r="H1877" s="177"/>
      <c r="I1877" s="171"/>
      <c r="J1877" s="171"/>
      <c r="K1877" s="166" t="str">
        <f ca="1">IFERROR(VLOOKUP(C1877,' Disaggregation - Section E '!A$618:N1081,3,0),"")</f>
        <v/>
      </c>
      <c r="L1877" s="166"/>
      <c r="M1877" s="166"/>
      <c r="N1877" s="171"/>
      <c r="O1877" s="171"/>
      <c r="P1877" s="171"/>
    </row>
    <row r="1878" spans="1:16">
      <c r="A1878" s="166" t="b">
        <v>0</v>
      </c>
      <c r="B1878" s="166"/>
      <c r="C1878" s="166" t="s">
        <v>4364</v>
      </c>
      <c r="D1878" s="177">
        <v>23</v>
      </c>
      <c r="E1878" s="168"/>
      <c r="F1878" s="171"/>
      <c r="G1878" s="170"/>
      <c r="H1878" s="177"/>
      <c r="I1878" s="171"/>
      <c r="J1878" s="171"/>
      <c r="K1878" s="166" t="str">
        <f ca="1">IFERROR(VLOOKUP(C1878,' Disaggregation - Section E '!A$618:N1082,3,0),"")</f>
        <v/>
      </c>
      <c r="L1878" s="166"/>
      <c r="M1878" s="166"/>
      <c r="N1878" s="171"/>
      <c r="O1878" s="171"/>
      <c r="P1878" s="171"/>
    </row>
    <row r="1879" spans="1:16">
      <c r="A1879" s="166" t="b">
        <v>0</v>
      </c>
      <c r="B1879" s="166"/>
      <c r="C1879" s="166" t="s">
        <v>4365</v>
      </c>
      <c r="D1879" s="177">
        <v>23</v>
      </c>
      <c r="E1879" s="168"/>
      <c r="F1879" s="171"/>
      <c r="G1879" s="170"/>
      <c r="H1879" s="177"/>
      <c r="I1879" s="171"/>
      <c r="J1879" s="171"/>
      <c r="K1879" s="166" t="str">
        <f ca="1">IFERROR(VLOOKUP(C1879,' Disaggregation - Section E '!A$618:N1083,3,0),"")</f>
        <v/>
      </c>
      <c r="L1879" s="166"/>
      <c r="M1879" s="166"/>
      <c r="N1879" s="171"/>
      <c r="O1879" s="171"/>
      <c r="P1879" s="171"/>
    </row>
    <row r="1880" spans="1:16">
      <c r="A1880" s="166" t="b">
        <v>0</v>
      </c>
      <c r="B1880" s="166"/>
      <c r="C1880" s="166" t="s">
        <v>4366</v>
      </c>
      <c r="D1880" s="177">
        <v>24</v>
      </c>
      <c r="E1880" s="168"/>
      <c r="F1880" s="171"/>
      <c r="G1880" s="170"/>
      <c r="H1880" s="177"/>
      <c r="I1880" s="171"/>
      <c r="J1880" s="171"/>
      <c r="K1880" s="166" t="str">
        <f ca="1">IFERROR(VLOOKUP(C1880,' Disaggregation - Section E '!A$618:N1084,3,0),"")</f>
        <v/>
      </c>
      <c r="L1880" s="166"/>
      <c r="M1880" s="166"/>
      <c r="N1880" s="171"/>
      <c r="O1880" s="171"/>
      <c r="P1880" s="171"/>
    </row>
    <row r="1881" spans="1:16">
      <c r="A1881" s="166" t="b">
        <v>0</v>
      </c>
      <c r="B1881" s="166"/>
      <c r="C1881" s="166" t="s">
        <v>4367</v>
      </c>
      <c r="D1881" s="177">
        <v>24</v>
      </c>
      <c r="E1881" s="168"/>
      <c r="F1881" s="171"/>
      <c r="G1881" s="170"/>
      <c r="H1881" s="177"/>
      <c r="I1881" s="171"/>
      <c r="J1881" s="171"/>
      <c r="K1881" s="166" t="str">
        <f ca="1">IFERROR(VLOOKUP(C1881,' Disaggregation - Section E '!A$618:N1085,3,0),"")</f>
        <v/>
      </c>
      <c r="L1881" s="166"/>
      <c r="M1881" s="166"/>
      <c r="N1881" s="171"/>
      <c r="O1881" s="171"/>
      <c r="P1881" s="171"/>
    </row>
    <row r="1882" spans="1:16">
      <c r="A1882" s="166" t="b">
        <v>0</v>
      </c>
      <c r="B1882" s="166"/>
      <c r="C1882" s="166" t="s">
        <v>4368</v>
      </c>
      <c r="D1882" s="177">
        <v>24</v>
      </c>
      <c r="E1882" s="168"/>
      <c r="F1882" s="171"/>
      <c r="G1882" s="170"/>
      <c r="H1882" s="177"/>
      <c r="I1882" s="171"/>
      <c r="J1882" s="171"/>
      <c r="K1882" s="166" t="str">
        <f ca="1">IFERROR(VLOOKUP(C1882,' Disaggregation - Section E '!A$618:N1086,3,0),"")</f>
        <v/>
      </c>
      <c r="L1882" s="166"/>
      <c r="M1882" s="166"/>
      <c r="N1882" s="171"/>
      <c r="O1882" s="171"/>
      <c r="P1882" s="171"/>
    </row>
    <row r="1883" spans="1:16">
      <c r="A1883" s="166" t="b">
        <v>0</v>
      </c>
      <c r="B1883" s="166"/>
      <c r="C1883" s="166" t="s">
        <v>4369</v>
      </c>
      <c r="D1883" s="177">
        <v>24</v>
      </c>
      <c r="E1883" s="168"/>
      <c r="F1883" s="171"/>
      <c r="G1883" s="170"/>
      <c r="H1883" s="177"/>
      <c r="I1883" s="171"/>
      <c r="J1883" s="171"/>
      <c r="K1883" s="166" t="str">
        <f ca="1">IFERROR(VLOOKUP(C1883,' Disaggregation - Section E '!A$618:N1087,3,0),"")</f>
        <v/>
      </c>
      <c r="L1883" s="166"/>
      <c r="M1883" s="166"/>
      <c r="N1883" s="171"/>
      <c r="O1883" s="171"/>
      <c r="P1883" s="171"/>
    </row>
    <row r="1884" spans="1:16">
      <c r="A1884" s="166" t="b">
        <v>0</v>
      </c>
      <c r="B1884" s="166"/>
      <c r="C1884" s="166" t="s">
        <v>4370</v>
      </c>
      <c r="D1884" s="177">
        <v>24</v>
      </c>
      <c r="E1884" s="168"/>
      <c r="F1884" s="171"/>
      <c r="G1884" s="170"/>
      <c r="H1884" s="177"/>
      <c r="I1884" s="171"/>
      <c r="J1884" s="171"/>
      <c r="K1884" s="166" t="str">
        <f ca="1">IFERROR(VLOOKUP(C1884,' Disaggregation - Section E '!A$618:N1088,3,0),"")</f>
        <v/>
      </c>
      <c r="L1884" s="166"/>
      <c r="M1884" s="166"/>
      <c r="N1884" s="171"/>
      <c r="O1884" s="171"/>
      <c r="P1884" s="171"/>
    </row>
    <row r="1885" spans="1:16">
      <c r="A1885" s="166" t="b">
        <v>0</v>
      </c>
      <c r="B1885" s="166"/>
      <c r="C1885" s="166" t="s">
        <v>4371</v>
      </c>
      <c r="D1885" s="177">
        <v>24</v>
      </c>
      <c r="E1885" s="168"/>
      <c r="F1885" s="171"/>
      <c r="G1885" s="170"/>
      <c r="H1885" s="177"/>
      <c r="I1885" s="171"/>
      <c r="J1885" s="171"/>
      <c r="K1885" s="166" t="str">
        <f ca="1">IFERROR(VLOOKUP(C1885,' Disaggregation - Section E '!A$618:N1089,3,0),"")</f>
        <v/>
      </c>
      <c r="L1885" s="166"/>
      <c r="M1885" s="166"/>
      <c r="N1885" s="171"/>
      <c r="O1885" s="171"/>
      <c r="P1885" s="171"/>
    </row>
    <row r="1886" spans="1:16">
      <c r="A1886" s="166" t="b">
        <v>0</v>
      </c>
      <c r="B1886" s="166"/>
      <c r="C1886" s="166" t="s">
        <v>4372</v>
      </c>
      <c r="D1886" s="177">
        <v>24</v>
      </c>
      <c r="E1886" s="168"/>
      <c r="F1886" s="171"/>
      <c r="G1886" s="170"/>
      <c r="H1886" s="177"/>
      <c r="I1886" s="171"/>
      <c r="J1886" s="171"/>
      <c r="K1886" s="166" t="str">
        <f ca="1">IFERROR(VLOOKUP(C1886,' Disaggregation - Section E '!A$618:N1090,3,0),"")</f>
        <v/>
      </c>
      <c r="L1886" s="166"/>
      <c r="M1886" s="166"/>
      <c r="N1886" s="171"/>
      <c r="O1886" s="171"/>
      <c r="P1886" s="171"/>
    </row>
    <row r="1887" spans="1:16">
      <c r="A1887" s="166" t="b">
        <v>0</v>
      </c>
      <c r="B1887" s="166"/>
      <c r="C1887" s="166" t="s">
        <v>4373</v>
      </c>
      <c r="D1887" s="177">
        <v>24</v>
      </c>
      <c r="E1887" s="168"/>
      <c r="F1887" s="171"/>
      <c r="G1887" s="170"/>
      <c r="H1887" s="177"/>
      <c r="I1887" s="171"/>
      <c r="J1887" s="171"/>
      <c r="K1887" s="166" t="str">
        <f ca="1">IFERROR(VLOOKUP(C1887,' Disaggregation - Section E '!A$618:N1091,3,0),"")</f>
        <v/>
      </c>
      <c r="L1887" s="166"/>
      <c r="M1887" s="166"/>
      <c r="N1887" s="171"/>
      <c r="O1887" s="171"/>
      <c r="P1887" s="171"/>
    </row>
    <row r="1888" spans="1:16">
      <c r="A1888" s="166" t="b">
        <v>0</v>
      </c>
      <c r="B1888" s="166"/>
      <c r="C1888" s="166" t="s">
        <v>4374</v>
      </c>
      <c r="D1888" s="177">
        <v>24</v>
      </c>
      <c r="E1888" s="168"/>
      <c r="F1888" s="171"/>
      <c r="G1888" s="170"/>
      <c r="H1888" s="177"/>
      <c r="I1888" s="171"/>
      <c r="J1888" s="171"/>
      <c r="K1888" s="166" t="str">
        <f ca="1">IFERROR(VLOOKUP(C1888,' Disaggregation - Section E '!A$618:N1092,3,0),"")</f>
        <v/>
      </c>
      <c r="L1888" s="166"/>
      <c r="M1888" s="166"/>
      <c r="N1888" s="171"/>
      <c r="O1888" s="171"/>
      <c r="P1888" s="171"/>
    </row>
    <row r="1889" spans="1:16">
      <c r="A1889" s="166" t="b">
        <v>0</v>
      </c>
      <c r="B1889" s="166"/>
      <c r="C1889" s="166" t="s">
        <v>4375</v>
      </c>
      <c r="D1889" s="177">
        <v>24</v>
      </c>
      <c r="E1889" s="168"/>
      <c r="F1889" s="171"/>
      <c r="G1889" s="170"/>
      <c r="H1889" s="177"/>
      <c r="I1889" s="171"/>
      <c r="J1889" s="171"/>
      <c r="K1889" s="166" t="str">
        <f ca="1">IFERROR(VLOOKUP(C1889,' Disaggregation - Section E '!A$618:N1093,3,0),"")</f>
        <v/>
      </c>
      <c r="L1889" s="166"/>
      <c r="M1889" s="166"/>
      <c r="N1889" s="171"/>
      <c r="O1889" s="171"/>
      <c r="P1889" s="171"/>
    </row>
    <row r="1890" spans="1:16">
      <c r="A1890" s="166" t="b">
        <v>0</v>
      </c>
      <c r="B1890" s="166"/>
      <c r="C1890" s="166" t="s">
        <v>4376</v>
      </c>
      <c r="D1890" s="177">
        <v>24</v>
      </c>
      <c r="E1890" s="168"/>
      <c r="F1890" s="171"/>
      <c r="G1890" s="170"/>
      <c r="H1890" s="177"/>
      <c r="I1890" s="171"/>
      <c r="J1890" s="171"/>
      <c r="K1890" s="166" t="str">
        <f ca="1">IFERROR(VLOOKUP(C1890,' Disaggregation - Section E '!A$618:N1094,3,0),"")</f>
        <v/>
      </c>
      <c r="L1890" s="166"/>
      <c r="M1890" s="166"/>
      <c r="N1890" s="171"/>
      <c r="O1890" s="171"/>
      <c r="P1890" s="171"/>
    </row>
    <row r="1891" spans="1:16">
      <c r="A1891" s="166" t="b">
        <v>0</v>
      </c>
      <c r="B1891" s="166"/>
      <c r="C1891" s="166" t="s">
        <v>4377</v>
      </c>
      <c r="D1891" s="177">
        <v>24</v>
      </c>
      <c r="E1891" s="168"/>
      <c r="F1891" s="171"/>
      <c r="G1891" s="170"/>
      <c r="H1891" s="177"/>
      <c r="I1891" s="171"/>
      <c r="J1891" s="171"/>
      <c r="K1891" s="166" t="str">
        <f ca="1">IFERROR(VLOOKUP(C1891,' Disaggregation - Section E '!A$618:N1095,3,0),"")</f>
        <v/>
      </c>
      <c r="L1891" s="166"/>
      <c r="M1891" s="166"/>
      <c r="N1891" s="171"/>
      <c r="O1891" s="171"/>
      <c r="P1891" s="171"/>
    </row>
    <row r="1892" spans="1:16">
      <c r="A1892" s="166" t="b">
        <v>0</v>
      </c>
      <c r="B1892" s="166"/>
      <c r="C1892" s="166" t="s">
        <v>4378</v>
      </c>
      <c r="D1892" s="177">
        <v>24</v>
      </c>
      <c r="E1892" s="168"/>
      <c r="F1892" s="171"/>
      <c r="G1892" s="170"/>
      <c r="H1892" s="177"/>
      <c r="I1892" s="171"/>
      <c r="J1892" s="171"/>
      <c r="K1892" s="166" t="str">
        <f ca="1">IFERROR(VLOOKUP(C1892,' Disaggregation - Section E '!A$618:N1096,3,0),"")</f>
        <v/>
      </c>
      <c r="L1892" s="166"/>
      <c r="M1892" s="166"/>
      <c r="N1892" s="171"/>
      <c r="O1892" s="171"/>
      <c r="P1892" s="171"/>
    </row>
    <row r="1893" spans="1:16">
      <c r="A1893" s="166" t="b">
        <v>0</v>
      </c>
      <c r="B1893" s="166"/>
      <c r="C1893" s="166" t="s">
        <v>4379</v>
      </c>
      <c r="D1893" s="177">
        <v>24</v>
      </c>
      <c r="E1893" s="168"/>
      <c r="F1893" s="171"/>
      <c r="G1893" s="170"/>
      <c r="H1893" s="177"/>
      <c r="I1893" s="171"/>
      <c r="J1893" s="171"/>
      <c r="K1893" s="166" t="str">
        <f ca="1">IFERROR(VLOOKUP(C1893,' Disaggregation - Section E '!A$618:N1097,3,0),"")</f>
        <v/>
      </c>
      <c r="L1893" s="166"/>
      <c r="M1893" s="166"/>
      <c r="N1893" s="171"/>
      <c r="O1893" s="171"/>
      <c r="P1893" s="171"/>
    </row>
    <row r="1894" spans="1:16">
      <c r="A1894" s="166" t="b">
        <v>0</v>
      </c>
      <c r="B1894" s="166"/>
      <c r="C1894" s="166" t="s">
        <v>4380</v>
      </c>
      <c r="D1894" s="177">
        <v>24</v>
      </c>
      <c r="E1894" s="168"/>
      <c r="F1894" s="171"/>
      <c r="G1894" s="170"/>
      <c r="H1894" s="177"/>
      <c r="I1894" s="171"/>
      <c r="J1894" s="171"/>
      <c r="K1894" s="166" t="str">
        <f ca="1">IFERROR(VLOOKUP(C1894,' Disaggregation - Section E '!A$618:N1098,3,0),"")</f>
        <v/>
      </c>
      <c r="L1894" s="166"/>
      <c r="M1894" s="166"/>
      <c r="N1894" s="171"/>
      <c r="O1894" s="171"/>
      <c r="P1894" s="171"/>
    </row>
    <row r="1895" spans="1:16">
      <c r="A1895" s="166" t="b">
        <v>0</v>
      </c>
      <c r="B1895" s="166"/>
      <c r="C1895" s="166" t="s">
        <v>4381</v>
      </c>
      <c r="D1895" s="177">
        <v>24</v>
      </c>
      <c r="E1895" s="168"/>
      <c r="F1895" s="171"/>
      <c r="G1895" s="170"/>
      <c r="H1895" s="177"/>
      <c r="I1895" s="171"/>
      <c r="J1895" s="171"/>
      <c r="K1895" s="166" t="str">
        <f ca="1">IFERROR(VLOOKUP(C1895,' Disaggregation - Section E '!A$618:N1099,3,0),"")</f>
        <v/>
      </c>
      <c r="L1895" s="166"/>
      <c r="M1895" s="166"/>
      <c r="N1895" s="171"/>
      <c r="O1895" s="171"/>
      <c r="P1895" s="171"/>
    </row>
    <row r="1896" spans="1:16">
      <c r="A1896" s="166" t="b">
        <v>0</v>
      </c>
      <c r="B1896" s="166"/>
      <c r="C1896" s="166" t="s">
        <v>4382</v>
      </c>
      <c r="D1896" s="177">
        <v>24</v>
      </c>
      <c r="E1896" s="168"/>
      <c r="F1896" s="171"/>
      <c r="G1896" s="170"/>
      <c r="H1896" s="177"/>
      <c r="I1896" s="171"/>
      <c r="J1896" s="171"/>
      <c r="K1896" s="166" t="str">
        <f ca="1">IFERROR(VLOOKUP(C1896,' Disaggregation - Section E '!A$618:N1100,3,0),"")</f>
        <v/>
      </c>
      <c r="L1896" s="166"/>
      <c r="M1896" s="166"/>
      <c r="N1896" s="171"/>
      <c r="O1896" s="171"/>
      <c r="P1896" s="171"/>
    </row>
    <row r="1897" spans="1:16">
      <c r="A1897" s="166" t="b">
        <v>0</v>
      </c>
      <c r="B1897" s="166"/>
      <c r="C1897" s="166" t="s">
        <v>4383</v>
      </c>
      <c r="D1897" s="177">
        <v>24</v>
      </c>
      <c r="E1897" s="168"/>
      <c r="F1897" s="171"/>
      <c r="G1897" s="170"/>
      <c r="H1897" s="177"/>
      <c r="I1897" s="171"/>
      <c r="J1897" s="171"/>
      <c r="K1897" s="166" t="str">
        <f ca="1">IFERROR(VLOOKUP(C1897,' Disaggregation - Section E '!A$618:N1101,3,0),"")</f>
        <v/>
      </c>
      <c r="L1897" s="166"/>
      <c r="M1897" s="166"/>
      <c r="N1897" s="171"/>
      <c r="O1897" s="171"/>
      <c r="P1897" s="171"/>
    </row>
    <row r="1898" spans="1:16">
      <c r="A1898" s="166" t="b">
        <v>0</v>
      </c>
      <c r="B1898" s="166"/>
      <c r="C1898" s="166" t="s">
        <v>4384</v>
      </c>
      <c r="D1898" s="177">
        <v>24</v>
      </c>
      <c r="E1898" s="168"/>
      <c r="F1898" s="171"/>
      <c r="G1898" s="170"/>
      <c r="H1898" s="177"/>
      <c r="I1898" s="171"/>
      <c r="J1898" s="171"/>
      <c r="K1898" s="166" t="str">
        <f ca="1">IFERROR(VLOOKUP(C1898,' Disaggregation - Section E '!A$618:N1102,3,0),"")</f>
        <v/>
      </c>
      <c r="L1898" s="166"/>
      <c r="M1898" s="166"/>
      <c r="N1898" s="171"/>
      <c r="O1898" s="171"/>
      <c r="P1898" s="171"/>
    </row>
    <row r="1899" spans="1:16">
      <c r="A1899" s="166" t="b">
        <v>0</v>
      </c>
      <c r="B1899" s="166"/>
      <c r="C1899" s="166" t="s">
        <v>4385</v>
      </c>
      <c r="D1899" s="177">
        <v>24</v>
      </c>
      <c r="E1899" s="168"/>
      <c r="F1899" s="171"/>
      <c r="G1899" s="170"/>
      <c r="H1899" s="177"/>
      <c r="I1899" s="171"/>
      <c r="J1899" s="171"/>
      <c r="K1899" s="166" t="str">
        <f ca="1">IFERROR(VLOOKUP(C1899,' Disaggregation - Section E '!A$618:N1103,3,0),"")</f>
        <v/>
      </c>
      <c r="L1899" s="166"/>
      <c r="M1899" s="166"/>
      <c r="N1899" s="171"/>
      <c r="O1899" s="171"/>
      <c r="P1899" s="171"/>
    </row>
    <row r="1900" spans="1:16">
      <c r="A1900" s="166" t="b">
        <v>0</v>
      </c>
      <c r="B1900" s="166"/>
      <c r="C1900" s="166" t="s">
        <v>4386</v>
      </c>
      <c r="D1900" s="177">
        <v>25</v>
      </c>
      <c r="E1900" s="168"/>
      <c r="F1900" s="171"/>
      <c r="G1900" s="170"/>
      <c r="H1900" s="177"/>
      <c r="I1900" s="171"/>
      <c r="J1900" s="171"/>
      <c r="K1900" s="166" t="str">
        <f ca="1">IFERROR(VLOOKUP(C1900,' Disaggregation - Section E '!A$618:N1104,3,0),"")</f>
        <v/>
      </c>
      <c r="L1900" s="166"/>
      <c r="M1900" s="166"/>
      <c r="N1900" s="171"/>
      <c r="O1900" s="171"/>
      <c r="P1900" s="171"/>
    </row>
    <row r="1901" spans="1:16">
      <c r="A1901" s="166" t="b">
        <v>0</v>
      </c>
      <c r="B1901" s="166"/>
      <c r="C1901" s="166" t="s">
        <v>4387</v>
      </c>
      <c r="D1901" s="177">
        <v>25</v>
      </c>
      <c r="E1901" s="168"/>
      <c r="F1901" s="171"/>
      <c r="G1901" s="170"/>
      <c r="H1901" s="177"/>
      <c r="I1901" s="171"/>
      <c r="J1901" s="171"/>
      <c r="K1901" s="166" t="str">
        <f ca="1">IFERROR(VLOOKUP(C1901,' Disaggregation - Section E '!A$618:N1105,3,0),"")</f>
        <v/>
      </c>
      <c r="L1901" s="166"/>
      <c r="M1901" s="166"/>
      <c r="N1901" s="171"/>
      <c r="O1901" s="171"/>
      <c r="P1901" s="171"/>
    </row>
    <row r="1902" spans="1:16">
      <c r="A1902" s="166" t="b">
        <v>0</v>
      </c>
      <c r="B1902" s="166"/>
      <c r="C1902" s="166" t="s">
        <v>4388</v>
      </c>
      <c r="D1902" s="177">
        <v>25</v>
      </c>
      <c r="E1902" s="168"/>
      <c r="F1902" s="171"/>
      <c r="G1902" s="170"/>
      <c r="H1902" s="177"/>
      <c r="I1902" s="171"/>
      <c r="J1902" s="171"/>
      <c r="K1902" s="166" t="str">
        <f ca="1">IFERROR(VLOOKUP(C1902,' Disaggregation - Section E '!A$618:N1106,3,0),"")</f>
        <v/>
      </c>
      <c r="L1902" s="166"/>
      <c r="M1902" s="166"/>
      <c r="N1902" s="171"/>
      <c r="O1902" s="171"/>
      <c r="P1902" s="171"/>
    </row>
    <row r="1903" spans="1:16">
      <c r="A1903" s="166" t="b">
        <v>0</v>
      </c>
      <c r="B1903" s="166"/>
      <c r="C1903" s="166" t="s">
        <v>4389</v>
      </c>
      <c r="D1903" s="177">
        <v>25</v>
      </c>
      <c r="E1903" s="168"/>
      <c r="F1903" s="171"/>
      <c r="G1903" s="170"/>
      <c r="H1903" s="177"/>
      <c r="I1903" s="171"/>
      <c r="J1903" s="171"/>
      <c r="K1903" s="166" t="str">
        <f ca="1">IFERROR(VLOOKUP(C1903,' Disaggregation - Section E '!A$618:N1107,3,0),"")</f>
        <v/>
      </c>
      <c r="L1903" s="166"/>
      <c r="M1903" s="166"/>
      <c r="N1903" s="171"/>
      <c r="O1903" s="171"/>
      <c r="P1903" s="171"/>
    </row>
    <row r="1904" spans="1:16">
      <c r="A1904" s="166" t="b">
        <v>0</v>
      </c>
      <c r="B1904" s="166"/>
      <c r="C1904" s="166" t="s">
        <v>4390</v>
      </c>
      <c r="D1904" s="177">
        <v>25</v>
      </c>
      <c r="E1904" s="168"/>
      <c r="F1904" s="171"/>
      <c r="G1904" s="170"/>
      <c r="H1904" s="177"/>
      <c r="I1904" s="171"/>
      <c r="J1904" s="171"/>
      <c r="K1904" s="166" t="str">
        <f ca="1">IFERROR(VLOOKUP(C1904,' Disaggregation - Section E '!A$618:N1108,3,0),"")</f>
        <v/>
      </c>
      <c r="L1904" s="166"/>
      <c r="M1904" s="166"/>
      <c r="N1904" s="171"/>
      <c r="O1904" s="171"/>
      <c r="P1904" s="171"/>
    </row>
    <row r="1905" spans="1:16">
      <c r="A1905" s="166" t="b">
        <v>0</v>
      </c>
      <c r="B1905" s="166"/>
      <c r="C1905" s="166" t="s">
        <v>4391</v>
      </c>
      <c r="D1905" s="177">
        <v>25</v>
      </c>
      <c r="E1905" s="168"/>
      <c r="F1905" s="171"/>
      <c r="G1905" s="170"/>
      <c r="H1905" s="177"/>
      <c r="I1905" s="171"/>
      <c r="J1905" s="171"/>
      <c r="K1905" s="166" t="str">
        <f ca="1">IFERROR(VLOOKUP(C1905,' Disaggregation - Section E '!A$618:N1109,3,0),"")</f>
        <v/>
      </c>
      <c r="L1905" s="166"/>
      <c r="M1905" s="166"/>
      <c r="N1905" s="171"/>
      <c r="O1905" s="171"/>
      <c r="P1905" s="171"/>
    </row>
    <row r="1906" spans="1:16">
      <c r="A1906" s="166" t="b">
        <v>0</v>
      </c>
      <c r="B1906" s="166"/>
      <c r="C1906" s="166" t="s">
        <v>4392</v>
      </c>
      <c r="D1906" s="177">
        <v>25</v>
      </c>
      <c r="E1906" s="168"/>
      <c r="F1906" s="171"/>
      <c r="G1906" s="170"/>
      <c r="H1906" s="177"/>
      <c r="I1906" s="171"/>
      <c r="J1906" s="171"/>
      <c r="K1906" s="166" t="str">
        <f ca="1">IFERROR(VLOOKUP(C1906,' Disaggregation - Section E '!A$618:N1110,3,0),"")</f>
        <v/>
      </c>
      <c r="L1906" s="166"/>
      <c r="M1906" s="166"/>
      <c r="N1906" s="171"/>
      <c r="O1906" s="171"/>
      <c r="P1906" s="171"/>
    </row>
    <row r="1907" spans="1:16">
      <c r="A1907" s="166" t="b">
        <v>0</v>
      </c>
      <c r="B1907" s="166"/>
      <c r="C1907" s="166" t="s">
        <v>4393</v>
      </c>
      <c r="D1907" s="177">
        <v>25</v>
      </c>
      <c r="E1907" s="168"/>
      <c r="F1907" s="171"/>
      <c r="G1907" s="170"/>
      <c r="H1907" s="177"/>
      <c r="I1907" s="171"/>
      <c r="J1907" s="171"/>
      <c r="K1907" s="166" t="str">
        <f ca="1">IFERROR(VLOOKUP(C1907,' Disaggregation - Section E '!A$618:N1111,3,0),"")</f>
        <v/>
      </c>
      <c r="L1907" s="166"/>
      <c r="M1907" s="166"/>
      <c r="N1907" s="171"/>
      <c r="O1907" s="171"/>
      <c r="P1907" s="171"/>
    </row>
    <row r="1908" spans="1:16">
      <c r="A1908" s="166" t="b">
        <v>0</v>
      </c>
      <c r="B1908" s="166"/>
      <c r="C1908" s="166" t="s">
        <v>4394</v>
      </c>
      <c r="D1908" s="177">
        <v>25</v>
      </c>
      <c r="E1908" s="168"/>
      <c r="F1908" s="171"/>
      <c r="G1908" s="170"/>
      <c r="H1908" s="177"/>
      <c r="I1908" s="171"/>
      <c r="J1908" s="171"/>
      <c r="K1908" s="166" t="str">
        <f ca="1">IFERROR(VLOOKUP(C1908,' Disaggregation - Section E '!A$618:N1112,3,0),"")</f>
        <v/>
      </c>
      <c r="L1908" s="166"/>
      <c r="M1908" s="166"/>
      <c r="N1908" s="171"/>
      <c r="O1908" s="171"/>
      <c r="P1908" s="171"/>
    </row>
    <row r="1909" spans="1:16">
      <c r="A1909" s="166" t="b">
        <v>0</v>
      </c>
      <c r="B1909" s="166"/>
      <c r="C1909" s="166" t="s">
        <v>4395</v>
      </c>
      <c r="D1909" s="177">
        <v>25</v>
      </c>
      <c r="E1909" s="168"/>
      <c r="F1909" s="171"/>
      <c r="G1909" s="170"/>
      <c r="H1909" s="177"/>
      <c r="I1909" s="171"/>
      <c r="J1909" s="171"/>
      <c r="K1909" s="166" t="str">
        <f ca="1">IFERROR(VLOOKUP(C1909,' Disaggregation - Section E '!A$618:N1113,3,0),"")</f>
        <v/>
      </c>
      <c r="L1909" s="166"/>
      <c r="M1909" s="166"/>
      <c r="N1909" s="171"/>
      <c r="O1909" s="171"/>
      <c r="P1909" s="171"/>
    </row>
    <row r="1910" spans="1:16">
      <c r="A1910" s="166" t="b">
        <v>0</v>
      </c>
      <c r="B1910" s="166"/>
      <c r="C1910" s="166" t="s">
        <v>4396</v>
      </c>
      <c r="D1910" s="177">
        <v>25</v>
      </c>
      <c r="E1910" s="168"/>
      <c r="F1910" s="171"/>
      <c r="G1910" s="170"/>
      <c r="H1910" s="177"/>
      <c r="I1910" s="171"/>
      <c r="J1910" s="171"/>
      <c r="K1910" s="166" t="str">
        <f ca="1">IFERROR(VLOOKUP(C1910,' Disaggregation - Section E '!A$618:N1114,3,0),"")</f>
        <v/>
      </c>
      <c r="L1910" s="166"/>
      <c r="M1910" s="166"/>
      <c r="N1910" s="171"/>
      <c r="O1910" s="171"/>
      <c r="P1910" s="171"/>
    </row>
    <row r="1911" spans="1:16">
      <c r="A1911" s="166" t="b">
        <v>0</v>
      </c>
      <c r="B1911" s="166"/>
      <c r="C1911" s="166" t="s">
        <v>4397</v>
      </c>
      <c r="D1911" s="177">
        <v>25</v>
      </c>
      <c r="E1911" s="168"/>
      <c r="F1911" s="171"/>
      <c r="G1911" s="170"/>
      <c r="H1911" s="177"/>
      <c r="I1911" s="171"/>
      <c r="J1911" s="171"/>
      <c r="K1911" s="166" t="str">
        <f ca="1">IFERROR(VLOOKUP(C1911,' Disaggregation - Section E '!A$618:N1115,3,0),"")</f>
        <v/>
      </c>
      <c r="L1911" s="166"/>
      <c r="M1911" s="166"/>
      <c r="N1911" s="171"/>
      <c r="O1911" s="171"/>
      <c r="P1911" s="171"/>
    </row>
    <row r="1912" spans="1:16">
      <c r="A1912" s="166" t="b">
        <v>0</v>
      </c>
      <c r="B1912" s="166"/>
      <c r="C1912" s="166" t="s">
        <v>4398</v>
      </c>
      <c r="D1912" s="177">
        <v>25</v>
      </c>
      <c r="E1912" s="168"/>
      <c r="F1912" s="171"/>
      <c r="G1912" s="170"/>
      <c r="H1912" s="177"/>
      <c r="I1912" s="171"/>
      <c r="J1912" s="171"/>
      <c r="K1912" s="166" t="str">
        <f ca="1">IFERROR(VLOOKUP(C1912,' Disaggregation - Section E '!A$618:N1116,3,0),"")</f>
        <v/>
      </c>
      <c r="L1912" s="166"/>
      <c r="M1912" s="166"/>
      <c r="N1912" s="171"/>
      <c r="O1912" s="171"/>
      <c r="P1912" s="171"/>
    </row>
    <row r="1913" spans="1:16">
      <c r="A1913" s="166" t="b">
        <v>0</v>
      </c>
      <c r="B1913" s="166"/>
      <c r="C1913" s="166" t="s">
        <v>4399</v>
      </c>
      <c r="D1913" s="177">
        <v>25</v>
      </c>
      <c r="E1913" s="168"/>
      <c r="F1913" s="171"/>
      <c r="G1913" s="170"/>
      <c r="H1913" s="177"/>
      <c r="I1913" s="171"/>
      <c r="J1913" s="171"/>
      <c r="K1913" s="166" t="str">
        <f ca="1">IFERROR(VLOOKUP(C1913,' Disaggregation - Section E '!A$618:N1117,3,0),"")</f>
        <v/>
      </c>
      <c r="L1913" s="166"/>
      <c r="M1913" s="166"/>
      <c r="N1913" s="171"/>
      <c r="O1913" s="171"/>
      <c r="P1913" s="171"/>
    </row>
    <row r="1914" spans="1:16">
      <c r="A1914" s="166" t="b">
        <v>0</v>
      </c>
      <c r="B1914" s="166"/>
      <c r="C1914" s="166" t="s">
        <v>4400</v>
      </c>
      <c r="D1914" s="177">
        <v>25</v>
      </c>
      <c r="E1914" s="168"/>
      <c r="F1914" s="171"/>
      <c r="G1914" s="170"/>
      <c r="H1914" s="177"/>
      <c r="I1914" s="171"/>
      <c r="J1914" s="171"/>
      <c r="K1914" s="166" t="str">
        <f ca="1">IFERROR(VLOOKUP(C1914,' Disaggregation - Section E '!A$618:N1118,3,0),"")</f>
        <v/>
      </c>
      <c r="L1914" s="166"/>
      <c r="M1914" s="166"/>
      <c r="N1914" s="171"/>
      <c r="O1914" s="171"/>
      <c r="P1914" s="171"/>
    </row>
    <row r="1915" spans="1:16">
      <c r="A1915" s="166" t="b">
        <v>0</v>
      </c>
      <c r="B1915" s="166"/>
      <c r="C1915" s="166" t="s">
        <v>4401</v>
      </c>
      <c r="D1915" s="177">
        <v>25</v>
      </c>
      <c r="E1915" s="168"/>
      <c r="F1915" s="171"/>
      <c r="G1915" s="170"/>
      <c r="H1915" s="177"/>
      <c r="I1915" s="171"/>
      <c r="J1915" s="171"/>
      <c r="K1915" s="166" t="str">
        <f ca="1">IFERROR(VLOOKUP(C1915,' Disaggregation - Section E '!A$618:N1119,3,0),"")</f>
        <v/>
      </c>
      <c r="L1915" s="166"/>
      <c r="M1915" s="166"/>
      <c r="N1915" s="171"/>
      <c r="O1915" s="171"/>
      <c r="P1915" s="171"/>
    </row>
    <row r="1916" spans="1:16">
      <c r="A1916" s="166" t="b">
        <v>0</v>
      </c>
      <c r="B1916" s="166"/>
      <c r="C1916" s="166" t="s">
        <v>4402</v>
      </c>
      <c r="D1916" s="177">
        <v>25</v>
      </c>
      <c r="E1916" s="168"/>
      <c r="F1916" s="171"/>
      <c r="G1916" s="170"/>
      <c r="H1916" s="177"/>
      <c r="I1916" s="171"/>
      <c r="J1916" s="171"/>
      <c r="K1916" s="166" t="str">
        <f ca="1">IFERROR(VLOOKUP(C1916,' Disaggregation - Section E '!A$618:N1120,3,0),"")</f>
        <v/>
      </c>
      <c r="L1916" s="166"/>
      <c r="M1916" s="166"/>
      <c r="N1916" s="171"/>
      <c r="O1916" s="171"/>
      <c r="P1916" s="171"/>
    </row>
    <row r="1917" spans="1:16">
      <c r="A1917" s="166" t="b">
        <v>0</v>
      </c>
      <c r="B1917" s="166"/>
      <c r="C1917" s="166" t="s">
        <v>4403</v>
      </c>
      <c r="D1917" s="177">
        <v>25</v>
      </c>
      <c r="E1917" s="168"/>
      <c r="F1917" s="171"/>
      <c r="G1917" s="170"/>
      <c r="H1917" s="177"/>
      <c r="I1917" s="171"/>
      <c r="J1917" s="171"/>
      <c r="K1917" s="166" t="str">
        <f ca="1">IFERROR(VLOOKUP(C1917,' Disaggregation - Section E '!A$618:N1121,3,0),"")</f>
        <v/>
      </c>
      <c r="L1917" s="166"/>
      <c r="M1917" s="166"/>
      <c r="N1917" s="171"/>
      <c r="O1917" s="171"/>
      <c r="P1917" s="171"/>
    </row>
    <row r="1918" spans="1:16">
      <c r="A1918" s="166" t="b">
        <v>0</v>
      </c>
      <c r="B1918" s="166"/>
      <c r="C1918" s="166" t="s">
        <v>4404</v>
      </c>
      <c r="D1918" s="177">
        <v>25</v>
      </c>
      <c r="E1918" s="168"/>
      <c r="F1918" s="171"/>
      <c r="G1918" s="170"/>
      <c r="H1918" s="177"/>
      <c r="I1918" s="171"/>
      <c r="J1918" s="171"/>
      <c r="K1918" s="166" t="str">
        <f ca="1">IFERROR(VLOOKUP(C1918,' Disaggregation - Section E '!A$618:N1122,3,0),"")</f>
        <v/>
      </c>
      <c r="L1918" s="166"/>
      <c r="M1918" s="166"/>
      <c r="N1918" s="171"/>
      <c r="O1918" s="171"/>
      <c r="P1918" s="171"/>
    </row>
    <row r="1919" spans="1:16">
      <c r="A1919" s="166" t="b">
        <v>0</v>
      </c>
      <c r="B1919" s="166"/>
      <c r="C1919" s="166" t="s">
        <v>4405</v>
      </c>
      <c r="D1919" s="177">
        <v>25</v>
      </c>
      <c r="E1919" s="168"/>
      <c r="F1919" s="171"/>
      <c r="G1919" s="170"/>
      <c r="H1919" s="177"/>
      <c r="I1919" s="171"/>
      <c r="J1919" s="171"/>
      <c r="K1919" s="166" t="str">
        <f ca="1">IFERROR(VLOOKUP(C1919,' Disaggregation - Section E '!A$618:N1123,3,0),"")</f>
        <v/>
      </c>
      <c r="L1919" s="166"/>
      <c r="M1919" s="166"/>
      <c r="N1919" s="171"/>
      <c r="O1919" s="171"/>
      <c r="P1919" s="171"/>
    </row>
    <row r="1920" spans="1:16">
      <c r="A1920" s="166" t="b">
        <v>0</v>
      </c>
      <c r="B1920" s="166"/>
      <c r="C1920" s="166" t="s">
        <v>4406</v>
      </c>
      <c r="D1920" s="177">
        <v>26</v>
      </c>
      <c r="E1920" s="168"/>
      <c r="F1920" s="171"/>
      <c r="G1920" s="170"/>
      <c r="H1920" s="177"/>
      <c r="I1920" s="171"/>
      <c r="J1920" s="171"/>
      <c r="K1920" s="166" t="str">
        <f ca="1">IFERROR(VLOOKUP(C1920,' Disaggregation - Section E '!A$618:N1124,3,0),"")</f>
        <v/>
      </c>
      <c r="L1920" s="166"/>
      <c r="M1920" s="166"/>
      <c r="N1920" s="171"/>
      <c r="O1920" s="171"/>
      <c r="P1920" s="171"/>
    </row>
    <row r="1921" spans="1:16">
      <c r="A1921" s="166" t="b">
        <v>0</v>
      </c>
      <c r="B1921" s="166"/>
      <c r="C1921" s="166" t="s">
        <v>4407</v>
      </c>
      <c r="D1921" s="177">
        <v>26</v>
      </c>
      <c r="E1921" s="168"/>
      <c r="F1921" s="171"/>
      <c r="G1921" s="170"/>
      <c r="H1921" s="177"/>
      <c r="I1921" s="171"/>
      <c r="J1921" s="171"/>
      <c r="K1921" s="166" t="str">
        <f ca="1">IFERROR(VLOOKUP(C1921,' Disaggregation - Section E '!A$618:N1125,3,0),"")</f>
        <v/>
      </c>
      <c r="L1921" s="166"/>
      <c r="M1921" s="166"/>
      <c r="N1921" s="171"/>
      <c r="O1921" s="171"/>
      <c r="P1921" s="171"/>
    </row>
    <row r="1922" spans="1:16">
      <c r="A1922" s="166" t="b">
        <v>0</v>
      </c>
      <c r="B1922" s="166"/>
      <c r="C1922" s="166" t="s">
        <v>4408</v>
      </c>
      <c r="D1922" s="177">
        <v>26</v>
      </c>
      <c r="E1922" s="168"/>
      <c r="F1922" s="171"/>
      <c r="G1922" s="170"/>
      <c r="H1922" s="177"/>
      <c r="I1922" s="171"/>
      <c r="J1922" s="171"/>
      <c r="K1922" s="166" t="str">
        <f ca="1">IFERROR(VLOOKUP(C1922,' Disaggregation - Section E '!A$618:N1126,3,0),"")</f>
        <v/>
      </c>
      <c r="L1922" s="166"/>
      <c r="M1922" s="166"/>
      <c r="N1922" s="171"/>
      <c r="O1922" s="171"/>
      <c r="P1922" s="171"/>
    </row>
    <row r="1923" spans="1:16">
      <c r="A1923" s="166" t="b">
        <v>0</v>
      </c>
      <c r="B1923" s="166"/>
      <c r="C1923" s="166" t="s">
        <v>4409</v>
      </c>
      <c r="D1923" s="177">
        <v>26</v>
      </c>
      <c r="E1923" s="168"/>
      <c r="F1923" s="171"/>
      <c r="G1923" s="170"/>
      <c r="H1923" s="177"/>
      <c r="I1923" s="171"/>
      <c r="J1923" s="171"/>
      <c r="K1923" s="166" t="str">
        <f ca="1">IFERROR(VLOOKUP(C1923,' Disaggregation - Section E '!A$618:N1127,3,0),"")</f>
        <v/>
      </c>
      <c r="L1923" s="166"/>
      <c r="M1923" s="166"/>
      <c r="N1923" s="171"/>
      <c r="O1923" s="171"/>
      <c r="P1923" s="171"/>
    </row>
    <row r="1924" spans="1:16">
      <c r="A1924" s="166" t="b">
        <v>0</v>
      </c>
      <c r="B1924" s="166"/>
      <c r="C1924" s="166" t="s">
        <v>4410</v>
      </c>
      <c r="D1924" s="177">
        <v>26</v>
      </c>
      <c r="E1924" s="168"/>
      <c r="F1924" s="171"/>
      <c r="G1924" s="170"/>
      <c r="H1924" s="177"/>
      <c r="I1924" s="171"/>
      <c r="J1924" s="171"/>
      <c r="K1924" s="166" t="str">
        <f ca="1">IFERROR(VLOOKUP(C1924,' Disaggregation - Section E '!A$618:N1128,3,0),"")</f>
        <v/>
      </c>
      <c r="L1924" s="166"/>
      <c r="M1924" s="166"/>
      <c r="N1924" s="171"/>
      <c r="O1924" s="171"/>
      <c r="P1924" s="171"/>
    </row>
    <row r="1925" spans="1:16">
      <c r="A1925" s="166" t="b">
        <v>0</v>
      </c>
      <c r="B1925" s="166"/>
      <c r="C1925" s="166" t="s">
        <v>4411</v>
      </c>
      <c r="D1925" s="177">
        <v>26</v>
      </c>
      <c r="E1925" s="168"/>
      <c r="F1925" s="171"/>
      <c r="G1925" s="170"/>
      <c r="H1925" s="177"/>
      <c r="I1925" s="171"/>
      <c r="J1925" s="171"/>
      <c r="K1925" s="166" t="str">
        <f ca="1">IFERROR(VLOOKUP(C1925,' Disaggregation - Section E '!A$618:N1129,3,0),"")</f>
        <v/>
      </c>
      <c r="L1925" s="166"/>
      <c r="M1925" s="166"/>
      <c r="N1925" s="171"/>
      <c r="O1925" s="171"/>
      <c r="P1925" s="171"/>
    </row>
    <row r="1926" spans="1:16">
      <c r="A1926" s="166" t="b">
        <v>0</v>
      </c>
      <c r="B1926" s="166"/>
      <c r="C1926" s="166" t="s">
        <v>4412</v>
      </c>
      <c r="D1926" s="177">
        <v>26</v>
      </c>
      <c r="E1926" s="168"/>
      <c r="F1926" s="171"/>
      <c r="G1926" s="170"/>
      <c r="H1926" s="177"/>
      <c r="I1926" s="171"/>
      <c r="J1926" s="171"/>
      <c r="K1926" s="166" t="str">
        <f ca="1">IFERROR(VLOOKUP(C1926,' Disaggregation - Section E '!A$618:N1130,3,0),"")</f>
        <v/>
      </c>
      <c r="L1926" s="166"/>
      <c r="M1926" s="166"/>
      <c r="N1926" s="171"/>
      <c r="O1926" s="171"/>
      <c r="P1926" s="171"/>
    </row>
    <row r="1927" spans="1:16">
      <c r="A1927" s="166" t="b">
        <v>0</v>
      </c>
      <c r="B1927" s="166"/>
      <c r="C1927" s="166" t="s">
        <v>4413</v>
      </c>
      <c r="D1927" s="177">
        <v>26</v>
      </c>
      <c r="E1927" s="168"/>
      <c r="F1927" s="171"/>
      <c r="G1927" s="170"/>
      <c r="H1927" s="177"/>
      <c r="I1927" s="171"/>
      <c r="J1927" s="171"/>
      <c r="K1927" s="166" t="str">
        <f ca="1">IFERROR(VLOOKUP(C1927,' Disaggregation - Section E '!A$618:N1131,3,0),"")</f>
        <v/>
      </c>
      <c r="L1927" s="166"/>
      <c r="M1927" s="166"/>
      <c r="N1927" s="171"/>
      <c r="O1927" s="171"/>
      <c r="P1927" s="171"/>
    </row>
    <row r="1928" spans="1:16">
      <c r="A1928" s="166" t="b">
        <v>0</v>
      </c>
      <c r="B1928" s="166"/>
      <c r="C1928" s="166" t="s">
        <v>4414</v>
      </c>
      <c r="D1928" s="177">
        <v>26</v>
      </c>
      <c r="E1928" s="168"/>
      <c r="F1928" s="171"/>
      <c r="G1928" s="170"/>
      <c r="H1928" s="177"/>
      <c r="I1928" s="171"/>
      <c r="J1928" s="171"/>
      <c r="K1928" s="166" t="str">
        <f ca="1">IFERROR(VLOOKUP(C1928,' Disaggregation - Section E '!A$618:N1132,3,0),"")</f>
        <v/>
      </c>
      <c r="L1928" s="166"/>
      <c r="M1928" s="166"/>
      <c r="N1928" s="171"/>
      <c r="O1928" s="171"/>
      <c r="P1928" s="171"/>
    </row>
    <row r="1929" spans="1:16">
      <c r="A1929" s="166" t="b">
        <v>0</v>
      </c>
      <c r="B1929" s="166"/>
      <c r="C1929" s="166" t="s">
        <v>4415</v>
      </c>
      <c r="D1929" s="177">
        <v>26</v>
      </c>
      <c r="E1929" s="168"/>
      <c r="F1929" s="171"/>
      <c r="G1929" s="170"/>
      <c r="H1929" s="177"/>
      <c r="I1929" s="171"/>
      <c r="J1929" s="171"/>
      <c r="K1929" s="166" t="str">
        <f ca="1">IFERROR(VLOOKUP(C1929,' Disaggregation - Section E '!A$618:N1133,3,0),"")</f>
        <v/>
      </c>
      <c r="L1929" s="166"/>
      <c r="M1929" s="166"/>
      <c r="N1929" s="171"/>
      <c r="O1929" s="171"/>
      <c r="P1929" s="171"/>
    </row>
    <row r="1930" spans="1:16">
      <c r="A1930" s="166" t="b">
        <v>0</v>
      </c>
      <c r="B1930" s="166"/>
      <c r="C1930" s="166" t="s">
        <v>4416</v>
      </c>
      <c r="D1930" s="177">
        <v>26</v>
      </c>
      <c r="E1930" s="168"/>
      <c r="F1930" s="171"/>
      <c r="G1930" s="170"/>
      <c r="H1930" s="177"/>
      <c r="I1930" s="171"/>
      <c r="J1930" s="171"/>
      <c r="K1930" s="166" t="str">
        <f ca="1">IFERROR(VLOOKUP(C1930,' Disaggregation - Section E '!A$618:N1134,3,0),"")</f>
        <v/>
      </c>
      <c r="L1930" s="166"/>
      <c r="M1930" s="166"/>
      <c r="N1930" s="171"/>
      <c r="O1930" s="171"/>
      <c r="P1930" s="171"/>
    </row>
    <row r="1931" spans="1:16">
      <c r="A1931" s="166" t="b">
        <v>0</v>
      </c>
      <c r="B1931" s="166"/>
      <c r="C1931" s="166" t="s">
        <v>4417</v>
      </c>
      <c r="D1931" s="177">
        <v>26</v>
      </c>
      <c r="E1931" s="168"/>
      <c r="F1931" s="171"/>
      <c r="G1931" s="170"/>
      <c r="H1931" s="177"/>
      <c r="I1931" s="171"/>
      <c r="J1931" s="171"/>
      <c r="K1931" s="166" t="str">
        <f ca="1">IFERROR(VLOOKUP(C1931,' Disaggregation - Section E '!A$618:N1135,3,0),"")</f>
        <v/>
      </c>
      <c r="L1931" s="166"/>
      <c r="M1931" s="166"/>
      <c r="N1931" s="171"/>
      <c r="O1931" s="171"/>
      <c r="P1931" s="171"/>
    </row>
    <row r="1932" spans="1:16">
      <c r="A1932" s="166" t="b">
        <v>0</v>
      </c>
      <c r="B1932" s="166"/>
      <c r="C1932" s="166" t="s">
        <v>4418</v>
      </c>
      <c r="D1932" s="177">
        <v>26</v>
      </c>
      <c r="E1932" s="168"/>
      <c r="F1932" s="171"/>
      <c r="G1932" s="170"/>
      <c r="H1932" s="177"/>
      <c r="I1932" s="171"/>
      <c r="J1932" s="171"/>
      <c r="K1932" s="166" t="str">
        <f ca="1">IFERROR(VLOOKUP(C1932,' Disaggregation - Section E '!A$618:N1136,3,0),"")</f>
        <v/>
      </c>
      <c r="L1932" s="166"/>
      <c r="M1932" s="166"/>
      <c r="N1932" s="171"/>
      <c r="O1932" s="171"/>
      <c r="P1932" s="171"/>
    </row>
    <row r="1933" spans="1:16">
      <c r="A1933" s="166" t="b">
        <v>0</v>
      </c>
      <c r="B1933" s="166"/>
      <c r="C1933" s="166" t="s">
        <v>4419</v>
      </c>
      <c r="D1933" s="177">
        <v>26</v>
      </c>
      <c r="E1933" s="168"/>
      <c r="F1933" s="171"/>
      <c r="G1933" s="170"/>
      <c r="H1933" s="177"/>
      <c r="I1933" s="171"/>
      <c r="J1933" s="171"/>
      <c r="K1933" s="166" t="str">
        <f ca="1">IFERROR(VLOOKUP(C1933,' Disaggregation - Section E '!A$618:N1137,3,0),"")</f>
        <v/>
      </c>
      <c r="L1933" s="166"/>
      <c r="M1933" s="166"/>
      <c r="N1933" s="171"/>
      <c r="O1933" s="171"/>
      <c r="P1933" s="171"/>
    </row>
    <row r="1934" spans="1:16">
      <c r="A1934" s="166" t="b">
        <v>0</v>
      </c>
      <c r="B1934" s="166"/>
      <c r="C1934" s="166" t="s">
        <v>4420</v>
      </c>
      <c r="D1934" s="177">
        <v>26</v>
      </c>
      <c r="E1934" s="168"/>
      <c r="F1934" s="171"/>
      <c r="G1934" s="170"/>
      <c r="H1934" s="177"/>
      <c r="I1934" s="171"/>
      <c r="J1934" s="171"/>
      <c r="K1934" s="166" t="str">
        <f ca="1">IFERROR(VLOOKUP(C1934,' Disaggregation - Section E '!A$618:N1138,3,0),"")</f>
        <v/>
      </c>
      <c r="L1934" s="166"/>
      <c r="M1934" s="166"/>
      <c r="N1934" s="171"/>
      <c r="O1934" s="171"/>
      <c r="P1934" s="171"/>
    </row>
    <row r="1935" spans="1:16">
      <c r="A1935" s="166" t="b">
        <v>0</v>
      </c>
      <c r="B1935" s="166"/>
      <c r="C1935" s="166" t="s">
        <v>4421</v>
      </c>
      <c r="D1935" s="177">
        <v>26</v>
      </c>
      <c r="E1935" s="168"/>
      <c r="F1935" s="171"/>
      <c r="G1935" s="170"/>
      <c r="H1935" s="177"/>
      <c r="I1935" s="171"/>
      <c r="J1935" s="171"/>
      <c r="K1935" s="166" t="str">
        <f ca="1">IFERROR(VLOOKUP(C1935,' Disaggregation - Section E '!A$618:N1139,3,0),"")</f>
        <v/>
      </c>
      <c r="L1935" s="166"/>
      <c r="M1935" s="166"/>
      <c r="N1935" s="171"/>
      <c r="O1935" s="171"/>
      <c r="P1935" s="171"/>
    </row>
    <row r="1936" spans="1:16">
      <c r="A1936" s="166" t="b">
        <v>0</v>
      </c>
      <c r="B1936" s="166"/>
      <c r="C1936" s="166" t="s">
        <v>4422</v>
      </c>
      <c r="D1936" s="177">
        <v>26</v>
      </c>
      <c r="E1936" s="168"/>
      <c r="F1936" s="171"/>
      <c r="G1936" s="170"/>
      <c r="H1936" s="177"/>
      <c r="I1936" s="171"/>
      <c r="J1936" s="171"/>
      <c r="K1936" s="166" t="str">
        <f ca="1">IFERROR(VLOOKUP(C1936,' Disaggregation - Section E '!A$618:N1140,3,0),"")</f>
        <v/>
      </c>
      <c r="L1936" s="166"/>
      <c r="M1936" s="166"/>
      <c r="N1936" s="171"/>
      <c r="O1936" s="171"/>
      <c r="P1936" s="171"/>
    </row>
    <row r="1937" spans="1:16">
      <c r="A1937" s="166" t="b">
        <v>0</v>
      </c>
      <c r="B1937" s="166"/>
      <c r="C1937" s="166" t="s">
        <v>4423</v>
      </c>
      <c r="D1937" s="177">
        <v>26</v>
      </c>
      <c r="E1937" s="168"/>
      <c r="F1937" s="171"/>
      <c r="G1937" s="170"/>
      <c r="H1937" s="177"/>
      <c r="I1937" s="171"/>
      <c r="J1937" s="171"/>
      <c r="K1937" s="166" t="str">
        <f ca="1">IFERROR(VLOOKUP(C1937,' Disaggregation - Section E '!A$618:N1141,3,0),"")</f>
        <v/>
      </c>
      <c r="L1937" s="166"/>
      <c r="M1937" s="166"/>
      <c r="N1937" s="171"/>
      <c r="O1937" s="171"/>
      <c r="P1937" s="171"/>
    </row>
    <row r="1938" spans="1:16">
      <c r="A1938" s="166" t="b">
        <v>0</v>
      </c>
      <c r="B1938" s="166"/>
      <c r="C1938" s="166" t="s">
        <v>4424</v>
      </c>
      <c r="D1938" s="177">
        <v>26</v>
      </c>
      <c r="E1938" s="168"/>
      <c r="F1938" s="171"/>
      <c r="G1938" s="170"/>
      <c r="H1938" s="177"/>
      <c r="I1938" s="171"/>
      <c r="J1938" s="171"/>
      <c r="K1938" s="166" t="str">
        <f ca="1">IFERROR(VLOOKUP(C1938,' Disaggregation - Section E '!A$618:N1142,3,0),"")</f>
        <v/>
      </c>
      <c r="L1938" s="166"/>
      <c r="M1938" s="166"/>
      <c r="N1938" s="171"/>
      <c r="O1938" s="171"/>
      <c r="P1938" s="171"/>
    </row>
    <row r="1939" spans="1:16">
      <c r="A1939" s="166" t="b">
        <v>0</v>
      </c>
      <c r="B1939" s="166"/>
      <c r="C1939" s="166" t="s">
        <v>4425</v>
      </c>
      <c r="D1939" s="177">
        <v>26</v>
      </c>
      <c r="E1939" s="168"/>
      <c r="F1939" s="171"/>
      <c r="G1939" s="170"/>
      <c r="H1939" s="177"/>
      <c r="I1939" s="171"/>
      <c r="J1939" s="171"/>
      <c r="K1939" s="166" t="str">
        <f ca="1">IFERROR(VLOOKUP(C1939,' Disaggregation - Section E '!A$618:N1143,3,0),"")</f>
        <v/>
      </c>
      <c r="L1939" s="166"/>
      <c r="M1939" s="166"/>
      <c r="N1939" s="171"/>
      <c r="O1939" s="171"/>
      <c r="P1939" s="171"/>
    </row>
    <row r="1940" spans="1:16">
      <c r="A1940" s="166" t="b">
        <v>0</v>
      </c>
      <c r="B1940" s="166"/>
      <c r="C1940" s="166" t="s">
        <v>4426</v>
      </c>
      <c r="D1940" s="177">
        <v>27</v>
      </c>
      <c r="E1940" s="168"/>
      <c r="F1940" s="171"/>
      <c r="G1940" s="170"/>
      <c r="H1940" s="177"/>
      <c r="I1940" s="171"/>
      <c r="J1940" s="171"/>
      <c r="K1940" s="166" t="str">
        <f ca="1">IFERROR(VLOOKUP(C1940,' Disaggregation - Section E '!A$618:N1144,3,0),"")</f>
        <v/>
      </c>
      <c r="L1940" s="166"/>
      <c r="M1940" s="166"/>
      <c r="N1940" s="171"/>
      <c r="O1940" s="171"/>
      <c r="P1940" s="171"/>
    </row>
    <row r="1941" spans="1:16">
      <c r="A1941" s="166" t="b">
        <v>0</v>
      </c>
      <c r="B1941" s="166"/>
      <c r="C1941" s="166" t="s">
        <v>4427</v>
      </c>
      <c r="D1941" s="177">
        <v>27</v>
      </c>
      <c r="E1941" s="168"/>
      <c r="F1941" s="171"/>
      <c r="G1941" s="170"/>
      <c r="H1941" s="177"/>
      <c r="I1941" s="171"/>
      <c r="J1941" s="171"/>
      <c r="K1941" s="166" t="str">
        <f ca="1">IFERROR(VLOOKUP(C1941,' Disaggregation - Section E '!A$618:N1145,3,0),"")</f>
        <v/>
      </c>
      <c r="L1941" s="166"/>
      <c r="M1941" s="166"/>
      <c r="N1941" s="171"/>
      <c r="O1941" s="171"/>
      <c r="P1941" s="171"/>
    </row>
    <row r="1942" spans="1:16">
      <c r="A1942" s="166" t="b">
        <v>0</v>
      </c>
      <c r="B1942" s="166"/>
      <c r="C1942" s="166" t="s">
        <v>4428</v>
      </c>
      <c r="D1942" s="177">
        <v>27</v>
      </c>
      <c r="E1942" s="168"/>
      <c r="F1942" s="171"/>
      <c r="G1942" s="170"/>
      <c r="H1942" s="177"/>
      <c r="I1942" s="171"/>
      <c r="J1942" s="171"/>
      <c r="K1942" s="166" t="str">
        <f ca="1">IFERROR(VLOOKUP(C1942,' Disaggregation - Section E '!A$618:N1146,3,0),"")</f>
        <v/>
      </c>
      <c r="L1942" s="166"/>
      <c r="M1942" s="166"/>
      <c r="N1942" s="171"/>
      <c r="O1942" s="171"/>
      <c r="P1942" s="171"/>
    </row>
    <row r="1943" spans="1:16">
      <c r="A1943" s="166" t="b">
        <v>0</v>
      </c>
      <c r="B1943" s="166"/>
      <c r="C1943" s="166" t="s">
        <v>4429</v>
      </c>
      <c r="D1943" s="177">
        <v>27</v>
      </c>
      <c r="E1943" s="168"/>
      <c r="F1943" s="171"/>
      <c r="G1943" s="170"/>
      <c r="H1943" s="177"/>
      <c r="I1943" s="171"/>
      <c r="J1943" s="171"/>
      <c r="K1943" s="166" t="str">
        <f ca="1">IFERROR(VLOOKUP(C1943,' Disaggregation - Section E '!A$618:N1147,3,0),"")</f>
        <v/>
      </c>
      <c r="L1943" s="166"/>
      <c r="M1943" s="166"/>
      <c r="N1943" s="171"/>
      <c r="O1943" s="171"/>
      <c r="P1943" s="171"/>
    </row>
    <row r="1944" spans="1:16">
      <c r="A1944" s="166" t="b">
        <v>0</v>
      </c>
      <c r="B1944" s="166"/>
      <c r="C1944" s="166" t="s">
        <v>4430</v>
      </c>
      <c r="D1944" s="177">
        <v>27</v>
      </c>
      <c r="E1944" s="168"/>
      <c r="F1944" s="171"/>
      <c r="G1944" s="170"/>
      <c r="H1944" s="177"/>
      <c r="I1944" s="171"/>
      <c r="J1944" s="171"/>
      <c r="K1944" s="166" t="str">
        <f ca="1">IFERROR(VLOOKUP(C1944,' Disaggregation - Section E '!A$618:N1148,3,0),"")</f>
        <v/>
      </c>
      <c r="L1944" s="166"/>
      <c r="M1944" s="166"/>
      <c r="N1944" s="171"/>
      <c r="O1944" s="171"/>
      <c r="P1944" s="171"/>
    </row>
    <row r="1945" spans="1:16">
      <c r="A1945" s="166" t="b">
        <v>0</v>
      </c>
      <c r="B1945" s="166"/>
      <c r="C1945" s="166" t="s">
        <v>4431</v>
      </c>
      <c r="D1945" s="177">
        <v>27</v>
      </c>
      <c r="E1945" s="168"/>
      <c r="F1945" s="171"/>
      <c r="G1945" s="170"/>
      <c r="H1945" s="177"/>
      <c r="I1945" s="171"/>
      <c r="J1945" s="171"/>
      <c r="K1945" s="166" t="str">
        <f ca="1">IFERROR(VLOOKUP(C1945,' Disaggregation - Section E '!A$618:N1149,3,0),"")</f>
        <v/>
      </c>
      <c r="L1945" s="166"/>
      <c r="M1945" s="166"/>
      <c r="N1945" s="171"/>
      <c r="O1945" s="171"/>
      <c r="P1945" s="171"/>
    </row>
    <row r="1946" spans="1:16">
      <c r="A1946" s="166" t="b">
        <v>0</v>
      </c>
      <c r="B1946" s="166"/>
      <c r="C1946" s="166" t="s">
        <v>4432</v>
      </c>
      <c r="D1946" s="177">
        <v>27</v>
      </c>
      <c r="E1946" s="168"/>
      <c r="F1946" s="171"/>
      <c r="G1946" s="170"/>
      <c r="H1946" s="177"/>
      <c r="I1946" s="171"/>
      <c r="J1946" s="171"/>
      <c r="K1946" s="166" t="str">
        <f ca="1">IFERROR(VLOOKUP(C1946,' Disaggregation - Section E '!A$618:N1150,3,0),"")</f>
        <v/>
      </c>
      <c r="L1946" s="166"/>
      <c r="M1946" s="166"/>
      <c r="N1946" s="171"/>
      <c r="O1946" s="171"/>
      <c r="P1946" s="171"/>
    </row>
    <row r="1947" spans="1:16">
      <c r="A1947" s="166" t="b">
        <v>0</v>
      </c>
      <c r="B1947" s="166"/>
      <c r="C1947" s="166" t="s">
        <v>4433</v>
      </c>
      <c r="D1947" s="177">
        <v>27</v>
      </c>
      <c r="E1947" s="168"/>
      <c r="F1947" s="171"/>
      <c r="G1947" s="170"/>
      <c r="H1947" s="177"/>
      <c r="I1947" s="171"/>
      <c r="J1947" s="171"/>
      <c r="K1947" s="166" t="str">
        <f ca="1">IFERROR(VLOOKUP(C1947,' Disaggregation - Section E '!A$618:N1151,3,0),"")</f>
        <v/>
      </c>
      <c r="L1947" s="166"/>
      <c r="M1947" s="166"/>
      <c r="N1947" s="171"/>
      <c r="O1947" s="171"/>
      <c r="P1947" s="171"/>
    </row>
    <row r="1948" spans="1:16">
      <c r="A1948" s="166" t="b">
        <v>0</v>
      </c>
      <c r="B1948" s="166"/>
      <c r="C1948" s="166" t="s">
        <v>4434</v>
      </c>
      <c r="D1948" s="177">
        <v>27</v>
      </c>
      <c r="E1948" s="168"/>
      <c r="F1948" s="171"/>
      <c r="G1948" s="170"/>
      <c r="H1948" s="177"/>
      <c r="I1948" s="171"/>
      <c r="J1948" s="171"/>
      <c r="K1948" s="166" t="str">
        <f ca="1">IFERROR(VLOOKUP(C1948,' Disaggregation - Section E '!A$618:N1152,3,0),"")</f>
        <v/>
      </c>
      <c r="L1948" s="166"/>
      <c r="M1948" s="166"/>
      <c r="N1948" s="171"/>
      <c r="O1948" s="171"/>
      <c r="P1948" s="171"/>
    </row>
    <row r="1949" spans="1:16">
      <c r="A1949" s="166" t="b">
        <v>0</v>
      </c>
      <c r="B1949" s="166"/>
      <c r="C1949" s="166" t="s">
        <v>4435</v>
      </c>
      <c r="D1949" s="177">
        <v>27</v>
      </c>
      <c r="E1949" s="168"/>
      <c r="F1949" s="171"/>
      <c r="G1949" s="170"/>
      <c r="H1949" s="177"/>
      <c r="I1949" s="171"/>
      <c r="J1949" s="171"/>
      <c r="K1949" s="166" t="str">
        <f ca="1">IFERROR(VLOOKUP(C1949,' Disaggregation - Section E '!A$618:N1153,3,0),"")</f>
        <v/>
      </c>
      <c r="L1949" s="166"/>
      <c r="M1949" s="166"/>
      <c r="N1949" s="171"/>
      <c r="O1949" s="171"/>
      <c r="P1949" s="171"/>
    </row>
    <row r="1950" spans="1:16">
      <c r="A1950" s="166" t="b">
        <v>0</v>
      </c>
      <c r="B1950" s="166"/>
      <c r="C1950" s="166" t="s">
        <v>4436</v>
      </c>
      <c r="D1950" s="177">
        <v>27</v>
      </c>
      <c r="E1950" s="168"/>
      <c r="F1950" s="171"/>
      <c r="G1950" s="170"/>
      <c r="H1950" s="177"/>
      <c r="I1950" s="171"/>
      <c r="J1950" s="171"/>
      <c r="K1950" s="166" t="str">
        <f ca="1">IFERROR(VLOOKUP(C1950,' Disaggregation - Section E '!A$618:N1154,3,0),"")</f>
        <v/>
      </c>
      <c r="L1950" s="166"/>
      <c r="M1950" s="166"/>
      <c r="N1950" s="171"/>
      <c r="O1950" s="171"/>
      <c r="P1950" s="171"/>
    </row>
    <row r="1951" spans="1:16">
      <c r="A1951" s="166" t="b">
        <v>0</v>
      </c>
      <c r="B1951" s="166"/>
      <c r="C1951" s="166" t="s">
        <v>4437</v>
      </c>
      <c r="D1951" s="177">
        <v>27</v>
      </c>
      <c r="E1951" s="168"/>
      <c r="F1951" s="171"/>
      <c r="G1951" s="170"/>
      <c r="H1951" s="177"/>
      <c r="I1951" s="171"/>
      <c r="J1951" s="171"/>
      <c r="K1951" s="166" t="str">
        <f ca="1">IFERROR(VLOOKUP(C1951,' Disaggregation - Section E '!A$618:N1155,3,0),"")</f>
        <v/>
      </c>
      <c r="L1951" s="166"/>
      <c r="M1951" s="166"/>
      <c r="N1951" s="171"/>
      <c r="O1951" s="171"/>
      <c r="P1951" s="171"/>
    </row>
    <row r="1952" spans="1:16">
      <c r="A1952" s="166" t="b">
        <v>0</v>
      </c>
      <c r="B1952" s="166"/>
      <c r="C1952" s="166" t="s">
        <v>4438</v>
      </c>
      <c r="D1952" s="177">
        <v>27</v>
      </c>
      <c r="E1952" s="168"/>
      <c r="F1952" s="171"/>
      <c r="G1952" s="170"/>
      <c r="H1952" s="177"/>
      <c r="I1952" s="171"/>
      <c r="J1952" s="171"/>
      <c r="K1952" s="166" t="str">
        <f ca="1">IFERROR(VLOOKUP(C1952,' Disaggregation - Section E '!A$618:N1156,3,0),"")</f>
        <v/>
      </c>
      <c r="L1952" s="166"/>
      <c r="M1952" s="166"/>
      <c r="N1952" s="171"/>
      <c r="O1952" s="171"/>
      <c r="P1952" s="171"/>
    </row>
    <row r="1953" spans="1:16">
      <c r="A1953" s="166" t="b">
        <v>0</v>
      </c>
      <c r="B1953" s="166"/>
      <c r="C1953" s="166" t="s">
        <v>4439</v>
      </c>
      <c r="D1953" s="177">
        <v>27</v>
      </c>
      <c r="E1953" s="168"/>
      <c r="F1953" s="171"/>
      <c r="G1953" s="170"/>
      <c r="H1953" s="177"/>
      <c r="I1953" s="171"/>
      <c r="J1953" s="171"/>
      <c r="K1953" s="166" t="str">
        <f ca="1">IFERROR(VLOOKUP(C1953,' Disaggregation - Section E '!A$618:N1157,3,0),"")</f>
        <v/>
      </c>
      <c r="L1953" s="166"/>
      <c r="M1953" s="166"/>
      <c r="N1953" s="171"/>
      <c r="O1953" s="171"/>
      <c r="P1953" s="171"/>
    </row>
    <row r="1954" spans="1:16">
      <c r="A1954" s="166" t="b">
        <v>0</v>
      </c>
      <c r="B1954" s="166"/>
      <c r="C1954" s="166" t="s">
        <v>4440</v>
      </c>
      <c r="D1954" s="177">
        <v>27</v>
      </c>
      <c r="E1954" s="168"/>
      <c r="F1954" s="171"/>
      <c r="G1954" s="170"/>
      <c r="H1954" s="177"/>
      <c r="I1954" s="171"/>
      <c r="J1954" s="171"/>
      <c r="K1954" s="166" t="str">
        <f ca="1">IFERROR(VLOOKUP(C1954,' Disaggregation - Section E '!A$618:N1158,3,0),"")</f>
        <v/>
      </c>
      <c r="L1954" s="166"/>
      <c r="M1954" s="166"/>
      <c r="N1954" s="171"/>
      <c r="O1954" s="171"/>
      <c r="P1954" s="171"/>
    </row>
    <row r="1955" spans="1:16">
      <c r="A1955" s="166" t="b">
        <v>0</v>
      </c>
      <c r="B1955" s="166"/>
      <c r="C1955" s="166" t="s">
        <v>4441</v>
      </c>
      <c r="D1955" s="177">
        <v>27</v>
      </c>
      <c r="E1955" s="168"/>
      <c r="F1955" s="171"/>
      <c r="G1955" s="170"/>
      <c r="H1955" s="177"/>
      <c r="I1955" s="171"/>
      <c r="J1955" s="171"/>
      <c r="K1955" s="166" t="str">
        <f ca="1">IFERROR(VLOOKUP(C1955,' Disaggregation - Section E '!A$618:N1159,3,0),"")</f>
        <v/>
      </c>
      <c r="L1955" s="166"/>
      <c r="M1955" s="166"/>
      <c r="N1955" s="171"/>
      <c r="O1955" s="171"/>
      <c r="P1955" s="171"/>
    </row>
    <row r="1956" spans="1:16">
      <c r="A1956" s="166" t="b">
        <v>0</v>
      </c>
      <c r="B1956" s="166"/>
      <c r="C1956" s="166" t="s">
        <v>4442</v>
      </c>
      <c r="D1956" s="177">
        <v>27</v>
      </c>
      <c r="E1956" s="168"/>
      <c r="F1956" s="171"/>
      <c r="G1956" s="170"/>
      <c r="H1956" s="177"/>
      <c r="I1956" s="171"/>
      <c r="J1956" s="171"/>
      <c r="K1956" s="166" t="str">
        <f ca="1">IFERROR(VLOOKUP(C1956,' Disaggregation - Section E '!A$618:N1160,3,0),"")</f>
        <v/>
      </c>
      <c r="L1956" s="166"/>
      <c r="M1956" s="166"/>
      <c r="N1956" s="171"/>
      <c r="O1956" s="171"/>
      <c r="P1956" s="171"/>
    </row>
    <row r="1957" spans="1:16">
      <c r="A1957" s="166" t="b">
        <v>0</v>
      </c>
      <c r="B1957" s="166"/>
      <c r="C1957" s="166" t="s">
        <v>4443</v>
      </c>
      <c r="D1957" s="177">
        <v>27</v>
      </c>
      <c r="E1957" s="168"/>
      <c r="F1957" s="171"/>
      <c r="G1957" s="170"/>
      <c r="H1957" s="177"/>
      <c r="I1957" s="171"/>
      <c r="J1957" s="171"/>
      <c r="K1957" s="166" t="str">
        <f ca="1">IFERROR(VLOOKUP(C1957,' Disaggregation - Section E '!A$618:N1161,3,0),"")</f>
        <v/>
      </c>
      <c r="L1957" s="166"/>
      <c r="M1957" s="166"/>
      <c r="N1957" s="171"/>
      <c r="O1957" s="171"/>
      <c r="P1957" s="171"/>
    </row>
    <row r="1958" spans="1:16">
      <c r="A1958" s="166" t="b">
        <v>0</v>
      </c>
      <c r="B1958" s="166"/>
      <c r="C1958" s="166" t="s">
        <v>4444</v>
      </c>
      <c r="D1958" s="177">
        <v>27</v>
      </c>
      <c r="E1958" s="168"/>
      <c r="F1958" s="171"/>
      <c r="G1958" s="170"/>
      <c r="H1958" s="177"/>
      <c r="I1958" s="171"/>
      <c r="J1958" s="171"/>
      <c r="K1958" s="166" t="str">
        <f ca="1">IFERROR(VLOOKUP(C1958,' Disaggregation - Section E '!A$618:N1162,3,0),"")</f>
        <v/>
      </c>
      <c r="L1958" s="166"/>
      <c r="M1958" s="166"/>
      <c r="N1958" s="171"/>
      <c r="O1958" s="171"/>
      <c r="P1958" s="171"/>
    </row>
    <row r="1959" spans="1:16">
      <c r="A1959" s="166" t="b">
        <v>0</v>
      </c>
      <c r="B1959" s="166"/>
      <c r="C1959" s="166" t="s">
        <v>4445</v>
      </c>
      <c r="D1959" s="177">
        <v>27</v>
      </c>
      <c r="E1959" s="168"/>
      <c r="F1959" s="171"/>
      <c r="G1959" s="170"/>
      <c r="H1959" s="177"/>
      <c r="I1959" s="171"/>
      <c r="J1959" s="171"/>
      <c r="K1959" s="166" t="str">
        <f ca="1">IFERROR(VLOOKUP(C1959,' Disaggregation - Section E '!A$618:N1163,3,0),"")</f>
        <v/>
      </c>
      <c r="L1959" s="166"/>
      <c r="M1959" s="166"/>
      <c r="N1959" s="171"/>
      <c r="O1959" s="171"/>
      <c r="P1959" s="171"/>
    </row>
    <row r="1960" spans="1:16">
      <c r="A1960" s="166" t="b">
        <v>0</v>
      </c>
      <c r="B1960" s="166"/>
      <c r="C1960" s="166" t="s">
        <v>4446</v>
      </c>
      <c r="D1960" s="177">
        <v>28</v>
      </c>
      <c r="E1960" s="168"/>
      <c r="F1960" s="171"/>
      <c r="G1960" s="170"/>
      <c r="H1960" s="177"/>
      <c r="I1960" s="171"/>
      <c r="J1960" s="171"/>
      <c r="K1960" s="166" t="str">
        <f ca="1">IFERROR(VLOOKUP(C1960,' Disaggregation - Section E '!A$618:N1164,3,0),"")</f>
        <v/>
      </c>
      <c r="L1960" s="166"/>
      <c r="M1960" s="166"/>
      <c r="N1960" s="171"/>
      <c r="O1960" s="171"/>
      <c r="P1960" s="171"/>
    </row>
    <row r="1961" spans="1:16">
      <c r="A1961" s="166" t="b">
        <v>0</v>
      </c>
      <c r="B1961" s="166"/>
      <c r="C1961" s="166" t="s">
        <v>4447</v>
      </c>
      <c r="D1961" s="177">
        <v>28</v>
      </c>
      <c r="E1961" s="168"/>
      <c r="F1961" s="171"/>
      <c r="G1961" s="170"/>
      <c r="H1961" s="177"/>
      <c r="I1961" s="171"/>
      <c r="J1961" s="171"/>
      <c r="K1961" s="166" t="str">
        <f ca="1">IFERROR(VLOOKUP(C1961,' Disaggregation - Section E '!A$618:N1165,3,0),"")</f>
        <v/>
      </c>
      <c r="L1961" s="166"/>
      <c r="M1961" s="166"/>
      <c r="N1961" s="171"/>
      <c r="O1961" s="171"/>
      <c r="P1961" s="171"/>
    </row>
    <row r="1962" spans="1:16">
      <c r="A1962" s="166" t="b">
        <v>0</v>
      </c>
      <c r="B1962" s="166"/>
      <c r="C1962" s="166" t="s">
        <v>4448</v>
      </c>
      <c r="D1962" s="177">
        <v>28</v>
      </c>
      <c r="E1962" s="168"/>
      <c r="F1962" s="171"/>
      <c r="G1962" s="170"/>
      <c r="H1962" s="177"/>
      <c r="I1962" s="171"/>
      <c r="J1962" s="171"/>
      <c r="K1962" s="166" t="str">
        <f ca="1">IFERROR(VLOOKUP(C1962,' Disaggregation - Section E '!A$618:N1166,3,0),"")</f>
        <v/>
      </c>
      <c r="L1962" s="166"/>
      <c r="M1962" s="166"/>
      <c r="N1962" s="171"/>
      <c r="O1962" s="171"/>
      <c r="P1962" s="171"/>
    </row>
    <row r="1963" spans="1:16">
      <c r="A1963" s="166" t="b">
        <v>0</v>
      </c>
      <c r="B1963" s="166"/>
      <c r="C1963" s="166" t="s">
        <v>4449</v>
      </c>
      <c r="D1963" s="177">
        <v>28</v>
      </c>
      <c r="E1963" s="168"/>
      <c r="F1963" s="171"/>
      <c r="G1963" s="170"/>
      <c r="H1963" s="177"/>
      <c r="I1963" s="171"/>
      <c r="J1963" s="171"/>
      <c r="K1963" s="166" t="str">
        <f ca="1">IFERROR(VLOOKUP(C1963,' Disaggregation - Section E '!A$618:N1167,3,0),"")</f>
        <v/>
      </c>
      <c r="L1963" s="166"/>
      <c r="M1963" s="166"/>
      <c r="N1963" s="171"/>
      <c r="O1963" s="171"/>
      <c r="P1963" s="171"/>
    </row>
    <row r="1964" spans="1:16">
      <c r="A1964" s="166" t="b">
        <v>0</v>
      </c>
      <c r="B1964" s="166"/>
      <c r="C1964" s="166" t="s">
        <v>4450</v>
      </c>
      <c r="D1964" s="177">
        <v>28</v>
      </c>
      <c r="E1964" s="168"/>
      <c r="F1964" s="171"/>
      <c r="G1964" s="170"/>
      <c r="H1964" s="177"/>
      <c r="I1964" s="171"/>
      <c r="J1964" s="171"/>
      <c r="K1964" s="166" t="str">
        <f ca="1">IFERROR(VLOOKUP(C1964,' Disaggregation - Section E '!A$618:N1168,3,0),"")</f>
        <v/>
      </c>
      <c r="L1964" s="166"/>
      <c r="M1964" s="166"/>
      <c r="N1964" s="171"/>
      <c r="O1964" s="171"/>
      <c r="P1964" s="171"/>
    </row>
    <row r="1965" spans="1:16">
      <c r="A1965" s="166" t="b">
        <v>0</v>
      </c>
      <c r="B1965" s="166"/>
      <c r="C1965" s="166" t="s">
        <v>4451</v>
      </c>
      <c r="D1965" s="177">
        <v>28</v>
      </c>
      <c r="E1965" s="168"/>
      <c r="F1965" s="171"/>
      <c r="G1965" s="170"/>
      <c r="H1965" s="177"/>
      <c r="I1965" s="171"/>
      <c r="J1965" s="171"/>
      <c r="K1965" s="166" t="str">
        <f ca="1">IFERROR(VLOOKUP(C1965,' Disaggregation - Section E '!A$618:N1169,3,0),"")</f>
        <v/>
      </c>
      <c r="L1965" s="166"/>
      <c r="M1965" s="166"/>
      <c r="N1965" s="171"/>
      <c r="O1965" s="171"/>
      <c r="P1965" s="171"/>
    </row>
    <row r="1966" spans="1:16">
      <c r="A1966" s="166" t="b">
        <v>0</v>
      </c>
      <c r="B1966" s="166"/>
      <c r="C1966" s="166" t="s">
        <v>4452</v>
      </c>
      <c r="D1966" s="177">
        <v>28</v>
      </c>
      <c r="E1966" s="168"/>
      <c r="F1966" s="171"/>
      <c r="G1966" s="170"/>
      <c r="H1966" s="177"/>
      <c r="I1966" s="171"/>
      <c r="J1966" s="171"/>
      <c r="K1966" s="166" t="str">
        <f ca="1">IFERROR(VLOOKUP(C1966,' Disaggregation - Section E '!A$618:N1170,3,0),"")</f>
        <v/>
      </c>
      <c r="L1966" s="166"/>
      <c r="M1966" s="166"/>
      <c r="N1966" s="171"/>
      <c r="O1966" s="171"/>
      <c r="P1966" s="171"/>
    </row>
    <row r="1967" spans="1:16">
      <c r="A1967" s="166" t="b">
        <v>0</v>
      </c>
      <c r="B1967" s="166"/>
      <c r="C1967" s="166" t="s">
        <v>4453</v>
      </c>
      <c r="D1967" s="177">
        <v>28</v>
      </c>
      <c r="E1967" s="168"/>
      <c r="F1967" s="171"/>
      <c r="G1967" s="170"/>
      <c r="H1967" s="177"/>
      <c r="I1967" s="171"/>
      <c r="J1967" s="171"/>
      <c r="K1967" s="166" t="str">
        <f ca="1">IFERROR(VLOOKUP(C1967,' Disaggregation - Section E '!A$618:N1171,3,0),"")</f>
        <v/>
      </c>
      <c r="L1967" s="166"/>
      <c r="M1967" s="166"/>
      <c r="N1967" s="171"/>
      <c r="O1967" s="171"/>
      <c r="P1967" s="171"/>
    </row>
    <row r="1968" spans="1:16">
      <c r="A1968" s="166" t="b">
        <v>0</v>
      </c>
      <c r="B1968" s="166"/>
      <c r="C1968" s="166" t="s">
        <v>4454</v>
      </c>
      <c r="D1968" s="177">
        <v>28</v>
      </c>
      <c r="E1968" s="168"/>
      <c r="F1968" s="171"/>
      <c r="G1968" s="170"/>
      <c r="H1968" s="177"/>
      <c r="I1968" s="171"/>
      <c r="J1968" s="171"/>
      <c r="K1968" s="166" t="str">
        <f ca="1">IFERROR(VLOOKUP(C1968,' Disaggregation - Section E '!A$618:N1172,3,0),"")</f>
        <v/>
      </c>
      <c r="L1968" s="166"/>
      <c r="M1968" s="166"/>
      <c r="N1968" s="171"/>
      <c r="O1968" s="171"/>
      <c r="P1968" s="171"/>
    </row>
    <row r="1969" spans="1:16">
      <c r="A1969" s="166" t="b">
        <v>0</v>
      </c>
      <c r="B1969" s="166"/>
      <c r="C1969" s="166" t="s">
        <v>4455</v>
      </c>
      <c r="D1969" s="177">
        <v>28</v>
      </c>
      <c r="E1969" s="168"/>
      <c r="F1969" s="171"/>
      <c r="G1969" s="170"/>
      <c r="H1969" s="177"/>
      <c r="I1969" s="171"/>
      <c r="J1969" s="171"/>
      <c r="K1969" s="166" t="str">
        <f ca="1">IFERROR(VLOOKUP(C1969,' Disaggregation - Section E '!A$618:N1173,3,0),"")</f>
        <v/>
      </c>
      <c r="L1969" s="166"/>
      <c r="M1969" s="166"/>
      <c r="N1969" s="171"/>
      <c r="O1969" s="171"/>
      <c r="P1969" s="171"/>
    </row>
    <row r="1970" spans="1:16">
      <c r="A1970" s="166" t="b">
        <v>0</v>
      </c>
      <c r="B1970" s="166"/>
      <c r="C1970" s="166" t="s">
        <v>4456</v>
      </c>
      <c r="D1970" s="177">
        <v>28</v>
      </c>
      <c r="E1970" s="168"/>
      <c r="F1970" s="171"/>
      <c r="G1970" s="170"/>
      <c r="H1970" s="177"/>
      <c r="I1970" s="171"/>
      <c r="J1970" s="171"/>
      <c r="K1970" s="166" t="str">
        <f ca="1">IFERROR(VLOOKUP(C1970,' Disaggregation - Section E '!A$618:N1174,3,0),"")</f>
        <v/>
      </c>
      <c r="L1970" s="166"/>
      <c r="M1970" s="166"/>
      <c r="N1970" s="171"/>
      <c r="O1970" s="171"/>
      <c r="P1970" s="171"/>
    </row>
    <row r="1971" spans="1:16">
      <c r="A1971" s="166" t="b">
        <v>0</v>
      </c>
      <c r="B1971" s="166"/>
      <c r="C1971" s="166" t="s">
        <v>4457</v>
      </c>
      <c r="D1971" s="177">
        <v>28</v>
      </c>
      <c r="E1971" s="168"/>
      <c r="F1971" s="171"/>
      <c r="G1971" s="170"/>
      <c r="H1971" s="177"/>
      <c r="I1971" s="171"/>
      <c r="J1971" s="171"/>
      <c r="K1971" s="166" t="str">
        <f ca="1">IFERROR(VLOOKUP(C1971,' Disaggregation - Section E '!A$618:N1175,3,0),"")</f>
        <v/>
      </c>
      <c r="L1971" s="166"/>
      <c r="M1971" s="166"/>
      <c r="N1971" s="171"/>
      <c r="O1971" s="171"/>
      <c r="P1971" s="171"/>
    </row>
    <row r="1972" spans="1:16">
      <c r="A1972" s="166" t="b">
        <v>0</v>
      </c>
      <c r="B1972" s="166"/>
      <c r="C1972" s="166" t="s">
        <v>4458</v>
      </c>
      <c r="D1972" s="177">
        <v>28</v>
      </c>
      <c r="E1972" s="168"/>
      <c r="F1972" s="171"/>
      <c r="G1972" s="170"/>
      <c r="H1972" s="177"/>
      <c r="I1972" s="171"/>
      <c r="J1972" s="171"/>
      <c r="K1972" s="166" t="str">
        <f ca="1">IFERROR(VLOOKUP(C1972,' Disaggregation - Section E '!A$618:N1176,3,0),"")</f>
        <v/>
      </c>
      <c r="L1972" s="166"/>
      <c r="M1972" s="166"/>
      <c r="N1972" s="171"/>
      <c r="O1972" s="171"/>
      <c r="P1972" s="171"/>
    </row>
    <row r="1973" spans="1:16">
      <c r="A1973" s="166" t="b">
        <v>0</v>
      </c>
      <c r="B1973" s="166"/>
      <c r="C1973" s="166" t="s">
        <v>4459</v>
      </c>
      <c r="D1973" s="177">
        <v>28</v>
      </c>
      <c r="E1973" s="168"/>
      <c r="F1973" s="171"/>
      <c r="G1973" s="170"/>
      <c r="H1973" s="177"/>
      <c r="I1973" s="171"/>
      <c r="J1973" s="171"/>
      <c r="K1973" s="166" t="str">
        <f ca="1">IFERROR(VLOOKUP(C1973,' Disaggregation - Section E '!A$618:N1177,3,0),"")</f>
        <v/>
      </c>
      <c r="L1973" s="166"/>
      <c r="M1973" s="166"/>
      <c r="N1973" s="171"/>
      <c r="O1973" s="171"/>
      <c r="P1973" s="171"/>
    </row>
    <row r="1974" spans="1:16">
      <c r="A1974" s="166" t="b">
        <v>0</v>
      </c>
      <c r="B1974" s="166"/>
      <c r="C1974" s="166" t="s">
        <v>4460</v>
      </c>
      <c r="D1974" s="177">
        <v>28</v>
      </c>
      <c r="E1974" s="168"/>
      <c r="F1974" s="171"/>
      <c r="G1974" s="170"/>
      <c r="H1974" s="177"/>
      <c r="I1974" s="171"/>
      <c r="J1974" s="171"/>
      <c r="K1974" s="166" t="str">
        <f ca="1">IFERROR(VLOOKUP(C1974,' Disaggregation - Section E '!A$618:N1178,3,0),"")</f>
        <v/>
      </c>
      <c r="L1974" s="166"/>
      <c r="M1974" s="166"/>
      <c r="N1974" s="171"/>
      <c r="O1974" s="171"/>
      <c r="P1974" s="171"/>
    </row>
    <row r="1975" spans="1:16">
      <c r="A1975" s="166" t="b">
        <v>0</v>
      </c>
      <c r="B1975" s="166"/>
      <c r="C1975" s="166" t="s">
        <v>4461</v>
      </c>
      <c r="D1975" s="177">
        <v>28</v>
      </c>
      <c r="E1975" s="168"/>
      <c r="F1975" s="171"/>
      <c r="G1975" s="170"/>
      <c r="H1975" s="177"/>
      <c r="I1975" s="171"/>
      <c r="J1975" s="171"/>
      <c r="K1975" s="166" t="str">
        <f ca="1">IFERROR(VLOOKUP(C1975,' Disaggregation - Section E '!A$618:N1179,3,0),"")</f>
        <v/>
      </c>
      <c r="L1975" s="166"/>
      <c r="M1975" s="166"/>
      <c r="N1975" s="171"/>
      <c r="O1975" s="171"/>
      <c r="P1975" s="171"/>
    </row>
    <row r="1976" spans="1:16">
      <c r="A1976" s="166" t="b">
        <v>0</v>
      </c>
      <c r="B1976" s="166"/>
      <c r="C1976" s="166" t="s">
        <v>4462</v>
      </c>
      <c r="D1976" s="177">
        <v>28</v>
      </c>
      <c r="E1976" s="168"/>
      <c r="F1976" s="171"/>
      <c r="G1976" s="170"/>
      <c r="H1976" s="177"/>
      <c r="I1976" s="171"/>
      <c r="J1976" s="171"/>
      <c r="K1976" s="166" t="str">
        <f ca="1">IFERROR(VLOOKUP(C1976,' Disaggregation - Section E '!A$618:N1180,3,0),"")</f>
        <v/>
      </c>
      <c r="L1976" s="166"/>
      <c r="M1976" s="166"/>
      <c r="N1976" s="171"/>
      <c r="O1976" s="171"/>
      <c r="P1976" s="171"/>
    </row>
    <row r="1977" spans="1:16">
      <c r="A1977" s="166" t="b">
        <v>0</v>
      </c>
      <c r="B1977" s="166"/>
      <c r="C1977" s="166" t="s">
        <v>4463</v>
      </c>
      <c r="D1977" s="177">
        <v>28</v>
      </c>
      <c r="E1977" s="168"/>
      <c r="F1977" s="171"/>
      <c r="G1977" s="170"/>
      <c r="H1977" s="177"/>
      <c r="I1977" s="171"/>
      <c r="J1977" s="171"/>
      <c r="K1977" s="166" t="str">
        <f ca="1">IFERROR(VLOOKUP(C1977,' Disaggregation - Section E '!A$618:N1181,3,0),"")</f>
        <v/>
      </c>
      <c r="L1977" s="166"/>
      <c r="M1977" s="166"/>
      <c r="N1977" s="171"/>
      <c r="O1977" s="171"/>
      <c r="P1977" s="171"/>
    </row>
    <row r="1978" spans="1:16">
      <c r="A1978" s="166" t="b">
        <v>0</v>
      </c>
      <c r="B1978" s="166"/>
      <c r="C1978" s="166" t="s">
        <v>4464</v>
      </c>
      <c r="D1978" s="177">
        <v>28</v>
      </c>
      <c r="E1978" s="168"/>
      <c r="F1978" s="171"/>
      <c r="G1978" s="170"/>
      <c r="H1978" s="177"/>
      <c r="I1978" s="171"/>
      <c r="J1978" s="171"/>
      <c r="K1978" s="166" t="str">
        <f ca="1">IFERROR(VLOOKUP(C1978,' Disaggregation - Section E '!A$618:N1182,3,0),"")</f>
        <v/>
      </c>
      <c r="L1978" s="166"/>
      <c r="M1978" s="166"/>
      <c r="N1978" s="171"/>
      <c r="O1978" s="171"/>
      <c r="P1978" s="171"/>
    </row>
    <row r="1979" spans="1:16">
      <c r="A1979" s="166" t="b">
        <v>0</v>
      </c>
      <c r="B1979" s="166"/>
      <c r="C1979" s="166" t="s">
        <v>4465</v>
      </c>
      <c r="D1979" s="177">
        <v>28</v>
      </c>
      <c r="E1979" s="168"/>
      <c r="F1979" s="171"/>
      <c r="G1979" s="170"/>
      <c r="H1979" s="177"/>
      <c r="I1979" s="171"/>
      <c r="J1979" s="171"/>
      <c r="K1979" s="166" t="str">
        <f ca="1">IFERROR(VLOOKUP(C1979,' Disaggregation - Section E '!A$618:N1183,3,0),"")</f>
        <v/>
      </c>
      <c r="L1979" s="166"/>
      <c r="M1979" s="166"/>
      <c r="N1979" s="171"/>
      <c r="O1979" s="171"/>
      <c r="P1979" s="171"/>
    </row>
    <row r="1980" spans="1:16">
      <c r="A1980" s="166" t="b">
        <v>0</v>
      </c>
      <c r="B1980" s="166"/>
      <c r="C1980" s="166" t="s">
        <v>4466</v>
      </c>
      <c r="D1980" s="177">
        <v>29</v>
      </c>
      <c r="E1980" s="168"/>
      <c r="F1980" s="171"/>
      <c r="G1980" s="170"/>
      <c r="H1980" s="177"/>
      <c r="I1980" s="171"/>
      <c r="J1980" s="171"/>
      <c r="K1980" s="166" t="str">
        <f ca="1">IFERROR(VLOOKUP(C1980,' Disaggregation - Section E '!A$618:N1184,3,0),"")</f>
        <v/>
      </c>
      <c r="L1980" s="166"/>
      <c r="M1980" s="166"/>
      <c r="N1980" s="171"/>
      <c r="O1980" s="171"/>
      <c r="P1980" s="171"/>
    </row>
    <row r="1981" spans="1:16">
      <c r="A1981" s="166" t="b">
        <v>0</v>
      </c>
      <c r="B1981" s="166"/>
      <c r="C1981" s="166" t="s">
        <v>4467</v>
      </c>
      <c r="D1981" s="177">
        <v>29</v>
      </c>
      <c r="E1981" s="168"/>
      <c r="F1981" s="171"/>
      <c r="G1981" s="170"/>
      <c r="H1981" s="177"/>
      <c r="I1981" s="171"/>
      <c r="J1981" s="171"/>
      <c r="K1981" s="166" t="str">
        <f ca="1">IFERROR(VLOOKUP(C1981,' Disaggregation - Section E '!A$618:N1185,3,0),"")</f>
        <v/>
      </c>
      <c r="L1981" s="166"/>
      <c r="M1981" s="166"/>
      <c r="N1981" s="171"/>
      <c r="O1981" s="171"/>
      <c r="P1981" s="171"/>
    </row>
    <row r="1982" spans="1:16">
      <c r="A1982" s="166" t="b">
        <v>0</v>
      </c>
      <c r="B1982" s="166"/>
      <c r="C1982" s="166" t="s">
        <v>4468</v>
      </c>
      <c r="D1982" s="177">
        <v>29</v>
      </c>
      <c r="E1982" s="168"/>
      <c r="F1982" s="171"/>
      <c r="G1982" s="170"/>
      <c r="H1982" s="177"/>
      <c r="I1982" s="171"/>
      <c r="J1982" s="171"/>
      <c r="K1982" s="166" t="str">
        <f ca="1">IFERROR(VLOOKUP(C1982,' Disaggregation - Section E '!A$618:N1186,3,0),"")</f>
        <v/>
      </c>
      <c r="L1982" s="166"/>
      <c r="M1982" s="166"/>
      <c r="N1982" s="171"/>
      <c r="O1982" s="171"/>
      <c r="P1982" s="171"/>
    </row>
    <row r="1983" spans="1:16">
      <c r="A1983" s="166" t="b">
        <v>0</v>
      </c>
      <c r="B1983" s="166"/>
      <c r="C1983" s="166" t="s">
        <v>4469</v>
      </c>
      <c r="D1983" s="177">
        <v>29</v>
      </c>
      <c r="E1983" s="168"/>
      <c r="F1983" s="171"/>
      <c r="G1983" s="170"/>
      <c r="H1983" s="177"/>
      <c r="I1983" s="171"/>
      <c r="J1983" s="171"/>
      <c r="K1983" s="166" t="str">
        <f ca="1">IFERROR(VLOOKUP(C1983,' Disaggregation - Section E '!A$618:N1187,3,0),"")</f>
        <v/>
      </c>
      <c r="L1983" s="166"/>
      <c r="M1983" s="166"/>
      <c r="N1983" s="171"/>
      <c r="O1983" s="171"/>
      <c r="P1983" s="171"/>
    </row>
    <row r="1984" spans="1:16">
      <c r="A1984" s="166" t="b">
        <v>0</v>
      </c>
      <c r="B1984" s="166"/>
      <c r="C1984" s="166" t="s">
        <v>4470</v>
      </c>
      <c r="D1984" s="177">
        <v>29</v>
      </c>
      <c r="E1984" s="168"/>
      <c r="F1984" s="171"/>
      <c r="G1984" s="170"/>
      <c r="H1984" s="177"/>
      <c r="I1984" s="171"/>
      <c r="J1984" s="171"/>
      <c r="K1984" s="166" t="str">
        <f ca="1">IFERROR(VLOOKUP(C1984,' Disaggregation - Section E '!A$618:N1188,3,0),"")</f>
        <v/>
      </c>
      <c r="L1984" s="166"/>
      <c r="M1984" s="166"/>
      <c r="N1984" s="171"/>
      <c r="O1984" s="171"/>
      <c r="P1984" s="171"/>
    </row>
    <row r="1985" spans="1:16">
      <c r="A1985" s="166" t="b">
        <v>0</v>
      </c>
      <c r="B1985" s="166"/>
      <c r="C1985" s="166" t="s">
        <v>4471</v>
      </c>
      <c r="D1985" s="177">
        <v>29</v>
      </c>
      <c r="E1985" s="168"/>
      <c r="F1985" s="171"/>
      <c r="G1985" s="170"/>
      <c r="H1985" s="177"/>
      <c r="I1985" s="171"/>
      <c r="J1985" s="171"/>
      <c r="K1985" s="166" t="str">
        <f ca="1">IFERROR(VLOOKUP(C1985,' Disaggregation - Section E '!A$618:N1189,3,0),"")</f>
        <v/>
      </c>
      <c r="L1985" s="166"/>
      <c r="M1985" s="166"/>
      <c r="N1985" s="171"/>
      <c r="O1985" s="171"/>
      <c r="P1985" s="171"/>
    </row>
    <row r="1986" spans="1:16">
      <c r="A1986" s="166" t="b">
        <v>0</v>
      </c>
      <c r="B1986" s="166"/>
      <c r="C1986" s="166" t="s">
        <v>4472</v>
      </c>
      <c r="D1986" s="177">
        <v>29</v>
      </c>
      <c r="E1986" s="168"/>
      <c r="F1986" s="171"/>
      <c r="G1986" s="170"/>
      <c r="H1986" s="177"/>
      <c r="I1986" s="171"/>
      <c r="J1986" s="171"/>
      <c r="K1986" s="166" t="str">
        <f ca="1">IFERROR(VLOOKUP(C1986,' Disaggregation - Section E '!A$618:N1190,3,0),"")</f>
        <v/>
      </c>
      <c r="L1986" s="166"/>
      <c r="M1986" s="166"/>
      <c r="N1986" s="171"/>
      <c r="O1986" s="171"/>
      <c r="P1986" s="171"/>
    </row>
    <row r="1987" spans="1:16">
      <c r="A1987" s="166" t="b">
        <v>0</v>
      </c>
      <c r="B1987" s="166"/>
      <c r="C1987" s="166" t="s">
        <v>4473</v>
      </c>
      <c r="D1987" s="177">
        <v>29</v>
      </c>
      <c r="E1987" s="168"/>
      <c r="F1987" s="171"/>
      <c r="G1987" s="170"/>
      <c r="H1987" s="177"/>
      <c r="I1987" s="171"/>
      <c r="J1987" s="171"/>
      <c r="K1987" s="166" t="str">
        <f ca="1">IFERROR(VLOOKUP(C1987,' Disaggregation - Section E '!A$618:N1191,3,0),"")</f>
        <v/>
      </c>
      <c r="L1987" s="166"/>
      <c r="M1987" s="166"/>
      <c r="N1987" s="171"/>
      <c r="O1987" s="171"/>
      <c r="P1987" s="171"/>
    </row>
    <row r="1988" spans="1:16">
      <c r="A1988" s="166" t="b">
        <v>0</v>
      </c>
      <c r="B1988" s="166"/>
      <c r="C1988" s="166" t="s">
        <v>4474</v>
      </c>
      <c r="D1988" s="177">
        <v>29</v>
      </c>
      <c r="E1988" s="168"/>
      <c r="F1988" s="171"/>
      <c r="G1988" s="170"/>
      <c r="H1988" s="177"/>
      <c r="I1988" s="171"/>
      <c r="J1988" s="171"/>
      <c r="K1988" s="166" t="str">
        <f ca="1">IFERROR(VLOOKUP(C1988,' Disaggregation - Section E '!A$618:N1192,3,0),"")</f>
        <v/>
      </c>
      <c r="L1988" s="166"/>
      <c r="M1988" s="166"/>
      <c r="N1988" s="171"/>
      <c r="O1988" s="171"/>
      <c r="P1988" s="171"/>
    </row>
    <row r="1989" spans="1:16">
      <c r="A1989" s="166" t="b">
        <v>0</v>
      </c>
      <c r="B1989" s="166"/>
      <c r="C1989" s="166" t="s">
        <v>4475</v>
      </c>
      <c r="D1989" s="177">
        <v>29</v>
      </c>
      <c r="E1989" s="168"/>
      <c r="F1989" s="171"/>
      <c r="G1989" s="170"/>
      <c r="H1989" s="177"/>
      <c r="I1989" s="171"/>
      <c r="J1989" s="171"/>
      <c r="K1989" s="166" t="str">
        <f ca="1">IFERROR(VLOOKUP(C1989,' Disaggregation - Section E '!A$618:N1193,3,0),"")</f>
        <v/>
      </c>
      <c r="L1989" s="166"/>
      <c r="M1989" s="166"/>
      <c r="N1989" s="171"/>
      <c r="O1989" s="171"/>
      <c r="P1989" s="171"/>
    </row>
    <row r="1990" spans="1:16">
      <c r="A1990" s="166" t="b">
        <v>0</v>
      </c>
      <c r="B1990" s="166"/>
      <c r="C1990" s="166" t="s">
        <v>4476</v>
      </c>
      <c r="D1990" s="177">
        <v>29</v>
      </c>
      <c r="E1990" s="168"/>
      <c r="F1990" s="171"/>
      <c r="G1990" s="170"/>
      <c r="H1990" s="177"/>
      <c r="I1990" s="171"/>
      <c r="J1990" s="171"/>
      <c r="K1990" s="166" t="str">
        <f ca="1">IFERROR(VLOOKUP(C1990,' Disaggregation - Section E '!A$618:N1194,3,0),"")</f>
        <v/>
      </c>
      <c r="L1990" s="166"/>
      <c r="M1990" s="166"/>
      <c r="N1990" s="171"/>
      <c r="O1990" s="171"/>
      <c r="P1990" s="171"/>
    </row>
    <row r="1991" spans="1:16">
      <c r="A1991" s="166" t="b">
        <v>0</v>
      </c>
      <c r="B1991" s="166"/>
      <c r="C1991" s="166" t="s">
        <v>4477</v>
      </c>
      <c r="D1991" s="177">
        <v>29</v>
      </c>
      <c r="E1991" s="168"/>
      <c r="F1991" s="171"/>
      <c r="G1991" s="170"/>
      <c r="H1991" s="177"/>
      <c r="I1991" s="171"/>
      <c r="J1991" s="171"/>
      <c r="K1991" s="166" t="str">
        <f ca="1">IFERROR(VLOOKUP(C1991,' Disaggregation - Section E '!A$618:N1195,3,0),"")</f>
        <v/>
      </c>
      <c r="L1991" s="166"/>
      <c r="M1991" s="166"/>
      <c r="N1991" s="171"/>
      <c r="O1991" s="171"/>
      <c r="P1991" s="171"/>
    </row>
    <row r="1992" spans="1:16">
      <c r="A1992" s="166" t="b">
        <v>0</v>
      </c>
      <c r="B1992" s="166"/>
      <c r="C1992" s="166" t="s">
        <v>4478</v>
      </c>
      <c r="D1992" s="177">
        <v>29</v>
      </c>
      <c r="E1992" s="168"/>
      <c r="F1992" s="171"/>
      <c r="G1992" s="170"/>
      <c r="H1992" s="177"/>
      <c r="I1992" s="171"/>
      <c r="J1992" s="171"/>
      <c r="K1992" s="166" t="str">
        <f ca="1">IFERROR(VLOOKUP(C1992,' Disaggregation - Section E '!A$618:N1196,3,0),"")</f>
        <v/>
      </c>
      <c r="L1992" s="166"/>
      <c r="M1992" s="166"/>
      <c r="N1992" s="171"/>
      <c r="O1992" s="171"/>
      <c r="P1992" s="171"/>
    </row>
    <row r="1993" spans="1:16">
      <c r="A1993" s="166" t="b">
        <v>0</v>
      </c>
      <c r="B1993" s="166"/>
      <c r="C1993" s="166" t="s">
        <v>4479</v>
      </c>
      <c r="D1993" s="177">
        <v>29</v>
      </c>
      <c r="E1993" s="168"/>
      <c r="F1993" s="171"/>
      <c r="G1993" s="170"/>
      <c r="H1993" s="177"/>
      <c r="I1993" s="171"/>
      <c r="J1993" s="171"/>
      <c r="K1993" s="166" t="str">
        <f ca="1">IFERROR(VLOOKUP(C1993,' Disaggregation - Section E '!A$618:N1197,3,0),"")</f>
        <v/>
      </c>
      <c r="L1993" s="166"/>
      <c r="M1993" s="166"/>
      <c r="N1993" s="171"/>
      <c r="O1993" s="171"/>
      <c r="P1993" s="171"/>
    </row>
    <row r="1994" spans="1:16">
      <c r="A1994" s="166" t="b">
        <v>0</v>
      </c>
      <c r="B1994" s="166"/>
      <c r="C1994" s="166" t="s">
        <v>4480</v>
      </c>
      <c r="D1994" s="177">
        <v>29</v>
      </c>
      <c r="E1994" s="168"/>
      <c r="F1994" s="171"/>
      <c r="G1994" s="170"/>
      <c r="H1994" s="177"/>
      <c r="I1994" s="171"/>
      <c r="J1994" s="171"/>
      <c r="K1994" s="166" t="str">
        <f ca="1">IFERROR(VLOOKUP(C1994,' Disaggregation - Section E '!A$618:N1198,3,0),"")</f>
        <v/>
      </c>
      <c r="L1994" s="166"/>
      <c r="M1994" s="166"/>
      <c r="N1994" s="171"/>
      <c r="O1994" s="171"/>
      <c r="P1994" s="171"/>
    </row>
    <row r="1995" spans="1:16">
      <c r="A1995" s="166" t="b">
        <v>0</v>
      </c>
      <c r="B1995" s="166"/>
      <c r="C1995" s="166" t="s">
        <v>4481</v>
      </c>
      <c r="D1995" s="177">
        <v>29</v>
      </c>
      <c r="E1995" s="168"/>
      <c r="F1995" s="171"/>
      <c r="G1995" s="170"/>
      <c r="H1995" s="177"/>
      <c r="I1995" s="171"/>
      <c r="J1995" s="171"/>
      <c r="K1995" s="166" t="str">
        <f ca="1">IFERROR(VLOOKUP(C1995,' Disaggregation - Section E '!A$618:N1199,3,0),"")</f>
        <v/>
      </c>
      <c r="L1995" s="166"/>
      <c r="M1995" s="166"/>
      <c r="N1995" s="171"/>
      <c r="O1995" s="171"/>
      <c r="P1995" s="171"/>
    </row>
    <row r="1996" spans="1:16">
      <c r="A1996" s="166" t="b">
        <v>0</v>
      </c>
      <c r="B1996" s="166"/>
      <c r="C1996" s="166" t="s">
        <v>4482</v>
      </c>
      <c r="D1996" s="177">
        <v>29</v>
      </c>
      <c r="E1996" s="168"/>
      <c r="F1996" s="171"/>
      <c r="G1996" s="170"/>
      <c r="H1996" s="177"/>
      <c r="I1996" s="171"/>
      <c r="J1996" s="171"/>
      <c r="K1996" s="166" t="str">
        <f ca="1">IFERROR(VLOOKUP(C1996,' Disaggregation - Section E '!A$618:N1200,3,0),"")</f>
        <v/>
      </c>
      <c r="L1996" s="166"/>
      <c r="M1996" s="166"/>
      <c r="N1996" s="171"/>
      <c r="O1996" s="171"/>
      <c r="P1996" s="171"/>
    </row>
    <row r="1997" spans="1:16">
      <c r="A1997" s="166" t="b">
        <v>0</v>
      </c>
      <c r="B1997" s="166"/>
      <c r="C1997" s="166" t="s">
        <v>4483</v>
      </c>
      <c r="D1997" s="177">
        <v>29</v>
      </c>
      <c r="E1997" s="168"/>
      <c r="F1997" s="171"/>
      <c r="G1997" s="170"/>
      <c r="H1997" s="177"/>
      <c r="I1997" s="171"/>
      <c r="J1997" s="171"/>
      <c r="K1997" s="166" t="str">
        <f ca="1">IFERROR(VLOOKUP(C1997,' Disaggregation - Section E '!A$618:N1201,3,0),"")</f>
        <v/>
      </c>
      <c r="L1997" s="166"/>
      <c r="M1997" s="166"/>
      <c r="N1997" s="171"/>
      <c r="O1997" s="171"/>
      <c r="P1997" s="171"/>
    </row>
    <row r="1998" spans="1:16">
      <c r="A1998" s="166" t="b">
        <v>0</v>
      </c>
      <c r="B1998" s="166"/>
      <c r="C1998" s="166" t="s">
        <v>4484</v>
      </c>
      <c r="D1998" s="177">
        <v>29</v>
      </c>
      <c r="E1998" s="168"/>
      <c r="F1998" s="171"/>
      <c r="G1998" s="170"/>
      <c r="H1998" s="177"/>
      <c r="I1998" s="171"/>
      <c r="J1998" s="171"/>
      <c r="K1998" s="166" t="str">
        <f ca="1">IFERROR(VLOOKUP(C1998,' Disaggregation - Section E '!A$618:N1202,3,0),"")</f>
        <v/>
      </c>
      <c r="L1998" s="166"/>
      <c r="M1998" s="166"/>
      <c r="N1998" s="171"/>
      <c r="O1998" s="171"/>
      <c r="P1998" s="171"/>
    </row>
    <row r="1999" spans="1:16">
      <c r="A1999" s="166" t="b">
        <v>0</v>
      </c>
      <c r="B1999" s="166"/>
      <c r="C1999" s="166" t="s">
        <v>4485</v>
      </c>
      <c r="D1999" s="177">
        <v>29</v>
      </c>
      <c r="E1999" s="168"/>
      <c r="F1999" s="171"/>
      <c r="G1999" s="170"/>
      <c r="H1999" s="177"/>
      <c r="I1999" s="171"/>
      <c r="J1999" s="171"/>
      <c r="K1999" s="166" t="str">
        <f ca="1">IFERROR(VLOOKUP(C1999,' Disaggregation - Section E '!A$618:N1203,3,0),"")</f>
        <v/>
      </c>
      <c r="L1999" s="166"/>
      <c r="M1999" s="166"/>
      <c r="N1999" s="171"/>
      <c r="O1999" s="171"/>
      <c r="P1999" s="171"/>
    </row>
    <row r="2000" spans="1:16">
      <c r="A2000" s="166" t="b">
        <v>0</v>
      </c>
      <c r="B2000" s="166"/>
      <c r="C2000" s="166" t="s">
        <v>4486</v>
      </c>
      <c r="D2000" s="177">
        <v>30</v>
      </c>
      <c r="E2000" s="168"/>
      <c r="F2000" s="171"/>
      <c r="G2000" s="170"/>
      <c r="H2000" s="177"/>
      <c r="I2000" s="171"/>
      <c r="J2000" s="171"/>
      <c r="K2000" s="166" t="str">
        <f ca="1">IFERROR(VLOOKUP(C2000,' Disaggregation - Section E '!A$618:N1204,3,0),"")</f>
        <v/>
      </c>
      <c r="L2000" s="166"/>
      <c r="M2000" s="166"/>
      <c r="N2000" s="171"/>
      <c r="O2000" s="171"/>
      <c r="P2000" s="171"/>
    </row>
    <row r="2001" spans="1:16">
      <c r="A2001" s="166" t="b">
        <v>0</v>
      </c>
      <c r="B2001" s="166"/>
      <c r="C2001" s="166" t="s">
        <v>4487</v>
      </c>
      <c r="D2001" s="177">
        <v>30</v>
      </c>
      <c r="E2001" s="168"/>
      <c r="F2001" s="171"/>
      <c r="G2001" s="170"/>
      <c r="H2001" s="177"/>
      <c r="I2001" s="171"/>
      <c r="J2001" s="171"/>
      <c r="K2001" s="166" t="str">
        <f ca="1">IFERROR(VLOOKUP(C2001,' Disaggregation - Section E '!A$618:N1205,3,0),"")</f>
        <v/>
      </c>
      <c r="L2001" s="166"/>
      <c r="M2001" s="166"/>
      <c r="N2001" s="171"/>
      <c r="O2001" s="171"/>
      <c r="P2001" s="171"/>
    </row>
    <row r="2002" spans="1:16">
      <c r="A2002" s="166" t="b">
        <v>0</v>
      </c>
      <c r="B2002" s="166"/>
      <c r="C2002" s="166" t="s">
        <v>4488</v>
      </c>
      <c r="D2002" s="177">
        <v>30</v>
      </c>
      <c r="E2002" s="168"/>
      <c r="F2002" s="171"/>
      <c r="G2002" s="170"/>
      <c r="H2002" s="177"/>
      <c r="I2002" s="171"/>
      <c r="J2002" s="171"/>
      <c r="K2002" s="166" t="str">
        <f ca="1">IFERROR(VLOOKUP(C2002,' Disaggregation - Section E '!A$618:N1206,3,0),"")</f>
        <v/>
      </c>
      <c r="L2002" s="166"/>
      <c r="M2002" s="166"/>
      <c r="N2002" s="171"/>
      <c r="O2002" s="171"/>
      <c r="P2002" s="171"/>
    </row>
    <row r="2003" spans="1:16">
      <c r="A2003" s="166" t="b">
        <v>0</v>
      </c>
      <c r="B2003" s="166"/>
      <c r="C2003" s="166" t="s">
        <v>4489</v>
      </c>
      <c r="D2003" s="177">
        <v>30</v>
      </c>
      <c r="E2003" s="168"/>
      <c r="F2003" s="171"/>
      <c r="G2003" s="170"/>
      <c r="H2003" s="177"/>
      <c r="I2003" s="171"/>
      <c r="J2003" s="171"/>
      <c r="K2003" s="166" t="str">
        <f ca="1">IFERROR(VLOOKUP(C2003,' Disaggregation - Section E '!A$618:N1207,3,0),"")</f>
        <v/>
      </c>
      <c r="L2003" s="166"/>
      <c r="M2003" s="166"/>
      <c r="N2003" s="171"/>
      <c r="O2003" s="171"/>
      <c r="P2003" s="171"/>
    </row>
    <row r="2004" spans="1:16">
      <c r="A2004" s="166" t="b">
        <v>0</v>
      </c>
      <c r="B2004" s="166"/>
      <c r="C2004" s="166" t="s">
        <v>4490</v>
      </c>
      <c r="D2004" s="177">
        <v>30</v>
      </c>
      <c r="E2004" s="168"/>
      <c r="F2004" s="171"/>
      <c r="G2004" s="170"/>
      <c r="H2004" s="177"/>
      <c r="I2004" s="171"/>
      <c r="J2004" s="171"/>
      <c r="K2004" s="166" t="str">
        <f ca="1">IFERROR(VLOOKUP(C2004,' Disaggregation - Section E '!A$618:N1208,3,0),"")</f>
        <v/>
      </c>
      <c r="L2004" s="166"/>
      <c r="M2004" s="166"/>
      <c r="N2004" s="171"/>
      <c r="O2004" s="171"/>
      <c r="P2004" s="171"/>
    </row>
    <row r="2005" spans="1:16">
      <c r="A2005" s="166" t="b">
        <v>0</v>
      </c>
      <c r="B2005" s="166"/>
      <c r="C2005" s="166" t="s">
        <v>4491</v>
      </c>
      <c r="D2005" s="177">
        <v>30</v>
      </c>
      <c r="E2005" s="168"/>
      <c r="F2005" s="171"/>
      <c r="G2005" s="170"/>
      <c r="H2005" s="177"/>
      <c r="I2005" s="171"/>
      <c r="J2005" s="171"/>
      <c r="K2005" s="166" t="str">
        <f ca="1">IFERROR(VLOOKUP(C2005,' Disaggregation - Section E '!A$618:N1209,3,0),"")</f>
        <v/>
      </c>
      <c r="L2005" s="166"/>
      <c r="M2005" s="166"/>
      <c r="N2005" s="171"/>
      <c r="O2005" s="171"/>
      <c r="P2005" s="171"/>
    </row>
    <row r="2006" spans="1:16">
      <c r="A2006" s="166" t="b">
        <v>0</v>
      </c>
      <c r="B2006" s="166"/>
      <c r="C2006" s="166" t="s">
        <v>4492</v>
      </c>
      <c r="D2006" s="177">
        <v>30</v>
      </c>
      <c r="E2006" s="168"/>
      <c r="F2006" s="171"/>
      <c r="G2006" s="170"/>
      <c r="H2006" s="177"/>
      <c r="I2006" s="171"/>
      <c r="J2006" s="171"/>
      <c r="K2006" s="166" t="str">
        <f ca="1">IFERROR(VLOOKUP(C2006,' Disaggregation - Section E '!A$618:N1210,3,0),"")</f>
        <v/>
      </c>
      <c r="L2006" s="166"/>
      <c r="M2006" s="166"/>
      <c r="N2006" s="171"/>
      <c r="O2006" s="171"/>
      <c r="P2006" s="171"/>
    </row>
    <row r="2007" spans="1:16">
      <c r="A2007" s="166" t="b">
        <v>0</v>
      </c>
      <c r="B2007" s="166"/>
      <c r="C2007" s="166" t="s">
        <v>4493</v>
      </c>
      <c r="D2007" s="177">
        <v>30</v>
      </c>
      <c r="E2007" s="168"/>
      <c r="F2007" s="171"/>
      <c r="G2007" s="170"/>
      <c r="H2007" s="177"/>
      <c r="I2007" s="171"/>
      <c r="J2007" s="171"/>
      <c r="K2007" s="166" t="str">
        <f ca="1">IFERROR(VLOOKUP(C2007,' Disaggregation - Section E '!A$618:N1211,3,0),"")</f>
        <v/>
      </c>
      <c r="L2007" s="166"/>
      <c r="M2007" s="166"/>
      <c r="N2007" s="171"/>
      <c r="O2007" s="171"/>
      <c r="P2007" s="171"/>
    </row>
    <row r="2008" spans="1:16">
      <c r="A2008" s="166" t="b">
        <v>0</v>
      </c>
      <c r="B2008" s="166"/>
      <c r="C2008" s="166" t="s">
        <v>4494</v>
      </c>
      <c r="D2008" s="177">
        <v>30</v>
      </c>
      <c r="E2008" s="168"/>
      <c r="F2008" s="171"/>
      <c r="G2008" s="170"/>
      <c r="H2008" s="177"/>
      <c r="I2008" s="171"/>
      <c r="J2008" s="171"/>
      <c r="K2008" s="166" t="str">
        <f ca="1">IFERROR(VLOOKUP(C2008,' Disaggregation - Section E '!A$618:N1212,3,0),"")</f>
        <v/>
      </c>
      <c r="L2008" s="166"/>
      <c r="M2008" s="166"/>
      <c r="N2008" s="171"/>
      <c r="O2008" s="171"/>
      <c r="P2008" s="171"/>
    </row>
    <row r="2009" spans="1:16">
      <c r="A2009" s="166" t="b">
        <v>0</v>
      </c>
      <c r="B2009" s="166"/>
      <c r="C2009" s="166" t="s">
        <v>4495</v>
      </c>
      <c r="D2009" s="177">
        <v>30</v>
      </c>
      <c r="E2009" s="168"/>
      <c r="F2009" s="171"/>
      <c r="G2009" s="170"/>
      <c r="H2009" s="177"/>
      <c r="I2009" s="171"/>
      <c r="J2009" s="171"/>
      <c r="K2009" s="166" t="str">
        <f ca="1">IFERROR(VLOOKUP(C2009,' Disaggregation - Section E '!A$618:N1213,3,0),"")</f>
        <v/>
      </c>
      <c r="L2009" s="166"/>
      <c r="M2009" s="166"/>
      <c r="N2009" s="171"/>
      <c r="O2009" s="171"/>
      <c r="P2009" s="171"/>
    </row>
    <row r="2010" spans="1:16">
      <c r="A2010" s="166" t="b">
        <v>0</v>
      </c>
      <c r="B2010" s="166"/>
      <c r="C2010" s="166" t="s">
        <v>4496</v>
      </c>
      <c r="D2010" s="177">
        <v>30</v>
      </c>
      <c r="E2010" s="168"/>
      <c r="F2010" s="171"/>
      <c r="G2010" s="170"/>
      <c r="H2010" s="177"/>
      <c r="I2010" s="171"/>
      <c r="J2010" s="171"/>
      <c r="K2010" s="166" t="str">
        <f ca="1">IFERROR(VLOOKUP(C2010,' Disaggregation - Section E '!A$618:N1214,3,0),"")</f>
        <v/>
      </c>
      <c r="L2010" s="166"/>
      <c r="M2010" s="166"/>
      <c r="N2010" s="171"/>
      <c r="O2010" s="171"/>
      <c r="P2010" s="171"/>
    </row>
    <row r="2011" spans="1:16">
      <c r="A2011" s="166" t="b">
        <v>0</v>
      </c>
      <c r="B2011" s="166"/>
      <c r="C2011" s="166" t="s">
        <v>4497</v>
      </c>
      <c r="D2011" s="177">
        <v>30</v>
      </c>
      <c r="E2011" s="168"/>
      <c r="F2011" s="171"/>
      <c r="G2011" s="170"/>
      <c r="H2011" s="177"/>
      <c r="I2011" s="171"/>
      <c r="J2011" s="171"/>
      <c r="K2011" s="166" t="str">
        <f ca="1">IFERROR(VLOOKUP(C2011,' Disaggregation - Section E '!A$618:N1215,3,0),"")</f>
        <v/>
      </c>
      <c r="L2011" s="166"/>
      <c r="M2011" s="166"/>
      <c r="N2011" s="171"/>
      <c r="O2011" s="171"/>
      <c r="P2011" s="171"/>
    </row>
    <row r="2012" spans="1:16">
      <c r="A2012" s="166" t="b">
        <v>0</v>
      </c>
      <c r="B2012" s="166"/>
      <c r="C2012" s="166" t="s">
        <v>4498</v>
      </c>
      <c r="D2012" s="177">
        <v>30</v>
      </c>
      <c r="E2012" s="168"/>
      <c r="F2012" s="171"/>
      <c r="G2012" s="170"/>
      <c r="H2012" s="177"/>
      <c r="I2012" s="171"/>
      <c r="J2012" s="171"/>
      <c r="K2012" s="166" t="str">
        <f ca="1">IFERROR(VLOOKUP(C2012,' Disaggregation - Section E '!A$618:N1216,3,0),"")</f>
        <v/>
      </c>
      <c r="L2012" s="166"/>
      <c r="M2012" s="166"/>
      <c r="N2012" s="171"/>
      <c r="O2012" s="171"/>
      <c r="P2012" s="171"/>
    </row>
    <row r="2013" spans="1:16">
      <c r="A2013" s="166" t="b">
        <v>0</v>
      </c>
      <c r="B2013" s="166"/>
      <c r="C2013" s="166" t="s">
        <v>4499</v>
      </c>
      <c r="D2013" s="177">
        <v>30</v>
      </c>
      <c r="E2013" s="168"/>
      <c r="F2013" s="171"/>
      <c r="G2013" s="170"/>
      <c r="H2013" s="177"/>
      <c r="I2013" s="171"/>
      <c r="J2013" s="171"/>
      <c r="K2013" s="166" t="str">
        <f ca="1">IFERROR(VLOOKUP(C2013,' Disaggregation - Section E '!A$618:N1217,3,0),"")</f>
        <v/>
      </c>
      <c r="L2013" s="166"/>
      <c r="M2013" s="166"/>
      <c r="N2013" s="171"/>
      <c r="O2013" s="171"/>
      <c r="P2013" s="171"/>
    </row>
    <row r="2014" spans="1:16">
      <c r="A2014" s="166" t="b">
        <v>0</v>
      </c>
      <c r="B2014" s="166"/>
      <c r="C2014" s="166" t="s">
        <v>4500</v>
      </c>
      <c r="D2014" s="177">
        <v>30</v>
      </c>
      <c r="E2014" s="168"/>
      <c r="F2014" s="171"/>
      <c r="G2014" s="170"/>
      <c r="H2014" s="177"/>
      <c r="I2014" s="171"/>
      <c r="J2014" s="171"/>
      <c r="K2014" s="166" t="str">
        <f ca="1">IFERROR(VLOOKUP(C2014,' Disaggregation - Section E '!A$618:N1218,3,0),"")</f>
        <v/>
      </c>
      <c r="L2014" s="166"/>
      <c r="M2014" s="166"/>
      <c r="N2014" s="171"/>
      <c r="O2014" s="171"/>
      <c r="P2014" s="171"/>
    </row>
    <row r="2015" spans="1:16">
      <c r="A2015" s="166" t="b">
        <v>0</v>
      </c>
      <c r="B2015" s="166"/>
      <c r="C2015" s="166" t="s">
        <v>4501</v>
      </c>
      <c r="D2015" s="177">
        <v>30</v>
      </c>
      <c r="E2015" s="168"/>
      <c r="F2015" s="171"/>
      <c r="G2015" s="170"/>
      <c r="H2015" s="177"/>
      <c r="I2015" s="171"/>
      <c r="J2015" s="171"/>
      <c r="K2015" s="166" t="str">
        <f ca="1">IFERROR(VLOOKUP(C2015,' Disaggregation - Section E '!A$618:N1219,3,0),"")</f>
        <v/>
      </c>
      <c r="L2015" s="166"/>
      <c r="M2015" s="166"/>
      <c r="N2015" s="171"/>
      <c r="O2015" s="171"/>
      <c r="P2015" s="171"/>
    </row>
    <row r="2016" spans="1:16">
      <c r="A2016" s="166" t="b">
        <v>0</v>
      </c>
      <c r="B2016" s="166"/>
      <c r="C2016" s="166" t="s">
        <v>4502</v>
      </c>
      <c r="D2016" s="177">
        <v>30</v>
      </c>
      <c r="E2016" s="168"/>
      <c r="F2016" s="171"/>
      <c r="G2016" s="170"/>
      <c r="H2016" s="177"/>
      <c r="I2016" s="171"/>
      <c r="J2016" s="171"/>
      <c r="K2016" s="166" t="str">
        <f ca="1">IFERROR(VLOOKUP(C2016,' Disaggregation - Section E '!A$618:N1220,3,0),"")</f>
        <v/>
      </c>
      <c r="L2016" s="166"/>
      <c r="M2016" s="166"/>
      <c r="N2016" s="171"/>
      <c r="O2016" s="171"/>
      <c r="P2016" s="171"/>
    </row>
    <row r="2017" spans="1:16">
      <c r="A2017" s="166" t="b">
        <v>0</v>
      </c>
      <c r="B2017" s="166"/>
      <c r="C2017" s="166" t="s">
        <v>4503</v>
      </c>
      <c r="D2017" s="177">
        <v>30</v>
      </c>
      <c r="E2017" s="168"/>
      <c r="F2017" s="171"/>
      <c r="G2017" s="170"/>
      <c r="H2017" s="177"/>
      <c r="I2017" s="171"/>
      <c r="J2017" s="171"/>
      <c r="K2017" s="166" t="str">
        <f ca="1">IFERROR(VLOOKUP(C2017,' Disaggregation - Section E '!A$618:N1221,3,0),"")</f>
        <v/>
      </c>
      <c r="L2017" s="166"/>
      <c r="M2017" s="166"/>
      <c r="N2017" s="171"/>
      <c r="O2017" s="171"/>
      <c r="P2017" s="171"/>
    </row>
    <row r="2018" spans="1:16">
      <c r="A2018" s="166" t="b">
        <v>0</v>
      </c>
      <c r="B2018" s="166"/>
      <c r="C2018" s="166" t="s">
        <v>4504</v>
      </c>
      <c r="D2018" s="177">
        <v>30</v>
      </c>
      <c r="E2018" s="168"/>
      <c r="F2018" s="171"/>
      <c r="G2018" s="170"/>
      <c r="H2018" s="177"/>
      <c r="I2018" s="171"/>
      <c r="J2018" s="171"/>
      <c r="K2018" s="166" t="str">
        <f ca="1">IFERROR(VLOOKUP(C2018,' Disaggregation - Section E '!A$618:N1222,3,0),"")</f>
        <v/>
      </c>
      <c r="L2018" s="166"/>
      <c r="M2018" s="166"/>
      <c r="N2018" s="171"/>
      <c r="O2018" s="171"/>
      <c r="P2018" s="171"/>
    </row>
    <row r="2019" spans="1:16">
      <c r="A2019" s="166" t="b">
        <v>0</v>
      </c>
      <c r="B2019" s="166"/>
      <c r="C2019" s="166" t="s">
        <v>4505</v>
      </c>
      <c r="D2019" s="177">
        <v>30</v>
      </c>
      <c r="E2019" s="168"/>
      <c r="F2019" s="171"/>
      <c r="G2019" s="170"/>
      <c r="H2019" s="177"/>
      <c r="I2019" s="171"/>
      <c r="J2019" s="171"/>
      <c r="K2019" s="166" t="str">
        <f ca="1">IFERROR(VLOOKUP(C2019,' Disaggregation - Section E '!A$618:N1223,3,0),"")</f>
        <v/>
      </c>
      <c r="L2019" s="166"/>
      <c r="M2019" s="166"/>
      <c r="N2019" s="171"/>
      <c r="O2019" s="171"/>
      <c r="P2019" s="171"/>
    </row>
    <row r="2020" spans="1:16">
      <c r="A2020" s="166" t="b">
        <f t="shared" ref="A2020:A2083" ca="1" si="144">IF(M2020&lt;&gt;"",TRUE,FALSE)</f>
        <v>1</v>
      </c>
      <c r="B2020" s="166"/>
      <c r="C2020" s="172" t="str">
        <f ca="1">IF(COUNTA(D$1418:D2020)=1,"",OFFSET(B2018,-COUNTA(D$1418:D2020)+3,1))</f>
        <v>a163p000004VjkhAAC</v>
      </c>
      <c r="D2020" s="177"/>
      <c r="E2020" s="168">
        <f ca="1">IFERROR(IF(VLOOKUP(C2020,' Disaggregation - Section E '!A$618:N1224,7,0)="","",VLOOKUP(C2020,' Disaggregation - Section E '!A$618:N1224,7,0)*100),"")</f>
        <v>28.275920655821263</v>
      </c>
      <c r="F2020" s="171" t="str">
        <f ca="1">IFERROR(VLOOKUP(C2020,' Disaggregation - Section E '!A$618:N1224,5,0),"")</f>
        <v>25+</v>
      </c>
      <c r="G2020" s="170">
        <f ca="1">IFERROR(IF(VLOOKUP(C2020,' Disaggregation - Section E '!A$618:N1224,6,0)="","",VLOOKUP(C2020,' Disaggregation - Section E '!A$618:N1224,6,0)),"")</f>
        <v>6657</v>
      </c>
      <c r="H2020" s="177">
        <f ca="1">IFERROR(IF(INDEX(' Disaggregation - Section E '!F$618:F2421,MATCH(C2020,' Disaggregation - Section E '!A$618:A2421,0)+1,1)&lt;&gt;0,INDEX(' Disaggregation - Section E '!F$618:F$1820,MATCH(C2020,' Disaggregation - Section E '!A$618:A2421,0)+1,1),""),"")</f>
        <v>23543</v>
      </c>
      <c r="I2020" s="171">
        <f ca="1">IFERROR(IF(VLOOKUP(C2020,' Disaggregation - Section E '!A$618:N1224,8,0)=0,"",VLOOKUP(C2020,' Disaggregation - Section E '!A$618:N1224,8,0)),"")</f>
        <v>2021</v>
      </c>
      <c r="J2020" s="171" t="str">
        <f ca="1">IFERROR(IF(VLOOKUP(C2020,' Disaggregation - Section E '!A$618:N2421,13,0)=0,"",VLOOKUP(C2020,' Disaggregation - Section E '!A$618:N2421,13,0)),"")</f>
        <v/>
      </c>
      <c r="K2020" s="166" t="str">
        <f ca="1">IFERROR(VLOOKUP(C2020,' Disaggregation - Section E '!A$618:N1224,3,0),"")</f>
        <v>KP-1a⁽ᴹ⁾ Porcentaje de HSH alcanzados por programas de prevención del VIH - paquete definido de servicios</v>
      </c>
      <c r="L2020" s="166"/>
      <c r="M2020" s="166" t="str">
        <f ca="1">IFERROR(IF(VLOOKUP(C2020,' Disaggregation - Section E '!A$618:T1224,20,0)=0,"",VLOOKUP(C2020,' Disaggregation - Section E '!A$618:T1224,20,0)),"")</f>
        <v>IDR-00700</v>
      </c>
      <c r="N2020" s="171" t="str">
        <f ca="1">IFERROR(IF(VLOOKUP(C2020,' Disaggregation - Section E '!A$618:N1224,14,0)=0,"",VLOOKUP(C2020,' Disaggregation - Section E '!A$618:N1224,14,0)),"")</f>
        <v/>
      </c>
      <c r="O2020" s="171" t="str">
        <f ca="1">IFERROR(IF(VLOOKUP(C2020,' Disaggregation - Section E '!A$618:N1224,9,0)=0,"",VLOOKUP(C2020,' Disaggregation - Section E '!A$618:N1224,9,0)),"")</f>
        <v>SIMONE</v>
      </c>
      <c r="P2020" s="171" t="str">
        <f ca="1">IFERROR(IF(VLOOKUP(C2020,' Disaggregation - Section E '!A$618:N1224,10,0)=0,"",VLOOKUP(C2020,' Disaggregation - Section E '!A$618:N1224,10,0)),"")</f>
        <v>La desagregación por grupo de edad del denominador se realizó considerando la estructura demográfica del país sobre el tamaño poblacional de HSH para 2021.</v>
      </c>
    </row>
    <row r="2021" spans="1:16">
      <c r="A2021" s="166" t="b">
        <f t="shared" ca="1" si="144"/>
        <v>1</v>
      </c>
      <c r="B2021" s="166"/>
      <c r="C2021" s="172" t="str">
        <f ca="1">IF(COUNTA(D$1418:D2021)=1,"",OFFSET(B2019,-COUNTA(D$1418:D2021)+3,1))</f>
        <v>a163p000004VjkiAAC</v>
      </c>
      <c r="D2021" s="177"/>
      <c r="E2021" s="168">
        <f ca="1">IFERROR(IF(VLOOKUP(C2021,' Disaggregation - Section E '!A$618:N1225,7,0)="","",VLOOKUP(C2021,' Disaggregation - Section E '!A$618:N1225,7,0)*100),"")</f>
        <v>73.555956678700369</v>
      </c>
      <c r="F2021" s="171" t="str">
        <f ca="1">IFERROR(VLOOKUP(C2021,' Disaggregation - Section E '!A$618:N1225,5,0),"")</f>
        <v>&lt;25</v>
      </c>
      <c r="G2021" s="170">
        <f ca="1">IFERROR(IF(VLOOKUP(C2021,' Disaggregation - Section E '!A$618:N1225,6,0)="","",VLOOKUP(C2021,' Disaggregation - Section E '!A$618:N1225,6,0)),"")</f>
        <v>6520</v>
      </c>
      <c r="H2021" s="177">
        <f ca="1">IFERROR(IF(INDEX(' Disaggregation - Section E '!F$618:F2422,MATCH(C2021,' Disaggregation - Section E '!A$618:A2422,0)+1,1)&lt;&gt;0,INDEX(' Disaggregation - Section E '!F$618:F$1820,MATCH(C2021,' Disaggregation - Section E '!A$618:A2422,0)+1,1),""),"")</f>
        <v>8864</v>
      </c>
      <c r="I2021" s="171">
        <f ca="1">IFERROR(IF(VLOOKUP(C2021,' Disaggregation - Section E '!A$618:N1225,8,0)=0,"",VLOOKUP(C2021,' Disaggregation - Section E '!A$618:N1225,8,0)),"")</f>
        <v>2021</v>
      </c>
      <c r="J2021" s="171" t="str">
        <f ca="1">IFERROR(IF(VLOOKUP(C2021,' Disaggregation - Section E '!A$618:N2422,13,0)=0,"",VLOOKUP(C2021,' Disaggregation - Section E '!A$618:N2422,13,0)),"")</f>
        <v/>
      </c>
      <c r="K2021" s="166" t="str">
        <f ca="1">IFERROR(VLOOKUP(C2021,' Disaggregation - Section E '!A$618:N1225,3,0),"")</f>
        <v>KP-1a⁽ᴹ⁾ Porcentaje de HSH alcanzados por programas de prevención del VIH - paquete definido de servicios</v>
      </c>
      <c r="L2021" s="166"/>
      <c r="M2021" s="166" t="str">
        <f ca="1">IFERROR(IF(VLOOKUP(C2021,' Disaggregation - Section E '!A$618:T1225,20,0)=0,"",VLOOKUP(C2021,' Disaggregation - Section E '!A$618:T1225,20,0)),"")</f>
        <v>IDR-00699</v>
      </c>
      <c r="N2021" s="171" t="str">
        <f ca="1">IFERROR(IF(VLOOKUP(C2021,' Disaggregation - Section E '!A$618:N1225,14,0)=0,"",VLOOKUP(C2021,' Disaggregation - Section E '!A$618:N1225,14,0)),"")</f>
        <v/>
      </c>
      <c r="O2021" s="171" t="str">
        <f ca="1">IFERROR(IF(VLOOKUP(C2021,' Disaggregation - Section E '!A$618:N1225,9,0)=0,"",VLOOKUP(C2021,' Disaggregation - Section E '!A$618:N1225,9,0)),"")</f>
        <v>SIMONE</v>
      </c>
      <c r="P2021" s="171" t="str">
        <f ca="1">IFERROR(IF(VLOOKUP(C2021,' Disaggregation - Section E '!A$618:N1225,10,0)=0,"",VLOOKUP(C2021,' Disaggregation - Section E '!A$618:N1225,10,0)),"")</f>
        <v>La desagregación por grupo de edad del denominador se realizó considerando la estructura demográfica del país sobre el tamaño poblacional de HSH para 2021.</v>
      </c>
    </row>
    <row r="2022" spans="1:16">
      <c r="A2022" s="166" t="b">
        <f t="shared" ca="1" si="144"/>
        <v>0</v>
      </c>
      <c r="B2022" s="166"/>
      <c r="C2022" s="172" t="str">
        <f ca="1">IF(COUNTA(D$1418:D2022)=1,"",OFFSET(B2020,-COUNTA(D$1418:D2022)+3,1))</f>
        <v>a163p000004VjkjAAC</v>
      </c>
      <c r="D2022" s="177"/>
      <c r="E2022" s="168" t="str">
        <f ca="1">IFERROR(IF(VLOOKUP(C2022,' Disaggregation - Section E '!A$618:N1226,7,0)="","",VLOOKUP(C2022,' Disaggregation - Section E '!A$618:N1226,7,0)*100),"")</f>
        <v/>
      </c>
      <c r="F2022" s="171" t="str">
        <f ca="1">IFERROR(VLOOKUP(C2022,' Disaggregation - Section E '!A$618:N1226,5,0),"")</f>
        <v/>
      </c>
      <c r="G2022" s="170" t="str">
        <f ca="1">IFERROR(IF(VLOOKUP(C2022,' Disaggregation - Section E '!A$618:N1226,6,0)="","",VLOOKUP(C2022,' Disaggregation - Section E '!A$618:N1226,6,0)),"")</f>
        <v/>
      </c>
      <c r="H2022" s="177" t="str">
        <f ca="1">IFERROR(IF(INDEX(' Disaggregation - Section E '!F$618:F2423,MATCH(C2022,' Disaggregation - Section E '!A$618:A2423,0)+1,1)&lt;&gt;0,INDEX(' Disaggregation - Section E '!F$618:F$1820,MATCH(C2022,' Disaggregation - Section E '!A$618:A2423,0)+1,1),""),"")</f>
        <v/>
      </c>
      <c r="I2022" s="171" t="str">
        <f ca="1">IFERROR(IF(VLOOKUP(C2022,' Disaggregation - Section E '!A$618:N1226,8,0)=0,"",VLOOKUP(C2022,' Disaggregation - Section E '!A$618:N1226,8,0)),"")</f>
        <v/>
      </c>
      <c r="J2022" s="171" t="str">
        <f ca="1">IFERROR(IF(VLOOKUP(C2022,' Disaggregation - Section E '!A$618:N2423,13,0)=0,"",VLOOKUP(C2022,' Disaggregation - Section E '!A$618:N2423,13,0)),"")</f>
        <v/>
      </c>
      <c r="K2022" s="166" t="str">
        <f ca="1">IFERROR(VLOOKUP(C2022,' Disaggregation - Section E '!A$618:N1226,3,0),"")</f>
        <v>KP-1a⁽ᴹ⁾ Porcentaje de HSH alcanzados por programas de prevención del VIH - paquete definido de servicios</v>
      </c>
      <c r="L2022" s="166"/>
      <c r="M2022" s="166" t="str">
        <f ca="1">IFERROR(IF(VLOOKUP(C2022,' Disaggregation - Section E '!A$618:T1226,20,0)=0,"",VLOOKUP(C2022,' Disaggregation - Section E '!A$618:T1226,20,0)),"")</f>
        <v/>
      </c>
      <c r="N2022" s="171" t="str">
        <f ca="1">IFERROR(IF(VLOOKUP(C2022,' Disaggregation - Section E '!A$618:N1226,14,0)=0,"",VLOOKUP(C2022,' Disaggregation - Section E '!A$618:N1226,14,0)),"")</f>
        <v/>
      </c>
      <c r="O2022" s="171" t="str">
        <f ca="1">IFERROR(IF(VLOOKUP(C2022,' Disaggregation - Section E '!A$618:N1226,9,0)=0,"",VLOOKUP(C2022,' Disaggregation - Section E '!A$618:N1226,9,0)),"")</f>
        <v/>
      </c>
      <c r="P2022" s="171" t="str">
        <f ca="1">IFERROR(IF(VLOOKUP(C2022,' Disaggregation - Section E '!A$618:N1226,10,0)=0,"",VLOOKUP(C2022,' Disaggregation - Section E '!A$618:N1226,10,0)),"")</f>
        <v/>
      </c>
    </row>
    <row r="2023" spans="1:16">
      <c r="A2023" s="166" t="b">
        <f t="shared" ca="1" si="144"/>
        <v>0</v>
      </c>
      <c r="B2023" s="166"/>
      <c r="C2023" s="172" t="str">
        <f ca="1">IF(COUNTA(D$1418:D2023)=1,"",OFFSET(B2021,-COUNTA(D$1418:D2023)+3,1))</f>
        <v>a163p000004VjkkAAC</v>
      </c>
      <c r="D2023" s="177"/>
      <c r="E2023" s="168" t="str">
        <f ca="1">IFERROR(IF(VLOOKUP(C2023,' Disaggregation - Section E '!A$618:N1227,7,0)="","",VLOOKUP(C2023,' Disaggregation - Section E '!A$618:N1227,7,0)*100),"")</f>
        <v/>
      </c>
      <c r="F2023" s="171" t="str">
        <f ca="1">IFERROR(VLOOKUP(C2023,' Disaggregation - Section E '!A$618:N1227,5,0),"")</f>
        <v/>
      </c>
      <c r="G2023" s="170" t="str">
        <f ca="1">IFERROR(IF(VLOOKUP(C2023,' Disaggregation - Section E '!A$618:N1227,6,0)="","",VLOOKUP(C2023,' Disaggregation - Section E '!A$618:N1227,6,0)),"")</f>
        <v/>
      </c>
      <c r="H2023" s="177" t="str">
        <f ca="1">IFERROR(IF(INDEX(' Disaggregation - Section E '!F$618:F2424,MATCH(C2023,' Disaggregation - Section E '!A$618:A2424,0)+1,1)&lt;&gt;0,INDEX(' Disaggregation - Section E '!F$618:F$1820,MATCH(C2023,' Disaggregation - Section E '!A$618:A2424,0)+1,1),""),"")</f>
        <v/>
      </c>
      <c r="I2023" s="171" t="str">
        <f ca="1">IFERROR(IF(VLOOKUP(C2023,' Disaggregation - Section E '!A$618:N1227,8,0)=0,"",VLOOKUP(C2023,' Disaggregation - Section E '!A$618:N1227,8,0)),"")</f>
        <v/>
      </c>
      <c r="J2023" s="171" t="str">
        <f ca="1">IFERROR(IF(VLOOKUP(C2023,' Disaggregation - Section E '!A$618:N2424,13,0)=0,"",VLOOKUP(C2023,' Disaggregation - Section E '!A$618:N2424,13,0)),"")</f>
        <v/>
      </c>
      <c r="K2023" s="166" t="str">
        <f ca="1">IFERROR(VLOOKUP(C2023,' Disaggregation - Section E '!A$618:N1227,3,0),"")</f>
        <v>KP-1a⁽ᴹ⁾ Porcentaje de HSH alcanzados por programas de prevención del VIH - paquete definido de servicios</v>
      </c>
      <c r="L2023" s="166"/>
      <c r="M2023" s="166" t="str">
        <f ca="1">IFERROR(IF(VLOOKUP(C2023,' Disaggregation - Section E '!A$618:T1227,20,0)=0,"",VLOOKUP(C2023,' Disaggregation - Section E '!A$618:T1227,20,0)),"")</f>
        <v/>
      </c>
      <c r="N2023" s="171" t="str">
        <f ca="1">IFERROR(IF(VLOOKUP(C2023,' Disaggregation - Section E '!A$618:N1227,14,0)=0,"",VLOOKUP(C2023,' Disaggregation - Section E '!A$618:N1227,14,0)),"")</f>
        <v/>
      </c>
      <c r="O2023" s="171" t="str">
        <f ca="1">IFERROR(IF(VLOOKUP(C2023,' Disaggregation - Section E '!A$618:N1227,9,0)=0,"",VLOOKUP(C2023,' Disaggregation - Section E '!A$618:N1227,9,0)),"")</f>
        <v/>
      </c>
      <c r="P2023" s="171" t="str">
        <f ca="1">IFERROR(IF(VLOOKUP(C2023,' Disaggregation - Section E '!A$618:N1227,10,0)=0,"",VLOOKUP(C2023,' Disaggregation - Section E '!A$618:N1227,10,0)),"")</f>
        <v/>
      </c>
    </row>
    <row r="2024" spans="1:16">
      <c r="A2024" s="166" t="b">
        <f t="shared" ca="1" si="144"/>
        <v>0</v>
      </c>
      <c r="B2024" s="166"/>
      <c r="C2024" s="172" t="str">
        <f ca="1">IF(COUNTA(D$1418:D2024)=1,"",OFFSET(B2022,-COUNTA(D$1418:D2024)+3,1))</f>
        <v>a163p000004VjklAAC</v>
      </c>
      <c r="D2024" s="177"/>
      <c r="E2024" s="168" t="str">
        <f ca="1">IFERROR(IF(VLOOKUP(C2024,' Disaggregation - Section E '!A$618:N1228,7,0)="","",VLOOKUP(C2024,' Disaggregation - Section E '!A$618:N1228,7,0)*100),"")</f>
        <v/>
      </c>
      <c r="F2024" s="171" t="str">
        <f ca="1">IFERROR(VLOOKUP(C2024,' Disaggregation - Section E '!A$618:N1228,5,0),"")</f>
        <v/>
      </c>
      <c r="G2024" s="170" t="str">
        <f ca="1">IFERROR(IF(VLOOKUP(C2024,' Disaggregation - Section E '!A$618:N1228,6,0)="","",VLOOKUP(C2024,' Disaggregation - Section E '!A$618:N1228,6,0)),"")</f>
        <v/>
      </c>
      <c r="H2024" s="177" t="str">
        <f ca="1">IFERROR(IF(INDEX(' Disaggregation - Section E '!F$618:F2425,MATCH(C2024,' Disaggregation - Section E '!A$618:A2425,0)+1,1)&lt;&gt;0,INDEX(' Disaggregation - Section E '!F$618:F$1820,MATCH(C2024,' Disaggregation - Section E '!A$618:A2425,0)+1,1),""),"")</f>
        <v/>
      </c>
      <c r="I2024" s="171" t="str">
        <f ca="1">IFERROR(IF(VLOOKUP(C2024,' Disaggregation - Section E '!A$618:N1228,8,0)=0,"",VLOOKUP(C2024,' Disaggregation - Section E '!A$618:N1228,8,0)),"")</f>
        <v/>
      </c>
      <c r="J2024" s="171" t="str">
        <f ca="1">IFERROR(IF(VLOOKUP(C2024,' Disaggregation - Section E '!A$618:N2425,13,0)=0,"",VLOOKUP(C2024,' Disaggregation - Section E '!A$618:N2425,13,0)),"")</f>
        <v/>
      </c>
      <c r="K2024" s="166" t="str">
        <f ca="1">IFERROR(VLOOKUP(C2024,' Disaggregation - Section E '!A$618:N1228,3,0),"")</f>
        <v>KP-1a⁽ᴹ⁾ Porcentaje de HSH alcanzados por programas de prevención del VIH - paquete definido de servicios</v>
      </c>
      <c r="L2024" s="166"/>
      <c r="M2024" s="166" t="str">
        <f ca="1">IFERROR(IF(VLOOKUP(C2024,' Disaggregation - Section E '!A$618:T1228,20,0)=0,"",VLOOKUP(C2024,' Disaggregation - Section E '!A$618:T1228,20,0)),"")</f>
        <v/>
      </c>
      <c r="N2024" s="171" t="str">
        <f ca="1">IFERROR(IF(VLOOKUP(C2024,' Disaggregation - Section E '!A$618:N1228,14,0)=0,"",VLOOKUP(C2024,' Disaggregation - Section E '!A$618:N1228,14,0)),"")</f>
        <v/>
      </c>
      <c r="O2024" s="171" t="str">
        <f ca="1">IFERROR(IF(VLOOKUP(C2024,' Disaggregation - Section E '!A$618:N1228,9,0)=0,"",VLOOKUP(C2024,' Disaggregation - Section E '!A$618:N1228,9,0)),"")</f>
        <v/>
      </c>
      <c r="P2024" s="171" t="str">
        <f ca="1">IFERROR(IF(VLOOKUP(C2024,' Disaggregation - Section E '!A$618:N1228,10,0)=0,"",VLOOKUP(C2024,' Disaggregation - Section E '!A$618:N1228,10,0)),"")</f>
        <v/>
      </c>
    </row>
    <row r="2025" spans="1:16">
      <c r="A2025" s="166" t="b">
        <f t="shared" ca="1" si="144"/>
        <v>0</v>
      </c>
      <c r="B2025" s="166"/>
      <c r="C2025" s="172" t="str">
        <f ca="1">IF(COUNTA(D$1418:D2025)=1,"",OFFSET(B2023,-COUNTA(D$1418:D2025)+3,1))</f>
        <v>a163p000004VjkmAAC</v>
      </c>
      <c r="D2025" s="177"/>
      <c r="E2025" s="168" t="str">
        <f ca="1">IFERROR(IF(VLOOKUP(C2025,' Disaggregation - Section E '!A$618:N1229,7,0)="","",VLOOKUP(C2025,' Disaggregation - Section E '!A$618:N1229,7,0)*100),"")</f>
        <v/>
      </c>
      <c r="F2025" s="171" t="str">
        <f ca="1">IFERROR(VLOOKUP(C2025,' Disaggregation - Section E '!A$618:N1229,5,0),"")</f>
        <v/>
      </c>
      <c r="G2025" s="170" t="str">
        <f ca="1">IFERROR(IF(VLOOKUP(C2025,' Disaggregation - Section E '!A$618:N1229,6,0)="","",VLOOKUP(C2025,' Disaggregation - Section E '!A$618:N1229,6,0)),"")</f>
        <v/>
      </c>
      <c r="H2025" s="177" t="str">
        <f ca="1">IFERROR(IF(INDEX(' Disaggregation - Section E '!F$618:F2426,MATCH(C2025,' Disaggregation - Section E '!A$618:A2426,0)+1,1)&lt;&gt;0,INDEX(' Disaggregation - Section E '!F$618:F$1820,MATCH(C2025,' Disaggregation - Section E '!A$618:A2426,0)+1,1),""),"")</f>
        <v/>
      </c>
      <c r="I2025" s="171" t="str">
        <f ca="1">IFERROR(IF(VLOOKUP(C2025,' Disaggregation - Section E '!A$618:N1229,8,0)=0,"",VLOOKUP(C2025,' Disaggregation - Section E '!A$618:N1229,8,0)),"")</f>
        <v/>
      </c>
      <c r="J2025" s="171" t="str">
        <f ca="1">IFERROR(IF(VLOOKUP(C2025,' Disaggregation - Section E '!A$618:N2426,13,0)=0,"",VLOOKUP(C2025,' Disaggregation - Section E '!A$618:N2426,13,0)),"")</f>
        <v/>
      </c>
      <c r="K2025" s="166" t="str">
        <f ca="1">IFERROR(VLOOKUP(C2025,' Disaggregation - Section E '!A$618:N1229,3,0),"")</f>
        <v>KP-1a⁽ᴹ⁾ Porcentaje de HSH alcanzados por programas de prevención del VIH - paquete definido de servicios</v>
      </c>
      <c r="L2025" s="166"/>
      <c r="M2025" s="166" t="str">
        <f ca="1">IFERROR(IF(VLOOKUP(C2025,' Disaggregation - Section E '!A$618:T1229,20,0)=0,"",VLOOKUP(C2025,' Disaggregation - Section E '!A$618:T1229,20,0)),"")</f>
        <v/>
      </c>
      <c r="N2025" s="171" t="str">
        <f ca="1">IFERROR(IF(VLOOKUP(C2025,' Disaggregation - Section E '!A$618:N1229,14,0)=0,"",VLOOKUP(C2025,' Disaggregation - Section E '!A$618:N1229,14,0)),"")</f>
        <v/>
      </c>
      <c r="O2025" s="171" t="str">
        <f ca="1">IFERROR(IF(VLOOKUP(C2025,' Disaggregation - Section E '!A$618:N1229,9,0)=0,"",VLOOKUP(C2025,' Disaggregation - Section E '!A$618:N1229,9,0)),"")</f>
        <v/>
      </c>
      <c r="P2025" s="171" t="str">
        <f ca="1">IFERROR(IF(VLOOKUP(C2025,' Disaggregation - Section E '!A$618:N1229,10,0)=0,"",VLOOKUP(C2025,' Disaggregation - Section E '!A$618:N1229,10,0)),"")</f>
        <v/>
      </c>
    </row>
    <row r="2026" spans="1:16">
      <c r="A2026" s="166" t="b">
        <f t="shared" ca="1" si="144"/>
        <v>0</v>
      </c>
      <c r="B2026" s="166"/>
      <c r="C2026" s="172" t="str">
        <f ca="1">IF(COUNTA(D$1418:D2026)=1,"",OFFSET(B2024,-COUNTA(D$1418:D2026)+3,1))</f>
        <v>a163p000004VjknAAC</v>
      </c>
      <c r="D2026" s="177"/>
      <c r="E2026" s="168" t="str">
        <f ca="1">IFERROR(IF(VLOOKUP(C2026,' Disaggregation - Section E '!A$618:N1230,7,0)="","",VLOOKUP(C2026,' Disaggregation - Section E '!A$618:N1230,7,0)*100),"")</f>
        <v/>
      </c>
      <c r="F2026" s="171" t="str">
        <f ca="1">IFERROR(VLOOKUP(C2026,' Disaggregation - Section E '!A$618:N1230,5,0),"")</f>
        <v/>
      </c>
      <c r="G2026" s="170" t="str">
        <f ca="1">IFERROR(IF(VLOOKUP(C2026,' Disaggregation - Section E '!A$618:N1230,6,0)="","",VLOOKUP(C2026,' Disaggregation - Section E '!A$618:N1230,6,0)),"")</f>
        <v/>
      </c>
      <c r="H2026" s="177" t="str">
        <f ca="1">IFERROR(IF(INDEX(' Disaggregation - Section E '!F$618:F2427,MATCH(C2026,' Disaggregation - Section E '!A$618:A2427,0)+1,1)&lt;&gt;0,INDEX(' Disaggregation - Section E '!F$618:F$1820,MATCH(C2026,' Disaggregation - Section E '!A$618:A2427,0)+1,1),""),"")</f>
        <v/>
      </c>
      <c r="I2026" s="171" t="str">
        <f ca="1">IFERROR(IF(VLOOKUP(C2026,' Disaggregation - Section E '!A$618:N1230,8,0)=0,"",VLOOKUP(C2026,' Disaggregation - Section E '!A$618:N1230,8,0)),"")</f>
        <v/>
      </c>
      <c r="J2026" s="171" t="str">
        <f ca="1">IFERROR(IF(VLOOKUP(C2026,' Disaggregation - Section E '!A$618:N2427,13,0)=0,"",VLOOKUP(C2026,' Disaggregation - Section E '!A$618:N2427,13,0)),"")</f>
        <v/>
      </c>
      <c r="K2026" s="166" t="str">
        <f ca="1">IFERROR(VLOOKUP(C2026,' Disaggregation - Section E '!A$618:N1230,3,0),"")</f>
        <v>KP-1a⁽ᴹ⁾ Porcentaje de HSH alcanzados por programas de prevención del VIH - paquete definido de servicios</v>
      </c>
      <c r="L2026" s="166"/>
      <c r="M2026" s="166" t="str">
        <f ca="1">IFERROR(IF(VLOOKUP(C2026,' Disaggregation - Section E '!A$618:T1230,20,0)=0,"",VLOOKUP(C2026,' Disaggregation - Section E '!A$618:T1230,20,0)),"")</f>
        <v/>
      </c>
      <c r="N2026" s="171" t="str">
        <f ca="1">IFERROR(IF(VLOOKUP(C2026,' Disaggregation - Section E '!A$618:N1230,14,0)=0,"",VLOOKUP(C2026,' Disaggregation - Section E '!A$618:N1230,14,0)),"")</f>
        <v/>
      </c>
      <c r="O2026" s="171" t="str">
        <f ca="1">IFERROR(IF(VLOOKUP(C2026,' Disaggregation - Section E '!A$618:N1230,9,0)=0,"",VLOOKUP(C2026,' Disaggregation - Section E '!A$618:N1230,9,0)),"")</f>
        <v/>
      </c>
      <c r="P2026" s="171" t="str">
        <f ca="1">IFERROR(IF(VLOOKUP(C2026,' Disaggregation - Section E '!A$618:N1230,10,0)=0,"",VLOOKUP(C2026,' Disaggregation - Section E '!A$618:N1230,10,0)),"")</f>
        <v/>
      </c>
    </row>
    <row r="2027" spans="1:16">
      <c r="A2027" s="166" t="b">
        <f t="shared" ca="1" si="144"/>
        <v>0</v>
      </c>
      <c r="B2027" s="166"/>
      <c r="C2027" s="172" t="str">
        <f ca="1">IF(COUNTA(D$1418:D2027)=1,"",OFFSET(B2025,-COUNTA(D$1418:D2027)+3,1))</f>
        <v>a163p000004VjkoAAC</v>
      </c>
      <c r="D2027" s="177"/>
      <c r="E2027" s="168" t="str">
        <f ca="1">IFERROR(IF(VLOOKUP(C2027,' Disaggregation - Section E '!A$618:N1231,7,0)="","",VLOOKUP(C2027,' Disaggregation - Section E '!A$618:N1231,7,0)*100),"")</f>
        <v/>
      </c>
      <c r="F2027" s="171" t="str">
        <f ca="1">IFERROR(VLOOKUP(C2027,' Disaggregation - Section E '!A$618:N1231,5,0),"")</f>
        <v/>
      </c>
      <c r="G2027" s="170" t="str">
        <f ca="1">IFERROR(IF(VLOOKUP(C2027,' Disaggregation - Section E '!A$618:N1231,6,0)="","",VLOOKUP(C2027,' Disaggregation - Section E '!A$618:N1231,6,0)),"")</f>
        <v/>
      </c>
      <c r="H2027" s="177" t="str">
        <f ca="1">IFERROR(IF(INDEX(' Disaggregation - Section E '!F$618:F2428,MATCH(C2027,' Disaggregation - Section E '!A$618:A2428,0)+1,1)&lt;&gt;0,INDEX(' Disaggregation - Section E '!F$618:F$1820,MATCH(C2027,' Disaggregation - Section E '!A$618:A2428,0)+1,1),""),"")</f>
        <v/>
      </c>
      <c r="I2027" s="171" t="str">
        <f ca="1">IFERROR(IF(VLOOKUP(C2027,' Disaggregation - Section E '!A$618:N1231,8,0)=0,"",VLOOKUP(C2027,' Disaggregation - Section E '!A$618:N1231,8,0)),"")</f>
        <v/>
      </c>
      <c r="J2027" s="171" t="str">
        <f ca="1">IFERROR(IF(VLOOKUP(C2027,' Disaggregation - Section E '!A$618:N2428,13,0)=0,"",VLOOKUP(C2027,' Disaggregation - Section E '!A$618:N2428,13,0)),"")</f>
        <v/>
      </c>
      <c r="K2027" s="166" t="str">
        <f ca="1">IFERROR(VLOOKUP(C2027,' Disaggregation - Section E '!A$618:N1231,3,0),"")</f>
        <v>KP-1a⁽ᴹ⁾ Porcentaje de HSH alcanzados por programas de prevención del VIH - paquete definido de servicios</v>
      </c>
      <c r="L2027" s="166"/>
      <c r="M2027" s="166" t="str">
        <f ca="1">IFERROR(IF(VLOOKUP(C2027,' Disaggregation - Section E '!A$618:T1231,20,0)=0,"",VLOOKUP(C2027,' Disaggregation - Section E '!A$618:T1231,20,0)),"")</f>
        <v/>
      </c>
      <c r="N2027" s="171" t="str">
        <f ca="1">IFERROR(IF(VLOOKUP(C2027,' Disaggregation - Section E '!A$618:N1231,14,0)=0,"",VLOOKUP(C2027,' Disaggregation - Section E '!A$618:N1231,14,0)),"")</f>
        <v/>
      </c>
      <c r="O2027" s="171" t="str">
        <f ca="1">IFERROR(IF(VLOOKUP(C2027,' Disaggregation - Section E '!A$618:N1231,9,0)=0,"",VLOOKUP(C2027,' Disaggregation - Section E '!A$618:N1231,9,0)),"")</f>
        <v/>
      </c>
      <c r="P2027" s="171" t="str">
        <f ca="1">IFERROR(IF(VLOOKUP(C2027,' Disaggregation - Section E '!A$618:N1231,10,0)=0,"",VLOOKUP(C2027,' Disaggregation - Section E '!A$618:N1231,10,0)),"")</f>
        <v/>
      </c>
    </row>
    <row r="2028" spans="1:16">
      <c r="A2028" s="166" t="b">
        <f t="shared" ca="1" si="144"/>
        <v>0</v>
      </c>
      <c r="B2028" s="166"/>
      <c r="C2028" s="172" t="str">
        <f ca="1">IF(COUNTA(D$1418:D2028)=1,"",OFFSET(B2026,-COUNTA(D$1418:D2028)+3,1))</f>
        <v>a163p000004VjkpAAC</v>
      </c>
      <c r="D2028" s="177"/>
      <c r="E2028" s="168" t="str">
        <f ca="1">IFERROR(IF(VLOOKUP(C2028,' Disaggregation - Section E '!A$618:N1232,7,0)="","",VLOOKUP(C2028,' Disaggregation - Section E '!A$618:N1232,7,0)*100),"")</f>
        <v/>
      </c>
      <c r="F2028" s="171" t="str">
        <f ca="1">IFERROR(VLOOKUP(C2028,' Disaggregation - Section E '!A$618:N1232,5,0),"")</f>
        <v/>
      </c>
      <c r="G2028" s="170" t="str">
        <f ca="1">IFERROR(IF(VLOOKUP(C2028,' Disaggregation - Section E '!A$618:N1232,6,0)="","",VLOOKUP(C2028,' Disaggregation - Section E '!A$618:N1232,6,0)),"")</f>
        <v/>
      </c>
      <c r="H2028" s="177" t="str">
        <f ca="1">IFERROR(IF(INDEX(' Disaggregation - Section E '!F$618:F2429,MATCH(C2028,' Disaggregation - Section E '!A$618:A2429,0)+1,1)&lt;&gt;0,INDEX(' Disaggregation - Section E '!F$618:F$1820,MATCH(C2028,' Disaggregation - Section E '!A$618:A2429,0)+1,1),""),"")</f>
        <v/>
      </c>
      <c r="I2028" s="171" t="str">
        <f ca="1">IFERROR(IF(VLOOKUP(C2028,' Disaggregation - Section E '!A$618:N1232,8,0)=0,"",VLOOKUP(C2028,' Disaggregation - Section E '!A$618:N1232,8,0)),"")</f>
        <v/>
      </c>
      <c r="J2028" s="171" t="str">
        <f ca="1">IFERROR(IF(VLOOKUP(C2028,' Disaggregation - Section E '!A$618:N2429,13,0)=0,"",VLOOKUP(C2028,' Disaggregation - Section E '!A$618:N2429,13,0)),"")</f>
        <v/>
      </c>
      <c r="K2028" s="166" t="str">
        <f ca="1">IFERROR(VLOOKUP(C2028,' Disaggregation - Section E '!A$618:N1232,3,0),"")</f>
        <v>KP-1a⁽ᴹ⁾ Porcentaje de HSH alcanzados por programas de prevención del VIH - paquete definido de servicios</v>
      </c>
      <c r="L2028" s="166"/>
      <c r="M2028" s="166" t="str">
        <f ca="1">IFERROR(IF(VLOOKUP(C2028,' Disaggregation - Section E '!A$618:T1232,20,0)=0,"",VLOOKUP(C2028,' Disaggregation - Section E '!A$618:T1232,20,0)),"")</f>
        <v/>
      </c>
      <c r="N2028" s="171" t="str">
        <f ca="1">IFERROR(IF(VLOOKUP(C2028,' Disaggregation - Section E '!A$618:N1232,14,0)=0,"",VLOOKUP(C2028,' Disaggregation - Section E '!A$618:N1232,14,0)),"")</f>
        <v/>
      </c>
      <c r="O2028" s="171" t="str">
        <f ca="1">IFERROR(IF(VLOOKUP(C2028,' Disaggregation - Section E '!A$618:N1232,9,0)=0,"",VLOOKUP(C2028,' Disaggregation - Section E '!A$618:N1232,9,0)),"")</f>
        <v/>
      </c>
      <c r="P2028" s="171" t="str">
        <f ca="1">IFERROR(IF(VLOOKUP(C2028,' Disaggregation - Section E '!A$618:N1232,10,0)=0,"",VLOOKUP(C2028,' Disaggregation - Section E '!A$618:N1232,10,0)),"")</f>
        <v/>
      </c>
    </row>
    <row r="2029" spans="1:16">
      <c r="A2029" s="166" t="b">
        <f t="shared" ca="1" si="144"/>
        <v>0</v>
      </c>
      <c r="B2029" s="166"/>
      <c r="C2029" s="172" t="str">
        <f ca="1">IF(COUNTA(D$1418:D2029)=1,"",OFFSET(B2027,-COUNTA(D$1418:D2029)+3,1))</f>
        <v>a163p000004VjkqAAC</v>
      </c>
      <c r="D2029" s="177"/>
      <c r="E2029" s="168" t="str">
        <f ca="1">IFERROR(IF(VLOOKUP(C2029,' Disaggregation - Section E '!A$618:N1233,7,0)="","",VLOOKUP(C2029,' Disaggregation - Section E '!A$618:N1233,7,0)*100),"")</f>
        <v/>
      </c>
      <c r="F2029" s="171" t="str">
        <f ca="1">IFERROR(VLOOKUP(C2029,' Disaggregation - Section E '!A$618:N1233,5,0),"")</f>
        <v/>
      </c>
      <c r="G2029" s="170" t="str">
        <f ca="1">IFERROR(IF(VLOOKUP(C2029,' Disaggregation - Section E '!A$618:N1233,6,0)="","",VLOOKUP(C2029,' Disaggregation - Section E '!A$618:N1233,6,0)),"")</f>
        <v/>
      </c>
      <c r="H2029" s="177" t="str">
        <f ca="1">IFERROR(IF(INDEX(' Disaggregation - Section E '!F$618:F2430,MATCH(C2029,' Disaggregation - Section E '!A$618:A2430,0)+1,1)&lt;&gt;0,INDEX(' Disaggregation - Section E '!F$618:F$1820,MATCH(C2029,' Disaggregation - Section E '!A$618:A2430,0)+1,1),""),"")</f>
        <v/>
      </c>
      <c r="I2029" s="171" t="str">
        <f ca="1">IFERROR(IF(VLOOKUP(C2029,' Disaggregation - Section E '!A$618:N1233,8,0)=0,"",VLOOKUP(C2029,' Disaggregation - Section E '!A$618:N1233,8,0)),"")</f>
        <v/>
      </c>
      <c r="J2029" s="171" t="str">
        <f ca="1">IFERROR(IF(VLOOKUP(C2029,' Disaggregation - Section E '!A$618:N2430,13,0)=0,"",VLOOKUP(C2029,' Disaggregation - Section E '!A$618:N2430,13,0)),"")</f>
        <v/>
      </c>
      <c r="K2029" s="166" t="str">
        <f ca="1">IFERROR(VLOOKUP(C2029,' Disaggregation - Section E '!A$618:N1233,3,0),"")</f>
        <v>KP-1a⁽ᴹ⁾ Porcentaje de HSH alcanzados por programas de prevención del VIH - paquete definido de servicios</v>
      </c>
      <c r="L2029" s="166"/>
      <c r="M2029" s="166" t="str">
        <f ca="1">IFERROR(IF(VLOOKUP(C2029,' Disaggregation - Section E '!A$618:T1233,20,0)=0,"",VLOOKUP(C2029,' Disaggregation - Section E '!A$618:T1233,20,0)),"")</f>
        <v/>
      </c>
      <c r="N2029" s="171" t="str">
        <f ca="1">IFERROR(IF(VLOOKUP(C2029,' Disaggregation - Section E '!A$618:N1233,14,0)=0,"",VLOOKUP(C2029,' Disaggregation - Section E '!A$618:N1233,14,0)),"")</f>
        <v/>
      </c>
      <c r="O2029" s="171" t="str">
        <f ca="1">IFERROR(IF(VLOOKUP(C2029,' Disaggregation - Section E '!A$618:N1233,9,0)=0,"",VLOOKUP(C2029,' Disaggregation - Section E '!A$618:N1233,9,0)),"")</f>
        <v/>
      </c>
      <c r="P2029" s="171" t="str">
        <f ca="1">IFERROR(IF(VLOOKUP(C2029,' Disaggregation - Section E '!A$618:N1233,10,0)=0,"",VLOOKUP(C2029,' Disaggregation - Section E '!A$618:N1233,10,0)),"")</f>
        <v/>
      </c>
    </row>
    <row r="2030" spans="1:16">
      <c r="A2030" s="166" t="b">
        <f t="shared" ca="1" si="144"/>
        <v>0</v>
      </c>
      <c r="B2030" s="166"/>
      <c r="C2030" s="172" t="str">
        <f ca="1">IF(COUNTA(D$1418:D2030)=1,"",OFFSET(B2028,-COUNTA(D$1418:D2030)+3,1))</f>
        <v>a163p000004VjkrAAC</v>
      </c>
      <c r="D2030" s="177"/>
      <c r="E2030" s="168" t="str">
        <f ca="1">IFERROR(IF(VLOOKUP(C2030,' Disaggregation - Section E '!A$618:N1234,7,0)="","",VLOOKUP(C2030,' Disaggregation - Section E '!A$618:N1234,7,0)*100),"")</f>
        <v/>
      </c>
      <c r="F2030" s="171" t="str">
        <f ca="1">IFERROR(VLOOKUP(C2030,' Disaggregation - Section E '!A$618:N1234,5,0),"")</f>
        <v/>
      </c>
      <c r="G2030" s="170" t="str">
        <f ca="1">IFERROR(IF(VLOOKUP(C2030,' Disaggregation - Section E '!A$618:N1234,6,0)="","",VLOOKUP(C2030,' Disaggregation - Section E '!A$618:N1234,6,0)),"")</f>
        <v/>
      </c>
      <c r="H2030" s="177" t="str">
        <f ca="1">IFERROR(IF(INDEX(' Disaggregation - Section E '!F$618:F2431,MATCH(C2030,' Disaggregation - Section E '!A$618:A2431,0)+1,1)&lt;&gt;0,INDEX(' Disaggregation - Section E '!F$618:F$1820,MATCH(C2030,' Disaggregation - Section E '!A$618:A2431,0)+1,1),""),"")</f>
        <v/>
      </c>
      <c r="I2030" s="171" t="str">
        <f ca="1">IFERROR(IF(VLOOKUP(C2030,' Disaggregation - Section E '!A$618:N1234,8,0)=0,"",VLOOKUP(C2030,' Disaggregation - Section E '!A$618:N1234,8,0)),"")</f>
        <v/>
      </c>
      <c r="J2030" s="171" t="str">
        <f ca="1">IFERROR(IF(VLOOKUP(C2030,' Disaggregation - Section E '!A$618:N2431,13,0)=0,"",VLOOKUP(C2030,' Disaggregation - Section E '!A$618:N2431,13,0)),"")</f>
        <v/>
      </c>
      <c r="K2030" s="166" t="str">
        <f ca="1">IFERROR(VLOOKUP(C2030,' Disaggregation - Section E '!A$618:N1234,3,0),"")</f>
        <v>KP-1a⁽ᴹ⁾ Porcentaje de HSH alcanzados por programas de prevención del VIH - paquete definido de servicios</v>
      </c>
      <c r="L2030" s="166"/>
      <c r="M2030" s="166" t="str">
        <f ca="1">IFERROR(IF(VLOOKUP(C2030,' Disaggregation - Section E '!A$618:T1234,20,0)=0,"",VLOOKUP(C2030,' Disaggregation - Section E '!A$618:T1234,20,0)),"")</f>
        <v/>
      </c>
      <c r="N2030" s="171" t="str">
        <f ca="1">IFERROR(IF(VLOOKUP(C2030,' Disaggregation - Section E '!A$618:N1234,14,0)=0,"",VLOOKUP(C2030,' Disaggregation - Section E '!A$618:N1234,14,0)),"")</f>
        <v/>
      </c>
      <c r="O2030" s="171" t="str">
        <f ca="1">IFERROR(IF(VLOOKUP(C2030,' Disaggregation - Section E '!A$618:N1234,9,0)=0,"",VLOOKUP(C2030,' Disaggregation - Section E '!A$618:N1234,9,0)),"")</f>
        <v/>
      </c>
      <c r="P2030" s="171" t="str">
        <f ca="1">IFERROR(IF(VLOOKUP(C2030,' Disaggregation - Section E '!A$618:N1234,10,0)=0,"",VLOOKUP(C2030,' Disaggregation - Section E '!A$618:N1234,10,0)),"")</f>
        <v/>
      </c>
    </row>
    <row r="2031" spans="1:16">
      <c r="A2031" s="166" t="b">
        <f t="shared" ca="1" si="144"/>
        <v>0</v>
      </c>
      <c r="B2031" s="166"/>
      <c r="C2031" s="172" t="str">
        <f ca="1">IF(COUNTA(D$1418:D2031)=1,"",OFFSET(B2029,-COUNTA(D$1418:D2031)+3,1))</f>
        <v>a163p000004VjksAAC</v>
      </c>
      <c r="D2031" s="177"/>
      <c r="E2031" s="168" t="str">
        <f ca="1">IFERROR(IF(VLOOKUP(C2031,' Disaggregation - Section E '!A$618:N1235,7,0)="","",VLOOKUP(C2031,' Disaggregation - Section E '!A$618:N1235,7,0)*100),"")</f>
        <v/>
      </c>
      <c r="F2031" s="171" t="str">
        <f ca="1">IFERROR(VLOOKUP(C2031,' Disaggregation - Section E '!A$618:N1235,5,0),"")</f>
        <v/>
      </c>
      <c r="G2031" s="170" t="str">
        <f ca="1">IFERROR(IF(VLOOKUP(C2031,' Disaggregation - Section E '!A$618:N1235,6,0)="","",VLOOKUP(C2031,' Disaggregation - Section E '!A$618:N1235,6,0)),"")</f>
        <v/>
      </c>
      <c r="H2031" s="177" t="str">
        <f ca="1">IFERROR(IF(INDEX(' Disaggregation - Section E '!F$618:F2432,MATCH(C2031,' Disaggregation - Section E '!A$618:A2432,0)+1,1)&lt;&gt;0,INDEX(' Disaggregation - Section E '!F$618:F$1820,MATCH(C2031,' Disaggregation - Section E '!A$618:A2432,0)+1,1),""),"")</f>
        <v/>
      </c>
      <c r="I2031" s="171" t="str">
        <f ca="1">IFERROR(IF(VLOOKUP(C2031,' Disaggregation - Section E '!A$618:N1235,8,0)=0,"",VLOOKUP(C2031,' Disaggregation - Section E '!A$618:N1235,8,0)),"")</f>
        <v/>
      </c>
      <c r="J2031" s="171" t="str">
        <f ca="1">IFERROR(IF(VLOOKUP(C2031,' Disaggregation - Section E '!A$618:N2432,13,0)=0,"",VLOOKUP(C2031,' Disaggregation - Section E '!A$618:N2432,13,0)),"")</f>
        <v/>
      </c>
      <c r="K2031" s="166" t="str">
        <f ca="1">IFERROR(VLOOKUP(C2031,' Disaggregation - Section E '!A$618:N1235,3,0),"")</f>
        <v>KP-1a⁽ᴹ⁾ Porcentaje de HSH alcanzados por programas de prevención del VIH - paquete definido de servicios</v>
      </c>
      <c r="L2031" s="166"/>
      <c r="M2031" s="166" t="str">
        <f ca="1">IFERROR(IF(VLOOKUP(C2031,' Disaggregation - Section E '!A$618:T1235,20,0)=0,"",VLOOKUP(C2031,' Disaggregation - Section E '!A$618:T1235,20,0)),"")</f>
        <v/>
      </c>
      <c r="N2031" s="171" t="str">
        <f ca="1">IFERROR(IF(VLOOKUP(C2031,' Disaggregation - Section E '!A$618:N1235,14,0)=0,"",VLOOKUP(C2031,' Disaggregation - Section E '!A$618:N1235,14,0)),"")</f>
        <v/>
      </c>
      <c r="O2031" s="171" t="str">
        <f ca="1">IFERROR(IF(VLOOKUP(C2031,' Disaggregation - Section E '!A$618:N1235,9,0)=0,"",VLOOKUP(C2031,' Disaggregation - Section E '!A$618:N1235,9,0)),"")</f>
        <v/>
      </c>
      <c r="P2031" s="171" t="str">
        <f ca="1">IFERROR(IF(VLOOKUP(C2031,' Disaggregation - Section E '!A$618:N1235,10,0)=0,"",VLOOKUP(C2031,' Disaggregation - Section E '!A$618:N1235,10,0)),"")</f>
        <v/>
      </c>
    </row>
    <row r="2032" spans="1:16">
      <c r="A2032" s="166" t="b">
        <f t="shared" ca="1" si="144"/>
        <v>0</v>
      </c>
      <c r="B2032" s="166"/>
      <c r="C2032" s="172" t="str">
        <f ca="1">IF(COUNTA(D$1418:D2032)=1,"",OFFSET(B2030,-COUNTA(D$1418:D2032)+3,1))</f>
        <v>a163p000004VjktAAC</v>
      </c>
      <c r="D2032" s="177"/>
      <c r="E2032" s="168" t="str">
        <f ca="1">IFERROR(IF(VLOOKUP(C2032,' Disaggregation - Section E '!A$618:N1236,7,0)="","",VLOOKUP(C2032,' Disaggregation - Section E '!A$618:N1236,7,0)*100),"")</f>
        <v/>
      </c>
      <c r="F2032" s="171" t="str">
        <f ca="1">IFERROR(VLOOKUP(C2032,' Disaggregation - Section E '!A$618:N1236,5,0),"")</f>
        <v/>
      </c>
      <c r="G2032" s="170" t="str">
        <f ca="1">IFERROR(IF(VLOOKUP(C2032,' Disaggregation - Section E '!A$618:N1236,6,0)="","",VLOOKUP(C2032,' Disaggregation - Section E '!A$618:N1236,6,0)),"")</f>
        <v/>
      </c>
      <c r="H2032" s="177" t="str">
        <f ca="1">IFERROR(IF(INDEX(' Disaggregation - Section E '!F$618:F2433,MATCH(C2032,' Disaggregation - Section E '!A$618:A2433,0)+1,1)&lt;&gt;0,INDEX(' Disaggregation - Section E '!F$618:F$1820,MATCH(C2032,' Disaggregation - Section E '!A$618:A2433,0)+1,1),""),"")</f>
        <v/>
      </c>
      <c r="I2032" s="171" t="str">
        <f ca="1">IFERROR(IF(VLOOKUP(C2032,' Disaggregation - Section E '!A$618:N1236,8,0)=0,"",VLOOKUP(C2032,' Disaggregation - Section E '!A$618:N1236,8,0)),"")</f>
        <v/>
      </c>
      <c r="J2032" s="171" t="str">
        <f ca="1">IFERROR(IF(VLOOKUP(C2032,' Disaggregation - Section E '!A$618:N2433,13,0)=0,"",VLOOKUP(C2032,' Disaggregation - Section E '!A$618:N2433,13,0)),"")</f>
        <v/>
      </c>
      <c r="K2032" s="166" t="str">
        <f ca="1">IFERROR(VLOOKUP(C2032,' Disaggregation - Section E '!A$618:N1236,3,0),"")</f>
        <v>KP-1a⁽ᴹ⁾ Porcentaje de HSH alcanzados por programas de prevención del VIH - paquete definido de servicios</v>
      </c>
      <c r="L2032" s="166"/>
      <c r="M2032" s="166" t="str">
        <f ca="1">IFERROR(IF(VLOOKUP(C2032,' Disaggregation - Section E '!A$618:T1236,20,0)=0,"",VLOOKUP(C2032,' Disaggregation - Section E '!A$618:T1236,20,0)),"")</f>
        <v/>
      </c>
      <c r="N2032" s="171" t="str">
        <f ca="1">IFERROR(IF(VLOOKUP(C2032,' Disaggregation - Section E '!A$618:N1236,14,0)=0,"",VLOOKUP(C2032,' Disaggregation - Section E '!A$618:N1236,14,0)),"")</f>
        <v/>
      </c>
      <c r="O2032" s="171" t="str">
        <f ca="1">IFERROR(IF(VLOOKUP(C2032,' Disaggregation - Section E '!A$618:N1236,9,0)=0,"",VLOOKUP(C2032,' Disaggregation - Section E '!A$618:N1236,9,0)),"")</f>
        <v/>
      </c>
      <c r="P2032" s="171" t="str">
        <f ca="1">IFERROR(IF(VLOOKUP(C2032,' Disaggregation - Section E '!A$618:N1236,10,0)=0,"",VLOOKUP(C2032,' Disaggregation - Section E '!A$618:N1236,10,0)),"")</f>
        <v/>
      </c>
    </row>
    <row r="2033" spans="1:16">
      <c r="A2033" s="166" t="b">
        <f t="shared" ca="1" si="144"/>
        <v>0</v>
      </c>
      <c r="B2033" s="166"/>
      <c r="C2033" s="172" t="str">
        <f ca="1">IF(COUNTA(D$1418:D2033)=1,"",OFFSET(B2031,-COUNTA(D$1418:D2033)+3,1))</f>
        <v>a163p000004VjkuAAC</v>
      </c>
      <c r="D2033" s="177"/>
      <c r="E2033" s="168" t="str">
        <f ca="1">IFERROR(IF(VLOOKUP(C2033,' Disaggregation - Section E '!A$618:N1237,7,0)="","",VLOOKUP(C2033,' Disaggregation - Section E '!A$618:N1237,7,0)*100),"")</f>
        <v/>
      </c>
      <c r="F2033" s="171" t="str">
        <f ca="1">IFERROR(VLOOKUP(C2033,' Disaggregation - Section E '!A$618:N1237,5,0),"")</f>
        <v/>
      </c>
      <c r="G2033" s="170" t="str">
        <f ca="1">IFERROR(IF(VLOOKUP(C2033,' Disaggregation - Section E '!A$618:N1237,6,0)="","",VLOOKUP(C2033,' Disaggregation - Section E '!A$618:N1237,6,0)),"")</f>
        <v/>
      </c>
      <c r="H2033" s="177" t="str">
        <f ca="1">IFERROR(IF(INDEX(' Disaggregation - Section E '!F$618:F2434,MATCH(C2033,' Disaggregation - Section E '!A$618:A2434,0)+1,1)&lt;&gt;0,INDEX(' Disaggregation - Section E '!F$618:F$1820,MATCH(C2033,' Disaggregation - Section E '!A$618:A2434,0)+1,1),""),"")</f>
        <v/>
      </c>
      <c r="I2033" s="171" t="str">
        <f ca="1">IFERROR(IF(VLOOKUP(C2033,' Disaggregation - Section E '!A$618:N1237,8,0)=0,"",VLOOKUP(C2033,' Disaggregation - Section E '!A$618:N1237,8,0)),"")</f>
        <v/>
      </c>
      <c r="J2033" s="171" t="str">
        <f ca="1">IFERROR(IF(VLOOKUP(C2033,' Disaggregation - Section E '!A$618:N2434,13,0)=0,"",VLOOKUP(C2033,' Disaggregation - Section E '!A$618:N2434,13,0)),"")</f>
        <v/>
      </c>
      <c r="K2033" s="166" t="str">
        <f ca="1">IFERROR(VLOOKUP(C2033,' Disaggregation - Section E '!A$618:N1237,3,0),"")</f>
        <v>KP-1a⁽ᴹ⁾ Porcentaje de HSH alcanzados por programas de prevención del VIH - paquete definido de servicios</v>
      </c>
      <c r="L2033" s="166"/>
      <c r="M2033" s="166" t="str">
        <f ca="1">IFERROR(IF(VLOOKUP(C2033,' Disaggregation - Section E '!A$618:T1237,20,0)=0,"",VLOOKUP(C2033,' Disaggregation - Section E '!A$618:T1237,20,0)),"")</f>
        <v/>
      </c>
      <c r="N2033" s="171" t="str">
        <f ca="1">IFERROR(IF(VLOOKUP(C2033,' Disaggregation - Section E '!A$618:N1237,14,0)=0,"",VLOOKUP(C2033,' Disaggregation - Section E '!A$618:N1237,14,0)),"")</f>
        <v/>
      </c>
      <c r="O2033" s="171" t="str">
        <f ca="1">IFERROR(IF(VLOOKUP(C2033,' Disaggregation - Section E '!A$618:N1237,9,0)=0,"",VLOOKUP(C2033,' Disaggregation - Section E '!A$618:N1237,9,0)),"")</f>
        <v/>
      </c>
      <c r="P2033" s="171" t="str">
        <f ca="1">IFERROR(IF(VLOOKUP(C2033,' Disaggregation - Section E '!A$618:N1237,10,0)=0,"",VLOOKUP(C2033,' Disaggregation - Section E '!A$618:N1237,10,0)),"")</f>
        <v/>
      </c>
    </row>
    <row r="2034" spans="1:16">
      <c r="A2034" s="166" t="b">
        <f t="shared" ca="1" si="144"/>
        <v>0</v>
      </c>
      <c r="B2034" s="166"/>
      <c r="C2034" s="172" t="str">
        <f ca="1">IF(COUNTA(D$1418:D2034)=1,"",OFFSET(B2032,-COUNTA(D$1418:D2034)+3,1))</f>
        <v>a163p000004VjkvAAC</v>
      </c>
      <c r="D2034" s="177"/>
      <c r="E2034" s="168" t="str">
        <f ca="1">IFERROR(IF(VLOOKUP(C2034,' Disaggregation - Section E '!A$618:N1238,7,0)="","",VLOOKUP(C2034,' Disaggregation - Section E '!A$618:N1238,7,0)*100),"")</f>
        <v/>
      </c>
      <c r="F2034" s="171" t="str">
        <f ca="1">IFERROR(VLOOKUP(C2034,' Disaggregation - Section E '!A$618:N1238,5,0),"")</f>
        <v/>
      </c>
      <c r="G2034" s="170" t="str">
        <f ca="1">IFERROR(IF(VLOOKUP(C2034,' Disaggregation - Section E '!A$618:N1238,6,0)="","",VLOOKUP(C2034,' Disaggregation - Section E '!A$618:N1238,6,0)),"")</f>
        <v/>
      </c>
      <c r="H2034" s="177" t="str">
        <f ca="1">IFERROR(IF(INDEX(' Disaggregation - Section E '!F$618:F2435,MATCH(C2034,' Disaggregation - Section E '!A$618:A2435,0)+1,1)&lt;&gt;0,INDEX(' Disaggregation - Section E '!F$618:F$1820,MATCH(C2034,' Disaggregation - Section E '!A$618:A2435,0)+1,1),""),"")</f>
        <v/>
      </c>
      <c r="I2034" s="171" t="str">
        <f ca="1">IFERROR(IF(VLOOKUP(C2034,' Disaggregation - Section E '!A$618:N1238,8,0)=0,"",VLOOKUP(C2034,' Disaggregation - Section E '!A$618:N1238,8,0)),"")</f>
        <v/>
      </c>
      <c r="J2034" s="171" t="str">
        <f ca="1">IFERROR(IF(VLOOKUP(C2034,' Disaggregation - Section E '!A$618:N2435,13,0)=0,"",VLOOKUP(C2034,' Disaggregation - Section E '!A$618:N2435,13,0)),"")</f>
        <v/>
      </c>
      <c r="K2034" s="166" t="str">
        <f ca="1">IFERROR(VLOOKUP(C2034,' Disaggregation - Section E '!A$618:N1238,3,0),"")</f>
        <v>KP-1a⁽ᴹ⁾ Porcentaje de HSH alcanzados por programas de prevención del VIH - paquete definido de servicios</v>
      </c>
      <c r="L2034" s="166"/>
      <c r="M2034" s="166" t="str">
        <f ca="1">IFERROR(IF(VLOOKUP(C2034,' Disaggregation - Section E '!A$618:T1238,20,0)=0,"",VLOOKUP(C2034,' Disaggregation - Section E '!A$618:T1238,20,0)),"")</f>
        <v/>
      </c>
      <c r="N2034" s="171" t="str">
        <f ca="1">IFERROR(IF(VLOOKUP(C2034,' Disaggregation - Section E '!A$618:N1238,14,0)=0,"",VLOOKUP(C2034,' Disaggregation - Section E '!A$618:N1238,14,0)),"")</f>
        <v/>
      </c>
      <c r="O2034" s="171" t="str">
        <f ca="1">IFERROR(IF(VLOOKUP(C2034,' Disaggregation - Section E '!A$618:N1238,9,0)=0,"",VLOOKUP(C2034,' Disaggregation - Section E '!A$618:N1238,9,0)),"")</f>
        <v/>
      </c>
      <c r="P2034" s="171" t="str">
        <f ca="1">IFERROR(IF(VLOOKUP(C2034,' Disaggregation - Section E '!A$618:N1238,10,0)=0,"",VLOOKUP(C2034,' Disaggregation - Section E '!A$618:N1238,10,0)),"")</f>
        <v/>
      </c>
    </row>
    <row r="2035" spans="1:16">
      <c r="A2035" s="166" t="b">
        <f t="shared" ca="1" si="144"/>
        <v>0</v>
      </c>
      <c r="B2035" s="166"/>
      <c r="C2035" s="172" t="str">
        <f ca="1">IF(COUNTA(D$1418:D2035)=1,"",OFFSET(B2033,-COUNTA(D$1418:D2035)+3,1))</f>
        <v>a163p000004VjkwAAC</v>
      </c>
      <c r="D2035" s="177"/>
      <c r="E2035" s="168" t="str">
        <f ca="1">IFERROR(IF(VLOOKUP(C2035,' Disaggregation - Section E '!A$618:N1239,7,0)="","",VLOOKUP(C2035,' Disaggregation - Section E '!A$618:N1239,7,0)*100),"")</f>
        <v/>
      </c>
      <c r="F2035" s="171" t="str">
        <f ca="1">IFERROR(VLOOKUP(C2035,' Disaggregation - Section E '!A$618:N1239,5,0),"")</f>
        <v/>
      </c>
      <c r="G2035" s="170" t="str">
        <f ca="1">IFERROR(IF(VLOOKUP(C2035,' Disaggregation - Section E '!A$618:N1239,6,0)="","",VLOOKUP(C2035,' Disaggregation - Section E '!A$618:N1239,6,0)),"")</f>
        <v/>
      </c>
      <c r="H2035" s="177" t="str">
        <f ca="1">IFERROR(IF(INDEX(' Disaggregation - Section E '!F$618:F2436,MATCH(C2035,' Disaggregation - Section E '!A$618:A2436,0)+1,1)&lt;&gt;0,INDEX(' Disaggregation - Section E '!F$618:F$1820,MATCH(C2035,' Disaggregation - Section E '!A$618:A2436,0)+1,1),""),"")</f>
        <v/>
      </c>
      <c r="I2035" s="171" t="str">
        <f ca="1">IFERROR(IF(VLOOKUP(C2035,' Disaggregation - Section E '!A$618:N1239,8,0)=0,"",VLOOKUP(C2035,' Disaggregation - Section E '!A$618:N1239,8,0)),"")</f>
        <v/>
      </c>
      <c r="J2035" s="171" t="str">
        <f ca="1">IFERROR(IF(VLOOKUP(C2035,' Disaggregation - Section E '!A$618:N2436,13,0)=0,"",VLOOKUP(C2035,' Disaggregation - Section E '!A$618:N2436,13,0)),"")</f>
        <v/>
      </c>
      <c r="K2035" s="166" t="str">
        <f ca="1">IFERROR(VLOOKUP(C2035,' Disaggregation - Section E '!A$618:N1239,3,0),"")</f>
        <v>KP-1a⁽ᴹ⁾ Porcentaje de HSH alcanzados por programas de prevención del VIH - paquete definido de servicios</v>
      </c>
      <c r="L2035" s="166"/>
      <c r="M2035" s="166" t="str">
        <f ca="1">IFERROR(IF(VLOOKUP(C2035,' Disaggregation - Section E '!A$618:T1239,20,0)=0,"",VLOOKUP(C2035,' Disaggregation - Section E '!A$618:T1239,20,0)),"")</f>
        <v/>
      </c>
      <c r="N2035" s="171" t="str">
        <f ca="1">IFERROR(IF(VLOOKUP(C2035,' Disaggregation - Section E '!A$618:N1239,14,0)=0,"",VLOOKUP(C2035,' Disaggregation - Section E '!A$618:N1239,14,0)),"")</f>
        <v/>
      </c>
      <c r="O2035" s="171" t="str">
        <f ca="1">IFERROR(IF(VLOOKUP(C2035,' Disaggregation - Section E '!A$618:N1239,9,0)=0,"",VLOOKUP(C2035,' Disaggregation - Section E '!A$618:N1239,9,0)),"")</f>
        <v/>
      </c>
      <c r="P2035" s="171" t="str">
        <f ca="1">IFERROR(IF(VLOOKUP(C2035,' Disaggregation - Section E '!A$618:N1239,10,0)=0,"",VLOOKUP(C2035,' Disaggregation - Section E '!A$618:N1239,10,0)),"")</f>
        <v/>
      </c>
    </row>
    <row r="2036" spans="1:16">
      <c r="A2036" s="166" t="b">
        <f t="shared" ca="1" si="144"/>
        <v>0</v>
      </c>
      <c r="B2036" s="166"/>
      <c r="C2036" s="172" t="str">
        <f ca="1">IF(COUNTA(D$1418:D2036)=1,"",OFFSET(B2034,-COUNTA(D$1418:D2036)+3,1))</f>
        <v>a163p000004VjkxAAC</v>
      </c>
      <c r="D2036" s="177"/>
      <c r="E2036" s="168" t="str">
        <f ca="1">IFERROR(IF(VLOOKUP(C2036,' Disaggregation - Section E '!A$618:N1240,7,0)="","",VLOOKUP(C2036,' Disaggregation - Section E '!A$618:N1240,7,0)*100),"")</f>
        <v/>
      </c>
      <c r="F2036" s="171" t="str">
        <f ca="1">IFERROR(VLOOKUP(C2036,' Disaggregation - Section E '!A$618:N1240,5,0),"")</f>
        <v/>
      </c>
      <c r="G2036" s="170" t="str">
        <f ca="1">IFERROR(IF(VLOOKUP(C2036,' Disaggregation - Section E '!A$618:N1240,6,0)="","",VLOOKUP(C2036,' Disaggregation - Section E '!A$618:N1240,6,0)),"")</f>
        <v/>
      </c>
      <c r="H2036" s="177" t="str">
        <f ca="1">IFERROR(IF(INDEX(' Disaggregation - Section E '!F$618:F2437,MATCH(C2036,' Disaggregation - Section E '!A$618:A2437,0)+1,1)&lt;&gt;0,INDEX(' Disaggregation - Section E '!F$618:F$1820,MATCH(C2036,' Disaggregation - Section E '!A$618:A2437,0)+1,1),""),"")</f>
        <v/>
      </c>
      <c r="I2036" s="171" t="str">
        <f ca="1">IFERROR(IF(VLOOKUP(C2036,' Disaggregation - Section E '!A$618:N1240,8,0)=0,"",VLOOKUP(C2036,' Disaggregation - Section E '!A$618:N1240,8,0)),"")</f>
        <v/>
      </c>
      <c r="J2036" s="171" t="str">
        <f ca="1">IFERROR(IF(VLOOKUP(C2036,' Disaggregation - Section E '!A$618:N2437,13,0)=0,"",VLOOKUP(C2036,' Disaggregation - Section E '!A$618:N2437,13,0)),"")</f>
        <v/>
      </c>
      <c r="K2036" s="166" t="str">
        <f ca="1">IFERROR(VLOOKUP(C2036,' Disaggregation - Section E '!A$618:N1240,3,0),"")</f>
        <v>KP-1a⁽ᴹ⁾ Porcentaje de HSH alcanzados por programas de prevención del VIH - paquete definido de servicios</v>
      </c>
      <c r="L2036" s="166"/>
      <c r="M2036" s="166" t="str">
        <f ca="1">IFERROR(IF(VLOOKUP(C2036,' Disaggregation - Section E '!A$618:T1240,20,0)=0,"",VLOOKUP(C2036,' Disaggregation - Section E '!A$618:T1240,20,0)),"")</f>
        <v/>
      </c>
      <c r="N2036" s="171" t="str">
        <f ca="1">IFERROR(IF(VLOOKUP(C2036,' Disaggregation - Section E '!A$618:N1240,14,0)=0,"",VLOOKUP(C2036,' Disaggregation - Section E '!A$618:N1240,14,0)),"")</f>
        <v/>
      </c>
      <c r="O2036" s="171" t="str">
        <f ca="1">IFERROR(IF(VLOOKUP(C2036,' Disaggregation - Section E '!A$618:N1240,9,0)=0,"",VLOOKUP(C2036,' Disaggregation - Section E '!A$618:N1240,9,0)),"")</f>
        <v/>
      </c>
      <c r="P2036" s="171" t="str">
        <f ca="1">IFERROR(IF(VLOOKUP(C2036,' Disaggregation - Section E '!A$618:N1240,10,0)=0,"",VLOOKUP(C2036,' Disaggregation - Section E '!A$618:N1240,10,0)),"")</f>
        <v/>
      </c>
    </row>
    <row r="2037" spans="1:16">
      <c r="A2037" s="166" t="b">
        <f t="shared" ca="1" si="144"/>
        <v>0</v>
      </c>
      <c r="B2037" s="166"/>
      <c r="C2037" s="172" t="str">
        <f ca="1">IF(COUNTA(D$1418:D2037)=1,"",OFFSET(B2035,-COUNTA(D$1418:D2037)+3,1))</f>
        <v>a163p000004VjkyAAC</v>
      </c>
      <c r="D2037" s="177"/>
      <c r="E2037" s="168" t="str">
        <f ca="1">IFERROR(IF(VLOOKUP(C2037,' Disaggregation - Section E '!A$618:N1241,7,0)="","",VLOOKUP(C2037,' Disaggregation - Section E '!A$618:N1241,7,0)*100),"")</f>
        <v/>
      </c>
      <c r="F2037" s="171" t="str">
        <f ca="1">IFERROR(VLOOKUP(C2037,' Disaggregation - Section E '!A$618:N1241,5,0),"")</f>
        <v/>
      </c>
      <c r="G2037" s="170" t="str">
        <f ca="1">IFERROR(IF(VLOOKUP(C2037,' Disaggregation - Section E '!A$618:N1241,6,0)="","",VLOOKUP(C2037,' Disaggregation - Section E '!A$618:N1241,6,0)),"")</f>
        <v/>
      </c>
      <c r="H2037" s="177" t="str">
        <f ca="1">IFERROR(IF(INDEX(' Disaggregation - Section E '!F$618:F2438,MATCH(C2037,' Disaggregation - Section E '!A$618:A2438,0)+1,1)&lt;&gt;0,INDEX(' Disaggregation - Section E '!F$618:F$1820,MATCH(C2037,' Disaggregation - Section E '!A$618:A2438,0)+1,1),""),"")</f>
        <v/>
      </c>
      <c r="I2037" s="171" t="str">
        <f ca="1">IFERROR(IF(VLOOKUP(C2037,' Disaggregation - Section E '!A$618:N1241,8,0)=0,"",VLOOKUP(C2037,' Disaggregation - Section E '!A$618:N1241,8,0)),"")</f>
        <v/>
      </c>
      <c r="J2037" s="171" t="str">
        <f ca="1">IFERROR(IF(VLOOKUP(C2037,' Disaggregation - Section E '!A$618:N2438,13,0)=0,"",VLOOKUP(C2037,' Disaggregation - Section E '!A$618:N2438,13,0)),"")</f>
        <v/>
      </c>
      <c r="K2037" s="166" t="str">
        <f ca="1">IFERROR(VLOOKUP(C2037,' Disaggregation - Section E '!A$618:N1241,3,0),"")</f>
        <v>KP-1a⁽ᴹ⁾ Porcentaje de HSH alcanzados por programas de prevención del VIH - paquete definido de servicios</v>
      </c>
      <c r="L2037" s="166"/>
      <c r="M2037" s="166" t="str">
        <f ca="1">IFERROR(IF(VLOOKUP(C2037,' Disaggregation - Section E '!A$618:T1241,20,0)=0,"",VLOOKUP(C2037,' Disaggregation - Section E '!A$618:T1241,20,0)),"")</f>
        <v/>
      </c>
      <c r="N2037" s="171" t="str">
        <f ca="1">IFERROR(IF(VLOOKUP(C2037,' Disaggregation - Section E '!A$618:N1241,14,0)=0,"",VLOOKUP(C2037,' Disaggregation - Section E '!A$618:N1241,14,0)),"")</f>
        <v/>
      </c>
      <c r="O2037" s="171" t="str">
        <f ca="1">IFERROR(IF(VLOOKUP(C2037,' Disaggregation - Section E '!A$618:N1241,9,0)=0,"",VLOOKUP(C2037,' Disaggregation - Section E '!A$618:N1241,9,0)),"")</f>
        <v/>
      </c>
      <c r="P2037" s="171" t="str">
        <f ca="1">IFERROR(IF(VLOOKUP(C2037,' Disaggregation - Section E '!A$618:N1241,10,0)=0,"",VLOOKUP(C2037,' Disaggregation - Section E '!A$618:N1241,10,0)),"")</f>
        <v/>
      </c>
    </row>
    <row r="2038" spans="1:16">
      <c r="A2038" s="166" t="b">
        <f t="shared" ca="1" si="144"/>
        <v>0</v>
      </c>
      <c r="B2038" s="166"/>
      <c r="C2038" s="172" t="str">
        <f ca="1">IF(COUNTA(D$1418:D2038)=1,"",OFFSET(B2036,-COUNTA(D$1418:D2038)+3,1))</f>
        <v>a163p000004VjkzAAC</v>
      </c>
      <c r="D2038" s="177"/>
      <c r="E2038" s="168" t="str">
        <f ca="1">IFERROR(IF(VLOOKUP(C2038,' Disaggregation - Section E '!A$618:N1242,7,0)="","",VLOOKUP(C2038,' Disaggregation - Section E '!A$618:N1242,7,0)*100),"")</f>
        <v/>
      </c>
      <c r="F2038" s="171" t="str">
        <f ca="1">IFERROR(VLOOKUP(C2038,' Disaggregation - Section E '!A$618:N1242,5,0),"")</f>
        <v/>
      </c>
      <c r="G2038" s="170" t="str">
        <f ca="1">IFERROR(IF(VLOOKUP(C2038,' Disaggregation - Section E '!A$618:N1242,6,0)="","",VLOOKUP(C2038,' Disaggregation - Section E '!A$618:N1242,6,0)),"")</f>
        <v/>
      </c>
      <c r="H2038" s="177" t="str">
        <f ca="1">IFERROR(IF(INDEX(' Disaggregation - Section E '!F$618:F2439,MATCH(C2038,' Disaggregation - Section E '!A$618:A2439,0)+1,1)&lt;&gt;0,INDEX(' Disaggregation - Section E '!F$618:F$1820,MATCH(C2038,' Disaggregation - Section E '!A$618:A2439,0)+1,1),""),"")</f>
        <v/>
      </c>
      <c r="I2038" s="171" t="str">
        <f ca="1">IFERROR(IF(VLOOKUP(C2038,' Disaggregation - Section E '!A$618:N1242,8,0)=0,"",VLOOKUP(C2038,' Disaggregation - Section E '!A$618:N1242,8,0)),"")</f>
        <v/>
      </c>
      <c r="J2038" s="171" t="str">
        <f ca="1">IFERROR(IF(VLOOKUP(C2038,' Disaggregation - Section E '!A$618:N2439,13,0)=0,"",VLOOKUP(C2038,' Disaggregation - Section E '!A$618:N2439,13,0)),"")</f>
        <v/>
      </c>
      <c r="K2038" s="166" t="str">
        <f ca="1">IFERROR(VLOOKUP(C2038,' Disaggregation - Section E '!A$618:N1242,3,0),"")</f>
        <v>KP-1a⁽ᴹ⁾ Porcentaje de HSH alcanzados por programas de prevención del VIH - paquete definido de servicios</v>
      </c>
      <c r="L2038" s="166"/>
      <c r="M2038" s="166" t="str">
        <f ca="1">IFERROR(IF(VLOOKUP(C2038,' Disaggregation - Section E '!A$618:T1242,20,0)=0,"",VLOOKUP(C2038,' Disaggregation - Section E '!A$618:T1242,20,0)),"")</f>
        <v/>
      </c>
      <c r="N2038" s="171" t="str">
        <f ca="1">IFERROR(IF(VLOOKUP(C2038,' Disaggregation - Section E '!A$618:N1242,14,0)=0,"",VLOOKUP(C2038,' Disaggregation - Section E '!A$618:N1242,14,0)),"")</f>
        <v/>
      </c>
      <c r="O2038" s="171" t="str">
        <f ca="1">IFERROR(IF(VLOOKUP(C2038,' Disaggregation - Section E '!A$618:N1242,9,0)=0,"",VLOOKUP(C2038,' Disaggregation - Section E '!A$618:N1242,9,0)),"")</f>
        <v/>
      </c>
      <c r="P2038" s="171" t="str">
        <f ca="1">IFERROR(IF(VLOOKUP(C2038,' Disaggregation - Section E '!A$618:N1242,10,0)=0,"",VLOOKUP(C2038,' Disaggregation - Section E '!A$618:N1242,10,0)),"")</f>
        <v/>
      </c>
    </row>
    <row r="2039" spans="1:16">
      <c r="A2039" s="166" t="b">
        <f t="shared" ca="1" si="144"/>
        <v>0</v>
      </c>
      <c r="B2039" s="166"/>
      <c r="C2039" s="172" t="str">
        <f ca="1">IF(COUNTA(D$1418:D2039)=1,"",OFFSET(B2037,-COUNTA(D$1418:D2039)+3,1))</f>
        <v>a163p000004Vjl0AAC</v>
      </c>
      <c r="D2039" s="177"/>
      <c r="E2039" s="168" t="str">
        <f ca="1">IFERROR(IF(VLOOKUP(C2039,' Disaggregation - Section E '!A$618:N1243,7,0)="","",VLOOKUP(C2039,' Disaggregation - Section E '!A$618:N1243,7,0)*100),"")</f>
        <v/>
      </c>
      <c r="F2039" s="171" t="str">
        <f ca="1">IFERROR(VLOOKUP(C2039,' Disaggregation - Section E '!A$618:N1243,5,0),"")</f>
        <v/>
      </c>
      <c r="G2039" s="170" t="str">
        <f ca="1">IFERROR(IF(VLOOKUP(C2039,' Disaggregation - Section E '!A$618:N1243,6,0)="","",VLOOKUP(C2039,' Disaggregation - Section E '!A$618:N1243,6,0)),"")</f>
        <v/>
      </c>
      <c r="H2039" s="177" t="str">
        <f ca="1">IFERROR(IF(INDEX(' Disaggregation - Section E '!F$618:F2440,MATCH(C2039,' Disaggregation - Section E '!A$618:A2440,0)+1,1)&lt;&gt;0,INDEX(' Disaggregation - Section E '!F$618:F$1820,MATCH(C2039,' Disaggregation - Section E '!A$618:A2440,0)+1,1),""),"")</f>
        <v/>
      </c>
      <c r="I2039" s="171" t="str">
        <f ca="1">IFERROR(IF(VLOOKUP(C2039,' Disaggregation - Section E '!A$618:N1243,8,0)=0,"",VLOOKUP(C2039,' Disaggregation - Section E '!A$618:N1243,8,0)),"")</f>
        <v/>
      </c>
      <c r="J2039" s="171" t="str">
        <f ca="1">IFERROR(IF(VLOOKUP(C2039,' Disaggregation - Section E '!A$618:N2440,13,0)=0,"",VLOOKUP(C2039,' Disaggregation - Section E '!A$618:N2440,13,0)),"")</f>
        <v/>
      </c>
      <c r="K2039" s="166" t="str">
        <f ca="1">IFERROR(VLOOKUP(C2039,' Disaggregation - Section E '!A$618:N1243,3,0),"")</f>
        <v>KP-1a⁽ᴹ⁾ Porcentaje de HSH alcanzados por programas de prevención del VIH - paquete definido de servicios</v>
      </c>
      <c r="L2039" s="166"/>
      <c r="M2039" s="166" t="str">
        <f ca="1">IFERROR(IF(VLOOKUP(C2039,' Disaggregation - Section E '!A$618:T1243,20,0)=0,"",VLOOKUP(C2039,' Disaggregation - Section E '!A$618:T1243,20,0)),"")</f>
        <v/>
      </c>
      <c r="N2039" s="171" t="str">
        <f ca="1">IFERROR(IF(VLOOKUP(C2039,' Disaggregation - Section E '!A$618:N1243,14,0)=0,"",VLOOKUP(C2039,' Disaggregation - Section E '!A$618:N1243,14,0)),"")</f>
        <v/>
      </c>
      <c r="O2039" s="171" t="str">
        <f ca="1">IFERROR(IF(VLOOKUP(C2039,' Disaggregation - Section E '!A$618:N1243,9,0)=0,"",VLOOKUP(C2039,' Disaggregation - Section E '!A$618:N1243,9,0)),"")</f>
        <v/>
      </c>
      <c r="P2039" s="171" t="str">
        <f ca="1">IFERROR(IF(VLOOKUP(C2039,' Disaggregation - Section E '!A$618:N1243,10,0)=0,"",VLOOKUP(C2039,' Disaggregation - Section E '!A$618:N1243,10,0)),"")</f>
        <v/>
      </c>
    </row>
    <row r="2040" spans="1:16">
      <c r="A2040" s="166" t="b">
        <f t="shared" ca="1" si="144"/>
        <v>1</v>
      </c>
      <c r="B2040" s="166"/>
      <c r="C2040" s="172" t="str">
        <f ca="1">IF(COUNTA(D$1418:D2040)=1,"",OFFSET(B2038,-COUNTA(D$1418:D2040)+3,1))</f>
        <v>a163p000004Vjl1AAC</v>
      </c>
      <c r="D2040" s="177"/>
      <c r="E2040" s="168">
        <f ca="1">IFERROR(IF(VLOOKUP(C2040,' Disaggregation - Section E '!A$618:N1244,7,0)="","",VLOOKUP(C2040,' Disaggregation - Section E '!A$618:N1244,7,0)*100),"")</f>
        <v>92.567025204687752</v>
      </c>
      <c r="F2040" s="171" t="str">
        <f ca="1">IFERROR(VLOOKUP(C2040,' Disaggregation - Section E '!A$618:N1244,5,0),"")</f>
        <v>Negativo</v>
      </c>
      <c r="G2040" s="170">
        <f ca="1">IFERROR(IF(VLOOKUP(C2040,' Disaggregation - Section E '!A$618:N1244,6,0)="","",VLOOKUP(C2040,' Disaggregation - Section E '!A$618:N1244,6,0)),"")</f>
        <v>11532</v>
      </c>
      <c r="H2040" s="177">
        <f ca="1">IFERROR(IF(INDEX(' Disaggregation - Section E '!F$618:F2441,MATCH(C2040,' Disaggregation - Section E '!A$618:A2441,0)+1,1)&lt;&gt;0,INDEX(' Disaggregation - Section E '!F$618:F$1820,MATCH(C2040,' Disaggregation - Section E '!A$618:A2441,0)+1,1),""),"")</f>
        <v>12458</v>
      </c>
      <c r="I2040" s="171">
        <f ca="1">IFERROR(IF(VLOOKUP(C2040,' Disaggregation - Section E '!A$618:N1244,8,0)=0,"",VLOOKUP(C2040,' Disaggregation - Section E '!A$618:N1244,8,0)),"")</f>
        <v>2021</v>
      </c>
      <c r="J2040" s="171" t="str">
        <f ca="1">IFERROR(IF(VLOOKUP(C2040,' Disaggregation - Section E '!A$618:N2441,13,0)=0,"",VLOOKUP(C2040,' Disaggregation - Section E '!A$618:N2441,13,0)),"")</f>
        <v/>
      </c>
      <c r="K2040" s="166" t="str">
        <f ca="1">IFERROR(VLOOKUP(C2040,' Disaggregation - Section E '!A$618:N1244,3,0),"")</f>
        <v>HTS-3a⁽ᴹ⁾ Porcentaje de HSH a los que se les ha realizado una prueba de VIH durante el período de reporte y que conocen sus resultados</v>
      </c>
      <c r="L2040" s="166"/>
      <c r="M2040" s="166" t="str">
        <f ca="1">IFERROR(IF(VLOOKUP(C2040,' Disaggregation - Section E '!A$618:T1244,20,0)=0,"",VLOOKUP(C2040,' Disaggregation - Section E '!A$618:T1244,20,0)),"")</f>
        <v>IDR-00920</v>
      </c>
      <c r="N2040" s="171" t="str">
        <f ca="1">IFERROR(IF(VLOOKUP(C2040,' Disaggregation - Section E '!A$618:N1244,14,0)=0,"",VLOOKUP(C2040,' Disaggregation - Section E '!A$618:N1244,14,0)),"")</f>
        <v/>
      </c>
      <c r="O2040" s="171" t="str">
        <f ca="1">IFERROR(IF(VLOOKUP(C2040,' Disaggregation - Section E '!A$618:N1244,9,0)=0,"",VLOOKUP(C2040,' Disaggregation - Section E '!A$618:N1244,9,0)),"")</f>
        <v>SIMONE</v>
      </c>
      <c r="P2040" s="171" t="str">
        <f ca="1">IFERROR(IF(VLOOKUP(C2040,' Disaggregation - Section E '!A$618:N1244,10,0)=0,"",VLOOKUP(C2040,' Disaggregation - Section E '!A$618:N1244,10,0)),"")</f>
        <v/>
      </c>
    </row>
    <row r="2041" spans="1:16">
      <c r="A2041" s="166" t="b">
        <f t="shared" ca="1" si="144"/>
        <v>1</v>
      </c>
      <c r="B2041" s="166"/>
      <c r="C2041" s="172" t="str">
        <f ca="1">IF(COUNTA(D$1418:D2041)=1,"",OFFSET(B2039,-COUNTA(D$1418:D2041)+3,1))</f>
        <v>a163p000004Vjl2AAC</v>
      </c>
      <c r="D2041" s="177"/>
      <c r="E2041" s="168">
        <f ca="1">IFERROR(IF(VLOOKUP(C2041,' Disaggregation - Section E '!A$618:N1245,7,0)="","",VLOOKUP(C2041,' Disaggregation - Section E '!A$618:N1245,7,0)*100),"")</f>
        <v>7.4329747953122487</v>
      </c>
      <c r="F2041" s="171" t="str">
        <f ca="1">IFERROR(VLOOKUP(C2041,' Disaggregation - Section E '!A$618:N1245,5,0),"")</f>
        <v>Positivo</v>
      </c>
      <c r="G2041" s="170">
        <f ca="1">IFERROR(IF(VLOOKUP(C2041,' Disaggregation - Section E '!A$618:N1245,6,0)="","",VLOOKUP(C2041,' Disaggregation - Section E '!A$618:N1245,6,0)),"")</f>
        <v>926</v>
      </c>
      <c r="H2041" s="177">
        <f ca="1">IFERROR(IF(INDEX(' Disaggregation - Section E '!F$618:F2442,MATCH(C2041,' Disaggregation - Section E '!A$618:A2442,0)+1,1)&lt;&gt;0,INDEX(' Disaggregation - Section E '!F$618:F$1820,MATCH(C2041,' Disaggregation - Section E '!A$618:A2442,0)+1,1),""),"")</f>
        <v>12458</v>
      </c>
      <c r="I2041" s="171">
        <f ca="1">IFERROR(IF(VLOOKUP(C2041,' Disaggregation - Section E '!A$618:N1245,8,0)=0,"",VLOOKUP(C2041,' Disaggregation - Section E '!A$618:N1245,8,0)),"")</f>
        <v>2021</v>
      </c>
      <c r="J2041" s="171" t="str">
        <f ca="1">IFERROR(IF(VLOOKUP(C2041,' Disaggregation - Section E '!A$618:N2442,13,0)=0,"",VLOOKUP(C2041,' Disaggregation - Section E '!A$618:N2442,13,0)),"")</f>
        <v/>
      </c>
      <c r="K2041" s="166" t="str">
        <f ca="1">IFERROR(VLOOKUP(C2041,' Disaggregation - Section E '!A$618:N1245,3,0),"")</f>
        <v>HTS-3a⁽ᴹ⁾ Porcentaje de HSH a los que se les ha realizado una prueba de VIH durante el período de reporte y que conocen sus resultados</v>
      </c>
      <c r="L2041" s="166"/>
      <c r="M2041" s="166" t="str">
        <f ca="1">IFERROR(IF(VLOOKUP(C2041,' Disaggregation - Section E '!A$618:T1245,20,0)=0,"",VLOOKUP(C2041,' Disaggregation - Section E '!A$618:T1245,20,0)),"")</f>
        <v>IDR-00919</v>
      </c>
      <c r="N2041" s="171" t="str">
        <f ca="1">IFERROR(IF(VLOOKUP(C2041,' Disaggregation - Section E '!A$618:N1245,14,0)=0,"",VLOOKUP(C2041,' Disaggregation - Section E '!A$618:N1245,14,0)),"")</f>
        <v/>
      </c>
      <c r="O2041" s="171" t="str">
        <f ca="1">IFERROR(IF(VLOOKUP(C2041,' Disaggregation - Section E '!A$618:N1245,9,0)=0,"",VLOOKUP(C2041,' Disaggregation - Section E '!A$618:N1245,9,0)),"")</f>
        <v>SIMONE</v>
      </c>
      <c r="P2041" s="171" t="str">
        <f ca="1">IFERROR(IF(VLOOKUP(C2041,' Disaggregation - Section E '!A$618:N1245,10,0)=0,"",VLOOKUP(C2041,' Disaggregation - Section E '!A$618:N1245,10,0)),"")</f>
        <v>Para el denominador se considera todas las personas que se hicieron una prueba de VIH.</v>
      </c>
    </row>
    <row r="2042" spans="1:16">
      <c r="A2042" s="166" t="b">
        <f t="shared" ca="1" si="144"/>
        <v>1</v>
      </c>
      <c r="B2042" s="166"/>
      <c r="C2042" s="172" t="str">
        <f ca="1">IF(COUNTA(D$1418:D2042)=1,"",OFFSET(B2040,-COUNTA(D$1418:D2042)+3,1))</f>
        <v>a163p000004Vjl3AAC</v>
      </c>
      <c r="D2042" s="177"/>
      <c r="E2042" s="168">
        <f ca="1">IFERROR(IF(VLOOKUP(C2042,' Disaggregation - Section E '!A$618:N1246,7,0)="","",VLOOKUP(C2042,' Disaggregation - Section E '!A$618:N1246,7,0)*100),"")</f>
        <v>26.632119950728455</v>
      </c>
      <c r="F2042" s="171" t="str">
        <f ca="1">IFERROR(VLOOKUP(C2042,' Disaggregation - Section E '!A$618:N1246,5,0),"")</f>
        <v>25+</v>
      </c>
      <c r="G2042" s="170">
        <f ca="1">IFERROR(IF(VLOOKUP(C2042,' Disaggregation - Section E '!A$618:N1246,6,0)="","",VLOOKUP(C2042,' Disaggregation - Section E '!A$618:N1246,6,0)),"")</f>
        <v>6270</v>
      </c>
      <c r="H2042" s="177">
        <f ca="1">IFERROR(IF(INDEX(' Disaggregation - Section E '!F$618:F2443,MATCH(C2042,' Disaggregation - Section E '!A$618:A2443,0)+1,1)&lt;&gt;0,INDEX(' Disaggregation - Section E '!F$618:F$1820,MATCH(C2042,' Disaggregation - Section E '!A$618:A2443,0)+1,1),""),"")</f>
        <v>23543</v>
      </c>
      <c r="I2042" s="171">
        <f ca="1">IFERROR(IF(VLOOKUP(C2042,' Disaggregation - Section E '!A$618:N1246,8,0)=0,"",VLOOKUP(C2042,' Disaggregation - Section E '!A$618:N1246,8,0)),"")</f>
        <v>2021</v>
      </c>
      <c r="J2042" s="171" t="str">
        <f ca="1">IFERROR(IF(VLOOKUP(C2042,' Disaggregation - Section E '!A$618:N2443,13,0)=0,"",VLOOKUP(C2042,' Disaggregation - Section E '!A$618:N2443,13,0)),"")</f>
        <v/>
      </c>
      <c r="K2042" s="166" t="str">
        <f ca="1">IFERROR(VLOOKUP(C2042,' Disaggregation - Section E '!A$618:N1246,3,0),"")</f>
        <v>HTS-3a⁽ᴹ⁾ Porcentaje de HSH a los que se les ha realizado una prueba de VIH durante el período de reporte y que conocen sus resultados</v>
      </c>
      <c r="L2042" s="166"/>
      <c r="M2042" s="166" t="str">
        <f ca="1">IFERROR(IF(VLOOKUP(C2042,' Disaggregation - Section E '!A$618:T1246,20,0)=0,"",VLOOKUP(C2042,' Disaggregation - Section E '!A$618:T1246,20,0)),"")</f>
        <v>IDR-00714</v>
      </c>
      <c r="N2042" s="171" t="str">
        <f ca="1">IFERROR(IF(VLOOKUP(C2042,' Disaggregation - Section E '!A$618:N1246,14,0)=0,"",VLOOKUP(C2042,' Disaggregation - Section E '!A$618:N1246,14,0)),"")</f>
        <v/>
      </c>
      <c r="O2042" s="171" t="str">
        <f ca="1">IFERROR(IF(VLOOKUP(C2042,' Disaggregation - Section E '!A$618:N1246,9,0)=0,"",VLOOKUP(C2042,' Disaggregation - Section E '!A$618:N1246,9,0)),"")</f>
        <v>SIMONE</v>
      </c>
      <c r="P2042" s="171" t="str">
        <f ca="1">IFERROR(IF(VLOOKUP(C2042,' Disaggregation - Section E '!A$618:N1246,10,0)=0,"",VLOOKUP(C2042,' Disaggregation - Section E '!A$618:N1246,10,0)),"")</f>
        <v>La desagregación por grupo de edad del denominador se realizó considerando la estructura demográfica del país sobre el tamaño poblacional de HSH para 2021. El denominador corresponde a toda la población en el grupo de edad</v>
      </c>
    </row>
    <row r="2043" spans="1:16">
      <c r="A2043" s="166" t="b">
        <f t="shared" ca="1" si="144"/>
        <v>1</v>
      </c>
      <c r="B2043" s="166"/>
      <c r="C2043" s="172" t="str">
        <f ca="1">IF(COUNTA(D$1418:D2043)=1,"",OFFSET(B2041,-COUNTA(D$1418:D2043)+3,1))</f>
        <v>a163p000004Vjl4AAC</v>
      </c>
      <c r="D2043" s="177"/>
      <c r="E2043" s="168">
        <f ca="1">IFERROR(IF(VLOOKUP(C2043,' Disaggregation - Section E '!A$618:N1247,7,0)="","",VLOOKUP(C2043,' Disaggregation - Section E '!A$618:N1247,7,0)*100),"")</f>
        <v>69.810469314079427</v>
      </c>
      <c r="F2043" s="171" t="str">
        <f ca="1">IFERROR(VLOOKUP(C2043,' Disaggregation - Section E '!A$618:N1247,5,0),"")</f>
        <v>&lt;25</v>
      </c>
      <c r="G2043" s="170">
        <f ca="1">IFERROR(IF(VLOOKUP(C2043,' Disaggregation - Section E '!A$618:N1247,6,0)="","",VLOOKUP(C2043,' Disaggregation - Section E '!A$618:N1247,6,0)),"")</f>
        <v>6188</v>
      </c>
      <c r="H2043" s="177">
        <f ca="1">IFERROR(IF(INDEX(' Disaggregation - Section E '!F$618:F2444,MATCH(C2043,' Disaggregation - Section E '!A$618:A2444,0)+1,1)&lt;&gt;0,INDEX(' Disaggregation - Section E '!F$618:F$1820,MATCH(C2043,' Disaggregation - Section E '!A$618:A2444,0)+1,1),""),"")</f>
        <v>8864</v>
      </c>
      <c r="I2043" s="171">
        <f ca="1">IFERROR(IF(VLOOKUP(C2043,' Disaggregation - Section E '!A$618:N1247,8,0)=0,"",VLOOKUP(C2043,' Disaggregation - Section E '!A$618:N1247,8,0)),"")</f>
        <v>2021</v>
      </c>
      <c r="J2043" s="171" t="str">
        <f ca="1">IFERROR(IF(VLOOKUP(C2043,' Disaggregation - Section E '!A$618:N2444,13,0)=0,"",VLOOKUP(C2043,' Disaggregation - Section E '!A$618:N2444,13,0)),"")</f>
        <v/>
      </c>
      <c r="K2043" s="166" t="str">
        <f ca="1">IFERROR(VLOOKUP(C2043,' Disaggregation - Section E '!A$618:N1247,3,0),"")</f>
        <v>HTS-3a⁽ᴹ⁾ Porcentaje de HSH a los que se les ha realizado una prueba de VIH durante el período de reporte y que conocen sus resultados</v>
      </c>
      <c r="L2043" s="166"/>
      <c r="M2043" s="166" t="str">
        <f ca="1">IFERROR(IF(VLOOKUP(C2043,' Disaggregation - Section E '!A$618:T1247,20,0)=0,"",VLOOKUP(C2043,' Disaggregation - Section E '!A$618:T1247,20,0)),"")</f>
        <v>IDR-00713</v>
      </c>
      <c r="N2043" s="171" t="str">
        <f ca="1">IFERROR(IF(VLOOKUP(C2043,' Disaggregation - Section E '!A$618:N1247,14,0)=0,"",VLOOKUP(C2043,' Disaggregation - Section E '!A$618:N1247,14,0)),"")</f>
        <v/>
      </c>
      <c r="O2043" s="171" t="str">
        <f ca="1">IFERROR(IF(VLOOKUP(C2043,' Disaggregation - Section E '!A$618:N1247,9,0)=0,"",VLOOKUP(C2043,' Disaggregation - Section E '!A$618:N1247,9,0)),"")</f>
        <v>SIMONE</v>
      </c>
      <c r="P2043" s="171" t="str">
        <f ca="1">IFERROR(IF(VLOOKUP(C2043,' Disaggregation - Section E '!A$618:N1247,10,0)=0,"",VLOOKUP(C2043,' Disaggregation - Section E '!A$618:N1247,10,0)),"")</f>
        <v>La desagregación por grupo de edad del denominador se realizó considerando la estructura demográfica del país sobre el tamaño poblacional de HSH para 2021. El denominador corresponde a toda la población en el grupo de edad</v>
      </c>
    </row>
    <row r="2044" spans="1:16">
      <c r="A2044" s="166" t="b">
        <f t="shared" ca="1" si="144"/>
        <v>0</v>
      </c>
      <c r="B2044" s="166"/>
      <c r="C2044" s="172" t="str">
        <f ca="1">IF(COUNTA(D$1418:D2044)=1,"",OFFSET(B2042,-COUNTA(D$1418:D2044)+3,1))</f>
        <v>a163p000004Vjl5AAC</v>
      </c>
      <c r="D2044" s="177"/>
      <c r="E2044" s="168" t="str">
        <f ca="1">IFERROR(IF(VLOOKUP(C2044,' Disaggregation - Section E '!A$618:N1248,7,0)="","",VLOOKUP(C2044,' Disaggregation - Section E '!A$618:N1248,7,0)*100),"")</f>
        <v/>
      </c>
      <c r="F2044" s="171" t="str">
        <f ca="1">IFERROR(VLOOKUP(C2044,' Disaggregation - Section E '!A$618:N1248,5,0),"")</f>
        <v/>
      </c>
      <c r="G2044" s="170" t="str">
        <f ca="1">IFERROR(IF(VLOOKUP(C2044,' Disaggregation - Section E '!A$618:N1248,6,0)="","",VLOOKUP(C2044,' Disaggregation - Section E '!A$618:N1248,6,0)),"")</f>
        <v/>
      </c>
      <c r="H2044" s="177" t="str">
        <f ca="1">IFERROR(IF(INDEX(' Disaggregation - Section E '!F$618:F2445,MATCH(C2044,' Disaggregation - Section E '!A$618:A2445,0)+1,1)&lt;&gt;0,INDEX(' Disaggregation - Section E '!F$618:F$1820,MATCH(C2044,' Disaggregation - Section E '!A$618:A2445,0)+1,1),""),"")</f>
        <v/>
      </c>
      <c r="I2044" s="171" t="str">
        <f ca="1">IFERROR(IF(VLOOKUP(C2044,' Disaggregation - Section E '!A$618:N1248,8,0)=0,"",VLOOKUP(C2044,' Disaggregation - Section E '!A$618:N1248,8,0)),"")</f>
        <v/>
      </c>
      <c r="J2044" s="171" t="str">
        <f ca="1">IFERROR(IF(VLOOKUP(C2044,' Disaggregation - Section E '!A$618:N2445,13,0)=0,"",VLOOKUP(C2044,' Disaggregation - Section E '!A$618:N2445,13,0)),"")</f>
        <v/>
      </c>
      <c r="K2044" s="166" t="str">
        <f ca="1">IFERROR(VLOOKUP(C2044,' Disaggregation - Section E '!A$618:N1248,3,0),"")</f>
        <v>HTS-3a⁽ᴹ⁾ Porcentaje de HSH a los que se les ha realizado una prueba de VIH durante el período de reporte y que conocen sus resultados</v>
      </c>
      <c r="L2044" s="166"/>
      <c r="M2044" s="166" t="str">
        <f ca="1">IFERROR(IF(VLOOKUP(C2044,' Disaggregation - Section E '!A$618:T1248,20,0)=0,"",VLOOKUP(C2044,' Disaggregation - Section E '!A$618:T1248,20,0)),"")</f>
        <v/>
      </c>
      <c r="N2044" s="171" t="str">
        <f ca="1">IFERROR(IF(VLOOKUP(C2044,' Disaggregation - Section E '!A$618:N1248,14,0)=0,"",VLOOKUP(C2044,' Disaggregation - Section E '!A$618:N1248,14,0)),"")</f>
        <v/>
      </c>
      <c r="O2044" s="171" t="str">
        <f ca="1">IFERROR(IF(VLOOKUP(C2044,' Disaggregation - Section E '!A$618:N1248,9,0)=0,"",VLOOKUP(C2044,' Disaggregation - Section E '!A$618:N1248,9,0)),"")</f>
        <v/>
      </c>
      <c r="P2044" s="171" t="str">
        <f ca="1">IFERROR(IF(VLOOKUP(C2044,' Disaggregation - Section E '!A$618:N1248,10,0)=0,"",VLOOKUP(C2044,' Disaggregation - Section E '!A$618:N1248,10,0)),"")</f>
        <v/>
      </c>
    </row>
    <row r="2045" spans="1:16">
      <c r="A2045" s="166" t="b">
        <f t="shared" ca="1" si="144"/>
        <v>0</v>
      </c>
      <c r="B2045" s="166"/>
      <c r="C2045" s="172" t="str">
        <f ca="1">IF(COUNTA(D$1418:D2045)=1,"",OFFSET(B2043,-COUNTA(D$1418:D2045)+3,1))</f>
        <v>a163p000004Vjl6AAC</v>
      </c>
      <c r="D2045" s="177"/>
      <c r="E2045" s="168" t="str">
        <f ca="1">IFERROR(IF(VLOOKUP(C2045,' Disaggregation - Section E '!A$618:N1249,7,0)="","",VLOOKUP(C2045,' Disaggregation - Section E '!A$618:N1249,7,0)*100),"")</f>
        <v/>
      </c>
      <c r="F2045" s="171" t="str">
        <f ca="1">IFERROR(VLOOKUP(C2045,' Disaggregation - Section E '!A$618:N1249,5,0),"")</f>
        <v/>
      </c>
      <c r="G2045" s="170" t="str">
        <f ca="1">IFERROR(IF(VLOOKUP(C2045,' Disaggregation - Section E '!A$618:N1249,6,0)="","",VLOOKUP(C2045,' Disaggregation - Section E '!A$618:N1249,6,0)),"")</f>
        <v/>
      </c>
      <c r="H2045" s="177" t="str">
        <f ca="1">IFERROR(IF(INDEX(' Disaggregation - Section E '!F$618:F2446,MATCH(C2045,' Disaggregation - Section E '!A$618:A2446,0)+1,1)&lt;&gt;0,INDEX(' Disaggregation - Section E '!F$618:F$1820,MATCH(C2045,' Disaggregation - Section E '!A$618:A2446,0)+1,1),""),"")</f>
        <v/>
      </c>
      <c r="I2045" s="171" t="str">
        <f ca="1">IFERROR(IF(VLOOKUP(C2045,' Disaggregation - Section E '!A$618:N1249,8,0)=0,"",VLOOKUP(C2045,' Disaggregation - Section E '!A$618:N1249,8,0)),"")</f>
        <v/>
      </c>
      <c r="J2045" s="171" t="str">
        <f ca="1">IFERROR(IF(VLOOKUP(C2045,' Disaggregation - Section E '!A$618:N2446,13,0)=0,"",VLOOKUP(C2045,' Disaggregation - Section E '!A$618:N2446,13,0)),"")</f>
        <v/>
      </c>
      <c r="K2045" s="166" t="str">
        <f ca="1">IFERROR(VLOOKUP(C2045,' Disaggregation - Section E '!A$618:N1249,3,0),"")</f>
        <v>HTS-3a⁽ᴹ⁾ Porcentaje de HSH a los que se les ha realizado una prueba de VIH durante el período de reporte y que conocen sus resultados</v>
      </c>
      <c r="L2045" s="166"/>
      <c r="M2045" s="166" t="str">
        <f ca="1">IFERROR(IF(VLOOKUP(C2045,' Disaggregation - Section E '!A$618:T1249,20,0)=0,"",VLOOKUP(C2045,' Disaggregation - Section E '!A$618:T1249,20,0)),"")</f>
        <v/>
      </c>
      <c r="N2045" s="171" t="str">
        <f ca="1">IFERROR(IF(VLOOKUP(C2045,' Disaggregation - Section E '!A$618:N1249,14,0)=0,"",VLOOKUP(C2045,' Disaggregation - Section E '!A$618:N1249,14,0)),"")</f>
        <v/>
      </c>
      <c r="O2045" s="171" t="str">
        <f ca="1">IFERROR(IF(VLOOKUP(C2045,' Disaggregation - Section E '!A$618:N1249,9,0)=0,"",VLOOKUP(C2045,' Disaggregation - Section E '!A$618:N1249,9,0)),"")</f>
        <v/>
      </c>
      <c r="P2045" s="171" t="str">
        <f ca="1">IFERROR(IF(VLOOKUP(C2045,' Disaggregation - Section E '!A$618:N1249,10,0)=0,"",VLOOKUP(C2045,' Disaggregation - Section E '!A$618:N1249,10,0)),"")</f>
        <v/>
      </c>
    </row>
    <row r="2046" spans="1:16">
      <c r="A2046" s="166" t="b">
        <f t="shared" ca="1" si="144"/>
        <v>0</v>
      </c>
      <c r="B2046" s="166"/>
      <c r="C2046" s="172" t="str">
        <f ca="1">IF(COUNTA(D$1418:D2046)=1,"",OFFSET(B2044,-COUNTA(D$1418:D2046)+3,1))</f>
        <v>a163p000004Vjl7AAC</v>
      </c>
      <c r="D2046" s="177"/>
      <c r="E2046" s="168" t="str">
        <f ca="1">IFERROR(IF(VLOOKUP(C2046,' Disaggregation - Section E '!A$618:N1250,7,0)="","",VLOOKUP(C2046,' Disaggregation - Section E '!A$618:N1250,7,0)*100),"")</f>
        <v/>
      </c>
      <c r="F2046" s="171" t="str">
        <f ca="1">IFERROR(VLOOKUP(C2046,' Disaggregation - Section E '!A$618:N1250,5,0),"")</f>
        <v/>
      </c>
      <c r="G2046" s="170" t="str">
        <f ca="1">IFERROR(IF(VLOOKUP(C2046,' Disaggregation - Section E '!A$618:N1250,6,0)="","",VLOOKUP(C2046,' Disaggregation - Section E '!A$618:N1250,6,0)),"")</f>
        <v/>
      </c>
      <c r="H2046" s="177" t="str">
        <f ca="1">IFERROR(IF(INDEX(' Disaggregation - Section E '!F$618:F2447,MATCH(C2046,' Disaggregation - Section E '!A$618:A2447,0)+1,1)&lt;&gt;0,INDEX(' Disaggregation - Section E '!F$618:F$1820,MATCH(C2046,' Disaggregation - Section E '!A$618:A2447,0)+1,1),""),"")</f>
        <v/>
      </c>
      <c r="I2046" s="171" t="str">
        <f ca="1">IFERROR(IF(VLOOKUP(C2046,' Disaggregation - Section E '!A$618:N1250,8,0)=0,"",VLOOKUP(C2046,' Disaggregation - Section E '!A$618:N1250,8,0)),"")</f>
        <v/>
      </c>
      <c r="J2046" s="171" t="str">
        <f ca="1">IFERROR(IF(VLOOKUP(C2046,' Disaggregation - Section E '!A$618:N2447,13,0)=0,"",VLOOKUP(C2046,' Disaggregation - Section E '!A$618:N2447,13,0)),"")</f>
        <v/>
      </c>
      <c r="K2046" s="166" t="str">
        <f ca="1">IFERROR(VLOOKUP(C2046,' Disaggregation - Section E '!A$618:N1250,3,0),"")</f>
        <v>HTS-3a⁽ᴹ⁾ Porcentaje de HSH a los que se les ha realizado una prueba de VIH durante el período de reporte y que conocen sus resultados</v>
      </c>
      <c r="L2046" s="166"/>
      <c r="M2046" s="166" t="str">
        <f ca="1">IFERROR(IF(VLOOKUP(C2046,' Disaggregation - Section E '!A$618:T1250,20,0)=0,"",VLOOKUP(C2046,' Disaggregation - Section E '!A$618:T1250,20,0)),"")</f>
        <v/>
      </c>
      <c r="N2046" s="171" t="str">
        <f ca="1">IFERROR(IF(VLOOKUP(C2046,' Disaggregation - Section E '!A$618:N1250,14,0)=0,"",VLOOKUP(C2046,' Disaggregation - Section E '!A$618:N1250,14,0)),"")</f>
        <v/>
      </c>
      <c r="O2046" s="171" t="str">
        <f ca="1">IFERROR(IF(VLOOKUP(C2046,' Disaggregation - Section E '!A$618:N1250,9,0)=0,"",VLOOKUP(C2046,' Disaggregation - Section E '!A$618:N1250,9,0)),"")</f>
        <v/>
      </c>
      <c r="P2046" s="171" t="str">
        <f ca="1">IFERROR(IF(VLOOKUP(C2046,' Disaggregation - Section E '!A$618:N1250,10,0)=0,"",VLOOKUP(C2046,' Disaggregation - Section E '!A$618:N1250,10,0)),"")</f>
        <v/>
      </c>
    </row>
    <row r="2047" spans="1:16">
      <c r="A2047" s="166" t="b">
        <f t="shared" ca="1" si="144"/>
        <v>0</v>
      </c>
      <c r="B2047" s="166"/>
      <c r="C2047" s="172" t="str">
        <f ca="1">IF(COUNTA(D$1418:D2047)=1,"",OFFSET(B2045,-COUNTA(D$1418:D2047)+3,1))</f>
        <v>a163p000004Vjl8AAC</v>
      </c>
      <c r="D2047" s="177"/>
      <c r="E2047" s="168" t="str">
        <f ca="1">IFERROR(IF(VLOOKUP(C2047,' Disaggregation - Section E '!A$618:N1251,7,0)="","",VLOOKUP(C2047,' Disaggregation - Section E '!A$618:N1251,7,0)*100),"")</f>
        <v/>
      </c>
      <c r="F2047" s="171" t="str">
        <f ca="1">IFERROR(VLOOKUP(C2047,' Disaggregation - Section E '!A$618:N1251,5,0),"")</f>
        <v/>
      </c>
      <c r="G2047" s="170" t="str">
        <f ca="1">IFERROR(IF(VLOOKUP(C2047,' Disaggregation - Section E '!A$618:N1251,6,0)="","",VLOOKUP(C2047,' Disaggregation - Section E '!A$618:N1251,6,0)),"")</f>
        <v/>
      </c>
      <c r="H2047" s="177" t="str">
        <f ca="1">IFERROR(IF(INDEX(' Disaggregation - Section E '!F$618:F2448,MATCH(C2047,' Disaggregation - Section E '!A$618:A2448,0)+1,1)&lt;&gt;0,INDEX(' Disaggregation - Section E '!F$618:F$1820,MATCH(C2047,' Disaggregation - Section E '!A$618:A2448,0)+1,1),""),"")</f>
        <v/>
      </c>
      <c r="I2047" s="171" t="str">
        <f ca="1">IFERROR(IF(VLOOKUP(C2047,' Disaggregation - Section E '!A$618:N1251,8,0)=0,"",VLOOKUP(C2047,' Disaggregation - Section E '!A$618:N1251,8,0)),"")</f>
        <v/>
      </c>
      <c r="J2047" s="171" t="str">
        <f ca="1">IFERROR(IF(VLOOKUP(C2047,' Disaggregation - Section E '!A$618:N2448,13,0)=0,"",VLOOKUP(C2047,' Disaggregation - Section E '!A$618:N2448,13,0)),"")</f>
        <v/>
      </c>
      <c r="K2047" s="166" t="str">
        <f ca="1">IFERROR(VLOOKUP(C2047,' Disaggregation - Section E '!A$618:N1251,3,0),"")</f>
        <v>HTS-3a⁽ᴹ⁾ Porcentaje de HSH a los que se les ha realizado una prueba de VIH durante el período de reporte y que conocen sus resultados</v>
      </c>
      <c r="L2047" s="166"/>
      <c r="M2047" s="166" t="str">
        <f ca="1">IFERROR(IF(VLOOKUP(C2047,' Disaggregation - Section E '!A$618:T1251,20,0)=0,"",VLOOKUP(C2047,' Disaggregation - Section E '!A$618:T1251,20,0)),"")</f>
        <v/>
      </c>
      <c r="N2047" s="171" t="str">
        <f ca="1">IFERROR(IF(VLOOKUP(C2047,' Disaggregation - Section E '!A$618:N1251,14,0)=0,"",VLOOKUP(C2047,' Disaggregation - Section E '!A$618:N1251,14,0)),"")</f>
        <v/>
      </c>
      <c r="O2047" s="171" t="str">
        <f ca="1">IFERROR(IF(VLOOKUP(C2047,' Disaggregation - Section E '!A$618:N1251,9,0)=0,"",VLOOKUP(C2047,' Disaggregation - Section E '!A$618:N1251,9,0)),"")</f>
        <v/>
      </c>
      <c r="P2047" s="171" t="str">
        <f ca="1">IFERROR(IF(VLOOKUP(C2047,' Disaggregation - Section E '!A$618:N1251,10,0)=0,"",VLOOKUP(C2047,' Disaggregation - Section E '!A$618:N1251,10,0)),"")</f>
        <v/>
      </c>
    </row>
    <row r="2048" spans="1:16">
      <c r="A2048" s="166" t="b">
        <f t="shared" ca="1" si="144"/>
        <v>0</v>
      </c>
      <c r="B2048" s="166"/>
      <c r="C2048" s="172" t="str">
        <f ca="1">IF(COUNTA(D$1418:D2048)=1,"",OFFSET(B2046,-COUNTA(D$1418:D2048)+3,1))</f>
        <v>a163p000004Vjl9AAC</v>
      </c>
      <c r="D2048" s="177"/>
      <c r="E2048" s="168" t="str">
        <f ca="1">IFERROR(IF(VLOOKUP(C2048,' Disaggregation - Section E '!A$618:N1252,7,0)="","",VLOOKUP(C2048,' Disaggregation - Section E '!A$618:N1252,7,0)*100),"")</f>
        <v/>
      </c>
      <c r="F2048" s="171" t="str">
        <f ca="1">IFERROR(VLOOKUP(C2048,' Disaggregation - Section E '!A$618:N1252,5,0),"")</f>
        <v/>
      </c>
      <c r="G2048" s="170" t="str">
        <f ca="1">IFERROR(IF(VLOOKUP(C2048,' Disaggregation - Section E '!A$618:N1252,6,0)="","",VLOOKUP(C2048,' Disaggregation - Section E '!A$618:N1252,6,0)),"")</f>
        <v/>
      </c>
      <c r="H2048" s="177" t="str">
        <f ca="1">IFERROR(IF(INDEX(' Disaggregation - Section E '!F$618:F2449,MATCH(C2048,' Disaggregation - Section E '!A$618:A2449,0)+1,1)&lt;&gt;0,INDEX(' Disaggregation - Section E '!F$618:F$1820,MATCH(C2048,' Disaggregation - Section E '!A$618:A2449,0)+1,1),""),"")</f>
        <v/>
      </c>
      <c r="I2048" s="171" t="str">
        <f ca="1">IFERROR(IF(VLOOKUP(C2048,' Disaggregation - Section E '!A$618:N1252,8,0)=0,"",VLOOKUP(C2048,' Disaggregation - Section E '!A$618:N1252,8,0)),"")</f>
        <v/>
      </c>
      <c r="J2048" s="171" t="str">
        <f ca="1">IFERROR(IF(VLOOKUP(C2048,' Disaggregation - Section E '!A$618:N2449,13,0)=0,"",VLOOKUP(C2048,' Disaggregation - Section E '!A$618:N2449,13,0)),"")</f>
        <v/>
      </c>
      <c r="K2048" s="166" t="str">
        <f ca="1">IFERROR(VLOOKUP(C2048,' Disaggregation - Section E '!A$618:N1252,3,0),"")</f>
        <v>HTS-3a⁽ᴹ⁾ Porcentaje de HSH a los que se les ha realizado una prueba de VIH durante el período de reporte y que conocen sus resultados</v>
      </c>
      <c r="L2048" s="166"/>
      <c r="M2048" s="166" t="str">
        <f ca="1">IFERROR(IF(VLOOKUP(C2048,' Disaggregation - Section E '!A$618:T1252,20,0)=0,"",VLOOKUP(C2048,' Disaggregation - Section E '!A$618:T1252,20,0)),"")</f>
        <v/>
      </c>
      <c r="N2048" s="171" t="str">
        <f ca="1">IFERROR(IF(VLOOKUP(C2048,' Disaggregation - Section E '!A$618:N1252,14,0)=0,"",VLOOKUP(C2048,' Disaggregation - Section E '!A$618:N1252,14,0)),"")</f>
        <v/>
      </c>
      <c r="O2048" s="171" t="str">
        <f ca="1">IFERROR(IF(VLOOKUP(C2048,' Disaggregation - Section E '!A$618:N1252,9,0)=0,"",VLOOKUP(C2048,' Disaggregation - Section E '!A$618:N1252,9,0)),"")</f>
        <v/>
      </c>
      <c r="P2048" s="171" t="str">
        <f ca="1">IFERROR(IF(VLOOKUP(C2048,' Disaggregation - Section E '!A$618:N1252,10,0)=0,"",VLOOKUP(C2048,' Disaggregation - Section E '!A$618:N1252,10,0)),"")</f>
        <v/>
      </c>
    </row>
    <row r="2049" spans="1:16">
      <c r="A2049" s="166" t="b">
        <f t="shared" ca="1" si="144"/>
        <v>0</v>
      </c>
      <c r="B2049" s="166"/>
      <c r="C2049" s="172" t="str">
        <f ca="1">IF(COUNTA(D$1418:D2049)=1,"",OFFSET(B2047,-COUNTA(D$1418:D2049)+3,1))</f>
        <v>a163p000004VjlAAAS</v>
      </c>
      <c r="D2049" s="177"/>
      <c r="E2049" s="168" t="str">
        <f ca="1">IFERROR(IF(VLOOKUP(C2049,' Disaggregation - Section E '!A$618:N1253,7,0)="","",VLOOKUP(C2049,' Disaggregation - Section E '!A$618:N1253,7,0)*100),"")</f>
        <v/>
      </c>
      <c r="F2049" s="171" t="str">
        <f ca="1">IFERROR(VLOOKUP(C2049,' Disaggregation - Section E '!A$618:N1253,5,0),"")</f>
        <v/>
      </c>
      <c r="G2049" s="170" t="str">
        <f ca="1">IFERROR(IF(VLOOKUP(C2049,' Disaggregation - Section E '!A$618:N1253,6,0)="","",VLOOKUP(C2049,' Disaggregation - Section E '!A$618:N1253,6,0)),"")</f>
        <v/>
      </c>
      <c r="H2049" s="177" t="str">
        <f ca="1">IFERROR(IF(INDEX(' Disaggregation - Section E '!F$618:F2450,MATCH(C2049,' Disaggregation - Section E '!A$618:A2450,0)+1,1)&lt;&gt;0,INDEX(' Disaggregation - Section E '!F$618:F$1820,MATCH(C2049,' Disaggregation - Section E '!A$618:A2450,0)+1,1),""),"")</f>
        <v/>
      </c>
      <c r="I2049" s="171" t="str">
        <f ca="1">IFERROR(IF(VLOOKUP(C2049,' Disaggregation - Section E '!A$618:N1253,8,0)=0,"",VLOOKUP(C2049,' Disaggregation - Section E '!A$618:N1253,8,0)),"")</f>
        <v/>
      </c>
      <c r="J2049" s="171" t="str">
        <f ca="1">IFERROR(IF(VLOOKUP(C2049,' Disaggregation - Section E '!A$618:N2450,13,0)=0,"",VLOOKUP(C2049,' Disaggregation - Section E '!A$618:N2450,13,0)),"")</f>
        <v/>
      </c>
      <c r="K2049" s="166" t="str">
        <f ca="1">IFERROR(VLOOKUP(C2049,' Disaggregation - Section E '!A$618:N1253,3,0),"")</f>
        <v>HTS-3a⁽ᴹ⁾ Porcentaje de HSH a los que se les ha realizado una prueba de VIH durante el período de reporte y que conocen sus resultados</v>
      </c>
      <c r="L2049" s="166"/>
      <c r="M2049" s="166" t="str">
        <f ca="1">IFERROR(IF(VLOOKUP(C2049,' Disaggregation - Section E '!A$618:T1253,20,0)=0,"",VLOOKUP(C2049,' Disaggregation - Section E '!A$618:T1253,20,0)),"")</f>
        <v/>
      </c>
      <c r="N2049" s="171" t="str">
        <f ca="1">IFERROR(IF(VLOOKUP(C2049,' Disaggregation - Section E '!A$618:N1253,14,0)=0,"",VLOOKUP(C2049,' Disaggregation - Section E '!A$618:N1253,14,0)),"")</f>
        <v/>
      </c>
      <c r="O2049" s="171" t="str">
        <f ca="1">IFERROR(IF(VLOOKUP(C2049,' Disaggregation - Section E '!A$618:N1253,9,0)=0,"",VLOOKUP(C2049,' Disaggregation - Section E '!A$618:N1253,9,0)),"")</f>
        <v/>
      </c>
      <c r="P2049" s="171" t="str">
        <f ca="1">IFERROR(IF(VLOOKUP(C2049,' Disaggregation - Section E '!A$618:N1253,10,0)=0,"",VLOOKUP(C2049,' Disaggregation - Section E '!A$618:N1253,10,0)),"")</f>
        <v/>
      </c>
    </row>
    <row r="2050" spans="1:16">
      <c r="A2050" s="166" t="b">
        <f t="shared" ca="1" si="144"/>
        <v>0</v>
      </c>
      <c r="B2050" s="166"/>
      <c r="C2050" s="172" t="str">
        <f ca="1">IF(COUNTA(D$1418:D2050)=1,"",OFFSET(B2048,-COUNTA(D$1418:D2050)+3,1))</f>
        <v>a163p000004VjlBAAS</v>
      </c>
      <c r="D2050" s="177"/>
      <c r="E2050" s="168" t="str">
        <f ca="1">IFERROR(IF(VLOOKUP(C2050,' Disaggregation - Section E '!A$618:N1254,7,0)="","",VLOOKUP(C2050,' Disaggregation - Section E '!A$618:N1254,7,0)*100),"")</f>
        <v/>
      </c>
      <c r="F2050" s="171" t="str">
        <f ca="1">IFERROR(VLOOKUP(C2050,' Disaggregation - Section E '!A$618:N1254,5,0),"")</f>
        <v/>
      </c>
      <c r="G2050" s="170" t="str">
        <f ca="1">IFERROR(IF(VLOOKUP(C2050,' Disaggregation - Section E '!A$618:N1254,6,0)="","",VLOOKUP(C2050,' Disaggregation - Section E '!A$618:N1254,6,0)),"")</f>
        <v/>
      </c>
      <c r="H2050" s="177" t="str">
        <f ca="1">IFERROR(IF(INDEX(' Disaggregation - Section E '!F$618:F2451,MATCH(C2050,' Disaggregation - Section E '!A$618:A2451,0)+1,1)&lt;&gt;0,INDEX(' Disaggregation - Section E '!F$618:F$1820,MATCH(C2050,' Disaggregation - Section E '!A$618:A2451,0)+1,1),""),"")</f>
        <v/>
      </c>
      <c r="I2050" s="171" t="str">
        <f ca="1">IFERROR(IF(VLOOKUP(C2050,' Disaggregation - Section E '!A$618:N1254,8,0)=0,"",VLOOKUP(C2050,' Disaggregation - Section E '!A$618:N1254,8,0)),"")</f>
        <v/>
      </c>
      <c r="J2050" s="171" t="str">
        <f ca="1">IFERROR(IF(VLOOKUP(C2050,' Disaggregation - Section E '!A$618:N2451,13,0)=0,"",VLOOKUP(C2050,' Disaggregation - Section E '!A$618:N2451,13,0)),"")</f>
        <v/>
      </c>
      <c r="K2050" s="166" t="str">
        <f ca="1">IFERROR(VLOOKUP(C2050,' Disaggregation - Section E '!A$618:N1254,3,0),"")</f>
        <v>HTS-3a⁽ᴹ⁾ Porcentaje de HSH a los que se les ha realizado una prueba de VIH durante el período de reporte y que conocen sus resultados</v>
      </c>
      <c r="L2050" s="166"/>
      <c r="M2050" s="166" t="str">
        <f ca="1">IFERROR(IF(VLOOKUP(C2050,' Disaggregation - Section E '!A$618:T1254,20,0)=0,"",VLOOKUP(C2050,' Disaggregation - Section E '!A$618:T1254,20,0)),"")</f>
        <v/>
      </c>
      <c r="N2050" s="171" t="str">
        <f ca="1">IFERROR(IF(VLOOKUP(C2050,' Disaggregation - Section E '!A$618:N1254,14,0)=0,"",VLOOKUP(C2050,' Disaggregation - Section E '!A$618:N1254,14,0)),"")</f>
        <v/>
      </c>
      <c r="O2050" s="171" t="str">
        <f ca="1">IFERROR(IF(VLOOKUP(C2050,' Disaggregation - Section E '!A$618:N1254,9,0)=0,"",VLOOKUP(C2050,' Disaggregation - Section E '!A$618:N1254,9,0)),"")</f>
        <v/>
      </c>
      <c r="P2050" s="171" t="str">
        <f ca="1">IFERROR(IF(VLOOKUP(C2050,' Disaggregation - Section E '!A$618:N1254,10,0)=0,"",VLOOKUP(C2050,' Disaggregation - Section E '!A$618:N1254,10,0)),"")</f>
        <v/>
      </c>
    </row>
    <row r="2051" spans="1:16">
      <c r="A2051" s="166" t="b">
        <f t="shared" ca="1" si="144"/>
        <v>0</v>
      </c>
      <c r="B2051" s="166"/>
      <c r="C2051" s="172" t="str">
        <f ca="1">IF(COUNTA(D$1418:D2051)=1,"",OFFSET(B2049,-COUNTA(D$1418:D2051)+3,1))</f>
        <v>a163p000004VjlCAAS</v>
      </c>
      <c r="D2051" s="177"/>
      <c r="E2051" s="168" t="str">
        <f ca="1">IFERROR(IF(VLOOKUP(C2051,' Disaggregation - Section E '!A$618:N1255,7,0)="","",VLOOKUP(C2051,' Disaggregation - Section E '!A$618:N1255,7,0)*100),"")</f>
        <v/>
      </c>
      <c r="F2051" s="171" t="str">
        <f ca="1">IFERROR(VLOOKUP(C2051,' Disaggregation - Section E '!A$618:N1255,5,0),"")</f>
        <v/>
      </c>
      <c r="G2051" s="170" t="str">
        <f ca="1">IFERROR(IF(VLOOKUP(C2051,' Disaggregation - Section E '!A$618:N1255,6,0)="","",VLOOKUP(C2051,' Disaggregation - Section E '!A$618:N1255,6,0)),"")</f>
        <v/>
      </c>
      <c r="H2051" s="177" t="str">
        <f ca="1">IFERROR(IF(INDEX(' Disaggregation - Section E '!F$618:F2452,MATCH(C2051,' Disaggregation - Section E '!A$618:A2452,0)+1,1)&lt;&gt;0,INDEX(' Disaggregation - Section E '!F$618:F$1820,MATCH(C2051,' Disaggregation - Section E '!A$618:A2452,0)+1,1),""),"")</f>
        <v/>
      </c>
      <c r="I2051" s="171" t="str">
        <f ca="1">IFERROR(IF(VLOOKUP(C2051,' Disaggregation - Section E '!A$618:N1255,8,0)=0,"",VLOOKUP(C2051,' Disaggregation - Section E '!A$618:N1255,8,0)),"")</f>
        <v/>
      </c>
      <c r="J2051" s="171" t="str">
        <f ca="1">IFERROR(IF(VLOOKUP(C2051,' Disaggregation - Section E '!A$618:N2452,13,0)=0,"",VLOOKUP(C2051,' Disaggregation - Section E '!A$618:N2452,13,0)),"")</f>
        <v/>
      </c>
      <c r="K2051" s="166" t="str">
        <f ca="1">IFERROR(VLOOKUP(C2051,' Disaggregation - Section E '!A$618:N1255,3,0),"")</f>
        <v>HTS-3a⁽ᴹ⁾ Porcentaje de HSH a los que se les ha realizado una prueba de VIH durante el período de reporte y que conocen sus resultados</v>
      </c>
      <c r="L2051" s="166"/>
      <c r="M2051" s="166" t="str">
        <f ca="1">IFERROR(IF(VLOOKUP(C2051,' Disaggregation - Section E '!A$618:T1255,20,0)=0,"",VLOOKUP(C2051,' Disaggregation - Section E '!A$618:T1255,20,0)),"")</f>
        <v/>
      </c>
      <c r="N2051" s="171" t="str">
        <f ca="1">IFERROR(IF(VLOOKUP(C2051,' Disaggregation - Section E '!A$618:N1255,14,0)=0,"",VLOOKUP(C2051,' Disaggregation - Section E '!A$618:N1255,14,0)),"")</f>
        <v/>
      </c>
      <c r="O2051" s="171" t="str">
        <f ca="1">IFERROR(IF(VLOOKUP(C2051,' Disaggregation - Section E '!A$618:N1255,9,0)=0,"",VLOOKUP(C2051,' Disaggregation - Section E '!A$618:N1255,9,0)),"")</f>
        <v/>
      </c>
      <c r="P2051" s="171" t="str">
        <f ca="1">IFERROR(IF(VLOOKUP(C2051,' Disaggregation - Section E '!A$618:N1255,10,0)=0,"",VLOOKUP(C2051,' Disaggregation - Section E '!A$618:N1255,10,0)),"")</f>
        <v/>
      </c>
    </row>
    <row r="2052" spans="1:16">
      <c r="A2052" s="166" t="b">
        <f t="shared" ca="1" si="144"/>
        <v>0</v>
      </c>
      <c r="B2052" s="166"/>
      <c r="C2052" s="172" t="str">
        <f ca="1">IF(COUNTA(D$1418:D2052)=1,"",OFFSET(B2050,-COUNTA(D$1418:D2052)+3,1))</f>
        <v>a163p000004VjlDAAS</v>
      </c>
      <c r="D2052" s="177"/>
      <c r="E2052" s="168" t="str">
        <f ca="1">IFERROR(IF(VLOOKUP(C2052,' Disaggregation - Section E '!A$618:N1256,7,0)="","",VLOOKUP(C2052,' Disaggregation - Section E '!A$618:N1256,7,0)*100),"")</f>
        <v/>
      </c>
      <c r="F2052" s="171" t="str">
        <f ca="1">IFERROR(VLOOKUP(C2052,' Disaggregation - Section E '!A$618:N1256,5,0),"")</f>
        <v/>
      </c>
      <c r="G2052" s="170" t="str">
        <f ca="1">IFERROR(IF(VLOOKUP(C2052,' Disaggregation - Section E '!A$618:N1256,6,0)="","",VLOOKUP(C2052,' Disaggregation - Section E '!A$618:N1256,6,0)),"")</f>
        <v/>
      </c>
      <c r="H2052" s="177" t="str">
        <f ca="1">IFERROR(IF(INDEX(' Disaggregation - Section E '!F$618:F2453,MATCH(C2052,' Disaggregation - Section E '!A$618:A2453,0)+1,1)&lt;&gt;0,INDEX(' Disaggregation - Section E '!F$618:F$1820,MATCH(C2052,' Disaggregation - Section E '!A$618:A2453,0)+1,1),""),"")</f>
        <v/>
      </c>
      <c r="I2052" s="171" t="str">
        <f ca="1">IFERROR(IF(VLOOKUP(C2052,' Disaggregation - Section E '!A$618:N1256,8,0)=0,"",VLOOKUP(C2052,' Disaggregation - Section E '!A$618:N1256,8,0)),"")</f>
        <v/>
      </c>
      <c r="J2052" s="171" t="str">
        <f ca="1">IFERROR(IF(VLOOKUP(C2052,' Disaggregation - Section E '!A$618:N2453,13,0)=0,"",VLOOKUP(C2052,' Disaggregation - Section E '!A$618:N2453,13,0)),"")</f>
        <v/>
      </c>
      <c r="K2052" s="166" t="str">
        <f ca="1">IFERROR(VLOOKUP(C2052,' Disaggregation - Section E '!A$618:N1256,3,0),"")</f>
        <v>HTS-3a⁽ᴹ⁾ Porcentaje de HSH a los que se les ha realizado una prueba de VIH durante el período de reporte y que conocen sus resultados</v>
      </c>
      <c r="L2052" s="166"/>
      <c r="M2052" s="166" t="str">
        <f ca="1">IFERROR(IF(VLOOKUP(C2052,' Disaggregation - Section E '!A$618:T1256,20,0)=0,"",VLOOKUP(C2052,' Disaggregation - Section E '!A$618:T1256,20,0)),"")</f>
        <v/>
      </c>
      <c r="N2052" s="171" t="str">
        <f ca="1">IFERROR(IF(VLOOKUP(C2052,' Disaggregation - Section E '!A$618:N1256,14,0)=0,"",VLOOKUP(C2052,' Disaggregation - Section E '!A$618:N1256,14,0)),"")</f>
        <v/>
      </c>
      <c r="O2052" s="171" t="str">
        <f ca="1">IFERROR(IF(VLOOKUP(C2052,' Disaggregation - Section E '!A$618:N1256,9,0)=0,"",VLOOKUP(C2052,' Disaggregation - Section E '!A$618:N1256,9,0)),"")</f>
        <v/>
      </c>
      <c r="P2052" s="171" t="str">
        <f ca="1">IFERROR(IF(VLOOKUP(C2052,' Disaggregation - Section E '!A$618:N1256,10,0)=0,"",VLOOKUP(C2052,' Disaggregation - Section E '!A$618:N1256,10,0)),"")</f>
        <v/>
      </c>
    </row>
    <row r="2053" spans="1:16">
      <c r="A2053" s="166" t="b">
        <f t="shared" ca="1" si="144"/>
        <v>0</v>
      </c>
      <c r="B2053" s="166"/>
      <c r="C2053" s="172" t="str">
        <f ca="1">IF(COUNTA(D$1418:D2053)=1,"",OFFSET(B2051,-COUNTA(D$1418:D2053)+3,1))</f>
        <v>a163p000004VjlEAAS</v>
      </c>
      <c r="D2053" s="177"/>
      <c r="E2053" s="168" t="str">
        <f ca="1">IFERROR(IF(VLOOKUP(C2053,' Disaggregation - Section E '!A$618:N1257,7,0)="","",VLOOKUP(C2053,' Disaggregation - Section E '!A$618:N1257,7,0)*100),"")</f>
        <v/>
      </c>
      <c r="F2053" s="171" t="str">
        <f ca="1">IFERROR(VLOOKUP(C2053,' Disaggregation - Section E '!A$618:N1257,5,0),"")</f>
        <v/>
      </c>
      <c r="G2053" s="170" t="str">
        <f ca="1">IFERROR(IF(VLOOKUP(C2053,' Disaggregation - Section E '!A$618:N1257,6,0)="","",VLOOKUP(C2053,' Disaggregation - Section E '!A$618:N1257,6,0)),"")</f>
        <v/>
      </c>
      <c r="H2053" s="177" t="str">
        <f ca="1">IFERROR(IF(INDEX(' Disaggregation - Section E '!F$618:F2454,MATCH(C2053,' Disaggregation - Section E '!A$618:A2454,0)+1,1)&lt;&gt;0,INDEX(' Disaggregation - Section E '!F$618:F$1820,MATCH(C2053,' Disaggregation - Section E '!A$618:A2454,0)+1,1),""),"")</f>
        <v/>
      </c>
      <c r="I2053" s="171" t="str">
        <f ca="1">IFERROR(IF(VLOOKUP(C2053,' Disaggregation - Section E '!A$618:N1257,8,0)=0,"",VLOOKUP(C2053,' Disaggregation - Section E '!A$618:N1257,8,0)),"")</f>
        <v/>
      </c>
      <c r="J2053" s="171" t="str">
        <f ca="1">IFERROR(IF(VLOOKUP(C2053,' Disaggregation - Section E '!A$618:N2454,13,0)=0,"",VLOOKUP(C2053,' Disaggregation - Section E '!A$618:N2454,13,0)),"")</f>
        <v/>
      </c>
      <c r="K2053" s="166" t="str">
        <f ca="1">IFERROR(VLOOKUP(C2053,' Disaggregation - Section E '!A$618:N1257,3,0),"")</f>
        <v>HTS-3a⁽ᴹ⁾ Porcentaje de HSH a los que se les ha realizado una prueba de VIH durante el período de reporte y que conocen sus resultados</v>
      </c>
      <c r="L2053" s="166"/>
      <c r="M2053" s="166" t="str">
        <f ca="1">IFERROR(IF(VLOOKUP(C2053,' Disaggregation - Section E '!A$618:T1257,20,0)=0,"",VLOOKUP(C2053,' Disaggregation - Section E '!A$618:T1257,20,0)),"")</f>
        <v/>
      </c>
      <c r="N2053" s="171" t="str">
        <f ca="1">IFERROR(IF(VLOOKUP(C2053,' Disaggregation - Section E '!A$618:N1257,14,0)=0,"",VLOOKUP(C2053,' Disaggregation - Section E '!A$618:N1257,14,0)),"")</f>
        <v/>
      </c>
      <c r="O2053" s="171" t="str">
        <f ca="1">IFERROR(IF(VLOOKUP(C2053,' Disaggregation - Section E '!A$618:N1257,9,0)=0,"",VLOOKUP(C2053,' Disaggregation - Section E '!A$618:N1257,9,0)),"")</f>
        <v/>
      </c>
      <c r="P2053" s="171" t="str">
        <f ca="1">IFERROR(IF(VLOOKUP(C2053,' Disaggregation - Section E '!A$618:N1257,10,0)=0,"",VLOOKUP(C2053,' Disaggregation - Section E '!A$618:N1257,10,0)),"")</f>
        <v/>
      </c>
    </row>
    <row r="2054" spans="1:16">
      <c r="A2054" s="166" t="b">
        <f t="shared" ca="1" si="144"/>
        <v>0</v>
      </c>
      <c r="B2054" s="166"/>
      <c r="C2054" s="172" t="str">
        <f ca="1">IF(COUNTA(D$1418:D2054)=1,"",OFFSET(B2052,-COUNTA(D$1418:D2054)+3,1))</f>
        <v>a163p000004VjlFAAS</v>
      </c>
      <c r="D2054" s="177"/>
      <c r="E2054" s="168" t="str">
        <f ca="1">IFERROR(IF(VLOOKUP(C2054,' Disaggregation - Section E '!A$618:N1258,7,0)="","",VLOOKUP(C2054,' Disaggregation - Section E '!A$618:N1258,7,0)*100),"")</f>
        <v/>
      </c>
      <c r="F2054" s="171" t="str">
        <f ca="1">IFERROR(VLOOKUP(C2054,' Disaggregation - Section E '!A$618:N1258,5,0),"")</f>
        <v/>
      </c>
      <c r="G2054" s="170" t="str">
        <f ca="1">IFERROR(IF(VLOOKUP(C2054,' Disaggregation - Section E '!A$618:N1258,6,0)="","",VLOOKUP(C2054,' Disaggregation - Section E '!A$618:N1258,6,0)),"")</f>
        <v/>
      </c>
      <c r="H2054" s="177" t="str">
        <f ca="1">IFERROR(IF(INDEX(' Disaggregation - Section E '!F$618:F2455,MATCH(C2054,' Disaggregation - Section E '!A$618:A2455,0)+1,1)&lt;&gt;0,INDEX(' Disaggregation - Section E '!F$618:F$1820,MATCH(C2054,' Disaggregation - Section E '!A$618:A2455,0)+1,1),""),"")</f>
        <v/>
      </c>
      <c r="I2054" s="171" t="str">
        <f ca="1">IFERROR(IF(VLOOKUP(C2054,' Disaggregation - Section E '!A$618:N1258,8,0)=0,"",VLOOKUP(C2054,' Disaggregation - Section E '!A$618:N1258,8,0)),"")</f>
        <v/>
      </c>
      <c r="J2054" s="171" t="str">
        <f ca="1">IFERROR(IF(VLOOKUP(C2054,' Disaggregation - Section E '!A$618:N2455,13,0)=0,"",VLOOKUP(C2054,' Disaggregation - Section E '!A$618:N2455,13,0)),"")</f>
        <v/>
      </c>
      <c r="K2054" s="166" t="str">
        <f ca="1">IFERROR(VLOOKUP(C2054,' Disaggregation - Section E '!A$618:N1258,3,0),"")</f>
        <v>HTS-3a⁽ᴹ⁾ Porcentaje de HSH a los que se les ha realizado una prueba de VIH durante el período de reporte y que conocen sus resultados</v>
      </c>
      <c r="L2054" s="166"/>
      <c r="M2054" s="166" t="str">
        <f ca="1">IFERROR(IF(VLOOKUP(C2054,' Disaggregation - Section E '!A$618:T1258,20,0)=0,"",VLOOKUP(C2054,' Disaggregation - Section E '!A$618:T1258,20,0)),"")</f>
        <v/>
      </c>
      <c r="N2054" s="171" t="str">
        <f ca="1">IFERROR(IF(VLOOKUP(C2054,' Disaggregation - Section E '!A$618:N1258,14,0)=0,"",VLOOKUP(C2054,' Disaggregation - Section E '!A$618:N1258,14,0)),"")</f>
        <v/>
      </c>
      <c r="O2054" s="171" t="str">
        <f ca="1">IFERROR(IF(VLOOKUP(C2054,' Disaggregation - Section E '!A$618:N1258,9,0)=0,"",VLOOKUP(C2054,' Disaggregation - Section E '!A$618:N1258,9,0)),"")</f>
        <v/>
      </c>
      <c r="P2054" s="171" t="str">
        <f ca="1">IFERROR(IF(VLOOKUP(C2054,' Disaggregation - Section E '!A$618:N1258,10,0)=0,"",VLOOKUP(C2054,' Disaggregation - Section E '!A$618:N1258,10,0)),"")</f>
        <v/>
      </c>
    </row>
    <row r="2055" spans="1:16">
      <c r="A2055" s="166" t="b">
        <f t="shared" ca="1" si="144"/>
        <v>0</v>
      </c>
      <c r="B2055" s="166"/>
      <c r="C2055" s="172" t="str">
        <f ca="1">IF(COUNTA(D$1418:D2055)=1,"",OFFSET(B2053,-COUNTA(D$1418:D2055)+3,1))</f>
        <v>a163p000004VjlGAAS</v>
      </c>
      <c r="D2055" s="177"/>
      <c r="E2055" s="168" t="str">
        <f ca="1">IFERROR(IF(VLOOKUP(C2055,' Disaggregation - Section E '!A$618:N1259,7,0)="","",VLOOKUP(C2055,' Disaggregation - Section E '!A$618:N1259,7,0)*100),"")</f>
        <v/>
      </c>
      <c r="F2055" s="171" t="str">
        <f ca="1">IFERROR(VLOOKUP(C2055,' Disaggregation - Section E '!A$618:N1259,5,0),"")</f>
        <v/>
      </c>
      <c r="G2055" s="170" t="str">
        <f ca="1">IFERROR(IF(VLOOKUP(C2055,' Disaggregation - Section E '!A$618:N1259,6,0)="","",VLOOKUP(C2055,' Disaggregation - Section E '!A$618:N1259,6,0)),"")</f>
        <v/>
      </c>
      <c r="H2055" s="177" t="str">
        <f ca="1">IFERROR(IF(INDEX(' Disaggregation - Section E '!F$618:F2456,MATCH(C2055,' Disaggregation - Section E '!A$618:A2456,0)+1,1)&lt;&gt;0,INDEX(' Disaggregation - Section E '!F$618:F$1820,MATCH(C2055,' Disaggregation - Section E '!A$618:A2456,0)+1,1),""),"")</f>
        <v/>
      </c>
      <c r="I2055" s="171" t="str">
        <f ca="1">IFERROR(IF(VLOOKUP(C2055,' Disaggregation - Section E '!A$618:N1259,8,0)=0,"",VLOOKUP(C2055,' Disaggregation - Section E '!A$618:N1259,8,0)),"")</f>
        <v/>
      </c>
      <c r="J2055" s="171" t="str">
        <f ca="1">IFERROR(IF(VLOOKUP(C2055,' Disaggregation - Section E '!A$618:N2456,13,0)=0,"",VLOOKUP(C2055,' Disaggregation - Section E '!A$618:N2456,13,0)),"")</f>
        <v/>
      </c>
      <c r="K2055" s="166" t="str">
        <f ca="1">IFERROR(VLOOKUP(C2055,' Disaggregation - Section E '!A$618:N1259,3,0),"")</f>
        <v>HTS-3a⁽ᴹ⁾ Porcentaje de HSH a los que se les ha realizado una prueba de VIH durante el período de reporte y que conocen sus resultados</v>
      </c>
      <c r="L2055" s="166"/>
      <c r="M2055" s="166" t="str">
        <f ca="1">IFERROR(IF(VLOOKUP(C2055,' Disaggregation - Section E '!A$618:T1259,20,0)=0,"",VLOOKUP(C2055,' Disaggregation - Section E '!A$618:T1259,20,0)),"")</f>
        <v/>
      </c>
      <c r="N2055" s="171" t="str">
        <f ca="1">IFERROR(IF(VLOOKUP(C2055,' Disaggregation - Section E '!A$618:N1259,14,0)=0,"",VLOOKUP(C2055,' Disaggregation - Section E '!A$618:N1259,14,0)),"")</f>
        <v/>
      </c>
      <c r="O2055" s="171" t="str">
        <f ca="1">IFERROR(IF(VLOOKUP(C2055,' Disaggregation - Section E '!A$618:N1259,9,0)=0,"",VLOOKUP(C2055,' Disaggregation - Section E '!A$618:N1259,9,0)),"")</f>
        <v/>
      </c>
      <c r="P2055" s="171" t="str">
        <f ca="1">IFERROR(IF(VLOOKUP(C2055,' Disaggregation - Section E '!A$618:N1259,10,0)=0,"",VLOOKUP(C2055,' Disaggregation - Section E '!A$618:N1259,10,0)),"")</f>
        <v/>
      </c>
    </row>
    <row r="2056" spans="1:16">
      <c r="A2056" s="166" t="b">
        <f t="shared" ca="1" si="144"/>
        <v>0</v>
      </c>
      <c r="B2056" s="166"/>
      <c r="C2056" s="172" t="str">
        <f ca="1">IF(COUNTA(D$1418:D2056)=1,"",OFFSET(B2054,-COUNTA(D$1418:D2056)+3,1))</f>
        <v>a163p000004VjlHAAS</v>
      </c>
      <c r="D2056" s="177"/>
      <c r="E2056" s="168" t="str">
        <f ca="1">IFERROR(IF(VLOOKUP(C2056,' Disaggregation - Section E '!A$618:N1260,7,0)="","",VLOOKUP(C2056,' Disaggregation - Section E '!A$618:N1260,7,0)*100),"")</f>
        <v/>
      </c>
      <c r="F2056" s="171" t="str">
        <f ca="1">IFERROR(VLOOKUP(C2056,' Disaggregation - Section E '!A$618:N1260,5,0),"")</f>
        <v/>
      </c>
      <c r="G2056" s="170" t="str">
        <f ca="1">IFERROR(IF(VLOOKUP(C2056,' Disaggregation - Section E '!A$618:N1260,6,0)="","",VLOOKUP(C2056,' Disaggregation - Section E '!A$618:N1260,6,0)),"")</f>
        <v/>
      </c>
      <c r="H2056" s="177" t="str">
        <f ca="1">IFERROR(IF(INDEX(' Disaggregation - Section E '!F$618:F2457,MATCH(C2056,' Disaggregation - Section E '!A$618:A2457,0)+1,1)&lt;&gt;0,INDEX(' Disaggregation - Section E '!F$618:F$1820,MATCH(C2056,' Disaggregation - Section E '!A$618:A2457,0)+1,1),""),"")</f>
        <v/>
      </c>
      <c r="I2056" s="171" t="str">
        <f ca="1">IFERROR(IF(VLOOKUP(C2056,' Disaggregation - Section E '!A$618:N1260,8,0)=0,"",VLOOKUP(C2056,' Disaggregation - Section E '!A$618:N1260,8,0)),"")</f>
        <v/>
      </c>
      <c r="J2056" s="171" t="str">
        <f ca="1">IFERROR(IF(VLOOKUP(C2056,' Disaggregation - Section E '!A$618:N2457,13,0)=0,"",VLOOKUP(C2056,' Disaggregation - Section E '!A$618:N2457,13,0)),"")</f>
        <v/>
      </c>
      <c r="K2056" s="166" t="str">
        <f ca="1">IFERROR(VLOOKUP(C2056,' Disaggregation - Section E '!A$618:N1260,3,0),"")</f>
        <v>HTS-3a⁽ᴹ⁾ Porcentaje de HSH a los que se les ha realizado una prueba de VIH durante el período de reporte y que conocen sus resultados</v>
      </c>
      <c r="L2056" s="166"/>
      <c r="M2056" s="166" t="str">
        <f ca="1">IFERROR(IF(VLOOKUP(C2056,' Disaggregation - Section E '!A$618:T1260,20,0)=0,"",VLOOKUP(C2056,' Disaggregation - Section E '!A$618:T1260,20,0)),"")</f>
        <v/>
      </c>
      <c r="N2056" s="171" t="str">
        <f ca="1">IFERROR(IF(VLOOKUP(C2056,' Disaggregation - Section E '!A$618:N1260,14,0)=0,"",VLOOKUP(C2056,' Disaggregation - Section E '!A$618:N1260,14,0)),"")</f>
        <v/>
      </c>
      <c r="O2056" s="171" t="str">
        <f ca="1">IFERROR(IF(VLOOKUP(C2056,' Disaggregation - Section E '!A$618:N1260,9,0)=0,"",VLOOKUP(C2056,' Disaggregation - Section E '!A$618:N1260,9,0)),"")</f>
        <v/>
      </c>
      <c r="P2056" s="171" t="str">
        <f ca="1">IFERROR(IF(VLOOKUP(C2056,' Disaggregation - Section E '!A$618:N1260,10,0)=0,"",VLOOKUP(C2056,' Disaggregation - Section E '!A$618:N1260,10,0)),"")</f>
        <v/>
      </c>
    </row>
    <row r="2057" spans="1:16">
      <c r="A2057" s="166" t="b">
        <f t="shared" ca="1" si="144"/>
        <v>0</v>
      </c>
      <c r="B2057" s="166"/>
      <c r="C2057" s="172" t="str">
        <f ca="1">IF(COUNTA(D$1418:D2057)=1,"",OFFSET(B2055,-COUNTA(D$1418:D2057)+3,1))</f>
        <v>a163p000004VjlIAAS</v>
      </c>
      <c r="D2057" s="177"/>
      <c r="E2057" s="168" t="str">
        <f ca="1">IFERROR(IF(VLOOKUP(C2057,' Disaggregation - Section E '!A$618:N1261,7,0)="","",VLOOKUP(C2057,' Disaggregation - Section E '!A$618:N1261,7,0)*100),"")</f>
        <v/>
      </c>
      <c r="F2057" s="171" t="str">
        <f ca="1">IFERROR(VLOOKUP(C2057,' Disaggregation - Section E '!A$618:N1261,5,0),"")</f>
        <v/>
      </c>
      <c r="G2057" s="170" t="str">
        <f ca="1">IFERROR(IF(VLOOKUP(C2057,' Disaggregation - Section E '!A$618:N1261,6,0)="","",VLOOKUP(C2057,' Disaggregation - Section E '!A$618:N1261,6,0)),"")</f>
        <v/>
      </c>
      <c r="H2057" s="177" t="str">
        <f ca="1">IFERROR(IF(INDEX(' Disaggregation - Section E '!F$618:F2458,MATCH(C2057,' Disaggregation - Section E '!A$618:A2458,0)+1,1)&lt;&gt;0,INDEX(' Disaggregation - Section E '!F$618:F$1820,MATCH(C2057,' Disaggregation - Section E '!A$618:A2458,0)+1,1),""),"")</f>
        <v/>
      </c>
      <c r="I2057" s="171" t="str">
        <f ca="1">IFERROR(IF(VLOOKUP(C2057,' Disaggregation - Section E '!A$618:N1261,8,0)=0,"",VLOOKUP(C2057,' Disaggregation - Section E '!A$618:N1261,8,0)),"")</f>
        <v/>
      </c>
      <c r="J2057" s="171" t="str">
        <f ca="1">IFERROR(IF(VLOOKUP(C2057,' Disaggregation - Section E '!A$618:N2458,13,0)=0,"",VLOOKUP(C2057,' Disaggregation - Section E '!A$618:N2458,13,0)),"")</f>
        <v/>
      </c>
      <c r="K2057" s="166" t="str">
        <f ca="1">IFERROR(VLOOKUP(C2057,' Disaggregation - Section E '!A$618:N1261,3,0),"")</f>
        <v>HTS-3a⁽ᴹ⁾ Porcentaje de HSH a los que se les ha realizado una prueba de VIH durante el período de reporte y que conocen sus resultados</v>
      </c>
      <c r="L2057" s="166"/>
      <c r="M2057" s="166" t="str">
        <f ca="1">IFERROR(IF(VLOOKUP(C2057,' Disaggregation - Section E '!A$618:T1261,20,0)=0,"",VLOOKUP(C2057,' Disaggregation - Section E '!A$618:T1261,20,0)),"")</f>
        <v/>
      </c>
      <c r="N2057" s="171" t="str">
        <f ca="1">IFERROR(IF(VLOOKUP(C2057,' Disaggregation - Section E '!A$618:N1261,14,0)=0,"",VLOOKUP(C2057,' Disaggregation - Section E '!A$618:N1261,14,0)),"")</f>
        <v/>
      </c>
      <c r="O2057" s="171" t="str">
        <f ca="1">IFERROR(IF(VLOOKUP(C2057,' Disaggregation - Section E '!A$618:N1261,9,0)=0,"",VLOOKUP(C2057,' Disaggregation - Section E '!A$618:N1261,9,0)),"")</f>
        <v/>
      </c>
      <c r="P2057" s="171" t="str">
        <f ca="1">IFERROR(IF(VLOOKUP(C2057,' Disaggregation - Section E '!A$618:N1261,10,0)=0,"",VLOOKUP(C2057,' Disaggregation - Section E '!A$618:N1261,10,0)),"")</f>
        <v/>
      </c>
    </row>
    <row r="2058" spans="1:16">
      <c r="A2058" s="166" t="b">
        <f t="shared" ca="1" si="144"/>
        <v>0</v>
      </c>
      <c r="B2058" s="166"/>
      <c r="C2058" s="172" t="str">
        <f ca="1">IF(COUNTA(D$1418:D2058)=1,"",OFFSET(B2056,-COUNTA(D$1418:D2058)+3,1))</f>
        <v>a163p000004VjlJAAS</v>
      </c>
      <c r="D2058" s="177"/>
      <c r="E2058" s="168" t="str">
        <f ca="1">IFERROR(IF(VLOOKUP(C2058,' Disaggregation - Section E '!A$618:N1262,7,0)="","",VLOOKUP(C2058,' Disaggregation - Section E '!A$618:N1262,7,0)*100),"")</f>
        <v/>
      </c>
      <c r="F2058" s="171" t="str">
        <f ca="1">IFERROR(VLOOKUP(C2058,' Disaggregation - Section E '!A$618:N1262,5,0),"")</f>
        <v/>
      </c>
      <c r="G2058" s="170" t="str">
        <f ca="1">IFERROR(IF(VLOOKUP(C2058,' Disaggregation - Section E '!A$618:N1262,6,0)="","",VLOOKUP(C2058,' Disaggregation - Section E '!A$618:N1262,6,0)),"")</f>
        <v/>
      </c>
      <c r="H2058" s="177" t="str">
        <f ca="1">IFERROR(IF(INDEX(' Disaggregation - Section E '!F$618:F2459,MATCH(C2058,' Disaggregation - Section E '!A$618:A2459,0)+1,1)&lt;&gt;0,INDEX(' Disaggregation - Section E '!F$618:F$1820,MATCH(C2058,' Disaggregation - Section E '!A$618:A2459,0)+1,1),""),"")</f>
        <v/>
      </c>
      <c r="I2058" s="171" t="str">
        <f ca="1">IFERROR(IF(VLOOKUP(C2058,' Disaggregation - Section E '!A$618:N1262,8,0)=0,"",VLOOKUP(C2058,' Disaggregation - Section E '!A$618:N1262,8,0)),"")</f>
        <v/>
      </c>
      <c r="J2058" s="171" t="str">
        <f ca="1">IFERROR(IF(VLOOKUP(C2058,' Disaggregation - Section E '!A$618:N2459,13,0)=0,"",VLOOKUP(C2058,' Disaggregation - Section E '!A$618:N2459,13,0)),"")</f>
        <v/>
      </c>
      <c r="K2058" s="166" t="str">
        <f ca="1">IFERROR(VLOOKUP(C2058,' Disaggregation - Section E '!A$618:N1262,3,0),"")</f>
        <v>HTS-3a⁽ᴹ⁾ Porcentaje de HSH a los que se les ha realizado una prueba de VIH durante el período de reporte y que conocen sus resultados</v>
      </c>
      <c r="L2058" s="166"/>
      <c r="M2058" s="166" t="str">
        <f ca="1">IFERROR(IF(VLOOKUP(C2058,' Disaggregation - Section E '!A$618:T1262,20,0)=0,"",VLOOKUP(C2058,' Disaggregation - Section E '!A$618:T1262,20,0)),"")</f>
        <v/>
      </c>
      <c r="N2058" s="171" t="str">
        <f ca="1">IFERROR(IF(VLOOKUP(C2058,' Disaggregation - Section E '!A$618:N1262,14,0)=0,"",VLOOKUP(C2058,' Disaggregation - Section E '!A$618:N1262,14,0)),"")</f>
        <v/>
      </c>
      <c r="O2058" s="171" t="str">
        <f ca="1">IFERROR(IF(VLOOKUP(C2058,' Disaggregation - Section E '!A$618:N1262,9,0)=0,"",VLOOKUP(C2058,' Disaggregation - Section E '!A$618:N1262,9,0)),"")</f>
        <v/>
      </c>
      <c r="P2058" s="171" t="str">
        <f ca="1">IFERROR(IF(VLOOKUP(C2058,' Disaggregation - Section E '!A$618:N1262,10,0)=0,"",VLOOKUP(C2058,' Disaggregation - Section E '!A$618:N1262,10,0)),"")</f>
        <v/>
      </c>
    </row>
    <row r="2059" spans="1:16">
      <c r="A2059" s="166" t="b">
        <f t="shared" ca="1" si="144"/>
        <v>0</v>
      </c>
      <c r="B2059" s="166"/>
      <c r="C2059" s="172" t="str">
        <f ca="1">IF(COUNTA(D$1418:D2059)=1,"",OFFSET(B2057,-COUNTA(D$1418:D2059)+3,1))</f>
        <v>a163p000004VjlKAAS</v>
      </c>
      <c r="D2059" s="177"/>
      <c r="E2059" s="168" t="str">
        <f ca="1">IFERROR(IF(VLOOKUP(C2059,' Disaggregation - Section E '!A$618:N1263,7,0)="","",VLOOKUP(C2059,' Disaggregation - Section E '!A$618:N1263,7,0)*100),"")</f>
        <v/>
      </c>
      <c r="F2059" s="171" t="str">
        <f ca="1">IFERROR(VLOOKUP(C2059,' Disaggregation - Section E '!A$618:N1263,5,0),"")</f>
        <v/>
      </c>
      <c r="G2059" s="170" t="str">
        <f ca="1">IFERROR(IF(VLOOKUP(C2059,' Disaggregation - Section E '!A$618:N1263,6,0)="","",VLOOKUP(C2059,' Disaggregation - Section E '!A$618:N1263,6,0)),"")</f>
        <v/>
      </c>
      <c r="H2059" s="177" t="str">
        <f ca="1">IFERROR(IF(INDEX(' Disaggregation - Section E '!F$618:F2460,MATCH(C2059,' Disaggregation - Section E '!A$618:A2460,0)+1,1)&lt;&gt;0,INDEX(' Disaggregation - Section E '!F$618:F$1820,MATCH(C2059,' Disaggregation - Section E '!A$618:A2460,0)+1,1),""),"")</f>
        <v/>
      </c>
      <c r="I2059" s="171" t="str">
        <f ca="1">IFERROR(IF(VLOOKUP(C2059,' Disaggregation - Section E '!A$618:N1263,8,0)=0,"",VLOOKUP(C2059,' Disaggregation - Section E '!A$618:N1263,8,0)),"")</f>
        <v/>
      </c>
      <c r="J2059" s="171" t="str">
        <f ca="1">IFERROR(IF(VLOOKUP(C2059,' Disaggregation - Section E '!A$618:N2460,13,0)=0,"",VLOOKUP(C2059,' Disaggregation - Section E '!A$618:N2460,13,0)),"")</f>
        <v/>
      </c>
      <c r="K2059" s="166" t="str">
        <f ca="1">IFERROR(VLOOKUP(C2059,' Disaggregation - Section E '!A$618:N1263,3,0),"")</f>
        <v>HTS-3a⁽ᴹ⁾ Porcentaje de HSH a los que se les ha realizado una prueba de VIH durante el período de reporte y que conocen sus resultados</v>
      </c>
      <c r="L2059" s="166"/>
      <c r="M2059" s="166" t="str">
        <f ca="1">IFERROR(IF(VLOOKUP(C2059,' Disaggregation - Section E '!A$618:T1263,20,0)=0,"",VLOOKUP(C2059,' Disaggregation - Section E '!A$618:T1263,20,0)),"")</f>
        <v/>
      </c>
      <c r="N2059" s="171" t="str">
        <f ca="1">IFERROR(IF(VLOOKUP(C2059,' Disaggregation - Section E '!A$618:N1263,14,0)=0,"",VLOOKUP(C2059,' Disaggregation - Section E '!A$618:N1263,14,0)),"")</f>
        <v/>
      </c>
      <c r="O2059" s="171" t="str">
        <f ca="1">IFERROR(IF(VLOOKUP(C2059,' Disaggregation - Section E '!A$618:N1263,9,0)=0,"",VLOOKUP(C2059,' Disaggregation - Section E '!A$618:N1263,9,0)),"")</f>
        <v/>
      </c>
      <c r="P2059" s="171" t="str">
        <f ca="1">IFERROR(IF(VLOOKUP(C2059,' Disaggregation - Section E '!A$618:N1263,10,0)=0,"",VLOOKUP(C2059,' Disaggregation - Section E '!A$618:N1263,10,0)),"")</f>
        <v/>
      </c>
    </row>
    <row r="2060" spans="1:16">
      <c r="A2060" s="166" t="b">
        <f t="shared" ca="1" si="144"/>
        <v>1</v>
      </c>
      <c r="B2060" s="166"/>
      <c r="C2060" s="172" t="str">
        <f ca="1">IF(COUNTA(D$1418:D2060)=1,"",OFFSET(B2058,-COUNTA(D$1418:D2060)+3,1))</f>
        <v>a163p000004VjlLAAS</v>
      </c>
      <c r="D2060" s="177"/>
      <c r="E2060" s="168">
        <f ca="1">IFERROR(IF(VLOOKUP(C2060,' Disaggregation - Section E '!A$618:N1264,7,0)="","",VLOOKUP(C2060,' Disaggregation - Section E '!A$618:N1264,7,0)*100),"")</f>
        <v>72.235673930589186</v>
      </c>
      <c r="F2060" s="171" t="str">
        <f ca="1">IFERROR(VLOOKUP(C2060,' Disaggregation - Section E '!A$618:N1264,5,0),"")</f>
        <v>25+</v>
      </c>
      <c r="G2060" s="170">
        <f ca="1">IFERROR(IF(VLOOKUP(C2060,' Disaggregation - Section E '!A$618:N1264,6,0)="","",VLOOKUP(C2060,' Disaggregation - Section E '!A$618:N1264,6,0)),"")</f>
        <v>895</v>
      </c>
      <c r="H2060" s="177">
        <f ca="1">IFERROR(IF(INDEX(' Disaggregation - Section E '!F$618:F2461,MATCH(C2060,' Disaggregation - Section E '!A$618:A2461,0)+1,1)&lt;&gt;0,INDEX(' Disaggregation - Section E '!F$618:F$1820,MATCH(C2060,' Disaggregation - Section E '!A$618:A2461,0)+1,1),""),"")</f>
        <v>1239</v>
      </c>
      <c r="I2060" s="171">
        <f ca="1">IFERROR(IF(VLOOKUP(C2060,' Disaggregation - Section E '!A$618:N1264,8,0)=0,"",VLOOKUP(C2060,' Disaggregation - Section E '!A$618:N1264,8,0)),"")</f>
        <v>2021</v>
      </c>
      <c r="J2060" s="171" t="str">
        <f ca="1">IFERROR(IF(VLOOKUP(C2060,' Disaggregation - Section E '!A$618:N2461,13,0)=0,"",VLOOKUP(C2060,' Disaggregation - Section E '!A$618:N2461,13,0)),"")</f>
        <v/>
      </c>
      <c r="K2060" s="166" t="str">
        <f ca="1">IFERROR(VLOOKUP(C2060,' Disaggregation - Section E '!A$618:N1264,3,0),"")</f>
        <v>KP-1b⁽ᴹ⁾ Porcentaje de personas transgénero alcanzados por programas de prevención del VIH - paquete definido de servicios</v>
      </c>
      <c r="L2060" s="166"/>
      <c r="M2060" s="166" t="str">
        <f ca="1">IFERROR(IF(VLOOKUP(C2060,' Disaggregation - Section E '!A$618:T1264,20,0)=0,"",VLOOKUP(C2060,' Disaggregation - Section E '!A$618:T1264,20,0)),"")</f>
        <v>IDR-00702</v>
      </c>
      <c r="N2060" s="171" t="str">
        <f ca="1">IFERROR(IF(VLOOKUP(C2060,' Disaggregation - Section E '!A$618:N1264,14,0)=0,"",VLOOKUP(C2060,' Disaggregation - Section E '!A$618:N1264,14,0)),"")</f>
        <v/>
      </c>
      <c r="O2060" s="171" t="str">
        <f ca="1">IFERROR(IF(VLOOKUP(C2060,' Disaggregation - Section E '!A$618:N1264,9,0)=0,"",VLOOKUP(C2060,' Disaggregation - Section E '!A$618:N1264,9,0)),"")</f>
        <v>SIMONE</v>
      </c>
      <c r="P2060" s="171" t="str">
        <f ca="1">IFERROR(IF(VLOOKUP(C2060,' Disaggregation - Section E '!A$618:N1264,10,0)=0,"",VLOOKUP(C2060,' Disaggregation - Section E '!A$618:N1264,10,0)),"")</f>
        <v>La desagregación por grupo de edad del denominador se realizó considerando la estructura demográfica del país sobre el tamaño poblacional de mujeres transgénero para 2021.</v>
      </c>
    </row>
    <row r="2061" spans="1:16">
      <c r="A2061" s="166" t="b">
        <f t="shared" ca="1" si="144"/>
        <v>1</v>
      </c>
      <c r="B2061" s="166"/>
      <c r="C2061" s="172" t="str">
        <f ca="1">IF(COUNTA(D$1418:D2061)=1,"",OFFSET(B2059,-COUNTA(D$1418:D2061)+3,1))</f>
        <v>a163p000004VjlMAAS</v>
      </c>
      <c r="D2061" s="177"/>
      <c r="E2061" s="168">
        <f ca="1">IFERROR(IF(VLOOKUP(C2061,' Disaggregation - Section E '!A$618:N1265,7,0)="","",VLOOKUP(C2061,' Disaggregation - Section E '!A$618:N1265,7,0)*100),"")</f>
        <v>89.914163090128753</v>
      </c>
      <c r="F2061" s="171" t="str">
        <f ca="1">IFERROR(VLOOKUP(C2061,' Disaggregation - Section E '!A$618:N1265,5,0),"")</f>
        <v>&lt;25</v>
      </c>
      <c r="G2061" s="170">
        <f ca="1">IFERROR(IF(VLOOKUP(C2061,' Disaggregation - Section E '!A$618:N1265,6,0)="","",VLOOKUP(C2061,' Disaggregation - Section E '!A$618:N1265,6,0)),"")</f>
        <v>419</v>
      </c>
      <c r="H2061" s="177">
        <f ca="1">IFERROR(IF(INDEX(' Disaggregation - Section E '!F$618:F2462,MATCH(C2061,' Disaggregation - Section E '!A$618:A2462,0)+1,1)&lt;&gt;0,INDEX(' Disaggregation - Section E '!F$618:F$1820,MATCH(C2061,' Disaggregation - Section E '!A$618:A2462,0)+1,1),""),"")</f>
        <v>466</v>
      </c>
      <c r="I2061" s="171">
        <f ca="1">IFERROR(IF(VLOOKUP(C2061,' Disaggregation - Section E '!A$618:N1265,8,0)=0,"",VLOOKUP(C2061,' Disaggregation - Section E '!A$618:N1265,8,0)),"")</f>
        <v>2021</v>
      </c>
      <c r="J2061" s="171" t="str">
        <f ca="1">IFERROR(IF(VLOOKUP(C2061,' Disaggregation - Section E '!A$618:N2462,13,0)=0,"",VLOOKUP(C2061,' Disaggregation - Section E '!A$618:N2462,13,0)),"")</f>
        <v/>
      </c>
      <c r="K2061" s="166" t="str">
        <f ca="1">IFERROR(VLOOKUP(C2061,' Disaggregation - Section E '!A$618:N1265,3,0),"")</f>
        <v>KP-1b⁽ᴹ⁾ Porcentaje de personas transgénero alcanzados por programas de prevención del VIH - paquete definido de servicios</v>
      </c>
      <c r="L2061" s="166"/>
      <c r="M2061" s="166" t="str">
        <f ca="1">IFERROR(IF(VLOOKUP(C2061,' Disaggregation - Section E '!A$618:T1265,20,0)=0,"",VLOOKUP(C2061,' Disaggregation - Section E '!A$618:T1265,20,0)),"")</f>
        <v>IDR-00701</v>
      </c>
      <c r="N2061" s="171" t="str">
        <f ca="1">IFERROR(IF(VLOOKUP(C2061,' Disaggregation - Section E '!A$618:N1265,14,0)=0,"",VLOOKUP(C2061,' Disaggregation - Section E '!A$618:N1265,14,0)),"")</f>
        <v/>
      </c>
      <c r="O2061" s="171" t="str">
        <f ca="1">IFERROR(IF(VLOOKUP(C2061,' Disaggregation - Section E '!A$618:N1265,9,0)=0,"",VLOOKUP(C2061,' Disaggregation - Section E '!A$618:N1265,9,0)),"")</f>
        <v>SIMONE</v>
      </c>
      <c r="P2061" s="171" t="str">
        <f ca="1">IFERROR(IF(VLOOKUP(C2061,' Disaggregation - Section E '!A$618:N1265,10,0)=0,"",VLOOKUP(C2061,' Disaggregation - Section E '!A$618:N1265,10,0)),"")</f>
        <v>La desagregación por grupo de edad del denominador se realizó considerando la estructura demográfica del país sobre el tamaño poblacional de mujeres transgénero para 2021.</v>
      </c>
    </row>
    <row r="2062" spans="1:16">
      <c r="A2062" s="166" t="b">
        <f t="shared" ca="1" si="144"/>
        <v>0</v>
      </c>
      <c r="B2062" s="166"/>
      <c r="C2062" s="172" t="str">
        <f ca="1">IF(COUNTA(D$1418:D2062)=1,"",OFFSET(B2060,-COUNTA(D$1418:D2062)+3,1))</f>
        <v>a163p000004VjlNAAS</v>
      </c>
      <c r="D2062" s="177"/>
      <c r="E2062" s="168" t="str">
        <f ca="1">IFERROR(IF(VLOOKUP(C2062,' Disaggregation - Section E '!A$618:N1266,7,0)="","",VLOOKUP(C2062,' Disaggregation - Section E '!A$618:N1266,7,0)*100),"")</f>
        <v/>
      </c>
      <c r="F2062" s="171" t="str">
        <f ca="1">IFERROR(VLOOKUP(C2062,' Disaggregation - Section E '!A$618:N1266,5,0),"")</f>
        <v/>
      </c>
      <c r="G2062" s="170" t="str">
        <f ca="1">IFERROR(IF(VLOOKUP(C2062,' Disaggregation - Section E '!A$618:N1266,6,0)="","",VLOOKUP(C2062,' Disaggregation - Section E '!A$618:N1266,6,0)),"")</f>
        <v/>
      </c>
      <c r="H2062" s="177" t="str">
        <f ca="1">IFERROR(IF(INDEX(' Disaggregation - Section E '!F$618:F2463,MATCH(C2062,' Disaggregation - Section E '!A$618:A2463,0)+1,1)&lt;&gt;0,INDEX(' Disaggregation - Section E '!F$618:F$1820,MATCH(C2062,' Disaggregation - Section E '!A$618:A2463,0)+1,1),""),"")</f>
        <v/>
      </c>
      <c r="I2062" s="171" t="str">
        <f ca="1">IFERROR(IF(VLOOKUP(C2062,' Disaggregation - Section E '!A$618:N1266,8,0)=0,"",VLOOKUP(C2062,' Disaggregation - Section E '!A$618:N1266,8,0)),"")</f>
        <v/>
      </c>
      <c r="J2062" s="171" t="str">
        <f ca="1">IFERROR(IF(VLOOKUP(C2062,' Disaggregation - Section E '!A$618:N2463,13,0)=0,"",VLOOKUP(C2062,' Disaggregation - Section E '!A$618:N2463,13,0)),"")</f>
        <v/>
      </c>
      <c r="K2062" s="166" t="str">
        <f ca="1">IFERROR(VLOOKUP(C2062,' Disaggregation - Section E '!A$618:N1266,3,0),"")</f>
        <v>KP-1b⁽ᴹ⁾ Porcentaje de personas transgénero alcanzados por programas de prevención del VIH - paquete definido de servicios</v>
      </c>
      <c r="L2062" s="166"/>
      <c r="M2062" s="166" t="str">
        <f ca="1">IFERROR(IF(VLOOKUP(C2062,' Disaggregation - Section E '!A$618:T1266,20,0)=0,"",VLOOKUP(C2062,' Disaggregation - Section E '!A$618:T1266,20,0)),"")</f>
        <v/>
      </c>
      <c r="N2062" s="171" t="str">
        <f ca="1">IFERROR(IF(VLOOKUP(C2062,' Disaggregation - Section E '!A$618:N1266,14,0)=0,"",VLOOKUP(C2062,' Disaggregation - Section E '!A$618:N1266,14,0)),"")</f>
        <v/>
      </c>
      <c r="O2062" s="171" t="str">
        <f ca="1">IFERROR(IF(VLOOKUP(C2062,' Disaggregation - Section E '!A$618:N1266,9,0)=0,"",VLOOKUP(C2062,' Disaggregation - Section E '!A$618:N1266,9,0)),"")</f>
        <v/>
      </c>
      <c r="P2062" s="171" t="str">
        <f ca="1">IFERROR(IF(VLOOKUP(C2062,' Disaggregation - Section E '!A$618:N1266,10,0)=0,"",VLOOKUP(C2062,' Disaggregation - Section E '!A$618:N1266,10,0)),"")</f>
        <v/>
      </c>
    </row>
    <row r="2063" spans="1:16">
      <c r="A2063" s="166" t="b">
        <f t="shared" ca="1" si="144"/>
        <v>0</v>
      </c>
      <c r="B2063" s="166"/>
      <c r="C2063" s="172" t="str">
        <f ca="1">IF(COUNTA(D$1418:D2063)=1,"",OFFSET(B2061,-COUNTA(D$1418:D2063)+3,1))</f>
        <v>a163p000004VjlOAAS</v>
      </c>
      <c r="D2063" s="177"/>
      <c r="E2063" s="168" t="str">
        <f ca="1">IFERROR(IF(VLOOKUP(C2063,' Disaggregation - Section E '!A$618:N1267,7,0)="","",VLOOKUP(C2063,' Disaggregation - Section E '!A$618:N1267,7,0)*100),"")</f>
        <v/>
      </c>
      <c r="F2063" s="171" t="str">
        <f ca="1">IFERROR(VLOOKUP(C2063,' Disaggregation - Section E '!A$618:N1267,5,0),"")</f>
        <v/>
      </c>
      <c r="G2063" s="170" t="str">
        <f ca="1">IFERROR(IF(VLOOKUP(C2063,' Disaggregation - Section E '!A$618:N1267,6,0)="","",VLOOKUP(C2063,' Disaggregation - Section E '!A$618:N1267,6,0)),"")</f>
        <v/>
      </c>
      <c r="H2063" s="177" t="str">
        <f ca="1">IFERROR(IF(INDEX(' Disaggregation - Section E '!F$618:F2464,MATCH(C2063,' Disaggregation - Section E '!A$618:A2464,0)+1,1)&lt;&gt;0,INDEX(' Disaggregation - Section E '!F$618:F$1820,MATCH(C2063,' Disaggregation - Section E '!A$618:A2464,0)+1,1),""),"")</f>
        <v/>
      </c>
      <c r="I2063" s="171" t="str">
        <f ca="1">IFERROR(IF(VLOOKUP(C2063,' Disaggregation - Section E '!A$618:N1267,8,0)=0,"",VLOOKUP(C2063,' Disaggregation - Section E '!A$618:N1267,8,0)),"")</f>
        <v/>
      </c>
      <c r="J2063" s="171" t="str">
        <f ca="1">IFERROR(IF(VLOOKUP(C2063,' Disaggregation - Section E '!A$618:N2464,13,0)=0,"",VLOOKUP(C2063,' Disaggregation - Section E '!A$618:N2464,13,0)),"")</f>
        <v/>
      </c>
      <c r="K2063" s="166" t="str">
        <f ca="1">IFERROR(VLOOKUP(C2063,' Disaggregation - Section E '!A$618:N1267,3,0),"")</f>
        <v>KP-1b⁽ᴹ⁾ Porcentaje de personas transgénero alcanzados por programas de prevención del VIH - paquete definido de servicios</v>
      </c>
      <c r="L2063" s="166"/>
      <c r="M2063" s="166" t="str">
        <f ca="1">IFERROR(IF(VLOOKUP(C2063,' Disaggregation - Section E '!A$618:T1267,20,0)=0,"",VLOOKUP(C2063,' Disaggregation - Section E '!A$618:T1267,20,0)),"")</f>
        <v/>
      </c>
      <c r="N2063" s="171" t="str">
        <f ca="1">IFERROR(IF(VLOOKUP(C2063,' Disaggregation - Section E '!A$618:N1267,14,0)=0,"",VLOOKUP(C2063,' Disaggregation - Section E '!A$618:N1267,14,0)),"")</f>
        <v/>
      </c>
      <c r="O2063" s="171" t="str">
        <f ca="1">IFERROR(IF(VLOOKUP(C2063,' Disaggregation - Section E '!A$618:N1267,9,0)=0,"",VLOOKUP(C2063,' Disaggregation - Section E '!A$618:N1267,9,0)),"")</f>
        <v/>
      </c>
      <c r="P2063" s="171" t="str">
        <f ca="1">IFERROR(IF(VLOOKUP(C2063,' Disaggregation - Section E '!A$618:N1267,10,0)=0,"",VLOOKUP(C2063,' Disaggregation - Section E '!A$618:N1267,10,0)),"")</f>
        <v/>
      </c>
    </row>
    <row r="2064" spans="1:16">
      <c r="A2064" s="166" t="b">
        <f t="shared" ca="1" si="144"/>
        <v>0</v>
      </c>
      <c r="B2064" s="166"/>
      <c r="C2064" s="172" t="str">
        <f ca="1">IF(COUNTA(D$1418:D2064)=1,"",OFFSET(B2062,-COUNTA(D$1418:D2064)+3,1))</f>
        <v>a163p000004VjlPAAS</v>
      </c>
      <c r="D2064" s="177"/>
      <c r="E2064" s="168" t="str">
        <f ca="1">IFERROR(IF(VLOOKUP(C2064,' Disaggregation - Section E '!A$618:N1268,7,0)="","",VLOOKUP(C2064,' Disaggregation - Section E '!A$618:N1268,7,0)*100),"")</f>
        <v/>
      </c>
      <c r="F2064" s="171" t="str">
        <f ca="1">IFERROR(VLOOKUP(C2064,' Disaggregation - Section E '!A$618:N1268,5,0),"")</f>
        <v/>
      </c>
      <c r="G2064" s="170" t="str">
        <f ca="1">IFERROR(IF(VLOOKUP(C2064,' Disaggregation - Section E '!A$618:N1268,6,0)="","",VLOOKUP(C2064,' Disaggregation - Section E '!A$618:N1268,6,0)),"")</f>
        <v/>
      </c>
      <c r="H2064" s="177" t="str">
        <f ca="1">IFERROR(IF(INDEX(' Disaggregation - Section E '!F$618:F2465,MATCH(C2064,' Disaggregation - Section E '!A$618:A2465,0)+1,1)&lt;&gt;0,INDEX(' Disaggregation - Section E '!F$618:F$1820,MATCH(C2064,' Disaggregation - Section E '!A$618:A2465,0)+1,1),""),"")</f>
        <v/>
      </c>
      <c r="I2064" s="171" t="str">
        <f ca="1">IFERROR(IF(VLOOKUP(C2064,' Disaggregation - Section E '!A$618:N1268,8,0)=0,"",VLOOKUP(C2064,' Disaggregation - Section E '!A$618:N1268,8,0)),"")</f>
        <v/>
      </c>
      <c r="J2064" s="171" t="str">
        <f ca="1">IFERROR(IF(VLOOKUP(C2064,' Disaggregation - Section E '!A$618:N2465,13,0)=0,"",VLOOKUP(C2064,' Disaggregation - Section E '!A$618:N2465,13,0)),"")</f>
        <v/>
      </c>
      <c r="K2064" s="166" t="str">
        <f ca="1">IFERROR(VLOOKUP(C2064,' Disaggregation - Section E '!A$618:N1268,3,0),"")</f>
        <v>KP-1b⁽ᴹ⁾ Porcentaje de personas transgénero alcanzados por programas de prevención del VIH - paquete definido de servicios</v>
      </c>
      <c r="L2064" s="166"/>
      <c r="M2064" s="166" t="str">
        <f ca="1">IFERROR(IF(VLOOKUP(C2064,' Disaggregation - Section E '!A$618:T1268,20,0)=0,"",VLOOKUP(C2064,' Disaggregation - Section E '!A$618:T1268,20,0)),"")</f>
        <v/>
      </c>
      <c r="N2064" s="171" t="str">
        <f ca="1">IFERROR(IF(VLOOKUP(C2064,' Disaggregation - Section E '!A$618:N1268,14,0)=0,"",VLOOKUP(C2064,' Disaggregation - Section E '!A$618:N1268,14,0)),"")</f>
        <v/>
      </c>
      <c r="O2064" s="171" t="str">
        <f ca="1">IFERROR(IF(VLOOKUP(C2064,' Disaggregation - Section E '!A$618:N1268,9,0)=0,"",VLOOKUP(C2064,' Disaggregation - Section E '!A$618:N1268,9,0)),"")</f>
        <v/>
      </c>
      <c r="P2064" s="171" t="str">
        <f ca="1">IFERROR(IF(VLOOKUP(C2064,' Disaggregation - Section E '!A$618:N1268,10,0)=0,"",VLOOKUP(C2064,' Disaggregation - Section E '!A$618:N1268,10,0)),"")</f>
        <v/>
      </c>
    </row>
    <row r="2065" spans="1:16">
      <c r="A2065" s="166" t="b">
        <f t="shared" ca="1" si="144"/>
        <v>0</v>
      </c>
      <c r="B2065" s="166"/>
      <c r="C2065" s="172" t="str">
        <f ca="1">IF(COUNTA(D$1418:D2065)=1,"",OFFSET(B2063,-COUNTA(D$1418:D2065)+3,1))</f>
        <v>a163p000004VjlQAAS</v>
      </c>
      <c r="D2065" s="177"/>
      <c r="E2065" s="168" t="str">
        <f ca="1">IFERROR(IF(VLOOKUP(C2065,' Disaggregation - Section E '!A$618:N1269,7,0)="","",VLOOKUP(C2065,' Disaggregation - Section E '!A$618:N1269,7,0)*100),"")</f>
        <v/>
      </c>
      <c r="F2065" s="171" t="str">
        <f ca="1">IFERROR(VLOOKUP(C2065,' Disaggregation - Section E '!A$618:N1269,5,0),"")</f>
        <v/>
      </c>
      <c r="G2065" s="170" t="str">
        <f ca="1">IFERROR(IF(VLOOKUP(C2065,' Disaggregation - Section E '!A$618:N1269,6,0)="","",VLOOKUP(C2065,' Disaggregation - Section E '!A$618:N1269,6,0)),"")</f>
        <v/>
      </c>
      <c r="H2065" s="177" t="str">
        <f ca="1">IFERROR(IF(INDEX(' Disaggregation - Section E '!F$618:F2466,MATCH(C2065,' Disaggregation - Section E '!A$618:A2466,0)+1,1)&lt;&gt;0,INDEX(' Disaggregation - Section E '!F$618:F$1820,MATCH(C2065,' Disaggregation - Section E '!A$618:A2466,0)+1,1),""),"")</f>
        <v/>
      </c>
      <c r="I2065" s="171" t="str">
        <f ca="1">IFERROR(IF(VLOOKUP(C2065,' Disaggregation - Section E '!A$618:N1269,8,0)=0,"",VLOOKUP(C2065,' Disaggregation - Section E '!A$618:N1269,8,0)),"")</f>
        <v/>
      </c>
      <c r="J2065" s="171" t="str">
        <f ca="1">IFERROR(IF(VLOOKUP(C2065,' Disaggregation - Section E '!A$618:N2466,13,0)=0,"",VLOOKUP(C2065,' Disaggregation - Section E '!A$618:N2466,13,0)),"")</f>
        <v/>
      </c>
      <c r="K2065" s="166" t="str">
        <f ca="1">IFERROR(VLOOKUP(C2065,' Disaggregation - Section E '!A$618:N1269,3,0),"")</f>
        <v>KP-1b⁽ᴹ⁾ Porcentaje de personas transgénero alcanzados por programas de prevención del VIH - paquete definido de servicios</v>
      </c>
      <c r="L2065" s="166"/>
      <c r="M2065" s="166" t="str">
        <f ca="1">IFERROR(IF(VLOOKUP(C2065,' Disaggregation - Section E '!A$618:T1269,20,0)=0,"",VLOOKUP(C2065,' Disaggregation - Section E '!A$618:T1269,20,0)),"")</f>
        <v/>
      </c>
      <c r="N2065" s="171" t="str">
        <f ca="1">IFERROR(IF(VLOOKUP(C2065,' Disaggregation - Section E '!A$618:N1269,14,0)=0,"",VLOOKUP(C2065,' Disaggregation - Section E '!A$618:N1269,14,0)),"")</f>
        <v/>
      </c>
      <c r="O2065" s="171" t="str">
        <f ca="1">IFERROR(IF(VLOOKUP(C2065,' Disaggregation - Section E '!A$618:N1269,9,0)=0,"",VLOOKUP(C2065,' Disaggregation - Section E '!A$618:N1269,9,0)),"")</f>
        <v/>
      </c>
      <c r="P2065" s="171" t="str">
        <f ca="1">IFERROR(IF(VLOOKUP(C2065,' Disaggregation - Section E '!A$618:N1269,10,0)=0,"",VLOOKUP(C2065,' Disaggregation - Section E '!A$618:N1269,10,0)),"")</f>
        <v/>
      </c>
    </row>
    <row r="2066" spans="1:16">
      <c r="A2066" s="166" t="b">
        <f t="shared" ca="1" si="144"/>
        <v>0</v>
      </c>
      <c r="B2066" s="166"/>
      <c r="C2066" s="172" t="str">
        <f ca="1">IF(COUNTA(D$1418:D2066)=1,"",OFFSET(B2064,-COUNTA(D$1418:D2066)+3,1))</f>
        <v>a163p000004VjlRAAS</v>
      </c>
      <c r="D2066" s="177"/>
      <c r="E2066" s="168" t="str">
        <f ca="1">IFERROR(IF(VLOOKUP(C2066,' Disaggregation - Section E '!A$618:N1270,7,0)="","",VLOOKUP(C2066,' Disaggregation - Section E '!A$618:N1270,7,0)*100),"")</f>
        <v/>
      </c>
      <c r="F2066" s="171" t="str">
        <f ca="1">IFERROR(VLOOKUP(C2066,' Disaggregation - Section E '!A$618:N1270,5,0),"")</f>
        <v/>
      </c>
      <c r="G2066" s="170" t="str">
        <f ca="1">IFERROR(IF(VLOOKUP(C2066,' Disaggregation - Section E '!A$618:N1270,6,0)="","",VLOOKUP(C2066,' Disaggregation - Section E '!A$618:N1270,6,0)),"")</f>
        <v/>
      </c>
      <c r="H2066" s="177" t="str">
        <f ca="1">IFERROR(IF(INDEX(' Disaggregation - Section E '!F$618:F2467,MATCH(C2066,' Disaggregation - Section E '!A$618:A2467,0)+1,1)&lt;&gt;0,INDEX(' Disaggregation - Section E '!F$618:F$1820,MATCH(C2066,' Disaggregation - Section E '!A$618:A2467,0)+1,1),""),"")</f>
        <v/>
      </c>
      <c r="I2066" s="171" t="str">
        <f ca="1">IFERROR(IF(VLOOKUP(C2066,' Disaggregation - Section E '!A$618:N1270,8,0)=0,"",VLOOKUP(C2066,' Disaggregation - Section E '!A$618:N1270,8,0)),"")</f>
        <v/>
      </c>
      <c r="J2066" s="171" t="str">
        <f ca="1">IFERROR(IF(VLOOKUP(C2066,' Disaggregation - Section E '!A$618:N2467,13,0)=0,"",VLOOKUP(C2066,' Disaggregation - Section E '!A$618:N2467,13,0)),"")</f>
        <v/>
      </c>
      <c r="K2066" s="166" t="str">
        <f ca="1">IFERROR(VLOOKUP(C2066,' Disaggregation - Section E '!A$618:N1270,3,0),"")</f>
        <v>KP-1b⁽ᴹ⁾ Porcentaje de personas transgénero alcanzados por programas de prevención del VIH - paquete definido de servicios</v>
      </c>
      <c r="L2066" s="166"/>
      <c r="M2066" s="166" t="str">
        <f ca="1">IFERROR(IF(VLOOKUP(C2066,' Disaggregation - Section E '!A$618:T1270,20,0)=0,"",VLOOKUP(C2066,' Disaggregation - Section E '!A$618:T1270,20,0)),"")</f>
        <v/>
      </c>
      <c r="N2066" s="171" t="str">
        <f ca="1">IFERROR(IF(VLOOKUP(C2066,' Disaggregation - Section E '!A$618:N1270,14,0)=0,"",VLOOKUP(C2066,' Disaggregation - Section E '!A$618:N1270,14,0)),"")</f>
        <v/>
      </c>
      <c r="O2066" s="171" t="str">
        <f ca="1">IFERROR(IF(VLOOKUP(C2066,' Disaggregation - Section E '!A$618:N1270,9,0)=0,"",VLOOKUP(C2066,' Disaggregation - Section E '!A$618:N1270,9,0)),"")</f>
        <v/>
      </c>
      <c r="P2066" s="171" t="str">
        <f ca="1">IFERROR(IF(VLOOKUP(C2066,' Disaggregation - Section E '!A$618:N1270,10,0)=0,"",VLOOKUP(C2066,' Disaggregation - Section E '!A$618:N1270,10,0)),"")</f>
        <v/>
      </c>
    </row>
    <row r="2067" spans="1:16">
      <c r="A2067" s="166" t="b">
        <f t="shared" ca="1" si="144"/>
        <v>0</v>
      </c>
      <c r="B2067" s="166"/>
      <c r="C2067" s="172" t="str">
        <f ca="1">IF(COUNTA(D$1418:D2067)=1,"",OFFSET(B2065,-COUNTA(D$1418:D2067)+3,1))</f>
        <v>a163p000004VjlSAAS</v>
      </c>
      <c r="D2067" s="177"/>
      <c r="E2067" s="168" t="str">
        <f ca="1">IFERROR(IF(VLOOKUP(C2067,' Disaggregation - Section E '!A$618:N1271,7,0)="","",VLOOKUP(C2067,' Disaggregation - Section E '!A$618:N1271,7,0)*100),"")</f>
        <v/>
      </c>
      <c r="F2067" s="171" t="str">
        <f ca="1">IFERROR(VLOOKUP(C2067,' Disaggregation - Section E '!A$618:N1271,5,0),"")</f>
        <v/>
      </c>
      <c r="G2067" s="170" t="str">
        <f ca="1">IFERROR(IF(VLOOKUP(C2067,' Disaggregation - Section E '!A$618:N1271,6,0)="","",VLOOKUP(C2067,' Disaggregation - Section E '!A$618:N1271,6,0)),"")</f>
        <v/>
      </c>
      <c r="H2067" s="177" t="str">
        <f ca="1">IFERROR(IF(INDEX(' Disaggregation - Section E '!F$618:F2468,MATCH(C2067,' Disaggregation - Section E '!A$618:A2468,0)+1,1)&lt;&gt;0,INDEX(' Disaggregation - Section E '!F$618:F$1820,MATCH(C2067,' Disaggregation - Section E '!A$618:A2468,0)+1,1),""),"")</f>
        <v/>
      </c>
      <c r="I2067" s="171" t="str">
        <f ca="1">IFERROR(IF(VLOOKUP(C2067,' Disaggregation - Section E '!A$618:N1271,8,0)=0,"",VLOOKUP(C2067,' Disaggregation - Section E '!A$618:N1271,8,0)),"")</f>
        <v/>
      </c>
      <c r="J2067" s="171" t="str">
        <f ca="1">IFERROR(IF(VLOOKUP(C2067,' Disaggregation - Section E '!A$618:N2468,13,0)=0,"",VLOOKUP(C2067,' Disaggregation - Section E '!A$618:N2468,13,0)),"")</f>
        <v/>
      </c>
      <c r="K2067" s="166" t="str">
        <f ca="1">IFERROR(VLOOKUP(C2067,' Disaggregation - Section E '!A$618:N1271,3,0),"")</f>
        <v>KP-1b⁽ᴹ⁾ Porcentaje de personas transgénero alcanzados por programas de prevención del VIH - paquete definido de servicios</v>
      </c>
      <c r="L2067" s="166"/>
      <c r="M2067" s="166" t="str">
        <f ca="1">IFERROR(IF(VLOOKUP(C2067,' Disaggregation - Section E '!A$618:T1271,20,0)=0,"",VLOOKUP(C2067,' Disaggregation - Section E '!A$618:T1271,20,0)),"")</f>
        <v/>
      </c>
      <c r="N2067" s="171" t="str">
        <f ca="1">IFERROR(IF(VLOOKUP(C2067,' Disaggregation - Section E '!A$618:N1271,14,0)=0,"",VLOOKUP(C2067,' Disaggregation - Section E '!A$618:N1271,14,0)),"")</f>
        <v/>
      </c>
      <c r="O2067" s="171" t="str">
        <f ca="1">IFERROR(IF(VLOOKUP(C2067,' Disaggregation - Section E '!A$618:N1271,9,0)=0,"",VLOOKUP(C2067,' Disaggregation - Section E '!A$618:N1271,9,0)),"")</f>
        <v/>
      </c>
      <c r="P2067" s="171" t="str">
        <f ca="1">IFERROR(IF(VLOOKUP(C2067,' Disaggregation - Section E '!A$618:N1271,10,0)=0,"",VLOOKUP(C2067,' Disaggregation - Section E '!A$618:N1271,10,0)),"")</f>
        <v/>
      </c>
    </row>
    <row r="2068" spans="1:16">
      <c r="A2068" s="166" t="b">
        <f t="shared" ca="1" si="144"/>
        <v>0</v>
      </c>
      <c r="B2068" s="166"/>
      <c r="C2068" s="172" t="str">
        <f ca="1">IF(COUNTA(D$1418:D2068)=1,"",OFFSET(B2066,-COUNTA(D$1418:D2068)+3,1))</f>
        <v>a163p000004VjlTAAS</v>
      </c>
      <c r="D2068" s="177"/>
      <c r="E2068" s="168" t="str">
        <f ca="1">IFERROR(IF(VLOOKUP(C2068,' Disaggregation - Section E '!A$618:N1272,7,0)="","",VLOOKUP(C2068,' Disaggregation - Section E '!A$618:N1272,7,0)*100),"")</f>
        <v/>
      </c>
      <c r="F2068" s="171" t="str">
        <f ca="1">IFERROR(VLOOKUP(C2068,' Disaggregation - Section E '!A$618:N1272,5,0),"")</f>
        <v/>
      </c>
      <c r="G2068" s="170" t="str">
        <f ca="1">IFERROR(IF(VLOOKUP(C2068,' Disaggregation - Section E '!A$618:N1272,6,0)="","",VLOOKUP(C2068,' Disaggregation - Section E '!A$618:N1272,6,0)),"")</f>
        <v/>
      </c>
      <c r="H2068" s="177" t="str">
        <f ca="1">IFERROR(IF(INDEX(' Disaggregation - Section E '!F$618:F2469,MATCH(C2068,' Disaggregation - Section E '!A$618:A2469,0)+1,1)&lt;&gt;0,INDEX(' Disaggregation - Section E '!F$618:F$1820,MATCH(C2068,' Disaggregation - Section E '!A$618:A2469,0)+1,1),""),"")</f>
        <v/>
      </c>
      <c r="I2068" s="171" t="str">
        <f ca="1">IFERROR(IF(VLOOKUP(C2068,' Disaggregation - Section E '!A$618:N1272,8,0)=0,"",VLOOKUP(C2068,' Disaggregation - Section E '!A$618:N1272,8,0)),"")</f>
        <v/>
      </c>
      <c r="J2068" s="171" t="str">
        <f ca="1">IFERROR(IF(VLOOKUP(C2068,' Disaggregation - Section E '!A$618:N2469,13,0)=0,"",VLOOKUP(C2068,' Disaggregation - Section E '!A$618:N2469,13,0)),"")</f>
        <v/>
      </c>
      <c r="K2068" s="166" t="str">
        <f ca="1">IFERROR(VLOOKUP(C2068,' Disaggregation - Section E '!A$618:N1272,3,0),"")</f>
        <v>KP-1b⁽ᴹ⁾ Porcentaje de personas transgénero alcanzados por programas de prevención del VIH - paquete definido de servicios</v>
      </c>
      <c r="L2068" s="166"/>
      <c r="M2068" s="166" t="str">
        <f ca="1">IFERROR(IF(VLOOKUP(C2068,' Disaggregation - Section E '!A$618:T1272,20,0)=0,"",VLOOKUP(C2068,' Disaggregation - Section E '!A$618:T1272,20,0)),"")</f>
        <v/>
      </c>
      <c r="N2068" s="171" t="str">
        <f ca="1">IFERROR(IF(VLOOKUP(C2068,' Disaggregation - Section E '!A$618:N1272,14,0)=0,"",VLOOKUP(C2068,' Disaggregation - Section E '!A$618:N1272,14,0)),"")</f>
        <v/>
      </c>
      <c r="O2068" s="171" t="str">
        <f ca="1">IFERROR(IF(VLOOKUP(C2068,' Disaggregation - Section E '!A$618:N1272,9,0)=0,"",VLOOKUP(C2068,' Disaggregation - Section E '!A$618:N1272,9,0)),"")</f>
        <v/>
      </c>
      <c r="P2068" s="171" t="str">
        <f ca="1">IFERROR(IF(VLOOKUP(C2068,' Disaggregation - Section E '!A$618:N1272,10,0)=0,"",VLOOKUP(C2068,' Disaggregation - Section E '!A$618:N1272,10,0)),"")</f>
        <v/>
      </c>
    </row>
    <row r="2069" spans="1:16">
      <c r="A2069" s="166" t="b">
        <f t="shared" ca="1" si="144"/>
        <v>0</v>
      </c>
      <c r="B2069" s="166"/>
      <c r="C2069" s="172" t="str">
        <f ca="1">IF(COUNTA(D$1418:D2069)=1,"",OFFSET(B2067,-COUNTA(D$1418:D2069)+3,1))</f>
        <v>a163p000004VjlUAAS</v>
      </c>
      <c r="D2069" s="177"/>
      <c r="E2069" s="168" t="str">
        <f ca="1">IFERROR(IF(VLOOKUP(C2069,' Disaggregation - Section E '!A$618:N1273,7,0)="","",VLOOKUP(C2069,' Disaggregation - Section E '!A$618:N1273,7,0)*100),"")</f>
        <v/>
      </c>
      <c r="F2069" s="171" t="str">
        <f ca="1">IFERROR(VLOOKUP(C2069,' Disaggregation - Section E '!A$618:N1273,5,0),"")</f>
        <v/>
      </c>
      <c r="G2069" s="170" t="str">
        <f ca="1">IFERROR(IF(VLOOKUP(C2069,' Disaggregation - Section E '!A$618:N1273,6,0)="","",VLOOKUP(C2069,' Disaggregation - Section E '!A$618:N1273,6,0)),"")</f>
        <v/>
      </c>
      <c r="H2069" s="177" t="str">
        <f ca="1">IFERROR(IF(INDEX(' Disaggregation - Section E '!F$618:F2470,MATCH(C2069,' Disaggregation - Section E '!A$618:A2470,0)+1,1)&lt;&gt;0,INDEX(' Disaggregation - Section E '!F$618:F$1820,MATCH(C2069,' Disaggregation - Section E '!A$618:A2470,0)+1,1),""),"")</f>
        <v/>
      </c>
      <c r="I2069" s="171" t="str">
        <f ca="1">IFERROR(IF(VLOOKUP(C2069,' Disaggregation - Section E '!A$618:N1273,8,0)=0,"",VLOOKUP(C2069,' Disaggregation - Section E '!A$618:N1273,8,0)),"")</f>
        <v/>
      </c>
      <c r="J2069" s="171" t="str">
        <f ca="1">IFERROR(IF(VLOOKUP(C2069,' Disaggregation - Section E '!A$618:N2470,13,0)=0,"",VLOOKUP(C2069,' Disaggregation - Section E '!A$618:N2470,13,0)),"")</f>
        <v/>
      </c>
      <c r="K2069" s="166" t="str">
        <f ca="1">IFERROR(VLOOKUP(C2069,' Disaggregation - Section E '!A$618:N1273,3,0),"")</f>
        <v>KP-1b⁽ᴹ⁾ Porcentaje de personas transgénero alcanzados por programas de prevención del VIH - paquete definido de servicios</v>
      </c>
      <c r="L2069" s="166"/>
      <c r="M2069" s="166" t="str">
        <f ca="1">IFERROR(IF(VLOOKUP(C2069,' Disaggregation - Section E '!A$618:T1273,20,0)=0,"",VLOOKUP(C2069,' Disaggregation - Section E '!A$618:T1273,20,0)),"")</f>
        <v/>
      </c>
      <c r="N2069" s="171" t="str">
        <f ca="1">IFERROR(IF(VLOOKUP(C2069,' Disaggregation - Section E '!A$618:N1273,14,0)=0,"",VLOOKUP(C2069,' Disaggregation - Section E '!A$618:N1273,14,0)),"")</f>
        <v/>
      </c>
      <c r="O2069" s="171" t="str">
        <f ca="1">IFERROR(IF(VLOOKUP(C2069,' Disaggregation - Section E '!A$618:N1273,9,0)=0,"",VLOOKUP(C2069,' Disaggregation - Section E '!A$618:N1273,9,0)),"")</f>
        <v/>
      </c>
      <c r="P2069" s="171" t="str">
        <f ca="1">IFERROR(IF(VLOOKUP(C2069,' Disaggregation - Section E '!A$618:N1273,10,0)=0,"",VLOOKUP(C2069,' Disaggregation - Section E '!A$618:N1273,10,0)),"")</f>
        <v/>
      </c>
    </row>
    <row r="2070" spans="1:16">
      <c r="A2070" s="166" t="b">
        <f t="shared" ca="1" si="144"/>
        <v>0</v>
      </c>
      <c r="B2070" s="166"/>
      <c r="C2070" s="172" t="str">
        <f ca="1">IF(COUNTA(D$1418:D2070)=1,"",OFFSET(B2068,-COUNTA(D$1418:D2070)+3,1))</f>
        <v>a163p000004VjlVAAS</v>
      </c>
      <c r="D2070" s="177"/>
      <c r="E2070" s="168" t="str">
        <f ca="1">IFERROR(IF(VLOOKUP(C2070,' Disaggregation - Section E '!A$618:N1274,7,0)="","",VLOOKUP(C2070,' Disaggregation - Section E '!A$618:N1274,7,0)*100),"")</f>
        <v/>
      </c>
      <c r="F2070" s="171" t="str">
        <f ca="1">IFERROR(VLOOKUP(C2070,' Disaggregation - Section E '!A$618:N1274,5,0),"")</f>
        <v/>
      </c>
      <c r="G2070" s="170" t="str">
        <f ca="1">IFERROR(IF(VLOOKUP(C2070,' Disaggregation - Section E '!A$618:N1274,6,0)="","",VLOOKUP(C2070,' Disaggregation - Section E '!A$618:N1274,6,0)),"")</f>
        <v/>
      </c>
      <c r="H2070" s="177" t="str">
        <f ca="1">IFERROR(IF(INDEX(' Disaggregation - Section E '!F$618:F2471,MATCH(C2070,' Disaggregation - Section E '!A$618:A2471,0)+1,1)&lt;&gt;0,INDEX(' Disaggregation - Section E '!F$618:F$1820,MATCH(C2070,' Disaggregation - Section E '!A$618:A2471,0)+1,1),""),"")</f>
        <v/>
      </c>
      <c r="I2070" s="171" t="str">
        <f ca="1">IFERROR(IF(VLOOKUP(C2070,' Disaggregation - Section E '!A$618:N1274,8,0)=0,"",VLOOKUP(C2070,' Disaggregation - Section E '!A$618:N1274,8,0)),"")</f>
        <v/>
      </c>
      <c r="J2070" s="171" t="str">
        <f ca="1">IFERROR(IF(VLOOKUP(C2070,' Disaggregation - Section E '!A$618:N2471,13,0)=0,"",VLOOKUP(C2070,' Disaggregation - Section E '!A$618:N2471,13,0)),"")</f>
        <v/>
      </c>
      <c r="K2070" s="166" t="str">
        <f ca="1">IFERROR(VLOOKUP(C2070,' Disaggregation - Section E '!A$618:N1274,3,0),"")</f>
        <v>KP-1b⁽ᴹ⁾ Porcentaje de personas transgénero alcanzados por programas de prevención del VIH - paquete definido de servicios</v>
      </c>
      <c r="L2070" s="166"/>
      <c r="M2070" s="166" t="str">
        <f ca="1">IFERROR(IF(VLOOKUP(C2070,' Disaggregation - Section E '!A$618:T1274,20,0)=0,"",VLOOKUP(C2070,' Disaggregation - Section E '!A$618:T1274,20,0)),"")</f>
        <v/>
      </c>
      <c r="N2070" s="171" t="str">
        <f ca="1">IFERROR(IF(VLOOKUP(C2070,' Disaggregation - Section E '!A$618:N1274,14,0)=0,"",VLOOKUP(C2070,' Disaggregation - Section E '!A$618:N1274,14,0)),"")</f>
        <v/>
      </c>
      <c r="O2070" s="171" t="str">
        <f ca="1">IFERROR(IF(VLOOKUP(C2070,' Disaggregation - Section E '!A$618:N1274,9,0)=0,"",VLOOKUP(C2070,' Disaggregation - Section E '!A$618:N1274,9,0)),"")</f>
        <v/>
      </c>
      <c r="P2070" s="171" t="str">
        <f ca="1">IFERROR(IF(VLOOKUP(C2070,' Disaggregation - Section E '!A$618:N1274,10,0)=0,"",VLOOKUP(C2070,' Disaggregation - Section E '!A$618:N1274,10,0)),"")</f>
        <v/>
      </c>
    </row>
    <row r="2071" spans="1:16">
      <c r="A2071" s="166" t="b">
        <f t="shared" ca="1" si="144"/>
        <v>0</v>
      </c>
      <c r="B2071" s="166"/>
      <c r="C2071" s="172" t="str">
        <f ca="1">IF(COUNTA(D$1418:D2071)=1,"",OFFSET(B2069,-COUNTA(D$1418:D2071)+3,1))</f>
        <v>a163p000004VjlWAAS</v>
      </c>
      <c r="D2071" s="177"/>
      <c r="E2071" s="168" t="str">
        <f ca="1">IFERROR(IF(VLOOKUP(C2071,' Disaggregation - Section E '!A$618:N1275,7,0)="","",VLOOKUP(C2071,' Disaggregation - Section E '!A$618:N1275,7,0)*100),"")</f>
        <v/>
      </c>
      <c r="F2071" s="171" t="str">
        <f ca="1">IFERROR(VLOOKUP(C2071,' Disaggregation - Section E '!A$618:N1275,5,0),"")</f>
        <v/>
      </c>
      <c r="G2071" s="170" t="str">
        <f ca="1">IFERROR(IF(VLOOKUP(C2071,' Disaggregation - Section E '!A$618:N1275,6,0)="","",VLOOKUP(C2071,' Disaggregation - Section E '!A$618:N1275,6,0)),"")</f>
        <v/>
      </c>
      <c r="H2071" s="177" t="str">
        <f ca="1">IFERROR(IF(INDEX(' Disaggregation - Section E '!F$618:F2472,MATCH(C2071,' Disaggregation - Section E '!A$618:A2472,0)+1,1)&lt;&gt;0,INDEX(' Disaggregation - Section E '!F$618:F$1820,MATCH(C2071,' Disaggregation - Section E '!A$618:A2472,0)+1,1),""),"")</f>
        <v/>
      </c>
      <c r="I2071" s="171" t="str">
        <f ca="1">IFERROR(IF(VLOOKUP(C2071,' Disaggregation - Section E '!A$618:N1275,8,0)=0,"",VLOOKUP(C2071,' Disaggregation - Section E '!A$618:N1275,8,0)),"")</f>
        <v/>
      </c>
      <c r="J2071" s="171" t="str">
        <f ca="1">IFERROR(IF(VLOOKUP(C2071,' Disaggregation - Section E '!A$618:N2472,13,0)=0,"",VLOOKUP(C2071,' Disaggregation - Section E '!A$618:N2472,13,0)),"")</f>
        <v/>
      </c>
      <c r="K2071" s="166" t="str">
        <f ca="1">IFERROR(VLOOKUP(C2071,' Disaggregation - Section E '!A$618:N1275,3,0),"")</f>
        <v>KP-1b⁽ᴹ⁾ Porcentaje de personas transgénero alcanzados por programas de prevención del VIH - paquete definido de servicios</v>
      </c>
      <c r="L2071" s="166"/>
      <c r="M2071" s="166" t="str">
        <f ca="1">IFERROR(IF(VLOOKUP(C2071,' Disaggregation - Section E '!A$618:T1275,20,0)=0,"",VLOOKUP(C2071,' Disaggregation - Section E '!A$618:T1275,20,0)),"")</f>
        <v/>
      </c>
      <c r="N2071" s="171" t="str">
        <f ca="1">IFERROR(IF(VLOOKUP(C2071,' Disaggregation - Section E '!A$618:N1275,14,0)=0,"",VLOOKUP(C2071,' Disaggregation - Section E '!A$618:N1275,14,0)),"")</f>
        <v/>
      </c>
      <c r="O2071" s="171" t="str">
        <f ca="1">IFERROR(IF(VLOOKUP(C2071,' Disaggregation - Section E '!A$618:N1275,9,0)=0,"",VLOOKUP(C2071,' Disaggregation - Section E '!A$618:N1275,9,0)),"")</f>
        <v/>
      </c>
      <c r="P2071" s="171" t="str">
        <f ca="1">IFERROR(IF(VLOOKUP(C2071,' Disaggregation - Section E '!A$618:N1275,10,0)=0,"",VLOOKUP(C2071,' Disaggregation - Section E '!A$618:N1275,10,0)),"")</f>
        <v/>
      </c>
    </row>
    <row r="2072" spans="1:16">
      <c r="A2072" s="166" t="b">
        <f t="shared" ca="1" si="144"/>
        <v>0</v>
      </c>
      <c r="B2072" s="166"/>
      <c r="C2072" s="172" t="str">
        <f ca="1">IF(COUNTA(D$1418:D2072)=1,"",OFFSET(B2070,-COUNTA(D$1418:D2072)+3,1))</f>
        <v>a163p000004VjlXAAS</v>
      </c>
      <c r="D2072" s="177"/>
      <c r="E2072" s="168" t="str">
        <f ca="1">IFERROR(IF(VLOOKUP(C2072,' Disaggregation - Section E '!A$618:N1276,7,0)="","",VLOOKUP(C2072,' Disaggregation - Section E '!A$618:N1276,7,0)*100),"")</f>
        <v/>
      </c>
      <c r="F2072" s="171" t="str">
        <f ca="1">IFERROR(VLOOKUP(C2072,' Disaggregation - Section E '!A$618:N1276,5,0),"")</f>
        <v/>
      </c>
      <c r="G2072" s="170" t="str">
        <f ca="1">IFERROR(IF(VLOOKUP(C2072,' Disaggregation - Section E '!A$618:N1276,6,0)="","",VLOOKUP(C2072,' Disaggregation - Section E '!A$618:N1276,6,0)),"")</f>
        <v/>
      </c>
      <c r="H2072" s="177" t="str">
        <f ca="1">IFERROR(IF(INDEX(' Disaggregation - Section E '!F$618:F2473,MATCH(C2072,' Disaggregation - Section E '!A$618:A2473,0)+1,1)&lt;&gt;0,INDEX(' Disaggregation - Section E '!F$618:F$1820,MATCH(C2072,' Disaggregation - Section E '!A$618:A2473,0)+1,1),""),"")</f>
        <v/>
      </c>
      <c r="I2072" s="171" t="str">
        <f ca="1">IFERROR(IF(VLOOKUP(C2072,' Disaggregation - Section E '!A$618:N1276,8,0)=0,"",VLOOKUP(C2072,' Disaggregation - Section E '!A$618:N1276,8,0)),"")</f>
        <v/>
      </c>
      <c r="J2072" s="171" t="str">
        <f ca="1">IFERROR(IF(VLOOKUP(C2072,' Disaggregation - Section E '!A$618:N2473,13,0)=0,"",VLOOKUP(C2072,' Disaggregation - Section E '!A$618:N2473,13,0)),"")</f>
        <v/>
      </c>
      <c r="K2072" s="166" t="str">
        <f ca="1">IFERROR(VLOOKUP(C2072,' Disaggregation - Section E '!A$618:N1276,3,0),"")</f>
        <v>KP-1b⁽ᴹ⁾ Porcentaje de personas transgénero alcanzados por programas de prevención del VIH - paquete definido de servicios</v>
      </c>
      <c r="L2072" s="166"/>
      <c r="M2072" s="166" t="str">
        <f ca="1">IFERROR(IF(VLOOKUP(C2072,' Disaggregation - Section E '!A$618:T1276,20,0)=0,"",VLOOKUP(C2072,' Disaggregation - Section E '!A$618:T1276,20,0)),"")</f>
        <v/>
      </c>
      <c r="N2072" s="171" t="str">
        <f ca="1">IFERROR(IF(VLOOKUP(C2072,' Disaggregation - Section E '!A$618:N1276,14,0)=0,"",VLOOKUP(C2072,' Disaggregation - Section E '!A$618:N1276,14,0)),"")</f>
        <v/>
      </c>
      <c r="O2072" s="171" t="str">
        <f ca="1">IFERROR(IF(VLOOKUP(C2072,' Disaggregation - Section E '!A$618:N1276,9,0)=0,"",VLOOKUP(C2072,' Disaggregation - Section E '!A$618:N1276,9,0)),"")</f>
        <v/>
      </c>
      <c r="P2072" s="171" t="str">
        <f ca="1">IFERROR(IF(VLOOKUP(C2072,' Disaggregation - Section E '!A$618:N1276,10,0)=0,"",VLOOKUP(C2072,' Disaggregation - Section E '!A$618:N1276,10,0)),"")</f>
        <v/>
      </c>
    </row>
    <row r="2073" spans="1:16">
      <c r="A2073" s="166" t="b">
        <f t="shared" ca="1" si="144"/>
        <v>0</v>
      </c>
      <c r="B2073" s="166"/>
      <c r="C2073" s="172" t="str">
        <f ca="1">IF(COUNTA(D$1418:D2073)=1,"",OFFSET(B2071,-COUNTA(D$1418:D2073)+3,1))</f>
        <v>a163p000004VjlYAAS</v>
      </c>
      <c r="D2073" s="177"/>
      <c r="E2073" s="168" t="str">
        <f ca="1">IFERROR(IF(VLOOKUP(C2073,' Disaggregation - Section E '!A$618:N1277,7,0)="","",VLOOKUP(C2073,' Disaggregation - Section E '!A$618:N1277,7,0)*100),"")</f>
        <v/>
      </c>
      <c r="F2073" s="171" t="str">
        <f ca="1">IFERROR(VLOOKUP(C2073,' Disaggregation - Section E '!A$618:N1277,5,0),"")</f>
        <v/>
      </c>
      <c r="G2073" s="170" t="str">
        <f ca="1">IFERROR(IF(VLOOKUP(C2073,' Disaggregation - Section E '!A$618:N1277,6,0)="","",VLOOKUP(C2073,' Disaggregation - Section E '!A$618:N1277,6,0)),"")</f>
        <v/>
      </c>
      <c r="H2073" s="177" t="str">
        <f ca="1">IFERROR(IF(INDEX(' Disaggregation - Section E '!F$618:F2474,MATCH(C2073,' Disaggregation - Section E '!A$618:A2474,0)+1,1)&lt;&gt;0,INDEX(' Disaggregation - Section E '!F$618:F$1820,MATCH(C2073,' Disaggregation - Section E '!A$618:A2474,0)+1,1),""),"")</f>
        <v/>
      </c>
      <c r="I2073" s="171" t="str">
        <f ca="1">IFERROR(IF(VLOOKUP(C2073,' Disaggregation - Section E '!A$618:N1277,8,0)=0,"",VLOOKUP(C2073,' Disaggregation - Section E '!A$618:N1277,8,0)),"")</f>
        <v/>
      </c>
      <c r="J2073" s="171" t="str">
        <f ca="1">IFERROR(IF(VLOOKUP(C2073,' Disaggregation - Section E '!A$618:N2474,13,0)=0,"",VLOOKUP(C2073,' Disaggregation - Section E '!A$618:N2474,13,0)),"")</f>
        <v/>
      </c>
      <c r="K2073" s="166" t="str">
        <f ca="1">IFERROR(VLOOKUP(C2073,' Disaggregation - Section E '!A$618:N1277,3,0),"")</f>
        <v>KP-1b⁽ᴹ⁾ Porcentaje de personas transgénero alcanzados por programas de prevención del VIH - paquete definido de servicios</v>
      </c>
      <c r="L2073" s="166"/>
      <c r="M2073" s="166" t="str">
        <f ca="1">IFERROR(IF(VLOOKUP(C2073,' Disaggregation - Section E '!A$618:T1277,20,0)=0,"",VLOOKUP(C2073,' Disaggregation - Section E '!A$618:T1277,20,0)),"")</f>
        <v/>
      </c>
      <c r="N2073" s="171" t="str">
        <f ca="1">IFERROR(IF(VLOOKUP(C2073,' Disaggregation - Section E '!A$618:N1277,14,0)=0,"",VLOOKUP(C2073,' Disaggregation - Section E '!A$618:N1277,14,0)),"")</f>
        <v/>
      </c>
      <c r="O2073" s="171" t="str">
        <f ca="1">IFERROR(IF(VLOOKUP(C2073,' Disaggregation - Section E '!A$618:N1277,9,0)=0,"",VLOOKUP(C2073,' Disaggregation - Section E '!A$618:N1277,9,0)),"")</f>
        <v/>
      </c>
      <c r="P2073" s="171" t="str">
        <f ca="1">IFERROR(IF(VLOOKUP(C2073,' Disaggregation - Section E '!A$618:N1277,10,0)=0,"",VLOOKUP(C2073,' Disaggregation - Section E '!A$618:N1277,10,0)),"")</f>
        <v/>
      </c>
    </row>
    <row r="2074" spans="1:16">
      <c r="A2074" s="166" t="b">
        <f t="shared" ca="1" si="144"/>
        <v>0</v>
      </c>
      <c r="B2074" s="166"/>
      <c r="C2074" s="172" t="str">
        <f ca="1">IF(COUNTA(D$1418:D2074)=1,"",OFFSET(B2072,-COUNTA(D$1418:D2074)+3,1))</f>
        <v>a163p000004VjlZAAS</v>
      </c>
      <c r="D2074" s="177"/>
      <c r="E2074" s="168" t="str">
        <f ca="1">IFERROR(IF(VLOOKUP(C2074,' Disaggregation - Section E '!A$618:N1278,7,0)="","",VLOOKUP(C2074,' Disaggregation - Section E '!A$618:N1278,7,0)*100),"")</f>
        <v/>
      </c>
      <c r="F2074" s="171" t="str">
        <f ca="1">IFERROR(VLOOKUP(C2074,' Disaggregation - Section E '!A$618:N1278,5,0),"")</f>
        <v/>
      </c>
      <c r="G2074" s="170" t="str">
        <f ca="1">IFERROR(IF(VLOOKUP(C2074,' Disaggregation - Section E '!A$618:N1278,6,0)="","",VLOOKUP(C2074,' Disaggregation - Section E '!A$618:N1278,6,0)),"")</f>
        <v/>
      </c>
      <c r="H2074" s="177" t="str">
        <f ca="1">IFERROR(IF(INDEX(' Disaggregation - Section E '!F$618:F2475,MATCH(C2074,' Disaggregation - Section E '!A$618:A2475,0)+1,1)&lt;&gt;0,INDEX(' Disaggregation - Section E '!F$618:F$1820,MATCH(C2074,' Disaggregation - Section E '!A$618:A2475,0)+1,1),""),"")</f>
        <v/>
      </c>
      <c r="I2074" s="171" t="str">
        <f ca="1">IFERROR(IF(VLOOKUP(C2074,' Disaggregation - Section E '!A$618:N1278,8,0)=0,"",VLOOKUP(C2074,' Disaggregation - Section E '!A$618:N1278,8,0)),"")</f>
        <v/>
      </c>
      <c r="J2074" s="171" t="str">
        <f ca="1">IFERROR(IF(VLOOKUP(C2074,' Disaggregation - Section E '!A$618:N2475,13,0)=0,"",VLOOKUP(C2074,' Disaggregation - Section E '!A$618:N2475,13,0)),"")</f>
        <v/>
      </c>
      <c r="K2074" s="166" t="str">
        <f ca="1">IFERROR(VLOOKUP(C2074,' Disaggregation - Section E '!A$618:N1278,3,0),"")</f>
        <v>KP-1b⁽ᴹ⁾ Porcentaje de personas transgénero alcanzados por programas de prevención del VIH - paquete definido de servicios</v>
      </c>
      <c r="L2074" s="166"/>
      <c r="M2074" s="166" t="str">
        <f ca="1">IFERROR(IF(VLOOKUP(C2074,' Disaggregation - Section E '!A$618:T1278,20,0)=0,"",VLOOKUP(C2074,' Disaggregation - Section E '!A$618:T1278,20,0)),"")</f>
        <v/>
      </c>
      <c r="N2074" s="171" t="str">
        <f ca="1">IFERROR(IF(VLOOKUP(C2074,' Disaggregation - Section E '!A$618:N1278,14,0)=0,"",VLOOKUP(C2074,' Disaggregation - Section E '!A$618:N1278,14,0)),"")</f>
        <v/>
      </c>
      <c r="O2074" s="171" t="str">
        <f ca="1">IFERROR(IF(VLOOKUP(C2074,' Disaggregation - Section E '!A$618:N1278,9,0)=0,"",VLOOKUP(C2074,' Disaggregation - Section E '!A$618:N1278,9,0)),"")</f>
        <v/>
      </c>
      <c r="P2074" s="171" t="str">
        <f ca="1">IFERROR(IF(VLOOKUP(C2074,' Disaggregation - Section E '!A$618:N1278,10,0)=0,"",VLOOKUP(C2074,' Disaggregation - Section E '!A$618:N1278,10,0)),"")</f>
        <v/>
      </c>
    </row>
    <row r="2075" spans="1:16">
      <c r="A2075" s="166" t="b">
        <f t="shared" ca="1" si="144"/>
        <v>0</v>
      </c>
      <c r="B2075" s="166"/>
      <c r="C2075" s="172" t="str">
        <f ca="1">IF(COUNTA(D$1418:D2075)=1,"",OFFSET(B2073,-COUNTA(D$1418:D2075)+3,1))</f>
        <v>a163p000004VjlaAAC</v>
      </c>
      <c r="D2075" s="177"/>
      <c r="E2075" s="168" t="str">
        <f ca="1">IFERROR(IF(VLOOKUP(C2075,' Disaggregation - Section E '!A$618:N1279,7,0)="","",VLOOKUP(C2075,' Disaggregation - Section E '!A$618:N1279,7,0)*100),"")</f>
        <v/>
      </c>
      <c r="F2075" s="171" t="str">
        <f ca="1">IFERROR(VLOOKUP(C2075,' Disaggregation - Section E '!A$618:N1279,5,0),"")</f>
        <v/>
      </c>
      <c r="G2075" s="170" t="str">
        <f ca="1">IFERROR(IF(VLOOKUP(C2075,' Disaggregation - Section E '!A$618:N1279,6,0)="","",VLOOKUP(C2075,' Disaggregation - Section E '!A$618:N1279,6,0)),"")</f>
        <v/>
      </c>
      <c r="H2075" s="177" t="str">
        <f ca="1">IFERROR(IF(INDEX(' Disaggregation - Section E '!F$618:F2476,MATCH(C2075,' Disaggregation - Section E '!A$618:A2476,0)+1,1)&lt;&gt;0,INDEX(' Disaggregation - Section E '!F$618:F$1820,MATCH(C2075,' Disaggregation - Section E '!A$618:A2476,0)+1,1),""),"")</f>
        <v/>
      </c>
      <c r="I2075" s="171" t="str">
        <f ca="1">IFERROR(IF(VLOOKUP(C2075,' Disaggregation - Section E '!A$618:N1279,8,0)=0,"",VLOOKUP(C2075,' Disaggregation - Section E '!A$618:N1279,8,0)),"")</f>
        <v/>
      </c>
      <c r="J2075" s="171" t="str">
        <f ca="1">IFERROR(IF(VLOOKUP(C2075,' Disaggregation - Section E '!A$618:N2476,13,0)=0,"",VLOOKUP(C2075,' Disaggregation - Section E '!A$618:N2476,13,0)),"")</f>
        <v/>
      </c>
      <c r="K2075" s="166" t="str">
        <f ca="1">IFERROR(VLOOKUP(C2075,' Disaggregation - Section E '!A$618:N1279,3,0),"")</f>
        <v>KP-1b⁽ᴹ⁾ Porcentaje de personas transgénero alcanzados por programas de prevención del VIH - paquete definido de servicios</v>
      </c>
      <c r="L2075" s="166"/>
      <c r="M2075" s="166" t="str">
        <f ca="1">IFERROR(IF(VLOOKUP(C2075,' Disaggregation - Section E '!A$618:T1279,20,0)=0,"",VLOOKUP(C2075,' Disaggregation - Section E '!A$618:T1279,20,0)),"")</f>
        <v/>
      </c>
      <c r="N2075" s="171" t="str">
        <f ca="1">IFERROR(IF(VLOOKUP(C2075,' Disaggregation - Section E '!A$618:N1279,14,0)=0,"",VLOOKUP(C2075,' Disaggregation - Section E '!A$618:N1279,14,0)),"")</f>
        <v/>
      </c>
      <c r="O2075" s="171" t="str">
        <f ca="1">IFERROR(IF(VLOOKUP(C2075,' Disaggregation - Section E '!A$618:N1279,9,0)=0,"",VLOOKUP(C2075,' Disaggregation - Section E '!A$618:N1279,9,0)),"")</f>
        <v/>
      </c>
      <c r="P2075" s="171" t="str">
        <f ca="1">IFERROR(IF(VLOOKUP(C2075,' Disaggregation - Section E '!A$618:N1279,10,0)=0,"",VLOOKUP(C2075,' Disaggregation - Section E '!A$618:N1279,10,0)),"")</f>
        <v/>
      </c>
    </row>
    <row r="2076" spans="1:16">
      <c r="A2076" s="166" t="b">
        <f t="shared" ca="1" si="144"/>
        <v>0</v>
      </c>
      <c r="B2076" s="166"/>
      <c r="C2076" s="172" t="str">
        <f ca="1">IF(COUNTA(D$1418:D2076)=1,"",OFFSET(B2074,-COUNTA(D$1418:D2076)+3,1))</f>
        <v>a163p000004VjlbAAC</v>
      </c>
      <c r="D2076" s="177"/>
      <c r="E2076" s="168" t="str">
        <f ca="1">IFERROR(IF(VLOOKUP(C2076,' Disaggregation - Section E '!A$618:N1280,7,0)="","",VLOOKUP(C2076,' Disaggregation - Section E '!A$618:N1280,7,0)*100),"")</f>
        <v/>
      </c>
      <c r="F2076" s="171" t="str">
        <f ca="1">IFERROR(VLOOKUP(C2076,' Disaggregation - Section E '!A$618:N1280,5,0),"")</f>
        <v/>
      </c>
      <c r="G2076" s="170" t="str">
        <f ca="1">IFERROR(IF(VLOOKUP(C2076,' Disaggregation - Section E '!A$618:N1280,6,0)="","",VLOOKUP(C2076,' Disaggregation - Section E '!A$618:N1280,6,0)),"")</f>
        <v/>
      </c>
      <c r="H2076" s="177" t="str">
        <f ca="1">IFERROR(IF(INDEX(' Disaggregation - Section E '!F$618:F2477,MATCH(C2076,' Disaggregation - Section E '!A$618:A2477,0)+1,1)&lt;&gt;0,INDEX(' Disaggregation - Section E '!F$618:F$1820,MATCH(C2076,' Disaggregation - Section E '!A$618:A2477,0)+1,1),""),"")</f>
        <v/>
      </c>
      <c r="I2076" s="171" t="str">
        <f ca="1">IFERROR(IF(VLOOKUP(C2076,' Disaggregation - Section E '!A$618:N1280,8,0)=0,"",VLOOKUP(C2076,' Disaggregation - Section E '!A$618:N1280,8,0)),"")</f>
        <v/>
      </c>
      <c r="J2076" s="171" t="str">
        <f ca="1">IFERROR(IF(VLOOKUP(C2076,' Disaggregation - Section E '!A$618:N2477,13,0)=0,"",VLOOKUP(C2076,' Disaggregation - Section E '!A$618:N2477,13,0)),"")</f>
        <v/>
      </c>
      <c r="K2076" s="166" t="str">
        <f ca="1">IFERROR(VLOOKUP(C2076,' Disaggregation - Section E '!A$618:N1280,3,0),"")</f>
        <v>KP-1b⁽ᴹ⁾ Porcentaje de personas transgénero alcanzados por programas de prevención del VIH - paquete definido de servicios</v>
      </c>
      <c r="L2076" s="166"/>
      <c r="M2076" s="166" t="str">
        <f ca="1">IFERROR(IF(VLOOKUP(C2076,' Disaggregation - Section E '!A$618:T1280,20,0)=0,"",VLOOKUP(C2076,' Disaggregation - Section E '!A$618:T1280,20,0)),"")</f>
        <v/>
      </c>
      <c r="N2076" s="171" t="str">
        <f ca="1">IFERROR(IF(VLOOKUP(C2076,' Disaggregation - Section E '!A$618:N1280,14,0)=0,"",VLOOKUP(C2076,' Disaggregation - Section E '!A$618:N1280,14,0)),"")</f>
        <v/>
      </c>
      <c r="O2076" s="171" t="str">
        <f ca="1">IFERROR(IF(VLOOKUP(C2076,' Disaggregation - Section E '!A$618:N1280,9,0)=0,"",VLOOKUP(C2076,' Disaggregation - Section E '!A$618:N1280,9,0)),"")</f>
        <v/>
      </c>
      <c r="P2076" s="171" t="str">
        <f ca="1">IFERROR(IF(VLOOKUP(C2076,' Disaggregation - Section E '!A$618:N1280,10,0)=0,"",VLOOKUP(C2076,' Disaggregation - Section E '!A$618:N1280,10,0)),"")</f>
        <v/>
      </c>
    </row>
    <row r="2077" spans="1:16">
      <c r="A2077" s="166" t="b">
        <f t="shared" ca="1" si="144"/>
        <v>0</v>
      </c>
      <c r="B2077" s="166"/>
      <c r="C2077" s="172" t="str">
        <f ca="1">IF(COUNTA(D$1418:D2077)=1,"",OFFSET(B2075,-COUNTA(D$1418:D2077)+3,1))</f>
        <v>a163p000004VjlcAAC</v>
      </c>
      <c r="D2077" s="177"/>
      <c r="E2077" s="168" t="str">
        <f ca="1">IFERROR(IF(VLOOKUP(C2077,' Disaggregation - Section E '!A$618:N1281,7,0)="","",VLOOKUP(C2077,' Disaggregation - Section E '!A$618:N1281,7,0)*100),"")</f>
        <v/>
      </c>
      <c r="F2077" s="171" t="str">
        <f ca="1">IFERROR(VLOOKUP(C2077,' Disaggregation - Section E '!A$618:N1281,5,0),"")</f>
        <v/>
      </c>
      <c r="G2077" s="170" t="str">
        <f ca="1">IFERROR(IF(VLOOKUP(C2077,' Disaggregation - Section E '!A$618:N1281,6,0)="","",VLOOKUP(C2077,' Disaggregation - Section E '!A$618:N1281,6,0)),"")</f>
        <v/>
      </c>
      <c r="H2077" s="177" t="str">
        <f ca="1">IFERROR(IF(INDEX(' Disaggregation - Section E '!F$618:F2478,MATCH(C2077,' Disaggregation - Section E '!A$618:A2478,0)+1,1)&lt;&gt;0,INDEX(' Disaggregation - Section E '!F$618:F$1820,MATCH(C2077,' Disaggregation - Section E '!A$618:A2478,0)+1,1),""),"")</f>
        <v/>
      </c>
      <c r="I2077" s="171" t="str">
        <f ca="1">IFERROR(IF(VLOOKUP(C2077,' Disaggregation - Section E '!A$618:N1281,8,0)=0,"",VLOOKUP(C2077,' Disaggregation - Section E '!A$618:N1281,8,0)),"")</f>
        <v/>
      </c>
      <c r="J2077" s="171" t="str">
        <f ca="1">IFERROR(IF(VLOOKUP(C2077,' Disaggregation - Section E '!A$618:N2478,13,0)=0,"",VLOOKUP(C2077,' Disaggregation - Section E '!A$618:N2478,13,0)),"")</f>
        <v/>
      </c>
      <c r="K2077" s="166" t="str">
        <f ca="1">IFERROR(VLOOKUP(C2077,' Disaggregation - Section E '!A$618:N1281,3,0),"")</f>
        <v>KP-1b⁽ᴹ⁾ Porcentaje de personas transgénero alcanzados por programas de prevención del VIH - paquete definido de servicios</v>
      </c>
      <c r="L2077" s="166"/>
      <c r="M2077" s="166" t="str">
        <f ca="1">IFERROR(IF(VLOOKUP(C2077,' Disaggregation - Section E '!A$618:T1281,20,0)=0,"",VLOOKUP(C2077,' Disaggregation - Section E '!A$618:T1281,20,0)),"")</f>
        <v/>
      </c>
      <c r="N2077" s="171" t="str">
        <f ca="1">IFERROR(IF(VLOOKUP(C2077,' Disaggregation - Section E '!A$618:N1281,14,0)=0,"",VLOOKUP(C2077,' Disaggregation - Section E '!A$618:N1281,14,0)),"")</f>
        <v/>
      </c>
      <c r="O2077" s="171" t="str">
        <f ca="1">IFERROR(IF(VLOOKUP(C2077,' Disaggregation - Section E '!A$618:N1281,9,0)=0,"",VLOOKUP(C2077,' Disaggregation - Section E '!A$618:N1281,9,0)),"")</f>
        <v/>
      </c>
      <c r="P2077" s="171" t="str">
        <f ca="1">IFERROR(IF(VLOOKUP(C2077,' Disaggregation - Section E '!A$618:N1281,10,0)=0,"",VLOOKUP(C2077,' Disaggregation - Section E '!A$618:N1281,10,0)),"")</f>
        <v/>
      </c>
    </row>
    <row r="2078" spans="1:16">
      <c r="A2078" s="166" t="b">
        <f t="shared" ca="1" si="144"/>
        <v>0</v>
      </c>
      <c r="B2078" s="166"/>
      <c r="C2078" s="172" t="str">
        <f ca="1">IF(COUNTA(D$1418:D2078)=1,"",OFFSET(B2076,-COUNTA(D$1418:D2078)+3,1))</f>
        <v>a163p000004VjldAAC</v>
      </c>
      <c r="D2078" s="177"/>
      <c r="E2078" s="168" t="str">
        <f ca="1">IFERROR(IF(VLOOKUP(C2078,' Disaggregation - Section E '!A$618:N1282,7,0)="","",VLOOKUP(C2078,' Disaggregation - Section E '!A$618:N1282,7,0)*100),"")</f>
        <v/>
      </c>
      <c r="F2078" s="171" t="str">
        <f ca="1">IFERROR(VLOOKUP(C2078,' Disaggregation - Section E '!A$618:N1282,5,0),"")</f>
        <v/>
      </c>
      <c r="G2078" s="170" t="str">
        <f ca="1">IFERROR(IF(VLOOKUP(C2078,' Disaggregation - Section E '!A$618:N1282,6,0)="","",VLOOKUP(C2078,' Disaggregation - Section E '!A$618:N1282,6,0)),"")</f>
        <v/>
      </c>
      <c r="H2078" s="177" t="str">
        <f ca="1">IFERROR(IF(INDEX(' Disaggregation - Section E '!F$618:F2479,MATCH(C2078,' Disaggregation - Section E '!A$618:A2479,0)+1,1)&lt;&gt;0,INDEX(' Disaggregation - Section E '!F$618:F$1820,MATCH(C2078,' Disaggregation - Section E '!A$618:A2479,0)+1,1),""),"")</f>
        <v/>
      </c>
      <c r="I2078" s="171" t="str">
        <f ca="1">IFERROR(IF(VLOOKUP(C2078,' Disaggregation - Section E '!A$618:N1282,8,0)=0,"",VLOOKUP(C2078,' Disaggregation - Section E '!A$618:N1282,8,0)),"")</f>
        <v/>
      </c>
      <c r="J2078" s="171" t="str">
        <f ca="1">IFERROR(IF(VLOOKUP(C2078,' Disaggregation - Section E '!A$618:N2479,13,0)=0,"",VLOOKUP(C2078,' Disaggregation - Section E '!A$618:N2479,13,0)),"")</f>
        <v/>
      </c>
      <c r="K2078" s="166" t="str">
        <f ca="1">IFERROR(VLOOKUP(C2078,' Disaggregation - Section E '!A$618:N1282,3,0),"")</f>
        <v>KP-1b⁽ᴹ⁾ Porcentaje de personas transgénero alcanzados por programas de prevención del VIH - paquete definido de servicios</v>
      </c>
      <c r="L2078" s="166"/>
      <c r="M2078" s="166" t="str">
        <f ca="1">IFERROR(IF(VLOOKUP(C2078,' Disaggregation - Section E '!A$618:T1282,20,0)=0,"",VLOOKUP(C2078,' Disaggregation - Section E '!A$618:T1282,20,0)),"")</f>
        <v/>
      </c>
      <c r="N2078" s="171" t="str">
        <f ca="1">IFERROR(IF(VLOOKUP(C2078,' Disaggregation - Section E '!A$618:N1282,14,0)=0,"",VLOOKUP(C2078,' Disaggregation - Section E '!A$618:N1282,14,0)),"")</f>
        <v/>
      </c>
      <c r="O2078" s="171" t="str">
        <f ca="1">IFERROR(IF(VLOOKUP(C2078,' Disaggregation - Section E '!A$618:N1282,9,0)=0,"",VLOOKUP(C2078,' Disaggregation - Section E '!A$618:N1282,9,0)),"")</f>
        <v/>
      </c>
      <c r="P2078" s="171" t="str">
        <f ca="1">IFERROR(IF(VLOOKUP(C2078,' Disaggregation - Section E '!A$618:N1282,10,0)=0,"",VLOOKUP(C2078,' Disaggregation - Section E '!A$618:N1282,10,0)),"")</f>
        <v/>
      </c>
    </row>
    <row r="2079" spans="1:16">
      <c r="A2079" s="166" t="b">
        <f t="shared" ca="1" si="144"/>
        <v>0</v>
      </c>
      <c r="B2079" s="166"/>
      <c r="C2079" s="172" t="str">
        <f ca="1">IF(COUNTA(D$1418:D2079)=1,"",OFFSET(B2077,-COUNTA(D$1418:D2079)+3,1))</f>
        <v>a163p000004VjleAAC</v>
      </c>
      <c r="D2079" s="177"/>
      <c r="E2079" s="168" t="str">
        <f ca="1">IFERROR(IF(VLOOKUP(C2079,' Disaggregation - Section E '!A$618:N1283,7,0)="","",VLOOKUP(C2079,' Disaggregation - Section E '!A$618:N1283,7,0)*100),"")</f>
        <v/>
      </c>
      <c r="F2079" s="171" t="str">
        <f ca="1">IFERROR(VLOOKUP(C2079,' Disaggregation - Section E '!A$618:N1283,5,0),"")</f>
        <v/>
      </c>
      <c r="G2079" s="170" t="str">
        <f ca="1">IFERROR(IF(VLOOKUP(C2079,' Disaggregation - Section E '!A$618:N1283,6,0)="","",VLOOKUP(C2079,' Disaggregation - Section E '!A$618:N1283,6,0)),"")</f>
        <v/>
      </c>
      <c r="H2079" s="177" t="str">
        <f ca="1">IFERROR(IF(INDEX(' Disaggregation - Section E '!F$618:F2480,MATCH(C2079,' Disaggregation - Section E '!A$618:A2480,0)+1,1)&lt;&gt;0,INDEX(' Disaggregation - Section E '!F$618:F$1820,MATCH(C2079,' Disaggregation - Section E '!A$618:A2480,0)+1,1),""),"")</f>
        <v/>
      </c>
      <c r="I2079" s="171" t="str">
        <f ca="1">IFERROR(IF(VLOOKUP(C2079,' Disaggregation - Section E '!A$618:N1283,8,0)=0,"",VLOOKUP(C2079,' Disaggregation - Section E '!A$618:N1283,8,0)),"")</f>
        <v/>
      </c>
      <c r="J2079" s="171" t="str">
        <f ca="1">IFERROR(IF(VLOOKUP(C2079,' Disaggregation - Section E '!A$618:N2480,13,0)=0,"",VLOOKUP(C2079,' Disaggregation - Section E '!A$618:N2480,13,0)),"")</f>
        <v/>
      </c>
      <c r="K2079" s="166" t="str">
        <f ca="1">IFERROR(VLOOKUP(C2079,' Disaggregation - Section E '!A$618:N1283,3,0),"")</f>
        <v>KP-1b⁽ᴹ⁾ Porcentaje de personas transgénero alcanzados por programas de prevención del VIH - paquete definido de servicios</v>
      </c>
      <c r="L2079" s="166"/>
      <c r="M2079" s="166" t="str">
        <f ca="1">IFERROR(IF(VLOOKUP(C2079,' Disaggregation - Section E '!A$618:T1283,20,0)=0,"",VLOOKUP(C2079,' Disaggregation - Section E '!A$618:T1283,20,0)),"")</f>
        <v/>
      </c>
      <c r="N2079" s="171" t="str">
        <f ca="1">IFERROR(IF(VLOOKUP(C2079,' Disaggregation - Section E '!A$618:N1283,14,0)=0,"",VLOOKUP(C2079,' Disaggregation - Section E '!A$618:N1283,14,0)),"")</f>
        <v/>
      </c>
      <c r="O2079" s="171" t="str">
        <f ca="1">IFERROR(IF(VLOOKUP(C2079,' Disaggregation - Section E '!A$618:N1283,9,0)=0,"",VLOOKUP(C2079,' Disaggregation - Section E '!A$618:N1283,9,0)),"")</f>
        <v/>
      </c>
      <c r="P2079" s="171" t="str">
        <f ca="1">IFERROR(IF(VLOOKUP(C2079,' Disaggregation - Section E '!A$618:N1283,10,0)=0,"",VLOOKUP(C2079,' Disaggregation - Section E '!A$618:N1283,10,0)),"")</f>
        <v/>
      </c>
    </row>
    <row r="2080" spans="1:16">
      <c r="A2080" s="166" t="b">
        <f t="shared" ca="1" si="144"/>
        <v>1</v>
      </c>
      <c r="B2080" s="166"/>
      <c r="C2080" s="172" t="str">
        <f ca="1">IF(COUNTA(D$1418:D2080)=1,"",OFFSET(B2078,-COUNTA(D$1418:D2080)+3,1))</f>
        <v>a163p000004VjlfAAC</v>
      </c>
      <c r="D2080" s="177"/>
      <c r="E2080" s="168">
        <f ca="1">IFERROR(IF(VLOOKUP(C2080,' Disaggregation - Section E '!A$618:N1284,7,0)="","",VLOOKUP(C2080,' Disaggregation - Section E '!A$618:N1284,7,0)*100),"")</f>
        <v>87.78801843317973</v>
      </c>
      <c r="F2080" s="171" t="str">
        <f ca="1">IFERROR(VLOOKUP(C2080,' Disaggregation - Section E '!A$618:N1284,5,0),"")</f>
        <v>Negativo</v>
      </c>
      <c r="G2080" s="170">
        <f ca="1">IFERROR(IF(VLOOKUP(C2080,' Disaggregation - Section E '!A$618:N1284,6,0)="","",VLOOKUP(C2080,' Disaggregation - Section E '!A$618:N1284,6,0)),"")</f>
        <v>381</v>
      </c>
      <c r="H2080" s="177">
        <f ca="1">IFERROR(IF(INDEX(' Disaggregation - Section E '!F$618:F2481,MATCH(C2080,' Disaggregation - Section E '!A$618:A2481,0)+1,1)&lt;&gt;0,INDEX(' Disaggregation - Section E '!F$618:F$1820,MATCH(C2080,' Disaggregation - Section E '!A$618:A2481,0)+1,1),""),"")</f>
        <v>434</v>
      </c>
      <c r="I2080" s="171">
        <f ca="1">IFERROR(IF(VLOOKUP(C2080,' Disaggregation - Section E '!A$618:N1284,8,0)=0,"",VLOOKUP(C2080,' Disaggregation - Section E '!A$618:N1284,8,0)),"")</f>
        <v>2021</v>
      </c>
      <c r="J2080" s="171" t="str">
        <f ca="1">IFERROR(IF(VLOOKUP(C2080,' Disaggregation - Section E '!A$618:N2481,13,0)=0,"",VLOOKUP(C2080,' Disaggregation - Section E '!A$618:N2481,13,0)),"")</f>
        <v/>
      </c>
      <c r="K2080" s="166" t="str">
        <f ca="1">IFERROR(VLOOKUP(C2080,' Disaggregation - Section E '!A$618:N1284,3,0),"")</f>
        <v>HTS-3b⁽ᴹ⁾ Porcentaje de personas transgénero a los que se les ha realizado una prueba de VIH durante el período de reporte y que conocen sus resultados</v>
      </c>
      <c r="L2080" s="166"/>
      <c r="M2080" s="166" t="str">
        <f ca="1">IFERROR(IF(VLOOKUP(C2080,' Disaggregation - Section E '!A$618:T1284,20,0)=0,"",VLOOKUP(C2080,' Disaggregation - Section E '!A$618:T1284,20,0)),"")</f>
        <v>IDR-00922</v>
      </c>
      <c r="N2080" s="171" t="str">
        <f ca="1">IFERROR(IF(VLOOKUP(C2080,' Disaggregation - Section E '!A$618:N1284,14,0)=0,"",VLOOKUP(C2080,' Disaggregation - Section E '!A$618:N1284,14,0)),"")</f>
        <v/>
      </c>
      <c r="O2080" s="171" t="str">
        <f ca="1">IFERROR(IF(VLOOKUP(C2080,' Disaggregation - Section E '!A$618:N1284,9,0)=0,"",VLOOKUP(C2080,' Disaggregation - Section E '!A$618:N1284,9,0)),"")</f>
        <v/>
      </c>
      <c r="P2080" s="171" t="str">
        <f ca="1">IFERROR(IF(VLOOKUP(C2080,' Disaggregation - Section E '!A$618:N1284,10,0)=0,"",VLOOKUP(C2080,' Disaggregation - Section E '!A$618:N1284,10,0)),"")</f>
        <v/>
      </c>
    </row>
    <row r="2081" spans="1:16">
      <c r="A2081" s="166" t="b">
        <f t="shared" ca="1" si="144"/>
        <v>1</v>
      </c>
      <c r="B2081" s="166"/>
      <c r="C2081" s="172" t="str">
        <f ca="1">IF(COUNTA(D$1418:D2081)=1,"",OFFSET(B2079,-COUNTA(D$1418:D2081)+3,1))</f>
        <v>a163p000004VjlgAAC</v>
      </c>
      <c r="D2081" s="177"/>
      <c r="E2081" s="168">
        <f ca="1">IFERROR(IF(VLOOKUP(C2081,' Disaggregation - Section E '!A$618:N1285,7,0)="","",VLOOKUP(C2081,' Disaggregation - Section E '!A$618:N1285,7,0)*100),"")</f>
        <v>12.211981566820276</v>
      </c>
      <c r="F2081" s="171" t="str">
        <f ca="1">IFERROR(VLOOKUP(C2081,' Disaggregation - Section E '!A$618:N1285,5,0),"")</f>
        <v>Positivo</v>
      </c>
      <c r="G2081" s="170">
        <f ca="1">IFERROR(IF(VLOOKUP(C2081,' Disaggregation - Section E '!A$618:N1285,6,0)="","",VLOOKUP(C2081,' Disaggregation - Section E '!A$618:N1285,6,0)),"")</f>
        <v>53</v>
      </c>
      <c r="H2081" s="177">
        <f ca="1">IFERROR(IF(INDEX(' Disaggregation - Section E '!F$618:F2482,MATCH(C2081,' Disaggregation - Section E '!A$618:A2482,0)+1,1)&lt;&gt;0,INDEX(' Disaggregation - Section E '!F$618:F$1820,MATCH(C2081,' Disaggregation - Section E '!A$618:A2482,0)+1,1),""),"")</f>
        <v>434</v>
      </c>
      <c r="I2081" s="171">
        <f ca="1">IFERROR(IF(VLOOKUP(C2081,' Disaggregation - Section E '!A$618:N1285,8,0)=0,"",VLOOKUP(C2081,' Disaggregation - Section E '!A$618:N1285,8,0)),"")</f>
        <v>2021</v>
      </c>
      <c r="J2081" s="171" t="str">
        <f ca="1">IFERROR(IF(VLOOKUP(C2081,' Disaggregation - Section E '!A$618:N2482,13,0)=0,"",VLOOKUP(C2081,' Disaggregation - Section E '!A$618:N2482,13,0)),"")</f>
        <v/>
      </c>
      <c r="K2081" s="166" t="str">
        <f ca="1">IFERROR(VLOOKUP(C2081,' Disaggregation - Section E '!A$618:N1285,3,0),"")</f>
        <v>HTS-3b⁽ᴹ⁾ Porcentaje de personas transgénero a los que se les ha realizado una prueba de VIH durante el período de reporte y que conocen sus resultados</v>
      </c>
      <c r="L2081" s="166"/>
      <c r="M2081" s="166" t="str">
        <f ca="1">IFERROR(IF(VLOOKUP(C2081,' Disaggregation - Section E '!A$618:T1285,20,0)=0,"",VLOOKUP(C2081,' Disaggregation - Section E '!A$618:T1285,20,0)),"")</f>
        <v>IDR-00921</v>
      </c>
      <c r="N2081" s="171" t="str">
        <f ca="1">IFERROR(IF(VLOOKUP(C2081,' Disaggregation - Section E '!A$618:N1285,14,0)=0,"",VLOOKUP(C2081,' Disaggregation - Section E '!A$618:N1285,14,0)),"")</f>
        <v/>
      </c>
      <c r="O2081" s="171" t="str">
        <f ca="1">IFERROR(IF(VLOOKUP(C2081,' Disaggregation - Section E '!A$618:N1285,9,0)=0,"",VLOOKUP(C2081,' Disaggregation - Section E '!A$618:N1285,9,0)),"")</f>
        <v/>
      </c>
      <c r="P2081" s="171" t="str">
        <f ca="1">IFERROR(IF(VLOOKUP(C2081,' Disaggregation - Section E '!A$618:N1285,10,0)=0,"",VLOOKUP(C2081,' Disaggregation - Section E '!A$618:N1285,10,0)),"")</f>
        <v>El denominador corresponde a las mujeres transgénero que se hicieron prueba de VIH en el periodo de reporte.</v>
      </c>
    </row>
    <row r="2082" spans="1:16">
      <c r="A2082" s="166" t="b">
        <f t="shared" ca="1" si="144"/>
        <v>1</v>
      </c>
      <c r="B2082" s="166"/>
      <c r="C2082" s="172" t="str">
        <f ca="1">IF(COUNTA(D$1418:D2082)=1,"",OFFSET(B2080,-COUNTA(D$1418:D2082)+3,1))</f>
        <v>a163p000004VjlhAAC</v>
      </c>
      <c r="D2082" s="177"/>
      <c r="E2082" s="168">
        <f ca="1">IFERROR(IF(VLOOKUP(C2082,' Disaggregation - Section E '!A$618:N1286,7,0)="","",VLOOKUP(C2082,' Disaggregation - Section E '!A$618:N1286,7,0)*100),"")</f>
        <v>23.890234059725586</v>
      </c>
      <c r="F2082" s="171" t="str">
        <f ca="1">IFERROR(VLOOKUP(C2082,' Disaggregation - Section E '!A$618:N1286,5,0),"")</f>
        <v>25+</v>
      </c>
      <c r="G2082" s="170">
        <f ca="1">IFERROR(IF(VLOOKUP(C2082,' Disaggregation - Section E '!A$618:N1286,6,0)="","",VLOOKUP(C2082,' Disaggregation - Section E '!A$618:N1286,6,0)),"")</f>
        <v>296</v>
      </c>
      <c r="H2082" s="177">
        <f ca="1">IFERROR(IF(INDEX(' Disaggregation - Section E '!F$618:F2483,MATCH(C2082,' Disaggregation - Section E '!A$618:A2483,0)+1,1)&lt;&gt;0,INDEX(' Disaggregation - Section E '!F$618:F$1820,MATCH(C2082,' Disaggregation - Section E '!A$618:A2483,0)+1,1),""),"")</f>
        <v>1239</v>
      </c>
      <c r="I2082" s="171">
        <f ca="1">IFERROR(IF(VLOOKUP(C2082,' Disaggregation - Section E '!A$618:N1286,8,0)=0,"",VLOOKUP(C2082,' Disaggregation - Section E '!A$618:N1286,8,0)),"")</f>
        <v>2021</v>
      </c>
      <c r="J2082" s="171" t="str">
        <f ca="1">IFERROR(IF(VLOOKUP(C2082,' Disaggregation - Section E '!A$618:N2483,13,0)=0,"",VLOOKUP(C2082,' Disaggregation - Section E '!A$618:N2483,13,0)),"")</f>
        <v/>
      </c>
      <c r="K2082" s="166" t="str">
        <f ca="1">IFERROR(VLOOKUP(C2082,' Disaggregation - Section E '!A$618:N1286,3,0),"")</f>
        <v>HTS-3b⁽ᴹ⁾ Porcentaje de personas transgénero a los que se les ha realizado una prueba de VIH durante el período de reporte y que conocen sus resultados</v>
      </c>
      <c r="L2082" s="166"/>
      <c r="M2082" s="166" t="str">
        <f ca="1">IFERROR(IF(VLOOKUP(C2082,' Disaggregation - Section E '!A$618:T1286,20,0)=0,"",VLOOKUP(C2082,' Disaggregation - Section E '!A$618:T1286,20,0)),"")</f>
        <v>IDR-00716</v>
      </c>
      <c r="N2082" s="171" t="str">
        <f ca="1">IFERROR(IF(VLOOKUP(C2082,' Disaggregation - Section E '!A$618:N1286,14,0)=0,"",VLOOKUP(C2082,' Disaggregation - Section E '!A$618:N1286,14,0)),"")</f>
        <v/>
      </c>
      <c r="O2082" s="171" t="str">
        <f ca="1">IFERROR(IF(VLOOKUP(C2082,' Disaggregation - Section E '!A$618:N1286,9,0)=0,"",VLOOKUP(C2082,' Disaggregation - Section E '!A$618:N1286,9,0)),"")</f>
        <v/>
      </c>
      <c r="P2082" s="171" t="str">
        <f ca="1">IFERROR(IF(VLOOKUP(C2082,' Disaggregation - Section E '!A$618:N1286,10,0)=0,"",VLOOKUP(C2082,' Disaggregation - Section E '!A$618:N1286,10,0)),"")</f>
        <v>La desagregación por grupo de edad del denominador se realizó considerando la estructura demográfica del país sobre el tamaño poblacional de mujeres transgénero para 2021.</v>
      </c>
    </row>
    <row r="2083" spans="1:16">
      <c r="A2083" s="166" t="b">
        <f t="shared" ca="1" si="144"/>
        <v>1</v>
      </c>
      <c r="B2083" s="166"/>
      <c r="C2083" s="172" t="str">
        <f ca="1">IF(COUNTA(D$1418:D2083)=1,"",OFFSET(B2081,-COUNTA(D$1418:D2083)+3,1))</f>
        <v>a163p000004VjliAAC</v>
      </c>
      <c r="D2083" s="177"/>
      <c r="E2083" s="168">
        <f ca="1">IFERROR(IF(VLOOKUP(C2083,' Disaggregation - Section E '!A$618:N1287,7,0)="","",VLOOKUP(C2083,' Disaggregation - Section E '!A$618:N1287,7,0)*100),"")</f>
        <v>29.613733905579398</v>
      </c>
      <c r="F2083" s="171" t="str">
        <f ca="1">IFERROR(VLOOKUP(C2083,' Disaggregation - Section E '!A$618:N1287,5,0),"")</f>
        <v>&lt;25</v>
      </c>
      <c r="G2083" s="170">
        <f ca="1">IFERROR(IF(VLOOKUP(C2083,' Disaggregation - Section E '!A$618:N1287,6,0)="","",VLOOKUP(C2083,' Disaggregation - Section E '!A$618:N1287,6,0)),"")</f>
        <v>138</v>
      </c>
      <c r="H2083" s="177">
        <f ca="1">IFERROR(IF(INDEX(' Disaggregation - Section E '!F$618:F2484,MATCH(C2083,' Disaggregation - Section E '!A$618:A2484,0)+1,1)&lt;&gt;0,INDEX(' Disaggregation - Section E '!F$618:F$1820,MATCH(C2083,' Disaggregation - Section E '!A$618:A2484,0)+1,1),""),"")</f>
        <v>466</v>
      </c>
      <c r="I2083" s="171">
        <f ca="1">IFERROR(IF(VLOOKUP(C2083,' Disaggregation - Section E '!A$618:N1287,8,0)=0,"",VLOOKUP(C2083,' Disaggregation - Section E '!A$618:N1287,8,0)),"")</f>
        <v>2021</v>
      </c>
      <c r="J2083" s="171" t="str">
        <f ca="1">IFERROR(IF(VLOOKUP(C2083,' Disaggregation - Section E '!A$618:N2484,13,0)=0,"",VLOOKUP(C2083,' Disaggregation - Section E '!A$618:N2484,13,0)),"")</f>
        <v/>
      </c>
      <c r="K2083" s="166" t="str">
        <f ca="1">IFERROR(VLOOKUP(C2083,' Disaggregation - Section E '!A$618:N1287,3,0),"")</f>
        <v>HTS-3b⁽ᴹ⁾ Porcentaje de personas transgénero a los que se les ha realizado una prueba de VIH durante el período de reporte y que conocen sus resultados</v>
      </c>
      <c r="L2083" s="166"/>
      <c r="M2083" s="166" t="str">
        <f ca="1">IFERROR(IF(VLOOKUP(C2083,' Disaggregation - Section E '!A$618:T1287,20,0)=0,"",VLOOKUP(C2083,' Disaggregation - Section E '!A$618:T1287,20,0)),"")</f>
        <v>IDR-00715</v>
      </c>
      <c r="N2083" s="171" t="str">
        <f ca="1">IFERROR(IF(VLOOKUP(C2083,' Disaggregation - Section E '!A$618:N1287,14,0)=0,"",VLOOKUP(C2083,' Disaggregation - Section E '!A$618:N1287,14,0)),"")</f>
        <v/>
      </c>
      <c r="O2083" s="171" t="str">
        <f ca="1">IFERROR(IF(VLOOKUP(C2083,' Disaggregation - Section E '!A$618:N1287,9,0)=0,"",VLOOKUP(C2083,' Disaggregation - Section E '!A$618:N1287,9,0)),"")</f>
        <v/>
      </c>
      <c r="P2083" s="171" t="str">
        <f ca="1">IFERROR(IF(VLOOKUP(C2083,' Disaggregation - Section E '!A$618:N1287,10,0)=0,"",VLOOKUP(C2083,' Disaggregation - Section E '!A$618:N1287,10,0)),"")</f>
        <v>La desagregación por grupo de edad del denominador se realizó considerando la estructura demográfica del país sobre el tamaño poblacional de mujeres transgénero para 2021.</v>
      </c>
    </row>
    <row r="2084" spans="1:16">
      <c r="A2084" s="166" t="b">
        <f t="shared" ref="A2084:A2147" ca="1" si="145">IF(M2084&lt;&gt;"",TRUE,FALSE)</f>
        <v>0</v>
      </c>
      <c r="B2084" s="166"/>
      <c r="C2084" s="172" t="str">
        <f ca="1">IF(COUNTA(D$1418:D2084)=1,"",OFFSET(B2082,-COUNTA(D$1418:D2084)+3,1))</f>
        <v>a163p000004VjljAAC</v>
      </c>
      <c r="D2084" s="177"/>
      <c r="E2084" s="168" t="str">
        <f ca="1">IFERROR(IF(VLOOKUP(C2084,' Disaggregation - Section E '!A$618:N1288,7,0)="","",VLOOKUP(C2084,' Disaggregation - Section E '!A$618:N1288,7,0)*100),"")</f>
        <v/>
      </c>
      <c r="F2084" s="171" t="str">
        <f ca="1">IFERROR(VLOOKUP(C2084,' Disaggregation - Section E '!A$618:N1288,5,0),"")</f>
        <v/>
      </c>
      <c r="G2084" s="170" t="str">
        <f ca="1">IFERROR(IF(VLOOKUP(C2084,' Disaggregation - Section E '!A$618:N1288,6,0)="","",VLOOKUP(C2084,' Disaggregation - Section E '!A$618:N1288,6,0)),"")</f>
        <v/>
      </c>
      <c r="H2084" s="177" t="str">
        <f ca="1">IFERROR(IF(INDEX(' Disaggregation - Section E '!F$618:F2485,MATCH(C2084,' Disaggregation - Section E '!A$618:A2485,0)+1,1)&lt;&gt;0,INDEX(' Disaggregation - Section E '!F$618:F$1820,MATCH(C2084,' Disaggregation - Section E '!A$618:A2485,0)+1,1),""),"")</f>
        <v/>
      </c>
      <c r="I2084" s="171" t="str">
        <f ca="1">IFERROR(IF(VLOOKUP(C2084,' Disaggregation - Section E '!A$618:N1288,8,0)=0,"",VLOOKUP(C2084,' Disaggregation - Section E '!A$618:N1288,8,0)),"")</f>
        <v/>
      </c>
      <c r="J2084" s="171" t="str">
        <f ca="1">IFERROR(IF(VLOOKUP(C2084,' Disaggregation - Section E '!A$618:N2485,13,0)=0,"",VLOOKUP(C2084,' Disaggregation - Section E '!A$618:N2485,13,0)),"")</f>
        <v/>
      </c>
      <c r="K2084" s="166" t="str">
        <f ca="1">IFERROR(VLOOKUP(C2084,' Disaggregation - Section E '!A$618:N1288,3,0),"")</f>
        <v>HTS-3b⁽ᴹ⁾ Porcentaje de personas transgénero a los que se les ha realizado una prueba de VIH durante el período de reporte y que conocen sus resultados</v>
      </c>
      <c r="L2084" s="166"/>
      <c r="M2084" s="166" t="str">
        <f ca="1">IFERROR(IF(VLOOKUP(C2084,' Disaggregation - Section E '!A$618:T1288,20,0)=0,"",VLOOKUP(C2084,' Disaggregation - Section E '!A$618:T1288,20,0)),"")</f>
        <v/>
      </c>
      <c r="N2084" s="171" t="str">
        <f ca="1">IFERROR(IF(VLOOKUP(C2084,' Disaggregation - Section E '!A$618:N1288,14,0)=0,"",VLOOKUP(C2084,' Disaggregation - Section E '!A$618:N1288,14,0)),"")</f>
        <v/>
      </c>
      <c r="O2084" s="171" t="str">
        <f ca="1">IFERROR(IF(VLOOKUP(C2084,' Disaggregation - Section E '!A$618:N1288,9,0)=0,"",VLOOKUP(C2084,' Disaggregation - Section E '!A$618:N1288,9,0)),"")</f>
        <v/>
      </c>
      <c r="P2084" s="171" t="str">
        <f ca="1">IFERROR(IF(VLOOKUP(C2084,' Disaggregation - Section E '!A$618:N1288,10,0)=0,"",VLOOKUP(C2084,' Disaggregation - Section E '!A$618:N1288,10,0)),"")</f>
        <v/>
      </c>
    </row>
    <row r="2085" spans="1:16">
      <c r="A2085" s="166" t="b">
        <f t="shared" ca="1" si="145"/>
        <v>0</v>
      </c>
      <c r="B2085" s="166"/>
      <c r="C2085" s="172" t="str">
        <f ca="1">IF(COUNTA(D$1418:D2085)=1,"",OFFSET(B2083,-COUNTA(D$1418:D2085)+3,1))</f>
        <v>a163p000004VjlkAAC</v>
      </c>
      <c r="D2085" s="177"/>
      <c r="E2085" s="168" t="str">
        <f ca="1">IFERROR(IF(VLOOKUP(C2085,' Disaggregation - Section E '!A$618:N1289,7,0)="","",VLOOKUP(C2085,' Disaggregation - Section E '!A$618:N1289,7,0)*100),"")</f>
        <v/>
      </c>
      <c r="F2085" s="171" t="str">
        <f ca="1">IFERROR(VLOOKUP(C2085,' Disaggregation - Section E '!A$618:N1289,5,0),"")</f>
        <v/>
      </c>
      <c r="G2085" s="170" t="str">
        <f ca="1">IFERROR(IF(VLOOKUP(C2085,' Disaggregation - Section E '!A$618:N1289,6,0)="","",VLOOKUP(C2085,' Disaggregation - Section E '!A$618:N1289,6,0)),"")</f>
        <v/>
      </c>
      <c r="H2085" s="177" t="str">
        <f ca="1">IFERROR(IF(INDEX(' Disaggregation - Section E '!F$618:F2486,MATCH(C2085,' Disaggregation - Section E '!A$618:A2486,0)+1,1)&lt;&gt;0,INDEX(' Disaggregation - Section E '!F$618:F$1820,MATCH(C2085,' Disaggregation - Section E '!A$618:A2486,0)+1,1),""),"")</f>
        <v/>
      </c>
      <c r="I2085" s="171" t="str">
        <f ca="1">IFERROR(IF(VLOOKUP(C2085,' Disaggregation - Section E '!A$618:N1289,8,0)=0,"",VLOOKUP(C2085,' Disaggregation - Section E '!A$618:N1289,8,0)),"")</f>
        <v/>
      </c>
      <c r="J2085" s="171" t="str">
        <f ca="1">IFERROR(IF(VLOOKUP(C2085,' Disaggregation - Section E '!A$618:N2486,13,0)=0,"",VLOOKUP(C2085,' Disaggregation - Section E '!A$618:N2486,13,0)),"")</f>
        <v/>
      </c>
      <c r="K2085" s="166" t="str">
        <f ca="1">IFERROR(VLOOKUP(C2085,' Disaggregation - Section E '!A$618:N1289,3,0),"")</f>
        <v>HTS-3b⁽ᴹ⁾ Porcentaje de personas transgénero a los que se les ha realizado una prueba de VIH durante el período de reporte y que conocen sus resultados</v>
      </c>
      <c r="L2085" s="166"/>
      <c r="M2085" s="166" t="str">
        <f ca="1">IFERROR(IF(VLOOKUP(C2085,' Disaggregation - Section E '!A$618:T1289,20,0)=0,"",VLOOKUP(C2085,' Disaggregation - Section E '!A$618:T1289,20,0)),"")</f>
        <v/>
      </c>
      <c r="N2085" s="171" t="str">
        <f ca="1">IFERROR(IF(VLOOKUP(C2085,' Disaggregation - Section E '!A$618:N1289,14,0)=0,"",VLOOKUP(C2085,' Disaggregation - Section E '!A$618:N1289,14,0)),"")</f>
        <v/>
      </c>
      <c r="O2085" s="171" t="str">
        <f ca="1">IFERROR(IF(VLOOKUP(C2085,' Disaggregation - Section E '!A$618:N1289,9,0)=0,"",VLOOKUP(C2085,' Disaggregation - Section E '!A$618:N1289,9,0)),"")</f>
        <v/>
      </c>
      <c r="P2085" s="171" t="str">
        <f ca="1">IFERROR(IF(VLOOKUP(C2085,' Disaggregation - Section E '!A$618:N1289,10,0)=0,"",VLOOKUP(C2085,' Disaggregation - Section E '!A$618:N1289,10,0)),"")</f>
        <v/>
      </c>
    </row>
    <row r="2086" spans="1:16">
      <c r="A2086" s="166" t="b">
        <f t="shared" ca="1" si="145"/>
        <v>0</v>
      </c>
      <c r="B2086" s="166"/>
      <c r="C2086" s="172" t="str">
        <f ca="1">IF(COUNTA(D$1418:D2086)=1,"",OFFSET(B2084,-COUNTA(D$1418:D2086)+3,1))</f>
        <v>a163p000004VjllAAC</v>
      </c>
      <c r="D2086" s="177"/>
      <c r="E2086" s="168" t="str">
        <f ca="1">IFERROR(IF(VLOOKUP(C2086,' Disaggregation - Section E '!A$618:N1290,7,0)="","",VLOOKUP(C2086,' Disaggregation - Section E '!A$618:N1290,7,0)*100),"")</f>
        <v/>
      </c>
      <c r="F2086" s="171" t="str">
        <f ca="1">IFERROR(VLOOKUP(C2086,' Disaggregation - Section E '!A$618:N1290,5,0),"")</f>
        <v/>
      </c>
      <c r="G2086" s="170" t="str">
        <f ca="1">IFERROR(IF(VLOOKUP(C2086,' Disaggregation - Section E '!A$618:N1290,6,0)="","",VLOOKUP(C2086,' Disaggregation - Section E '!A$618:N1290,6,0)),"")</f>
        <v/>
      </c>
      <c r="H2086" s="177" t="str">
        <f ca="1">IFERROR(IF(INDEX(' Disaggregation - Section E '!F$618:F2487,MATCH(C2086,' Disaggregation - Section E '!A$618:A2487,0)+1,1)&lt;&gt;0,INDEX(' Disaggregation - Section E '!F$618:F$1820,MATCH(C2086,' Disaggregation - Section E '!A$618:A2487,0)+1,1),""),"")</f>
        <v/>
      </c>
      <c r="I2086" s="171" t="str">
        <f ca="1">IFERROR(IF(VLOOKUP(C2086,' Disaggregation - Section E '!A$618:N1290,8,0)=0,"",VLOOKUP(C2086,' Disaggregation - Section E '!A$618:N1290,8,0)),"")</f>
        <v/>
      </c>
      <c r="J2086" s="171" t="str">
        <f ca="1">IFERROR(IF(VLOOKUP(C2086,' Disaggregation - Section E '!A$618:N2487,13,0)=0,"",VLOOKUP(C2086,' Disaggregation - Section E '!A$618:N2487,13,0)),"")</f>
        <v/>
      </c>
      <c r="K2086" s="166" t="str">
        <f ca="1">IFERROR(VLOOKUP(C2086,' Disaggregation - Section E '!A$618:N1290,3,0),"")</f>
        <v>HTS-3b⁽ᴹ⁾ Porcentaje de personas transgénero a los que se les ha realizado una prueba de VIH durante el período de reporte y que conocen sus resultados</v>
      </c>
      <c r="L2086" s="166"/>
      <c r="M2086" s="166" t="str">
        <f ca="1">IFERROR(IF(VLOOKUP(C2086,' Disaggregation - Section E '!A$618:T1290,20,0)=0,"",VLOOKUP(C2086,' Disaggregation - Section E '!A$618:T1290,20,0)),"")</f>
        <v/>
      </c>
      <c r="N2086" s="171" t="str">
        <f ca="1">IFERROR(IF(VLOOKUP(C2086,' Disaggregation - Section E '!A$618:N1290,14,0)=0,"",VLOOKUP(C2086,' Disaggregation - Section E '!A$618:N1290,14,0)),"")</f>
        <v/>
      </c>
      <c r="O2086" s="171" t="str">
        <f ca="1">IFERROR(IF(VLOOKUP(C2086,' Disaggregation - Section E '!A$618:N1290,9,0)=0,"",VLOOKUP(C2086,' Disaggregation - Section E '!A$618:N1290,9,0)),"")</f>
        <v/>
      </c>
      <c r="P2086" s="171" t="str">
        <f ca="1">IFERROR(IF(VLOOKUP(C2086,' Disaggregation - Section E '!A$618:N1290,10,0)=0,"",VLOOKUP(C2086,' Disaggregation - Section E '!A$618:N1290,10,0)),"")</f>
        <v/>
      </c>
    </row>
    <row r="2087" spans="1:16">
      <c r="A2087" s="166" t="b">
        <f t="shared" ca="1" si="145"/>
        <v>0</v>
      </c>
      <c r="B2087" s="166"/>
      <c r="C2087" s="172" t="str">
        <f ca="1">IF(COUNTA(D$1418:D2087)=1,"",OFFSET(B2085,-COUNTA(D$1418:D2087)+3,1))</f>
        <v>a163p000004VjlmAAC</v>
      </c>
      <c r="D2087" s="177"/>
      <c r="E2087" s="168" t="str">
        <f ca="1">IFERROR(IF(VLOOKUP(C2087,' Disaggregation - Section E '!A$618:N1291,7,0)="","",VLOOKUP(C2087,' Disaggregation - Section E '!A$618:N1291,7,0)*100),"")</f>
        <v/>
      </c>
      <c r="F2087" s="171" t="str">
        <f ca="1">IFERROR(VLOOKUP(C2087,' Disaggregation - Section E '!A$618:N1291,5,0),"")</f>
        <v/>
      </c>
      <c r="G2087" s="170" t="str">
        <f ca="1">IFERROR(IF(VLOOKUP(C2087,' Disaggregation - Section E '!A$618:N1291,6,0)="","",VLOOKUP(C2087,' Disaggregation - Section E '!A$618:N1291,6,0)),"")</f>
        <v/>
      </c>
      <c r="H2087" s="177" t="str">
        <f ca="1">IFERROR(IF(INDEX(' Disaggregation - Section E '!F$618:F2488,MATCH(C2087,' Disaggregation - Section E '!A$618:A2488,0)+1,1)&lt;&gt;0,INDEX(' Disaggregation - Section E '!F$618:F$1820,MATCH(C2087,' Disaggregation - Section E '!A$618:A2488,0)+1,1),""),"")</f>
        <v/>
      </c>
      <c r="I2087" s="171" t="str">
        <f ca="1">IFERROR(IF(VLOOKUP(C2087,' Disaggregation - Section E '!A$618:N1291,8,0)=0,"",VLOOKUP(C2087,' Disaggregation - Section E '!A$618:N1291,8,0)),"")</f>
        <v/>
      </c>
      <c r="J2087" s="171" t="str">
        <f ca="1">IFERROR(IF(VLOOKUP(C2087,' Disaggregation - Section E '!A$618:N2488,13,0)=0,"",VLOOKUP(C2087,' Disaggregation - Section E '!A$618:N2488,13,0)),"")</f>
        <v/>
      </c>
      <c r="K2087" s="166" t="str">
        <f ca="1">IFERROR(VLOOKUP(C2087,' Disaggregation - Section E '!A$618:N1291,3,0),"")</f>
        <v>HTS-3b⁽ᴹ⁾ Porcentaje de personas transgénero a los que se les ha realizado una prueba de VIH durante el período de reporte y que conocen sus resultados</v>
      </c>
      <c r="L2087" s="166"/>
      <c r="M2087" s="166" t="str">
        <f ca="1">IFERROR(IF(VLOOKUP(C2087,' Disaggregation - Section E '!A$618:T1291,20,0)=0,"",VLOOKUP(C2087,' Disaggregation - Section E '!A$618:T1291,20,0)),"")</f>
        <v/>
      </c>
      <c r="N2087" s="171" t="str">
        <f ca="1">IFERROR(IF(VLOOKUP(C2087,' Disaggregation - Section E '!A$618:N1291,14,0)=0,"",VLOOKUP(C2087,' Disaggregation - Section E '!A$618:N1291,14,0)),"")</f>
        <v/>
      </c>
      <c r="O2087" s="171" t="str">
        <f ca="1">IFERROR(IF(VLOOKUP(C2087,' Disaggregation - Section E '!A$618:N1291,9,0)=0,"",VLOOKUP(C2087,' Disaggregation - Section E '!A$618:N1291,9,0)),"")</f>
        <v/>
      </c>
      <c r="P2087" s="171" t="str">
        <f ca="1">IFERROR(IF(VLOOKUP(C2087,' Disaggregation - Section E '!A$618:N1291,10,0)=0,"",VLOOKUP(C2087,' Disaggregation - Section E '!A$618:N1291,10,0)),"")</f>
        <v/>
      </c>
    </row>
    <row r="2088" spans="1:16">
      <c r="A2088" s="166" t="b">
        <f t="shared" ca="1" si="145"/>
        <v>0</v>
      </c>
      <c r="B2088" s="166"/>
      <c r="C2088" s="172" t="str">
        <f ca="1">IF(COUNTA(D$1418:D2088)=1,"",OFFSET(B2086,-COUNTA(D$1418:D2088)+3,1))</f>
        <v>a163p000004VjlnAAC</v>
      </c>
      <c r="D2088" s="177"/>
      <c r="E2088" s="168" t="str">
        <f ca="1">IFERROR(IF(VLOOKUP(C2088,' Disaggregation - Section E '!A$618:N1292,7,0)="","",VLOOKUP(C2088,' Disaggregation - Section E '!A$618:N1292,7,0)*100),"")</f>
        <v/>
      </c>
      <c r="F2088" s="171" t="str">
        <f ca="1">IFERROR(VLOOKUP(C2088,' Disaggregation - Section E '!A$618:N1292,5,0),"")</f>
        <v/>
      </c>
      <c r="G2088" s="170" t="str">
        <f ca="1">IFERROR(IF(VLOOKUP(C2088,' Disaggregation - Section E '!A$618:N1292,6,0)="","",VLOOKUP(C2088,' Disaggregation - Section E '!A$618:N1292,6,0)),"")</f>
        <v/>
      </c>
      <c r="H2088" s="177" t="str">
        <f ca="1">IFERROR(IF(INDEX(' Disaggregation - Section E '!F$618:F2489,MATCH(C2088,' Disaggregation - Section E '!A$618:A2489,0)+1,1)&lt;&gt;0,INDEX(' Disaggregation - Section E '!F$618:F$1820,MATCH(C2088,' Disaggregation - Section E '!A$618:A2489,0)+1,1),""),"")</f>
        <v/>
      </c>
      <c r="I2088" s="171" t="str">
        <f ca="1">IFERROR(IF(VLOOKUP(C2088,' Disaggregation - Section E '!A$618:N1292,8,0)=0,"",VLOOKUP(C2088,' Disaggregation - Section E '!A$618:N1292,8,0)),"")</f>
        <v/>
      </c>
      <c r="J2088" s="171" t="str">
        <f ca="1">IFERROR(IF(VLOOKUP(C2088,' Disaggregation - Section E '!A$618:N2489,13,0)=0,"",VLOOKUP(C2088,' Disaggregation - Section E '!A$618:N2489,13,0)),"")</f>
        <v/>
      </c>
      <c r="K2088" s="166" t="str">
        <f ca="1">IFERROR(VLOOKUP(C2088,' Disaggregation - Section E '!A$618:N1292,3,0),"")</f>
        <v>HTS-3b⁽ᴹ⁾ Porcentaje de personas transgénero a los que se les ha realizado una prueba de VIH durante el período de reporte y que conocen sus resultados</v>
      </c>
      <c r="L2088" s="166"/>
      <c r="M2088" s="166" t="str">
        <f ca="1">IFERROR(IF(VLOOKUP(C2088,' Disaggregation - Section E '!A$618:T1292,20,0)=0,"",VLOOKUP(C2088,' Disaggregation - Section E '!A$618:T1292,20,0)),"")</f>
        <v/>
      </c>
      <c r="N2088" s="171" t="str">
        <f ca="1">IFERROR(IF(VLOOKUP(C2088,' Disaggregation - Section E '!A$618:N1292,14,0)=0,"",VLOOKUP(C2088,' Disaggregation - Section E '!A$618:N1292,14,0)),"")</f>
        <v/>
      </c>
      <c r="O2088" s="171" t="str">
        <f ca="1">IFERROR(IF(VLOOKUP(C2088,' Disaggregation - Section E '!A$618:N1292,9,0)=0,"",VLOOKUP(C2088,' Disaggregation - Section E '!A$618:N1292,9,0)),"")</f>
        <v/>
      </c>
      <c r="P2088" s="171" t="str">
        <f ca="1">IFERROR(IF(VLOOKUP(C2088,' Disaggregation - Section E '!A$618:N1292,10,0)=0,"",VLOOKUP(C2088,' Disaggregation - Section E '!A$618:N1292,10,0)),"")</f>
        <v/>
      </c>
    </row>
    <row r="2089" spans="1:16">
      <c r="A2089" s="166" t="b">
        <f t="shared" ca="1" si="145"/>
        <v>0</v>
      </c>
      <c r="B2089" s="166"/>
      <c r="C2089" s="172" t="str">
        <f ca="1">IF(COUNTA(D$1418:D2089)=1,"",OFFSET(B2087,-COUNTA(D$1418:D2089)+3,1))</f>
        <v>a163p000004VjloAAC</v>
      </c>
      <c r="D2089" s="177"/>
      <c r="E2089" s="168" t="str">
        <f ca="1">IFERROR(IF(VLOOKUP(C2089,' Disaggregation - Section E '!A$618:N1293,7,0)="","",VLOOKUP(C2089,' Disaggregation - Section E '!A$618:N1293,7,0)*100),"")</f>
        <v/>
      </c>
      <c r="F2089" s="171" t="str">
        <f ca="1">IFERROR(VLOOKUP(C2089,' Disaggregation - Section E '!A$618:N1293,5,0),"")</f>
        <v/>
      </c>
      <c r="G2089" s="170" t="str">
        <f ca="1">IFERROR(IF(VLOOKUP(C2089,' Disaggregation - Section E '!A$618:N1293,6,0)="","",VLOOKUP(C2089,' Disaggregation - Section E '!A$618:N1293,6,0)),"")</f>
        <v/>
      </c>
      <c r="H2089" s="177" t="str">
        <f ca="1">IFERROR(IF(INDEX(' Disaggregation - Section E '!F$618:F2490,MATCH(C2089,' Disaggregation - Section E '!A$618:A2490,0)+1,1)&lt;&gt;0,INDEX(' Disaggregation - Section E '!F$618:F$1820,MATCH(C2089,' Disaggregation - Section E '!A$618:A2490,0)+1,1),""),"")</f>
        <v/>
      </c>
      <c r="I2089" s="171" t="str">
        <f ca="1">IFERROR(IF(VLOOKUP(C2089,' Disaggregation - Section E '!A$618:N1293,8,0)=0,"",VLOOKUP(C2089,' Disaggregation - Section E '!A$618:N1293,8,0)),"")</f>
        <v/>
      </c>
      <c r="J2089" s="171" t="str">
        <f ca="1">IFERROR(IF(VLOOKUP(C2089,' Disaggregation - Section E '!A$618:N2490,13,0)=0,"",VLOOKUP(C2089,' Disaggregation - Section E '!A$618:N2490,13,0)),"")</f>
        <v/>
      </c>
      <c r="K2089" s="166" t="str">
        <f ca="1">IFERROR(VLOOKUP(C2089,' Disaggregation - Section E '!A$618:N1293,3,0),"")</f>
        <v>HTS-3b⁽ᴹ⁾ Porcentaje de personas transgénero a los que se les ha realizado una prueba de VIH durante el período de reporte y que conocen sus resultados</v>
      </c>
      <c r="L2089" s="166"/>
      <c r="M2089" s="166" t="str">
        <f ca="1">IFERROR(IF(VLOOKUP(C2089,' Disaggregation - Section E '!A$618:T1293,20,0)=0,"",VLOOKUP(C2089,' Disaggregation - Section E '!A$618:T1293,20,0)),"")</f>
        <v/>
      </c>
      <c r="N2089" s="171" t="str">
        <f ca="1">IFERROR(IF(VLOOKUP(C2089,' Disaggregation - Section E '!A$618:N1293,14,0)=0,"",VLOOKUP(C2089,' Disaggregation - Section E '!A$618:N1293,14,0)),"")</f>
        <v/>
      </c>
      <c r="O2089" s="171" t="str">
        <f ca="1">IFERROR(IF(VLOOKUP(C2089,' Disaggregation - Section E '!A$618:N1293,9,0)=0,"",VLOOKUP(C2089,' Disaggregation - Section E '!A$618:N1293,9,0)),"")</f>
        <v/>
      </c>
      <c r="P2089" s="171" t="str">
        <f ca="1">IFERROR(IF(VLOOKUP(C2089,' Disaggregation - Section E '!A$618:N1293,10,0)=0,"",VLOOKUP(C2089,' Disaggregation - Section E '!A$618:N1293,10,0)),"")</f>
        <v/>
      </c>
    </row>
    <row r="2090" spans="1:16">
      <c r="A2090" s="166" t="b">
        <f t="shared" ca="1" si="145"/>
        <v>0</v>
      </c>
      <c r="B2090" s="166"/>
      <c r="C2090" s="172" t="str">
        <f ca="1">IF(COUNTA(D$1418:D2090)=1,"",OFFSET(B2088,-COUNTA(D$1418:D2090)+3,1))</f>
        <v>a163p000004VjlpAAC</v>
      </c>
      <c r="D2090" s="177"/>
      <c r="E2090" s="168" t="str">
        <f ca="1">IFERROR(IF(VLOOKUP(C2090,' Disaggregation - Section E '!A$618:N1294,7,0)="","",VLOOKUP(C2090,' Disaggregation - Section E '!A$618:N1294,7,0)*100),"")</f>
        <v/>
      </c>
      <c r="F2090" s="171" t="str">
        <f ca="1">IFERROR(VLOOKUP(C2090,' Disaggregation - Section E '!A$618:N1294,5,0),"")</f>
        <v/>
      </c>
      <c r="G2090" s="170" t="str">
        <f ca="1">IFERROR(IF(VLOOKUP(C2090,' Disaggregation - Section E '!A$618:N1294,6,0)="","",VLOOKUP(C2090,' Disaggregation - Section E '!A$618:N1294,6,0)),"")</f>
        <v/>
      </c>
      <c r="H2090" s="177" t="str">
        <f ca="1">IFERROR(IF(INDEX(' Disaggregation - Section E '!F$618:F2491,MATCH(C2090,' Disaggregation - Section E '!A$618:A2491,0)+1,1)&lt;&gt;0,INDEX(' Disaggregation - Section E '!F$618:F$1820,MATCH(C2090,' Disaggregation - Section E '!A$618:A2491,0)+1,1),""),"")</f>
        <v/>
      </c>
      <c r="I2090" s="171" t="str">
        <f ca="1">IFERROR(IF(VLOOKUP(C2090,' Disaggregation - Section E '!A$618:N1294,8,0)=0,"",VLOOKUP(C2090,' Disaggregation - Section E '!A$618:N1294,8,0)),"")</f>
        <v/>
      </c>
      <c r="J2090" s="171" t="str">
        <f ca="1">IFERROR(IF(VLOOKUP(C2090,' Disaggregation - Section E '!A$618:N2491,13,0)=0,"",VLOOKUP(C2090,' Disaggregation - Section E '!A$618:N2491,13,0)),"")</f>
        <v/>
      </c>
      <c r="K2090" s="166" t="str">
        <f ca="1">IFERROR(VLOOKUP(C2090,' Disaggregation - Section E '!A$618:N1294,3,0),"")</f>
        <v>HTS-3b⁽ᴹ⁾ Porcentaje de personas transgénero a los que se les ha realizado una prueba de VIH durante el período de reporte y que conocen sus resultados</v>
      </c>
      <c r="L2090" s="166"/>
      <c r="M2090" s="166" t="str">
        <f ca="1">IFERROR(IF(VLOOKUP(C2090,' Disaggregation - Section E '!A$618:T1294,20,0)=0,"",VLOOKUP(C2090,' Disaggregation - Section E '!A$618:T1294,20,0)),"")</f>
        <v/>
      </c>
      <c r="N2090" s="171" t="str">
        <f ca="1">IFERROR(IF(VLOOKUP(C2090,' Disaggregation - Section E '!A$618:N1294,14,0)=0,"",VLOOKUP(C2090,' Disaggregation - Section E '!A$618:N1294,14,0)),"")</f>
        <v/>
      </c>
      <c r="O2090" s="171" t="str">
        <f ca="1">IFERROR(IF(VLOOKUP(C2090,' Disaggregation - Section E '!A$618:N1294,9,0)=0,"",VLOOKUP(C2090,' Disaggregation - Section E '!A$618:N1294,9,0)),"")</f>
        <v/>
      </c>
      <c r="P2090" s="171" t="str">
        <f ca="1">IFERROR(IF(VLOOKUP(C2090,' Disaggregation - Section E '!A$618:N1294,10,0)=0,"",VLOOKUP(C2090,' Disaggregation - Section E '!A$618:N1294,10,0)),"")</f>
        <v/>
      </c>
    </row>
    <row r="2091" spans="1:16">
      <c r="A2091" s="166" t="b">
        <f t="shared" ca="1" si="145"/>
        <v>0</v>
      </c>
      <c r="B2091" s="166"/>
      <c r="C2091" s="172" t="str">
        <f ca="1">IF(COUNTA(D$1418:D2091)=1,"",OFFSET(B2089,-COUNTA(D$1418:D2091)+3,1))</f>
        <v>a163p000004VjlqAAC</v>
      </c>
      <c r="D2091" s="177"/>
      <c r="E2091" s="168" t="str">
        <f ca="1">IFERROR(IF(VLOOKUP(C2091,' Disaggregation - Section E '!A$618:N1295,7,0)="","",VLOOKUP(C2091,' Disaggregation - Section E '!A$618:N1295,7,0)*100),"")</f>
        <v/>
      </c>
      <c r="F2091" s="171" t="str">
        <f ca="1">IFERROR(VLOOKUP(C2091,' Disaggregation - Section E '!A$618:N1295,5,0),"")</f>
        <v/>
      </c>
      <c r="G2091" s="170" t="str">
        <f ca="1">IFERROR(IF(VLOOKUP(C2091,' Disaggregation - Section E '!A$618:N1295,6,0)="","",VLOOKUP(C2091,' Disaggregation - Section E '!A$618:N1295,6,0)),"")</f>
        <v/>
      </c>
      <c r="H2091" s="177" t="str">
        <f ca="1">IFERROR(IF(INDEX(' Disaggregation - Section E '!F$618:F2492,MATCH(C2091,' Disaggregation - Section E '!A$618:A2492,0)+1,1)&lt;&gt;0,INDEX(' Disaggregation - Section E '!F$618:F$1820,MATCH(C2091,' Disaggregation - Section E '!A$618:A2492,0)+1,1),""),"")</f>
        <v/>
      </c>
      <c r="I2091" s="171" t="str">
        <f ca="1">IFERROR(IF(VLOOKUP(C2091,' Disaggregation - Section E '!A$618:N1295,8,0)=0,"",VLOOKUP(C2091,' Disaggregation - Section E '!A$618:N1295,8,0)),"")</f>
        <v/>
      </c>
      <c r="J2091" s="171" t="str">
        <f ca="1">IFERROR(IF(VLOOKUP(C2091,' Disaggregation - Section E '!A$618:N2492,13,0)=0,"",VLOOKUP(C2091,' Disaggregation - Section E '!A$618:N2492,13,0)),"")</f>
        <v/>
      </c>
      <c r="K2091" s="166" t="str">
        <f ca="1">IFERROR(VLOOKUP(C2091,' Disaggregation - Section E '!A$618:N1295,3,0),"")</f>
        <v>HTS-3b⁽ᴹ⁾ Porcentaje de personas transgénero a los que se les ha realizado una prueba de VIH durante el período de reporte y que conocen sus resultados</v>
      </c>
      <c r="L2091" s="166"/>
      <c r="M2091" s="166" t="str">
        <f ca="1">IFERROR(IF(VLOOKUP(C2091,' Disaggregation - Section E '!A$618:T1295,20,0)=0,"",VLOOKUP(C2091,' Disaggregation - Section E '!A$618:T1295,20,0)),"")</f>
        <v/>
      </c>
      <c r="N2091" s="171" t="str">
        <f ca="1">IFERROR(IF(VLOOKUP(C2091,' Disaggregation - Section E '!A$618:N1295,14,0)=0,"",VLOOKUP(C2091,' Disaggregation - Section E '!A$618:N1295,14,0)),"")</f>
        <v/>
      </c>
      <c r="O2091" s="171" t="str">
        <f ca="1">IFERROR(IF(VLOOKUP(C2091,' Disaggregation - Section E '!A$618:N1295,9,0)=0,"",VLOOKUP(C2091,' Disaggregation - Section E '!A$618:N1295,9,0)),"")</f>
        <v/>
      </c>
      <c r="P2091" s="171" t="str">
        <f ca="1">IFERROR(IF(VLOOKUP(C2091,' Disaggregation - Section E '!A$618:N1295,10,0)=0,"",VLOOKUP(C2091,' Disaggregation - Section E '!A$618:N1295,10,0)),"")</f>
        <v/>
      </c>
    </row>
    <row r="2092" spans="1:16">
      <c r="A2092" s="166" t="b">
        <f t="shared" ca="1" si="145"/>
        <v>0</v>
      </c>
      <c r="B2092" s="166"/>
      <c r="C2092" s="172" t="str">
        <f ca="1">IF(COUNTA(D$1418:D2092)=1,"",OFFSET(B2090,-COUNTA(D$1418:D2092)+3,1))</f>
        <v>a163p000004VjlrAAC</v>
      </c>
      <c r="D2092" s="177"/>
      <c r="E2092" s="168" t="str">
        <f ca="1">IFERROR(IF(VLOOKUP(C2092,' Disaggregation - Section E '!A$618:N1296,7,0)="","",VLOOKUP(C2092,' Disaggregation - Section E '!A$618:N1296,7,0)*100),"")</f>
        <v/>
      </c>
      <c r="F2092" s="171" t="str">
        <f ca="1">IFERROR(VLOOKUP(C2092,' Disaggregation - Section E '!A$618:N1296,5,0),"")</f>
        <v/>
      </c>
      <c r="G2092" s="170" t="str">
        <f ca="1">IFERROR(IF(VLOOKUP(C2092,' Disaggregation - Section E '!A$618:N1296,6,0)="","",VLOOKUP(C2092,' Disaggregation - Section E '!A$618:N1296,6,0)),"")</f>
        <v/>
      </c>
      <c r="H2092" s="177" t="str">
        <f ca="1">IFERROR(IF(INDEX(' Disaggregation - Section E '!F$618:F2493,MATCH(C2092,' Disaggregation - Section E '!A$618:A2493,0)+1,1)&lt;&gt;0,INDEX(' Disaggregation - Section E '!F$618:F$1820,MATCH(C2092,' Disaggregation - Section E '!A$618:A2493,0)+1,1),""),"")</f>
        <v/>
      </c>
      <c r="I2092" s="171" t="str">
        <f ca="1">IFERROR(IF(VLOOKUP(C2092,' Disaggregation - Section E '!A$618:N1296,8,0)=0,"",VLOOKUP(C2092,' Disaggregation - Section E '!A$618:N1296,8,0)),"")</f>
        <v/>
      </c>
      <c r="J2092" s="171" t="str">
        <f ca="1">IFERROR(IF(VLOOKUP(C2092,' Disaggregation - Section E '!A$618:N2493,13,0)=0,"",VLOOKUP(C2092,' Disaggregation - Section E '!A$618:N2493,13,0)),"")</f>
        <v/>
      </c>
      <c r="K2092" s="166" t="str">
        <f ca="1">IFERROR(VLOOKUP(C2092,' Disaggregation - Section E '!A$618:N1296,3,0),"")</f>
        <v>HTS-3b⁽ᴹ⁾ Porcentaje de personas transgénero a los que se les ha realizado una prueba de VIH durante el período de reporte y que conocen sus resultados</v>
      </c>
      <c r="L2092" s="166"/>
      <c r="M2092" s="166" t="str">
        <f ca="1">IFERROR(IF(VLOOKUP(C2092,' Disaggregation - Section E '!A$618:T1296,20,0)=0,"",VLOOKUP(C2092,' Disaggregation - Section E '!A$618:T1296,20,0)),"")</f>
        <v/>
      </c>
      <c r="N2092" s="171" t="str">
        <f ca="1">IFERROR(IF(VLOOKUP(C2092,' Disaggregation - Section E '!A$618:N1296,14,0)=0,"",VLOOKUP(C2092,' Disaggregation - Section E '!A$618:N1296,14,0)),"")</f>
        <v/>
      </c>
      <c r="O2092" s="171" t="str">
        <f ca="1">IFERROR(IF(VLOOKUP(C2092,' Disaggregation - Section E '!A$618:N1296,9,0)=0,"",VLOOKUP(C2092,' Disaggregation - Section E '!A$618:N1296,9,0)),"")</f>
        <v/>
      </c>
      <c r="P2092" s="171" t="str">
        <f ca="1">IFERROR(IF(VLOOKUP(C2092,' Disaggregation - Section E '!A$618:N1296,10,0)=0,"",VLOOKUP(C2092,' Disaggregation - Section E '!A$618:N1296,10,0)),"")</f>
        <v/>
      </c>
    </row>
    <row r="2093" spans="1:16">
      <c r="A2093" s="166" t="b">
        <f t="shared" ca="1" si="145"/>
        <v>0</v>
      </c>
      <c r="B2093" s="166"/>
      <c r="C2093" s="172" t="str">
        <f ca="1">IF(COUNTA(D$1418:D2093)=1,"",OFFSET(B2091,-COUNTA(D$1418:D2093)+3,1))</f>
        <v>a163p000004VjlsAAC</v>
      </c>
      <c r="D2093" s="177"/>
      <c r="E2093" s="168" t="str">
        <f ca="1">IFERROR(IF(VLOOKUP(C2093,' Disaggregation - Section E '!A$618:N1297,7,0)="","",VLOOKUP(C2093,' Disaggregation - Section E '!A$618:N1297,7,0)*100),"")</f>
        <v/>
      </c>
      <c r="F2093" s="171" t="str">
        <f ca="1">IFERROR(VLOOKUP(C2093,' Disaggregation - Section E '!A$618:N1297,5,0),"")</f>
        <v/>
      </c>
      <c r="G2093" s="170" t="str">
        <f ca="1">IFERROR(IF(VLOOKUP(C2093,' Disaggregation - Section E '!A$618:N1297,6,0)="","",VLOOKUP(C2093,' Disaggregation - Section E '!A$618:N1297,6,0)),"")</f>
        <v/>
      </c>
      <c r="H2093" s="177" t="str">
        <f ca="1">IFERROR(IF(INDEX(' Disaggregation - Section E '!F$618:F2494,MATCH(C2093,' Disaggregation - Section E '!A$618:A2494,0)+1,1)&lt;&gt;0,INDEX(' Disaggregation - Section E '!F$618:F$1820,MATCH(C2093,' Disaggregation - Section E '!A$618:A2494,0)+1,1),""),"")</f>
        <v/>
      </c>
      <c r="I2093" s="171" t="str">
        <f ca="1">IFERROR(IF(VLOOKUP(C2093,' Disaggregation - Section E '!A$618:N1297,8,0)=0,"",VLOOKUP(C2093,' Disaggregation - Section E '!A$618:N1297,8,0)),"")</f>
        <v/>
      </c>
      <c r="J2093" s="171" t="str">
        <f ca="1">IFERROR(IF(VLOOKUP(C2093,' Disaggregation - Section E '!A$618:N2494,13,0)=0,"",VLOOKUP(C2093,' Disaggregation - Section E '!A$618:N2494,13,0)),"")</f>
        <v/>
      </c>
      <c r="K2093" s="166" t="str">
        <f ca="1">IFERROR(VLOOKUP(C2093,' Disaggregation - Section E '!A$618:N1297,3,0),"")</f>
        <v>HTS-3b⁽ᴹ⁾ Porcentaje de personas transgénero a los que se les ha realizado una prueba de VIH durante el período de reporte y que conocen sus resultados</v>
      </c>
      <c r="L2093" s="166"/>
      <c r="M2093" s="166" t="str">
        <f ca="1">IFERROR(IF(VLOOKUP(C2093,' Disaggregation - Section E '!A$618:T1297,20,0)=0,"",VLOOKUP(C2093,' Disaggregation - Section E '!A$618:T1297,20,0)),"")</f>
        <v/>
      </c>
      <c r="N2093" s="171" t="str">
        <f ca="1">IFERROR(IF(VLOOKUP(C2093,' Disaggregation - Section E '!A$618:N1297,14,0)=0,"",VLOOKUP(C2093,' Disaggregation - Section E '!A$618:N1297,14,0)),"")</f>
        <v/>
      </c>
      <c r="O2093" s="171" t="str">
        <f ca="1">IFERROR(IF(VLOOKUP(C2093,' Disaggregation - Section E '!A$618:N1297,9,0)=0,"",VLOOKUP(C2093,' Disaggregation - Section E '!A$618:N1297,9,0)),"")</f>
        <v/>
      </c>
      <c r="P2093" s="171" t="str">
        <f ca="1">IFERROR(IF(VLOOKUP(C2093,' Disaggregation - Section E '!A$618:N1297,10,0)=0,"",VLOOKUP(C2093,' Disaggregation - Section E '!A$618:N1297,10,0)),"")</f>
        <v/>
      </c>
    </row>
    <row r="2094" spans="1:16">
      <c r="A2094" s="166" t="b">
        <f t="shared" ca="1" si="145"/>
        <v>0</v>
      </c>
      <c r="B2094" s="166"/>
      <c r="C2094" s="172" t="str">
        <f ca="1">IF(COUNTA(D$1418:D2094)=1,"",OFFSET(B2092,-COUNTA(D$1418:D2094)+3,1))</f>
        <v>a163p000004VjltAAC</v>
      </c>
      <c r="D2094" s="177"/>
      <c r="E2094" s="168" t="str">
        <f ca="1">IFERROR(IF(VLOOKUP(C2094,' Disaggregation - Section E '!A$618:N1298,7,0)="","",VLOOKUP(C2094,' Disaggregation - Section E '!A$618:N1298,7,0)*100),"")</f>
        <v/>
      </c>
      <c r="F2094" s="171" t="str">
        <f ca="1">IFERROR(VLOOKUP(C2094,' Disaggregation - Section E '!A$618:N1298,5,0),"")</f>
        <v/>
      </c>
      <c r="G2094" s="170" t="str">
        <f ca="1">IFERROR(IF(VLOOKUP(C2094,' Disaggregation - Section E '!A$618:N1298,6,0)="","",VLOOKUP(C2094,' Disaggregation - Section E '!A$618:N1298,6,0)),"")</f>
        <v/>
      </c>
      <c r="H2094" s="177" t="str">
        <f ca="1">IFERROR(IF(INDEX(' Disaggregation - Section E '!F$618:F2495,MATCH(C2094,' Disaggregation - Section E '!A$618:A2495,0)+1,1)&lt;&gt;0,INDEX(' Disaggregation - Section E '!F$618:F$1820,MATCH(C2094,' Disaggregation - Section E '!A$618:A2495,0)+1,1),""),"")</f>
        <v/>
      </c>
      <c r="I2094" s="171" t="str">
        <f ca="1">IFERROR(IF(VLOOKUP(C2094,' Disaggregation - Section E '!A$618:N1298,8,0)=0,"",VLOOKUP(C2094,' Disaggregation - Section E '!A$618:N1298,8,0)),"")</f>
        <v/>
      </c>
      <c r="J2094" s="171" t="str">
        <f ca="1">IFERROR(IF(VLOOKUP(C2094,' Disaggregation - Section E '!A$618:N2495,13,0)=0,"",VLOOKUP(C2094,' Disaggregation - Section E '!A$618:N2495,13,0)),"")</f>
        <v/>
      </c>
      <c r="K2094" s="166" t="str">
        <f ca="1">IFERROR(VLOOKUP(C2094,' Disaggregation - Section E '!A$618:N1298,3,0),"")</f>
        <v>HTS-3b⁽ᴹ⁾ Porcentaje de personas transgénero a los que se les ha realizado una prueba de VIH durante el período de reporte y que conocen sus resultados</v>
      </c>
      <c r="L2094" s="166"/>
      <c r="M2094" s="166" t="str">
        <f ca="1">IFERROR(IF(VLOOKUP(C2094,' Disaggregation - Section E '!A$618:T1298,20,0)=0,"",VLOOKUP(C2094,' Disaggregation - Section E '!A$618:T1298,20,0)),"")</f>
        <v/>
      </c>
      <c r="N2094" s="171" t="str">
        <f ca="1">IFERROR(IF(VLOOKUP(C2094,' Disaggregation - Section E '!A$618:N1298,14,0)=0,"",VLOOKUP(C2094,' Disaggregation - Section E '!A$618:N1298,14,0)),"")</f>
        <v/>
      </c>
      <c r="O2094" s="171" t="str">
        <f ca="1">IFERROR(IF(VLOOKUP(C2094,' Disaggregation - Section E '!A$618:N1298,9,0)=0,"",VLOOKUP(C2094,' Disaggregation - Section E '!A$618:N1298,9,0)),"")</f>
        <v/>
      </c>
      <c r="P2094" s="171" t="str">
        <f ca="1">IFERROR(IF(VLOOKUP(C2094,' Disaggregation - Section E '!A$618:N1298,10,0)=0,"",VLOOKUP(C2094,' Disaggregation - Section E '!A$618:N1298,10,0)),"")</f>
        <v/>
      </c>
    </row>
    <row r="2095" spans="1:16">
      <c r="A2095" s="166" t="b">
        <f t="shared" ca="1" si="145"/>
        <v>0</v>
      </c>
      <c r="B2095" s="166"/>
      <c r="C2095" s="172" t="str">
        <f ca="1">IF(COUNTA(D$1418:D2095)=1,"",OFFSET(B2093,-COUNTA(D$1418:D2095)+3,1))</f>
        <v>a163p000004VjluAAC</v>
      </c>
      <c r="D2095" s="177"/>
      <c r="E2095" s="168" t="str">
        <f ca="1">IFERROR(IF(VLOOKUP(C2095,' Disaggregation - Section E '!A$618:N1299,7,0)="","",VLOOKUP(C2095,' Disaggregation - Section E '!A$618:N1299,7,0)*100),"")</f>
        <v/>
      </c>
      <c r="F2095" s="171" t="str">
        <f ca="1">IFERROR(VLOOKUP(C2095,' Disaggregation - Section E '!A$618:N1299,5,0),"")</f>
        <v/>
      </c>
      <c r="G2095" s="170" t="str">
        <f ca="1">IFERROR(IF(VLOOKUP(C2095,' Disaggregation - Section E '!A$618:N1299,6,0)="","",VLOOKUP(C2095,' Disaggregation - Section E '!A$618:N1299,6,0)),"")</f>
        <v/>
      </c>
      <c r="H2095" s="177" t="str">
        <f ca="1">IFERROR(IF(INDEX(' Disaggregation - Section E '!F$618:F2496,MATCH(C2095,' Disaggregation - Section E '!A$618:A2496,0)+1,1)&lt;&gt;0,INDEX(' Disaggregation - Section E '!F$618:F$1820,MATCH(C2095,' Disaggregation - Section E '!A$618:A2496,0)+1,1),""),"")</f>
        <v/>
      </c>
      <c r="I2095" s="171" t="str">
        <f ca="1">IFERROR(IF(VLOOKUP(C2095,' Disaggregation - Section E '!A$618:N1299,8,0)=0,"",VLOOKUP(C2095,' Disaggregation - Section E '!A$618:N1299,8,0)),"")</f>
        <v/>
      </c>
      <c r="J2095" s="171" t="str">
        <f ca="1">IFERROR(IF(VLOOKUP(C2095,' Disaggregation - Section E '!A$618:N2496,13,0)=0,"",VLOOKUP(C2095,' Disaggregation - Section E '!A$618:N2496,13,0)),"")</f>
        <v/>
      </c>
      <c r="K2095" s="166" t="str">
        <f ca="1">IFERROR(VLOOKUP(C2095,' Disaggregation - Section E '!A$618:N1299,3,0),"")</f>
        <v>HTS-3b⁽ᴹ⁾ Porcentaje de personas transgénero a los que se les ha realizado una prueba de VIH durante el período de reporte y que conocen sus resultados</v>
      </c>
      <c r="L2095" s="166"/>
      <c r="M2095" s="166" t="str">
        <f ca="1">IFERROR(IF(VLOOKUP(C2095,' Disaggregation - Section E '!A$618:T1299,20,0)=0,"",VLOOKUP(C2095,' Disaggregation - Section E '!A$618:T1299,20,0)),"")</f>
        <v/>
      </c>
      <c r="N2095" s="171" t="str">
        <f ca="1">IFERROR(IF(VLOOKUP(C2095,' Disaggregation - Section E '!A$618:N1299,14,0)=0,"",VLOOKUP(C2095,' Disaggregation - Section E '!A$618:N1299,14,0)),"")</f>
        <v/>
      </c>
      <c r="O2095" s="171" t="str">
        <f ca="1">IFERROR(IF(VLOOKUP(C2095,' Disaggregation - Section E '!A$618:N1299,9,0)=0,"",VLOOKUP(C2095,' Disaggregation - Section E '!A$618:N1299,9,0)),"")</f>
        <v/>
      </c>
      <c r="P2095" s="171" t="str">
        <f ca="1">IFERROR(IF(VLOOKUP(C2095,' Disaggregation - Section E '!A$618:N1299,10,0)=0,"",VLOOKUP(C2095,' Disaggregation - Section E '!A$618:N1299,10,0)),"")</f>
        <v/>
      </c>
    </row>
    <row r="2096" spans="1:16">
      <c r="A2096" s="166" t="b">
        <f t="shared" ca="1" si="145"/>
        <v>0</v>
      </c>
      <c r="B2096" s="166"/>
      <c r="C2096" s="172" t="str">
        <f ca="1">IF(COUNTA(D$1418:D2096)=1,"",OFFSET(B2094,-COUNTA(D$1418:D2096)+3,1))</f>
        <v>a163p000004VjlvAAC</v>
      </c>
      <c r="D2096" s="177"/>
      <c r="E2096" s="168" t="str">
        <f ca="1">IFERROR(IF(VLOOKUP(C2096,' Disaggregation - Section E '!A$618:N1300,7,0)="","",VLOOKUP(C2096,' Disaggregation - Section E '!A$618:N1300,7,0)*100),"")</f>
        <v/>
      </c>
      <c r="F2096" s="171" t="str">
        <f ca="1">IFERROR(VLOOKUP(C2096,' Disaggregation - Section E '!A$618:N1300,5,0),"")</f>
        <v/>
      </c>
      <c r="G2096" s="170" t="str">
        <f ca="1">IFERROR(IF(VLOOKUP(C2096,' Disaggregation - Section E '!A$618:N1300,6,0)="","",VLOOKUP(C2096,' Disaggregation - Section E '!A$618:N1300,6,0)),"")</f>
        <v/>
      </c>
      <c r="H2096" s="177" t="str">
        <f ca="1">IFERROR(IF(INDEX(' Disaggregation - Section E '!F$618:F2497,MATCH(C2096,' Disaggregation - Section E '!A$618:A2497,0)+1,1)&lt;&gt;0,INDEX(' Disaggregation - Section E '!F$618:F$1820,MATCH(C2096,' Disaggregation - Section E '!A$618:A2497,0)+1,1),""),"")</f>
        <v/>
      </c>
      <c r="I2096" s="171" t="str">
        <f ca="1">IFERROR(IF(VLOOKUP(C2096,' Disaggregation - Section E '!A$618:N1300,8,0)=0,"",VLOOKUP(C2096,' Disaggregation - Section E '!A$618:N1300,8,0)),"")</f>
        <v/>
      </c>
      <c r="J2096" s="171" t="str">
        <f ca="1">IFERROR(IF(VLOOKUP(C2096,' Disaggregation - Section E '!A$618:N2497,13,0)=0,"",VLOOKUP(C2096,' Disaggregation - Section E '!A$618:N2497,13,0)),"")</f>
        <v/>
      </c>
      <c r="K2096" s="166" t="str">
        <f ca="1">IFERROR(VLOOKUP(C2096,' Disaggregation - Section E '!A$618:N1300,3,0),"")</f>
        <v>HTS-3b⁽ᴹ⁾ Porcentaje de personas transgénero a los que se les ha realizado una prueba de VIH durante el período de reporte y que conocen sus resultados</v>
      </c>
      <c r="L2096" s="166"/>
      <c r="M2096" s="166" t="str">
        <f ca="1">IFERROR(IF(VLOOKUP(C2096,' Disaggregation - Section E '!A$618:T1300,20,0)=0,"",VLOOKUP(C2096,' Disaggregation - Section E '!A$618:T1300,20,0)),"")</f>
        <v/>
      </c>
      <c r="N2096" s="171" t="str">
        <f ca="1">IFERROR(IF(VLOOKUP(C2096,' Disaggregation - Section E '!A$618:N1300,14,0)=0,"",VLOOKUP(C2096,' Disaggregation - Section E '!A$618:N1300,14,0)),"")</f>
        <v/>
      </c>
      <c r="O2096" s="171" t="str">
        <f ca="1">IFERROR(IF(VLOOKUP(C2096,' Disaggregation - Section E '!A$618:N1300,9,0)=0,"",VLOOKUP(C2096,' Disaggregation - Section E '!A$618:N1300,9,0)),"")</f>
        <v/>
      </c>
      <c r="P2096" s="171" t="str">
        <f ca="1">IFERROR(IF(VLOOKUP(C2096,' Disaggregation - Section E '!A$618:N1300,10,0)=0,"",VLOOKUP(C2096,' Disaggregation - Section E '!A$618:N1300,10,0)),"")</f>
        <v/>
      </c>
    </row>
    <row r="2097" spans="1:16">
      <c r="A2097" s="166" t="b">
        <f t="shared" ca="1" si="145"/>
        <v>0</v>
      </c>
      <c r="B2097" s="166"/>
      <c r="C2097" s="172" t="str">
        <f ca="1">IF(COUNTA(D$1418:D2097)=1,"",OFFSET(B2095,-COUNTA(D$1418:D2097)+3,1))</f>
        <v>a163p000004VjlwAAC</v>
      </c>
      <c r="D2097" s="177"/>
      <c r="E2097" s="168" t="str">
        <f ca="1">IFERROR(IF(VLOOKUP(C2097,' Disaggregation - Section E '!A$618:N1301,7,0)="","",VLOOKUP(C2097,' Disaggregation - Section E '!A$618:N1301,7,0)*100),"")</f>
        <v/>
      </c>
      <c r="F2097" s="171" t="str">
        <f ca="1">IFERROR(VLOOKUP(C2097,' Disaggregation - Section E '!A$618:N1301,5,0),"")</f>
        <v/>
      </c>
      <c r="G2097" s="170" t="str">
        <f ca="1">IFERROR(IF(VLOOKUP(C2097,' Disaggregation - Section E '!A$618:N1301,6,0)="","",VLOOKUP(C2097,' Disaggregation - Section E '!A$618:N1301,6,0)),"")</f>
        <v/>
      </c>
      <c r="H2097" s="177" t="str">
        <f ca="1">IFERROR(IF(INDEX(' Disaggregation - Section E '!F$618:F2498,MATCH(C2097,' Disaggregation - Section E '!A$618:A2498,0)+1,1)&lt;&gt;0,INDEX(' Disaggregation - Section E '!F$618:F$1820,MATCH(C2097,' Disaggregation - Section E '!A$618:A2498,0)+1,1),""),"")</f>
        <v/>
      </c>
      <c r="I2097" s="171" t="str">
        <f ca="1">IFERROR(IF(VLOOKUP(C2097,' Disaggregation - Section E '!A$618:N1301,8,0)=0,"",VLOOKUP(C2097,' Disaggregation - Section E '!A$618:N1301,8,0)),"")</f>
        <v/>
      </c>
      <c r="J2097" s="171" t="str">
        <f ca="1">IFERROR(IF(VLOOKUP(C2097,' Disaggregation - Section E '!A$618:N2498,13,0)=0,"",VLOOKUP(C2097,' Disaggregation - Section E '!A$618:N2498,13,0)),"")</f>
        <v/>
      </c>
      <c r="K2097" s="166" t="str">
        <f ca="1">IFERROR(VLOOKUP(C2097,' Disaggregation - Section E '!A$618:N1301,3,0),"")</f>
        <v>HTS-3b⁽ᴹ⁾ Porcentaje de personas transgénero a los que se les ha realizado una prueba de VIH durante el período de reporte y que conocen sus resultados</v>
      </c>
      <c r="L2097" s="166"/>
      <c r="M2097" s="166" t="str">
        <f ca="1">IFERROR(IF(VLOOKUP(C2097,' Disaggregation - Section E '!A$618:T1301,20,0)=0,"",VLOOKUP(C2097,' Disaggregation - Section E '!A$618:T1301,20,0)),"")</f>
        <v/>
      </c>
      <c r="N2097" s="171" t="str">
        <f ca="1">IFERROR(IF(VLOOKUP(C2097,' Disaggregation - Section E '!A$618:N1301,14,0)=0,"",VLOOKUP(C2097,' Disaggregation - Section E '!A$618:N1301,14,0)),"")</f>
        <v/>
      </c>
      <c r="O2097" s="171" t="str">
        <f ca="1">IFERROR(IF(VLOOKUP(C2097,' Disaggregation - Section E '!A$618:N1301,9,0)=0,"",VLOOKUP(C2097,' Disaggregation - Section E '!A$618:N1301,9,0)),"")</f>
        <v/>
      </c>
      <c r="P2097" s="171" t="str">
        <f ca="1">IFERROR(IF(VLOOKUP(C2097,' Disaggregation - Section E '!A$618:N1301,10,0)=0,"",VLOOKUP(C2097,' Disaggregation - Section E '!A$618:N1301,10,0)),"")</f>
        <v/>
      </c>
    </row>
    <row r="2098" spans="1:16">
      <c r="A2098" s="166" t="b">
        <f t="shared" ca="1" si="145"/>
        <v>0</v>
      </c>
      <c r="B2098" s="166"/>
      <c r="C2098" s="172" t="str">
        <f ca="1">IF(COUNTA(D$1418:D2098)=1,"",OFFSET(B2096,-COUNTA(D$1418:D2098)+3,1))</f>
        <v>a163p000004VjlxAAC</v>
      </c>
      <c r="D2098" s="177"/>
      <c r="E2098" s="168" t="str">
        <f ca="1">IFERROR(IF(VLOOKUP(C2098,' Disaggregation - Section E '!A$618:N1302,7,0)="","",VLOOKUP(C2098,' Disaggregation - Section E '!A$618:N1302,7,0)*100),"")</f>
        <v/>
      </c>
      <c r="F2098" s="171" t="str">
        <f ca="1">IFERROR(VLOOKUP(C2098,' Disaggregation - Section E '!A$618:N1302,5,0),"")</f>
        <v/>
      </c>
      <c r="G2098" s="170" t="str">
        <f ca="1">IFERROR(IF(VLOOKUP(C2098,' Disaggregation - Section E '!A$618:N1302,6,0)="","",VLOOKUP(C2098,' Disaggregation - Section E '!A$618:N1302,6,0)),"")</f>
        <v/>
      </c>
      <c r="H2098" s="177" t="str">
        <f ca="1">IFERROR(IF(INDEX(' Disaggregation - Section E '!F$618:F2499,MATCH(C2098,' Disaggregation - Section E '!A$618:A2499,0)+1,1)&lt;&gt;0,INDEX(' Disaggregation - Section E '!F$618:F$1820,MATCH(C2098,' Disaggregation - Section E '!A$618:A2499,0)+1,1),""),"")</f>
        <v/>
      </c>
      <c r="I2098" s="171" t="str">
        <f ca="1">IFERROR(IF(VLOOKUP(C2098,' Disaggregation - Section E '!A$618:N1302,8,0)=0,"",VLOOKUP(C2098,' Disaggregation - Section E '!A$618:N1302,8,0)),"")</f>
        <v/>
      </c>
      <c r="J2098" s="171" t="str">
        <f ca="1">IFERROR(IF(VLOOKUP(C2098,' Disaggregation - Section E '!A$618:N2499,13,0)=0,"",VLOOKUP(C2098,' Disaggregation - Section E '!A$618:N2499,13,0)),"")</f>
        <v/>
      </c>
      <c r="K2098" s="166" t="str">
        <f ca="1">IFERROR(VLOOKUP(C2098,' Disaggregation - Section E '!A$618:N1302,3,0),"")</f>
        <v>HTS-3b⁽ᴹ⁾ Porcentaje de personas transgénero a los que se les ha realizado una prueba de VIH durante el período de reporte y que conocen sus resultados</v>
      </c>
      <c r="L2098" s="166"/>
      <c r="M2098" s="166" t="str">
        <f ca="1">IFERROR(IF(VLOOKUP(C2098,' Disaggregation - Section E '!A$618:T1302,20,0)=0,"",VLOOKUP(C2098,' Disaggregation - Section E '!A$618:T1302,20,0)),"")</f>
        <v/>
      </c>
      <c r="N2098" s="171" t="str">
        <f ca="1">IFERROR(IF(VLOOKUP(C2098,' Disaggregation - Section E '!A$618:N1302,14,0)=0,"",VLOOKUP(C2098,' Disaggregation - Section E '!A$618:N1302,14,0)),"")</f>
        <v/>
      </c>
      <c r="O2098" s="171" t="str">
        <f ca="1">IFERROR(IF(VLOOKUP(C2098,' Disaggregation - Section E '!A$618:N1302,9,0)=0,"",VLOOKUP(C2098,' Disaggregation - Section E '!A$618:N1302,9,0)),"")</f>
        <v/>
      </c>
      <c r="P2098" s="171" t="str">
        <f ca="1">IFERROR(IF(VLOOKUP(C2098,' Disaggregation - Section E '!A$618:N1302,10,0)=0,"",VLOOKUP(C2098,' Disaggregation - Section E '!A$618:N1302,10,0)),"")</f>
        <v/>
      </c>
    </row>
    <row r="2099" spans="1:16">
      <c r="A2099" s="166" t="b">
        <f t="shared" ca="1" si="145"/>
        <v>0</v>
      </c>
      <c r="B2099" s="166"/>
      <c r="C2099" s="172" t="str">
        <f ca="1">IF(COUNTA(D$1418:D2099)=1,"",OFFSET(B2097,-COUNTA(D$1418:D2099)+3,1))</f>
        <v>a163p000004VjlyAAC</v>
      </c>
      <c r="D2099" s="177"/>
      <c r="E2099" s="168" t="str">
        <f ca="1">IFERROR(IF(VLOOKUP(C2099,' Disaggregation - Section E '!A$618:N1303,7,0)="","",VLOOKUP(C2099,' Disaggregation - Section E '!A$618:N1303,7,0)*100),"")</f>
        <v/>
      </c>
      <c r="F2099" s="171" t="str">
        <f ca="1">IFERROR(VLOOKUP(C2099,' Disaggregation - Section E '!A$618:N1303,5,0),"")</f>
        <v/>
      </c>
      <c r="G2099" s="170" t="str">
        <f ca="1">IFERROR(IF(VLOOKUP(C2099,' Disaggregation - Section E '!A$618:N1303,6,0)="","",VLOOKUP(C2099,' Disaggregation - Section E '!A$618:N1303,6,0)),"")</f>
        <v/>
      </c>
      <c r="H2099" s="177" t="str">
        <f ca="1">IFERROR(IF(INDEX(' Disaggregation - Section E '!F$618:F2500,MATCH(C2099,' Disaggregation - Section E '!A$618:A2500,0)+1,1)&lt;&gt;0,INDEX(' Disaggregation - Section E '!F$618:F$1820,MATCH(C2099,' Disaggregation - Section E '!A$618:A2500,0)+1,1),""),"")</f>
        <v/>
      </c>
      <c r="I2099" s="171" t="str">
        <f ca="1">IFERROR(IF(VLOOKUP(C2099,' Disaggregation - Section E '!A$618:N1303,8,0)=0,"",VLOOKUP(C2099,' Disaggregation - Section E '!A$618:N1303,8,0)),"")</f>
        <v/>
      </c>
      <c r="J2099" s="171" t="str">
        <f ca="1">IFERROR(IF(VLOOKUP(C2099,' Disaggregation - Section E '!A$618:N2500,13,0)=0,"",VLOOKUP(C2099,' Disaggregation - Section E '!A$618:N2500,13,0)),"")</f>
        <v/>
      </c>
      <c r="K2099" s="166" t="str">
        <f ca="1">IFERROR(VLOOKUP(C2099,' Disaggregation - Section E '!A$618:N1303,3,0),"")</f>
        <v>HTS-3b⁽ᴹ⁾ Porcentaje de personas transgénero a los que se les ha realizado una prueba de VIH durante el período de reporte y que conocen sus resultados</v>
      </c>
      <c r="L2099" s="166"/>
      <c r="M2099" s="166" t="str">
        <f ca="1">IFERROR(IF(VLOOKUP(C2099,' Disaggregation - Section E '!A$618:T1303,20,0)=0,"",VLOOKUP(C2099,' Disaggregation - Section E '!A$618:T1303,20,0)),"")</f>
        <v/>
      </c>
      <c r="N2099" s="171" t="str">
        <f ca="1">IFERROR(IF(VLOOKUP(C2099,' Disaggregation - Section E '!A$618:N1303,14,0)=0,"",VLOOKUP(C2099,' Disaggregation - Section E '!A$618:N1303,14,0)),"")</f>
        <v/>
      </c>
      <c r="O2099" s="171" t="str">
        <f ca="1">IFERROR(IF(VLOOKUP(C2099,' Disaggregation - Section E '!A$618:N1303,9,0)=0,"",VLOOKUP(C2099,' Disaggregation - Section E '!A$618:N1303,9,0)),"")</f>
        <v/>
      </c>
      <c r="P2099" s="171" t="str">
        <f ca="1">IFERROR(IF(VLOOKUP(C2099,' Disaggregation - Section E '!A$618:N1303,10,0)=0,"",VLOOKUP(C2099,' Disaggregation - Section E '!A$618:N1303,10,0)),"")</f>
        <v/>
      </c>
    </row>
    <row r="2100" spans="1:16">
      <c r="A2100" s="166" t="b">
        <f t="shared" ca="1" si="145"/>
        <v>1</v>
      </c>
      <c r="B2100" s="166"/>
      <c r="C2100" s="172" t="str">
        <f ca="1">IF(COUNTA(D$1418:D2100)=1,"",OFFSET(B2098,-COUNTA(D$1418:D2100)+3,1))</f>
        <v>a163p000004VjlzAAC</v>
      </c>
      <c r="D2100" s="177"/>
      <c r="E2100" s="168" t="str">
        <f ca="1">IFERROR(IF(VLOOKUP(C2100,' Disaggregation - Section E '!A$618:N1304,7,0)="","",VLOOKUP(C2100,' Disaggregation - Section E '!A$618:N1304,7,0)*100),"")</f>
        <v/>
      </c>
      <c r="F2100" s="171" t="str">
        <f ca="1">IFERROR(VLOOKUP(C2100,' Disaggregation - Section E '!A$618:N1304,5,0),"")</f>
        <v>Reclusos</v>
      </c>
      <c r="G2100" s="170" t="str">
        <f ca="1">IFERROR(IF(VLOOKUP(C2100,' Disaggregation - Section E '!A$618:N1304,6,0)="","",VLOOKUP(C2100,' Disaggregation - Section E '!A$618:N1304,6,0)),"")</f>
        <v/>
      </c>
      <c r="H2100" s="177" t="str">
        <f ca="1">IFERROR(IF(INDEX(' Disaggregation - Section E '!F$618:F2501,MATCH(C2100,' Disaggregation - Section E '!A$618:A2501,0)+1,1)&lt;&gt;0,INDEX(' Disaggregation - Section E '!F$618:F$1820,MATCH(C2100,' Disaggregation - Section E '!A$618:A2501,0)+1,1),""),"")</f>
        <v/>
      </c>
      <c r="I2100" s="171" t="str">
        <f ca="1">IFERROR(IF(VLOOKUP(C2100,' Disaggregation - Section E '!A$618:N1304,8,0)=0,"",VLOOKUP(C2100,' Disaggregation - Section E '!A$618:N1304,8,0)),"")</f>
        <v/>
      </c>
      <c r="J2100" s="171" t="str">
        <f ca="1">IFERROR(IF(VLOOKUP(C2100,' Disaggregation - Section E '!A$618:N2501,13,0)=0,"",VLOOKUP(C2100,' Disaggregation - Section E '!A$618:N2501,13,0)),"")</f>
        <v/>
      </c>
      <c r="K2100" s="166" t="str">
        <f ca="1">IFERROR(VLOOKUP(C2100,' Disaggregation - Section E '!A$618:N1304,3,0),"")</f>
        <v>TCS-1.1⁽ᴹ⁾ Porcentaje de personas en TARV entre todas las personas viviendo con VIH al final del período de reporte</v>
      </c>
      <c r="L2100" s="166"/>
      <c r="M2100" s="166" t="str">
        <f ca="1">IFERROR(IF(VLOOKUP(C2100,' Disaggregation - Section E '!A$618:T1304,20,0)=0,"",VLOOKUP(C2100,' Disaggregation - Section E '!A$618:T1304,20,0)),"")</f>
        <v>IDR-00980</v>
      </c>
      <c r="N2100" s="171" t="str">
        <f ca="1">IFERROR(IF(VLOOKUP(C2100,' Disaggregation - Section E '!A$618:N1304,14,0)=0,"",VLOOKUP(C2100,' Disaggregation - Section E '!A$618:N1304,14,0)),"")</f>
        <v/>
      </c>
      <c r="O2100" s="171" t="str">
        <f ca="1">IFERROR(IF(VLOOKUP(C2100,' Disaggregation - Section E '!A$618:N1304,9,0)=0,"",VLOOKUP(C2100,' Disaggregation - Section E '!A$618:N1304,9,0)),"")</f>
        <v/>
      </c>
      <c r="P2100" s="171" t="str">
        <f ca="1">IFERROR(IF(VLOOKUP(C2100,' Disaggregation - Section E '!A$618:N1304,10,0)=0,"",VLOOKUP(C2100,' Disaggregation - Section E '!A$618:N1304,10,0)),"")</f>
        <v/>
      </c>
    </row>
    <row r="2101" spans="1:16">
      <c r="A2101" s="166" t="b">
        <f t="shared" ca="1" si="145"/>
        <v>1</v>
      </c>
      <c r="B2101" s="166"/>
      <c r="C2101" s="172" t="str">
        <f ca="1">IF(COUNTA(D$1418:D2101)=1,"",OFFSET(B2099,-COUNTA(D$1418:D2101)+3,1))</f>
        <v>a163p000004Vjm0AAC</v>
      </c>
      <c r="D2101" s="177"/>
      <c r="E2101" s="168" t="str">
        <f ca="1">IFERROR(IF(VLOOKUP(C2101,' Disaggregation - Section E '!A$618:N1305,7,0)="","",VLOOKUP(C2101,' Disaggregation - Section E '!A$618:N1305,7,0)*100),"")</f>
        <v/>
      </c>
      <c r="F2101" s="171" t="str">
        <f ca="1">IFERROR(VLOOKUP(C2101,' Disaggregation - Section E '!A$618:N1305,5,0),"")</f>
        <v>PWID</v>
      </c>
      <c r="G2101" s="170" t="str">
        <f ca="1">IFERROR(IF(VLOOKUP(C2101,' Disaggregation - Section E '!A$618:N1305,6,0)="","",VLOOKUP(C2101,' Disaggregation - Section E '!A$618:N1305,6,0)),"")</f>
        <v/>
      </c>
      <c r="H2101" s="177" t="str">
        <f ca="1">IFERROR(IF(INDEX(' Disaggregation - Section E '!F$618:F2502,MATCH(C2101,' Disaggregation - Section E '!A$618:A2502,0)+1,1)&lt;&gt;0,INDEX(' Disaggregation - Section E '!F$618:F$1820,MATCH(C2101,' Disaggregation - Section E '!A$618:A2502,0)+1,1),""),"")</f>
        <v/>
      </c>
      <c r="I2101" s="171" t="str">
        <f ca="1">IFERROR(IF(VLOOKUP(C2101,' Disaggregation - Section E '!A$618:N1305,8,0)=0,"",VLOOKUP(C2101,' Disaggregation - Section E '!A$618:N1305,8,0)),"")</f>
        <v/>
      </c>
      <c r="J2101" s="171" t="str">
        <f ca="1">IFERROR(IF(VLOOKUP(C2101,' Disaggregation - Section E '!A$618:N2502,13,0)=0,"",VLOOKUP(C2101,' Disaggregation - Section E '!A$618:N2502,13,0)),"")</f>
        <v/>
      </c>
      <c r="K2101" s="166" t="str">
        <f ca="1">IFERROR(VLOOKUP(C2101,' Disaggregation - Section E '!A$618:N1305,3,0),"")</f>
        <v>TCS-1.1⁽ᴹ⁾ Porcentaje de personas en TARV entre todas las personas viviendo con VIH al final del período de reporte</v>
      </c>
      <c r="L2101" s="166"/>
      <c r="M2101" s="166" t="str">
        <f ca="1">IFERROR(IF(VLOOKUP(C2101,' Disaggregation - Section E '!A$618:T1305,20,0)=0,"",VLOOKUP(C2101,' Disaggregation - Section E '!A$618:T1305,20,0)),"")</f>
        <v>IDR-00979</v>
      </c>
      <c r="N2101" s="171" t="str">
        <f ca="1">IFERROR(IF(VLOOKUP(C2101,' Disaggregation - Section E '!A$618:N1305,14,0)=0,"",VLOOKUP(C2101,' Disaggregation - Section E '!A$618:N1305,14,0)),"")</f>
        <v/>
      </c>
      <c r="O2101" s="171" t="str">
        <f ca="1">IFERROR(IF(VLOOKUP(C2101,' Disaggregation - Section E '!A$618:N1305,9,0)=0,"",VLOOKUP(C2101,' Disaggregation - Section E '!A$618:N1305,9,0)),"")</f>
        <v/>
      </c>
      <c r="P2101" s="171" t="str">
        <f ca="1">IFERROR(IF(VLOOKUP(C2101,' Disaggregation - Section E '!A$618:N1305,10,0)=0,"",VLOOKUP(C2101,' Disaggregation - Section E '!A$618:N1305,10,0)),"")</f>
        <v/>
      </c>
    </row>
    <row r="2102" spans="1:16">
      <c r="A2102" s="166" t="b">
        <f t="shared" ca="1" si="145"/>
        <v>1</v>
      </c>
      <c r="B2102" s="166"/>
      <c r="C2102" s="172" t="str">
        <f ca="1">IF(COUNTA(D$1418:D2102)=1,"",OFFSET(B2100,-COUNTA(D$1418:D2102)+3,1))</f>
        <v>a163p000004Vjm1AAC</v>
      </c>
      <c r="D2102" s="177"/>
      <c r="E2102" s="168">
        <f ca="1">IFERROR(IF(VLOOKUP(C2102,' Disaggregation - Section E '!A$618:N1306,7,0)="","",VLOOKUP(C2102,' Disaggregation - Section E '!A$618:N1306,7,0)*100),"")</f>
        <v>128.43137254901961</v>
      </c>
      <c r="F2102" s="171" t="str">
        <f ca="1">IFERROR(VLOOKUP(C2102,' Disaggregation - Section E '!A$618:N1306,5,0),"")</f>
        <v>Trabajadores sexuales</v>
      </c>
      <c r="G2102" s="170">
        <f ca="1">IFERROR(IF(VLOOKUP(C2102,' Disaggregation - Section E '!A$618:N1306,6,0)="","",VLOOKUP(C2102,' Disaggregation - Section E '!A$618:N1306,6,0)),"")</f>
        <v>131</v>
      </c>
      <c r="H2102" s="177">
        <f ca="1">IFERROR(IF(INDEX(' Disaggregation - Section E '!F$618:F2503,MATCH(C2102,' Disaggregation - Section E '!A$618:A2503,0)+1,1)&lt;&gt;0,INDEX(' Disaggregation - Section E '!F$618:F$1820,MATCH(C2102,' Disaggregation - Section E '!A$618:A2503,0)+1,1),""),"")</f>
        <v>102</v>
      </c>
      <c r="I2102" s="171">
        <f ca="1">IFERROR(IF(VLOOKUP(C2102,' Disaggregation - Section E '!A$618:N1306,8,0)=0,"",VLOOKUP(C2102,' Disaggregation - Section E '!A$618:N1306,8,0)),"")</f>
        <v>2021</v>
      </c>
      <c r="J2102" s="171" t="str">
        <f ca="1">IFERROR(IF(VLOOKUP(C2102,' Disaggregation - Section E '!A$618:N2503,13,0)=0,"",VLOOKUP(C2102,' Disaggregation - Section E '!A$618:N2503,13,0)),"")</f>
        <v/>
      </c>
      <c r="K2102" s="166" t="str">
        <f ca="1">IFERROR(VLOOKUP(C2102,' Disaggregation - Section E '!A$618:N1306,3,0),"")</f>
        <v>TCS-1.1⁽ᴹ⁾ Porcentaje de personas en TARV entre todas las personas viviendo con VIH al final del período de reporte</v>
      </c>
      <c r="L2102" s="166"/>
      <c r="M2102" s="166" t="str">
        <f ca="1">IFERROR(IF(VLOOKUP(C2102,' Disaggregation - Section E '!A$618:T1306,20,0)=0,"",VLOOKUP(C2102,' Disaggregation - Section E '!A$618:T1306,20,0)),"")</f>
        <v>IDR-00978</v>
      </c>
      <c r="N2102" s="171" t="str">
        <f ca="1">IFERROR(IF(VLOOKUP(C2102,' Disaggregation - Section E '!A$618:N1306,14,0)=0,"",VLOOKUP(C2102,' Disaggregation - Section E '!A$618:N1306,14,0)),"")</f>
        <v/>
      </c>
      <c r="O2102" s="171" t="str">
        <f ca="1">IFERROR(IF(VLOOKUP(C2102,' Disaggregation - Section E '!A$618:N1306,9,0)=0,"",VLOOKUP(C2102,' Disaggregation - Section E '!A$618:N1306,9,0)),"")</f>
        <v/>
      </c>
      <c r="P2102" s="171" t="str">
        <f ca="1">IFERROR(IF(VLOOKUP(C2102,' Disaggregation - Section E '!A$618:N1306,10,0)=0,"",VLOOKUP(C2102,' Disaggregation - Section E '!A$618:N1306,10,0)),"")</f>
        <v/>
      </c>
    </row>
    <row r="2103" spans="1:16">
      <c r="A2103" s="166" t="b">
        <f t="shared" ca="1" si="145"/>
        <v>1</v>
      </c>
      <c r="B2103" s="166"/>
      <c r="C2103" s="172" t="str">
        <f ca="1">IF(COUNTA(D$1418:D2103)=1,"",OFFSET(B2101,-COUNTA(D$1418:D2103)+3,1))</f>
        <v>a163p000004Vjm2AAC</v>
      </c>
      <c r="D2103" s="177"/>
      <c r="E2103" s="168">
        <f ca="1">IFERROR(IF(VLOOKUP(C2103,' Disaggregation - Section E '!A$618:N1307,7,0)="","",VLOOKUP(C2103,' Disaggregation - Section E '!A$618:N1307,7,0)*100),"")</f>
        <v>50.605575868372945</v>
      </c>
      <c r="F2103" s="171" t="str">
        <f ca="1">IFERROR(VLOOKUP(C2103,' Disaggregation - Section E '!A$618:N1307,5,0),"")</f>
        <v>HSH</v>
      </c>
      <c r="G2103" s="170">
        <f ca="1">IFERROR(IF(VLOOKUP(C2103,' Disaggregation - Section E '!A$618:N1307,6,0)="","",VLOOKUP(C2103,' Disaggregation - Section E '!A$618:N1307,6,0)),"")</f>
        <v>4429</v>
      </c>
      <c r="H2103" s="177">
        <f ca="1">IFERROR(IF(INDEX(' Disaggregation - Section E '!F$618:F2504,MATCH(C2103,' Disaggregation - Section E '!A$618:A2504,0)+1,1)&lt;&gt;0,INDEX(' Disaggregation - Section E '!F$618:F$1820,MATCH(C2103,' Disaggregation - Section E '!A$618:A2504,0)+1,1),""),"")</f>
        <v>8752</v>
      </c>
      <c r="I2103" s="171">
        <f ca="1">IFERROR(IF(VLOOKUP(C2103,' Disaggregation - Section E '!A$618:N1307,8,0)=0,"",VLOOKUP(C2103,' Disaggregation - Section E '!A$618:N1307,8,0)),"")</f>
        <v>2021</v>
      </c>
      <c r="J2103" s="171" t="str">
        <f ca="1">IFERROR(IF(VLOOKUP(C2103,' Disaggregation - Section E '!A$618:N2504,13,0)=0,"",VLOOKUP(C2103,' Disaggregation - Section E '!A$618:N2504,13,0)),"")</f>
        <v/>
      </c>
      <c r="K2103" s="166" t="str">
        <f ca="1">IFERROR(VLOOKUP(C2103,' Disaggregation - Section E '!A$618:N1307,3,0),"")</f>
        <v>TCS-1.1⁽ᴹ⁾ Porcentaje de personas en TARV entre todas las personas viviendo con VIH al final del período de reporte</v>
      </c>
      <c r="L2103" s="166"/>
      <c r="M2103" s="166" t="str">
        <f ca="1">IFERROR(IF(VLOOKUP(C2103,' Disaggregation - Section E '!A$618:T1307,20,0)=0,"",VLOOKUP(C2103,' Disaggregation - Section E '!A$618:T1307,20,0)),"")</f>
        <v>IDR-00977</v>
      </c>
      <c r="N2103" s="171" t="str">
        <f ca="1">IFERROR(IF(VLOOKUP(C2103,' Disaggregation - Section E '!A$618:N1307,14,0)=0,"",VLOOKUP(C2103,' Disaggregation - Section E '!A$618:N1307,14,0)),"")</f>
        <v/>
      </c>
      <c r="O2103" s="171" t="str">
        <f ca="1">IFERROR(IF(VLOOKUP(C2103,' Disaggregation - Section E '!A$618:N1307,9,0)=0,"",VLOOKUP(C2103,' Disaggregation - Section E '!A$618:N1307,9,0)),"")</f>
        <v/>
      </c>
      <c r="P2103" s="171" t="str">
        <f ca="1">IFERROR(IF(VLOOKUP(C2103,' Disaggregation - Section E '!A$618:N1307,10,0)=0,"",VLOOKUP(C2103,' Disaggregation - Section E '!A$618:N1307,10,0)),"")</f>
        <v/>
      </c>
    </row>
    <row r="2104" spans="1:16">
      <c r="A2104" s="166" t="b">
        <f t="shared" ca="1" si="145"/>
        <v>1</v>
      </c>
      <c r="B2104" s="166"/>
      <c r="C2104" s="172" t="str">
        <f ca="1">IF(COUNTA(D$1418:D2104)=1,"",OFFSET(B2102,-COUNTA(D$1418:D2104)+3,1))</f>
        <v>a163p000004Vjm3AAC</v>
      </c>
      <c r="D2104" s="177"/>
      <c r="E2104" s="168">
        <f ca="1">IFERROR(IF(VLOOKUP(C2104,' Disaggregation - Section E '!A$618:N1308,7,0)="","",VLOOKUP(C2104,' Disaggregation - Section E '!A$618:N1308,7,0)*100),"")</f>
        <v>15.666406858924395</v>
      </c>
      <c r="F2104" s="171" t="str">
        <f ca="1">IFERROR(VLOOKUP(C2104,' Disaggregation - Section E '!A$618:N1308,5,0),"")</f>
        <v>Iniciaron TARV recientemente</v>
      </c>
      <c r="G2104" s="170">
        <f ca="1">IFERROR(IF(VLOOKUP(C2104,' Disaggregation - Section E '!A$618:N1308,6,0)="","",VLOOKUP(C2104,' Disaggregation - Section E '!A$618:N1308,6,0)),"")</f>
        <v>2211</v>
      </c>
      <c r="H2104" s="177">
        <f ca="1">IFERROR(IF(INDEX(' Disaggregation - Section E '!F$618:F2505,MATCH(C2104,' Disaggregation - Section E '!A$618:A2505,0)+1,1)&lt;&gt;0,INDEX(' Disaggregation - Section E '!F$618:F$1820,MATCH(C2104,' Disaggregation - Section E '!A$618:A2505,0)+1,1),""),"")</f>
        <v>14113</v>
      </c>
      <c r="I2104" s="171">
        <f ca="1">IFERROR(IF(VLOOKUP(C2104,' Disaggregation - Section E '!A$618:N1308,8,0)=0,"",VLOOKUP(C2104,' Disaggregation - Section E '!A$618:N1308,8,0)),"")</f>
        <v>2021</v>
      </c>
      <c r="J2104" s="171" t="str">
        <f ca="1">IFERROR(IF(VLOOKUP(C2104,' Disaggregation - Section E '!A$618:N2505,13,0)=0,"",VLOOKUP(C2104,' Disaggregation - Section E '!A$618:N2505,13,0)),"")</f>
        <v/>
      </c>
      <c r="K2104" s="166" t="str">
        <f ca="1">IFERROR(VLOOKUP(C2104,' Disaggregation - Section E '!A$618:N1308,3,0),"")</f>
        <v>TCS-1.1⁽ᴹ⁾ Porcentaje de personas en TARV entre todas las personas viviendo con VIH al final del período de reporte</v>
      </c>
      <c r="L2104" s="166"/>
      <c r="M2104" s="166" t="str">
        <f ca="1">IFERROR(IF(VLOOKUP(C2104,' Disaggregation - Section E '!A$618:T1308,20,0)=0,"",VLOOKUP(C2104,' Disaggregation - Section E '!A$618:T1308,20,0)),"")</f>
        <v>IDR-00904</v>
      </c>
      <c r="N2104" s="171" t="str">
        <f ca="1">IFERROR(IF(VLOOKUP(C2104,' Disaggregation - Section E '!A$618:N1308,14,0)=0,"",VLOOKUP(C2104,' Disaggregation - Section E '!A$618:N1308,14,0)),"")</f>
        <v/>
      </c>
      <c r="O2104" s="171" t="str">
        <f ca="1">IFERROR(IF(VLOOKUP(C2104,' Disaggregation - Section E '!A$618:N1308,9,0)=0,"",VLOOKUP(C2104,' Disaggregation - Section E '!A$618:N1308,9,0)),"")</f>
        <v/>
      </c>
      <c r="P2104" s="171" t="str">
        <f ca="1">IFERROR(IF(VLOOKUP(C2104,' Disaggregation - Section E '!A$618:N1308,10,0)=0,"",VLOOKUP(C2104,' Disaggregation - Section E '!A$618:N1308,10,0)),"")</f>
        <v/>
      </c>
    </row>
    <row r="2105" spans="1:16">
      <c r="A2105" s="166" t="b">
        <f t="shared" ca="1" si="145"/>
        <v>1</v>
      </c>
      <c r="B2105" s="166"/>
      <c r="C2105" s="172" t="str">
        <f ca="1">IF(COUNTA(D$1418:D2105)=1,"",OFFSET(B2103,-COUNTA(D$1418:D2105)+3,1))</f>
        <v>a163p000004Vjm4AAC</v>
      </c>
      <c r="D2105" s="177"/>
      <c r="E2105" s="168">
        <f ca="1">IFERROR(IF(VLOOKUP(C2105,' Disaggregation - Section E '!A$618:N1309,7,0)="","",VLOOKUP(C2105,' Disaggregation - Section E '!A$618:N1309,7,0)*100),"")</f>
        <v>44.029017857142854</v>
      </c>
      <c r="F2105" s="171" t="str">
        <f ca="1">IFERROR(VLOOKUP(C2105,' Disaggregation - Section E '!A$618:N1309,5,0),"")</f>
        <v>Mujeres 15-24</v>
      </c>
      <c r="G2105" s="170">
        <f ca="1">IFERROR(IF(VLOOKUP(C2105,' Disaggregation - Section E '!A$618:N1309,6,0)="","",VLOOKUP(C2105,' Disaggregation - Section E '!A$618:N1309,6,0)),"")</f>
        <v>789</v>
      </c>
      <c r="H2105" s="177">
        <f ca="1">IFERROR(IF(INDEX(' Disaggregation - Section E '!F$618:F2506,MATCH(C2105,' Disaggregation - Section E '!A$618:A2506,0)+1,1)&lt;&gt;0,INDEX(' Disaggregation - Section E '!F$618:F$1820,MATCH(C2105,' Disaggregation - Section E '!A$618:A2506,0)+1,1),""),"")</f>
        <v>1792</v>
      </c>
      <c r="I2105" s="171">
        <f ca="1">IFERROR(IF(VLOOKUP(C2105,' Disaggregation - Section E '!A$618:N1309,8,0)=0,"",VLOOKUP(C2105,' Disaggregation - Section E '!A$618:N1309,8,0)),"")</f>
        <v>2021</v>
      </c>
      <c r="J2105" s="171" t="str">
        <f ca="1">IFERROR(IF(VLOOKUP(C2105,' Disaggregation - Section E '!A$618:N2506,13,0)=0,"",VLOOKUP(C2105,' Disaggregation - Section E '!A$618:N2506,13,0)),"")</f>
        <v/>
      </c>
      <c r="K2105" s="166" t="str">
        <f ca="1">IFERROR(VLOOKUP(C2105,' Disaggregation - Section E '!A$618:N1309,3,0),"")</f>
        <v>TCS-1.1⁽ᴹ⁾ Porcentaje de personas en TARV entre todas las personas viviendo con VIH al final del período de reporte</v>
      </c>
      <c r="L2105" s="166"/>
      <c r="M2105" s="166" t="str">
        <f ca="1">IFERROR(IF(VLOOKUP(C2105,' Disaggregation - Section E '!A$618:T1309,20,0)=0,"",VLOOKUP(C2105,' Disaggregation - Section E '!A$618:T1309,20,0)),"")</f>
        <v>IDR-00891</v>
      </c>
      <c r="N2105" s="171" t="str">
        <f ca="1">IFERROR(IF(VLOOKUP(C2105,' Disaggregation - Section E '!A$618:N1309,14,0)=0,"",VLOOKUP(C2105,' Disaggregation - Section E '!A$618:N1309,14,0)),"")</f>
        <v/>
      </c>
      <c r="O2105" s="171" t="str">
        <f ca="1">IFERROR(IF(VLOOKUP(C2105,' Disaggregation - Section E '!A$618:N1309,9,0)=0,"",VLOOKUP(C2105,' Disaggregation - Section E '!A$618:N1309,9,0)),"")</f>
        <v/>
      </c>
      <c r="P2105" s="171" t="str">
        <f ca="1">IFERROR(IF(VLOOKUP(C2105,' Disaggregation - Section E '!A$618:N1309,10,0)=0,"",VLOOKUP(C2105,' Disaggregation - Section E '!A$618:N1309,10,0)),"")</f>
        <v/>
      </c>
    </row>
    <row r="2106" spans="1:16">
      <c r="A2106" s="166" t="b">
        <f t="shared" ca="1" si="145"/>
        <v>1</v>
      </c>
      <c r="B2106" s="166"/>
      <c r="C2106" s="172" t="str">
        <f ca="1">IF(COUNTA(D$1418:D2106)=1,"",OFFSET(B2104,-COUNTA(D$1418:D2106)+3,1))</f>
        <v>a163p000004Vjm5AAC</v>
      </c>
      <c r="D2106" s="177"/>
      <c r="E2106" s="168">
        <f ca="1">IFERROR(IF(VLOOKUP(C2106,' Disaggregation - Section E '!A$618:N1310,7,0)="","",VLOOKUP(C2106,' Disaggregation - Section E '!A$618:N1310,7,0)*100),"")</f>
        <v>59.526581296080714</v>
      </c>
      <c r="F2106" s="171" t="str">
        <f ca="1">IFERROR(VLOOKUP(C2106,' Disaggregation - Section E '!A$618:N1310,5,0),"")</f>
        <v>Hombres 15-24</v>
      </c>
      <c r="G2106" s="170">
        <f ca="1">IFERROR(IF(VLOOKUP(C2106,' Disaggregation - Section E '!A$618:N1310,6,0)="","",VLOOKUP(C2106,' Disaggregation - Section E '!A$618:N1310,6,0)),"")</f>
        <v>1534</v>
      </c>
      <c r="H2106" s="177">
        <f ca="1">IFERROR(IF(INDEX(' Disaggregation - Section E '!F$618:F2507,MATCH(C2106,' Disaggregation - Section E '!A$618:A2507,0)+1,1)&lt;&gt;0,INDEX(' Disaggregation - Section E '!F$618:F$1820,MATCH(C2106,' Disaggregation - Section E '!A$618:A2507,0)+1,1),""),"")</f>
        <v>2577</v>
      </c>
      <c r="I2106" s="171">
        <f ca="1">IFERROR(IF(VLOOKUP(C2106,' Disaggregation - Section E '!A$618:N1310,8,0)=0,"",VLOOKUP(C2106,' Disaggregation - Section E '!A$618:N1310,8,0)),"")</f>
        <v>2021</v>
      </c>
      <c r="J2106" s="171" t="str">
        <f ca="1">IFERROR(IF(VLOOKUP(C2106,' Disaggregation - Section E '!A$618:N2507,13,0)=0,"",VLOOKUP(C2106,' Disaggregation - Section E '!A$618:N2507,13,0)),"")</f>
        <v/>
      </c>
      <c r="K2106" s="166" t="str">
        <f ca="1">IFERROR(VLOOKUP(C2106,' Disaggregation - Section E '!A$618:N1310,3,0),"")</f>
        <v>TCS-1.1⁽ᴹ⁾ Porcentaje de personas en TARV entre todas las personas viviendo con VIH al final del período de reporte</v>
      </c>
      <c r="L2106" s="166"/>
      <c r="M2106" s="166" t="str">
        <f ca="1">IFERROR(IF(VLOOKUP(C2106,' Disaggregation - Section E '!A$618:T1310,20,0)=0,"",VLOOKUP(C2106,' Disaggregation - Section E '!A$618:T1310,20,0)),"")</f>
        <v>IDR-00890</v>
      </c>
      <c r="N2106" s="171" t="str">
        <f ca="1">IFERROR(IF(VLOOKUP(C2106,' Disaggregation - Section E '!A$618:N1310,14,0)=0,"",VLOOKUP(C2106,' Disaggregation - Section E '!A$618:N1310,14,0)),"")</f>
        <v/>
      </c>
      <c r="O2106" s="171" t="str">
        <f ca="1">IFERROR(IF(VLOOKUP(C2106,' Disaggregation - Section E '!A$618:N1310,9,0)=0,"",VLOOKUP(C2106,' Disaggregation - Section E '!A$618:N1310,9,0)),"")</f>
        <v/>
      </c>
      <c r="P2106" s="171" t="str">
        <f ca="1">IFERROR(IF(VLOOKUP(C2106,' Disaggregation - Section E '!A$618:N1310,10,0)=0,"",VLOOKUP(C2106,' Disaggregation - Section E '!A$618:N1310,10,0)),"")</f>
        <v/>
      </c>
    </row>
    <row r="2107" spans="1:16">
      <c r="A2107" s="166" t="b">
        <f t="shared" ca="1" si="145"/>
        <v>1</v>
      </c>
      <c r="B2107" s="166"/>
      <c r="C2107" s="172" t="str">
        <f ca="1">IF(COUNTA(D$1418:D2107)=1,"",OFFSET(B2105,-COUNTA(D$1418:D2107)+3,1))</f>
        <v>a163p000004Vjm6AAC</v>
      </c>
      <c r="D2107" s="177"/>
      <c r="E2107" s="168">
        <f ca="1">IFERROR(IF(VLOOKUP(C2107,' Disaggregation - Section E '!A$618:N1311,7,0)="","",VLOOKUP(C2107,' Disaggregation - Section E '!A$618:N1311,7,0)*100),"")</f>
        <v>42.561065877128051</v>
      </c>
      <c r="F2107" s="171" t="str">
        <f ca="1">IFERROR(VLOOKUP(C2107,' Disaggregation - Section E '!A$618:N1311,5,0),"")</f>
        <v>Mujeres 20-24</v>
      </c>
      <c r="G2107" s="170">
        <f ca="1">IFERROR(IF(VLOOKUP(C2107,' Disaggregation - Section E '!A$618:N1311,6,0)="","",VLOOKUP(C2107,' Disaggregation - Section E '!A$618:N1311,6,0)),"")</f>
        <v>575</v>
      </c>
      <c r="H2107" s="177">
        <f ca="1">IFERROR(IF(INDEX(' Disaggregation - Section E '!F$618:F2508,MATCH(C2107,' Disaggregation - Section E '!A$618:A2508,0)+1,1)&lt;&gt;0,INDEX(' Disaggregation - Section E '!F$618:F$1820,MATCH(C2107,' Disaggregation - Section E '!A$618:A2508,0)+1,1),""),"")</f>
        <v>1351</v>
      </c>
      <c r="I2107" s="171">
        <f ca="1">IFERROR(IF(VLOOKUP(C2107,' Disaggregation - Section E '!A$618:N1311,8,0)=0,"",VLOOKUP(C2107,' Disaggregation - Section E '!A$618:N1311,8,0)),"")</f>
        <v>2021</v>
      </c>
      <c r="J2107" s="171" t="str">
        <f ca="1">IFERROR(IF(VLOOKUP(C2107,' Disaggregation - Section E '!A$618:N2508,13,0)=0,"",VLOOKUP(C2107,' Disaggregation - Section E '!A$618:N2508,13,0)),"")</f>
        <v/>
      </c>
      <c r="K2107" s="166" t="str">
        <f ca="1">IFERROR(VLOOKUP(C2107,' Disaggregation - Section E '!A$618:N1311,3,0),"")</f>
        <v>TCS-1.1⁽ᴹ⁾ Porcentaje de personas en TARV entre todas las personas viviendo con VIH al final del período de reporte</v>
      </c>
      <c r="L2107" s="166"/>
      <c r="M2107" s="166" t="str">
        <f ca="1">IFERROR(IF(VLOOKUP(C2107,' Disaggregation - Section E '!A$618:T1311,20,0)=0,"",VLOOKUP(C2107,' Disaggregation - Section E '!A$618:T1311,20,0)),"")</f>
        <v>IDR-00889</v>
      </c>
      <c r="N2107" s="171" t="str">
        <f ca="1">IFERROR(IF(VLOOKUP(C2107,' Disaggregation - Section E '!A$618:N1311,14,0)=0,"",VLOOKUP(C2107,' Disaggregation - Section E '!A$618:N1311,14,0)),"")</f>
        <v/>
      </c>
      <c r="O2107" s="171" t="str">
        <f ca="1">IFERROR(IF(VLOOKUP(C2107,' Disaggregation - Section E '!A$618:N1311,9,0)=0,"",VLOOKUP(C2107,' Disaggregation - Section E '!A$618:N1311,9,0)),"")</f>
        <v/>
      </c>
      <c r="P2107" s="171" t="str">
        <f ca="1">IFERROR(IF(VLOOKUP(C2107,' Disaggregation - Section E '!A$618:N1311,10,0)=0,"",VLOOKUP(C2107,' Disaggregation - Section E '!A$618:N1311,10,0)),"")</f>
        <v/>
      </c>
    </row>
    <row r="2108" spans="1:16">
      <c r="A2108" s="166" t="b">
        <f t="shared" ca="1" si="145"/>
        <v>1</v>
      </c>
      <c r="B2108" s="166"/>
      <c r="C2108" s="172" t="str">
        <f ca="1">IF(COUNTA(D$1418:D2108)=1,"",OFFSET(B2106,-COUNTA(D$1418:D2108)+3,1))</f>
        <v>a163p000004Vjm7AAC</v>
      </c>
      <c r="D2108" s="177"/>
      <c r="E2108" s="168">
        <f ca="1">IFERROR(IF(VLOOKUP(C2108,' Disaggregation - Section E '!A$618:N1312,7,0)="","",VLOOKUP(C2108,' Disaggregation - Section E '!A$618:N1312,7,0)*100),"")</f>
        <v>70.795024337479717</v>
      </c>
      <c r="F2108" s="171" t="str">
        <f ca="1">IFERROR(VLOOKUP(C2108,' Disaggregation - Section E '!A$618:N1312,5,0),"")</f>
        <v>Hombres 20-24</v>
      </c>
      <c r="G2108" s="170">
        <f ca="1">IFERROR(IF(VLOOKUP(C2108,' Disaggregation - Section E '!A$618:N1312,6,0)="","",VLOOKUP(C2108,' Disaggregation - Section E '!A$618:N1312,6,0)),"")</f>
        <v>1309</v>
      </c>
      <c r="H2108" s="177">
        <f ca="1">IFERROR(IF(INDEX(' Disaggregation - Section E '!F$618:F2509,MATCH(C2108,' Disaggregation - Section E '!A$618:A2509,0)+1,1)&lt;&gt;0,INDEX(' Disaggregation - Section E '!F$618:F$1820,MATCH(C2108,' Disaggregation - Section E '!A$618:A2509,0)+1,1),""),"")</f>
        <v>1849</v>
      </c>
      <c r="I2108" s="171">
        <f ca="1">IFERROR(IF(VLOOKUP(C2108,' Disaggregation - Section E '!A$618:N1312,8,0)=0,"",VLOOKUP(C2108,' Disaggregation - Section E '!A$618:N1312,8,0)),"")</f>
        <v>2021</v>
      </c>
      <c r="J2108" s="171" t="str">
        <f ca="1">IFERROR(IF(VLOOKUP(C2108,' Disaggregation - Section E '!A$618:N2509,13,0)=0,"",VLOOKUP(C2108,' Disaggregation - Section E '!A$618:N2509,13,0)),"")</f>
        <v/>
      </c>
      <c r="K2108" s="166" t="str">
        <f ca="1">IFERROR(VLOOKUP(C2108,' Disaggregation - Section E '!A$618:N1312,3,0),"")</f>
        <v>TCS-1.1⁽ᴹ⁾ Porcentaje de personas en TARV entre todas las personas viviendo con VIH al final del período de reporte</v>
      </c>
      <c r="L2108" s="166"/>
      <c r="M2108" s="166" t="str">
        <f ca="1">IFERROR(IF(VLOOKUP(C2108,' Disaggregation - Section E '!A$618:T1312,20,0)=0,"",VLOOKUP(C2108,' Disaggregation - Section E '!A$618:T1312,20,0)),"")</f>
        <v>IDR-00888</v>
      </c>
      <c r="N2108" s="171" t="str">
        <f ca="1">IFERROR(IF(VLOOKUP(C2108,' Disaggregation - Section E '!A$618:N1312,14,0)=0,"",VLOOKUP(C2108,' Disaggregation - Section E '!A$618:N1312,14,0)),"")</f>
        <v/>
      </c>
      <c r="O2108" s="171" t="str">
        <f ca="1">IFERROR(IF(VLOOKUP(C2108,' Disaggregation - Section E '!A$618:N1312,9,0)=0,"",VLOOKUP(C2108,' Disaggregation - Section E '!A$618:N1312,9,0)),"")</f>
        <v/>
      </c>
      <c r="P2108" s="171" t="str">
        <f ca="1">IFERROR(IF(VLOOKUP(C2108,' Disaggregation - Section E '!A$618:N1312,10,0)=0,"",VLOOKUP(C2108,' Disaggregation - Section E '!A$618:N1312,10,0)),"")</f>
        <v/>
      </c>
    </row>
    <row r="2109" spans="1:16">
      <c r="A2109" s="166" t="b">
        <f t="shared" ca="1" si="145"/>
        <v>1</v>
      </c>
      <c r="B2109" s="166"/>
      <c r="C2109" s="172" t="str">
        <f ca="1">IF(COUNTA(D$1418:D2109)=1,"",OFFSET(B2107,-COUNTA(D$1418:D2109)+3,1))</f>
        <v>a163p000004Vjm8AAC</v>
      </c>
      <c r="D2109" s="177"/>
      <c r="E2109" s="168">
        <f ca="1">IFERROR(IF(VLOOKUP(C2109,' Disaggregation - Section E '!A$618:N1313,7,0)="","",VLOOKUP(C2109,' Disaggregation - Section E '!A$618:N1313,7,0)*100),"")</f>
        <v>48.52607709750567</v>
      </c>
      <c r="F2109" s="171" t="str">
        <f ca="1">IFERROR(VLOOKUP(C2109,' Disaggregation - Section E '!A$618:N1313,5,0),"")</f>
        <v>Mujeres 15-19</v>
      </c>
      <c r="G2109" s="170">
        <f ca="1">IFERROR(IF(VLOOKUP(C2109,' Disaggregation - Section E '!A$618:N1313,6,0)="","",VLOOKUP(C2109,' Disaggregation - Section E '!A$618:N1313,6,0)),"")</f>
        <v>214</v>
      </c>
      <c r="H2109" s="177">
        <f ca="1">IFERROR(IF(INDEX(' Disaggregation - Section E '!F$618:F2510,MATCH(C2109,' Disaggregation - Section E '!A$618:A2510,0)+1,1)&lt;&gt;0,INDEX(' Disaggregation - Section E '!F$618:F$1820,MATCH(C2109,' Disaggregation - Section E '!A$618:A2510,0)+1,1),""),"")</f>
        <v>441</v>
      </c>
      <c r="I2109" s="171">
        <f ca="1">IFERROR(IF(VLOOKUP(C2109,' Disaggregation - Section E '!A$618:N1313,8,0)=0,"",VLOOKUP(C2109,' Disaggregation - Section E '!A$618:N1313,8,0)),"")</f>
        <v>2021</v>
      </c>
      <c r="J2109" s="171" t="str">
        <f ca="1">IFERROR(IF(VLOOKUP(C2109,' Disaggregation - Section E '!A$618:N2510,13,0)=0,"",VLOOKUP(C2109,' Disaggregation - Section E '!A$618:N2510,13,0)),"")</f>
        <v/>
      </c>
      <c r="K2109" s="166" t="str">
        <f ca="1">IFERROR(VLOOKUP(C2109,' Disaggregation - Section E '!A$618:N1313,3,0),"")</f>
        <v>TCS-1.1⁽ᴹ⁾ Porcentaje de personas en TARV entre todas las personas viviendo con VIH al final del período de reporte</v>
      </c>
      <c r="L2109" s="166"/>
      <c r="M2109" s="166" t="str">
        <f ca="1">IFERROR(IF(VLOOKUP(C2109,' Disaggregation - Section E '!A$618:T1313,20,0)=0,"",VLOOKUP(C2109,' Disaggregation - Section E '!A$618:T1313,20,0)),"")</f>
        <v>IDR-00887</v>
      </c>
      <c r="N2109" s="171" t="str">
        <f ca="1">IFERROR(IF(VLOOKUP(C2109,' Disaggregation - Section E '!A$618:N1313,14,0)=0,"",VLOOKUP(C2109,' Disaggregation - Section E '!A$618:N1313,14,0)),"")</f>
        <v/>
      </c>
      <c r="O2109" s="171" t="str">
        <f ca="1">IFERROR(IF(VLOOKUP(C2109,' Disaggregation - Section E '!A$618:N1313,9,0)=0,"",VLOOKUP(C2109,' Disaggregation - Section E '!A$618:N1313,9,0)),"")</f>
        <v/>
      </c>
      <c r="P2109" s="171" t="str">
        <f ca="1">IFERROR(IF(VLOOKUP(C2109,' Disaggregation - Section E '!A$618:N1313,10,0)=0,"",VLOOKUP(C2109,' Disaggregation - Section E '!A$618:N1313,10,0)),"")</f>
        <v/>
      </c>
    </row>
    <row r="2110" spans="1:16">
      <c r="A2110" s="166" t="b">
        <f t="shared" ca="1" si="145"/>
        <v>1</v>
      </c>
      <c r="B2110" s="166"/>
      <c r="C2110" s="172" t="str">
        <f ca="1">IF(COUNTA(D$1418:D2110)=1,"",OFFSET(B2108,-COUNTA(D$1418:D2110)+3,1))</f>
        <v>a163p000004Vjm9AAC</v>
      </c>
      <c r="D2110" s="177"/>
      <c r="E2110" s="168">
        <f ca="1">IFERROR(IF(VLOOKUP(C2110,' Disaggregation - Section E '!A$618:N1314,7,0)="","",VLOOKUP(C2110,' Disaggregation - Section E '!A$618:N1314,7,0)*100),"")</f>
        <v>30.906593406593409</v>
      </c>
      <c r="F2110" s="171" t="str">
        <f ca="1">IFERROR(VLOOKUP(C2110,' Disaggregation - Section E '!A$618:N1314,5,0),"")</f>
        <v>Hombres 15-19</v>
      </c>
      <c r="G2110" s="170">
        <f ca="1">IFERROR(IF(VLOOKUP(C2110,' Disaggregation - Section E '!A$618:N1314,6,0)="","",VLOOKUP(C2110,' Disaggregation - Section E '!A$618:N1314,6,0)),"")</f>
        <v>225</v>
      </c>
      <c r="H2110" s="177">
        <f ca="1">IFERROR(IF(INDEX(' Disaggregation - Section E '!F$618:F2511,MATCH(C2110,' Disaggregation - Section E '!A$618:A2511,0)+1,1)&lt;&gt;0,INDEX(' Disaggregation - Section E '!F$618:F$1820,MATCH(C2110,' Disaggregation - Section E '!A$618:A2511,0)+1,1),""),"")</f>
        <v>728</v>
      </c>
      <c r="I2110" s="171">
        <f ca="1">IFERROR(IF(VLOOKUP(C2110,' Disaggregation - Section E '!A$618:N1314,8,0)=0,"",VLOOKUP(C2110,' Disaggregation - Section E '!A$618:N1314,8,0)),"")</f>
        <v>2021</v>
      </c>
      <c r="J2110" s="171" t="str">
        <f ca="1">IFERROR(IF(VLOOKUP(C2110,' Disaggregation - Section E '!A$618:N2511,13,0)=0,"",VLOOKUP(C2110,' Disaggregation - Section E '!A$618:N2511,13,0)),"")</f>
        <v/>
      </c>
      <c r="K2110" s="166" t="str">
        <f ca="1">IFERROR(VLOOKUP(C2110,' Disaggregation - Section E '!A$618:N1314,3,0),"")</f>
        <v>TCS-1.1⁽ᴹ⁾ Porcentaje de personas en TARV entre todas las personas viviendo con VIH al final del período de reporte</v>
      </c>
      <c r="L2110" s="166"/>
      <c r="M2110" s="166" t="str">
        <f ca="1">IFERROR(IF(VLOOKUP(C2110,' Disaggregation - Section E '!A$618:T1314,20,0)=0,"",VLOOKUP(C2110,' Disaggregation - Section E '!A$618:T1314,20,0)),"")</f>
        <v>IDR-00886</v>
      </c>
      <c r="N2110" s="171" t="str">
        <f ca="1">IFERROR(IF(VLOOKUP(C2110,' Disaggregation - Section E '!A$618:N1314,14,0)=0,"",VLOOKUP(C2110,' Disaggregation - Section E '!A$618:N1314,14,0)),"")</f>
        <v/>
      </c>
      <c r="O2110" s="171" t="str">
        <f ca="1">IFERROR(IF(VLOOKUP(C2110,' Disaggregation - Section E '!A$618:N1314,9,0)=0,"",VLOOKUP(C2110,' Disaggregation - Section E '!A$618:N1314,9,0)),"")</f>
        <v/>
      </c>
      <c r="P2110" s="171" t="str">
        <f ca="1">IFERROR(IF(VLOOKUP(C2110,' Disaggregation - Section E '!A$618:N1314,10,0)=0,"",VLOOKUP(C2110,' Disaggregation - Section E '!A$618:N1314,10,0)),"")</f>
        <v/>
      </c>
    </row>
    <row r="2111" spans="1:16">
      <c r="A2111" s="166" t="b">
        <f t="shared" ca="1" si="145"/>
        <v>1</v>
      </c>
      <c r="B2111" s="166"/>
      <c r="C2111" s="172" t="str">
        <f ca="1">IF(COUNTA(D$1418:D2111)=1,"",OFFSET(B2109,-COUNTA(D$1418:D2111)+3,1))</f>
        <v>a163p000004VjmAAAS</v>
      </c>
      <c r="D2111" s="177"/>
      <c r="E2111" s="168">
        <f ca="1">IFERROR(IF(VLOOKUP(C2111,' Disaggregation - Section E '!A$618:N1315,7,0)="","",VLOOKUP(C2111,' Disaggregation - Section E '!A$618:N1315,7,0)*100),"")</f>
        <v>44.24719849106846</v>
      </c>
      <c r="F2111" s="171" t="str">
        <f ca="1">IFERROR(VLOOKUP(C2111,' Disaggregation - Section E '!A$618:N1315,5,0),"")</f>
        <v>Mujeres 15+</v>
      </c>
      <c r="G2111" s="170">
        <f ca="1">IFERROR(IF(VLOOKUP(C2111,' Disaggregation - Section E '!A$618:N1315,6,0)="","",VLOOKUP(C2111,' Disaggregation - Section E '!A$618:N1315,6,0)),"")</f>
        <v>3988</v>
      </c>
      <c r="H2111" s="177">
        <f ca="1">IFERROR(IF(INDEX(' Disaggregation - Section E '!F$618:F2512,MATCH(C2111,' Disaggregation - Section E '!A$618:A2512,0)+1,1)&lt;&gt;0,INDEX(' Disaggregation - Section E '!F$618:F$1820,MATCH(C2111,' Disaggregation - Section E '!A$618:A2512,0)+1,1),""),"")</f>
        <v>9013</v>
      </c>
      <c r="I2111" s="171">
        <f ca="1">IFERROR(IF(VLOOKUP(C2111,' Disaggregation - Section E '!A$618:N1315,8,0)=0,"",VLOOKUP(C2111,' Disaggregation - Section E '!A$618:N1315,8,0)),"")</f>
        <v>2021</v>
      </c>
      <c r="J2111" s="171" t="str">
        <f ca="1">IFERROR(IF(VLOOKUP(C2111,' Disaggregation - Section E '!A$618:N2512,13,0)=0,"",VLOOKUP(C2111,' Disaggregation - Section E '!A$618:N2512,13,0)),"")</f>
        <v/>
      </c>
      <c r="K2111" s="166" t="str">
        <f ca="1">IFERROR(VLOOKUP(C2111,' Disaggregation - Section E '!A$618:N1315,3,0),"")</f>
        <v>TCS-1.1⁽ᴹ⁾ Porcentaje de personas en TARV entre todas las personas viviendo con VIH al final del período de reporte</v>
      </c>
      <c r="L2111" s="166"/>
      <c r="M2111" s="166" t="str">
        <f ca="1">IFERROR(IF(VLOOKUP(C2111,' Disaggregation - Section E '!A$618:T1315,20,0)=0,"",VLOOKUP(C2111,' Disaggregation - Section E '!A$618:T1315,20,0)),"")</f>
        <v>IDR-00885</v>
      </c>
      <c r="N2111" s="171" t="str">
        <f ca="1">IFERROR(IF(VLOOKUP(C2111,' Disaggregation - Section E '!A$618:N1315,14,0)=0,"",VLOOKUP(C2111,' Disaggregation - Section E '!A$618:N1315,14,0)),"")</f>
        <v/>
      </c>
      <c r="O2111" s="171" t="str">
        <f ca="1">IFERROR(IF(VLOOKUP(C2111,' Disaggregation - Section E '!A$618:N1315,9,0)=0,"",VLOOKUP(C2111,' Disaggregation - Section E '!A$618:N1315,9,0)),"")</f>
        <v/>
      </c>
      <c r="P2111" s="171" t="str">
        <f ca="1">IFERROR(IF(VLOOKUP(C2111,' Disaggregation - Section E '!A$618:N1315,10,0)=0,"",VLOOKUP(C2111,' Disaggregation - Section E '!A$618:N1315,10,0)),"")</f>
        <v/>
      </c>
    </row>
    <row r="2112" spans="1:16">
      <c r="A2112" s="166" t="b">
        <f t="shared" ca="1" si="145"/>
        <v>1</v>
      </c>
      <c r="B2112" s="166"/>
      <c r="C2112" s="172" t="str">
        <f ca="1">IF(COUNTA(D$1418:D2112)=1,"",OFFSET(B2110,-COUNTA(D$1418:D2112)+3,1))</f>
        <v>a163p000004VjmBAAS</v>
      </c>
      <c r="D2112" s="177"/>
      <c r="E2112" s="168">
        <f ca="1">IFERROR(IF(VLOOKUP(C2112,' Disaggregation - Section E '!A$618:N1316,7,0)="","",VLOOKUP(C2112,' Disaggregation - Section E '!A$618:N1316,7,0)*100),"")</f>
        <v>59.973160912528975</v>
      </c>
      <c r="F2112" s="171" t="str">
        <f ca="1">IFERROR(VLOOKUP(C2112,' Disaggregation - Section E '!A$618:N1316,5,0),"")</f>
        <v>Hombres 15+</v>
      </c>
      <c r="G2112" s="170">
        <f ca="1">IFERROR(IF(VLOOKUP(C2112,' Disaggregation - Section E '!A$618:N1316,6,0)="","",VLOOKUP(C2112,' Disaggregation - Section E '!A$618:N1316,6,0)),"")</f>
        <v>9832</v>
      </c>
      <c r="H2112" s="177">
        <f ca="1">IFERROR(IF(INDEX(' Disaggregation - Section E '!F$618:F2513,MATCH(C2112,' Disaggregation - Section E '!A$618:A2513,0)+1,1)&lt;&gt;0,INDEX(' Disaggregation - Section E '!F$618:F$1820,MATCH(C2112,' Disaggregation - Section E '!A$618:A2513,0)+1,1),""),"")</f>
        <v>16394</v>
      </c>
      <c r="I2112" s="171">
        <f ca="1">IFERROR(IF(VLOOKUP(C2112,' Disaggregation - Section E '!A$618:N1316,8,0)=0,"",VLOOKUP(C2112,' Disaggregation - Section E '!A$618:N1316,8,0)),"")</f>
        <v>2021</v>
      </c>
      <c r="J2112" s="171" t="str">
        <f ca="1">IFERROR(IF(VLOOKUP(C2112,' Disaggregation - Section E '!A$618:N2513,13,0)=0,"",VLOOKUP(C2112,' Disaggregation - Section E '!A$618:N2513,13,0)),"")</f>
        <v/>
      </c>
      <c r="K2112" s="166" t="str">
        <f ca="1">IFERROR(VLOOKUP(C2112,' Disaggregation - Section E '!A$618:N1316,3,0),"")</f>
        <v>TCS-1.1⁽ᴹ⁾ Porcentaje de personas en TARV entre todas las personas viviendo con VIH al final del período de reporte</v>
      </c>
      <c r="L2112" s="166"/>
      <c r="M2112" s="166" t="str">
        <f ca="1">IFERROR(IF(VLOOKUP(C2112,' Disaggregation - Section E '!A$618:T1316,20,0)=0,"",VLOOKUP(C2112,' Disaggregation - Section E '!A$618:T1316,20,0)),"")</f>
        <v>IDR-00884</v>
      </c>
      <c r="N2112" s="171" t="str">
        <f ca="1">IFERROR(IF(VLOOKUP(C2112,' Disaggregation - Section E '!A$618:N1316,14,0)=0,"",VLOOKUP(C2112,' Disaggregation - Section E '!A$618:N1316,14,0)),"")</f>
        <v/>
      </c>
      <c r="O2112" s="171" t="str">
        <f ca="1">IFERROR(IF(VLOOKUP(C2112,' Disaggregation - Section E '!A$618:N1316,9,0)=0,"",VLOOKUP(C2112,' Disaggregation - Section E '!A$618:N1316,9,0)),"")</f>
        <v/>
      </c>
      <c r="P2112" s="171" t="str">
        <f ca="1">IFERROR(IF(VLOOKUP(C2112,' Disaggregation - Section E '!A$618:N1316,10,0)=0,"",VLOOKUP(C2112,' Disaggregation - Section E '!A$618:N1316,10,0)),"")</f>
        <v/>
      </c>
    </row>
    <row r="2113" spans="1:16">
      <c r="A2113" s="166" t="b">
        <f t="shared" ca="1" si="145"/>
        <v>1</v>
      </c>
      <c r="B2113" s="166"/>
      <c r="C2113" s="172" t="str">
        <f ca="1">IF(COUNTA(D$1418:D2113)=1,"",OFFSET(B2111,-COUNTA(D$1418:D2113)+3,1))</f>
        <v>a163p000004VjmCAAS</v>
      </c>
      <c r="D2113" s="177"/>
      <c r="E2113" s="168" t="str">
        <f ca="1">IFERROR(IF(VLOOKUP(C2113,' Disaggregation - Section E '!A$618:N1317,7,0)="","",VLOOKUP(C2113,' Disaggregation - Section E '!A$618:N1317,7,0)*100),"")</f>
        <v/>
      </c>
      <c r="F2113" s="171" t="str">
        <f ca="1">IFERROR(VLOOKUP(C2113,' Disaggregation - Section E '!A$618:N1317,5,0),"")</f>
        <v>Transgénero</v>
      </c>
      <c r="G2113" s="170" t="str">
        <f ca="1">IFERROR(IF(VLOOKUP(C2113,' Disaggregation - Section E '!A$618:N1317,6,0)="","",VLOOKUP(C2113,' Disaggregation - Section E '!A$618:N1317,6,0)),"")</f>
        <v/>
      </c>
      <c r="H2113" s="177" t="str">
        <f ca="1">IFERROR(IF(INDEX(' Disaggregation - Section E '!F$618:F2514,MATCH(C2113,' Disaggregation - Section E '!A$618:A2514,0)+1,1)&lt;&gt;0,INDEX(' Disaggregation - Section E '!F$618:F$1820,MATCH(C2113,' Disaggregation - Section E '!A$618:A2514,0)+1,1),""),"")</f>
        <v/>
      </c>
      <c r="I2113" s="171" t="str">
        <f ca="1">IFERROR(IF(VLOOKUP(C2113,' Disaggregation - Section E '!A$618:N1317,8,0)=0,"",VLOOKUP(C2113,' Disaggregation - Section E '!A$618:N1317,8,0)),"")</f>
        <v/>
      </c>
      <c r="J2113" s="171" t="str">
        <f ca="1">IFERROR(IF(VLOOKUP(C2113,' Disaggregation - Section E '!A$618:N2514,13,0)=0,"",VLOOKUP(C2113,' Disaggregation - Section E '!A$618:N2514,13,0)),"")</f>
        <v/>
      </c>
      <c r="K2113" s="166" t="str">
        <f ca="1">IFERROR(VLOOKUP(C2113,' Disaggregation - Section E '!A$618:N1317,3,0),"")</f>
        <v>TCS-1.1⁽ᴹ⁾ Porcentaje de personas en TARV entre todas las personas viviendo con VIH al final del período de reporte</v>
      </c>
      <c r="L2113" s="166"/>
      <c r="M2113" s="166" t="str">
        <f ca="1">IFERROR(IF(VLOOKUP(C2113,' Disaggregation - Section E '!A$618:T1317,20,0)=0,"",VLOOKUP(C2113,' Disaggregation - Section E '!A$618:T1317,20,0)),"")</f>
        <v>IDR-00846</v>
      </c>
      <c r="N2113" s="171" t="str">
        <f ca="1">IFERROR(IF(VLOOKUP(C2113,' Disaggregation - Section E '!A$618:N1317,14,0)=0,"",VLOOKUP(C2113,' Disaggregation - Section E '!A$618:N1317,14,0)),"")</f>
        <v/>
      </c>
      <c r="O2113" s="171" t="str">
        <f ca="1">IFERROR(IF(VLOOKUP(C2113,' Disaggregation - Section E '!A$618:N1317,9,0)=0,"",VLOOKUP(C2113,' Disaggregation - Section E '!A$618:N1317,9,0)),"")</f>
        <v/>
      </c>
      <c r="P2113" s="171" t="str">
        <f ca="1">IFERROR(IF(VLOOKUP(C2113,' Disaggregation - Section E '!A$618:N1317,10,0)=0,"",VLOOKUP(C2113,' Disaggregation - Section E '!A$618:N1317,10,0)),"")</f>
        <v/>
      </c>
    </row>
    <row r="2114" spans="1:16">
      <c r="A2114" s="166" t="b">
        <f t="shared" ca="1" si="145"/>
        <v>1</v>
      </c>
      <c r="B2114" s="166"/>
      <c r="C2114" s="172" t="str">
        <f ca="1">IF(COUNTA(D$1418:D2114)=1,"",OFFSET(B2112,-COUNTA(D$1418:D2114)+3,1))</f>
        <v>a163p000004VjmDAAS</v>
      </c>
      <c r="D2114" s="177"/>
      <c r="E2114" s="168">
        <f ca="1">IFERROR(IF(VLOOKUP(C2114,' Disaggregation - Section E '!A$618:N1318,7,0)="","",VLOOKUP(C2114,' Disaggregation - Section E '!A$618:N1318,7,0)*100),"")</f>
        <v>44.031999999999996</v>
      </c>
      <c r="F2114" s="171" t="str">
        <f ca="1">IFERROR(VLOOKUP(C2114,' Disaggregation - Section E '!A$618:N1318,5,0),"")</f>
        <v>Mujeres</v>
      </c>
      <c r="G2114" s="170">
        <f ca="1">IFERROR(IF(VLOOKUP(C2114,' Disaggregation - Section E '!A$618:N1318,6,0)="","",VLOOKUP(C2114,' Disaggregation - Section E '!A$618:N1318,6,0)),"")</f>
        <v>4128</v>
      </c>
      <c r="H2114" s="177">
        <f ca="1">IFERROR(IF(INDEX(' Disaggregation - Section E '!F$618:F2515,MATCH(C2114,' Disaggregation - Section E '!A$618:A2515,0)+1,1)&lt;&gt;0,INDEX(' Disaggregation - Section E '!F$618:F$1820,MATCH(C2114,' Disaggregation - Section E '!A$618:A2515,0)+1,1),""),"")</f>
        <v>9375</v>
      </c>
      <c r="I2114" s="171">
        <f ca="1">IFERROR(IF(VLOOKUP(C2114,' Disaggregation - Section E '!A$618:N1318,8,0)=0,"",VLOOKUP(C2114,' Disaggregation - Section E '!A$618:N1318,8,0)),"")</f>
        <v>2021</v>
      </c>
      <c r="J2114" s="171" t="str">
        <f ca="1">IFERROR(IF(VLOOKUP(C2114,' Disaggregation - Section E '!A$618:N2515,13,0)=0,"",VLOOKUP(C2114,' Disaggregation - Section E '!A$618:N2515,13,0)),"")</f>
        <v/>
      </c>
      <c r="K2114" s="166" t="str">
        <f ca="1">IFERROR(VLOOKUP(C2114,' Disaggregation - Section E '!A$618:N1318,3,0),"")</f>
        <v>TCS-1.1⁽ᴹ⁾ Porcentaje de personas en TARV entre todas las personas viviendo con VIH al final del período de reporte</v>
      </c>
      <c r="L2114" s="166"/>
      <c r="M2114" s="166" t="str">
        <f ca="1">IFERROR(IF(VLOOKUP(C2114,' Disaggregation - Section E '!A$618:T1318,20,0)=0,"",VLOOKUP(C2114,' Disaggregation - Section E '!A$618:T1318,20,0)),"")</f>
        <v>IDR-00845</v>
      </c>
      <c r="N2114" s="171" t="str">
        <f ca="1">IFERROR(IF(VLOOKUP(C2114,' Disaggregation - Section E '!A$618:N1318,14,0)=0,"",VLOOKUP(C2114,' Disaggregation - Section E '!A$618:N1318,14,0)),"")</f>
        <v/>
      </c>
      <c r="O2114" s="171" t="str">
        <f ca="1">IFERROR(IF(VLOOKUP(C2114,' Disaggregation - Section E '!A$618:N1318,9,0)=0,"",VLOOKUP(C2114,' Disaggregation - Section E '!A$618:N1318,9,0)),"")</f>
        <v/>
      </c>
      <c r="P2114" s="171" t="str">
        <f ca="1">IFERROR(IF(VLOOKUP(C2114,' Disaggregation - Section E '!A$618:N1318,10,0)=0,"",VLOOKUP(C2114,' Disaggregation - Section E '!A$618:N1318,10,0)),"")</f>
        <v/>
      </c>
    </row>
    <row r="2115" spans="1:16">
      <c r="A2115" s="166" t="b">
        <f t="shared" ca="1" si="145"/>
        <v>1</v>
      </c>
      <c r="B2115" s="166"/>
      <c r="C2115" s="172" t="str">
        <f ca="1">IF(COUNTA(D$1418:D2115)=1,"",OFFSET(B2113,-COUNTA(D$1418:D2115)+3,1))</f>
        <v>a163p000004VjmEAAS</v>
      </c>
      <c r="D2115" s="177"/>
      <c r="E2115" s="168">
        <f ca="1">IFERROR(IF(VLOOKUP(C2115,' Disaggregation - Section E '!A$618:N1319,7,0)="","",VLOOKUP(C2115,' Disaggregation - Section E '!A$618:N1319,7,0)*100),"")</f>
        <v>59.530197340964641</v>
      </c>
      <c r="F2115" s="171" t="str">
        <f ca="1">IFERROR(VLOOKUP(C2115,' Disaggregation - Section E '!A$618:N1319,5,0),"")</f>
        <v>Hombres</v>
      </c>
      <c r="G2115" s="170">
        <f ca="1">IFERROR(IF(VLOOKUP(C2115,' Disaggregation - Section E '!A$618:N1319,6,0)="","",VLOOKUP(C2115,' Disaggregation - Section E '!A$618:N1319,6,0)),"")</f>
        <v>9985</v>
      </c>
      <c r="H2115" s="177">
        <f ca="1">IFERROR(IF(INDEX(' Disaggregation - Section E '!F$618:F2516,MATCH(C2115,' Disaggregation - Section E '!A$618:A2516,0)+1,1)&lt;&gt;0,INDEX(' Disaggregation - Section E '!F$618:F$1820,MATCH(C2115,' Disaggregation - Section E '!A$618:A2516,0)+1,1),""),"")</f>
        <v>16773</v>
      </c>
      <c r="I2115" s="171">
        <f ca="1">IFERROR(IF(VLOOKUP(C2115,' Disaggregation - Section E '!A$618:N1319,8,0)=0,"",VLOOKUP(C2115,' Disaggregation - Section E '!A$618:N1319,8,0)),"")</f>
        <v>2021</v>
      </c>
      <c r="J2115" s="171" t="str">
        <f ca="1">IFERROR(IF(VLOOKUP(C2115,' Disaggregation - Section E '!A$618:N2516,13,0)=0,"",VLOOKUP(C2115,' Disaggregation - Section E '!A$618:N2516,13,0)),"")</f>
        <v/>
      </c>
      <c r="K2115" s="166" t="str">
        <f ca="1">IFERROR(VLOOKUP(C2115,' Disaggregation - Section E '!A$618:N1319,3,0),"")</f>
        <v>TCS-1.1⁽ᴹ⁾ Porcentaje de personas en TARV entre todas las personas viviendo con VIH al final del período de reporte</v>
      </c>
      <c r="L2115" s="166"/>
      <c r="M2115" s="166" t="str">
        <f ca="1">IFERROR(IF(VLOOKUP(C2115,' Disaggregation - Section E '!A$618:T1319,20,0)=0,"",VLOOKUP(C2115,' Disaggregation - Section E '!A$618:T1319,20,0)),"")</f>
        <v>IDR-00844</v>
      </c>
      <c r="N2115" s="171" t="str">
        <f ca="1">IFERROR(IF(VLOOKUP(C2115,' Disaggregation - Section E '!A$618:N1319,14,0)=0,"",VLOOKUP(C2115,' Disaggregation - Section E '!A$618:N1319,14,0)),"")</f>
        <v/>
      </c>
      <c r="O2115" s="171" t="str">
        <f ca="1">IFERROR(IF(VLOOKUP(C2115,' Disaggregation - Section E '!A$618:N1319,9,0)=0,"",VLOOKUP(C2115,' Disaggregation - Section E '!A$618:N1319,9,0)),"")</f>
        <v/>
      </c>
      <c r="P2115" s="171" t="str">
        <f ca="1">IFERROR(IF(VLOOKUP(C2115,' Disaggregation - Section E '!A$618:N1319,10,0)=0,"",VLOOKUP(C2115,' Disaggregation - Section E '!A$618:N1319,10,0)),"")</f>
        <v/>
      </c>
    </row>
    <row r="2116" spans="1:16">
      <c r="A2116" s="166" t="b">
        <f t="shared" ca="1" si="145"/>
        <v>1</v>
      </c>
      <c r="B2116" s="166"/>
      <c r="C2116" s="172" t="str">
        <f ca="1">IF(COUNTA(D$1418:D2116)=1,"",OFFSET(B2114,-COUNTA(D$1418:D2116)+3,1))</f>
        <v>a163p000004VjmFAAS</v>
      </c>
      <c r="D2116" s="177"/>
      <c r="E2116" s="168">
        <f ca="1">IFERROR(IF(VLOOKUP(C2116,' Disaggregation - Section E '!A$618:N1320,7,0)="","",VLOOKUP(C2116,' Disaggregation - Section E '!A$618:N1320,7,0)*100),"")</f>
        <v>54.394458220175544</v>
      </c>
      <c r="F2116" s="171" t="str">
        <f ca="1">IFERROR(VLOOKUP(C2116,' Disaggregation - Section E '!A$618:N1320,5,0),"")</f>
        <v>15+</v>
      </c>
      <c r="G2116" s="170">
        <f ca="1">IFERROR(IF(VLOOKUP(C2116,' Disaggregation - Section E '!A$618:N1320,6,0)="","",VLOOKUP(C2116,' Disaggregation - Section E '!A$618:N1320,6,0)),"")</f>
        <v>13820</v>
      </c>
      <c r="H2116" s="177">
        <f ca="1">IFERROR(IF(INDEX(' Disaggregation - Section E '!F$618:F2517,MATCH(C2116,' Disaggregation - Section E '!A$618:A2517,0)+1,1)&lt;&gt;0,INDEX(' Disaggregation - Section E '!F$618:F$1820,MATCH(C2116,' Disaggregation - Section E '!A$618:A2517,0)+1,1),""),"")</f>
        <v>25407</v>
      </c>
      <c r="I2116" s="171">
        <f ca="1">IFERROR(IF(VLOOKUP(C2116,' Disaggregation - Section E '!A$618:N1320,8,0)=0,"",VLOOKUP(C2116,' Disaggregation - Section E '!A$618:N1320,8,0)),"")</f>
        <v>2021</v>
      </c>
      <c r="J2116" s="171" t="str">
        <f ca="1">IFERROR(IF(VLOOKUP(C2116,' Disaggregation - Section E '!A$618:N2517,13,0)=0,"",VLOOKUP(C2116,' Disaggregation - Section E '!A$618:N2517,13,0)),"")</f>
        <v/>
      </c>
      <c r="K2116" s="166" t="str">
        <f ca="1">IFERROR(VLOOKUP(C2116,' Disaggregation - Section E '!A$618:N1320,3,0),"")</f>
        <v>TCS-1.1⁽ᴹ⁾ Porcentaje de personas en TARV entre todas las personas viviendo con VIH al final del período de reporte</v>
      </c>
      <c r="L2116" s="166"/>
      <c r="M2116" s="166" t="str">
        <f ca="1">IFERROR(IF(VLOOKUP(C2116,' Disaggregation - Section E '!A$618:T1320,20,0)=0,"",VLOOKUP(C2116,' Disaggregation - Section E '!A$618:T1320,20,0)),"")</f>
        <v>IDR-00724</v>
      </c>
      <c r="N2116" s="171" t="str">
        <f ca="1">IFERROR(IF(VLOOKUP(C2116,' Disaggregation - Section E '!A$618:N1320,14,0)=0,"",VLOOKUP(C2116,' Disaggregation - Section E '!A$618:N1320,14,0)),"")</f>
        <v/>
      </c>
      <c r="O2116" s="171" t="str">
        <f ca="1">IFERROR(IF(VLOOKUP(C2116,' Disaggregation - Section E '!A$618:N1320,9,0)=0,"",VLOOKUP(C2116,' Disaggregation - Section E '!A$618:N1320,9,0)),"")</f>
        <v/>
      </c>
      <c r="P2116" s="171" t="str">
        <f ca="1">IFERROR(IF(VLOOKUP(C2116,' Disaggregation - Section E '!A$618:N1320,10,0)=0,"",VLOOKUP(C2116,' Disaggregation - Section E '!A$618:N1320,10,0)),"")</f>
        <v/>
      </c>
    </row>
    <row r="2117" spans="1:16">
      <c r="A2117" s="166" t="b">
        <f t="shared" ca="1" si="145"/>
        <v>1</v>
      </c>
      <c r="B2117" s="166"/>
      <c r="C2117" s="172" t="str">
        <f ca="1">IF(COUNTA(D$1418:D2117)=1,"",OFFSET(B2115,-COUNTA(D$1418:D2117)+3,1))</f>
        <v>a163p000004VjmGAAS</v>
      </c>
      <c r="D2117" s="177"/>
      <c r="E2117" s="168">
        <f ca="1">IFERROR(IF(VLOOKUP(C2117,' Disaggregation - Section E '!A$618:N1321,7,0)="","",VLOOKUP(C2117,' Disaggregation - Section E '!A$618:N1321,7,0)*100),"")</f>
        <v>39.541160593792171</v>
      </c>
      <c r="F2117" s="171" t="str">
        <f ca="1">IFERROR(VLOOKUP(C2117,' Disaggregation - Section E '!A$618:N1321,5,0),"")</f>
        <v>&lt;15</v>
      </c>
      <c r="G2117" s="170">
        <f ca="1">IFERROR(IF(VLOOKUP(C2117,' Disaggregation - Section E '!A$618:N1321,6,0)="","",VLOOKUP(C2117,' Disaggregation - Section E '!A$618:N1321,6,0)),"")</f>
        <v>293</v>
      </c>
      <c r="H2117" s="177">
        <f ca="1">IFERROR(IF(INDEX(' Disaggregation - Section E '!F$618:F2518,MATCH(C2117,' Disaggregation - Section E '!A$618:A2518,0)+1,1)&lt;&gt;0,INDEX(' Disaggregation - Section E '!F$618:F$1820,MATCH(C2117,' Disaggregation - Section E '!A$618:A2518,0)+1,1),""),"")</f>
        <v>741</v>
      </c>
      <c r="I2117" s="171">
        <f ca="1">IFERROR(IF(VLOOKUP(C2117,' Disaggregation - Section E '!A$618:N1321,8,0)=0,"",VLOOKUP(C2117,' Disaggregation - Section E '!A$618:N1321,8,0)),"")</f>
        <v>2021</v>
      </c>
      <c r="J2117" s="171" t="str">
        <f ca="1">IFERROR(IF(VLOOKUP(C2117,' Disaggregation - Section E '!A$618:N2518,13,0)=0,"",VLOOKUP(C2117,' Disaggregation - Section E '!A$618:N2518,13,0)),"")</f>
        <v/>
      </c>
      <c r="K2117" s="166" t="str">
        <f ca="1">IFERROR(VLOOKUP(C2117,' Disaggregation - Section E '!A$618:N1321,3,0),"")</f>
        <v>TCS-1.1⁽ᴹ⁾ Porcentaje de personas en TARV entre todas las personas viviendo con VIH al final del período de reporte</v>
      </c>
      <c r="L2117" s="166"/>
      <c r="M2117" s="166" t="str">
        <f ca="1">IFERROR(IF(VLOOKUP(C2117,' Disaggregation - Section E '!A$618:T1321,20,0)=0,"",VLOOKUP(C2117,' Disaggregation - Section E '!A$618:T1321,20,0)),"")</f>
        <v>IDR-00723</v>
      </c>
      <c r="N2117" s="171" t="str">
        <f ca="1">IFERROR(IF(VLOOKUP(C2117,' Disaggregation - Section E '!A$618:N1321,14,0)=0,"",VLOOKUP(C2117,' Disaggregation - Section E '!A$618:N1321,14,0)),"")</f>
        <v/>
      </c>
      <c r="O2117" s="171" t="str">
        <f ca="1">IFERROR(IF(VLOOKUP(C2117,' Disaggregation - Section E '!A$618:N1321,9,0)=0,"",VLOOKUP(C2117,' Disaggregation - Section E '!A$618:N1321,9,0)),"")</f>
        <v/>
      </c>
      <c r="P2117" s="171" t="str">
        <f ca="1">IFERROR(IF(VLOOKUP(C2117,' Disaggregation - Section E '!A$618:N1321,10,0)=0,"",VLOOKUP(C2117,' Disaggregation - Section E '!A$618:N1321,10,0)),"")</f>
        <v/>
      </c>
    </row>
    <row r="2118" spans="1:16">
      <c r="A2118" s="166" t="b">
        <f t="shared" ca="1" si="145"/>
        <v>0</v>
      </c>
      <c r="B2118" s="166"/>
      <c r="C2118" s="172" t="str">
        <f ca="1">IF(COUNTA(D$1418:D2118)=1,"",OFFSET(B2116,-COUNTA(D$1418:D2118)+3,1))</f>
        <v>a163p000004VjmHAAS</v>
      </c>
      <c r="D2118" s="177"/>
      <c r="E2118" s="168" t="str">
        <f ca="1">IFERROR(IF(VLOOKUP(C2118,' Disaggregation - Section E '!A$618:N1322,7,0)="","",VLOOKUP(C2118,' Disaggregation - Section E '!A$618:N1322,7,0)*100),"")</f>
        <v/>
      </c>
      <c r="F2118" s="171" t="str">
        <f ca="1">IFERROR(VLOOKUP(C2118,' Disaggregation - Section E '!A$618:N1322,5,0),"")</f>
        <v/>
      </c>
      <c r="G2118" s="170" t="str">
        <f ca="1">IFERROR(IF(VLOOKUP(C2118,' Disaggregation - Section E '!A$618:N1322,6,0)="","",VLOOKUP(C2118,' Disaggregation - Section E '!A$618:N1322,6,0)),"")</f>
        <v/>
      </c>
      <c r="H2118" s="177" t="str">
        <f ca="1">IFERROR(IF(INDEX(' Disaggregation - Section E '!F$618:F2519,MATCH(C2118,' Disaggregation - Section E '!A$618:A2519,0)+1,1)&lt;&gt;0,INDEX(' Disaggregation - Section E '!F$618:F$1820,MATCH(C2118,' Disaggregation - Section E '!A$618:A2519,0)+1,1),""),"")</f>
        <v/>
      </c>
      <c r="I2118" s="171" t="str">
        <f ca="1">IFERROR(IF(VLOOKUP(C2118,' Disaggregation - Section E '!A$618:N1322,8,0)=0,"",VLOOKUP(C2118,' Disaggregation - Section E '!A$618:N1322,8,0)),"")</f>
        <v/>
      </c>
      <c r="J2118" s="171" t="str">
        <f ca="1">IFERROR(IF(VLOOKUP(C2118,' Disaggregation - Section E '!A$618:N2519,13,0)=0,"",VLOOKUP(C2118,' Disaggregation - Section E '!A$618:N2519,13,0)),"")</f>
        <v/>
      </c>
      <c r="K2118" s="166" t="str">
        <f ca="1">IFERROR(VLOOKUP(C2118,' Disaggregation - Section E '!A$618:N1322,3,0),"")</f>
        <v>TCS-1.1⁽ᴹ⁾ Porcentaje de personas en TARV entre todas las personas viviendo con VIH al final del período de reporte</v>
      </c>
      <c r="L2118" s="166"/>
      <c r="M2118" s="166" t="str">
        <f ca="1">IFERROR(IF(VLOOKUP(C2118,' Disaggregation - Section E '!A$618:T1322,20,0)=0,"",VLOOKUP(C2118,' Disaggregation - Section E '!A$618:T1322,20,0)),"")</f>
        <v/>
      </c>
      <c r="N2118" s="171" t="str">
        <f ca="1">IFERROR(IF(VLOOKUP(C2118,' Disaggregation - Section E '!A$618:N1322,14,0)=0,"",VLOOKUP(C2118,' Disaggregation - Section E '!A$618:N1322,14,0)),"")</f>
        <v/>
      </c>
      <c r="O2118" s="171" t="str">
        <f ca="1">IFERROR(IF(VLOOKUP(C2118,' Disaggregation - Section E '!A$618:N1322,9,0)=0,"",VLOOKUP(C2118,' Disaggregation - Section E '!A$618:N1322,9,0)),"")</f>
        <v/>
      </c>
      <c r="P2118" s="171" t="str">
        <f ca="1">IFERROR(IF(VLOOKUP(C2118,' Disaggregation - Section E '!A$618:N1322,10,0)=0,"",VLOOKUP(C2118,' Disaggregation - Section E '!A$618:N1322,10,0)),"")</f>
        <v/>
      </c>
    </row>
    <row r="2119" spans="1:16">
      <c r="A2119" s="166" t="b">
        <f t="shared" ca="1" si="145"/>
        <v>0</v>
      </c>
      <c r="B2119" s="166"/>
      <c r="C2119" s="172" t="str">
        <f ca="1">IF(COUNTA(D$1418:D2119)=1,"",OFFSET(B2117,-COUNTA(D$1418:D2119)+3,1))</f>
        <v>a163p000004VjmIAAS</v>
      </c>
      <c r="D2119" s="177"/>
      <c r="E2119" s="168" t="str">
        <f ca="1">IFERROR(IF(VLOOKUP(C2119,' Disaggregation - Section E '!A$618:N1323,7,0)="","",VLOOKUP(C2119,' Disaggregation - Section E '!A$618:N1323,7,0)*100),"")</f>
        <v/>
      </c>
      <c r="F2119" s="171" t="str">
        <f ca="1">IFERROR(VLOOKUP(C2119,' Disaggregation - Section E '!A$618:N1323,5,0),"")</f>
        <v/>
      </c>
      <c r="G2119" s="170" t="str">
        <f ca="1">IFERROR(IF(VLOOKUP(C2119,' Disaggregation - Section E '!A$618:N1323,6,0)="","",VLOOKUP(C2119,' Disaggregation - Section E '!A$618:N1323,6,0)),"")</f>
        <v/>
      </c>
      <c r="H2119" s="177" t="str">
        <f ca="1">IFERROR(IF(INDEX(' Disaggregation - Section E '!F$618:F2520,MATCH(C2119,' Disaggregation - Section E '!A$618:A2520,0)+1,1)&lt;&gt;0,INDEX(' Disaggregation - Section E '!F$618:F$1820,MATCH(C2119,' Disaggregation - Section E '!A$618:A2520,0)+1,1),""),"")</f>
        <v/>
      </c>
      <c r="I2119" s="171" t="str">
        <f ca="1">IFERROR(IF(VLOOKUP(C2119,' Disaggregation - Section E '!A$618:N1323,8,0)=0,"",VLOOKUP(C2119,' Disaggregation - Section E '!A$618:N1323,8,0)),"")</f>
        <v/>
      </c>
      <c r="J2119" s="171" t="str">
        <f ca="1">IFERROR(IF(VLOOKUP(C2119,' Disaggregation - Section E '!A$618:N2520,13,0)=0,"",VLOOKUP(C2119,' Disaggregation - Section E '!A$618:N2520,13,0)),"")</f>
        <v/>
      </c>
      <c r="K2119" s="166" t="str">
        <f ca="1">IFERROR(VLOOKUP(C2119,' Disaggregation - Section E '!A$618:N1323,3,0),"")</f>
        <v>TCS-1.1⁽ᴹ⁾ Porcentaje de personas en TARV entre todas las personas viviendo con VIH al final del período de reporte</v>
      </c>
      <c r="L2119" s="166"/>
      <c r="M2119" s="166" t="str">
        <f ca="1">IFERROR(IF(VLOOKUP(C2119,' Disaggregation - Section E '!A$618:T1323,20,0)=0,"",VLOOKUP(C2119,' Disaggregation - Section E '!A$618:T1323,20,0)),"")</f>
        <v/>
      </c>
      <c r="N2119" s="171" t="str">
        <f ca="1">IFERROR(IF(VLOOKUP(C2119,' Disaggregation - Section E '!A$618:N1323,14,0)=0,"",VLOOKUP(C2119,' Disaggregation - Section E '!A$618:N1323,14,0)),"")</f>
        <v/>
      </c>
      <c r="O2119" s="171" t="str">
        <f ca="1">IFERROR(IF(VLOOKUP(C2119,' Disaggregation - Section E '!A$618:N1323,9,0)=0,"",VLOOKUP(C2119,' Disaggregation - Section E '!A$618:N1323,9,0)),"")</f>
        <v/>
      </c>
      <c r="P2119" s="171" t="str">
        <f ca="1">IFERROR(IF(VLOOKUP(C2119,' Disaggregation - Section E '!A$618:N1323,10,0)=0,"",VLOOKUP(C2119,' Disaggregation - Section E '!A$618:N1323,10,0)),"")</f>
        <v/>
      </c>
    </row>
    <row r="2120" spans="1:16">
      <c r="A2120" s="166" t="b">
        <f t="shared" ca="1" si="145"/>
        <v>1</v>
      </c>
      <c r="B2120" s="166"/>
      <c r="C2120" s="172" t="str">
        <f ca="1">IF(COUNTA(D$1418:D2120)=1,"",OFFSET(B2118,-COUNTA(D$1418:D2120)+3,1))</f>
        <v>a163p000004VjmJAAS</v>
      </c>
      <c r="D2120" s="177"/>
      <c r="E2120" s="168" t="str">
        <f ca="1">IFERROR(IF(VLOOKUP(C2120,' Disaggregation - Section E '!A$618:N1324,7,0)="","",VLOOKUP(C2120,' Disaggregation - Section E '!A$618:N1324,7,0)*100),"")</f>
        <v/>
      </c>
      <c r="F2120" s="171" t="str">
        <f ca="1">IFERROR(VLOOKUP(C2120,' Disaggregation - Section E '!A$618:N1324,5,0),"")</f>
        <v>Transgénero</v>
      </c>
      <c r="G2120" s="170" t="str">
        <f ca="1">IFERROR(IF(VLOOKUP(C2120,' Disaggregation - Section E '!A$618:N1324,6,0)="","",VLOOKUP(C2120,' Disaggregation - Section E '!A$618:N1324,6,0)),"")</f>
        <v/>
      </c>
      <c r="H2120" s="177" t="str">
        <f ca="1">IFERROR(IF(INDEX(' Disaggregation - Section E '!F$618:F2521,MATCH(C2120,' Disaggregation - Section E '!A$618:A2521,0)+1,1)&lt;&gt;0,INDEX(' Disaggregation - Section E '!F$618:F$1820,MATCH(C2120,' Disaggregation - Section E '!A$618:A2521,0)+1,1),""),"")</f>
        <v/>
      </c>
      <c r="I2120" s="171" t="str">
        <f ca="1">IFERROR(IF(VLOOKUP(C2120,' Disaggregation - Section E '!A$618:N1324,8,0)=0,"",VLOOKUP(C2120,' Disaggregation - Section E '!A$618:N1324,8,0)),"")</f>
        <v/>
      </c>
      <c r="J2120" s="171" t="str">
        <f ca="1">IFERROR(IF(VLOOKUP(C2120,' Disaggregation - Section E '!A$618:N2521,13,0)=0,"",VLOOKUP(C2120,' Disaggregation - Section E '!A$618:N2521,13,0)),"")</f>
        <v/>
      </c>
      <c r="K2120" s="166" t="str">
        <f ca="1">IFERROR(VLOOKUP(C2120,' Disaggregation - Section E '!A$618:N1324,3,0),"")</f>
        <v>KP-1c⁽ᴹ⁾ Porcentaje de trabajadores sexuales alcanzados por programas de prevención del VIH - paquete definido de servicios</v>
      </c>
      <c r="L2120" s="166"/>
      <c r="M2120" s="166" t="str">
        <f ca="1">IFERROR(IF(VLOOKUP(C2120,' Disaggregation - Section E '!A$618:T1324,20,0)=0,"",VLOOKUP(C2120,' Disaggregation - Section E '!A$618:T1324,20,0)),"")</f>
        <v>IDR-00825</v>
      </c>
      <c r="N2120" s="171" t="str">
        <f ca="1">IFERROR(IF(VLOOKUP(C2120,' Disaggregation - Section E '!A$618:N1324,14,0)=0,"",VLOOKUP(C2120,' Disaggregation - Section E '!A$618:N1324,14,0)),"")</f>
        <v/>
      </c>
      <c r="O2120" s="171" t="str">
        <f ca="1">IFERROR(IF(VLOOKUP(C2120,' Disaggregation - Section E '!A$618:N1324,9,0)=0,"",VLOOKUP(C2120,' Disaggregation - Section E '!A$618:N1324,9,0)),"")</f>
        <v/>
      </c>
      <c r="P2120" s="171" t="str">
        <f ca="1">IFERROR(IF(VLOOKUP(C2120,' Disaggregation - Section E '!A$618:N1324,10,0)=0,"",VLOOKUP(C2120,' Disaggregation - Section E '!A$618:N1324,10,0)),"")</f>
        <v/>
      </c>
    </row>
    <row r="2121" spans="1:16">
      <c r="A2121" s="166" t="b">
        <f t="shared" ca="1" si="145"/>
        <v>1</v>
      </c>
      <c r="B2121" s="166"/>
      <c r="C2121" s="172" t="str">
        <f ca="1">IF(COUNTA(D$1418:D2121)=1,"",OFFSET(B2119,-COUNTA(D$1418:D2121)+3,1))</f>
        <v>a163p000004VjmKAAS</v>
      </c>
      <c r="D2121" s="177"/>
      <c r="E2121" s="168">
        <f ca="1">IFERROR(IF(VLOOKUP(C2121,' Disaggregation - Section E '!A$618:N1325,7,0)="","",VLOOKUP(C2121,' Disaggregation - Section E '!A$618:N1325,7,0)*100),"")</f>
        <v>9.9916939463526653</v>
      </c>
      <c r="F2121" s="171" t="str">
        <f ca="1">IFERROR(VLOOKUP(C2121,' Disaggregation - Section E '!A$618:N1325,5,0),"")</f>
        <v>Mujeres</v>
      </c>
      <c r="G2121" s="170">
        <f ca="1">IFERROR(IF(VLOOKUP(C2121,' Disaggregation - Section E '!A$618:N1325,6,0)="","",VLOOKUP(C2121,' Disaggregation - Section E '!A$618:N1325,6,0)),"")</f>
        <v>2045</v>
      </c>
      <c r="H2121" s="177">
        <f ca="1">IFERROR(IF(INDEX(' Disaggregation - Section E '!F$618:F2522,MATCH(C2121,' Disaggregation - Section E '!A$618:A2522,0)+1,1)&lt;&gt;0,INDEX(' Disaggregation - Section E '!F$618:F$1820,MATCH(C2121,' Disaggregation - Section E '!A$618:A2522,0)+1,1),""),"")</f>
        <v>20467</v>
      </c>
      <c r="I2121" s="171">
        <f ca="1">IFERROR(IF(VLOOKUP(C2121,' Disaggregation - Section E '!A$618:N1325,8,0)=0,"",VLOOKUP(C2121,' Disaggregation - Section E '!A$618:N1325,8,0)),"")</f>
        <v>2021</v>
      </c>
      <c r="J2121" s="171" t="str">
        <f ca="1">IFERROR(IF(VLOOKUP(C2121,' Disaggregation - Section E '!A$618:N2522,13,0)=0,"",VLOOKUP(C2121,' Disaggregation - Section E '!A$618:N2522,13,0)),"")</f>
        <v/>
      </c>
      <c r="K2121" s="166" t="str">
        <f ca="1">IFERROR(VLOOKUP(C2121,' Disaggregation - Section E '!A$618:N1325,3,0),"")</f>
        <v>KP-1c⁽ᴹ⁾ Porcentaje de trabajadores sexuales alcanzados por programas de prevención del VIH - paquete definido de servicios</v>
      </c>
      <c r="L2121" s="166"/>
      <c r="M2121" s="166" t="str">
        <f ca="1">IFERROR(IF(VLOOKUP(C2121,' Disaggregation - Section E '!A$618:T1325,20,0)=0,"",VLOOKUP(C2121,' Disaggregation - Section E '!A$618:T1325,20,0)),"")</f>
        <v>IDR-00824</v>
      </c>
      <c r="N2121" s="171" t="str">
        <f ca="1">IFERROR(IF(VLOOKUP(C2121,' Disaggregation - Section E '!A$618:N1325,14,0)=0,"",VLOOKUP(C2121,' Disaggregation - Section E '!A$618:N1325,14,0)),"")</f>
        <v/>
      </c>
      <c r="O2121" s="171" t="str">
        <f ca="1">IFERROR(IF(VLOOKUP(C2121,' Disaggregation - Section E '!A$618:N1325,9,0)=0,"",VLOOKUP(C2121,' Disaggregation - Section E '!A$618:N1325,9,0)),"")</f>
        <v/>
      </c>
      <c r="P2121" s="171" t="str">
        <f ca="1">IFERROR(IF(VLOOKUP(C2121,' Disaggregation - Section E '!A$618:N1325,10,0)=0,"",VLOOKUP(C2121,' Disaggregation - Section E '!A$618:N1325,10,0)),"")</f>
        <v/>
      </c>
    </row>
    <row r="2122" spans="1:16">
      <c r="A2122" s="166" t="b">
        <f t="shared" ca="1" si="145"/>
        <v>1</v>
      </c>
      <c r="B2122" s="166"/>
      <c r="C2122" s="172" t="str">
        <f ca="1">IF(COUNTA(D$1418:D2122)=1,"",OFFSET(B2120,-COUNTA(D$1418:D2122)+3,1))</f>
        <v>a163p000004VjmLAAS</v>
      </c>
      <c r="D2122" s="177"/>
      <c r="E2122" s="168" t="str">
        <f ca="1">IFERROR(IF(VLOOKUP(C2122,' Disaggregation - Section E '!A$618:N1326,7,0)="","",VLOOKUP(C2122,' Disaggregation - Section E '!A$618:N1326,7,0)*100),"")</f>
        <v/>
      </c>
      <c r="F2122" s="171" t="str">
        <f ca="1">IFERROR(VLOOKUP(C2122,' Disaggregation - Section E '!A$618:N1326,5,0),"")</f>
        <v>Hombres</v>
      </c>
      <c r="G2122" s="170" t="str">
        <f ca="1">IFERROR(IF(VLOOKUP(C2122,' Disaggregation - Section E '!A$618:N1326,6,0)="","",VLOOKUP(C2122,' Disaggregation - Section E '!A$618:N1326,6,0)),"")</f>
        <v/>
      </c>
      <c r="H2122" s="177" t="str">
        <f ca="1">IFERROR(IF(INDEX(' Disaggregation - Section E '!F$618:F2523,MATCH(C2122,' Disaggregation - Section E '!A$618:A2523,0)+1,1)&lt;&gt;0,INDEX(' Disaggregation - Section E '!F$618:F$1820,MATCH(C2122,' Disaggregation - Section E '!A$618:A2523,0)+1,1),""),"")</f>
        <v/>
      </c>
      <c r="I2122" s="171" t="str">
        <f ca="1">IFERROR(IF(VLOOKUP(C2122,' Disaggregation - Section E '!A$618:N1326,8,0)=0,"",VLOOKUP(C2122,' Disaggregation - Section E '!A$618:N1326,8,0)),"")</f>
        <v/>
      </c>
      <c r="J2122" s="171" t="str">
        <f ca="1">IFERROR(IF(VLOOKUP(C2122,' Disaggregation - Section E '!A$618:N2523,13,0)=0,"",VLOOKUP(C2122,' Disaggregation - Section E '!A$618:N2523,13,0)),"")</f>
        <v/>
      </c>
      <c r="K2122" s="166" t="str">
        <f ca="1">IFERROR(VLOOKUP(C2122,' Disaggregation - Section E '!A$618:N1326,3,0),"")</f>
        <v>KP-1c⁽ᴹ⁾ Porcentaje de trabajadores sexuales alcanzados por programas de prevención del VIH - paquete definido de servicios</v>
      </c>
      <c r="L2122" s="166"/>
      <c r="M2122" s="166" t="str">
        <f ca="1">IFERROR(IF(VLOOKUP(C2122,' Disaggregation - Section E '!A$618:T1326,20,0)=0,"",VLOOKUP(C2122,' Disaggregation - Section E '!A$618:T1326,20,0)),"")</f>
        <v>IDR-00823</v>
      </c>
      <c r="N2122" s="171" t="str">
        <f ca="1">IFERROR(IF(VLOOKUP(C2122,' Disaggregation - Section E '!A$618:N1326,14,0)=0,"",VLOOKUP(C2122,' Disaggregation - Section E '!A$618:N1326,14,0)),"")</f>
        <v/>
      </c>
      <c r="O2122" s="171" t="str">
        <f ca="1">IFERROR(IF(VLOOKUP(C2122,' Disaggregation - Section E '!A$618:N1326,9,0)=0,"",VLOOKUP(C2122,' Disaggregation - Section E '!A$618:N1326,9,0)),"")</f>
        <v/>
      </c>
      <c r="P2122" s="171" t="str">
        <f ca="1">IFERROR(IF(VLOOKUP(C2122,' Disaggregation - Section E '!A$618:N1326,10,0)=0,"",VLOOKUP(C2122,' Disaggregation - Section E '!A$618:N1326,10,0)),"")</f>
        <v/>
      </c>
    </row>
    <row r="2123" spans="1:16">
      <c r="A2123" s="166" t="b">
        <f t="shared" ca="1" si="145"/>
        <v>1</v>
      </c>
      <c r="B2123" s="166"/>
      <c r="C2123" s="172" t="str">
        <f ca="1">IF(COUNTA(D$1418:D2123)=1,"",OFFSET(B2121,-COUNTA(D$1418:D2123)+3,1))</f>
        <v>a163p000004VjmMAAS</v>
      </c>
      <c r="D2123" s="177"/>
      <c r="E2123" s="168" t="str">
        <f ca="1">IFERROR(IF(VLOOKUP(C2123,' Disaggregation - Section E '!A$618:N1327,7,0)="","",VLOOKUP(C2123,' Disaggregation - Section E '!A$618:N1327,7,0)*100),"")</f>
        <v/>
      </c>
      <c r="F2123" s="171" t="str">
        <f ca="1">IFERROR(VLOOKUP(C2123,' Disaggregation - Section E '!A$618:N1327,5,0),"")</f>
        <v>25+</v>
      </c>
      <c r="G2123" s="170">
        <f ca="1">IFERROR(IF(VLOOKUP(C2123,' Disaggregation - Section E '!A$618:N1327,6,0)="","",VLOOKUP(C2123,' Disaggregation - Section E '!A$618:N1327,6,0)),"")</f>
        <v>1599</v>
      </c>
      <c r="H2123" s="177" t="str">
        <f ca="1">IFERROR(IF(INDEX(' Disaggregation - Section E '!F$618:F2524,MATCH(C2123,' Disaggregation - Section E '!A$618:A2524,0)+1,1)&lt;&gt;0,INDEX(' Disaggregation - Section E '!F$618:F$1820,MATCH(C2123,' Disaggregation - Section E '!A$618:A2524,0)+1,1),""),"")</f>
        <v/>
      </c>
      <c r="I2123" s="171">
        <f ca="1">IFERROR(IF(VLOOKUP(C2123,' Disaggregation - Section E '!A$618:N1327,8,0)=0,"",VLOOKUP(C2123,' Disaggregation - Section E '!A$618:N1327,8,0)),"")</f>
        <v>2021</v>
      </c>
      <c r="J2123" s="171" t="str">
        <f ca="1">IFERROR(IF(VLOOKUP(C2123,' Disaggregation - Section E '!A$618:N2524,13,0)=0,"",VLOOKUP(C2123,' Disaggregation - Section E '!A$618:N2524,13,0)),"")</f>
        <v/>
      </c>
      <c r="K2123" s="166" t="str">
        <f ca="1">IFERROR(VLOOKUP(C2123,' Disaggregation - Section E '!A$618:N1327,3,0),"")</f>
        <v>KP-1c⁽ᴹ⁾ Porcentaje de trabajadores sexuales alcanzados por programas de prevención del VIH - paquete definido de servicios</v>
      </c>
      <c r="L2123" s="166"/>
      <c r="M2123" s="166" t="str">
        <f ca="1">IFERROR(IF(VLOOKUP(C2123,' Disaggregation - Section E '!A$618:T1327,20,0)=0,"",VLOOKUP(C2123,' Disaggregation - Section E '!A$618:T1327,20,0)),"")</f>
        <v>IDR-00704</v>
      </c>
      <c r="N2123" s="171" t="str">
        <f ca="1">IFERROR(IF(VLOOKUP(C2123,' Disaggregation - Section E '!A$618:N1327,14,0)=0,"",VLOOKUP(C2123,' Disaggregation - Section E '!A$618:N1327,14,0)),"")</f>
        <v/>
      </c>
      <c r="O2123" s="171" t="str">
        <f ca="1">IFERROR(IF(VLOOKUP(C2123,' Disaggregation - Section E '!A$618:N1327,9,0)=0,"",VLOOKUP(C2123,' Disaggregation - Section E '!A$618:N1327,9,0)),"")</f>
        <v/>
      </c>
      <c r="P2123" s="171" t="str">
        <f ca="1">IFERROR(IF(VLOOKUP(C2123,' Disaggregation - Section E '!A$618:N1327,10,0)=0,"",VLOOKUP(C2123,' Disaggregation - Section E '!A$618:N1327,10,0)),"")</f>
        <v/>
      </c>
    </row>
    <row r="2124" spans="1:16">
      <c r="A2124" s="166" t="b">
        <f t="shared" ca="1" si="145"/>
        <v>1</v>
      </c>
      <c r="B2124" s="166"/>
      <c r="C2124" s="172" t="str">
        <f ca="1">IF(COUNTA(D$1418:D2124)=1,"",OFFSET(B2122,-COUNTA(D$1418:D2124)+3,1))</f>
        <v>a163p000004VjmNAAS</v>
      </c>
      <c r="D2124" s="177"/>
      <c r="E2124" s="168" t="str">
        <f ca="1">IFERROR(IF(VLOOKUP(C2124,' Disaggregation - Section E '!A$618:N1328,7,0)="","",VLOOKUP(C2124,' Disaggregation - Section E '!A$618:N1328,7,0)*100),"")</f>
        <v/>
      </c>
      <c r="F2124" s="171" t="str">
        <f ca="1">IFERROR(VLOOKUP(C2124,' Disaggregation - Section E '!A$618:N1328,5,0),"")</f>
        <v>&lt;25</v>
      </c>
      <c r="G2124" s="170">
        <f ca="1">IFERROR(IF(VLOOKUP(C2124,' Disaggregation - Section E '!A$618:N1328,6,0)="","",VLOOKUP(C2124,' Disaggregation - Section E '!A$618:N1328,6,0)),"")</f>
        <v>446</v>
      </c>
      <c r="H2124" s="177" t="str">
        <f ca="1">IFERROR(IF(INDEX(' Disaggregation - Section E '!F$618:F2525,MATCH(C2124,' Disaggregation - Section E '!A$618:A2525,0)+1,1)&lt;&gt;0,INDEX(' Disaggregation - Section E '!F$618:F$1820,MATCH(C2124,' Disaggregation - Section E '!A$618:A2525,0)+1,1),""),"")</f>
        <v/>
      </c>
      <c r="I2124" s="171">
        <f ca="1">IFERROR(IF(VLOOKUP(C2124,' Disaggregation - Section E '!A$618:N1328,8,0)=0,"",VLOOKUP(C2124,' Disaggregation - Section E '!A$618:N1328,8,0)),"")</f>
        <v>2021</v>
      </c>
      <c r="J2124" s="171" t="str">
        <f ca="1">IFERROR(IF(VLOOKUP(C2124,' Disaggregation - Section E '!A$618:N2525,13,0)=0,"",VLOOKUP(C2124,' Disaggregation - Section E '!A$618:N2525,13,0)),"")</f>
        <v/>
      </c>
      <c r="K2124" s="166" t="str">
        <f ca="1">IFERROR(VLOOKUP(C2124,' Disaggregation - Section E '!A$618:N1328,3,0),"")</f>
        <v>KP-1c⁽ᴹ⁾ Porcentaje de trabajadores sexuales alcanzados por programas de prevención del VIH - paquete definido de servicios</v>
      </c>
      <c r="L2124" s="166"/>
      <c r="M2124" s="166" t="str">
        <f ca="1">IFERROR(IF(VLOOKUP(C2124,' Disaggregation - Section E '!A$618:T1328,20,0)=0,"",VLOOKUP(C2124,' Disaggregation - Section E '!A$618:T1328,20,0)),"")</f>
        <v>IDR-00703</v>
      </c>
      <c r="N2124" s="171" t="str">
        <f ca="1">IFERROR(IF(VLOOKUP(C2124,' Disaggregation - Section E '!A$618:N1328,14,0)=0,"",VLOOKUP(C2124,' Disaggregation - Section E '!A$618:N1328,14,0)),"")</f>
        <v/>
      </c>
      <c r="O2124" s="171" t="str">
        <f ca="1">IFERROR(IF(VLOOKUP(C2124,' Disaggregation - Section E '!A$618:N1328,9,0)=0,"",VLOOKUP(C2124,' Disaggregation - Section E '!A$618:N1328,9,0)),"")</f>
        <v/>
      </c>
      <c r="P2124" s="171" t="str">
        <f ca="1">IFERROR(IF(VLOOKUP(C2124,' Disaggregation - Section E '!A$618:N1328,10,0)=0,"",VLOOKUP(C2124,' Disaggregation - Section E '!A$618:N1328,10,0)),"")</f>
        <v/>
      </c>
    </row>
    <row r="2125" spans="1:16">
      <c r="A2125" s="166" t="b">
        <f t="shared" ca="1" si="145"/>
        <v>0</v>
      </c>
      <c r="B2125" s="166"/>
      <c r="C2125" s="172" t="str">
        <f ca="1">IF(COUNTA(D$1418:D2125)=1,"",OFFSET(B2123,-COUNTA(D$1418:D2125)+3,1))</f>
        <v>a163p000004VjmOAAS</v>
      </c>
      <c r="D2125" s="177"/>
      <c r="E2125" s="168" t="str">
        <f ca="1">IFERROR(IF(VLOOKUP(C2125,' Disaggregation - Section E '!A$618:N1329,7,0)="","",VLOOKUP(C2125,' Disaggregation - Section E '!A$618:N1329,7,0)*100),"")</f>
        <v/>
      </c>
      <c r="F2125" s="171" t="str">
        <f ca="1">IFERROR(VLOOKUP(C2125,' Disaggregation - Section E '!A$618:N1329,5,0),"")</f>
        <v/>
      </c>
      <c r="G2125" s="170" t="str">
        <f ca="1">IFERROR(IF(VLOOKUP(C2125,' Disaggregation - Section E '!A$618:N1329,6,0)="","",VLOOKUP(C2125,' Disaggregation - Section E '!A$618:N1329,6,0)),"")</f>
        <v/>
      </c>
      <c r="H2125" s="177" t="str">
        <f ca="1">IFERROR(IF(INDEX(' Disaggregation - Section E '!F$618:F2526,MATCH(C2125,' Disaggregation - Section E '!A$618:A2526,0)+1,1)&lt;&gt;0,INDEX(' Disaggregation - Section E '!F$618:F$1820,MATCH(C2125,' Disaggregation - Section E '!A$618:A2526,0)+1,1),""),"")</f>
        <v/>
      </c>
      <c r="I2125" s="171" t="str">
        <f ca="1">IFERROR(IF(VLOOKUP(C2125,' Disaggregation - Section E '!A$618:N1329,8,0)=0,"",VLOOKUP(C2125,' Disaggregation - Section E '!A$618:N1329,8,0)),"")</f>
        <v/>
      </c>
      <c r="J2125" s="171" t="str">
        <f ca="1">IFERROR(IF(VLOOKUP(C2125,' Disaggregation - Section E '!A$618:N2526,13,0)=0,"",VLOOKUP(C2125,' Disaggregation - Section E '!A$618:N2526,13,0)),"")</f>
        <v/>
      </c>
      <c r="K2125" s="166" t="str">
        <f ca="1">IFERROR(VLOOKUP(C2125,' Disaggregation - Section E '!A$618:N1329,3,0),"")</f>
        <v>KP-1c⁽ᴹ⁾ Porcentaje de trabajadores sexuales alcanzados por programas de prevención del VIH - paquete definido de servicios</v>
      </c>
      <c r="L2125" s="166"/>
      <c r="M2125" s="166" t="str">
        <f ca="1">IFERROR(IF(VLOOKUP(C2125,' Disaggregation - Section E '!A$618:T1329,20,0)=0,"",VLOOKUP(C2125,' Disaggregation - Section E '!A$618:T1329,20,0)),"")</f>
        <v/>
      </c>
      <c r="N2125" s="171" t="str">
        <f ca="1">IFERROR(IF(VLOOKUP(C2125,' Disaggregation - Section E '!A$618:N1329,14,0)=0,"",VLOOKUP(C2125,' Disaggregation - Section E '!A$618:N1329,14,0)),"")</f>
        <v/>
      </c>
      <c r="O2125" s="171" t="str">
        <f ca="1">IFERROR(IF(VLOOKUP(C2125,' Disaggregation - Section E '!A$618:N1329,9,0)=0,"",VLOOKUP(C2125,' Disaggregation - Section E '!A$618:N1329,9,0)),"")</f>
        <v/>
      </c>
      <c r="P2125" s="171" t="str">
        <f ca="1">IFERROR(IF(VLOOKUP(C2125,' Disaggregation - Section E '!A$618:N1329,10,0)=0,"",VLOOKUP(C2125,' Disaggregation - Section E '!A$618:N1329,10,0)),"")</f>
        <v/>
      </c>
    </row>
    <row r="2126" spans="1:16">
      <c r="A2126" s="166" t="b">
        <f t="shared" ca="1" si="145"/>
        <v>0</v>
      </c>
      <c r="B2126" s="166"/>
      <c r="C2126" s="172" t="str">
        <f ca="1">IF(COUNTA(D$1418:D2126)=1,"",OFFSET(B2124,-COUNTA(D$1418:D2126)+3,1))</f>
        <v>a163p000004VjmPAAS</v>
      </c>
      <c r="D2126" s="177"/>
      <c r="E2126" s="168" t="str">
        <f ca="1">IFERROR(IF(VLOOKUP(C2126,' Disaggregation - Section E '!A$618:N1330,7,0)="","",VLOOKUP(C2126,' Disaggregation - Section E '!A$618:N1330,7,0)*100),"")</f>
        <v/>
      </c>
      <c r="F2126" s="171" t="str">
        <f ca="1">IFERROR(VLOOKUP(C2126,' Disaggregation - Section E '!A$618:N1330,5,0),"")</f>
        <v/>
      </c>
      <c r="G2126" s="170" t="str">
        <f ca="1">IFERROR(IF(VLOOKUP(C2126,' Disaggregation - Section E '!A$618:N1330,6,0)="","",VLOOKUP(C2126,' Disaggregation - Section E '!A$618:N1330,6,0)),"")</f>
        <v/>
      </c>
      <c r="H2126" s="177" t="str">
        <f ca="1">IFERROR(IF(INDEX(' Disaggregation - Section E '!F$618:F2527,MATCH(C2126,' Disaggregation - Section E '!A$618:A2527,0)+1,1)&lt;&gt;0,INDEX(' Disaggregation - Section E '!F$618:F$1820,MATCH(C2126,' Disaggregation - Section E '!A$618:A2527,0)+1,1),""),"")</f>
        <v/>
      </c>
      <c r="I2126" s="171" t="str">
        <f ca="1">IFERROR(IF(VLOOKUP(C2126,' Disaggregation - Section E '!A$618:N1330,8,0)=0,"",VLOOKUP(C2126,' Disaggregation - Section E '!A$618:N1330,8,0)),"")</f>
        <v/>
      </c>
      <c r="J2126" s="171" t="str">
        <f ca="1">IFERROR(IF(VLOOKUP(C2126,' Disaggregation - Section E '!A$618:N2527,13,0)=0,"",VLOOKUP(C2126,' Disaggregation - Section E '!A$618:N2527,13,0)),"")</f>
        <v/>
      </c>
      <c r="K2126" s="166" t="str">
        <f ca="1">IFERROR(VLOOKUP(C2126,' Disaggregation - Section E '!A$618:N1330,3,0),"")</f>
        <v>KP-1c⁽ᴹ⁾ Porcentaje de trabajadores sexuales alcanzados por programas de prevención del VIH - paquete definido de servicios</v>
      </c>
      <c r="L2126" s="166"/>
      <c r="M2126" s="166" t="str">
        <f ca="1">IFERROR(IF(VLOOKUP(C2126,' Disaggregation - Section E '!A$618:T1330,20,0)=0,"",VLOOKUP(C2126,' Disaggregation - Section E '!A$618:T1330,20,0)),"")</f>
        <v/>
      </c>
      <c r="N2126" s="171" t="str">
        <f ca="1">IFERROR(IF(VLOOKUP(C2126,' Disaggregation - Section E '!A$618:N1330,14,0)=0,"",VLOOKUP(C2126,' Disaggregation - Section E '!A$618:N1330,14,0)),"")</f>
        <v/>
      </c>
      <c r="O2126" s="171" t="str">
        <f ca="1">IFERROR(IF(VLOOKUP(C2126,' Disaggregation - Section E '!A$618:N1330,9,0)=0,"",VLOOKUP(C2126,' Disaggregation - Section E '!A$618:N1330,9,0)),"")</f>
        <v/>
      </c>
      <c r="P2126" s="171" t="str">
        <f ca="1">IFERROR(IF(VLOOKUP(C2126,' Disaggregation - Section E '!A$618:N1330,10,0)=0,"",VLOOKUP(C2126,' Disaggregation - Section E '!A$618:N1330,10,0)),"")</f>
        <v/>
      </c>
    </row>
    <row r="2127" spans="1:16">
      <c r="A2127" s="166" t="b">
        <f t="shared" ca="1" si="145"/>
        <v>0</v>
      </c>
      <c r="B2127" s="166"/>
      <c r="C2127" s="172" t="str">
        <f ca="1">IF(COUNTA(D$1418:D2127)=1,"",OFFSET(B2125,-COUNTA(D$1418:D2127)+3,1))</f>
        <v>a163p000004VjmQAAS</v>
      </c>
      <c r="D2127" s="177"/>
      <c r="E2127" s="168" t="str">
        <f ca="1">IFERROR(IF(VLOOKUP(C2127,' Disaggregation - Section E '!A$618:N1331,7,0)="","",VLOOKUP(C2127,' Disaggregation - Section E '!A$618:N1331,7,0)*100),"")</f>
        <v/>
      </c>
      <c r="F2127" s="171" t="str">
        <f ca="1">IFERROR(VLOOKUP(C2127,' Disaggregation - Section E '!A$618:N1331,5,0),"")</f>
        <v/>
      </c>
      <c r="G2127" s="170" t="str">
        <f ca="1">IFERROR(IF(VLOOKUP(C2127,' Disaggregation - Section E '!A$618:N1331,6,0)="","",VLOOKUP(C2127,' Disaggregation - Section E '!A$618:N1331,6,0)),"")</f>
        <v/>
      </c>
      <c r="H2127" s="177" t="str">
        <f ca="1">IFERROR(IF(INDEX(' Disaggregation - Section E '!F$618:F2528,MATCH(C2127,' Disaggregation - Section E '!A$618:A2528,0)+1,1)&lt;&gt;0,INDEX(' Disaggregation - Section E '!F$618:F$1820,MATCH(C2127,' Disaggregation - Section E '!A$618:A2528,0)+1,1),""),"")</f>
        <v/>
      </c>
      <c r="I2127" s="171" t="str">
        <f ca="1">IFERROR(IF(VLOOKUP(C2127,' Disaggregation - Section E '!A$618:N1331,8,0)=0,"",VLOOKUP(C2127,' Disaggregation - Section E '!A$618:N1331,8,0)),"")</f>
        <v/>
      </c>
      <c r="J2127" s="171" t="str">
        <f ca="1">IFERROR(IF(VLOOKUP(C2127,' Disaggregation - Section E '!A$618:N2528,13,0)=0,"",VLOOKUP(C2127,' Disaggregation - Section E '!A$618:N2528,13,0)),"")</f>
        <v/>
      </c>
      <c r="K2127" s="166" t="str">
        <f ca="1">IFERROR(VLOOKUP(C2127,' Disaggregation - Section E '!A$618:N1331,3,0),"")</f>
        <v>KP-1c⁽ᴹ⁾ Porcentaje de trabajadores sexuales alcanzados por programas de prevención del VIH - paquete definido de servicios</v>
      </c>
      <c r="L2127" s="166"/>
      <c r="M2127" s="166" t="str">
        <f ca="1">IFERROR(IF(VLOOKUP(C2127,' Disaggregation - Section E '!A$618:T1331,20,0)=0,"",VLOOKUP(C2127,' Disaggregation - Section E '!A$618:T1331,20,0)),"")</f>
        <v/>
      </c>
      <c r="N2127" s="171" t="str">
        <f ca="1">IFERROR(IF(VLOOKUP(C2127,' Disaggregation - Section E '!A$618:N1331,14,0)=0,"",VLOOKUP(C2127,' Disaggregation - Section E '!A$618:N1331,14,0)),"")</f>
        <v/>
      </c>
      <c r="O2127" s="171" t="str">
        <f ca="1">IFERROR(IF(VLOOKUP(C2127,' Disaggregation - Section E '!A$618:N1331,9,0)=0,"",VLOOKUP(C2127,' Disaggregation - Section E '!A$618:N1331,9,0)),"")</f>
        <v/>
      </c>
      <c r="P2127" s="171" t="str">
        <f ca="1">IFERROR(IF(VLOOKUP(C2127,' Disaggregation - Section E '!A$618:N1331,10,0)=0,"",VLOOKUP(C2127,' Disaggregation - Section E '!A$618:N1331,10,0)),"")</f>
        <v/>
      </c>
    </row>
    <row r="2128" spans="1:16">
      <c r="A2128" s="166" t="b">
        <f t="shared" ca="1" si="145"/>
        <v>0</v>
      </c>
      <c r="B2128" s="166"/>
      <c r="C2128" s="172" t="str">
        <f ca="1">IF(COUNTA(D$1418:D2128)=1,"",OFFSET(B2126,-COUNTA(D$1418:D2128)+3,1))</f>
        <v>a163p000004VjmRAAS</v>
      </c>
      <c r="D2128" s="177"/>
      <c r="E2128" s="168" t="str">
        <f ca="1">IFERROR(IF(VLOOKUP(C2128,' Disaggregation - Section E '!A$618:N1332,7,0)="","",VLOOKUP(C2128,' Disaggregation - Section E '!A$618:N1332,7,0)*100),"")</f>
        <v/>
      </c>
      <c r="F2128" s="171" t="str">
        <f ca="1">IFERROR(VLOOKUP(C2128,' Disaggregation - Section E '!A$618:N1332,5,0),"")</f>
        <v/>
      </c>
      <c r="G2128" s="170" t="str">
        <f ca="1">IFERROR(IF(VLOOKUP(C2128,' Disaggregation - Section E '!A$618:N1332,6,0)="","",VLOOKUP(C2128,' Disaggregation - Section E '!A$618:N1332,6,0)),"")</f>
        <v/>
      </c>
      <c r="H2128" s="177" t="str">
        <f ca="1">IFERROR(IF(INDEX(' Disaggregation - Section E '!F$618:F2529,MATCH(C2128,' Disaggregation - Section E '!A$618:A2529,0)+1,1)&lt;&gt;0,INDEX(' Disaggregation - Section E '!F$618:F$1820,MATCH(C2128,' Disaggregation - Section E '!A$618:A2529,0)+1,1),""),"")</f>
        <v/>
      </c>
      <c r="I2128" s="171" t="str">
        <f ca="1">IFERROR(IF(VLOOKUP(C2128,' Disaggregation - Section E '!A$618:N1332,8,0)=0,"",VLOOKUP(C2128,' Disaggregation - Section E '!A$618:N1332,8,0)),"")</f>
        <v/>
      </c>
      <c r="J2128" s="171" t="str">
        <f ca="1">IFERROR(IF(VLOOKUP(C2128,' Disaggregation - Section E '!A$618:N2529,13,0)=0,"",VLOOKUP(C2128,' Disaggregation - Section E '!A$618:N2529,13,0)),"")</f>
        <v/>
      </c>
      <c r="K2128" s="166" t="str">
        <f ca="1">IFERROR(VLOOKUP(C2128,' Disaggregation - Section E '!A$618:N1332,3,0),"")</f>
        <v>KP-1c⁽ᴹ⁾ Porcentaje de trabajadores sexuales alcanzados por programas de prevención del VIH - paquete definido de servicios</v>
      </c>
      <c r="L2128" s="166"/>
      <c r="M2128" s="166" t="str">
        <f ca="1">IFERROR(IF(VLOOKUP(C2128,' Disaggregation - Section E '!A$618:T1332,20,0)=0,"",VLOOKUP(C2128,' Disaggregation - Section E '!A$618:T1332,20,0)),"")</f>
        <v/>
      </c>
      <c r="N2128" s="171" t="str">
        <f ca="1">IFERROR(IF(VLOOKUP(C2128,' Disaggregation - Section E '!A$618:N1332,14,0)=0,"",VLOOKUP(C2128,' Disaggregation - Section E '!A$618:N1332,14,0)),"")</f>
        <v/>
      </c>
      <c r="O2128" s="171" t="str">
        <f ca="1">IFERROR(IF(VLOOKUP(C2128,' Disaggregation - Section E '!A$618:N1332,9,0)=0,"",VLOOKUP(C2128,' Disaggregation - Section E '!A$618:N1332,9,0)),"")</f>
        <v/>
      </c>
      <c r="P2128" s="171" t="str">
        <f ca="1">IFERROR(IF(VLOOKUP(C2128,' Disaggregation - Section E '!A$618:N1332,10,0)=0,"",VLOOKUP(C2128,' Disaggregation - Section E '!A$618:N1332,10,0)),"")</f>
        <v/>
      </c>
    </row>
    <row r="2129" spans="1:16">
      <c r="A2129" s="166" t="b">
        <f t="shared" ca="1" si="145"/>
        <v>0</v>
      </c>
      <c r="B2129" s="166"/>
      <c r="C2129" s="172" t="str">
        <f ca="1">IF(COUNTA(D$1418:D2129)=1,"",OFFSET(B2127,-COUNTA(D$1418:D2129)+3,1))</f>
        <v>a163p000004VjmSAAS</v>
      </c>
      <c r="D2129" s="177"/>
      <c r="E2129" s="168" t="str">
        <f ca="1">IFERROR(IF(VLOOKUP(C2129,' Disaggregation - Section E '!A$618:N1333,7,0)="","",VLOOKUP(C2129,' Disaggregation - Section E '!A$618:N1333,7,0)*100),"")</f>
        <v/>
      </c>
      <c r="F2129" s="171" t="str">
        <f ca="1">IFERROR(VLOOKUP(C2129,' Disaggregation - Section E '!A$618:N1333,5,0),"")</f>
        <v/>
      </c>
      <c r="G2129" s="170" t="str">
        <f ca="1">IFERROR(IF(VLOOKUP(C2129,' Disaggregation - Section E '!A$618:N1333,6,0)="","",VLOOKUP(C2129,' Disaggregation - Section E '!A$618:N1333,6,0)),"")</f>
        <v/>
      </c>
      <c r="H2129" s="177" t="str">
        <f ca="1">IFERROR(IF(INDEX(' Disaggregation - Section E '!F$618:F2530,MATCH(C2129,' Disaggregation - Section E '!A$618:A2530,0)+1,1)&lt;&gt;0,INDEX(' Disaggregation - Section E '!F$618:F$1820,MATCH(C2129,' Disaggregation - Section E '!A$618:A2530,0)+1,1),""),"")</f>
        <v/>
      </c>
      <c r="I2129" s="171" t="str">
        <f ca="1">IFERROR(IF(VLOOKUP(C2129,' Disaggregation - Section E '!A$618:N1333,8,0)=0,"",VLOOKUP(C2129,' Disaggregation - Section E '!A$618:N1333,8,0)),"")</f>
        <v/>
      </c>
      <c r="J2129" s="171" t="str">
        <f ca="1">IFERROR(IF(VLOOKUP(C2129,' Disaggregation - Section E '!A$618:N2530,13,0)=0,"",VLOOKUP(C2129,' Disaggregation - Section E '!A$618:N2530,13,0)),"")</f>
        <v/>
      </c>
      <c r="K2129" s="166" t="str">
        <f ca="1">IFERROR(VLOOKUP(C2129,' Disaggregation - Section E '!A$618:N1333,3,0),"")</f>
        <v>KP-1c⁽ᴹ⁾ Porcentaje de trabajadores sexuales alcanzados por programas de prevención del VIH - paquete definido de servicios</v>
      </c>
      <c r="L2129" s="166"/>
      <c r="M2129" s="166" t="str">
        <f ca="1">IFERROR(IF(VLOOKUP(C2129,' Disaggregation - Section E '!A$618:T1333,20,0)=0,"",VLOOKUP(C2129,' Disaggregation - Section E '!A$618:T1333,20,0)),"")</f>
        <v/>
      </c>
      <c r="N2129" s="171" t="str">
        <f ca="1">IFERROR(IF(VLOOKUP(C2129,' Disaggregation - Section E '!A$618:N1333,14,0)=0,"",VLOOKUP(C2129,' Disaggregation - Section E '!A$618:N1333,14,0)),"")</f>
        <v/>
      </c>
      <c r="O2129" s="171" t="str">
        <f ca="1">IFERROR(IF(VLOOKUP(C2129,' Disaggregation - Section E '!A$618:N1333,9,0)=0,"",VLOOKUP(C2129,' Disaggregation - Section E '!A$618:N1333,9,0)),"")</f>
        <v/>
      </c>
      <c r="P2129" s="171" t="str">
        <f ca="1">IFERROR(IF(VLOOKUP(C2129,' Disaggregation - Section E '!A$618:N1333,10,0)=0,"",VLOOKUP(C2129,' Disaggregation - Section E '!A$618:N1333,10,0)),"")</f>
        <v/>
      </c>
    </row>
    <row r="2130" spans="1:16">
      <c r="A2130" s="166" t="b">
        <f t="shared" ca="1" si="145"/>
        <v>0</v>
      </c>
      <c r="B2130" s="166"/>
      <c r="C2130" s="172" t="str">
        <f ca="1">IF(COUNTA(D$1418:D2130)=1,"",OFFSET(B2128,-COUNTA(D$1418:D2130)+3,1))</f>
        <v>a163p000004VjmTAAS</v>
      </c>
      <c r="D2130" s="177"/>
      <c r="E2130" s="168" t="str">
        <f ca="1">IFERROR(IF(VLOOKUP(C2130,' Disaggregation - Section E '!A$618:N1334,7,0)="","",VLOOKUP(C2130,' Disaggregation - Section E '!A$618:N1334,7,0)*100),"")</f>
        <v/>
      </c>
      <c r="F2130" s="171" t="str">
        <f ca="1">IFERROR(VLOOKUP(C2130,' Disaggregation - Section E '!A$618:N1334,5,0),"")</f>
        <v/>
      </c>
      <c r="G2130" s="170" t="str">
        <f ca="1">IFERROR(IF(VLOOKUP(C2130,' Disaggregation - Section E '!A$618:N1334,6,0)="","",VLOOKUP(C2130,' Disaggregation - Section E '!A$618:N1334,6,0)),"")</f>
        <v/>
      </c>
      <c r="H2130" s="177" t="str">
        <f ca="1">IFERROR(IF(INDEX(' Disaggregation - Section E '!F$618:F2531,MATCH(C2130,' Disaggregation - Section E '!A$618:A2531,0)+1,1)&lt;&gt;0,INDEX(' Disaggregation - Section E '!F$618:F$1820,MATCH(C2130,' Disaggregation - Section E '!A$618:A2531,0)+1,1),""),"")</f>
        <v/>
      </c>
      <c r="I2130" s="171" t="str">
        <f ca="1">IFERROR(IF(VLOOKUP(C2130,' Disaggregation - Section E '!A$618:N1334,8,0)=0,"",VLOOKUP(C2130,' Disaggregation - Section E '!A$618:N1334,8,0)),"")</f>
        <v/>
      </c>
      <c r="J2130" s="171" t="str">
        <f ca="1">IFERROR(IF(VLOOKUP(C2130,' Disaggregation - Section E '!A$618:N2531,13,0)=0,"",VLOOKUP(C2130,' Disaggregation - Section E '!A$618:N2531,13,0)),"")</f>
        <v/>
      </c>
      <c r="K2130" s="166" t="str">
        <f ca="1">IFERROR(VLOOKUP(C2130,' Disaggregation - Section E '!A$618:N1334,3,0),"")</f>
        <v>KP-1c⁽ᴹ⁾ Porcentaje de trabajadores sexuales alcanzados por programas de prevención del VIH - paquete definido de servicios</v>
      </c>
      <c r="L2130" s="166"/>
      <c r="M2130" s="166" t="str">
        <f ca="1">IFERROR(IF(VLOOKUP(C2130,' Disaggregation - Section E '!A$618:T1334,20,0)=0,"",VLOOKUP(C2130,' Disaggregation - Section E '!A$618:T1334,20,0)),"")</f>
        <v/>
      </c>
      <c r="N2130" s="171" t="str">
        <f ca="1">IFERROR(IF(VLOOKUP(C2130,' Disaggregation - Section E '!A$618:N1334,14,0)=0,"",VLOOKUP(C2130,' Disaggregation - Section E '!A$618:N1334,14,0)),"")</f>
        <v/>
      </c>
      <c r="O2130" s="171" t="str">
        <f ca="1">IFERROR(IF(VLOOKUP(C2130,' Disaggregation - Section E '!A$618:N1334,9,0)=0,"",VLOOKUP(C2130,' Disaggregation - Section E '!A$618:N1334,9,0)),"")</f>
        <v/>
      </c>
      <c r="P2130" s="171" t="str">
        <f ca="1">IFERROR(IF(VLOOKUP(C2130,' Disaggregation - Section E '!A$618:N1334,10,0)=0,"",VLOOKUP(C2130,' Disaggregation - Section E '!A$618:N1334,10,0)),"")</f>
        <v/>
      </c>
    </row>
    <row r="2131" spans="1:16">
      <c r="A2131" s="166" t="b">
        <f t="shared" ca="1" si="145"/>
        <v>0</v>
      </c>
      <c r="B2131" s="166"/>
      <c r="C2131" s="172" t="str">
        <f ca="1">IF(COUNTA(D$1418:D2131)=1,"",OFFSET(B2129,-COUNTA(D$1418:D2131)+3,1))</f>
        <v>a163p000004VjmUAAS</v>
      </c>
      <c r="D2131" s="177"/>
      <c r="E2131" s="168" t="str">
        <f ca="1">IFERROR(IF(VLOOKUP(C2131,' Disaggregation - Section E '!A$618:N1335,7,0)="","",VLOOKUP(C2131,' Disaggregation - Section E '!A$618:N1335,7,0)*100),"")</f>
        <v/>
      </c>
      <c r="F2131" s="171" t="str">
        <f ca="1">IFERROR(VLOOKUP(C2131,' Disaggregation - Section E '!A$618:N1335,5,0),"")</f>
        <v/>
      </c>
      <c r="G2131" s="170" t="str">
        <f ca="1">IFERROR(IF(VLOOKUP(C2131,' Disaggregation - Section E '!A$618:N1335,6,0)="","",VLOOKUP(C2131,' Disaggregation - Section E '!A$618:N1335,6,0)),"")</f>
        <v/>
      </c>
      <c r="H2131" s="177" t="str">
        <f ca="1">IFERROR(IF(INDEX(' Disaggregation - Section E '!F$618:F2532,MATCH(C2131,' Disaggregation - Section E '!A$618:A2532,0)+1,1)&lt;&gt;0,INDEX(' Disaggregation - Section E '!F$618:F$1820,MATCH(C2131,' Disaggregation - Section E '!A$618:A2532,0)+1,1),""),"")</f>
        <v/>
      </c>
      <c r="I2131" s="171" t="str">
        <f ca="1">IFERROR(IF(VLOOKUP(C2131,' Disaggregation - Section E '!A$618:N1335,8,0)=0,"",VLOOKUP(C2131,' Disaggregation - Section E '!A$618:N1335,8,0)),"")</f>
        <v/>
      </c>
      <c r="J2131" s="171" t="str">
        <f ca="1">IFERROR(IF(VLOOKUP(C2131,' Disaggregation - Section E '!A$618:N2532,13,0)=0,"",VLOOKUP(C2131,' Disaggregation - Section E '!A$618:N2532,13,0)),"")</f>
        <v/>
      </c>
      <c r="K2131" s="166" t="str">
        <f ca="1">IFERROR(VLOOKUP(C2131,' Disaggregation - Section E '!A$618:N1335,3,0),"")</f>
        <v>KP-1c⁽ᴹ⁾ Porcentaje de trabajadores sexuales alcanzados por programas de prevención del VIH - paquete definido de servicios</v>
      </c>
      <c r="L2131" s="166"/>
      <c r="M2131" s="166" t="str">
        <f ca="1">IFERROR(IF(VLOOKUP(C2131,' Disaggregation - Section E '!A$618:T1335,20,0)=0,"",VLOOKUP(C2131,' Disaggregation - Section E '!A$618:T1335,20,0)),"")</f>
        <v/>
      </c>
      <c r="N2131" s="171" t="str">
        <f ca="1">IFERROR(IF(VLOOKUP(C2131,' Disaggregation - Section E '!A$618:N1335,14,0)=0,"",VLOOKUP(C2131,' Disaggregation - Section E '!A$618:N1335,14,0)),"")</f>
        <v/>
      </c>
      <c r="O2131" s="171" t="str">
        <f ca="1">IFERROR(IF(VLOOKUP(C2131,' Disaggregation - Section E '!A$618:N1335,9,0)=0,"",VLOOKUP(C2131,' Disaggregation - Section E '!A$618:N1335,9,0)),"")</f>
        <v/>
      </c>
      <c r="P2131" s="171" t="str">
        <f ca="1">IFERROR(IF(VLOOKUP(C2131,' Disaggregation - Section E '!A$618:N1335,10,0)=0,"",VLOOKUP(C2131,' Disaggregation - Section E '!A$618:N1335,10,0)),"")</f>
        <v/>
      </c>
    </row>
    <row r="2132" spans="1:16">
      <c r="A2132" s="166" t="b">
        <f t="shared" ca="1" si="145"/>
        <v>0</v>
      </c>
      <c r="B2132" s="166"/>
      <c r="C2132" s="172" t="str">
        <f ca="1">IF(COUNTA(D$1418:D2132)=1,"",OFFSET(B2130,-COUNTA(D$1418:D2132)+3,1))</f>
        <v>a163p000004VjmVAAS</v>
      </c>
      <c r="D2132" s="177"/>
      <c r="E2132" s="168" t="str">
        <f ca="1">IFERROR(IF(VLOOKUP(C2132,' Disaggregation - Section E '!A$618:N1336,7,0)="","",VLOOKUP(C2132,' Disaggregation - Section E '!A$618:N1336,7,0)*100),"")</f>
        <v/>
      </c>
      <c r="F2132" s="171" t="str">
        <f ca="1">IFERROR(VLOOKUP(C2132,' Disaggregation - Section E '!A$618:N1336,5,0),"")</f>
        <v/>
      </c>
      <c r="G2132" s="170" t="str">
        <f ca="1">IFERROR(IF(VLOOKUP(C2132,' Disaggregation - Section E '!A$618:N1336,6,0)="","",VLOOKUP(C2132,' Disaggregation - Section E '!A$618:N1336,6,0)),"")</f>
        <v/>
      </c>
      <c r="H2132" s="177" t="str">
        <f ca="1">IFERROR(IF(INDEX(' Disaggregation - Section E '!F$618:F2533,MATCH(C2132,' Disaggregation - Section E '!A$618:A2533,0)+1,1)&lt;&gt;0,INDEX(' Disaggregation - Section E '!F$618:F$1820,MATCH(C2132,' Disaggregation - Section E '!A$618:A2533,0)+1,1),""),"")</f>
        <v/>
      </c>
      <c r="I2132" s="171" t="str">
        <f ca="1">IFERROR(IF(VLOOKUP(C2132,' Disaggregation - Section E '!A$618:N1336,8,0)=0,"",VLOOKUP(C2132,' Disaggregation - Section E '!A$618:N1336,8,0)),"")</f>
        <v/>
      </c>
      <c r="J2132" s="171" t="str">
        <f ca="1">IFERROR(IF(VLOOKUP(C2132,' Disaggregation - Section E '!A$618:N2533,13,0)=0,"",VLOOKUP(C2132,' Disaggregation - Section E '!A$618:N2533,13,0)),"")</f>
        <v/>
      </c>
      <c r="K2132" s="166" t="str">
        <f ca="1">IFERROR(VLOOKUP(C2132,' Disaggregation - Section E '!A$618:N1336,3,0),"")</f>
        <v>KP-1c⁽ᴹ⁾ Porcentaje de trabajadores sexuales alcanzados por programas de prevención del VIH - paquete definido de servicios</v>
      </c>
      <c r="L2132" s="166"/>
      <c r="M2132" s="166" t="str">
        <f ca="1">IFERROR(IF(VLOOKUP(C2132,' Disaggregation - Section E '!A$618:T1336,20,0)=0,"",VLOOKUP(C2132,' Disaggregation - Section E '!A$618:T1336,20,0)),"")</f>
        <v/>
      </c>
      <c r="N2132" s="171" t="str">
        <f ca="1">IFERROR(IF(VLOOKUP(C2132,' Disaggregation - Section E '!A$618:N1336,14,0)=0,"",VLOOKUP(C2132,' Disaggregation - Section E '!A$618:N1336,14,0)),"")</f>
        <v/>
      </c>
      <c r="O2132" s="171" t="str">
        <f ca="1">IFERROR(IF(VLOOKUP(C2132,' Disaggregation - Section E '!A$618:N1336,9,0)=0,"",VLOOKUP(C2132,' Disaggregation - Section E '!A$618:N1336,9,0)),"")</f>
        <v/>
      </c>
      <c r="P2132" s="171" t="str">
        <f ca="1">IFERROR(IF(VLOOKUP(C2132,' Disaggregation - Section E '!A$618:N1336,10,0)=0,"",VLOOKUP(C2132,' Disaggregation - Section E '!A$618:N1336,10,0)),"")</f>
        <v/>
      </c>
    </row>
    <row r="2133" spans="1:16">
      <c r="A2133" s="166" t="b">
        <f t="shared" ca="1" si="145"/>
        <v>0</v>
      </c>
      <c r="B2133" s="166"/>
      <c r="C2133" s="172" t="str">
        <f ca="1">IF(COUNTA(D$1418:D2133)=1,"",OFFSET(B2131,-COUNTA(D$1418:D2133)+3,1))</f>
        <v>a163p000004VjmWAAS</v>
      </c>
      <c r="D2133" s="177"/>
      <c r="E2133" s="168" t="str">
        <f ca="1">IFERROR(IF(VLOOKUP(C2133,' Disaggregation - Section E '!A$618:N1337,7,0)="","",VLOOKUP(C2133,' Disaggregation - Section E '!A$618:N1337,7,0)*100),"")</f>
        <v/>
      </c>
      <c r="F2133" s="171" t="str">
        <f ca="1">IFERROR(VLOOKUP(C2133,' Disaggregation - Section E '!A$618:N1337,5,0),"")</f>
        <v/>
      </c>
      <c r="G2133" s="170" t="str">
        <f ca="1">IFERROR(IF(VLOOKUP(C2133,' Disaggregation - Section E '!A$618:N1337,6,0)="","",VLOOKUP(C2133,' Disaggregation - Section E '!A$618:N1337,6,0)),"")</f>
        <v/>
      </c>
      <c r="H2133" s="177" t="str">
        <f ca="1">IFERROR(IF(INDEX(' Disaggregation - Section E '!F$618:F2534,MATCH(C2133,' Disaggregation - Section E '!A$618:A2534,0)+1,1)&lt;&gt;0,INDEX(' Disaggregation - Section E '!F$618:F$1820,MATCH(C2133,' Disaggregation - Section E '!A$618:A2534,0)+1,1),""),"")</f>
        <v/>
      </c>
      <c r="I2133" s="171" t="str">
        <f ca="1">IFERROR(IF(VLOOKUP(C2133,' Disaggregation - Section E '!A$618:N1337,8,0)=0,"",VLOOKUP(C2133,' Disaggregation - Section E '!A$618:N1337,8,0)),"")</f>
        <v/>
      </c>
      <c r="J2133" s="171" t="str">
        <f ca="1">IFERROR(IF(VLOOKUP(C2133,' Disaggregation - Section E '!A$618:N2534,13,0)=0,"",VLOOKUP(C2133,' Disaggregation - Section E '!A$618:N2534,13,0)),"")</f>
        <v/>
      </c>
      <c r="K2133" s="166" t="str">
        <f ca="1">IFERROR(VLOOKUP(C2133,' Disaggregation - Section E '!A$618:N1337,3,0),"")</f>
        <v>KP-1c⁽ᴹ⁾ Porcentaje de trabajadores sexuales alcanzados por programas de prevención del VIH - paquete definido de servicios</v>
      </c>
      <c r="L2133" s="166"/>
      <c r="M2133" s="166" t="str">
        <f ca="1">IFERROR(IF(VLOOKUP(C2133,' Disaggregation - Section E '!A$618:T1337,20,0)=0,"",VLOOKUP(C2133,' Disaggregation - Section E '!A$618:T1337,20,0)),"")</f>
        <v/>
      </c>
      <c r="N2133" s="171" t="str">
        <f ca="1">IFERROR(IF(VLOOKUP(C2133,' Disaggregation - Section E '!A$618:N1337,14,0)=0,"",VLOOKUP(C2133,' Disaggregation - Section E '!A$618:N1337,14,0)),"")</f>
        <v/>
      </c>
      <c r="O2133" s="171" t="str">
        <f ca="1">IFERROR(IF(VLOOKUP(C2133,' Disaggregation - Section E '!A$618:N1337,9,0)=0,"",VLOOKUP(C2133,' Disaggregation - Section E '!A$618:N1337,9,0)),"")</f>
        <v/>
      </c>
      <c r="P2133" s="171" t="str">
        <f ca="1">IFERROR(IF(VLOOKUP(C2133,' Disaggregation - Section E '!A$618:N1337,10,0)=0,"",VLOOKUP(C2133,' Disaggregation - Section E '!A$618:N1337,10,0)),"")</f>
        <v/>
      </c>
    </row>
    <row r="2134" spans="1:16">
      <c r="A2134" s="166" t="b">
        <f t="shared" ca="1" si="145"/>
        <v>0</v>
      </c>
      <c r="B2134" s="166"/>
      <c r="C2134" s="172" t="str">
        <f ca="1">IF(COUNTA(D$1418:D2134)=1,"",OFFSET(B2132,-COUNTA(D$1418:D2134)+3,1))</f>
        <v>a163p000004VjmXAAS</v>
      </c>
      <c r="D2134" s="177"/>
      <c r="E2134" s="168" t="str">
        <f ca="1">IFERROR(IF(VLOOKUP(C2134,' Disaggregation - Section E '!A$618:N1338,7,0)="","",VLOOKUP(C2134,' Disaggregation - Section E '!A$618:N1338,7,0)*100),"")</f>
        <v/>
      </c>
      <c r="F2134" s="171" t="str">
        <f ca="1">IFERROR(VLOOKUP(C2134,' Disaggregation - Section E '!A$618:N1338,5,0),"")</f>
        <v/>
      </c>
      <c r="G2134" s="170" t="str">
        <f ca="1">IFERROR(IF(VLOOKUP(C2134,' Disaggregation - Section E '!A$618:N1338,6,0)="","",VLOOKUP(C2134,' Disaggregation - Section E '!A$618:N1338,6,0)),"")</f>
        <v/>
      </c>
      <c r="H2134" s="177" t="str">
        <f ca="1">IFERROR(IF(INDEX(' Disaggregation - Section E '!F$618:F2535,MATCH(C2134,' Disaggregation - Section E '!A$618:A2535,0)+1,1)&lt;&gt;0,INDEX(' Disaggregation - Section E '!F$618:F$1820,MATCH(C2134,' Disaggregation - Section E '!A$618:A2535,0)+1,1),""),"")</f>
        <v/>
      </c>
      <c r="I2134" s="171" t="str">
        <f ca="1">IFERROR(IF(VLOOKUP(C2134,' Disaggregation - Section E '!A$618:N1338,8,0)=0,"",VLOOKUP(C2134,' Disaggregation - Section E '!A$618:N1338,8,0)),"")</f>
        <v/>
      </c>
      <c r="J2134" s="171" t="str">
        <f ca="1">IFERROR(IF(VLOOKUP(C2134,' Disaggregation - Section E '!A$618:N2535,13,0)=0,"",VLOOKUP(C2134,' Disaggregation - Section E '!A$618:N2535,13,0)),"")</f>
        <v/>
      </c>
      <c r="K2134" s="166" t="str">
        <f ca="1">IFERROR(VLOOKUP(C2134,' Disaggregation - Section E '!A$618:N1338,3,0),"")</f>
        <v>KP-1c⁽ᴹ⁾ Porcentaje de trabajadores sexuales alcanzados por programas de prevención del VIH - paquete definido de servicios</v>
      </c>
      <c r="L2134" s="166"/>
      <c r="M2134" s="166" t="str">
        <f ca="1">IFERROR(IF(VLOOKUP(C2134,' Disaggregation - Section E '!A$618:T1338,20,0)=0,"",VLOOKUP(C2134,' Disaggregation - Section E '!A$618:T1338,20,0)),"")</f>
        <v/>
      </c>
      <c r="N2134" s="171" t="str">
        <f ca="1">IFERROR(IF(VLOOKUP(C2134,' Disaggregation - Section E '!A$618:N1338,14,0)=0,"",VLOOKUP(C2134,' Disaggregation - Section E '!A$618:N1338,14,0)),"")</f>
        <v/>
      </c>
      <c r="O2134" s="171" t="str">
        <f ca="1">IFERROR(IF(VLOOKUP(C2134,' Disaggregation - Section E '!A$618:N1338,9,0)=0,"",VLOOKUP(C2134,' Disaggregation - Section E '!A$618:N1338,9,0)),"")</f>
        <v/>
      </c>
      <c r="P2134" s="171" t="str">
        <f ca="1">IFERROR(IF(VLOOKUP(C2134,' Disaggregation - Section E '!A$618:N1338,10,0)=0,"",VLOOKUP(C2134,' Disaggregation - Section E '!A$618:N1338,10,0)),"")</f>
        <v/>
      </c>
    </row>
    <row r="2135" spans="1:16">
      <c r="A2135" s="166" t="b">
        <f t="shared" ca="1" si="145"/>
        <v>0</v>
      </c>
      <c r="B2135" s="166"/>
      <c r="C2135" s="172" t="str">
        <f ca="1">IF(COUNTA(D$1418:D2135)=1,"",OFFSET(B2133,-COUNTA(D$1418:D2135)+3,1))</f>
        <v>a163p000004VjmYAAS</v>
      </c>
      <c r="D2135" s="177"/>
      <c r="E2135" s="168" t="str">
        <f ca="1">IFERROR(IF(VLOOKUP(C2135,' Disaggregation - Section E '!A$618:N1339,7,0)="","",VLOOKUP(C2135,' Disaggregation - Section E '!A$618:N1339,7,0)*100),"")</f>
        <v/>
      </c>
      <c r="F2135" s="171" t="str">
        <f ca="1">IFERROR(VLOOKUP(C2135,' Disaggregation - Section E '!A$618:N1339,5,0),"")</f>
        <v/>
      </c>
      <c r="G2135" s="170" t="str">
        <f ca="1">IFERROR(IF(VLOOKUP(C2135,' Disaggregation - Section E '!A$618:N1339,6,0)="","",VLOOKUP(C2135,' Disaggregation - Section E '!A$618:N1339,6,0)),"")</f>
        <v/>
      </c>
      <c r="H2135" s="177" t="str">
        <f ca="1">IFERROR(IF(INDEX(' Disaggregation - Section E '!F$618:F2536,MATCH(C2135,' Disaggregation - Section E '!A$618:A2536,0)+1,1)&lt;&gt;0,INDEX(' Disaggregation - Section E '!F$618:F$1820,MATCH(C2135,' Disaggregation - Section E '!A$618:A2536,0)+1,1),""),"")</f>
        <v/>
      </c>
      <c r="I2135" s="171" t="str">
        <f ca="1">IFERROR(IF(VLOOKUP(C2135,' Disaggregation - Section E '!A$618:N1339,8,0)=0,"",VLOOKUP(C2135,' Disaggregation - Section E '!A$618:N1339,8,0)),"")</f>
        <v/>
      </c>
      <c r="J2135" s="171" t="str">
        <f ca="1">IFERROR(IF(VLOOKUP(C2135,' Disaggregation - Section E '!A$618:N2536,13,0)=0,"",VLOOKUP(C2135,' Disaggregation - Section E '!A$618:N2536,13,0)),"")</f>
        <v/>
      </c>
      <c r="K2135" s="166" t="str">
        <f ca="1">IFERROR(VLOOKUP(C2135,' Disaggregation - Section E '!A$618:N1339,3,0),"")</f>
        <v>KP-1c⁽ᴹ⁾ Porcentaje de trabajadores sexuales alcanzados por programas de prevención del VIH - paquete definido de servicios</v>
      </c>
      <c r="L2135" s="166"/>
      <c r="M2135" s="166" t="str">
        <f ca="1">IFERROR(IF(VLOOKUP(C2135,' Disaggregation - Section E '!A$618:T1339,20,0)=0,"",VLOOKUP(C2135,' Disaggregation - Section E '!A$618:T1339,20,0)),"")</f>
        <v/>
      </c>
      <c r="N2135" s="171" t="str">
        <f ca="1">IFERROR(IF(VLOOKUP(C2135,' Disaggregation - Section E '!A$618:N1339,14,0)=0,"",VLOOKUP(C2135,' Disaggregation - Section E '!A$618:N1339,14,0)),"")</f>
        <v/>
      </c>
      <c r="O2135" s="171" t="str">
        <f ca="1">IFERROR(IF(VLOOKUP(C2135,' Disaggregation - Section E '!A$618:N1339,9,0)=0,"",VLOOKUP(C2135,' Disaggregation - Section E '!A$618:N1339,9,0)),"")</f>
        <v/>
      </c>
      <c r="P2135" s="171" t="str">
        <f ca="1">IFERROR(IF(VLOOKUP(C2135,' Disaggregation - Section E '!A$618:N1339,10,0)=0,"",VLOOKUP(C2135,' Disaggregation - Section E '!A$618:N1339,10,0)),"")</f>
        <v/>
      </c>
    </row>
    <row r="2136" spans="1:16">
      <c r="A2136" s="166" t="b">
        <f t="shared" ca="1" si="145"/>
        <v>0</v>
      </c>
      <c r="B2136" s="166"/>
      <c r="C2136" s="172" t="str">
        <f ca="1">IF(COUNTA(D$1418:D2136)=1,"",OFFSET(B2134,-COUNTA(D$1418:D2136)+3,1))</f>
        <v>a163p000004VjmZAAS</v>
      </c>
      <c r="D2136" s="177"/>
      <c r="E2136" s="168" t="str">
        <f ca="1">IFERROR(IF(VLOOKUP(C2136,' Disaggregation - Section E '!A$618:N1340,7,0)="","",VLOOKUP(C2136,' Disaggregation - Section E '!A$618:N1340,7,0)*100),"")</f>
        <v/>
      </c>
      <c r="F2136" s="171" t="str">
        <f ca="1">IFERROR(VLOOKUP(C2136,' Disaggregation - Section E '!A$618:N1340,5,0),"")</f>
        <v/>
      </c>
      <c r="G2136" s="170" t="str">
        <f ca="1">IFERROR(IF(VLOOKUP(C2136,' Disaggregation - Section E '!A$618:N1340,6,0)="","",VLOOKUP(C2136,' Disaggregation - Section E '!A$618:N1340,6,0)),"")</f>
        <v/>
      </c>
      <c r="H2136" s="177" t="str">
        <f ca="1">IFERROR(IF(INDEX(' Disaggregation - Section E '!F$618:F2537,MATCH(C2136,' Disaggregation - Section E '!A$618:A2537,0)+1,1)&lt;&gt;0,INDEX(' Disaggregation - Section E '!F$618:F$1820,MATCH(C2136,' Disaggregation - Section E '!A$618:A2537,0)+1,1),""),"")</f>
        <v/>
      </c>
      <c r="I2136" s="171" t="str">
        <f ca="1">IFERROR(IF(VLOOKUP(C2136,' Disaggregation - Section E '!A$618:N1340,8,0)=0,"",VLOOKUP(C2136,' Disaggregation - Section E '!A$618:N1340,8,0)),"")</f>
        <v/>
      </c>
      <c r="J2136" s="171" t="str">
        <f ca="1">IFERROR(IF(VLOOKUP(C2136,' Disaggregation - Section E '!A$618:N2537,13,0)=0,"",VLOOKUP(C2136,' Disaggregation - Section E '!A$618:N2537,13,0)),"")</f>
        <v/>
      </c>
      <c r="K2136" s="166" t="str">
        <f ca="1">IFERROR(VLOOKUP(C2136,' Disaggregation - Section E '!A$618:N1340,3,0),"")</f>
        <v>KP-1c⁽ᴹ⁾ Porcentaje de trabajadores sexuales alcanzados por programas de prevención del VIH - paquete definido de servicios</v>
      </c>
      <c r="L2136" s="166"/>
      <c r="M2136" s="166" t="str">
        <f ca="1">IFERROR(IF(VLOOKUP(C2136,' Disaggregation - Section E '!A$618:T1340,20,0)=0,"",VLOOKUP(C2136,' Disaggregation - Section E '!A$618:T1340,20,0)),"")</f>
        <v/>
      </c>
      <c r="N2136" s="171" t="str">
        <f ca="1">IFERROR(IF(VLOOKUP(C2136,' Disaggregation - Section E '!A$618:N1340,14,0)=0,"",VLOOKUP(C2136,' Disaggregation - Section E '!A$618:N1340,14,0)),"")</f>
        <v/>
      </c>
      <c r="O2136" s="171" t="str">
        <f ca="1">IFERROR(IF(VLOOKUP(C2136,' Disaggregation - Section E '!A$618:N1340,9,0)=0,"",VLOOKUP(C2136,' Disaggregation - Section E '!A$618:N1340,9,0)),"")</f>
        <v/>
      </c>
      <c r="P2136" s="171" t="str">
        <f ca="1">IFERROR(IF(VLOOKUP(C2136,' Disaggregation - Section E '!A$618:N1340,10,0)=0,"",VLOOKUP(C2136,' Disaggregation - Section E '!A$618:N1340,10,0)),"")</f>
        <v/>
      </c>
    </row>
    <row r="2137" spans="1:16">
      <c r="A2137" s="166" t="b">
        <f t="shared" ca="1" si="145"/>
        <v>0</v>
      </c>
      <c r="B2137" s="166"/>
      <c r="C2137" s="172" t="str">
        <f ca="1">IF(COUNTA(D$1418:D2137)=1,"",OFFSET(B2135,-COUNTA(D$1418:D2137)+3,1))</f>
        <v>a163p000004VjmaAAC</v>
      </c>
      <c r="D2137" s="177"/>
      <c r="E2137" s="168" t="str">
        <f ca="1">IFERROR(IF(VLOOKUP(C2137,' Disaggregation - Section E '!A$618:N1341,7,0)="","",VLOOKUP(C2137,' Disaggregation - Section E '!A$618:N1341,7,0)*100),"")</f>
        <v/>
      </c>
      <c r="F2137" s="171" t="str">
        <f ca="1">IFERROR(VLOOKUP(C2137,' Disaggregation - Section E '!A$618:N1341,5,0),"")</f>
        <v/>
      </c>
      <c r="G2137" s="170" t="str">
        <f ca="1">IFERROR(IF(VLOOKUP(C2137,' Disaggregation - Section E '!A$618:N1341,6,0)="","",VLOOKUP(C2137,' Disaggregation - Section E '!A$618:N1341,6,0)),"")</f>
        <v/>
      </c>
      <c r="H2137" s="177" t="str">
        <f ca="1">IFERROR(IF(INDEX(' Disaggregation - Section E '!F$618:F2538,MATCH(C2137,' Disaggregation - Section E '!A$618:A2538,0)+1,1)&lt;&gt;0,INDEX(' Disaggregation - Section E '!F$618:F$1820,MATCH(C2137,' Disaggregation - Section E '!A$618:A2538,0)+1,1),""),"")</f>
        <v/>
      </c>
      <c r="I2137" s="171" t="str">
        <f ca="1">IFERROR(IF(VLOOKUP(C2137,' Disaggregation - Section E '!A$618:N1341,8,0)=0,"",VLOOKUP(C2137,' Disaggregation - Section E '!A$618:N1341,8,0)),"")</f>
        <v/>
      </c>
      <c r="J2137" s="171" t="str">
        <f ca="1">IFERROR(IF(VLOOKUP(C2137,' Disaggregation - Section E '!A$618:N2538,13,0)=0,"",VLOOKUP(C2137,' Disaggregation - Section E '!A$618:N2538,13,0)),"")</f>
        <v/>
      </c>
      <c r="K2137" s="166" t="str">
        <f ca="1">IFERROR(VLOOKUP(C2137,' Disaggregation - Section E '!A$618:N1341,3,0),"")</f>
        <v>KP-1c⁽ᴹ⁾ Porcentaje de trabajadores sexuales alcanzados por programas de prevención del VIH - paquete definido de servicios</v>
      </c>
      <c r="L2137" s="166"/>
      <c r="M2137" s="166" t="str">
        <f ca="1">IFERROR(IF(VLOOKUP(C2137,' Disaggregation - Section E '!A$618:T1341,20,0)=0,"",VLOOKUP(C2137,' Disaggregation - Section E '!A$618:T1341,20,0)),"")</f>
        <v/>
      </c>
      <c r="N2137" s="171" t="str">
        <f ca="1">IFERROR(IF(VLOOKUP(C2137,' Disaggregation - Section E '!A$618:N1341,14,0)=0,"",VLOOKUP(C2137,' Disaggregation - Section E '!A$618:N1341,14,0)),"")</f>
        <v/>
      </c>
      <c r="O2137" s="171" t="str">
        <f ca="1">IFERROR(IF(VLOOKUP(C2137,' Disaggregation - Section E '!A$618:N1341,9,0)=0,"",VLOOKUP(C2137,' Disaggregation - Section E '!A$618:N1341,9,0)),"")</f>
        <v/>
      </c>
      <c r="P2137" s="171" t="str">
        <f ca="1">IFERROR(IF(VLOOKUP(C2137,' Disaggregation - Section E '!A$618:N1341,10,0)=0,"",VLOOKUP(C2137,' Disaggregation - Section E '!A$618:N1341,10,0)),"")</f>
        <v/>
      </c>
    </row>
    <row r="2138" spans="1:16">
      <c r="A2138" s="166" t="b">
        <f t="shared" ca="1" si="145"/>
        <v>0</v>
      </c>
      <c r="B2138" s="166"/>
      <c r="C2138" s="172" t="str">
        <f ca="1">IF(COUNTA(D$1418:D2138)=1,"",OFFSET(B2136,-COUNTA(D$1418:D2138)+3,1))</f>
        <v>a163p000004VjmbAAC</v>
      </c>
      <c r="D2138" s="177"/>
      <c r="E2138" s="168" t="str">
        <f ca="1">IFERROR(IF(VLOOKUP(C2138,' Disaggregation - Section E '!A$618:N1342,7,0)="","",VLOOKUP(C2138,' Disaggregation - Section E '!A$618:N1342,7,0)*100),"")</f>
        <v/>
      </c>
      <c r="F2138" s="171" t="str">
        <f ca="1">IFERROR(VLOOKUP(C2138,' Disaggregation - Section E '!A$618:N1342,5,0),"")</f>
        <v/>
      </c>
      <c r="G2138" s="170" t="str">
        <f ca="1">IFERROR(IF(VLOOKUP(C2138,' Disaggregation - Section E '!A$618:N1342,6,0)="","",VLOOKUP(C2138,' Disaggregation - Section E '!A$618:N1342,6,0)),"")</f>
        <v/>
      </c>
      <c r="H2138" s="177" t="str">
        <f ca="1">IFERROR(IF(INDEX(' Disaggregation - Section E '!F$618:F2539,MATCH(C2138,' Disaggregation - Section E '!A$618:A2539,0)+1,1)&lt;&gt;0,INDEX(' Disaggregation - Section E '!F$618:F$1820,MATCH(C2138,' Disaggregation - Section E '!A$618:A2539,0)+1,1),""),"")</f>
        <v/>
      </c>
      <c r="I2138" s="171" t="str">
        <f ca="1">IFERROR(IF(VLOOKUP(C2138,' Disaggregation - Section E '!A$618:N1342,8,0)=0,"",VLOOKUP(C2138,' Disaggregation - Section E '!A$618:N1342,8,0)),"")</f>
        <v/>
      </c>
      <c r="J2138" s="171" t="str">
        <f ca="1">IFERROR(IF(VLOOKUP(C2138,' Disaggregation - Section E '!A$618:N2539,13,0)=0,"",VLOOKUP(C2138,' Disaggregation - Section E '!A$618:N2539,13,0)),"")</f>
        <v/>
      </c>
      <c r="K2138" s="166" t="str">
        <f ca="1">IFERROR(VLOOKUP(C2138,' Disaggregation - Section E '!A$618:N1342,3,0),"")</f>
        <v>KP-1c⁽ᴹ⁾ Porcentaje de trabajadores sexuales alcanzados por programas de prevención del VIH - paquete definido de servicios</v>
      </c>
      <c r="L2138" s="166"/>
      <c r="M2138" s="166" t="str">
        <f ca="1">IFERROR(IF(VLOOKUP(C2138,' Disaggregation - Section E '!A$618:T1342,20,0)=0,"",VLOOKUP(C2138,' Disaggregation - Section E '!A$618:T1342,20,0)),"")</f>
        <v/>
      </c>
      <c r="N2138" s="171" t="str">
        <f ca="1">IFERROR(IF(VLOOKUP(C2138,' Disaggregation - Section E '!A$618:N1342,14,0)=0,"",VLOOKUP(C2138,' Disaggregation - Section E '!A$618:N1342,14,0)),"")</f>
        <v/>
      </c>
      <c r="O2138" s="171" t="str">
        <f ca="1">IFERROR(IF(VLOOKUP(C2138,' Disaggregation - Section E '!A$618:N1342,9,0)=0,"",VLOOKUP(C2138,' Disaggregation - Section E '!A$618:N1342,9,0)),"")</f>
        <v/>
      </c>
      <c r="P2138" s="171" t="str">
        <f ca="1">IFERROR(IF(VLOOKUP(C2138,' Disaggregation - Section E '!A$618:N1342,10,0)=0,"",VLOOKUP(C2138,' Disaggregation - Section E '!A$618:N1342,10,0)),"")</f>
        <v/>
      </c>
    </row>
    <row r="2139" spans="1:16">
      <c r="A2139" s="166" t="b">
        <f t="shared" ca="1" si="145"/>
        <v>0</v>
      </c>
      <c r="B2139" s="166"/>
      <c r="C2139" s="172" t="str">
        <f ca="1">IF(COUNTA(D$1418:D2139)=1,"",OFFSET(B2137,-COUNTA(D$1418:D2139)+3,1))</f>
        <v>a163p000004VjmcAAC</v>
      </c>
      <c r="D2139" s="177"/>
      <c r="E2139" s="168" t="str">
        <f ca="1">IFERROR(IF(VLOOKUP(C2139,' Disaggregation - Section E '!A$618:N1343,7,0)="","",VLOOKUP(C2139,' Disaggregation - Section E '!A$618:N1343,7,0)*100),"")</f>
        <v/>
      </c>
      <c r="F2139" s="171" t="str">
        <f ca="1">IFERROR(VLOOKUP(C2139,' Disaggregation - Section E '!A$618:N1343,5,0),"")</f>
        <v/>
      </c>
      <c r="G2139" s="170" t="str">
        <f ca="1">IFERROR(IF(VLOOKUP(C2139,' Disaggregation - Section E '!A$618:N1343,6,0)="","",VLOOKUP(C2139,' Disaggregation - Section E '!A$618:N1343,6,0)),"")</f>
        <v/>
      </c>
      <c r="H2139" s="177" t="str">
        <f ca="1">IFERROR(IF(INDEX(' Disaggregation - Section E '!F$618:F2540,MATCH(C2139,' Disaggregation - Section E '!A$618:A2540,0)+1,1)&lt;&gt;0,INDEX(' Disaggregation - Section E '!F$618:F$1820,MATCH(C2139,' Disaggregation - Section E '!A$618:A2540,0)+1,1),""),"")</f>
        <v/>
      </c>
      <c r="I2139" s="171" t="str">
        <f ca="1">IFERROR(IF(VLOOKUP(C2139,' Disaggregation - Section E '!A$618:N1343,8,0)=0,"",VLOOKUP(C2139,' Disaggregation - Section E '!A$618:N1343,8,0)),"")</f>
        <v/>
      </c>
      <c r="J2139" s="171" t="str">
        <f ca="1">IFERROR(IF(VLOOKUP(C2139,' Disaggregation - Section E '!A$618:N2540,13,0)=0,"",VLOOKUP(C2139,' Disaggregation - Section E '!A$618:N2540,13,0)),"")</f>
        <v/>
      </c>
      <c r="K2139" s="166" t="str">
        <f ca="1">IFERROR(VLOOKUP(C2139,' Disaggregation - Section E '!A$618:N1343,3,0),"")</f>
        <v>KP-1c⁽ᴹ⁾ Porcentaje de trabajadores sexuales alcanzados por programas de prevención del VIH - paquete definido de servicios</v>
      </c>
      <c r="L2139" s="166"/>
      <c r="M2139" s="166" t="str">
        <f ca="1">IFERROR(IF(VLOOKUP(C2139,' Disaggregation - Section E '!A$618:T1343,20,0)=0,"",VLOOKUP(C2139,' Disaggregation - Section E '!A$618:T1343,20,0)),"")</f>
        <v/>
      </c>
      <c r="N2139" s="171" t="str">
        <f ca="1">IFERROR(IF(VLOOKUP(C2139,' Disaggregation - Section E '!A$618:N1343,14,0)=0,"",VLOOKUP(C2139,' Disaggregation - Section E '!A$618:N1343,14,0)),"")</f>
        <v/>
      </c>
      <c r="O2139" s="171" t="str">
        <f ca="1">IFERROR(IF(VLOOKUP(C2139,' Disaggregation - Section E '!A$618:N1343,9,0)=0,"",VLOOKUP(C2139,' Disaggregation - Section E '!A$618:N1343,9,0)),"")</f>
        <v/>
      </c>
      <c r="P2139" s="171" t="str">
        <f ca="1">IFERROR(IF(VLOOKUP(C2139,' Disaggregation - Section E '!A$618:N1343,10,0)=0,"",VLOOKUP(C2139,' Disaggregation - Section E '!A$618:N1343,10,0)),"")</f>
        <v/>
      </c>
    </row>
    <row r="2140" spans="1:16">
      <c r="A2140" s="166" t="b">
        <f t="shared" ca="1" si="145"/>
        <v>1</v>
      </c>
      <c r="B2140" s="166"/>
      <c r="C2140" s="172" t="str">
        <f ca="1">IF(COUNTA(D$1418:D2140)=1,"",OFFSET(B2138,-COUNTA(D$1418:D2140)+3,1))</f>
        <v>a163p000004VjmdAAC</v>
      </c>
      <c r="D2140" s="177"/>
      <c r="E2140" s="168">
        <f ca="1">IFERROR(IF(VLOOKUP(C2140,' Disaggregation - Section E '!A$618:N1344,7,0)="","",VLOOKUP(C2140,' Disaggregation - Section E '!A$618:N1344,7,0)*100),"")</f>
        <v>98.814229249011859</v>
      </c>
      <c r="F2140" s="171" t="str">
        <f ca="1">IFERROR(VLOOKUP(C2140,' Disaggregation - Section E '!A$618:N1344,5,0),"")</f>
        <v>Negativo</v>
      </c>
      <c r="G2140" s="170">
        <f ca="1">IFERROR(IF(VLOOKUP(C2140,' Disaggregation - Section E '!A$618:N1344,6,0)="","",VLOOKUP(C2140,' Disaggregation - Section E '!A$618:N1344,6,0)),"")</f>
        <v>1750</v>
      </c>
      <c r="H2140" s="177">
        <f ca="1">IFERROR(IF(INDEX(' Disaggregation - Section E '!F$618:F2541,MATCH(C2140,' Disaggregation - Section E '!A$618:A2541,0)+1,1)&lt;&gt;0,INDEX(' Disaggregation - Section E '!F$618:F$1820,MATCH(C2140,' Disaggregation - Section E '!A$618:A2541,0)+1,1),""),"")</f>
        <v>1771</v>
      </c>
      <c r="I2140" s="171">
        <f ca="1">IFERROR(IF(VLOOKUP(C2140,' Disaggregation - Section E '!A$618:N1344,8,0)=0,"",VLOOKUP(C2140,' Disaggregation - Section E '!A$618:N1344,8,0)),"")</f>
        <v>2021</v>
      </c>
      <c r="J2140" s="171" t="str">
        <f ca="1">IFERROR(IF(VLOOKUP(C2140,' Disaggregation - Section E '!A$618:N2541,13,0)=0,"",VLOOKUP(C2140,' Disaggregation - Section E '!A$618:N2541,13,0)),"")</f>
        <v/>
      </c>
      <c r="K2140" s="166" t="str">
        <f ca="1">IFERROR(VLOOKUP(C2140,' Disaggregation - Section E '!A$618:N1344,3,0),"")</f>
        <v>HTS-3c⁽ᴹ⁾ Porcentaje de trabajadores sexuales a los que se les ha realizado una prueba de VIH durante el período de reporte y que conocen sus resultados</v>
      </c>
      <c r="L2140" s="166"/>
      <c r="M2140" s="166" t="str">
        <f ca="1">IFERROR(IF(VLOOKUP(C2140,' Disaggregation - Section E '!A$618:T1344,20,0)=0,"",VLOOKUP(C2140,' Disaggregation - Section E '!A$618:T1344,20,0)),"")</f>
        <v>IDR-00924</v>
      </c>
      <c r="N2140" s="171" t="str">
        <f ca="1">IFERROR(IF(VLOOKUP(C2140,' Disaggregation - Section E '!A$618:N1344,14,0)=0,"",VLOOKUP(C2140,' Disaggregation - Section E '!A$618:N1344,14,0)),"")</f>
        <v/>
      </c>
      <c r="O2140" s="171" t="str">
        <f ca="1">IFERROR(IF(VLOOKUP(C2140,' Disaggregation - Section E '!A$618:N1344,9,0)=0,"",VLOOKUP(C2140,' Disaggregation - Section E '!A$618:N1344,9,0)),"")</f>
        <v/>
      </c>
      <c r="P2140" s="171" t="str">
        <f ca="1">IFERROR(IF(VLOOKUP(C2140,' Disaggregation - Section E '!A$618:N1344,10,0)=0,"",VLOOKUP(C2140,' Disaggregation - Section E '!A$618:N1344,10,0)),"")</f>
        <v/>
      </c>
    </row>
    <row r="2141" spans="1:16">
      <c r="A2141" s="166" t="b">
        <f t="shared" ca="1" si="145"/>
        <v>1</v>
      </c>
      <c r="B2141" s="166"/>
      <c r="C2141" s="172" t="str">
        <f ca="1">IF(COUNTA(D$1418:D2141)=1,"",OFFSET(B2139,-COUNTA(D$1418:D2141)+3,1))</f>
        <v>a163p000004VjmeAAC</v>
      </c>
      <c r="D2141" s="177"/>
      <c r="E2141" s="168">
        <f ca="1">IFERROR(IF(VLOOKUP(C2141,' Disaggregation - Section E '!A$618:N1345,7,0)="","",VLOOKUP(C2141,' Disaggregation - Section E '!A$618:N1345,7,0)*100),"")</f>
        <v>1.1857707509881421</v>
      </c>
      <c r="F2141" s="171" t="str">
        <f ca="1">IFERROR(VLOOKUP(C2141,' Disaggregation - Section E '!A$618:N1345,5,0),"")</f>
        <v>Positivo</v>
      </c>
      <c r="G2141" s="170">
        <f ca="1">IFERROR(IF(VLOOKUP(C2141,' Disaggregation - Section E '!A$618:N1345,6,0)="","",VLOOKUP(C2141,' Disaggregation - Section E '!A$618:N1345,6,0)),"")</f>
        <v>21</v>
      </c>
      <c r="H2141" s="177">
        <f ca="1">IFERROR(IF(INDEX(' Disaggregation - Section E '!F$618:F2542,MATCH(C2141,' Disaggregation - Section E '!A$618:A2542,0)+1,1)&lt;&gt;0,INDEX(' Disaggregation - Section E '!F$618:F$1820,MATCH(C2141,' Disaggregation - Section E '!A$618:A2542,0)+1,1),""),"")</f>
        <v>1771</v>
      </c>
      <c r="I2141" s="171">
        <f ca="1">IFERROR(IF(VLOOKUP(C2141,' Disaggregation - Section E '!A$618:N1345,8,0)=0,"",VLOOKUP(C2141,' Disaggregation - Section E '!A$618:N1345,8,0)),"")</f>
        <v>2021</v>
      </c>
      <c r="J2141" s="171" t="str">
        <f ca="1">IFERROR(IF(VLOOKUP(C2141,' Disaggregation - Section E '!A$618:N2542,13,0)=0,"",VLOOKUP(C2141,' Disaggregation - Section E '!A$618:N2542,13,0)),"")</f>
        <v/>
      </c>
      <c r="K2141" s="166" t="str">
        <f ca="1">IFERROR(VLOOKUP(C2141,' Disaggregation - Section E '!A$618:N1345,3,0),"")</f>
        <v>HTS-3c⁽ᴹ⁾ Porcentaje de trabajadores sexuales a los que se les ha realizado una prueba de VIH durante el período de reporte y que conocen sus resultados</v>
      </c>
      <c r="L2141" s="166"/>
      <c r="M2141" s="166" t="str">
        <f ca="1">IFERROR(IF(VLOOKUP(C2141,' Disaggregation - Section E '!A$618:T1345,20,0)=0,"",VLOOKUP(C2141,' Disaggregation - Section E '!A$618:T1345,20,0)),"")</f>
        <v>IDR-00923</v>
      </c>
      <c r="N2141" s="171" t="str">
        <f ca="1">IFERROR(IF(VLOOKUP(C2141,' Disaggregation - Section E '!A$618:N1345,14,0)=0,"",VLOOKUP(C2141,' Disaggregation - Section E '!A$618:N1345,14,0)),"")</f>
        <v/>
      </c>
      <c r="O2141" s="171" t="str">
        <f ca="1">IFERROR(IF(VLOOKUP(C2141,' Disaggregation - Section E '!A$618:N1345,9,0)=0,"",VLOOKUP(C2141,' Disaggregation - Section E '!A$618:N1345,9,0)),"")</f>
        <v/>
      </c>
      <c r="P2141" s="171" t="str">
        <f ca="1">IFERROR(IF(VLOOKUP(C2141,' Disaggregation - Section E '!A$618:N1345,10,0)=0,"",VLOOKUP(C2141,' Disaggregation - Section E '!A$618:N1345,10,0)),"")</f>
        <v/>
      </c>
    </row>
    <row r="2142" spans="1:16">
      <c r="A2142" s="166" t="b">
        <f t="shared" ca="1" si="145"/>
        <v>1</v>
      </c>
      <c r="B2142" s="166"/>
      <c r="C2142" s="172" t="str">
        <f ca="1">IF(COUNTA(D$1418:D2142)=1,"",OFFSET(B2140,-COUNTA(D$1418:D2142)+3,1))</f>
        <v>a163p000004VjmfAAC</v>
      </c>
      <c r="D2142" s="177"/>
      <c r="E2142" s="168" t="str">
        <f ca="1">IFERROR(IF(VLOOKUP(C2142,' Disaggregation - Section E '!A$618:N1346,7,0)="","",VLOOKUP(C2142,' Disaggregation - Section E '!A$618:N1346,7,0)*100),"")</f>
        <v/>
      </c>
      <c r="F2142" s="171" t="str">
        <f ca="1">IFERROR(VLOOKUP(C2142,' Disaggregation - Section E '!A$618:N1346,5,0),"")</f>
        <v>Transgénero</v>
      </c>
      <c r="G2142" s="170" t="str">
        <f ca="1">IFERROR(IF(VLOOKUP(C2142,' Disaggregation - Section E '!A$618:N1346,6,0)="","",VLOOKUP(C2142,' Disaggregation - Section E '!A$618:N1346,6,0)),"")</f>
        <v/>
      </c>
      <c r="H2142" s="177" t="str">
        <f ca="1">IFERROR(IF(INDEX(' Disaggregation - Section E '!F$618:F2543,MATCH(C2142,' Disaggregation - Section E '!A$618:A2543,0)+1,1)&lt;&gt;0,INDEX(' Disaggregation - Section E '!F$618:F$1820,MATCH(C2142,' Disaggregation - Section E '!A$618:A2543,0)+1,1),""),"")</f>
        <v/>
      </c>
      <c r="I2142" s="171" t="str">
        <f ca="1">IFERROR(IF(VLOOKUP(C2142,' Disaggregation - Section E '!A$618:N1346,8,0)=0,"",VLOOKUP(C2142,' Disaggregation - Section E '!A$618:N1346,8,0)),"")</f>
        <v/>
      </c>
      <c r="J2142" s="171" t="str">
        <f ca="1">IFERROR(IF(VLOOKUP(C2142,' Disaggregation - Section E '!A$618:N2543,13,0)=0,"",VLOOKUP(C2142,' Disaggregation - Section E '!A$618:N2543,13,0)),"")</f>
        <v/>
      </c>
      <c r="K2142" s="166" t="str">
        <f ca="1">IFERROR(VLOOKUP(C2142,' Disaggregation - Section E '!A$618:N1346,3,0),"")</f>
        <v>HTS-3c⁽ᴹ⁾ Porcentaje de trabajadores sexuales a los que se les ha realizado una prueba de VIH durante el período de reporte y que conocen sus resultados</v>
      </c>
      <c r="L2142" s="166"/>
      <c r="M2142" s="166" t="str">
        <f ca="1">IFERROR(IF(VLOOKUP(C2142,' Disaggregation - Section E '!A$618:T1346,20,0)=0,"",VLOOKUP(C2142,' Disaggregation - Section E '!A$618:T1346,20,0)),"")</f>
        <v>IDR-00835</v>
      </c>
      <c r="N2142" s="171" t="str">
        <f ca="1">IFERROR(IF(VLOOKUP(C2142,' Disaggregation - Section E '!A$618:N1346,14,0)=0,"",VLOOKUP(C2142,' Disaggregation - Section E '!A$618:N1346,14,0)),"")</f>
        <v/>
      </c>
      <c r="O2142" s="171" t="str">
        <f ca="1">IFERROR(IF(VLOOKUP(C2142,' Disaggregation - Section E '!A$618:N1346,9,0)=0,"",VLOOKUP(C2142,' Disaggregation - Section E '!A$618:N1346,9,0)),"")</f>
        <v/>
      </c>
      <c r="P2142" s="171" t="str">
        <f ca="1">IFERROR(IF(VLOOKUP(C2142,' Disaggregation - Section E '!A$618:N1346,10,0)=0,"",VLOOKUP(C2142,' Disaggregation - Section E '!A$618:N1346,10,0)),"")</f>
        <v/>
      </c>
    </row>
    <row r="2143" spans="1:16">
      <c r="A2143" s="166" t="b">
        <f t="shared" ca="1" si="145"/>
        <v>1</v>
      </c>
      <c r="B2143" s="166"/>
      <c r="C2143" s="172" t="str">
        <f ca="1">IF(COUNTA(D$1418:D2143)=1,"",OFFSET(B2141,-COUNTA(D$1418:D2143)+3,1))</f>
        <v>a163p000004VjmgAAC</v>
      </c>
      <c r="D2143" s="177"/>
      <c r="E2143" s="168">
        <f ca="1">IFERROR(IF(VLOOKUP(C2143,' Disaggregation - Section E '!A$618:N1347,7,0)="","",VLOOKUP(C2143,' Disaggregation - Section E '!A$618:N1347,7,0)*100),"")</f>
        <v>8.6529535349587139</v>
      </c>
      <c r="F2143" s="171" t="str">
        <f ca="1">IFERROR(VLOOKUP(C2143,' Disaggregation - Section E '!A$618:N1347,5,0),"")</f>
        <v>Mujeres</v>
      </c>
      <c r="G2143" s="170">
        <f ca="1">IFERROR(IF(VLOOKUP(C2143,' Disaggregation - Section E '!A$618:N1347,6,0)="","",VLOOKUP(C2143,' Disaggregation - Section E '!A$618:N1347,6,0)),"")</f>
        <v>1771</v>
      </c>
      <c r="H2143" s="177">
        <f ca="1">IFERROR(IF(INDEX(' Disaggregation - Section E '!F$618:F2544,MATCH(C2143,' Disaggregation - Section E '!A$618:A2544,0)+1,1)&lt;&gt;0,INDEX(' Disaggregation - Section E '!F$618:F$1820,MATCH(C2143,' Disaggregation - Section E '!A$618:A2544,0)+1,1),""),"")</f>
        <v>20467</v>
      </c>
      <c r="I2143" s="171">
        <f ca="1">IFERROR(IF(VLOOKUP(C2143,' Disaggregation - Section E '!A$618:N1347,8,0)=0,"",VLOOKUP(C2143,' Disaggregation - Section E '!A$618:N1347,8,0)),"")</f>
        <v>2021</v>
      </c>
      <c r="J2143" s="171" t="str">
        <f ca="1">IFERROR(IF(VLOOKUP(C2143,' Disaggregation - Section E '!A$618:N2544,13,0)=0,"",VLOOKUP(C2143,' Disaggregation - Section E '!A$618:N2544,13,0)),"")</f>
        <v/>
      </c>
      <c r="K2143" s="166" t="str">
        <f ca="1">IFERROR(VLOOKUP(C2143,' Disaggregation - Section E '!A$618:N1347,3,0),"")</f>
        <v>HTS-3c⁽ᴹ⁾ Porcentaje de trabajadores sexuales a los que se les ha realizado una prueba de VIH durante el período de reporte y que conocen sus resultados</v>
      </c>
      <c r="L2143" s="166"/>
      <c r="M2143" s="166" t="str">
        <f ca="1">IFERROR(IF(VLOOKUP(C2143,' Disaggregation - Section E '!A$618:T1347,20,0)=0,"",VLOOKUP(C2143,' Disaggregation - Section E '!A$618:T1347,20,0)),"")</f>
        <v>IDR-00834</v>
      </c>
      <c r="N2143" s="171" t="str">
        <f ca="1">IFERROR(IF(VLOOKUP(C2143,' Disaggregation - Section E '!A$618:N1347,14,0)=0,"",VLOOKUP(C2143,' Disaggregation - Section E '!A$618:N1347,14,0)),"")</f>
        <v/>
      </c>
      <c r="O2143" s="171" t="str">
        <f ca="1">IFERROR(IF(VLOOKUP(C2143,' Disaggregation - Section E '!A$618:N1347,9,0)=0,"",VLOOKUP(C2143,' Disaggregation - Section E '!A$618:N1347,9,0)),"")</f>
        <v/>
      </c>
      <c r="P2143" s="171" t="str">
        <f ca="1">IFERROR(IF(VLOOKUP(C2143,' Disaggregation - Section E '!A$618:N1347,10,0)=0,"",VLOOKUP(C2143,' Disaggregation - Section E '!A$618:N1347,10,0)),"")</f>
        <v/>
      </c>
    </row>
    <row r="2144" spans="1:16">
      <c r="A2144" s="166" t="b">
        <f t="shared" ca="1" si="145"/>
        <v>1</v>
      </c>
      <c r="B2144" s="166"/>
      <c r="C2144" s="172" t="str">
        <f ca="1">IF(COUNTA(D$1418:D2144)=1,"",OFFSET(B2142,-COUNTA(D$1418:D2144)+3,1))</f>
        <v>a163p000004VjmhAAC</v>
      </c>
      <c r="D2144" s="177"/>
      <c r="E2144" s="168" t="str">
        <f ca="1">IFERROR(IF(VLOOKUP(C2144,' Disaggregation - Section E '!A$618:N1348,7,0)="","",VLOOKUP(C2144,' Disaggregation - Section E '!A$618:N1348,7,0)*100),"")</f>
        <v/>
      </c>
      <c r="F2144" s="171" t="str">
        <f ca="1">IFERROR(VLOOKUP(C2144,' Disaggregation - Section E '!A$618:N1348,5,0),"")</f>
        <v>Hombres</v>
      </c>
      <c r="G2144" s="170" t="str">
        <f ca="1">IFERROR(IF(VLOOKUP(C2144,' Disaggregation - Section E '!A$618:N1348,6,0)="","",VLOOKUP(C2144,' Disaggregation - Section E '!A$618:N1348,6,0)),"")</f>
        <v/>
      </c>
      <c r="H2144" s="177" t="str">
        <f ca="1">IFERROR(IF(INDEX(' Disaggregation - Section E '!F$618:F2545,MATCH(C2144,' Disaggregation - Section E '!A$618:A2545,0)+1,1)&lt;&gt;0,INDEX(' Disaggregation - Section E '!F$618:F$1820,MATCH(C2144,' Disaggregation - Section E '!A$618:A2545,0)+1,1),""),"")</f>
        <v/>
      </c>
      <c r="I2144" s="171" t="str">
        <f ca="1">IFERROR(IF(VLOOKUP(C2144,' Disaggregation - Section E '!A$618:N1348,8,0)=0,"",VLOOKUP(C2144,' Disaggregation - Section E '!A$618:N1348,8,0)),"")</f>
        <v/>
      </c>
      <c r="J2144" s="171" t="str">
        <f ca="1">IFERROR(IF(VLOOKUP(C2144,' Disaggregation - Section E '!A$618:N2545,13,0)=0,"",VLOOKUP(C2144,' Disaggregation - Section E '!A$618:N2545,13,0)),"")</f>
        <v/>
      </c>
      <c r="K2144" s="166" t="str">
        <f ca="1">IFERROR(VLOOKUP(C2144,' Disaggregation - Section E '!A$618:N1348,3,0),"")</f>
        <v>HTS-3c⁽ᴹ⁾ Porcentaje de trabajadores sexuales a los que se les ha realizado una prueba de VIH durante el período de reporte y que conocen sus resultados</v>
      </c>
      <c r="L2144" s="166"/>
      <c r="M2144" s="166" t="str">
        <f ca="1">IFERROR(IF(VLOOKUP(C2144,' Disaggregation - Section E '!A$618:T1348,20,0)=0,"",VLOOKUP(C2144,' Disaggregation - Section E '!A$618:T1348,20,0)),"")</f>
        <v>IDR-00833</v>
      </c>
      <c r="N2144" s="171" t="str">
        <f ca="1">IFERROR(IF(VLOOKUP(C2144,' Disaggregation - Section E '!A$618:N1348,14,0)=0,"",VLOOKUP(C2144,' Disaggregation - Section E '!A$618:N1348,14,0)),"")</f>
        <v/>
      </c>
      <c r="O2144" s="171" t="str">
        <f ca="1">IFERROR(IF(VLOOKUP(C2144,' Disaggregation - Section E '!A$618:N1348,9,0)=0,"",VLOOKUP(C2144,' Disaggregation - Section E '!A$618:N1348,9,0)),"")</f>
        <v/>
      </c>
      <c r="P2144" s="171" t="str">
        <f ca="1">IFERROR(IF(VLOOKUP(C2144,' Disaggregation - Section E '!A$618:N1348,10,0)=0,"",VLOOKUP(C2144,' Disaggregation - Section E '!A$618:N1348,10,0)),"")</f>
        <v/>
      </c>
    </row>
    <row r="2145" spans="1:16">
      <c r="A2145" s="166" t="b">
        <f t="shared" ca="1" si="145"/>
        <v>1</v>
      </c>
      <c r="B2145" s="166"/>
      <c r="C2145" s="172" t="str">
        <f ca="1">IF(COUNTA(D$1418:D2145)=1,"",OFFSET(B2143,-COUNTA(D$1418:D2145)+3,1))</f>
        <v>a163p000004VjmiAAC</v>
      </c>
      <c r="D2145" s="177"/>
      <c r="E2145" s="168" t="str">
        <f ca="1">IFERROR(IF(VLOOKUP(C2145,' Disaggregation - Section E '!A$618:N1349,7,0)="","",VLOOKUP(C2145,' Disaggregation - Section E '!A$618:N1349,7,0)*100),"")</f>
        <v/>
      </c>
      <c r="F2145" s="171" t="str">
        <f ca="1">IFERROR(VLOOKUP(C2145,' Disaggregation - Section E '!A$618:N1349,5,0),"")</f>
        <v>25+</v>
      </c>
      <c r="G2145" s="170">
        <f ca="1">IFERROR(IF(VLOOKUP(C2145,' Disaggregation - Section E '!A$618:N1349,6,0)="","",VLOOKUP(C2145,' Disaggregation - Section E '!A$618:N1349,6,0)),"")</f>
        <v>1392</v>
      </c>
      <c r="H2145" s="177" t="str">
        <f ca="1">IFERROR(IF(INDEX(' Disaggregation - Section E '!F$618:F2546,MATCH(C2145,' Disaggregation - Section E '!A$618:A2546,0)+1,1)&lt;&gt;0,INDEX(' Disaggregation - Section E '!F$618:F$1820,MATCH(C2145,' Disaggregation - Section E '!A$618:A2546,0)+1,1),""),"")</f>
        <v/>
      </c>
      <c r="I2145" s="171">
        <f ca="1">IFERROR(IF(VLOOKUP(C2145,' Disaggregation - Section E '!A$618:N1349,8,0)=0,"",VLOOKUP(C2145,' Disaggregation - Section E '!A$618:N1349,8,0)),"")</f>
        <v>2021</v>
      </c>
      <c r="J2145" s="171" t="str">
        <f ca="1">IFERROR(IF(VLOOKUP(C2145,' Disaggregation - Section E '!A$618:N2546,13,0)=0,"",VLOOKUP(C2145,' Disaggregation - Section E '!A$618:N2546,13,0)),"")</f>
        <v/>
      </c>
      <c r="K2145" s="166" t="str">
        <f ca="1">IFERROR(VLOOKUP(C2145,' Disaggregation - Section E '!A$618:N1349,3,0),"")</f>
        <v>HTS-3c⁽ᴹ⁾ Porcentaje de trabajadores sexuales a los que se les ha realizado una prueba de VIH durante el período de reporte y que conocen sus resultados</v>
      </c>
      <c r="L2145" s="166"/>
      <c r="M2145" s="166" t="str">
        <f ca="1">IFERROR(IF(VLOOKUP(C2145,' Disaggregation - Section E '!A$618:T1349,20,0)=0,"",VLOOKUP(C2145,' Disaggregation - Section E '!A$618:T1349,20,0)),"")</f>
        <v>IDR-00718</v>
      </c>
      <c r="N2145" s="171" t="str">
        <f ca="1">IFERROR(IF(VLOOKUP(C2145,' Disaggregation - Section E '!A$618:N1349,14,0)=0,"",VLOOKUP(C2145,' Disaggregation - Section E '!A$618:N1349,14,0)),"")</f>
        <v/>
      </c>
      <c r="O2145" s="171" t="str">
        <f ca="1">IFERROR(IF(VLOOKUP(C2145,' Disaggregation - Section E '!A$618:N1349,9,0)=0,"",VLOOKUP(C2145,' Disaggregation - Section E '!A$618:N1349,9,0)),"")</f>
        <v/>
      </c>
      <c r="P2145" s="171" t="str">
        <f ca="1">IFERROR(IF(VLOOKUP(C2145,' Disaggregation - Section E '!A$618:N1349,10,0)=0,"",VLOOKUP(C2145,' Disaggregation - Section E '!A$618:N1349,10,0)),"")</f>
        <v/>
      </c>
    </row>
    <row r="2146" spans="1:16">
      <c r="A2146" s="166" t="b">
        <f t="shared" ca="1" si="145"/>
        <v>1</v>
      </c>
      <c r="B2146" s="166"/>
      <c r="C2146" s="172" t="str">
        <f ca="1">IF(COUNTA(D$1418:D2146)=1,"",OFFSET(B2144,-COUNTA(D$1418:D2146)+3,1))</f>
        <v>a163p000004VjmjAAC</v>
      </c>
      <c r="D2146" s="177"/>
      <c r="E2146" s="168" t="str">
        <f ca="1">IFERROR(IF(VLOOKUP(C2146,' Disaggregation - Section E '!A$618:N1350,7,0)="","",VLOOKUP(C2146,' Disaggregation - Section E '!A$618:N1350,7,0)*100),"")</f>
        <v/>
      </c>
      <c r="F2146" s="171" t="str">
        <f ca="1">IFERROR(VLOOKUP(C2146,' Disaggregation - Section E '!A$618:N1350,5,0),"")</f>
        <v>&lt;25</v>
      </c>
      <c r="G2146" s="170">
        <f ca="1">IFERROR(IF(VLOOKUP(C2146,' Disaggregation - Section E '!A$618:N1350,6,0)="","",VLOOKUP(C2146,' Disaggregation - Section E '!A$618:N1350,6,0)),"")</f>
        <v>379</v>
      </c>
      <c r="H2146" s="177" t="str">
        <f ca="1">IFERROR(IF(INDEX(' Disaggregation - Section E '!F$618:F2547,MATCH(C2146,' Disaggregation - Section E '!A$618:A2547,0)+1,1)&lt;&gt;0,INDEX(' Disaggregation - Section E '!F$618:F$1820,MATCH(C2146,' Disaggregation - Section E '!A$618:A2547,0)+1,1),""),"")</f>
        <v/>
      </c>
      <c r="I2146" s="171">
        <f ca="1">IFERROR(IF(VLOOKUP(C2146,' Disaggregation - Section E '!A$618:N1350,8,0)=0,"",VLOOKUP(C2146,' Disaggregation - Section E '!A$618:N1350,8,0)),"")</f>
        <v>2021</v>
      </c>
      <c r="J2146" s="171" t="str">
        <f ca="1">IFERROR(IF(VLOOKUP(C2146,' Disaggregation - Section E '!A$618:N2547,13,0)=0,"",VLOOKUP(C2146,' Disaggregation - Section E '!A$618:N2547,13,0)),"")</f>
        <v/>
      </c>
      <c r="K2146" s="166" t="str">
        <f ca="1">IFERROR(VLOOKUP(C2146,' Disaggregation - Section E '!A$618:N1350,3,0),"")</f>
        <v>HTS-3c⁽ᴹ⁾ Porcentaje de trabajadores sexuales a los que se les ha realizado una prueba de VIH durante el período de reporte y que conocen sus resultados</v>
      </c>
      <c r="L2146" s="166"/>
      <c r="M2146" s="166" t="str">
        <f ca="1">IFERROR(IF(VLOOKUP(C2146,' Disaggregation - Section E '!A$618:T1350,20,0)=0,"",VLOOKUP(C2146,' Disaggregation - Section E '!A$618:T1350,20,0)),"")</f>
        <v>IDR-00717</v>
      </c>
      <c r="N2146" s="171" t="str">
        <f ca="1">IFERROR(IF(VLOOKUP(C2146,' Disaggregation - Section E '!A$618:N1350,14,0)=0,"",VLOOKUP(C2146,' Disaggregation - Section E '!A$618:N1350,14,0)),"")</f>
        <v/>
      </c>
      <c r="O2146" s="171" t="str">
        <f ca="1">IFERROR(IF(VLOOKUP(C2146,' Disaggregation - Section E '!A$618:N1350,9,0)=0,"",VLOOKUP(C2146,' Disaggregation - Section E '!A$618:N1350,9,0)),"")</f>
        <v/>
      </c>
      <c r="P2146" s="171" t="str">
        <f ca="1">IFERROR(IF(VLOOKUP(C2146,' Disaggregation - Section E '!A$618:N1350,10,0)=0,"",VLOOKUP(C2146,' Disaggregation - Section E '!A$618:N1350,10,0)),"")</f>
        <v/>
      </c>
    </row>
    <row r="2147" spans="1:16">
      <c r="A2147" s="166" t="b">
        <f t="shared" ca="1" si="145"/>
        <v>0</v>
      </c>
      <c r="B2147" s="166"/>
      <c r="C2147" s="172" t="str">
        <f ca="1">IF(COUNTA(D$1418:D2147)=1,"",OFFSET(B2145,-COUNTA(D$1418:D2147)+3,1))</f>
        <v>a163p000004VjmkAAC</v>
      </c>
      <c r="D2147" s="177"/>
      <c r="E2147" s="168" t="str">
        <f ca="1">IFERROR(IF(VLOOKUP(C2147,' Disaggregation - Section E '!A$618:N1351,7,0)="","",VLOOKUP(C2147,' Disaggregation - Section E '!A$618:N1351,7,0)*100),"")</f>
        <v/>
      </c>
      <c r="F2147" s="171" t="str">
        <f ca="1">IFERROR(VLOOKUP(C2147,' Disaggregation - Section E '!A$618:N1351,5,0),"")</f>
        <v/>
      </c>
      <c r="G2147" s="170" t="str">
        <f ca="1">IFERROR(IF(VLOOKUP(C2147,' Disaggregation - Section E '!A$618:N1351,6,0)="","",VLOOKUP(C2147,' Disaggregation - Section E '!A$618:N1351,6,0)),"")</f>
        <v/>
      </c>
      <c r="H2147" s="177" t="str">
        <f ca="1">IFERROR(IF(INDEX(' Disaggregation - Section E '!F$618:F2548,MATCH(C2147,' Disaggregation - Section E '!A$618:A2548,0)+1,1)&lt;&gt;0,INDEX(' Disaggregation - Section E '!F$618:F$1820,MATCH(C2147,' Disaggregation - Section E '!A$618:A2548,0)+1,1),""),"")</f>
        <v/>
      </c>
      <c r="I2147" s="171" t="str">
        <f ca="1">IFERROR(IF(VLOOKUP(C2147,' Disaggregation - Section E '!A$618:N1351,8,0)=0,"",VLOOKUP(C2147,' Disaggregation - Section E '!A$618:N1351,8,0)),"")</f>
        <v/>
      </c>
      <c r="J2147" s="171" t="str">
        <f ca="1">IFERROR(IF(VLOOKUP(C2147,' Disaggregation - Section E '!A$618:N2548,13,0)=0,"",VLOOKUP(C2147,' Disaggregation - Section E '!A$618:N2548,13,0)),"")</f>
        <v/>
      </c>
      <c r="K2147" s="166" t="str">
        <f ca="1">IFERROR(VLOOKUP(C2147,' Disaggregation - Section E '!A$618:N1351,3,0),"")</f>
        <v>HTS-3c⁽ᴹ⁾ Porcentaje de trabajadores sexuales a los que se les ha realizado una prueba de VIH durante el período de reporte y que conocen sus resultados</v>
      </c>
      <c r="L2147" s="166"/>
      <c r="M2147" s="166" t="str">
        <f ca="1">IFERROR(IF(VLOOKUP(C2147,' Disaggregation - Section E '!A$618:T1351,20,0)=0,"",VLOOKUP(C2147,' Disaggregation - Section E '!A$618:T1351,20,0)),"")</f>
        <v/>
      </c>
      <c r="N2147" s="171" t="str">
        <f ca="1">IFERROR(IF(VLOOKUP(C2147,' Disaggregation - Section E '!A$618:N1351,14,0)=0,"",VLOOKUP(C2147,' Disaggregation - Section E '!A$618:N1351,14,0)),"")</f>
        <v/>
      </c>
      <c r="O2147" s="171" t="str">
        <f ca="1">IFERROR(IF(VLOOKUP(C2147,' Disaggregation - Section E '!A$618:N1351,9,0)=0,"",VLOOKUP(C2147,' Disaggregation - Section E '!A$618:N1351,9,0)),"")</f>
        <v/>
      </c>
      <c r="P2147" s="171" t="str">
        <f ca="1">IFERROR(IF(VLOOKUP(C2147,' Disaggregation - Section E '!A$618:N1351,10,0)=0,"",VLOOKUP(C2147,' Disaggregation - Section E '!A$618:N1351,10,0)),"")</f>
        <v/>
      </c>
    </row>
    <row r="2148" spans="1:16">
      <c r="A2148" s="166" t="b">
        <f t="shared" ref="A2148:A2199" ca="1" si="146">IF(M2148&lt;&gt;"",TRUE,FALSE)</f>
        <v>0</v>
      </c>
      <c r="B2148" s="166"/>
      <c r="C2148" s="172" t="str">
        <f ca="1">IF(COUNTA(D$1418:D2148)=1,"",OFFSET(B2146,-COUNTA(D$1418:D2148)+3,1))</f>
        <v>a163p000004VjmlAAC</v>
      </c>
      <c r="D2148" s="177"/>
      <c r="E2148" s="168" t="str">
        <f ca="1">IFERROR(IF(VLOOKUP(C2148,' Disaggregation - Section E '!A$618:N1352,7,0)="","",VLOOKUP(C2148,' Disaggregation - Section E '!A$618:N1352,7,0)*100),"")</f>
        <v/>
      </c>
      <c r="F2148" s="171" t="str">
        <f ca="1">IFERROR(VLOOKUP(C2148,' Disaggregation - Section E '!A$618:N1352,5,0),"")</f>
        <v/>
      </c>
      <c r="G2148" s="170" t="str">
        <f ca="1">IFERROR(IF(VLOOKUP(C2148,' Disaggregation - Section E '!A$618:N1352,6,0)="","",VLOOKUP(C2148,' Disaggregation - Section E '!A$618:N1352,6,0)),"")</f>
        <v/>
      </c>
      <c r="H2148" s="177" t="str">
        <f ca="1">IFERROR(IF(INDEX(' Disaggregation - Section E '!F$618:F2549,MATCH(C2148,' Disaggregation - Section E '!A$618:A2549,0)+1,1)&lt;&gt;0,INDEX(' Disaggregation - Section E '!F$618:F$1820,MATCH(C2148,' Disaggregation - Section E '!A$618:A2549,0)+1,1),""),"")</f>
        <v/>
      </c>
      <c r="I2148" s="171" t="str">
        <f ca="1">IFERROR(IF(VLOOKUP(C2148,' Disaggregation - Section E '!A$618:N1352,8,0)=0,"",VLOOKUP(C2148,' Disaggregation - Section E '!A$618:N1352,8,0)),"")</f>
        <v/>
      </c>
      <c r="J2148" s="171" t="str">
        <f ca="1">IFERROR(IF(VLOOKUP(C2148,' Disaggregation - Section E '!A$618:N2549,13,0)=0,"",VLOOKUP(C2148,' Disaggregation - Section E '!A$618:N2549,13,0)),"")</f>
        <v/>
      </c>
      <c r="K2148" s="166" t="str">
        <f ca="1">IFERROR(VLOOKUP(C2148,' Disaggregation - Section E '!A$618:N1352,3,0),"")</f>
        <v>HTS-3c⁽ᴹ⁾ Porcentaje de trabajadores sexuales a los que se les ha realizado una prueba de VIH durante el período de reporte y que conocen sus resultados</v>
      </c>
      <c r="L2148" s="166"/>
      <c r="M2148" s="166" t="str">
        <f ca="1">IFERROR(IF(VLOOKUP(C2148,' Disaggregation - Section E '!A$618:T1352,20,0)=0,"",VLOOKUP(C2148,' Disaggregation - Section E '!A$618:T1352,20,0)),"")</f>
        <v/>
      </c>
      <c r="N2148" s="171" t="str">
        <f ca="1">IFERROR(IF(VLOOKUP(C2148,' Disaggregation - Section E '!A$618:N1352,14,0)=0,"",VLOOKUP(C2148,' Disaggregation - Section E '!A$618:N1352,14,0)),"")</f>
        <v/>
      </c>
      <c r="O2148" s="171" t="str">
        <f ca="1">IFERROR(IF(VLOOKUP(C2148,' Disaggregation - Section E '!A$618:N1352,9,0)=0,"",VLOOKUP(C2148,' Disaggregation - Section E '!A$618:N1352,9,0)),"")</f>
        <v/>
      </c>
      <c r="P2148" s="171" t="str">
        <f ca="1">IFERROR(IF(VLOOKUP(C2148,' Disaggregation - Section E '!A$618:N1352,10,0)=0,"",VLOOKUP(C2148,' Disaggregation - Section E '!A$618:N1352,10,0)),"")</f>
        <v/>
      </c>
    </row>
    <row r="2149" spans="1:16">
      <c r="A2149" s="166" t="b">
        <f t="shared" ca="1" si="146"/>
        <v>0</v>
      </c>
      <c r="B2149" s="166"/>
      <c r="C2149" s="172" t="str">
        <f ca="1">IF(COUNTA(D$1418:D2149)=1,"",OFFSET(B2147,-COUNTA(D$1418:D2149)+3,1))</f>
        <v>a163p000004VjmmAAC</v>
      </c>
      <c r="D2149" s="177"/>
      <c r="E2149" s="168" t="str">
        <f ca="1">IFERROR(IF(VLOOKUP(C2149,' Disaggregation - Section E '!A$618:N1353,7,0)="","",VLOOKUP(C2149,' Disaggregation - Section E '!A$618:N1353,7,0)*100),"")</f>
        <v/>
      </c>
      <c r="F2149" s="171" t="str">
        <f ca="1">IFERROR(VLOOKUP(C2149,' Disaggregation - Section E '!A$618:N1353,5,0),"")</f>
        <v/>
      </c>
      <c r="G2149" s="170" t="str">
        <f ca="1">IFERROR(IF(VLOOKUP(C2149,' Disaggregation - Section E '!A$618:N1353,6,0)="","",VLOOKUP(C2149,' Disaggregation - Section E '!A$618:N1353,6,0)),"")</f>
        <v/>
      </c>
      <c r="H2149" s="177" t="str">
        <f ca="1">IFERROR(IF(INDEX(' Disaggregation - Section E '!F$618:F2550,MATCH(C2149,' Disaggregation - Section E '!A$618:A2550,0)+1,1)&lt;&gt;0,INDEX(' Disaggregation - Section E '!F$618:F$1820,MATCH(C2149,' Disaggregation - Section E '!A$618:A2550,0)+1,1),""),"")</f>
        <v/>
      </c>
      <c r="I2149" s="171" t="str">
        <f ca="1">IFERROR(IF(VLOOKUP(C2149,' Disaggregation - Section E '!A$618:N1353,8,0)=0,"",VLOOKUP(C2149,' Disaggregation - Section E '!A$618:N1353,8,0)),"")</f>
        <v/>
      </c>
      <c r="J2149" s="171" t="str">
        <f ca="1">IFERROR(IF(VLOOKUP(C2149,' Disaggregation - Section E '!A$618:N2550,13,0)=0,"",VLOOKUP(C2149,' Disaggregation - Section E '!A$618:N2550,13,0)),"")</f>
        <v/>
      </c>
      <c r="K2149" s="166" t="str">
        <f ca="1">IFERROR(VLOOKUP(C2149,' Disaggregation - Section E '!A$618:N1353,3,0),"")</f>
        <v>HTS-3c⁽ᴹ⁾ Porcentaje de trabajadores sexuales a los que se les ha realizado una prueba de VIH durante el período de reporte y que conocen sus resultados</v>
      </c>
      <c r="L2149" s="166"/>
      <c r="M2149" s="166" t="str">
        <f ca="1">IFERROR(IF(VLOOKUP(C2149,' Disaggregation - Section E '!A$618:T1353,20,0)=0,"",VLOOKUP(C2149,' Disaggregation - Section E '!A$618:T1353,20,0)),"")</f>
        <v/>
      </c>
      <c r="N2149" s="171" t="str">
        <f ca="1">IFERROR(IF(VLOOKUP(C2149,' Disaggregation - Section E '!A$618:N1353,14,0)=0,"",VLOOKUP(C2149,' Disaggregation - Section E '!A$618:N1353,14,0)),"")</f>
        <v/>
      </c>
      <c r="O2149" s="171" t="str">
        <f ca="1">IFERROR(IF(VLOOKUP(C2149,' Disaggregation - Section E '!A$618:N1353,9,0)=0,"",VLOOKUP(C2149,' Disaggregation - Section E '!A$618:N1353,9,0)),"")</f>
        <v/>
      </c>
      <c r="P2149" s="171" t="str">
        <f ca="1">IFERROR(IF(VLOOKUP(C2149,' Disaggregation - Section E '!A$618:N1353,10,0)=0,"",VLOOKUP(C2149,' Disaggregation - Section E '!A$618:N1353,10,0)),"")</f>
        <v/>
      </c>
    </row>
    <row r="2150" spans="1:16">
      <c r="A2150" s="166" t="b">
        <f t="shared" ca="1" si="146"/>
        <v>0</v>
      </c>
      <c r="B2150" s="166"/>
      <c r="C2150" s="172" t="str">
        <f ca="1">IF(COUNTA(D$1418:D2150)=1,"",OFFSET(B2148,-COUNTA(D$1418:D2150)+3,1))</f>
        <v>a163p000004VjmnAAC</v>
      </c>
      <c r="D2150" s="177"/>
      <c r="E2150" s="168" t="str">
        <f ca="1">IFERROR(IF(VLOOKUP(C2150,' Disaggregation - Section E '!A$618:N1354,7,0)="","",VLOOKUP(C2150,' Disaggregation - Section E '!A$618:N1354,7,0)*100),"")</f>
        <v/>
      </c>
      <c r="F2150" s="171" t="str">
        <f ca="1">IFERROR(VLOOKUP(C2150,' Disaggregation - Section E '!A$618:N1354,5,0),"")</f>
        <v/>
      </c>
      <c r="G2150" s="170" t="str">
        <f ca="1">IFERROR(IF(VLOOKUP(C2150,' Disaggregation - Section E '!A$618:N1354,6,0)="","",VLOOKUP(C2150,' Disaggregation - Section E '!A$618:N1354,6,0)),"")</f>
        <v/>
      </c>
      <c r="H2150" s="177" t="str">
        <f ca="1">IFERROR(IF(INDEX(' Disaggregation - Section E '!F$618:F2551,MATCH(C2150,' Disaggregation - Section E '!A$618:A2551,0)+1,1)&lt;&gt;0,INDEX(' Disaggregation - Section E '!F$618:F$1820,MATCH(C2150,' Disaggregation - Section E '!A$618:A2551,0)+1,1),""),"")</f>
        <v/>
      </c>
      <c r="I2150" s="171" t="str">
        <f ca="1">IFERROR(IF(VLOOKUP(C2150,' Disaggregation - Section E '!A$618:N1354,8,0)=0,"",VLOOKUP(C2150,' Disaggregation - Section E '!A$618:N1354,8,0)),"")</f>
        <v/>
      </c>
      <c r="J2150" s="171" t="str">
        <f ca="1">IFERROR(IF(VLOOKUP(C2150,' Disaggregation - Section E '!A$618:N2551,13,0)=0,"",VLOOKUP(C2150,' Disaggregation - Section E '!A$618:N2551,13,0)),"")</f>
        <v/>
      </c>
      <c r="K2150" s="166" t="str">
        <f ca="1">IFERROR(VLOOKUP(C2150,' Disaggregation - Section E '!A$618:N1354,3,0),"")</f>
        <v>HTS-3c⁽ᴹ⁾ Porcentaje de trabajadores sexuales a los que se les ha realizado una prueba de VIH durante el período de reporte y que conocen sus resultados</v>
      </c>
      <c r="L2150" s="166"/>
      <c r="M2150" s="166" t="str">
        <f ca="1">IFERROR(IF(VLOOKUP(C2150,' Disaggregation - Section E '!A$618:T1354,20,0)=0,"",VLOOKUP(C2150,' Disaggregation - Section E '!A$618:T1354,20,0)),"")</f>
        <v/>
      </c>
      <c r="N2150" s="171" t="str">
        <f ca="1">IFERROR(IF(VLOOKUP(C2150,' Disaggregation - Section E '!A$618:N1354,14,0)=0,"",VLOOKUP(C2150,' Disaggregation - Section E '!A$618:N1354,14,0)),"")</f>
        <v/>
      </c>
      <c r="O2150" s="171" t="str">
        <f ca="1">IFERROR(IF(VLOOKUP(C2150,' Disaggregation - Section E '!A$618:N1354,9,0)=0,"",VLOOKUP(C2150,' Disaggregation - Section E '!A$618:N1354,9,0)),"")</f>
        <v/>
      </c>
      <c r="P2150" s="171" t="str">
        <f ca="1">IFERROR(IF(VLOOKUP(C2150,' Disaggregation - Section E '!A$618:N1354,10,0)=0,"",VLOOKUP(C2150,' Disaggregation - Section E '!A$618:N1354,10,0)),"")</f>
        <v/>
      </c>
    </row>
    <row r="2151" spans="1:16">
      <c r="A2151" s="166" t="b">
        <f t="shared" ca="1" si="146"/>
        <v>0</v>
      </c>
      <c r="B2151" s="166"/>
      <c r="C2151" s="172" t="str">
        <f ca="1">IF(COUNTA(D$1418:D2151)=1,"",OFFSET(B2149,-COUNTA(D$1418:D2151)+3,1))</f>
        <v>a163p000004VjmoAAC</v>
      </c>
      <c r="D2151" s="177"/>
      <c r="E2151" s="168" t="str">
        <f ca="1">IFERROR(IF(VLOOKUP(C2151,' Disaggregation - Section E '!A$618:N1355,7,0)="","",VLOOKUP(C2151,' Disaggregation - Section E '!A$618:N1355,7,0)*100),"")</f>
        <v/>
      </c>
      <c r="F2151" s="171" t="str">
        <f ca="1">IFERROR(VLOOKUP(C2151,' Disaggregation - Section E '!A$618:N1355,5,0),"")</f>
        <v/>
      </c>
      <c r="G2151" s="170" t="str">
        <f ca="1">IFERROR(IF(VLOOKUP(C2151,' Disaggregation - Section E '!A$618:N1355,6,0)="","",VLOOKUP(C2151,' Disaggregation - Section E '!A$618:N1355,6,0)),"")</f>
        <v/>
      </c>
      <c r="H2151" s="177" t="str">
        <f ca="1">IFERROR(IF(INDEX(' Disaggregation - Section E '!F$618:F2552,MATCH(C2151,' Disaggregation - Section E '!A$618:A2552,0)+1,1)&lt;&gt;0,INDEX(' Disaggregation - Section E '!F$618:F$1820,MATCH(C2151,' Disaggregation - Section E '!A$618:A2552,0)+1,1),""),"")</f>
        <v/>
      </c>
      <c r="I2151" s="171" t="str">
        <f ca="1">IFERROR(IF(VLOOKUP(C2151,' Disaggregation - Section E '!A$618:N1355,8,0)=0,"",VLOOKUP(C2151,' Disaggregation - Section E '!A$618:N1355,8,0)),"")</f>
        <v/>
      </c>
      <c r="J2151" s="171" t="str">
        <f ca="1">IFERROR(IF(VLOOKUP(C2151,' Disaggregation - Section E '!A$618:N2552,13,0)=0,"",VLOOKUP(C2151,' Disaggregation - Section E '!A$618:N2552,13,0)),"")</f>
        <v/>
      </c>
      <c r="K2151" s="166" t="str">
        <f ca="1">IFERROR(VLOOKUP(C2151,' Disaggregation - Section E '!A$618:N1355,3,0),"")</f>
        <v>HTS-3c⁽ᴹ⁾ Porcentaje de trabajadores sexuales a los que se les ha realizado una prueba de VIH durante el período de reporte y que conocen sus resultados</v>
      </c>
      <c r="L2151" s="166"/>
      <c r="M2151" s="166" t="str">
        <f ca="1">IFERROR(IF(VLOOKUP(C2151,' Disaggregation - Section E '!A$618:T1355,20,0)=0,"",VLOOKUP(C2151,' Disaggregation - Section E '!A$618:T1355,20,0)),"")</f>
        <v/>
      </c>
      <c r="N2151" s="171" t="str">
        <f ca="1">IFERROR(IF(VLOOKUP(C2151,' Disaggregation - Section E '!A$618:N1355,14,0)=0,"",VLOOKUP(C2151,' Disaggregation - Section E '!A$618:N1355,14,0)),"")</f>
        <v/>
      </c>
      <c r="O2151" s="171" t="str">
        <f ca="1">IFERROR(IF(VLOOKUP(C2151,' Disaggregation - Section E '!A$618:N1355,9,0)=0,"",VLOOKUP(C2151,' Disaggregation - Section E '!A$618:N1355,9,0)),"")</f>
        <v/>
      </c>
      <c r="P2151" s="171" t="str">
        <f ca="1">IFERROR(IF(VLOOKUP(C2151,' Disaggregation - Section E '!A$618:N1355,10,0)=0,"",VLOOKUP(C2151,' Disaggregation - Section E '!A$618:N1355,10,0)),"")</f>
        <v/>
      </c>
    </row>
    <row r="2152" spans="1:16">
      <c r="A2152" s="166" t="b">
        <f t="shared" ca="1" si="146"/>
        <v>0</v>
      </c>
      <c r="B2152" s="166"/>
      <c r="C2152" s="172" t="str">
        <f ca="1">IF(COUNTA(D$1418:D2152)=1,"",OFFSET(B2150,-COUNTA(D$1418:D2152)+3,1))</f>
        <v>a163p000004VjmpAAC</v>
      </c>
      <c r="D2152" s="177"/>
      <c r="E2152" s="168" t="str">
        <f ca="1">IFERROR(IF(VLOOKUP(C2152,' Disaggregation - Section E '!A$618:N1356,7,0)="","",VLOOKUP(C2152,' Disaggregation - Section E '!A$618:N1356,7,0)*100),"")</f>
        <v/>
      </c>
      <c r="F2152" s="171" t="str">
        <f ca="1">IFERROR(VLOOKUP(C2152,' Disaggregation - Section E '!A$618:N1356,5,0),"")</f>
        <v/>
      </c>
      <c r="G2152" s="170" t="str">
        <f ca="1">IFERROR(IF(VLOOKUP(C2152,' Disaggregation - Section E '!A$618:N1356,6,0)="","",VLOOKUP(C2152,' Disaggregation - Section E '!A$618:N1356,6,0)),"")</f>
        <v/>
      </c>
      <c r="H2152" s="177" t="str">
        <f ca="1">IFERROR(IF(INDEX(' Disaggregation - Section E '!F$618:F2553,MATCH(C2152,' Disaggregation - Section E '!A$618:A2553,0)+1,1)&lt;&gt;0,INDEX(' Disaggregation - Section E '!F$618:F$1820,MATCH(C2152,' Disaggregation - Section E '!A$618:A2553,0)+1,1),""),"")</f>
        <v/>
      </c>
      <c r="I2152" s="171" t="str">
        <f ca="1">IFERROR(IF(VLOOKUP(C2152,' Disaggregation - Section E '!A$618:N1356,8,0)=0,"",VLOOKUP(C2152,' Disaggregation - Section E '!A$618:N1356,8,0)),"")</f>
        <v/>
      </c>
      <c r="J2152" s="171" t="str">
        <f ca="1">IFERROR(IF(VLOOKUP(C2152,' Disaggregation - Section E '!A$618:N2553,13,0)=0,"",VLOOKUP(C2152,' Disaggregation - Section E '!A$618:N2553,13,0)),"")</f>
        <v/>
      </c>
      <c r="K2152" s="166" t="str">
        <f ca="1">IFERROR(VLOOKUP(C2152,' Disaggregation - Section E '!A$618:N1356,3,0),"")</f>
        <v>HTS-3c⁽ᴹ⁾ Porcentaje de trabajadores sexuales a los que se les ha realizado una prueba de VIH durante el período de reporte y que conocen sus resultados</v>
      </c>
      <c r="L2152" s="166"/>
      <c r="M2152" s="166" t="str">
        <f ca="1">IFERROR(IF(VLOOKUP(C2152,' Disaggregation - Section E '!A$618:T1356,20,0)=0,"",VLOOKUP(C2152,' Disaggregation - Section E '!A$618:T1356,20,0)),"")</f>
        <v/>
      </c>
      <c r="N2152" s="171" t="str">
        <f ca="1">IFERROR(IF(VLOOKUP(C2152,' Disaggregation - Section E '!A$618:N1356,14,0)=0,"",VLOOKUP(C2152,' Disaggregation - Section E '!A$618:N1356,14,0)),"")</f>
        <v/>
      </c>
      <c r="O2152" s="171" t="str">
        <f ca="1">IFERROR(IF(VLOOKUP(C2152,' Disaggregation - Section E '!A$618:N1356,9,0)=0,"",VLOOKUP(C2152,' Disaggregation - Section E '!A$618:N1356,9,0)),"")</f>
        <v/>
      </c>
      <c r="P2152" s="171" t="str">
        <f ca="1">IFERROR(IF(VLOOKUP(C2152,' Disaggregation - Section E '!A$618:N1356,10,0)=0,"",VLOOKUP(C2152,' Disaggregation - Section E '!A$618:N1356,10,0)),"")</f>
        <v/>
      </c>
    </row>
    <row r="2153" spans="1:16">
      <c r="A2153" s="166" t="b">
        <f t="shared" ca="1" si="146"/>
        <v>0</v>
      </c>
      <c r="B2153" s="166"/>
      <c r="C2153" s="172" t="str">
        <f ca="1">IF(COUNTA(D$1418:D2153)=1,"",OFFSET(B2151,-COUNTA(D$1418:D2153)+3,1))</f>
        <v>a163p000004VjmqAAC</v>
      </c>
      <c r="D2153" s="177"/>
      <c r="E2153" s="168" t="str">
        <f ca="1">IFERROR(IF(VLOOKUP(C2153,' Disaggregation - Section E '!A$618:N1357,7,0)="","",VLOOKUP(C2153,' Disaggregation - Section E '!A$618:N1357,7,0)*100),"")</f>
        <v/>
      </c>
      <c r="F2153" s="171" t="str">
        <f ca="1">IFERROR(VLOOKUP(C2153,' Disaggregation - Section E '!A$618:N1357,5,0),"")</f>
        <v/>
      </c>
      <c r="G2153" s="170" t="str">
        <f ca="1">IFERROR(IF(VLOOKUP(C2153,' Disaggregation - Section E '!A$618:N1357,6,0)="","",VLOOKUP(C2153,' Disaggregation - Section E '!A$618:N1357,6,0)),"")</f>
        <v/>
      </c>
      <c r="H2153" s="177" t="str">
        <f ca="1">IFERROR(IF(INDEX(' Disaggregation - Section E '!F$618:F2554,MATCH(C2153,' Disaggregation - Section E '!A$618:A2554,0)+1,1)&lt;&gt;0,INDEX(' Disaggregation - Section E '!F$618:F$1820,MATCH(C2153,' Disaggregation - Section E '!A$618:A2554,0)+1,1),""),"")</f>
        <v/>
      </c>
      <c r="I2153" s="171" t="str">
        <f ca="1">IFERROR(IF(VLOOKUP(C2153,' Disaggregation - Section E '!A$618:N1357,8,0)=0,"",VLOOKUP(C2153,' Disaggregation - Section E '!A$618:N1357,8,0)),"")</f>
        <v/>
      </c>
      <c r="J2153" s="171" t="str">
        <f ca="1">IFERROR(IF(VLOOKUP(C2153,' Disaggregation - Section E '!A$618:N2554,13,0)=0,"",VLOOKUP(C2153,' Disaggregation - Section E '!A$618:N2554,13,0)),"")</f>
        <v/>
      </c>
      <c r="K2153" s="166" t="str">
        <f ca="1">IFERROR(VLOOKUP(C2153,' Disaggregation - Section E '!A$618:N1357,3,0),"")</f>
        <v>HTS-3c⁽ᴹ⁾ Porcentaje de trabajadores sexuales a los que se les ha realizado una prueba de VIH durante el período de reporte y que conocen sus resultados</v>
      </c>
      <c r="L2153" s="166"/>
      <c r="M2153" s="166" t="str">
        <f ca="1">IFERROR(IF(VLOOKUP(C2153,' Disaggregation - Section E '!A$618:T1357,20,0)=0,"",VLOOKUP(C2153,' Disaggregation - Section E '!A$618:T1357,20,0)),"")</f>
        <v/>
      </c>
      <c r="N2153" s="171" t="str">
        <f ca="1">IFERROR(IF(VLOOKUP(C2153,' Disaggregation - Section E '!A$618:N1357,14,0)=0,"",VLOOKUP(C2153,' Disaggregation - Section E '!A$618:N1357,14,0)),"")</f>
        <v/>
      </c>
      <c r="O2153" s="171" t="str">
        <f ca="1">IFERROR(IF(VLOOKUP(C2153,' Disaggregation - Section E '!A$618:N1357,9,0)=0,"",VLOOKUP(C2153,' Disaggregation - Section E '!A$618:N1357,9,0)),"")</f>
        <v/>
      </c>
      <c r="P2153" s="171" t="str">
        <f ca="1">IFERROR(IF(VLOOKUP(C2153,' Disaggregation - Section E '!A$618:N1357,10,0)=0,"",VLOOKUP(C2153,' Disaggregation - Section E '!A$618:N1357,10,0)),"")</f>
        <v/>
      </c>
    </row>
    <row r="2154" spans="1:16">
      <c r="A2154" s="166" t="b">
        <f t="shared" ca="1" si="146"/>
        <v>0</v>
      </c>
      <c r="B2154" s="166"/>
      <c r="C2154" s="172" t="str">
        <f ca="1">IF(COUNTA(D$1418:D2154)=1,"",OFFSET(B2152,-COUNTA(D$1418:D2154)+3,1))</f>
        <v>a163p000004VjmrAAC</v>
      </c>
      <c r="D2154" s="177"/>
      <c r="E2154" s="168" t="str">
        <f ca="1">IFERROR(IF(VLOOKUP(C2154,' Disaggregation - Section E '!A$618:N1358,7,0)="","",VLOOKUP(C2154,' Disaggregation - Section E '!A$618:N1358,7,0)*100),"")</f>
        <v/>
      </c>
      <c r="F2154" s="171" t="str">
        <f ca="1">IFERROR(VLOOKUP(C2154,' Disaggregation - Section E '!A$618:N1358,5,0),"")</f>
        <v/>
      </c>
      <c r="G2154" s="170" t="str">
        <f ca="1">IFERROR(IF(VLOOKUP(C2154,' Disaggregation - Section E '!A$618:N1358,6,0)="","",VLOOKUP(C2154,' Disaggregation - Section E '!A$618:N1358,6,0)),"")</f>
        <v/>
      </c>
      <c r="H2154" s="177" t="str">
        <f ca="1">IFERROR(IF(INDEX(' Disaggregation - Section E '!F$618:F2555,MATCH(C2154,' Disaggregation - Section E '!A$618:A2555,0)+1,1)&lt;&gt;0,INDEX(' Disaggregation - Section E '!F$618:F$1820,MATCH(C2154,' Disaggregation - Section E '!A$618:A2555,0)+1,1),""),"")</f>
        <v/>
      </c>
      <c r="I2154" s="171" t="str">
        <f ca="1">IFERROR(IF(VLOOKUP(C2154,' Disaggregation - Section E '!A$618:N1358,8,0)=0,"",VLOOKUP(C2154,' Disaggregation - Section E '!A$618:N1358,8,0)),"")</f>
        <v/>
      </c>
      <c r="J2154" s="171" t="str">
        <f ca="1">IFERROR(IF(VLOOKUP(C2154,' Disaggregation - Section E '!A$618:N2555,13,0)=0,"",VLOOKUP(C2154,' Disaggregation - Section E '!A$618:N2555,13,0)),"")</f>
        <v/>
      </c>
      <c r="K2154" s="166" t="str">
        <f ca="1">IFERROR(VLOOKUP(C2154,' Disaggregation - Section E '!A$618:N1358,3,0),"")</f>
        <v>HTS-3c⁽ᴹ⁾ Porcentaje de trabajadores sexuales a los que se les ha realizado una prueba de VIH durante el período de reporte y que conocen sus resultados</v>
      </c>
      <c r="L2154" s="166"/>
      <c r="M2154" s="166" t="str">
        <f ca="1">IFERROR(IF(VLOOKUP(C2154,' Disaggregation - Section E '!A$618:T1358,20,0)=0,"",VLOOKUP(C2154,' Disaggregation - Section E '!A$618:T1358,20,0)),"")</f>
        <v/>
      </c>
      <c r="N2154" s="171" t="str">
        <f ca="1">IFERROR(IF(VLOOKUP(C2154,' Disaggregation - Section E '!A$618:N1358,14,0)=0,"",VLOOKUP(C2154,' Disaggregation - Section E '!A$618:N1358,14,0)),"")</f>
        <v/>
      </c>
      <c r="O2154" s="171" t="str">
        <f ca="1">IFERROR(IF(VLOOKUP(C2154,' Disaggregation - Section E '!A$618:N1358,9,0)=0,"",VLOOKUP(C2154,' Disaggregation - Section E '!A$618:N1358,9,0)),"")</f>
        <v/>
      </c>
      <c r="P2154" s="171" t="str">
        <f ca="1">IFERROR(IF(VLOOKUP(C2154,' Disaggregation - Section E '!A$618:N1358,10,0)=0,"",VLOOKUP(C2154,' Disaggregation - Section E '!A$618:N1358,10,0)),"")</f>
        <v/>
      </c>
    </row>
    <row r="2155" spans="1:16">
      <c r="A2155" s="166" t="b">
        <f t="shared" ca="1" si="146"/>
        <v>0</v>
      </c>
      <c r="B2155" s="166"/>
      <c r="C2155" s="172" t="str">
        <f ca="1">IF(COUNTA(D$1418:D2155)=1,"",OFFSET(B2153,-COUNTA(D$1418:D2155)+3,1))</f>
        <v>a163p000004VjmsAAC</v>
      </c>
      <c r="D2155" s="177"/>
      <c r="E2155" s="168" t="str">
        <f ca="1">IFERROR(IF(VLOOKUP(C2155,' Disaggregation - Section E '!A$618:N1359,7,0)="","",VLOOKUP(C2155,' Disaggregation - Section E '!A$618:N1359,7,0)*100),"")</f>
        <v/>
      </c>
      <c r="F2155" s="171" t="str">
        <f ca="1">IFERROR(VLOOKUP(C2155,' Disaggregation - Section E '!A$618:N1359,5,0),"")</f>
        <v/>
      </c>
      <c r="G2155" s="170" t="str">
        <f ca="1">IFERROR(IF(VLOOKUP(C2155,' Disaggregation - Section E '!A$618:N1359,6,0)="","",VLOOKUP(C2155,' Disaggregation - Section E '!A$618:N1359,6,0)),"")</f>
        <v/>
      </c>
      <c r="H2155" s="177" t="str">
        <f ca="1">IFERROR(IF(INDEX(' Disaggregation - Section E '!F$618:F2556,MATCH(C2155,' Disaggregation - Section E '!A$618:A2556,0)+1,1)&lt;&gt;0,INDEX(' Disaggregation - Section E '!F$618:F$1820,MATCH(C2155,' Disaggregation - Section E '!A$618:A2556,0)+1,1),""),"")</f>
        <v/>
      </c>
      <c r="I2155" s="171" t="str">
        <f ca="1">IFERROR(IF(VLOOKUP(C2155,' Disaggregation - Section E '!A$618:N1359,8,0)=0,"",VLOOKUP(C2155,' Disaggregation - Section E '!A$618:N1359,8,0)),"")</f>
        <v/>
      </c>
      <c r="J2155" s="171" t="str">
        <f ca="1">IFERROR(IF(VLOOKUP(C2155,' Disaggregation - Section E '!A$618:N2556,13,0)=0,"",VLOOKUP(C2155,' Disaggregation - Section E '!A$618:N2556,13,0)),"")</f>
        <v/>
      </c>
      <c r="K2155" s="166" t="str">
        <f ca="1">IFERROR(VLOOKUP(C2155,' Disaggregation - Section E '!A$618:N1359,3,0),"")</f>
        <v>HTS-3c⁽ᴹ⁾ Porcentaje de trabajadores sexuales a los que se les ha realizado una prueba de VIH durante el período de reporte y que conocen sus resultados</v>
      </c>
      <c r="L2155" s="166"/>
      <c r="M2155" s="166" t="str">
        <f ca="1">IFERROR(IF(VLOOKUP(C2155,' Disaggregation - Section E '!A$618:T1359,20,0)=0,"",VLOOKUP(C2155,' Disaggregation - Section E '!A$618:T1359,20,0)),"")</f>
        <v/>
      </c>
      <c r="N2155" s="171" t="str">
        <f ca="1">IFERROR(IF(VLOOKUP(C2155,' Disaggregation - Section E '!A$618:N1359,14,0)=0,"",VLOOKUP(C2155,' Disaggregation - Section E '!A$618:N1359,14,0)),"")</f>
        <v/>
      </c>
      <c r="O2155" s="171" t="str">
        <f ca="1">IFERROR(IF(VLOOKUP(C2155,' Disaggregation - Section E '!A$618:N1359,9,0)=0,"",VLOOKUP(C2155,' Disaggregation - Section E '!A$618:N1359,9,0)),"")</f>
        <v/>
      </c>
      <c r="P2155" s="171" t="str">
        <f ca="1">IFERROR(IF(VLOOKUP(C2155,' Disaggregation - Section E '!A$618:N1359,10,0)=0,"",VLOOKUP(C2155,' Disaggregation - Section E '!A$618:N1359,10,0)),"")</f>
        <v/>
      </c>
    </row>
    <row r="2156" spans="1:16">
      <c r="A2156" s="166" t="b">
        <f t="shared" ca="1" si="146"/>
        <v>0</v>
      </c>
      <c r="B2156" s="166"/>
      <c r="C2156" s="172" t="str">
        <f ca="1">IF(COUNTA(D$1418:D2156)=1,"",OFFSET(B2154,-COUNTA(D$1418:D2156)+3,1))</f>
        <v>a163p000004VjmtAAC</v>
      </c>
      <c r="D2156" s="177"/>
      <c r="E2156" s="168" t="str">
        <f ca="1">IFERROR(IF(VLOOKUP(C2156,' Disaggregation - Section E '!A$618:N1360,7,0)="","",VLOOKUP(C2156,' Disaggregation - Section E '!A$618:N1360,7,0)*100),"")</f>
        <v/>
      </c>
      <c r="F2156" s="171" t="str">
        <f ca="1">IFERROR(VLOOKUP(C2156,' Disaggregation - Section E '!A$618:N1360,5,0),"")</f>
        <v/>
      </c>
      <c r="G2156" s="170" t="str">
        <f ca="1">IFERROR(IF(VLOOKUP(C2156,' Disaggregation - Section E '!A$618:N1360,6,0)="","",VLOOKUP(C2156,' Disaggregation - Section E '!A$618:N1360,6,0)),"")</f>
        <v/>
      </c>
      <c r="H2156" s="177" t="str">
        <f ca="1">IFERROR(IF(INDEX(' Disaggregation - Section E '!F$618:F2557,MATCH(C2156,' Disaggregation - Section E '!A$618:A2557,0)+1,1)&lt;&gt;0,INDEX(' Disaggregation - Section E '!F$618:F$1820,MATCH(C2156,' Disaggregation - Section E '!A$618:A2557,0)+1,1),""),"")</f>
        <v/>
      </c>
      <c r="I2156" s="171" t="str">
        <f ca="1">IFERROR(IF(VLOOKUP(C2156,' Disaggregation - Section E '!A$618:N1360,8,0)=0,"",VLOOKUP(C2156,' Disaggregation - Section E '!A$618:N1360,8,0)),"")</f>
        <v/>
      </c>
      <c r="J2156" s="171" t="str">
        <f ca="1">IFERROR(IF(VLOOKUP(C2156,' Disaggregation - Section E '!A$618:N2557,13,0)=0,"",VLOOKUP(C2156,' Disaggregation - Section E '!A$618:N2557,13,0)),"")</f>
        <v/>
      </c>
      <c r="K2156" s="166" t="str">
        <f ca="1">IFERROR(VLOOKUP(C2156,' Disaggregation - Section E '!A$618:N1360,3,0),"")</f>
        <v>HTS-3c⁽ᴹ⁾ Porcentaje de trabajadores sexuales a los que se les ha realizado una prueba de VIH durante el período de reporte y que conocen sus resultados</v>
      </c>
      <c r="L2156" s="166"/>
      <c r="M2156" s="166" t="str">
        <f ca="1">IFERROR(IF(VLOOKUP(C2156,' Disaggregation - Section E '!A$618:T1360,20,0)=0,"",VLOOKUP(C2156,' Disaggregation - Section E '!A$618:T1360,20,0)),"")</f>
        <v/>
      </c>
      <c r="N2156" s="171" t="str">
        <f ca="1">IFERROR(IF(VLOOKUP(C2156,' Disaggregation - Section E '!A$618:N1360,14,0)=0,"",VLOOKUP(C2156,' Disaggregation - Section E '!A$618:N1360,14,0)),"")</f>
        <v/>
      </c>
      <c r="O2156" s="171" t="str">
        <f ca="1">IFERROR(IF(VLOOKUP(C2156,' Disaggregation - Section E '!A$618:N1360,9,0)=0,"",VLOOKUP(C2156,' Disaggregation - Section E '!A$618:N1360,9,0)),"")</f>
        <v/>
      </c>
      <c r="P2156" s="171" t="str">
        <f ca="1">IFERROR(IF(VLOOKUP(C2156,' Disaggregation - Section E '!A$618:N1360,10,0)=0,"",VLOOKUP(C2156,' Disaggregation - Section E '!A$618:N1360,10,0)),"")</f>
        <v/>
      </c>
    </row>
    <row r="2157" spans="1:16">
      <c r="A2157" s="166" t="b">
        <f t="shared" ca="1" si="146"/>
        <v>0</v>
      </c>
      <c r="B2157" s="166"/>
      <c r="C2157" s="172" t="str">
        <f ca="1">IF(COUNTA(D$1418:D2157)=1,"",OFFSET(B2155,-COUNTA(D$1418:D2157)+3,1))</f>
        <v>a163p000004VjmuAAC</v>
      </c>
      <c r="D2157" s="177"/>
      <c r="E2157" s="168" t="str">
        <f ca="1">IFERROR(IF(VLOOKUP(C2157,' Disaggregation - Section E '!A$618:N1361,7,0)="","",VLOOKUP(C2157,' Disaggregation - Section E '!A$618:N1361,7,0)*100),"")</f>
        <v/>
      </c>
      <c r="F2157" s="171" t="str">
        <f ca="1">IFERROR(VLOOKUP(C2157,' Disaggregation - Section E '!A$618:N1361,5,0),"")</f>
        <v/>
      </c>
      <c r="G2157" s="170" t="str">
        <f ca="1">IFERROR(IF(VLOOKUP(C2157,' Disaggregation - Section E '!A$618:N1361,6,0)="","",VLOOKUP(C2157,' Disaggregation - Section E '!A$618:N1361,6,0)),"")</f>
        <v/>
      </c>
      <c r="H2157" s="177" t="str">
        <f ca="1">IFERROR(IF(INDEX(' Disaggregation - Section E '!F$618:F2558,MATCH(C2157,' Disaggregation - Section E '!A$618:A2558,0)+1,1)&lt;&gt;0,INDEX(' Disaggregation - Section E '!F$618:F$1820,MATCH(C2157,' Disaggregation - Section E '!A$618:A2558,0)+1,1),""),"")</f>
        <v/>
      </c>
      <c r="I2157" s="171" t="str">
        <f ca="1">IFERROR(IF(VLOOKUP(C2157,' Disaggregation - Section E '!A$618:N1361,8,0)=0,"",VLOOKUP(C2157,' Disaggregation - Section E '!A$618:N1361,8,0)),"")</f>
        <v/>
      </c>
      <c r="J2157" s="171" t="str">
        <f ca="1">IFERROR(IF(VLOOKUP(C2157,' Disaggregation - Section E '!A$618:N2558,13,0)=0,"",VLOOKUP(C2157,' Disaggregation - Section E '!A$618:N2558,13,0)),"")</f>
        <v/>
      </c>
      <c r="K2157" s="166" t="str">
        <f ca="1">IFERROR(VLOOKUP(C2157,' Disaggregation - Section E '!A$618:N1361,3,0),"")</f>
        <v>HTS-3c⁽ᴹ⁾ Porcentaje de trabajadores sexuales a los que se les ha realizado una prueba de VIH durante el período de reporte y que conocen sus resultados</v>
      </c>
      <c r="L2157" s="166"/>
      <c r="M2157" s="166" t="str">
        <f ca="1">IFERROR(IF(VLOOKUP(C2157,' Disaggregation - Section E '!A$618:T1361,20,0)=0,"",VLOOKUP(C2157,' Disaggregation - Section E '!A$618:T1361,20,0)),"")</f>
        <v/>
      </c>
      <c r="N2157" s="171" t="str">
        <f ca="1">IFERROR(IF(VLOOKUP(C2157,' Disaggregation - Section E '!A$618:N1361,14,0)=0,"",VLOOKUP(C2157,' Disaggregation - Section E '!A$618:N1361,14,0)),"")</f>
        <v/>
      </c>
      <c r="O2157" s="171" t="str">
        <f ca="1">IFERROR(IF(VLOOKUP(C2157,' Disaggregation - Section E '!A$618:N1361,9,0)=0,"",VLOOKUP(C2157,' Disaggregation - Section E '!A$618:N1361,9,0)),"")</f>
        <v/>
      </c>
      <c r="P2157" s="171" t="str">
        <f ca="1">IFERROR(IF(VLOOKUP(C2157,' Disaggregation - Section E '!A$618:N1361,10,0)=0,"",VLOOKUP(C2157,' Disaggregation - Section E '!A$618:N1361,10,0)),"")</f>
        <v/>
      </c>
    </row>
    <row r="2158" spans="1:16">
      <c r="A2158" s="166" t="b">
        <f t="shared" ca="1" si="146"/>
        <v>0</v>
      </c>
      <c r="B2158" s="166"/>
      <c r="C2158" s="172" t="str">
        <f ca="1">IF(COUNTA(D$1418:D2158)=1,"",OFFSET(B2156,-COUNTA(D$1418:D2158)+3,1))</f>
        <v>a163p000004VjmvAAC</v>
      </c>
      <c r="D2158" s="177"/>
      <c r="E2158" s="168" t="str">
        <f ca="1">IFERROR(IF(VLOOKUP(C2158,' Disaggregation - Section E '!A$618:N1362,7,0)="","",VLOOKUP(C2158,' Disaggregation - Section E '!A$618:N1362,7,0)*100),"")</f>
        <v/>
      </c>
      <c r="F2158" s="171" t="str">
        <f ca="1">IFERROR(VLOOKUP(C2158,' Disaggregation - Section E '!A$618:N1362,5,0),"")</f>
        <v/>
      </c>
      <c r="G2158" s="170" t="str">
        <f ca="1">IFERROR(IF(VLOOKUP(C2158,' Disaggregation - Section E '!A$618:N1362,6,0)="","",VLOOKUP(C2158,' Disaggregation - Section E '!A$618:N1362,6,0)),"")</f>
        <v/>
      </c>
      <c r="H2158" s="177" t="str">
        <f ca="1">IFERROR(IF(INDEX(' Disaggregation - Section E '!F$618:F2559,MATCH(C2158,' Disaggregation - Section E '!A$618:A2559,0)+1,1)&lt;&gt;0,INDEX(' Disaggregation - Section E '!F$618:F$1820,MATCH(C2158,' Disaggregation - Section E '!A$618:A2559,0)+1,1),""),"")</f>
        <v/>
      </c>
      <c r="I2158" s="171" t="str">
        <f ca="1">IFERROR(IF(VLOOKUP(C2158,' Disaggregation - Section E '!A$618:N1362,8,0)=0,"",VLOOKUP(C2158,' Disaggregation - Section E '!A$618:N1362,8,0)),"")</f>
        <v/>
      </c>
      <c r="J2158" s="171" t="str">
        <f ca="1">IFERROR(IF(VLOOKUP(C2158,' Disaggregation - Section E '!A$618:N2559,13,0)=0,"",VLOOKUP(C2158,' Disaggregation - Section E '!A$618:N2559,13,0)),"")</f>
        <v/>
      </c>
      <c r="K2158" s="166" t="str">
        <f ca="1">IFERROR(VLOOKUP(C2158,' Disaggregation - Section E '!A$618:N1362,3,0),"")</f>
        <v>HTS-3c⁽ᴹ⁾ Porcentaje de trabajadores sexuales a los que se les ha realizado una prueba de VIH durante el período de reporte y que conocen sus resultados</v>
      </c>
      <c r="L2158" s="166"/>
      <c r="M2158" s="166" t="str">
        <f ca="1">IFERROR(IF(VLOOKUP(C2158,' Disaggregation - Section E '!A$618:T1362,20,0)=0,"",VLOOKUP(C2158,' Disaggregation - Section E '!A$618:T1362,20,0)),"")</f>
        <v/>
      </c>
      <c r="N2158" s="171" t="str">
        <f ca="1">IFERROR(IF(VLOOKUP(C2158,' Disaggregation - Section E '!A$618:N1362,14,0)=0,"",VLOOKUP(C2158,' Disaggregation - Section E '!A$618:N1362,14,0)),"")</f>
        <v/>
      </c>
      <c r="O2158" s="171" t="str">
        <f ca="1">IFERROR(IF(VLOOKUP(C2158,' Disaggregation - Section E '!A$618:N1362,9,0)=0,"",VLOOKUP(C2158,' Disaggregation - Section E '!A$618:N1362,9,0)),"")</f>
        <v/>
      </c>
      <c r="P2158" s="171" t="str">
        <f ca="1">IFERROR(IF(VLOOKUP(C2158,' Disaggregation - Section E '!A$618:N1362,10,0)=0,"",VLOOKUP(C2158,' Disaggregation - Section E '!A$618:N1362,10,0)),"")</f>
        <v/>
      </c>
    </row>
    <row r="2159" spans="1:16">
      <c r="A2159" s="166" t="b">
        <f t="shared" ca="1" si="146"/>
        <v>0</v>
      </c>
      <c r="B2159" s="166"/>
      <c r="C2159" s="172" t="str">
        <f ca="1">IF(COUNTA(D$1418:D2159)=1,"",OFFSET(B2157,-COUNTA(D$1418:D2159)+3,1))</f>
        <v>a163p000004VjmwAAC</v>
      </c>
      <c r="D2159" s="177"/>
      <c r="E2159" s="168" t="str">
        <f ca="1">IFERROR(IF(VLOOKUP(C2159,' Disaggregation - Section E '!A$618:N1363,7,0)="","",VLOOKUP(C2159,' Disaggregation - Section E '!A$618:N1363,7,0)*100),"")</f>
        <v/>
      </c>
      <c r="F2159" s="171" t="str">
        <f ca="1">IFERROR(VLOOKUP(C2159,' Disaggregation - Section E '!A$618:N1363,5,0),"")</f>
        <v/>
      </c>
      <c r="G2159" s="170" t="str">
        <f ca="1">IFERROR(IF(VLOOKUP(C2159,' Disaggregation - Section E '!A$618:N1363,6,0)="","",VLOOKUP(C2159,' Disaggregation - Section E '!A$618:N1363,6,0)),"")</f>
        <v/>
      </c>
      <c r="H2159" s="177" t="str">
        <f ca="1">IFERROR(IF(INDEX(' Disaggregation - Section E '!F$618:F2560,MATCH(C2159,' Disaggregation - Section E '!A$618:A2560,0)+1,1)&lt;&gt;0,INDEX(' Disaggregation - Section E '!F$618:F$1820,MATCH(C2159,' Disaggregation - Section E '!A$618:A2560,0)+1,1),""),"")</f>
        <v/>
      </c>
      <c r="I2159" s="171" t="str">
        <f ca="1">IFERROR(IF(VLOOKUP(C2159,' Disaggregation - Section E '!A$618:N1363,8,0)=0,"",VLOOKUP(C2159,' Disaggregation - Section E '!A$618:N1363,8,0)),"")</f>
        <v/>
      </c>
      <c r="J2159" s="171" t="str">
        <f ca="1">IFERROR(IF(VLOOKUP(C2159,' Disaggregation - Section E '!A$618:N2560,13,0)=0,"",VLOOKUP(C2159,' Disaggregation - Section E '!A$618:N2560,13,0)),"")</f>
        <v/>
      </c>
      <c r="K2159" s="166" t="str">
        <f ca="1">IFERROR(VLOOKUP(C2159,' Disaggregation - Section E '!A$618:N1363,3,0),"")</f>
        <v>HTS-3c⁽ᴹ⁾ Porcentaje de trabajadores sexuales a los que se les ha realizado una prueba de VIH durante el período de reporte y que conocen sus resultados</v>
      </c>
      <c r="L2159" s="166"/>
      <c r="M2159" s="166" t="str">
        <f ca="1">IFERROR(IF(VLOOKUP(C2159,' Disaggregation - Section E '!A$618:T1363,20,0)=0,"",VLOOKUP(C2159,' Disaggregation - Section E '!A$618:T1363,20,0)),"")</f>
        <v/>
      </c>
      <c r="N2159" s="171" t="str">
        <f ca="1">IFERROR(IF(VLOOKUP(C2159,' Disaggregation - Section E '!A$618:N1363,14,0)=0,"",VLOOKUP(C2159,' Disaggregation - Section E '!A$618:N1363,14,0)),"")</f>
        <v/>
      </c>
      <c r="O2159" s="171" t="str">
        <f ca="1">IFERROR(IF(VLOOKUP(C2159,' Disaggregation - Section E '!A$618:N1363,9,0)=0,"",VLOOKUP(C2159,' Disaggregation - Section E '!A$618:N1363,9,0)),"")</f>
        <v/>
      </c>
      <c r="P2159" s="171" t="str">
        <f ca="1">IFERROR(IF(VLOOKUP(C2159,' Disaggregation - Section E '!A$618:N1363,10,0)=0,"",VLOOKUP(C2159,' Disaggregation - Section E '!A$618:N1363,10,0)),"")</f>
        <v/>
      </c>
    </row>
    <row r="2160" spans="1:16">
      <c r="A2160" s="166" t="b">
        <f t="shared" ca="1" si="146"/>
        <v>1</v>
      </c>
      <c r="B2160" s="166"/>
      <c r="C2160" s="172" t="str">
        <f ca="1">IF(COUNTA(D$1418:D2160)=1,"",OFFSET(B2158,-COUNTA(D$1418:D2160)+3,1))</f>
        <v>a163p000004VjmxAAC</v>
      </c>
      <c r="D2160" s="177"/>
      <c r="E2160" s="168">
        <f ca="1">IFERROR(IF(VLOOKUP(C2160,' Disaggregation - Section E '!A$618:N1364,7,0)="","",VLOOKUP(C2160,' Disaggregation - Section E '!A$618:N1364,7,0)*100),"")</f>
        <v>50.133333333333333</v>
      </c>
      <c r="F2160" s="171" t="str">
        <f ca="1">IFERROR(VLOOKUP(C2160,' Disaggregation - Section E '!A$618:N1364,5,0),"")</f>
        <v>Confirmado bacteriológicamente</v>
      </c>
      <c r="G2160" s="170">
        <f ca="1">IFERROR(IF(VLOOKUP(C2160,' Disaggregation - Section E '!A$618:N1364,6,0)="","",VLOOKUP(C2160,' Disaggregation - Section E '!A$618:N1364,6,0)),"")</f>
        <v>6016</v>
      </c>
      <c r="H2160" s="177">
        <f ca="1">IFERROR(IF(INDEX(' Disaggregation - Section E '!F$618:F2561,MATCH(C2160,' Disaggregation - Section E '!A$618:A2561,0)+1,1)&lt;&gt;0,INDEX(' Disaggregation - Section E '!F$618:F$1820,MATCH(C2160,' Disaggregation - Section E '!A$618:A2561,0)+1,1),""),"")</f>
        <v>12000</v>
      </c>
      <c r="I2160" s="171">
        <f ca="1">IFERROR(IF(VLOOKUP(C2160,' Disaggregation - Section E '!A$618:N1364,8,0)=0,"",VLOOKUP(C2160,' Disaggregation - Section E '!A$618:N1364,8,0)),"")</f>
        <v>2020</v>
      </c>
      <c r="J2160" s="171" t="str">
        <f ca="1">IFERROR(IF(VLOOKUP(C2160,' Disaggregation - Section E '!A$618:N2561,13,0)=0,"",VLOOKUP(C2160,' Disaggregation - Section E '!A$618:N2561,13,0)),"")</f>
        <v/>
      </c>
      <c r="K2160" s="166" t="str">
        <f ca="1">IFERROR(VLOOKUP(C2160,' Disaggregation - Section E '!A$618:N1364,3,0),"")</f>
        <v>TCP-1⁽ᴹ⁾ Número de casos notificados de todas las formas de tuberculosis (esto es, confirmados bacteriológicamente y con diagnóstico clínico), casos nuevos y recaídas.</v>
      </c>
      <c r="L2160" s="166"/>
      <c r="M2160" s="166" t="str">
        <f ca="1">IFERROR(IF(VLOOKUP(C2160,' Disaggregation - Section E '!A$618:T1364,20,0)=0,"",VLOOKUP(C2160,' Disaggregation - Section E '!A$618:T1364,20,0)),"")</f>
        <v>IDR-00994</v>
      </c>
      <c r="N2160" s="171" t="str">
        <f ca="1">IFERROR(IF(VLOOKUP(C2160,' Disaggregation - Section E '!A$618:N1364,14,0)=0,"",VLOOKUP(C2160,' Disaggregation - Section E '!A$618:N1364,14,0)),"")</f>
        <v/>
      </c>
      <c r="O2160" s="171" t="str">
        <f ca="1">IFERROR(IF(VLOOKUP(C2160,' Disaggregation - Section E '!A$618:N1364,9,0)=0,"",VLOOKUP(C2160,' Disaggregation - Section E '!A$618:N1364,9,0)),"")</f>
        <v/>
      </c>
      <c r="P2160" s="171" t="str">
        <f ca="1">IFERROR(IF(VLOOKUP(C2160,' Disaggregation - Section E '!A$618:N1364,10,0)=0,"",VLOOKUP(C2160,' Disaggregation - Section E '!A$618:N1364,10,0)),"")</f>
        <v/>
      </c>
    </row>
    <row r="2161" spans="1:16">
      <c r="A2161" s="166" t="b">
        <f t="shared" ca="1" si="146"/>
        <v>1</v>
      </c>
      <c r="B2161" s="166"/>
      <c r="C2161" s="172" t="str">
        <f ca="1">IF(COUNTA(D$1418:D2161)=1,"",OFFSET(B2159,-COUNTA(D$1418:D2161)+3,1))</f>
        <v>a163p000004VjmyAAC</v>
      </c>
      <c r="D2161" s="177"/>
      <c r="E2161" s="168">
        <f ca="1">IFERROR(IF(VLOOKUP(C2161,' Disaggregation - Section E '!A$618:N1365,7,0)="","",VLOOKUP(C2161,' Disaggregation - Section E '!A$618:N1365,7,0)*100),"")</f>
        <v>12.93218085106383</v>
      </c>
      <c r="F2161" s="171" t="str">
        <f ca="1">IFERROR(VLOOKUP(C2161,' Disaggregation - Section E '!A$618:N1365,5,0),"")</f>
        <v>No documentado</v>
      </c>
      <c r="G2161" s="170">
        <f ca="1">IFERROR(IF(VLOOKUP(C2161,' Disaggregation - Section E '!A$618:N1365,6,0)="","",VLOOKUP(C2161,' Disaggregation - Section E '!A$618:N1365,6,0)),"")</f>
        <v>778</v>
      </c>
      <c r="H2161" s="177">
        <f ca="1">IFERROR(IF(INDEX(' Disaggregation - Section E '!F$618:F2562,MATCH(C2161,' Disaggregation - Section E '!A$618:A2562,0)+1,1)&lt;&gt;0,INDEX(' Disaggregation - Section E '!F$618:F$1820,MATCH(C2161,' Disaggregation - Section E '!A$618:A2562,0)+1,1),""),"")</f>
        <v>6016</v>
      </c>
      <c r="I2161" s="171">
        <f ca="1">IFERROR(IF(VLOOKUP(C2161,' Disaggregation - Section E '!A$618:N1365,8,0)=0,"",VLOOKUP(C2161,' Disaggregation - Section E '!A$618:N1365,8,0)),"")</f>
        <v>2020</v>
      </c>
      <c r="J2161" s="171" t="str">
        <f ca="1">IFERROR(IF(VLOOKUP(C2161,' Disaggregation - Section E '!A$618:N2562,13,0)=0,"",VLOOKUP(C2161,' Disaggregation - Section E '!A$618:N2562,13,0)),"")</f>
        <v/>
      </c>
      <c r="K2161" s="166" t="str">
        <f ca="1">IFERROR(VLOOKUP(C2161,' Disaggregation - Section E '!A$618:N1365,3,0),"")</f>
        <v>TCP-1⁽ᴹ⁾ Número de casos notificados de todas las formas de tuberculosis (esto es, confirmados bacteriológicamente y con diagnóstico clínico), casos nuevos y recaídas.</v>
      </c>
      <c r="L2161" s="166"/>
      <c r="M2161" s="166" t="str">
        <f ca="1">IFERROR(IF(VLOOKUP(C2161,' Disaggregation - Section E '!A$618:T1365,20,0)=0,"",VLOOKUP(C2161,' Disaggregation - Section E '!A$618:T1365,20,0)),"")</f>
        <v>IDR-00933</v>
      </c>
      <c r="N2161" s="171" t="str">
        <f ca="1">IFERROR(IF(VLOOKUP(C2161,' Disaggregation - Section E '!A$618:N1365,14,0)=0,"",VLOOKUP(C2161,' Disaggregation - Section E '!A$618:N1365,14,0)),"")</f>
        <v/>
      </c>
      <c r="O2161" s="171" t="str">
        <f ca="1">IFERROR(IF(VLOOKUP(C2161,' Disaggregation - Section E '!A$618:N1365,9,0)=0,"",VLOOKUP(C2161,' Disaggregation - Section E '!A$618:N1365,9,0)),"")</f>
        <v/>
      </c>
      <c r="P2161" s="171" t="str">
        <f ca="1">IFERROR(IF(VLOOKUP(C2161,' Disaggregation - Section E '!A$618:N1365,10,0)=0,"",VLOOKUP(C2161,' Disaggregation - Section E '!A$618:N1365,10,0)),"")</f>
        <v/>
      </c>
    </row>
    <row r="2162" spans="1:16">
      <c r="A2162" s="166" t="b">
        <f t="shared" ca="1" si="146"/>
        <v>1</v>
      </c>
      <c r="B2162" s="166"/>
      <c r="C2162" s="172" t="str">
        <f ca="1">IF(COUNTA(D$1418:D2162)=1,"",OFFSET(B2160,-COUNTA(D$1418:D2162)+3,1))</f>
        <v>a163p000004VjmzAAC</v>
      </c>
      <c r="D2162" s="177"/>
      <c r="E2162" s="168">
        <f ca="1">IFERROR(IF(VLOOKUP(C2162,' Disaggregation - Section E '!A$618:N1366,7,0)="","",VLOOKUP(C2162,' Disaggregation - Section E '!A$618:N1366,7,0)*100),"")</f>
        <v>82.363696808510639</v>
      </c>
      <c r="F2162" s="171" t="str">
        <f ca="1">IFERROR(VLOOKUP(C2162,' Disaggregation - Section E '!A$618:N1366,5,0),"")</f>
        <v>Negativo</v>
      </c>
      <c r="G2162" s="170">
        <f ca="1">IFERROR(IF(VLOOKUP(C2162,' Disaggregation - Section E '!A$618:N1366,6,0)="","",VLOOKUP(C2162,' Disaggregation - Section E '!A$618:N1366,6,0)),"")</f>
        <v>4955</v>
      </c>
      <c r="H2162" s="177">
        <f ca="1">IFERROR(IF(INDEX(' Disaggregation - Section E '!F$618:F2563,MATCH(C2162,' Disaggregation - Section E '!A$618:A2563,0)+1,1)&lt;&gt;0,INDEX(' Disaggregation - Section E '!F$618:F$1820,MATCH(C2162,' Disaggregation - Section E '!A$618:A2563,0)+1,1),""),"")</f>
        <v>6016</v>
      </c>
      <c r="I2162" s="171">
        <f ca="1">IFERROR(IF(VLOOKUP(C2162,' Disaggregation - Section E '!A$618:N1366,8,0)=0,"",VLOOKUP(C2162,' Disaggregation - Section E '!A$618:N1366,8,0)),"")</f>
        <v>2020</v>
      </c>
      <c r="J2162" s="171" t="str">
        <f ca="1">IFERROR(IF(VLOOKUP(C2162,' Disaggregation - Section E '!A$618:N2563,13,0)=0,"",VLOOKUP(C2162,' Disaggregation - Section E '!A$618:N2563,13,0)),"")</f>
        <v/>
      </c>
      <c r="K2162" s="166" t="str">
        <f ca="1">IFERROR(VLOOKUP(C2162,' Disaggregation - Section E '!A$618:N1366,3,0),"")</f>
        <v>TCP-1⁽ᴹ⁾ Número de casos notificados de todas las formas de tuberculosis (esto es, confirmados bacteriológicamente y con diagnóstico clínico), casos nuevos y recaídas.</v>
      </c>
      <c r="L2162" s="166"/>
      <c r="M2162" s="166" t="str">
        <f ca="1">IFERROR(IF(VLOOKUP(C2162,' Disaggregation - Section E '!A$618:T1366,20,0)=0,"",VLOOKUP(C2162,' Disaggregation - Section E '!A$618:T1366,20,0)),"")</f>
        <v>IDR-00932</v>
      </c>
      <c r="N2162" s="171" t="str">
        <f ca="1">IFERROR(IF(VLOOKUP(C2162,' Disaggregation - Section E '!A$618:N1366,14,0)=0,"",VLOOKUP(C2162,' Disaggregation - Section E '!A$618:N1366,14,0)),"")</f>
        <v/>
      </c>
      <c r="O2162" s="171" t="str">
        <f ca="1">IFERROR(IF(VLOOKUP(C2162,' Disaggregation - Section E '!A$618:N1366,9,0)=0,"",VLOOKUP(C2162,' Disaggregation - Section E '!A$618:N1366,9,0)),"")</f>
        <v/>
      </c>
      <c r="P2162" s="171" t="str">
        <f ca="1">IFERROR(IF(VLOOKUP(C2162,' Disaggregation - Section E '!A$618:N1366,10,0)=0,"",VLOOKUP(C2162,' Disaggregation - Section E '!A$618:N1366,10,0)),"")</f>
        <v/>
      </c>
    </row>
    <row r="2163" spans="1:16">
      <c r="A2163" s="166" t="b">
        <f t="shared" ca="1" si="146"/>
        <v>1</v>
      </c>
      <c r="B2163" s="166"/>
      <c r="C2163" s="172" t="str">
        <f ca="1">IF(COUNTA(D$1418:D2163)=1,"",OFFSET(B2161,-COUNTA(D$1418:D2163)+3,1))</f>
        <v>a163p000004Vjn0AAC</v>
      </c>
      <c r="D2163" s="177"/>
      <c r="E2163" s="168">
        <f ca="1">IFERROR(IF(VLOOKUP(C2163,' Disaggregation - Section E '!A$618:N1367,7,0)="","",VLOOKUP(C2163,' Disaggregation - Section E '!A$618:N1367,7,0)*100),"")</f>
        <v>4.7041223404255312</v>
      </c>
      <c r="F2163" s="171" t="str">
        <f ca="1">IFERROR(VLOOKUP(C2163,' Disaggregation - Section E '!A$618:N1367,5,0),"")</f>
        <v>Positivo</v>
      </c>
      <c r="G2163" s="170">
        <f ca="1">IFERROR(IF(VLOOKUP(C2163,' Disaggregation - Section E '!A$618:N1367,6,0)="","",VLOOKUP(C2163,' Disaggregation - Section E '!A$618:N1367,6,0)),"")</f>
        <v>283</v>
      </c>
      <c r="H2163" s="177">
        <f ca="1">IFERROR(IF(INDEX(' Disaggregation - Section E '!F$618:F2564,MATCH(C2163,' Disaggregation - Section E '!A$618:A2564,0)+1,1)&lt;&gt;0,INDEX(' Disaggregation - Section E '!F$618:F$1820,MATCH(C2163,' Disaggregation - Section E '!A$618:A2564,0)+1,1),""),"")</f>
        <v>6016</v>
      </c>
      <c r="I2163" s="171">
        <f ca="1">IFERROR(IF(VLOOKUP(C2163,' Disaggregation - Section E '!A$618:N1367,8,0)=0,"",VLOOKUP(C2163,' Disaggregation - Section E '!A$618:N1367,8,0)),"")</f>
        <v>2020</v>
      </c>
      <c r="J2163" s="171" t="str">
        <f ca="1">IFERROR(IF(VLOOKUP(C2163,' Disaggregation - Section E '!A$618:N2564,13,0)=0,"",VLOOKUP(C2163,' Disaggregation - Section E '!A$618:N2564,13,0)),"")</f>
        <v/>
      </c>
      <c r="K2163" s="166" t="str">
        <f ca="1">IFERROR(VLOOKUP(C2163,' Disaggregation - Section E '!A$618:N1367,3,0),"")</f>
        <v>TCP-1⁽ᴹ⁾ Número de casos notificados de todas las formas de tuberculosis (esto es, confirmados bacteriológicamente y con diagnóstico clínico), casos nuevos y recaídas.</v>
      </c>
      <c r="L2163" s="166"/>
      <c r="M2163" s="166" t="str">
        <f ca="1">IFERROR(IF(VLOOKUP(C2163,' Disaggregation - Section E '!A$618:T1367,20,0)=0,"",VLOOKUP(C2163,' Disaggregation - Section E '!A$618:T1367,20,0)),"")</f>
        <v>IDR-00931</v>
      </c>
      <c r="N2163" s="171" t="str">
        <f ca="1">IFERROR(IF(VLOOKUP(C2163,' Disaggregation - Section E '!A$618:N1367,14,0)=0,"",VLOOKUP(C2163,' Disaggregation - Section E '!A$618:N1367,14,0)),"")</f>
        <v/>
      </c>
      <c r="O2163" s="171" t="str">
        <f ca="1">IFERROR(IF(VLOOKUP(C2163,' Disaggregation - Section E '!A$618:N1367,9,0)=0,"",VLOOKUP(C2163,' Disaggregation - Section E '!A$618:N1367,9,0)),"")</f>
        <v/>
      </c>
      <c r="P2163" s="171" t="str">
        <f ca="1">IFERROR(IF(VLOOKUP(C2163,' Disaggregation - Section E '!A$618:N1367,10,0)=0,"",VLOOKUP(C2163,' Disaggregation - Section E '!A$618:N1367,10,0)),"")</f>
        <v/>
      </c>
    </row>
    <row r="2164" spans="1:16">
      <c r="A2164" s="166" t="b">
        <f t="shared" ca="1" si="146"/>
        <v>1</v>
      </c>
      <c r="B2164" s="166"/>
      <c r="C2164" s="172" t="str">
        <f ca="1">IF(COUNTA(D$1418:D2164)=1,"",OFFSET(B2162,-COUNTA(D$1418:D2164)+3,1))</f>
        <v>a163p000004Vjn1AAC</v>
      </c>
      <c r="D2164" s="177"/>
      <c r="E2164" s="168">
        <f ca="1">IFERROR(IF(VLOOKUP(C2164,' Disaggregation - Section E '!A$618:N1368,7,0)="","",VLOOKUP(C2164,' Disaggregation - Section E '!A$618:N1368,7,0)*100),"")</f>
        <v>36.868351063829785</v>
      </c>
      <c r="F2164" s="171" t="str">
        <f ca="1">IFERROR(VLOOKUP(C2164,' Disaggregation - Section E '!A$618:N1368,5,0),"")</f>
        <v>Mujeres</v>
      </c>
      <c r="G2164" s="170">
        <f ca="1">IFERROR(IF(VLOOKUP(C2164,' Disaggregation - Section E '!A$618:N1368,6,0)="","",VLOOKUP(C2164,' Disaggregation - Section E '!A$618:N1368,6,0)),"")</f>
        <v>2218</v>
      </c>
      <c r="H2164" s="177">
        <f ca="1">IFERROR(IF(INDEX(' Disaggregation - Section E '!F$618:F2565,MATCH(C2164,' Disaggregation - Section E '!A$618:A2565,0)+1,1)&lt;&gt;0,INDEX(' Disaggregation - Section E '!F$618:F$1820,MATCH(C2164,' Disaggregation - Section E '!A$618:A2565,0)+1,1),""),"")</f>
        <v>6016</v>
      </c>
      <c r="I2164" s="171">
        <f ca="1">IFERROR(IF(VLOOKUP(C2164,' Disaggregation - Section E '!A$618:N1368,8,0)=0,"",VLOOKUP(C2164,' Disaggregation - Section E '!A$618:N1368,8,0)),"")</f>
        <v>2020</v>
      </c>
      <c r="J2164" s="171" t="str">
        <f ca="1">IFERROR(IF(VLOOKUP(C2164,' Disaggregation - Section E '!A$618:N2565,13,0)=0,"",VLOOKUP(C2164,' Disaggregation - Section E '!A$618:N2565,13,0)),"")</f>
        <v/>
      </c>
      <c r="K2164" s="166" t="str">
        <f ca="1">IFERROR(VLOOKUP(C2164,' Disaggregation - Section E '!A$618:N1368,3,0),"")</f>
        <v>TCP-1⁽ᴹ⁾ Número de casos notificados de todas las formas de tuberculosis (esto es, confirmados bacteriológicamente y con diagnóstico clínico), casos nuevos y recaídas.</v>
      </c>
      <c r="L2164" s="166"/>
      <c r="M2164" s="166" t="str">
        <f ca="1">IFERROR(IF(VLOOKUP(C2164,' Disaggregation - Section E '!A$618:T1368,20,0)=0,"",VLOOKUP(C2164,' Disaggregation - Section E '!A$618:T1368,20,0)),"")</f>
        <v>IDR-00853</v>
      </c>
      <c r="N2164" s="171" t="str">
        <f ca="1">IFERROR(IF(VLOOKUP(C2164,' Disaggregation - Section E '!A$618:N1368,14,0)=0,"",VLOOKUP(C2164,' Disaggregation - Section E '!A$618:N1368,14,0)),"")</f>
        <v/>
      </c>
      <c r="O2164" s="171" t="str">
        <f ca="1">IFERROR(IF(VLOOKUP(C2164,' Disaggregation - Section E '!A$618:N1368,9,0)=0,"",VLOOKUP(C2164,' Disaggregation - Section E '!A$618:N1368,9,0)),"")</f>
        <v/>
      </c>
      <c r="P2164" s="171" t="str">
        <f ca="1">IFERROR(IF(VLOOKUP(C2164,' Disaggregation - Section E '!A$618:N1368,10,0)=0,"",VLOOKUP(C2164,' Disaggregation - Section E '!A$618:N1368,10,0)),"")</f>
        <v/>
      </c>
    </row>
    <row r="2165" spans="1:16">
      <c r="A2165" s="166" t="b">
        <f t="shared" ca="1" si="146"/>
        <v>1</v>
      </c>
      <c r="B2165" s="166"/>
      <c r="C2165" s="172" t="str">
        <f ca="1">IF(COUNTA(D$1418:D2165)=1,"",OFFSET(B2163,-COUNTA(D$1418:D2165)+3,1))</f>
        <v>a163p000004Vjn2AAC</v>
      </c>
      <c r="D2165" s="177"/>
      <c r="E2165" s="168">
        <f ca="1">IFERROR(IF(VLOOKUP(C2165,' Disaggregation - Section E '!A$618:N1369,7,0)="","",VLOOKUP(C2165,' Disaggregation - Section E '!A$618:N1369,7,0)*100),"")</f>
        <v>63.131648936170215</v>
      </c>
      <c r="F2165" s="171" t="str">
        <f ca="1">IFERROR(VLOOKUP(C2165,' Disaggregation - Section E '!A$618:N1369,5,0),"")</f>
        <v>Hombres</v>
      </c>
      <c r="G2165" s="170">
        <f ca="1">IFERROR(IF(VLOOKUP(C2165,' Disaggregation - Section E '!A$618:N1369,6,0)="","",VLOOKUP(C2165,' Disaggregation - Section E '!A$618:N1369,6,0)),"")</f>
        <v>3798</v>
      </c>
      <c r="H2165" s="177">
        <f ca="1">IFERROR(IF(INDEX(' Disaggregation - Section E '!F$618:F2566,MATCH(C2165,' Disaggregation - Section E '!A$618:A2566,0)+1,1)&lt;&gt;0,INDEX(' Disaggregation - Section E '!F$618:F$1820,MATCH(C2165,' Disaggregation - Section E '!A$618:A2566,0)+1,1),""),"")</f>
        <v>6016</v>
      </c>
      <c r="I2165" s="171">
        <f ca="1">IFERROR(IF(VLOOKUP(C2165,' Disaggregation - Section E '!A$618:N1369,8,0)=0,"",VLOOKUP(C2165,' Disaggregation - Section E '!A$618:N1369,8,0)),"")</f>
        <v>2020</v>
      </c>
      <c r="J2165" s="171" t="str">
        <f ca="1">IFERROR(IF(VLOOKUP(C2165,' Disaggregation - Section E '!A$618:N2566,13,0)=0,"",VLOOKUP(C2165,' Disaggregation - Section E '!A$618:N2566,13,0)),"")</f>
        <v/>
      </c>
      <c r="K2165" s="166" t="str">
        <f ca="1">IFERROR(VLOOKUP(C2165,' Disaggregation - Section E '!A$618:N1369,3,0),"")</f>
        <v>TCP-1⁽ᴹ⁾ Número de casos notificados de todas las formas de tuberculosis (esto es, confirmados bacteriológicamente y con diagnóstico clínico), casos nuevos y recaídas.</v>
      </c>
      <c r="L2165" s="166"/>
      <c r="M2165" s="166" t="str">
        <f ca="1">IFERROR(IF(VLOOKUP(C2165,' Disaggregation - Section E '!A$618:T1369,20,0)=0,"",VLOOKUP(C2165,' Disaggregation - Section E '!A$618:T1369,20,0)),"")</f>
        <v>IDR-00852</v>
      </c>
      <c r="N2165" s="171" t="str">
        <f ca="1">IFERROR(IF(VLOOKUP(C2165,' Disaggregation - Section E '!A$618:N1369,14,0)=0,"",VLOOKUP(C2165,' Disaggregation - Section E '!A$618:N1369,14,0)),"")</f>
        <v/>
      </c>
      <c r="O2165" s="171" t="str">
        <f ca="1">IFERROR(IF(VLOOKUP(C2165,' Disaggregation - Section E '!A$618:N1369,9,0)=0,"",VLOOKUP(C2165,' Disaggregation - Section E '!A$618:N1369,9,0)),"")</f>
        <v/>
      </c>
      <c r="P2165" s="171" t="str">
        <f ca="1">IFERROR(IF(VLOOKUP(C2165,' Disaggregation - Section E '!A$618:N1369,10,0)=0,"",VLOOKUP(C2165,' Disaggregation - Section E '!A$618:N1369,10,0)),"")</f>
        <v/>
      </c>
    </row>
    <row r="2166" spans="1:16">
      <c r="A2166" s="166" t="b">
        <f t="shared" ca="1" si="146"/>
        <v>1</v>
      </c>
      <c r="B2166" s="166"/>
      <c r="C2166" s="172" t="str">
        <f ca="1">IF(COUNTA(D$1418:D2166)=1,"",OFFSET(B2164,-COUNTA(D$1418:D2166)+3,1))</f>
        <v>a163p000004Vjn3AAC</v>
      </c>
      <c r="D2166" s="177"/>
      <c r="E2166" s="168">
        <f ca="1">IFERROR(IF(VLOOKUP(C2166,' Disaggregation - Section E '!A$618:N1370,7,0)="","",VLOOKUP(C2166,' Disaggregation - Section E '!A$618:N1370,7,0)*100),"")</f>
        <v>96.392952127659569</v>
      </c>
      <c r="F2166" s="171" t="str">
        <f ca="1">IFERROR(VLOOKUP(C2166,' Disaggregation - Section E '!A$618:N1370,5,0),"")</f>
        <v>15+</v>
      </c>
      <c r="G2166" s="170">
        <f ca="1">IFERROR(IF(VLOOKUP(C2166,' Disaggregation - Section E '!A$618:N1370,6,0)="","",VLOOKUP(C2166,' Disaggregation - Section E '!A$618:N1370,6,0)),"")</f>
        <v>5799</v>
      </c>
      <c r="H2166" s="177">
        <f ca="1">IFERROR(IF(INDEX(' Disaggregation - Section E '!F$618:F2567,MATCH(C2166,' Disaggregation - Section E '!A$618:A2567,0)+1,1)&lt;&gt;0,INDEX(' Disaggregation - Section E '!F$618:F$1820,MATCH(C2166,' Disaggregation - Section E '!A$618:A2567,0)+1,1),""),"")</f>
        <v>6016</v>
      </c>
      <c r="I2166" s="171">
        <f ca="1">IFERROR(IF(VLOOKUP(C2166,' Disaggregation - Section E '!A$618:N1370,8,0)=0,"",VLOOKUP(C2166,' Disaggregation - Section E '!A$618:N1370,8,0)),"")</f>
        <v>2020</v>
      </c>
      <c r="J2166" s="171" t="str">
        <f ca="1">IFERROR(IF(VLOOKUP(C2166,' Disaggregation - Section E '!A$618:N2567,13,0)=0,"",VLOOKUP(C2166,' Disaggregation - Section E '!A$618:N2567,13,0)),"")</f>
        <v/>
      </c>
      <c r="K2166" s="166" t="str">
        <f ca="1">IFERROR(VLOOKUP(C2166,' Disaggregation - Section E '!A$618:N1370,3,0),"")</f>
        <v>TCP-1⁽ᴹ⁾ Número de casos notificados de todas las formas de tuberculosis (esto es, confirmados bacteriológicamente y con diagnóstico clínico), casos nuevos y recaídas.</v>
      </c>
      <c r="L2166" s="166"/>
      <c r="M2166" s="166" t="str">
        <f ca="1">IFERROR(IF(VLOOKUP(C2166,' Disaggregation - Section E '!A$618:T1370,20,0)=0,"",VLOOKUP(C2166,' Disaggregation - Section E '!A$618:T1370,20,0)),"")</f>
        <v>IDR-00726</v>
      </c>
      <c r="N2166" s="171" t="str">
        <f ca="1">IFERROR(IF(VLOOKUP(C2166,' Disaggregation - Section E '!A$618:N1370,14,0)=0,"",VLOOKUP(C2166,' Disaggregation - Section E '!A$618:N1370,14,0)),"")</f>
        <v/>
      </c>
      <c r="O2166" s="171" t="str">
        <f ca="1">IFERROR(IF(VLOOKUP(C2166,' Disaggregation - Section E '!A$618:N1370,9,0)=0,"",VLOOKUP(C2166,' Disaggregation - Section E '!A$618:N1370,9,0)),"")</f>
        <v/>
      </c>
      <c r="P2166" s="171" t="str">
        <f ca="1">IFERROR(IF(VLOOKUP(C2166,' Disaggregation - Section E '!A$618:N1370,10,0)=0,"",VLOOKUP(C2166,' Disaggregation - Section E '!A$618:N1370,10,0)),"")</f>
        <v/>
      </c>
    </row>
    <row r="2167" spans="1:16">
      <c r="A2167" s="166" t="b">
        <f t="shared" ca="1" si="146"/>
        <v>1</v>
      </c>
      <c r="B2167" s="166"/>
      <c r="C2167" s="172" t="str">
        <f ca="1">IF(COUNTA(D$1418:D2167)=1,"",OFFSET(B2165,-COUNTA(D$1418:D2167)+3,1))</f>
        <v>a163p000004Vjn4AAC</v>
      </c>
      <c r="D2167" s="177"/>
      <c r="E2167" s="168">
        <f ca="1">IFERROR(IF(VLOOKUP(C2167,' Disaggregation - Section E '!A$618:N1371,7,0)="","",VLOOKUP(C2167,' Disaggregation - Section E '!A$618:N1371,7,0)*100),"")</f>
        <v>3.6070478723404258</v>
      </c>
      <c r="F2167" s="171" t="str">
        <f ca="1">IFERROR(VLOOKUP(C2167,' Disaggregation - Section E '!A$618:N1371,5,0),"")</f>
        <v>&lt;15</v>
      </c>
      <c r="G2167" s="170">
        <f ca="1">IFERROR(IF(VLOOKUP(C2167,' Disaggregation - Section E '!A$618:N1371,6,0)="","",VLOOKUP(C2167,' Disaggregation - Section E '!A$618:N1371,6,0)),"")</f>
        <v>217</v>
      </c>
      <c r="H2167" s="177">
        <f ca="1">IFERROR(IF(INDEX(' Disaggregation - Section E '!F$618:F2568,MATCH(C2167,' Disaggregation - Section E '!A$618:A2568,0)+1,1)&lt;&gt;0,INDEX(' Disaggregation - Section E '!F$618:F$1820,MATCH(C2167,' Disaggregation - Section E '!A$618:A2568,0)+1,1),""),"")</f>
        <v>6016</v>
      </c>
      <c r="I2167" s="171">
        <f ca="1">IFERROR(IF(VLOOKUP(C2167,' Disaggregation - Section E '!A$618:N1371,8,0)=0,"",VLOOKUP(C2167,' Disaggregation - Section E '!A$618:N1371,8,0)),"")</f>
        <v>2020</v>
      </c>
      <c r="J2167" s="171" t="str">
        <f ca="1">IFERROR(IF(VLOOKUP(C2167,' Disaggregation - Section E '!A$618:N2568,13,0)=0,"",VLOOKUP(C2167,' Disaggregation - Section E '!A$618:N2568,13,0)),"")</f>
        <v/>
      </c>
      <c r="K2167" s="166" t="str">
        <f ca="1">IFERROR(VLOOKUP(C2167,' Disaggregation - Section E '!A$618:N1371,3,0),"")</f>
        <v>TCP-1⁽ᴹ⁾ Número de casos notificados de todas las formas de tuberculosis (esto es, confirmados bacteriológicamente y con diagnóstico clínico), casos nuevos y recaídas.</v>
      </c>
      <c r="L2167" s="166"/>
      <c r="M2167" s="166" t="str">
        <f ca="1">IFERROR(IF(VLOOKUP(C2167,' Disaggregation - Section E '!A$618:T1371,20,0)=0,"",VLOOKUP(C2167,' Disaggregation - Section E '!A$618:T1371,20,0)),"")</f>
        <v>IDR-00725</v>
      </c>
      <c r="N2167" s="171" t="str">
        <f ca="1">IFERROR(IF(VLOOKUP(C2167,' Disaggregation - Section E '!A$618:N1371,14,0)=0,"",VLOOKUP(C2167,' Disaggregation - Section E '!A$618:N1371,14,0)),"")</f>
        <v/>
      </c>
      <c r="O2167" s="171" t="str">
        <f ca="1">IFERROR(IF(VLOOKUP(C2167,' Disaggregation - Section E '!A$618:N1371,9,0)=0,"",VLOOKUP(C2167,' Disaggregation - Section E '!A$618:N1371,9,0)),"")</f>
        <v/>
      </c>
      <c r="P2167" s="171" t="str">
        <f ca="1">IFERROR(IF(VLOOKUP(C2167,' Disaggregation - Section E '!A$618:N1371,10,0)=0,"",VLOOKUP(C2167,' Disaggregation - Section E '!A$618:N1371,10,0)),"")</f>
        <v/>
      </c>
    </row>
    <row r="2168" spans="1:16">
      <c r="A2168" s="166" t="b">
        <f t="shared" ca="1" si="146"/>
        <v>0</v>
      </c>
      <c r="B2168" s="166"/>
      <c r="C2168" s="172" t="str">
        <f ca="1">IF(COUNTA(D$1418:D2168)=1,"",OFFSET(B2166,-COUNTA(D$1418:D2168)+3,1))</f>
        <v>a163p000004Vjn5AAC</v>
      </c>
      <c r="D2168" s="177"/>
      <c r="E2168" s="168" t="str">
        <f ca="1">IFERROR(IF(VLOOKUP(C2168,' Disaggregation - Section E '!A$618:N1372,7,0)="","",VLOOKUP(C2168,' Disaggregation - Section E '!A$618:N1372,7,0)*100),"")</f>
        <v/>
      </c>
      <c r="F2168" s="171" t="str">
        <f ca="1">IFERROR(VLOOKUP(C2168,' Disaggregation - Section E '!A$618:N1372,5,0),"")</f>
        <v/>
      </c>
      <c r="G2168" s="170" t="str">
        <f ca="1">IFERROR(IF(VLOOKUP(C2168,' Disaggregation - Section E '!A$618:N1372,6,0)="","",VLOOKUP(C2168,' Disaggregation - Section E '!A$618:N1372,6,0)),"")</f>
        <v/>
      </c>
      <c r="H2168" s="177" t="str">
        <f ca="1">IFERROR(IF(INDEX(' Disaggregation - Section E '!F$618:F2569,MATCH(C2168,' Disaggregation - Section E '!A$618:A2569,0)+1,1)&lt;&gt;0,INDEX(' Disaggregation - Section E '!F$618:F$1820,MATCH(C2168,' Disaggregation - Section E '!A$618:A2569,0)+1,1),""),"")</f>
        <v/>
      </c>
      <c r="I2168" s="171" t="str">
        <f ca="1">IFERROR(IF(VLOOKUP(C2168,' Disaggregation - Section E '!A$618:N1372,8,0)=0,"",VLOOKUP(C2168,' Disaggregation - Section E '!A$618:N1372,8,0)),"")</f>
        <v/>
      </c>
      <c r="J2168" s="171" t="str">
        <f ca="1">IFERROR(IF(VLOOKUP(C2168,' Disaggregation - Section E '!A$618:N2569,13,0)=0,"",VLOOKUP(C2168,' Disaggregation - Section E '!A$618:N2569,13,0)),"")</f>
        <v/>
      </c>
      <c r="K2168" s="166" t="str">
        <f ca="1">IFERROR(VLOOKUP(C2168,' Disaggregation - Section E '!A$618:N1372,3,0),"")</f>
        <v>TCP-1⁽ᴹ⁾ Número de casos notificados de todas las formas de tuberculosis (esto es, confirmados bacteriológicamente y con diagnóstico clínico), casos nuevos y recaídas.</v>
      </c>
      <c r="L2168" s="166"/>
      <c r="M2168" s="166" t="str">
        <f ca="1">IFERROR(IF(VLOOKUP(C2168,' Disaggregation - Section E '!A$618:T1372,20,0)=0,"",VLOOKUP(C2168,' Disaggregation - Section E '!A$618:T1372,20,0)),"")</f>
        <v/>
      </c>
      <c r="N2168" s="171" t="str">
        <f ca="1">IFERROR(IF(VLOOKUP(C2168,' Disaggregation - Section E '!A$618:N1372,14,0)=0,"",VLOOKUP(C2168,' Disaggregation - Section E '!A$618:N1372,14,0)),"")</f>
        <v/>
      </c>
      <c r="O2168" s="171" t="str">
        <f ca="1">IFERROR(IF(VLOOKUP(C2168,' Disaggregation - Section E '!A$618:N1372,9,0)=0,"",VLOOKUP(C2168,' Disaggregation - Section E '!A$618:N1372,9,0)),"")</f>
        <v/>
      </c>
      <c r="P2168" s="171" t="str">
        <f ca="1">IFERROR(IF(VLOOKUP(C2168,' Disaggregation - Section E '!A$618:N1372,10,0)=0,"",VLOOKUP(C2168,' Disaggregation - Section E '!A$618:N1372,10,0)),"")</f>
        <v/>
      </c>
    </row>
    <row r="2169" spans="1:16">
      <c r="A2169" s="166" t="b">
        <f t="shared" ca="1" si="146"/>
        <v>0</v>
      </c>
      <c r="B2169" s="166"/>
      <c r="C2169" s="172" t="str">
        <f ca="1">IF(COUNTA(D$1418:D2169)=1,"",OFFSET(B2167,-COUNTA(D$1418:D2169)+3,1))</f>
        <v>a163p000004Vjn6AAC</v>
      </c>
      <c r="D2169" s="177"/>
      <c r="E2169" s="168" t="str">
        <f ca="1">IFERROR(IF(VLOOKUP(C2169,' Disaggregation - Section E '!A$618:N1373,7,0)="","",VLOOKUP(C2169,' Disaggregation - Section E '!A$618:N1373,7,0)*100),"")</f>
        <v/>
      </c>
      <c r="F2169" s="171" t="str">
        <f ca="1">IFERROR(VLOOKUP(C2169,' Disaggregation - Section E '!A$618:N1373,5,0),"")</f>
        <v/>
      </c>
      <c r="G2169" s="170" t="str">
        <f ca="1">IFERROR(IF(VLOOKUP(C2169,' Disaggregation - Section E '!A$618:N1373,6,0)="","",VLOOKUP(C2169,' Disaggregation - Section E '!A$618:N1373,6,0)),"")</f>
        <v/>
      </c>
      <c r="H2169" s="177" t="str">
        <f ca="1">IFERROR(IF(INDEX(' Disaggregation - Section E '!F$618:F2570,MATCH(C2169,' Disaggregation - Section E '!A$618:A2570,0)+1,1)&lt;&gt;0,INDEX(' Disaggregation - Section E '!F$618:F$1820,MATCH(C2169,' Disaggregation - Section E '!A$618:A2570,0)+1,1),""),"")</f>
        <v/>
      </c>
      <c r="I2169" s="171" t="str">
        <f ca="1">IFERROR(IF(VLOOKUP(C2169,' Disaggregation - Section E '!A$618:N1373,8,0)=0,"",VLOOKUP(C2169,' Disaggregation - Section E '!A$618:N1373,8,0)),"")</f>
        <v/>
      </c>
      <c r="J2169" s="171" t="str">
        <f ca="1">IFERROR(IF(VLOOKUP(C2169,' Disaggregation - Section E '!A$618:N2570,13,0)=0,"",VLOOKUP(C2169,' Disaggregation - Section E '!A$618:N2570,13,0)),"")</f>
        <v/>
      </c>
      <c r="K2169" s="166" t="str">
        <f ca="1">IFERROR(VLOOKUP(C2169,' Disaggregation - Section E '!A$618:N1373,3,0),"")</f>
        <v>TCP-1⁽ᴹ⁾ Número de casos notificados de todas las formas de tuberculosis (esto es, confirmados bacteriológicamente y con diagnóstico clínico), casos nuevos y recaídas.</v>
      </c>
      <c r="L2169" s="166"/>
      <c r="M2169" s="166" t="str">
        <f ca="1">IFERROR(IF(VLOOKUP(C2169,' Disaggregation - Section E '!A$618:T1373,20,0)=0,"",VLOOKUP(C2169,' Disaggregation - Section E '!A$618:T1373,20,0)),"")</f>
        <v/>
      </c>
      <c r="N2169" s="171" t="str">
        <f ca="1">IFERROR(IF(VLOOKUP(C2169,' Disaggregation - Section E '!A$618:N1373,14,0)=0,"",VLOOKUP(C2169,' Disaggregation - Section E '!A$618:N1373,14,0)),"")</f>
        <v/>
      </c>
      <c r="O2169" s="171" t="str">
        <f ca="1">IFERROR(IF(VLOOKUP(C2169,' Disaggregation - Section E '!A$618:N1373,9,0)=0,"",VLOOKUP(C2169,' Disaggregation - Section E '!A$618:N1373,9,0)),"")</f>
        <v/>
      </c>
      <c r="P2169" s="171" t="str">
        <f ca="1">IFERROR(IF(VLOOKUP(C2169,' Disaggregation - Section E '!A$618:N1373,10,0)=0,"",VLOOKUP(C2169,' Disaggregation - Section E '!A$618:N1373,10,0)),"")</f>
        <v/>
      </c>
    </row>
    <row r="2170" spans="1:16">
      <c r="A2170" s="166" t="b">
        <f t="shared" ca="1" si="146"/>
        <v>0</v>
      </c>
      <c r="B2170" s="166"/>
      <c r="C2170" s="172" t="str">
        <f ca="1">IF(COUNTA(D$1418:D2170)=1,"",OFFSET(B2168,-COUNTA(D$1418:D2170)+3,1))</f>
        <v>a163p000004Vjn7AAC</v>
      </c>
      <c r="D2170" s="177"/>
      <c r="E2170" s="168" t="str">
        <f ca="1">IFERROR(IF(VLOOKUP(C2170,' Disaggregation - Section E '!A$618:N1374,7,0)="","",VLOOKUP(C2170,' Disaggregation - Section E '!A$618:N1374,7,0)*100),"")</f>
        <v/>
      </c>
      <c r="F2170" s="171" t="str">
        <f ca="1">IFERROR(VLOOKUP(C2170,' Disaggregation - Section E '!A$618:N1374,5,0),"")</f>
        <v/>
      </c>
      <c r="G2170" s="170" t="str">
        <f ca="1">IFERROR(IF(VLOOKUP(C2170,' Disaggregation - Section E '!A$618:N1374,6,0)="","",VLOOKUP(C2170,' Disaggregation - Section E '!A$618:N1374,6,0)),"")</f>
        <v/>
      </c>
      <c r="H2170" s="177" t="str">
        <f ca="1">IFERROR(IF(INDEX(' Disaggregation - Section E '!F$618:F2571,MATCH(C2170,' Disaggregation - Section E '!A$618:A2571,0)+1,1)&lt;&gt;0,INDEX(' Disaggregation - Section E '!F$618:F$1820,MATCH(C2170,' Disaggregation - Section E '!A$618:A2571,0)+1,1),""),"")</f>
        <v/>
      </c>
      <c r="I2170" s="171" t="str">
        <f ca="1">IFERROR(IF(VLOOKUP(C2170,' Disaggregation - Section E '!A$618:N1374,8,0)=0,"",VLOOKUP(C2170,' Disaggregation - Section E '!A$618:N1374,8,0)),"")</f>
        <v/>
      </c>
      <c r="J2170" s="171" t="str">
        <f ca="1">IFERROR(IF(VLOOKUP(C2170,' Disaggregation - Section E '!A$618:N2571,13,0)=0,"",VLOOKUP(C2170,' Disaggregation - Section E '!A$618:N2571,13,0)),"")</f>
        <v/>
      </c>
      <c r="K2170" s="166" t="str">
        <f ca="1">IFERROR(VLOOKUP(C2170,' Disaggregation - Section E '!A$618:N1374,3,0),"")</f>
        <v>TCP-1⁽ᴹ⁾ Número de casos notificados de todas las formas de tuberculosis (esto es, confirmados bacteriológicamente y con diagnóstico clínico), casos nuevos y recaídas.</v>
      </c>
      <c r="L2170" s="166"/>
      <c r="M2170" s="166" t="str">
        <f ca="1">IFERROR(IF(VLOOKUP(C2170,' Disaggregation - Section E '!A$618:T1374,20,0)=0,"",VLOOKUP(C2170,' Disaggregation - Section E '!A$618:T1374,20,0)),"")</f>
        <v/>
      </c>
      <c r="N2170" s="171" t="str">
        <f ca="1">IFERROR(IF(VLOOKUP(C2170,' Disaggregation - Section E '!A$618:N1374,14,0)=0,"",VLOOKUP(C2170,' Disaggregation - Section E '!A$618:N1374,14,0)),"")</f>
        <v/>
      </c>
      <c r="O2170" s="171" t="str">
        <f ca="1">IFERROR(IF(VLOOKUP(C2170,' Disaggregation - Section E '!A$618:N1374,9,0)=0,"",VLOOKUP(C2170,' Disaggregation - Section E '!A$618:N1374,9,0)),"")</f>
        <v/>
      </c>
      <c r="P2170" s="171" t="str">
        <f ca="1">IFERROR(IF(VLOOKUP(C2170,' Disaggregation - Section E '!A$618:N1374,10,0)=0,"",VLOOKUP(C2170,' Disaggregation - Section E '!A$618:N1374,10,0)),"")</f>
        <v/>
      </c>
    </row>
    <row r="2171" spans="1:16">
      <c r="A2171" s="166" t="b">
        <f t="shared" ca="1" si="146"/>
        <v>0</v>
      </c>
      <c r="B2171" s="166"/>
      <c r="C2171" s="172" t="str">
        <f ca="1">IF(COUNTA(D$1418:D2171)=1,"",OFFSET(B2169,-COUNTA(D$1418:D2171)+3,1))</f>
        <v>a163p000004Vjn8AAC</v>
      </c>
      <c r="D2171" s="177"/>
      <c r="E2171" s="168" t="str">
        <f ca="1">IFERROR(IF(VLOOKUP(C2171,' Disaggregation - Section E '!A$618:N1375,7,0)="","",VLOOKUP(C2171,' Disaggregation - Section E '!A$618:N1375,7,0)*100),"")</f>
        <v/>
      </c>
      <c r="F2171" s="171" t="str">
        <f ca="1">IFERROR(VLOOKUP(C2171,' Disaggregation - Section E '!A$618:N1375,5,0),"")</f>
        <v/>
      </c>
      <c r="G2171" s="170" t="str">
        <f ca="1">IFERROR(IF(VLOOKUP(C2171,' Disaggregation - Section E '!A$618:N1375,6,0)="","",VLOOKUP(C2171,' Disaggregation - Section E '!A$618:N1375,6,0)),"")</f>
        <v/>
      </c>
      <c r="H2171" s="177" t="str">
        <f ca="1">IFERROR(IF(INDEX(' Disaggregation - Section E '!F$618:F2572,MATCH(C2171,' Disaggregation - Section E '!A$618:A2572,0)+1,1)&lt;&gt;0,INDEX(' Disaggregation - Section E '!F$618:F$1820,MATCH(C2171,' Disaggregation - Section E '!A$618:A2572,0)+1,1),""),"")</f>
        <v/>
      </c>
      <c r="I2171" s="171" t="str">
        <f ca="1">IFERROR(IF(VLOOKUP(C2171,' Disaggregation - Section E '!A$618:N1375,8,0)=0,"",VLOOKUP(C2171,' Disaggregation - Section E '!A$618:N1375,8,0)),"")</f>
        <v/>
      </c>
      <c r="J2171" s="171" t="str">
        <f ca="1">IFERROR(IF(VLOOKUP(C2171,' Disaggregation - Section E '!A$618:N2572,13,0)=0,"",VLOOKUP(C2171,' Disaggregation - Section E '!A$618:N2572,13,0)),"")</f>
        <v/>
      </c>
      <c r="K2171" s="166" t="str">
        <f ca="1">IFERROR(VLOOKUP(C2171,' Disaggregation - Section E '!A$618:N1375,3,0),"")</f>
        <v>TCP-1⁽ᴹ⁾ Número de casos notificados de todas las formas de tuberculosis (esto es, confirmados bacteriológicamente y con diagnóstico clínico), casos nuevos y recaídas.</v>
      </c>
      <c r="L2171" s="166"/>
      <c r="M2171" s="166" t="str">
        <f ca="1">IFERROR(IF(VLOOKUP(C2171,' Disaggregation - Section E '!A$618:T1375,20,0)=0,"",VLOOKUP(C2171,' Disaggregation - Section E '!A$618:T1375,20,0)),"")</f>
        <v/>
      </c>
      <c r="N2171" s="171" t="str">
        <f ca="1">IFERROR(IF(VLOOKUP(C2171,' Disaggregation - Section E '!A$618:N1375,14,0)=0,"",VLOOKUP(C2171,' Disaggregation - Section E '!A$618:N1375,14,0)),"")</f>
        <v/>
      </c>
      <c r="O2171" s="171" t="str">
        <f ca="1">IFERROR(IF(VLOOKUP(C2171,' Disaggregation - Section E '!A$618:N1375,9,0)=0,"",VLOOKUP(C2171,' Disaggregation - Section E '!A$618:N1375,9,0)),"")</f>
        <v/>
      </c>
      <c r="P2171" s="171" t="str">
        <f ca="1">IFERROR(IF(VLOOKUP(C2171,' Disaggregation - Section E '!A$618:N1375,10,0)=0,"",VLOOKUP(C2171,' Disaggregation - Section E '!A$618:N1375,10,0)),"")</f>
        <v/>
      </c>
    </row>
    <row r="2172" spans="1:16">
      <c r="A2172" s="166" t="b">
        <f t="shared" ca="1" si="146"/>
        <v>0</v>
      </c>
      <c r="B2172" s="166"/>
      <c r="C2172" s="172" t="str">
        <f ca="1">IF(COUNTA(D$1418:D2172)=1,"",OFFSET(B2170,-COUNTA(D$1418:D2172)+3,1))</f>
        <v>a163p000004Vjn9AAC</v>
      </c>
      <c r="D2172" s="177"/>
      <c r="E2172" s="168" t="str">
        <f ca="1">IFERROR(IF(VLOOKUP(C2172,' Disaggregation - Section E '!A$618:N1376,7,0)="","",VLOOKUP(C2172,' Disaggregation - Section E '!A$618:N1376,7,0)*100),"")</f>
        <v/>
      </c>
      <c r="F2172" s="171" t="str">
        <f ca="1">IFERROR(VLOOKUP(C2172,' Disaggregation - Section E '!A$618:N1376,5,0),"")</f>
        <v/>
      </c>
      <c r="G2172" s="170" t="str">
        <f ca="1">IFERROR(IF(VLOOKUP(C2172,' Disaggregation - Section E '!A$618:N1376,6,0)="","",VLOOKUP(C2172,' Disaggregation - Section E '!A$618:N1376,6,0)),"")</f>
        <v/>
      </c>
      <c r="H2172" s="177" t="str">
        <f ca="1">IFERROR(IF(INDEX(' Disaggregation - Section E '!F$618:F2573,MATCH(C2172,' Disaggregation - Section E '!A$618:A2573,0)+1,1)&lt;&gt;0,INDEX(' Disaggregation - Section E '!F$618:F$1820,MATCH(C2172,' Disaggregation - Section E '!A$618:A2573,0)+1,1),""),"")</f>
        <v/>
      </c>
      <c r="I2172" s="171" t="str">
        <f ca="1">IFERROR(IF(VLOOKUP(C2172,' Disaggregation - Section E '!A$618:N1376,8,0)=0,"",VLOOKUP(C2172,' Disaggregation - Section E '!A$618:N1376,8,0)),"")</f>
        <v/>
      </c>
      <c r="J2172" s="171" t="str">
        <f ca="1">IFERROR(IF(VLOOKUP(C2172,' Disaggregation - Section E '!A$618:N2573,13,0)=0,"",VLOOKUP(C2172,' Disaggregation - Section E '!A$618:N2573,13,0)),"")</f>
        <v/>
      </c>
      <c r="K2172" s="166" t="str">
        <f ca="1">IFERROR(VLOOKUP(C2172,' Disaggregation - Section E '!A$618:N1376,3,0),"")</f>
        <v>TCP-1⁽ᴹ⁾ Número de casos notificados de todas las formas de tuberculosis (esto es, confirmados bacteriológicamente y con diagnóstico clínico), casos nuevos y recaídas.</v>
      </c>
      <c r="L2172" s="166"/>
      <c r="M2172" s="166" t="str">
        <f ca="1">IFERROR(IF(VLOOKUP(C2172,' Disaggregation - Section E '!A$618:T1376,20,0)=0,"",VLOOKUP(C2172,' Disaggregation - Section E '!A$618:T1376,20,0)),"")</f>
        <v/>
      </c>
      <c r="N2172" s="171" t="str">
        <f ca="1">IFERROR(IF(VLOOKUP(C2172,' Disaggregation - Section E '!A$618:N1376,14,0)=0,"",VLOOKUP(C2172,' Disaggregation - Section E '!A$618:N1376,14,0)),"")</f>
        <v/>
      </c>
      <c r="O2172" s="171" t="str">
        <f ca="1">IFERROR(IF(VLOOKUP(C2172,' Disaggregation - Section E '!A$618:N1376,9,0)=0,"",VLOOKUP(C2172,' Disaggregation - Section E '!A$618:N1376,9,0)),"")</f>
        <v/>
      </c>
      <c r="P2172" s="171" t="str">
        <f ca="1">IFERROR(IF(VLOOKUP(C2172,' Disaggregation - Section E '!A$618:N1376,10,0)=0,"",VLOOKUP(C2172,' Disaggregation - Section E '!A$618:N1376,10,0)),"")</f>
        <v/>
      </c>
    </row>
    <row r="2173" spans="1:16">
      <c r="A2173" s="166" t="b">
        <f t="shared" ca="1" si="146"/>
        <v>0</v>
      </c>
      <c r="B2173" s="166"/>
      <c r="C2173" s="172" t="str">
        <f ca="1">IF(COUNTA(D$1418:D2173)=1,"",OFFSET(B2171,-COUNTA(D$1418:D2173)+3,1))</f>
        <v>a163p000004VjnAAAS</v>
      </c>
      <c r="D2173" s="177"/>
      <c r="E2173" s="168" t="str">
        <f ca="1">IFERROR(IF(VLOOKUP(C2173,' Disaggregation - Section E '!A$618:N1377,7,0)="","",VLOOKUP(C2173,' Disaggregation - Section E '!A$618:N1377,7,0)*100),"")</f>
        <v/>
      </c>
      <c r="F2173" s="171" t="str">
        <f ca="1">IFERROR(VLOOKUP(C2173,' Disaggregation - Section E '!A$618:N1377,5,0),"")</f>
        <v/>
      </c>
      <c r="G2173" s="170" t="str">
        <f ca="1">IFERROR(IF(VLOOKUP(C2173,' Disaggregation - Section E '!A$618:N1377,6,0)="","",VLOOKUP(C2173,' Disaggregation - Section E '!A$618:N1377,6,0)),"")</f>
        <v/>
      </c>
      <c r="H2173" s="177" t="str">
        <f ca="1">IFERROR(IF(INDEX(' Disaggregation - Section E '!F$618:F2574,MATCH(C2173,' Disaggregation - Section E '!A$618:A2574,0)+1,1)&lt;&gt;0,INDEX(' Disaggregation - Section E '!F$618:F$1820,MATCH(C2173,' Disaggregation - Section E '!A$618:A2574,0)+1,1),""),"")</f>
        <v/>
      </c>
      <c r="I2173" s="171" t="str">
        <f ca="1">IFERROR(IF(VLOOKUP(C2173,' Disaggregation - Section E '!A$618:N1377,8,0)=0,"",VLOOKUP(C2173,' Disaggregation - Section E '!A$618:N1377,8,0)),"")</f>
        <v/>
      </c>
      <c r="J2173" s="171" t="str">
        <f ca="1">IFERROR(IF(VLOOKUP(C2173,' Disaggregation - Section E '!A$618:N2574,13,0)=0,"",VLOOKUP(C2173,' Disaggregation - Section E '!A$618:N2574,13,0)),"")</f>
        <v/>
      </c>
      <c r="K2173" s="166" t="str">
        <f ca="1">IFERROR(VLOOKUP(C2173,' Disaggregation - Section E '!A$618:N1377,3,0),"")</f>
        <v>TCP-1⁽ᴹ⁾ Número de casos notificados de todas las formas de tuberculosis (esto es, confirmados bacteriológicamente y con diagnóstico clínico), casos nuevos y recaídas.</v>
      </c>
      <c r="L2173" s="166"/>
      <c r="M2173" s="166" t="str">
        <f ca="1">IFERROR(IF(VLOOKUP(C2173,' Disaggregation - Section E '!A$618:T1377,20,0)=0,"",VLOOKUP(C2173,' Disaggregation - Section E '!A$618:T1377,20,0)),"")</f>
        <v/>
      </c>
      <c r="N2173" s="171" t="str">
        <f ca="1">IFERROR(IF(VLOOKUP(C2173,' Disaggregation - Section E '!A$618:N1377,14,0)=0,"",VLOOKUP(C2173,' Disaggregation - Section E '!A$618:N1377,14,0)),"")</f>
        <v/>
      </c>
      <c r="O2173" s="171" t="str">
        <f ca="1">IFERROR(IF(VLOOKUP(C2173,' Disaggregation - Section E '!A$618:N1377,9,0)=0,"",VLOOKUP(C2173,' Disaggregation - Section E '!A$618:N1377,9,0)),"")</f>
        <v/>
      </c>
      <c r="P2173" s="171" t="str">
        <f ca="1">IFERROR(IF(VLOOKUP(C2173,' Disaggregation - Section E '!A$618:N1377,10,0)=0,"",VLOOKUP(C2173,' Disaggregation - Section E '!A$618:N1377,10,0)),"")</f>
        <v/>
      </c>
    </row>
    <row r="2174" spans="1:16">
      <c r="A2174" s="166" t="b">
        <f t="shared" ca="1" si="146"/>
        <v>0</v>
      </c>
      <c r="B2174" s="166"/>
      <c r="C2174" s="172" t="str">
        <f ca="1">IF(COUNTA(D$1418:D2174)=1,"",OFFSET(B2172,-COUNTA(D$1418:D2174)+3,1))</f>
        <v>a163p000004VjnBAAS</v>
      </c>
      <c r="D2174" s="177"/>
      <c r="E2174" s="168" t="str">
        <f ca="1">IFERROR(IF(VLOOKUP(C2174,' Disaggregation - Section E '!A$618:N1378,7,0)="","",VLOOKUP(C2174,' Disaggregation - Section E '!A$618:N1378,7,0)*100),"")</f>
        <v/>
      </c>
      <c r="F2174" s="171" t="str">
        <f ca="1">IFERROR(VLOOKUP(C2174,' Disaggregation - Section E '!A$618:N1378,5,0),"")</f>
        <v/>
      </c>
      <c r="G2174" s="170" t="str">
        <f ca="1">IFERROR(IF(VLOOKUP(C2174,' Disaggregation - Section E '!A$618:N1378,6,0)="","",VLOOKUP(C2174,' Disaggregation - Section E '!A$618:N1378,6,0)),"")</f>
        <v/>
      </c>
      <c r="H2174" s="177" t="str">
        <f ca="1">IFERROR(IF(INDEX(' Disaggregation - Section E '!F$618:F2575,MATCH(C2174,' Disaggregation - Section E '!A$618:A2575,0)+1,1)&lt;&gt;0,INDEX(' Disaggregation - Section E '!F$618:F$1820,MATCH(C2174,' Disaggregation - Section E '!A$618:A2575,0)+1,1),""),"")</f>
        <v/>
      </c>
      <c r="I2174" s="171" t="str">
        <f ca="1">IFERROR(IF(VLOOKUP(C2174,' Disaggregation - Section E '!A$618:N1378,8,0)=0,"",VLOOKUP(C2174,' Disaggregation - Section E '!A$618:N1378,8,0)),"")</f>
        <v/>
      </c>
      <c r="J2174" s="171" t="str">
        <f ca="1">IFERROR(IF(VLOOKUP(C2174,' Disaggregation - Section E '!A$618:N2575,13,0)=0,"",VLOOKUP(C2174,' Disaggregation - Section E '!A$618:N2575,13,0)),"")</f>
        <v/>
      </c>
      <c r="K2174" s="166" t="str">
        <f ca="1">IFERROR(VLOOKUP(C2174,' Disaggregation - Section E '!A$618:N1378,3,0),"")</f>
        <v>TCP-1⁽ᴹ⁾ Número de casos notificados de todas las formas de tuberculosis (esto es, confirmados bacteriológicamente y con diagnóstico clínico), casos nuevos y recaídas.</v>
      </c>
      <c r="L2174" s="166"/>
      <c r="M2174" s="166" t="str">
        <f ca="1">IFERROR(IF(VLOOKUP(C2174,' Disaggregation - Section E '!A$618:T1378,20,0)=0,"",VLOOKUP(C2174,' Disaggregation - Section E '!A$618:T1378,20,0)),"")</f>
        <v/>
      </c>
      <c r="N2174" s="171" t="str">
        <f ca="1">IFERROR(IF(VLOOKUP(C2174,' Disaggregation - Section E '!A$618:N1378,14,0)=0,"",VLOOKUP(C2174,' Disaggregation - Section E '!A$618:N1378,14,0)),"")</f>
        <v/>
      </c>
      <c r="O2174" s="171" t="str">
        <f ca="1">IFERROR(IF(VLOOKUP(C2174,' Disaggregation - Section E '!A$618:N1378,9,0)=0,"",VLOOKUP(C2174,' Disaggregation - Section E '!A$618:N1378,9,0)),"")</f>
        <v/>
      </c>
      <c r="P2174" s="171" t="str">
        <f ca="1">IFERROR(IF(VLOOKUP(C2174,' Disaggregation - Section E '!A$618:N1378,10,0)=0,"",VLOOKUP(C2174,' Disaggregation - Section E '!A$618:N1378,10,0)),"")</f>
        <v/>
      </c>
    </row>
    <row r="2175" spans="1:16">
      <c r="A2175" s="166" t="b">
        <f t="shared" ca="1" si="146"/>
        <v>0</v>
      </c>
      <c r="B2175" s="166"/>
      <c r="C2175" s="172" t="str">
        <f ca="1">IF(COUNTA(D$1418:D2175)=1,"",OFFSET(B2173,-COUNTA(D$1418:D2175)+3,1))</f>
        <v>a163p000004VjnCAAS</v>
      </c>
      <c r="D2175" s="177"/>
      <c r="E2175" s="168" t="str">
        <f ca="1">IFERROR(IF(VLOOKUP(C2175,' Disaggregation - Section E '!A$618:N1379,7,0)="","",VLOOKUP(C2175,' Disaggregation - Section E '!A$618:N1379,7,0)*100),"")</f>
        <v/>
      </c>
      <c r="F2175" s="171" t="str">
        <f ca="1">IFERROR(VLOOKUP(C2175,' Disaggregation - Section E '!A$618:N1379,5,0),"")</f>
        <v/>
      </c>
      <c r="G2175" s="170" t="str">
        <f ca="1">IFERROR(IF(VLOOKUP(C2175,' Disaggregation - Section E '!A$618:N1379,6,0)="","",VLOOKUP(C2175,' Disaggregation - Section E '!A$618:N1379,6,0)),"")</f>
        <v/>
      </c>
      <c r="H2175" s="177" t="str">
        <f ca="1">IFERROR(IF(INDEX(' Disaggregation - Section E '!F$618:F2576,MATCH(C2175,' Disaggregation - Section E '!A$618:A2576,0)+1,1)&lt;&gt;0,INDEX(' Disaggregation - Section E '!F$618:F$1820,MATCH(C2175,' Disaggregation - Section E '!A$618:A2576,0)+1,1),""),"")</f>
        <v/>
      </c>
      <c r="I2175" s="171" t="str">
        <f ca="1">IFERROR(IF(VLOOKUP(C2175,' Disaggregation - Section E '!A$618:N1379,8,0)=0,"",VLOOKUP(C2175,' Disaggregation - Section E '!A$618:N1379,8,0)),"")</f>
        <v/>
      </c>
      <c r="J2175" s="171" t="str">
        <f ca="1">IFERROR(IF(VLOOKUP(C2175,' Disaggregation - Section E '!A$618:N2576,13,0)=0,"",VLOOKUP(C2175,' Disaggregation - Section E '!A$618:N2576,13,0)),"")</f>
        <v/>
      </c>
      <c r="K2175" s="166" t="str">
        <f ca="1">IFERROR(VLOOKUP(C2175,' Disaggregation - Section E '!A$618:N1379,3,0),"")</f>
        <v>TCP-1⁽ᴹ⁾ Número de casos notificados de todas las formas de tuberculosis (esto es, confirmados bacteriológicamente y con diagnóstico clínico), casos nuevos y recaídas.</v>
      </c>
      <c r="L2175" s="166"/>
      <c r="M2175" s="166" t="str">
        <f ca="1">IFERROR(IF(VLOOKUP(C2175,' Disaggregation - Section E '!A$618:T1379,20,0)=0,"",VLOOKUP(C2175,' Disaggregation - Section E '!A$618:T1379,20,0)),"")</f>
        <v/>
      </c>
      <c r="N2175" s="171" t="str">
        <f ca="1">IFERROR(IF(VLOOKUP(C2175,' Disaggregation - Section E '!A$618:N1379,14,0)=0,"",VLOOKUP(C2175,' Disaggregation - Section E '!A$618:N1379,14,0)),"")</f>
        <v/>
      </c>
      <c r="O2175" s="171" t="str">
        <f ca="1">IFERROR(IF(VLOOKUP(C2175,' Disaggregation - Section E '!A$618:N1379,9,0)=0,"",VLOOKUP(C2175,' Disaggregation - Section E '!A$618:N1379,9,0)),"")</f>
        <v/>
      </c>
      <c r="P2175" s="171" t="str">
        <f ca="1">IFERROR(IF(VLOOKUP(C2175,' Disaggregation - Section E '!A$618:N1379,10,0)=0,"",VLOOKUP(C2175,' Disaggregation - Section E '!A$618:N1379,10,0)),"")</f>
        <v/>
      </c>
    </row>
    <row r="2176" spans="1:16">
      <c r="A2176" s="166" t="b">
        <f t="shared" ca="1" si="146"/>
        <v>0</v>
      </c>
      <c r="B2176" s="166"/>
      <c r="C2176" s="172" t="str">
        <f ca="1">IF(COUNTA(D$1418:D2176)=1,"",OFFSET(B2174,-COUNTA(D$1418:D2176)+3,1))</f>
        <v>a163p000004VjnDAAS</v>
      </c>
      <c r="D2176" s="177"/>
      <c r="E2176" s="168" t="str">
        <f ca="1">IFERROR(IF(VLOOKUP(C2176,' Disaggregation - Section E '!A$618:N1380,7,0)="","",VLOOKUP(C2176,' Disaggregation - Section E '!A$618:N1380,7,0)*100),"")</f>
        <v/>
      </c>
      <c r="F2176" s="171" t="str">
        <f ca="1">IFERROR(VLOOKUP(C2176,' Disaggregation - Section E '!A$618:N1380,5,0),"")</f>
        <v/>
      </c>
      <c r="G2176" s="170" t="str">
        <f ca="1">IFERROR(IF(VLOOKUP(C2176,' Disaggregation - Section E '!A$618:N1380,6,0)="","",VLOOKUP(C2176,' Disaggregation - Section E '!A$618:N1380,6,0)),"")</f>
        <v/>
      </c>
      <c r="H2176" s="177" t="str">
        <f ca="1">IFERROR(IF(INDEX(' Disaggregation - Section E '!F$618:F2577,MATCH(C2176,' Disaggregation - Section E '!A$618:A2577,0)+1,1)&lt;&gt;0,INDEX(' Disaggregation - Section E '!F$618:F$1820,MATCH(C2176,' Disaggregation - Section E '!A$618:A2577,0)+1,1),""),"")</f>
        <v/>
      </c>
      <c r="I2176" s="171" t="str">
        <f ca="1">IFERROR(IF(VLOOKUP(C2176,' Disaggregation - Section E '!A$618:N1380,8,0)=0,"",VLOOKUP(C2176,' Disaggregation - Section E '!A$618:N1380,8,0)),"")</f>
        <v/>
      </c>
      <c r="J2176" s="171" t="str">
        <f ca="1">IFERROR(IF(VLOOKUP(C2176,' Disaggregation - Section E '!A$618:N2577,13,0)=0,"",VLOOKUP(C2176,' Disaggregation - Section E '!A$618:N2577,13,0)),"")</f>
        <v/>
      </c>
      <c r="K2176" s="166" t="str">
        <f ca="1">IFERROR(VLOOKUP(C2176,' Disaggregation - Section E '!A$618:N1380,3,0),"")</f>
        <v>TCP-1⁽ᴹ⁾ Número de casos notificados de todas las formas de tuberculosis (esto es, confirmados bacteriológicamente y con diagnóstico clínico), casos nuevos y recaídas.</v>
      </c>
      <c r="L2176" s="166"/>
      <c r="M2176" s="166" t="str">
        <f ca="1">IFERROR(IF(VLOOKUP(C2176,' Disaggregation - Section E '!A$618:T1380,20,0)=0,"",VLOOKUP(C2176,' Disaggregation - Section E '!A$618:T1380,20,0)),"")</f>
        <v/>
      </c>
      <c r="N2176" s="171" t="str">
        <f ca="1">IFERROR(IF(VLOOKUP(C2176,' Disaggregation - Section E '!A$618:N1380,14,0)=0,"",VLOOKUP(C2176,' Disaggregation - Section E '!A$618:N1380,14,0)),"")</f>
        <v/>
      </c>
      <c r="O2176" s="171" t="str">
        <f ca="1">IFERROR(IF(VLOOKUP(C2176,' Disaggregation - Section E '!A$618:N1380,9,0)=0,"",VLOOKUP(C2176,' Disaggregation - Section E '!A$618:N1380,9,0)),"")</f>
        <v/>
      </c>
      <c r="P2176" s="171" t="str">
        <f ca="1">IFERROR(IF(VLOOKUP(C2176,' Disaggregation - Section E '!A$618:N1380,10,0)=0,"",VLOOKUP(C2176,' Disaggregation - Section E '!A$618:N1380,10,0)),"")</f>
        <v/>
      </c>
    </row>
    <row r="2177" spans="1:16">
      <c r="A2177" s="166" t="b">
        <f t="shared" ca="1" si="146"/>
        <v>0</v>
      </c>
      <c r="B2177" s="166"/>
      <c r="C2177" s="172" t="str">
        <f ca="1">IF(COUNTA(D$1418:D2177)=1,"",OFFSET(B2175,-COUNTA(D$1418:D2177)+3,1))</f>
        <v>a163p000004VjnEAAS</v>
      </c>
      <c r="D2177" s="177"/>
      <c r="E2177" s="168" t="str">
        <f ca="1">IFERROR(IF(VLOOKUP(C2177,' Disaggregation - Section E '!A$618:N1381,7,0)="","",VLOOKUP(C2177,' Disaggregation - Section E '!A$618:N1381,7,0)*100),"")</f>
        <v/>
      </c>
      <c r="F2177" s="171" t="str">
        <f ca="1">IFERROR(VLOOKUP(C2177,' Disaggregation - Section E '!A$618:N1381,5,0),"")</f>
        <v/>
      </c>
      <c r="G2177" s="170" t="str">
        <f ca="1">IFERROR(IF(VLOOKUP(C2177,' Disaggregation - Section E '!A$618:N1381,6,0)="","",VLOOKUP(C2177,' Disaggregation - Section E '!A$618:N1381,6,0)),"")</f>
        <v/>
      </c>
      <c r="H2177" s="177" t="str">
        <f ca="1">IFERROR(IF(INDEX(' Disaggregation - Section E '!F$618:F2578,MATCH(C2177,' Disaggregation - Section E '!A$618:A2578,0)+1,1)&lt;&gt;0,INDEX(' Disaggregation - Section E '!F$618:F$1820,MATCH(C2177,' Disaggregation - Section E '!A$618:A2578,0)+1,1),""),"")</f>
        <v/>
      </c>
      <c r="I2177" s="171" t="str">
        <f ca="1">IFERROR(IF(VLOOKUP(C2177,' Disaggregation - Section E '!A$618:N1381,8,0)=0,"",VLOOKUP(C2177,' Disaggregation - Section E '!A$618:N1381,8,0)),"")</f>
        <v/>
      </c>
      <c r="J2177" s="171" t="str">
        <f ca="1">IFERROR(IF(VLOOKUP(C2177,' Disaggregation - Section E '!A$618:N2578,13,0)=0,"",VLOOKUP(C2177,' Disaggregation - Section E '!A$618:N2578,13,0)),"")</f>
        <v/>
      </c>
      <c r="K2177" s="166" t="str">
        <f ca="1">IFERROR(VLOOKUP(C2177,' Disaggregation - Section E '!A$618:N1381,3,0),"")</f>
        <v>TCP-1⁽ᴹ⁾ Número de casos notificados de todas las formas de tuberculosis (esto es, confirmados bacteriológicamente y con diagnóstico clínico), casos nuevos y recaídas.</v>
      </c>
      <c r="L2177" s="166"/>
      <c r="M2177" s="166" t="str">
        <f ca="1">IFERROR(IF(VLOOKUP(C2177,' Disaggregation - Section E '!A$618:T1381,20,0)=0,"",VLOOKUP(C2177,' Disaggregation - Section E '!A$618:T1381,20,0)),"")</f>
        <v/>
      </c>
      <c r="N2177" s="171" t="str">
        <f ca="1">IFERROR(IF(VLOOKUP(C2177,' Disaggregation - Section E '!A$618:N1381,14,0)=0,"",VLOOKUP(C2177,' Disaggregation - Section E '!A$618:N1381,14,0)),"")</f>
        <v/>
      </c>
      <c r="O2177" s="171" t="str">
        <f ca="1">IFERROR(IF(VLOOKUP(C2177,' Disaggregation - Section E '!A$618:N1381,9,0)=0,"",VLOOKUP(C2177,' Disaggregation - Section E '!A$618:N1381,9,0)),"")</f>
        <v/>
      </c>
      <c r="P2177" s="171" t="str">
        <f ca="1">IFERROR(IF(VLOOKUP(C2177,' Disaggregation - Section E '!A$618:N1381,10,0)=0,"",VLOOKUP(C2177,' Disaggregation - Section E '!A$618:N1381,10,0)),"")</f>
        <v/>
      </c>
    </row>
    <row r="2178" spans="1:16">
      <c r="A2178" s="166" t="b">
        <f t="shared" ca="1" si="146"/>
        <v>0</v>
      </c>
      <c r="B2178" s="166"/>
      <c r="C2178" s="172" t="str">
        <f ca="1">IF(COUNTA(D$1418:D2178)=1,"",OFFSET(B2176,-COUNTA(D$1418:D2178)+3,1))</f>
        <v>a163p000004VjnFAAS</v>
      </c>
      <c r="D2178" s="177"/>
      <c r="E2178" s="168" t="str">
        <f ca="1">IFERROR(IF(VLOOKUP(C2178,' Disaggregation - Section E '!A$618:N1382,7,0)="","",VLOOKUP(C2178,' Disaggregation - Section E '!A$618:N1382,7,0)*100),"")</f>
        <v/>
      </c>
      <c r="F2178" s="171" t="str">
        <f ca="1">IFERROR(VLOOKUP(C2178,' Disaggregation - Section E '!A$618:N1382,5,0),"")</f>
        <v/>
      </c>
      <c r="G2178" s="170" t="str">
        <f ca="1">IFERROR(IF(VLOOKUP(C2178,' Disaggregation - Section E '!A$618:N1382,6,0)="","",VLOOKUP(C2178,' Disaggregation - Section E '!A$618:N1382,6,0)),"")</f>
        <v/>
      </c>
      <c r="H2178" s="177" t="str">
        <f ca="1">IFERROR(IF(INDEX(' Disaggregation - Section E '!F$618:F2579,MATCH(C2178,' Disaggregation - Section E '!A$618:A2579,0)+1,1)&lt;&gt;0,INDEX(' Disaggregation - Section E '!F$618:F$1820,MATCH(C2178,' Disaggregation - Section E '!A$618:A2579,0)+1,1),""),"")</f>
        <v/>
      </c>
      <c r="I2178" s="171" t="str">
        <f ca="1">IFERROR(IF(VLOOKUP(C2178,' Disaggregation - Section E '!A$618:N1382,8,0)=0,"",VLOOKUP(C2178,' Disaggregation - Section E '!A$618:N1382,8,0)),"")</f>
        <v/>
      </c>
      <c r="J2178" s="171" t="str">
        <f ca="1">IFERROR(IF(VLOOKUP(C2178,' Disaggregation - Section E '!A$618:N2579,13,0)=0,"",VLOOKUP(C2178,' Disaggregation - Section E '!A$618:N2579,13,0)),"")</f>
        <v/>
      </c>
      <c r="K2178" s="166" t="str">
        <f ca="1">IFERROR(VLOOKUP(C2178,' Disaggregation - Section E '!A$618:N1382,3,0),"")</f>
        <v>TCP-1⁽ᴹ⁾ Número de casos notificados de todas las formas de tuberculosis (esto es, confirmados bacteriológicamente y con diagnóstico clínico), casos nuevos y recaídas.</v>
      </c>
      <c r="L2178" s="166"/>
      <c r="M2178" s="166" t="str">
        <f ca="1">IFERROR(IF(VLOOKUP(C2178,' Disaggregation - Section E '!A$618:T1382,20,0)=0,"",VLOOKUP(C2178,' Disaggregation - Section E '!A$618:T1382,20,0)),"")</f>
        <v/>
      </c>
      <c r="N2178" s="171" t="str">
        <f ca="1">IFERROR(IF(VLOOKUP(C2178,' Disaggregation - Section E '!A$618:N1382,14,0)=0,"",VLOOKUP(C2178,' Disaggregation - Section E '!A$618:N1382,14,0)),"")</f>
        <v/>
      </c>
      <c r="O2178" s="171" t="str">
        <f ca="1">IFERROR(IF(VLOOKUP(C2178,' Disaggregation - Section E '!A$618:N1382,9,0)=0,"",VLOOKUP(C2178,' Disaggregation - Section E '!A$618:N1382,9,0)),"")</f>
        <v/>
      </c>
      <c r="P2178" s="171" t="str">
        <f ca="1">IFERROR(IF(VLOOKUP(C2178,' Disaggregation - Section E '!A$618:N1382,10,0)=0,"",VLOOKUP(C2178,' Disaggregation - Section E '!A$618:N1382,10,0)),"")</f>
        <v/>
      </c>
    </row>
    <row r="2179" spans="1:16">
      <c r="A2179" s="166" t="b">
        <f t="shared" ca="1" si="146"/>
        <v>0</v>
      </c>
      <c r="B2179" s="166"/>
      <c r="C2179" s="172" t="str">
        <f ca="1">IF(COUNTA(D$1418:D2179)=1,"",OFFSET(B2177,-COUNTA(D$1418:D2179)+3,1))</f>
        <v>a163p000004VjnGAAS</v>
      </c>
      <c r="D2179" s="177"/>
      <c r="E2179" s="168" t="str">
        <f ca="1">IFERROR(IF(VLOOKUP(C2179,' Disaggregation - Section E '!A$618:N1383,7,0)="","",VLOOKUP(C2179,' Disaggregation - Section E '!A$618:N1383,7,0)*100),"")</f>
        <v/>
      </c>
      <c r="F2179" s="171" t="str">
        <f ca="1">IFERROR(VLOOKUP(C2179,' Disaggregation - Section E '!A$618:N1383,5,0),"")</f>
        <v/>
      </c>
      <c r="G2179" s="170" t="str">
        <f ca="1">IFERROR(IF(VLOOKUP(C2179,' Disaggregation - Section E '!A$618:N1383,6,0)="","",VLOOKUP(C2179,' Disaggregation - Section E '!A$618:N1383,6,0)),"")</f>
        <v/>
      </c>
      <c r="H2179" s="177" t="str">
        <f ca="1">IFERROR(IF(INDEX(' Disaggregation - Section E '!F$618:F2580,MATCH(C2179,' Disaggregation - Section E '!A$618:A2580,0)+1,1)&lt;&gt;0,INDEX(' Disaggregation - Section E '!F$618:F$1820,MATCH(C2179,' Disaggregation - Section E '!A$618:A2580,0)+1,1),""),"")</f>
        <v/>
      </c>
      <c r="I2179" s="171" t="str">
        <f ca="1">IFERROR(IF(VLOOKUP(C2179,' Disaggregation - Section E '!A$618:N1383,8,0)=0,"",VLOOKUP(C2179,' Disaggregation - Section E '!A$618:N1383,8,0)),"")</f>
        <v/>
      </c>
      <c r="J2179" s="171" t="str">
        <f ca="1">IFERROR(IF(VLOOKUP(C2179,' Disaggregation - Section E '!A$618:N2580,13,0)=0,"",VLOOKUP(C2179,' Disaggregation - Section E '!A$618:N2580,13,0)),"")</f>
        <v/>
      </c>
      <c r="K2179" s="166" t="str">
        <f ca="1">IFERROR(VLOOKUP(C2179,' Disaggregation - Section E '!A$618:N1383,3,0),"")</f>
        <v>TCP-1⁽ᴹ⁾ Número de casos notificados de todas las formas de tuberculosis (esto es, confirmados bacteriológicamente y con diagnóstico clínico), casos nuevos y recaídas.</v>
      </c>
      <c r="L2179" s="166"/>
      <c r="M2179" s="166" t="str">
        <f ca="1">IFERROR(IF(VLOOKUP(C2179,' Disaggregation - Section E '!A$618:T1383,20,0)=0,"",VLOOKUP(C2179,' Disaggregation - Section E '!A$618:T1383,20,0)),"")</f>
        <v/>
      </c>
      <c r="N2179" s="171" t="str">
        <f ca="1">IFERROR(IF(VLOOKUP(C2179,' Disaggregation - Section E '!A$618:N1383,14,0)=0,"",VLOOKUP(C2179,' Disaggregation - Section E '!A$618:N1383,14,0)),"")</f>
        <v/>
      </c>
      <c r="O2179" s="171" t="str">
        <f ca="1">IFERROR(IF(VLOOKUP(C2179,' Disaggregation - Section E '!A$618:N1383,9,0)=0,"",VLOOKUP(C2179,' Disaggregation - Section E '!A$618:N1383,9,0)),"")</f>
        <v/>
      </c>
      <c r="P2179" s="171" t="str">
        <f ca="1">IFERROR(IF(VLOOKUP(C2179,' Disaggregation - Section E '!A$618:N1383,10,0)=0,"",VLOOKUP(C2179,' Disaggregation - Section E '!A$618:N1383,10,0)),"")</f>
        <v/>
      </c>
    </row>
    <row r="2180" spans="1:16">
      <c r="A2180" s="166" t="b">
        <f t="shared" ca="1" si="146"/>
        <v>1</v>
      </c>
      <c r="B2180" s="166"/>
      <c r="C2180" s="172" t="str">
        <f ca="1">IF(COUNTA(D$1418:D2180)=1,"",OFFSET(B2178,-COUNTA(D$1418:D2180)+3,1))</f>
        <v>a163p000004VjnHAAS</v>
      </c>
      <c r="D2180" s="177"/>
      <c r="E2180" s="168" t="str">
        <f ca="1">IFERROR(IF(VLOOKUP(C2180,' Disaggregation - Section E '!A$618:N1384,7,0)="","",VLOOKUP(C2180,' Disaggregation - Section E '!A$618:N1384,7,0)*100),"")</f>
        <v/>
      </c>
      <c r="F2180" s="171" t="str">
        <f ca="1">IFERROR(VLOOKUP(C2180,' Disaggregation - Section E '!A$618:N1384,5,0),"")</f>
        <v>No documentado</v>
      </c>
      <c r="G2180" s="170" t="str">
        <f ca="1">IFERROR(IF(VLOOKUP(C2180,' Disaggregation - Section E '!A$618:N1384,6,0)="","",VLOOKUP(C2180,' Disaggregation - Section E '!A$618:N1384,6,0)),"")</f>
        <v/>
      </c>
      <c r="H2180" s="177" t="str">
        <f ca="1">IFERROR(IF(INDEX(' Disaggregation - Section E '!F$618:F2581,MATCH(C2180,' Disaggregation - Section E '!A$618:A2581,0)+1,1)&lt;&gt;0,INDEX(' Disaggregation - Section E '!F$618:F$1820,MATCH(C2180,' Disaggregation - Section E '!A$618:A2581,0)+1,1),""),"")</f>
        <v/>
      </c>
      <c r="I2180" s="171" t="str">
        <f ca="1">IFERROR(IF(VLOOKUP(C2180,' Disaggregation - Section E '!A$618:N1384,8,0)=0,"",VLOOKUP(C2180,' Disaggregation - Section E '!A$618:N1384,8,0)),"")</f>
        <v/>
      </c>
      <c r="J2180" s="171" t="str">
        <f ca="1">IFERROR(IF(VLOOKUP(C2180,' Disaggregation - Section E '!A$618:N2581,13,0)=0,"",VLOOKUP(C2180,' Disaggregation - Section E '!A$618:N2581,13,0)),"")</f>
        <v/>
      </c>
      <c r="K2180" s="166" t="str">
        <f ca="1">IFERROR(VLOOKUP(C2180,' Disaggregation - Section E '!A$618:N1384,3,0),"")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0" s="166"/>
      <c r="M2180" s="166" t="str">
        <f ca="1">IFERROR(IF(VLOOKUP(C2180,' Disaggregation - Section E '!A$618:T1384,20,0)=0,"",VLOOKUP(C2180,' Disaggregation - Section E '!A$618:T1384,20,0)),"")</f>
        <v>IDR-00936</v>
      </c>
      <c r="N2180" s="171" t="str">
        <f ca="1">IFERROR(IF(VLOOKUP(C2180,' Disaggregation - Section E '!A$618:N1384,14,0)=0,"",VLOOKUP(C2180,' Disaggregation - Section E '!A$618:N1384,14,0)),"")</f>
        <v/>
      </c>
      <c r="O2180" s="171" t="str">
        <f ca="1">IFERROR(IF(VLOOKUP(C2180,' Disaggregation - Section E '!A$618:N1384,9,0)=0,"",VLOOKUP(C2180,' Disaggregation - Section E '!A$618:N1384,9,0)),"")</f>
        <v/>
      </c>
      <c r="P2180" s="171" t="str">
        <f ca="1">IFERROR(IF(VLOOKUP(C2180,' Disaggregation - Section E '!A$618:N1384,10,0)=0,"",VLOOKUP(C2180,' Disaggregation - Section E '!A$618:N1384,10,0)),"")</f>
        <v/>
      </c>
    </row>
    <row r="2181" spans="1:16">
      <c r="A2181" s="166" t="b">
        <f t="shared" ca="1" si="146"/>
        <v>1</v>
      </c>
      <c r="B2181" s="166"/>
      <c r="C2181" s="172" t="str">
        <f ca="1">IF(COUNTA(D$1418:D2181)=1,"",OFFSET(B2179,-COUNTA(D$1418:D2181)+3,1))</f>
        <v>a163p000004VjnIAAS</v>
      </c>
      <c r="D2181" s="177"/>
      <c r="E2181" s="168" t="str">
        <f ca="1">IFERROR(IF(VLOOKUP(C2181,' Disaggregation - Section E '!A$618:N1385,7,0)="","",VLOOKUP(C2181,' Disaggregation - Section E '!A$618:N1385,7,0)*100),"")</f>
        <v/>
      </c>
      <c r="F2181" s="171" t="str">
        <f ca="1">IFERROR(VLOOKUP(C2181,' Disaggregation - Section E '!A$618:N1385,5,0),"")</f>
        <v>Negativo</v>
      </c>
      <c r="G2181" s="170" t="str">
        <f ca="1">IFERROR(IF(VLOOKUP(C2181,' Disaggregation - Section E '!A$618:N1385,6,0)="","",VLOOKUP(C2181,' Disaggregation - Section E '!A$618:N1385,6,0)),"")</f>
        <v/>
      </c>
      <c r="H2181" s="177" t="str">
        <f ca="1">IFERROR(IF(INDEX(' Disaggregation - Section E '!F$618:F2582,MATCH(C2181,' Disaggregation - Section E '!A$618:A2582,0)+1,1)&lt;&gt;0,INDEX(' Disaggregation - Section E '!F$618:F$1820,MATCH(C2181,' Disaggregation - Section E '!A$618:A2582,0)+1,1),""),"")</f>
        <v/>
      </c>
      <c r="I2181" s="171" t="str">
        <f ca="1">IFERROR(IF(VLOOKUP(C2181,' Disaggregation - Section E '!A$618:N1385,8,0)=0,"",VLOOKUP(C2181,' Disaggregation - Section E '!A$618:N1385,8,0)),"")</f>
        <v/>
      </c>
      <c r="J2181" s="171" t="str">
        <f ca="1">IFERROR(IF(VLOOKUP(C2181,' Disaggregation - Section E '!A$618:N2582,13,0)=0,"",VLOOKUP(C2181,' Disaggregation - Section E '!A$618:N2582,13,0)),"")</f>
        <v/>
      </c>
      <c r="K2181" s="166" t="str">
        <f ca="1">IFERROR(VLOOKUP(C2181,' Disaggregation - Section E '!A$618:N1385,3,0),"")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1" s="166"/>
      <c r="M2181" s="166" t="str">
        <f ca="1">IFERROR(IF(VLOOKUP(C2181,' Disaggregation - Section E '!A$618:T1385,20,0)=0,"",VLOOKUP(C2181,' Disaggregation - Section E '!A$618:T1385,20,0)),"")</f>
        <v>IDR-00935</v>
      </c>
      <c r="N2181" s="171" t="str">
        <f ca="1">IFERROR(IF(VLOOKUP(C2181,' Disaggregation - Section E '!A$618:N1385,14,0)=0,"",VLOOKUP(C2181,' Disaggregation - Section E '!A$618:N1385,14,0)),"")</f>
        <v/>
      </c>
      <c r="O2181" s="171" t="str">
        <f ca="1">IFERROR(IF(VLOOKUP(C2181,' Disaggregation - Section E '!A$618:N1385,9,0)=0,"",VLOOKUP(C2181,' Disaggregation - Section E '!A$618:N1385,9,0)),"")</f>
        <v/>
      </c>
      <c r="P2181" s="171" t="str">
        <f ca="1">IFERROR(IF(VLOOKUP(C2181,' Disaggregation - Section E '!A$618:N1385,10,0)=0,"",VLOOKUP(C2181,' Disaggregation - Section E '!A$618:N1385,10,0)),"")</f>
        <v/>
      </c>
    </row>
    <row r="2182" spans="1:16">
      <c r="A2182" s="166" t="b">
        <f t="shared" ca="1" si="146"/>
        <v>1</v>
      </c>
      <c r="B2182" s="166"/>
      <c r="C2182" s="172" t="str">
        <f ca="1">IF(COUNTA(D$1418:D2182)=1,"",OFFSET(B2180,-COUNTA(D$1418:D2182)+3,1))</f>
        <v>a163p000004VjnJAAS</v>
      </c>
      <c r="D2182" s="177"/>
      <c r="E2182" s="168" t="str">
        <f ca="1">IFERROR(IF(VLOOKUP(C2182,' Disaggregation - Section E '!A$618:N1386,7,0)="","",VLOOKUP(C2182,' Disaggregation - Section E '!A$618:N1386,7,0)*100),"")</f>
        <v/>
      </c>
      <c r="F2182" s="171" t="str">
        <f ca="1">IFERROR(VLOOKUP(C2182,' Disaggregation - Section E '!A$618:N1386,5,0),"")</f>
        <v>Positivo</v>
      </c>
      <c r="G2182" s="170" t="str">
        <f ca="1">IFERROR(IF(VLOOKUP(C2182,' Disaggregation - Section E '!A$618:N1386,6,0)="","",VLOOKUP(C2182,' Disaggregation - Section E '!A$618:N1386,6,0)),"")</f>
        <v/>
      </c>
      <c r="H2182" s="177" t="str">
        <f ca="1">IFERROR(IF(INDEX(' Disaggregation - Section E '!F$618:F2583,MATCH(C2182,' Disaggregation - Section E '!A$618:A2583,0)+1,1)&lt;&gt;0,INDEX(' Disaggregation - Section E '!F$618:F$1820,MATCH(C2182,' Disaggregation - Section E '!A$618:A2583,0)+1,1),""),"")</f>
        <v/>
      </c>
      <c r="I2182" s="171" t="str">
        <f ca="1">IFERROR(IF(VLOOKUP(C2182,' Disaggregation - Section E '!A$618:N1386,8,0)=0,"",VLOOKUP(C2182,' Disaggregation - Section E '!A$618:N1386,8,0)),"")</f>
        <v/>
      </c>
      <c r="J2182" s="171" t="str">
        <f ca="1">IFERROR(IF(VLOOKUP(C2182,' Disaggregation - Section E '!A$618:N2583,13,0)=0,"",VLOOKUP(C2182,' Disaggregation - Section E '!A$618:N2583,13,0)),"")</f>
        <v/>
      </c>
      <c r="K2182" s="166" t="str">
        <f ca="1">IFERROR(VLOOKUP(C2182,' Disaggregation - Section E '!A$618:N1386,3,0),"")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2" s="166"/>
      <c r="M2182" s="166" t="str">
        <f ca="1">IFERROR(IF(VLOOKUP(C2182,' Disaggregation - Section E '!A$618:T1386,20,0)=0,"",VLOOKUP(C2182,' Disaggregation - Section E '!A$618:T1386,20,0)),"")</f>
        <v>IDR-00934</v>
      </c>
      <c r="N2182" s="171" t="str">
        <f ca="1">IFERROR(IF(VLOOKUP(C2182,' Disaggregation - Section E '!A$618:N1386,14,0)=0,"",VLOOKUP(C2182,' Disaggregation - Section E '!A$618:N1386,14,0)),"")</f>
        <v/>
      </c>
      <c r="O2182" s="171" t="str">
        <f ca="1">IFERROR(IF(VLOOKUP(C2182,' Disaggregation - Section E '!A$618:N1386,9,0)=0,"",VLOOKUP(C2182,' Disaggregation - Section E '!A$618:N1386,9,0)),"")</f>
        <v/>
      </c>
      <c r="P2182" s="171" t="str">
        <f ca="1">IFERROR(IF(VLOOKUP(C2182,' Disaggregation - Section E '!A$618:N1386,10,0)=0,"",VLOOKUP(C2182,' Disaggregation - Section E '!A$618:N1386,10,0)),"")</f>
        <v/>
      </c>
    </row>
    <row r="2183" spans="1:16">
      <c r="A2183" s="166" t="b">
        <f t="shared" ca="1" si="146"/>
        <v>1</v>
      </c>
      <c r="B2183" s="166"/>
      <c r="C2183" s="172" t="str">
        <f ca="1">IF(COUNTA(D$1418:D2183)=1,"",OFFSET(B2181,-COUNTA(D$1418:D2183)+3,1))</f>
        <v>a163p000004VjnKAAS</v>
      </c>
      <c r="D2183" s="177"/>
      <c r="E2183" s="168" t="str">
        <f ca="1">IFERROR(IF(VLOOKUP(C2183,' Disaggregation - Section E '!A$618:N1387,7,0)="","",VLOOKUP(C2183,' Disaggregation - Section E '!A$618:N1387,7,0)*100),"")</f>
        <v/>
      </c>
      <c r="F2183" s="171" t="str">
        <f ca="1">IFERROR(VLOOKUP(C2183,' Disaggregation - Section E '!A$618:N1387,5,0),"")</f>
        <v>Mujeres</v>
      </c>
      <c r="G2183" s="170" t="str">
        <f ca="1">IFERROR(IF(VLOOKUP(C2183,' Disaggregation - Section E '!A$618:N1387,6,0)="","",VLOOKUP(C2183,' Disaggregation - Section E '!A$618:N1387,6,0)),"")</f>
        <v/>
      </c>
      <c r="H2183" s="177" t="str">
        <f ca="1">IFERROR(IF(INDEX(' Disaggregation - Section E '!F$618:F2584,MATCH(C2183,' Disaggregation - Section E '!A$618:A2584,0)+1,1)&lt;&gt;0,INDEX(' Disaggregation - Section E '!F$618:F$1820,MATCH(C2183,' Disaggregation - Section E '!A$618:A2584,0)+1,1),""),"")</f>
        <v/>
      </c>
      <c r="I2183" s="171" t="str">
        <f ca="1">IFERROR(IF(VLOOKUP(C2183,' Disaggregation - Section E '!A$618:N1387,8,0)=0,"",VLOOKUP(C2183,' Disaggregation - Section E '!A$618:N1387,8,0)),"")</f>
        <v/>
      </c>
      <c r="J2183" s="171" t="str">
        <f ca="1">IFERROR(IF(VLOOKUP(C2183,' Disaggregation - Section E '!A$618:N2584,13,0)=0,"",VLOOKUP(C2183,' Disaggregation - Section E '!A$618:N2584,13,0)),"")</f>
        <v/>
      </c>
      <c r="K2183" s="166" t="str">
        <f ca="1">IFERROR(VLOOKUP(C2183,' Disaggregation - Section E '!A$618:N1387,3,0),"")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3" s="166"/>
      <c r="M2183" s="166" t="str">
        <f ca="1">IFERROR(IF(VLOOKUP(C2183,' Disaggregation - Section E '!A$618:T1387,20,0)=0,"",VLOOKUP(C2183,' Disaggregation - Section E '!A$618:T1387,20,0)),"")</f>
        <v>IDR-00855</v>
      </c>
      <c r="N2183" s="171" t="str">
        <f ca="1">IFERROR(IF(VLOOKUP(C2183,' Disaggregation - Section E '!A$618:N1387,14,0)=0,"",VLOOKUP(C2183,' Disaggregation - Section E '!A$618:N1387,14,0)),"")</f>
        <v/>
      </c>
      <c r="O2183" s="171" t="str">
        <f ca="1">IFERROR(IF(VLOOKUP(C2183,' Disaggregation - Section E '!A$618:N1387,9,0)=0,"",VLOOKUP(C2183,' Disaggregation - Section E '!A$618:N1387,9,0)),"")</f>
        <v/>
      </c>
      <c r="P2183" s="171" t="str">
        <f ca="1">IFERROR(IF(VLOOKUP(C2183,' Disaggregation - Section E '!A$618:N1387,10,0)=0,"",VLOOKUP(C2183,' Disaggregation - Section E '!A$618:N1387,10,0)),"")</f>
        <v/>
      </c>
    </row>
    <row r="2184" spans="1:16">
      <c r="A2184" s="166" t="b">
        <f t="shared" ca="1" si="146"/>
        <v>1</v>
      </c>
      <c r="B2184" s="166"/>
      <c r="C2184" s="172" t="str">
        <f ca="1">IF(COUNTA(D$1418:D2184)=1,"",OFFSET(B2182,-COUNTA(D$1418:D2184)+3,1))</f>
        <v>a163p000004VjnLAAS</v>
      </c>
      <c r="D2184" s="177"/>
      <c r="E2184" s="168" t="str">
        <f ca="1">IFERROR(IF(VLOOKUP(C2184,' Disaggregation - Section E '!A$618:N1388,7,0)="","",VLOOKUP(C2184,' Disaggregation - Section E '!A$618:N1388,7,0)*100),"")</f>
        <v/>
      </c>
      <c r="F2184" s="171" t="str">
        <f ca="1">IFERROR(VLOOKUP(C2184,' Disaggregation - Section E '!A$618:N1388,5,0),"")</f>
        <v>Hombres</v>
      </c>
      <c r="G2184" s="170" t="str">
        <f ca="1">IFERROR(IF(VLOOKUP(C2184,' Disaggregation - Section E '!A$618:N1388,6,0)="","",VLOOKUP(C2184,' Disaggregation - Section E '!A$618:N1388,6,0)),"")</f>
        <v/>
      </c>
      <c r="H2184" s="177" t="str">
        <f ca="1">IFERROR(IF(INDEX(' Disaggregation - Section E '!F$618:F2585,MATCH(C2184,' Disaggregation - Section E '!A$618:A2585,0)+1,1)&lt;&gt;0,INDEX(' Disaggregation - Section E '!F$618:F$1820,MATCH(C2184,' Disaggregation - Section E '!A$618:A2585,0)+1,1),""),"")</f>
        <v/>
      </c>
      <c r="I2184" s="171" t="str">
        <f ca="1">IFERROR(IF(VLOOKUP(C2184,' Disaggregation - Section E '!A$618:N1388,8,0)=0,"",VLOOKUP(C2184,' Disaggregation - Section E '!A$618:N1388,8,0)),"")</f>
        <v/>
      </c>
      <c r="J2184" s="171" t="str">
        <f ca="1">IFERROR(IF(VLOOKUP(C2184,' Disaggregation - Section E '!A$618:N2585,13,0)=0,"",VLOOKUP(C2184,' Disaggregation - Section E '!A$618:N2585,13,0)),"")</f>
        <v/>
      </c>
      <c r="K2184" s="166" t="str">
        <f ca="1">IFERROR(VLOOKUP(C2184,' Disaggregation - Section E '!A$618:N1388,3,0),"")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4" s="166"/>
      <c r="M2184" s="166" t="str">
        <f ca="1">IFERROR(IF(VLOOKUP(C2184,' Disaggregation - Section E '!A$618:T1388,20,0)=0,"",VLOOKUP(C2184,' Disaggregation - Section E '!A$618:T1388,20,0)),"")</f>
        <v>IDR-00854</v>
      </c>
      <c r="N2184" s="171" t="str">
        <f ca="1">IFERROR(IF(VLOOKUP(C2184,' Disaggregation - Section E '!A$618:N1388,14,0)=0,"",VLOOKUP(C2184,' Disaggregation - Section E '!A$618:N1388,14,0)),"")</f>
        <v/>
      </c>
      <c r="O2184" s="171" t="str">
        <f ca="1">IFERROR(IF(VLOOKUP(C2184,' Disaggregation - Section E '!A$618:N1388,9,0)=0,"",VLOOKUP(C2184,' Disaggregation - Section E '!A$618:N1388,9,0)),"")</f>
        <v/>
      </c>
      <c r="P2184" s="171" t="str">
        <f ca="1">IFERROR(IF(VLOOKUP(C2184,' Disaggregation - Section E '!A$618:N1388,10,0)=0,"",VLOOKUP(C2184,' Disaggregation - Section E '!A$618:N1388,10,0)),"")</f>
        <v/>
      </c>
    </row>
    <row r="2185" spans="1:16">
      <c r="A2185" s="166" t="b">
        <f t="shared" ca="1" si="146"/>
        <v>1</v>
      </c>
      <c r="B2185" s="166"/>
      <c r="C2185" s="172" t="str">
        <f ca="1">IF(COUNTA(D$1418:D2185)=1,"",OFFSET(B2183,-COUNTA(D$1418:D2185)+3,1))</f>
        <v>a163p000004VjnMAAS</v>
      </c>
      <c r="D2185" s="177"/>
      <c r="E2185" s="168" t="str">
        <f ca="1">IFERROR(IF(VLOOKUP(C2185,' Disaggregation - Section E '!A$618:N1389,7,0)="","",VLOOKUP(C2185,' Disaggregation - Section E '!A$618:N1389,7,0)*100),"")</f>
        <v/>
      </c>
      <c r="F2185" s="171" t="str">
        <f ca="1">IFERROR(VLOOKUP(C2185,' Disaggregation - Section E '!A$618:N1389,5,0),"")</f>
        <v>15+</v>
      </c>
      <c r="G2185" s="170" t="str">
        <f ca="1">IFERROR(IF(VLOOKUP(C2185,' Disaggregation - Section E '!A$618:N1389,6,0)="","",VLOOKUP(C2185,' Disaggregation - Section E '!A$618:N1389,6,0)),"")</f>
        <v/>
      </c>
      <c r="H2185" s="177" t="str">
        <f ca="1">IFERROR(IF(INDEX(' Disaggregation - Section E '!F$618:F2586,MATCH(C2185,' Disaggregation - Section E '!A$618:A2586,0)+1,1)&lt;&gt;0,INDEX(' Disaggregation - Section E '!F$618:F$1820,MATCH(C2185,' Disaggregation - Section E '!A$618:A2586,0)+1,1),""),"")</f>
        <v/>
      </c>
      <c r="I2185" s="171" t="str">
        <f ca="1">IFERROR(IF(VLOOKUP(C2185,' Disaggregation - Section E '!A$618:N1389,8,0)=0,"",VLOOKUP(C2185,' Disaggregation - Section E '!A$618:N1389,8,0)),"")</f>
        <v/>
      </c>
      <c r="J2185" s="171" t="str">
        <f ca="1">IFERROR(IF(VLOOKUP(C2185,' Disaggregation - Section E '!A$618:N2586,13,0)=0,"",VLOOKUP(C2185,' Disaggregation - Section E '!A$618:N2586,13,0)),"")</f>
        <v/>
      </c>
      <c r="K2185" s="166" t="str">
        <f ca="1">IFERROR(VLOOKUP(C2185,' Disaggregation - Section E '!A$618:N1389,3,0),"")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5" s="166"/>
      <c r="M2185" s="166" t="str">
        <f ca="1">IFERROR(IF(VLOOKUP(C2185,' Disaggregation - Section E '!A$618:T1389,20,0)=0,"",VLOOKUP(C2185,' Disaggregation - Section E '!A$618:T1389,20,0)),"")</f>
        <v>IDR-00728</v>
      </c>
      <c r="N2185" s="171" t="str">
        <f ca="1">IFERROR(IF(VLOOKUP(C2185,' Disaggregation - Section E '!A$618:N1389,14,0)=0,"",VLOOKUP(C2185,' Disaggregation - Section E '!A$618:N1389,14,0)),"")</f>
        <v/>
      </c>
      <c r="O2185" s="171" t="str">
        <f ca="1">IFERROR(IF(VLOOKUP(C2185,' Disaggregation - Section E '!A$618:N1389,9,0)=0,"",VLOOKUP(C2185,' Disaggregation - Section E '!A$618:N1389,9,0)),"")</f>
        <v/>
      </c>
      <c r="P2185" s="171" t="str">
        <f ca="1">IFERROR(IF(VLOOKUP(C2185,' Disaggregation - Section E '!A$618:N1389,10,0)=0,"",VLOOKUP(C2185,' Disaggregation - Section E '!A$618:N1389,10,0)),"")</f>
        <v/>
      </c>
    </row>
    <row r="2186" spans="1:16">
      <c r="A2186" s="166" t="b">
        <f t="shared" ca="1" si="146"/>
        <v>1</v>
      </c>
      <c r="B2186" s="166"/>
      <c r="C2186" s="172" t="str">
        <f ca="1">IF(COUNTA(D$1418:D2186)=1,"",OFFSET(B2184,-COUNTA(D$1418:D2186)+3,1))</f>
        <v>a163p000004VjnNAAS</v>
      </c>
      <c r="D2186" s="177"/>
      <c r="E2186" s="168" t="str">
        <f ca="1">IFERROR(IF(VLOOKUP(C2186,' Disaggregation - Section E '!A$618:N1390,7,0)="","",VLOOKUP(C2186,' Disaggregation - Section E '!A$618:N1390,7,0)*100),"")</f>
        <v/>
      </c>
      <c r="F2186" s="171" t="str">
        <f ca="1">IFERROR(VLOOKUP(C2186,' Disaggregation - Section E '!A$618:N1390,5,0),"")</f>
        <v>&lt;15</v>
      </c>
      <c r="G2186" s="170" t="str">
        <f ca="1">IFERROR(IF(VLOOKUP(C2186,' Disaggregation - Section E '!A$618:N1390,6,0)="","",VLOOKUP(C2186,' Disaggregation - Section E '!A$618:N1390,6,0)),"")</f>
        <v/>
      </c>
      <c r="H2186" s="177" t="str">
        <f ca="1">IFERROR(IF(INDEX(' Disaggregation - Section E '!F$618:F2587,MATCH(C2186,' Disaggregation - Section E '!A$618:A2587,0)+1,1)&lt;&gt;0,INDEX(' Disaggregation - Section E '!F$618:F$1820,MATCH(C2186,' Disaggregation - Section E '!A$618:A2587,0)+1,1),""),"")</f>
        <v/>
      </c>
      <c r="I2186" s="171" t="str">
        <f ca="1">IFERROR(IF(VLOOKUP(C2186,' Disaggregation - Section E '!A$618:N1390,8,0)=0,"",VLOOKUP(C2186,' Disaggregation - Section E '!A$618:N1390,8,0)),"")</f>
        <v/>
      </c>
      <c r="J2186" s="171" t="str">
        <f ca="1">IFERROR(IF(VLOOKUP(C2186,' Disaggregation - Section E '!A$618:N2587,13,0)=0,"",VLOOKUP(C2186,' Disaggregation - Section E '!A$618:N2587,13,0)),"")</f>
        <v/>
      </c>
      <c r="K2186" s="166" t="str">
        <f ca="1">IFERROR(VLOOKUP(C2186,' Disaggregation - Section E '!A$618:N1390,3,0),"")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6" s="166"/>
      <c r="M2186" s="166" t="str">
        <f ca="1">IFERROR(IF(VLOOKUP(C2186,' Disaggregation - Section E '!A$618:T1390,20,0)=0,"",VLOOKUP(C2186,' Disaggregation - Section E '!A$618:T1390,20,0)),"")</f>
        <v>IDR-00727</v>
      </c>
      <c r="N2186" s="171" t="str">
        <f ca="1">IFERROR(IF(VLOOKUP(C2186,' Disaggregation - Section E '!A$618:N1390,14,0)=0,"",VLOOKUP(C2186,' Disaggregation - Section E '!A$618:N1390,14,0)),"")</f>
        <v/>
      </c>
      <c r="O2186" s="171" t="str">
        <f ca="1">IFERROR(IF(VLOOKUP(C2186,' Disaggregation - Section E '!A$618:N1390,9,0)=0,"",VLOOKUP(C2186,' Disaggregation - Section E '!A$618:N1390,9,0)),"")</f>
        <v/>
      </c>
      <c r="P2186" s="171" t="str">
        <f ca="1">IFERROR(IF(VLOOKUP(C2186,' Disaggregation - Section E '!A$618:N1390,10,0)=0,"",VLOOKUP(C2186,' Disaggregation - Section E '!A$618:N1390,10,0)),"")</f>
        <v/>
      </c>
    </row>
    <row r="2187" spans="1:16">
      <c r="A2187" s="166" t="b">
        <f t="shared" ca="1" si="146"/>
        <v>0</v>
      </c>
      <c r="B2187" s="166"/>
      <c r="C2187" s="172" t="str">
        <f ca="1">IF(COUNTA(D$1418:D2187)=1,"",OFFSET(B2185,-COUNTA(D$1418:D2187)+3,1))</f>
        <v>a163p000004VjnOAAS</v>
      </c>
      <c r="D2187" s="177"/>
      <c r="E2187" s="168" t="str">
        <f ca="1">IFERROR(IF(VLOOKUP(C2187,' Disaggregation - Section E '!A$618:N1391,7,0)="","",VLOOKUP(C2187,' Disaggregation - Section E '!A$618:N1391,7,0)*100),"")</f>
        <v/>
      </c>
      <c r="F2187" s="171" t="str">
        <f ca="1">IFERROR(VLOOKUP(C2187,' Disaggregation - Section E '!A$618:N1391,5,0),"")</f>
        <v/>
      </c>
      <c r="G2187" s="170" t="str">
        <f ca="1">IFERROR(IF(VLOOKUP(C2187,' Disaggregation - Section E '!A$618:N1391,6,0)="","",VLOOKUP(C2187,' Disaggregation - Section E '!A$618:N1391,6,0)),"")</f>
        <v/>
      </c>
      <c r="H2187" s="177" t="str">
        <f ca="1">IFERROR(IF(INDEX(' Disaggregation - Section E '!F$618:F2588,MATCH(C2187,' Disaggregation - Section E '!A$618:A2588,0)+1,1)&lt;&gt;0,INDEX(' Disaggregation - Section E '!F$618:F$1820,MATCH(C2187,' Disaggregation - Section E '!A$618:A2588,0)+1,1),""),"")</f>
        <v/>
      </c>
      <c r="I2187" s="171" t="str">
        <f ca="1">IFERROR(IF(VLOOKUP(C2187,' Disaggregation - Section E '!A$618:N1391,8,0)=0,"",VLOOKUP(C2187,' Disaggregation - Section E '!A$618:N1391,8,0)),"")</f>
        <v/>
      </c>
      <c r="J2187" s="171" t="str">
        <f ca="1">IFERROR(IF(VLOOKUP(C2187,' Disaggregation - Section E '!A$618:N2588,13,0)=0,"",VLOOKUP(C2187,' Disaggregation - Section E '!A$618:N2588,13,0)),"")</f>
        <v/>
      </c>
      <c r="K2187" s="166" t="str">
        <f ca="1">IFERROR(VLOOKUP(C2187,' Disaggregation - Section E '!A$618:N1391,3,0),"")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7" s="166"/>
      <c r="M2187" s="166" t="str">
        <f ca="1">IFERROR(IF(VLOOKUP(C2187,' Disaggregation - Section E '!A$618:T1391,20,0)=0,"",VLOOKUP(C2187,' Disaggregation - Section E '!A$618:T1391,20,0)),"")</f>
        <v/>
      </c>
      <c r="N2187" s="171" t="str">
        <f ca="1">IFERROR(IF(VLOOKUP(C2187,' Disaggregation - Section E '!A$618:N1391,14,0)=0,"",VLOOKUP(C2187,' Disaggregation - Section E '!A$618:N1391,14,0)),"")</f>
        <v/>
      </c>
      <c r="O2187" s="171" t="str">
        <f ca="1">IFERROR(IF(VLOOKUP(C2187,' Disaggregation - Section E '!A$618:N1391,9,0)=0,"",VLOOKUP(C2187,' Disaggregation - Section E '!A$618:N1391,9,0)),"")</f>
        <v/>
      </c>
      <c r="P2187" s="171" t="str">
        <f ca="1">IFERROR(IF(VLOOKUP(C2187,' Disaggregation - Section E '!A$618:N1391,10,0)=0,"",VLOOKUP(C2187,' Disaggregation - Section E '!A$618:N1391,10,0)),"")</f>
        <v/>
      </c>
    </row>
    <row r="2188" spans="1:16">
      <c r="A2188" s="166" t="b">
        <f t="shared" ca="1" si="146"/>
        <v>0</v>
      </c>
      <c r="B2188" s="166"/>
      <c r="C2188" s="172" t="str">
        <f ca="1">IF(COUNTA(D$1418:D2188)=1,"",OFFSET(B2186,-COUNTA(D$1418:D2188)+3,1))</f>
        <v>a163p000004VjnPAAS</v>
      </c>
      <c r="D2188" s="177"/>
      <c r="E2188" s="168" t="str">
        <f ca="1">IFERROR(IF(VLOOKUP(C2188,' Disaggregation - Section E '!A$618:N1392,7,0)="","",VLOOKUP(C2188,' Disaggregation - Section E '!A$618:N1392,7,0)*100),"")</f>
        <v/>
      </c>
      <c r="F2188" s="171" t="str">
        <f ca="1">IFERROR(VLOOKUP(C2188,' Disaggregation - Section E '!A$618:N1392,5,0),"")</f>
        <v/>
      </c>
      <c r="G2188" s="170" t="str">
        <f ca="1">IFERROR(IF(VLOOKUP(C2188,' Disaggregation - Section E '!A$618:N1392,6,0)="","",VLOOKUP(C2188,' Disaggregation - Section E '!A$618:N1392,6,0)),"")</f>
        <v/>
      </c>
      <c r="H2188" s="177" t="str">
        <f ca="1">IFERROR(IF(INDEX(' Disaggregation - Section E '!F$618:F2589,MATCH(C2188,' Disaggregation - Section E '!A$618:A2589,0)+1,1)&lt;&gt;0,INDEX(' Disaggregation - Section E '!F$618:F$1820,MATCH(C2188,' Disaggregation - Section E '!A$618:A2589,0)+1,1),""),"")</f>
        <v/>
      </c>
      <c r="I2188" s="171" t="str">
        <f ca="1">IFERROR(IF(VLOOKUP(C2188,' Disaggregation - Section E '!A$618:N1392,8,0)=0,"",VLOOKUP(C2188,' Disaggregation - Section E '!A$618:N1392,8,0)),"")</f>
        <v/>
      </c>
      <c r="J2188" s="171" t="str">
        <f ca="1">IFERROR(IF(VLOOKUP(C2188,' Disaggregation - Section E '!A$618:N2589,13,0)=0,"",VLOOKUP(C2188,' Disaggregation - Section E '!A$618:N2589,13,0)),"")</f>
        <v/>
      </c>
      <c r="K2188" s="166" t="str">
        <f ca="1">IFERROR(VLOOKUP(C2188,' Disaggregation - Section E '!A$618:N1392,3,0),"")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8" s="166"/>
      <c r="M2188" s="166" t="str">
        <f ca="1">IFERROR(IF(VLOOKUP(C2188,' Disaggregation - Section E '!A$618:T1392,20,0)=0,"",VLOOKUP(C2188,' Disaggregation - Section E '!A$618:T1392,20,0)),"")</f>
        <v/>
      </c>
      <c r="N2188" s="171" t="str">
        <f ca="1">IFERROR(IF(VLOOKUP(C2188,' Disaggregation - Section E '!A$618:N1392,14,0)=0,"",VLOOKUP(C2188,' Disaggregation - Section E '!A$618:N1392,14,0)),"")</f>
        <v/>
      </c>
      <c r="O2188" s="171" t="str">
        <f ca="1">IFERROR(IF(VLOOKUP(C2188,' Disaggregation - Section E '!A$618:N1392,9,0)=0,"",VLOOKUP(C2188,' Disaggregation - Section E '!A$618:N1392,9,0)),"")</f>
        <v/>
      </c>
      <c r="P2188" s="171" t="str">
        <f ca="1">IFERROR(IF(VLOOKUP(C2188,' Disaggregation - Section E '!A$618:N1392,10,0)=0,"",VLOOKUP(C2188,' Disaggregation - Section E '!A$618:N1392,10,0)),"")</f>
        <v/>
      </c>
    </row>
    <row r="2189" spans="1:16">
      <c r="A2189" s="166" t="b">
        <f t="shared" ca="1" si="146"/>
        <v>0</v>
      </c>
      <c r="B2189" s="166"/>
      <c r="C2189" s="172" t="str">
        <f ca="1">IF(COUNTA(D$1418:D2189)=1,"",OFFSET(B2187,-COUNTA(D$1418:D2189)+3,1))</f>
        <v>a163p000004VjnQAAS</v>
      </c>
      <c r="D2189" s="177"/>
      <c r="E2189" s="168" t="str">
        <f ca="1">IFERROR(IF(VLOOKUP(C2189,' Disaggregation - Section E '!A$618:N1393,7,0)="","",VLOOKUP(C2189,' Disaggregation - Section E '!A$618:N1393,7,0)*100),"")</f>
        <v/>
      </c>
      <c r="F2189" s="171" t="str">
        <f ca="1">IFERROR(VLOOKUP(C2189,' Disaggregation - Section E '!A$618:N1393,5,0),"")</f>
        <v/>
      </c>
      <c r="G2189" s="170" t="str">
        <f ca="1">IFERROR(IF(VLOOKUP(C2189,' Disaggregation - Section E '!A$618:N1393,6,0)="","",VLOOKUP(C2189,' Disaggregation - Section E '!A$618:N1393,6,0)),"")</f>
        <v/>
      </c>
      <c r="H2189" s="177" t="str">
        <f ca="1">IFERROR(IF(INDEX(' Disaggregation - Section E '!F$618:F2590,MATCH(C2189,' Disaggregation - Section E '!A$618:A2590,0)+1,1)&lt;&gt;0,INDEX(' Disaggregation - Section E '!F$618:F$1820,MATCH(C2189,' Disaggregation - Section E '!A$618:A2590,0)+1,1),""),"")</f>
        <v/>
      </c>
      <c r="I2189" s="171" t="str">
        <f ca="1">IFERROR(IF(VLOOKUP(C2189,' Disaggregation - Section E '!A$618:N1393,8,0)=0,"",VLOOKUP(C2189,' Disaggregation - Section E '!A$618:N1393,8,0)),"")</f>
        <v/>
      </c>
      <c r="J2189" s="171" t="str">
        <f ca="1">IFERROR(IF(VLOOKUP(C2189,' Disaggregation - Section E '!A$618:N2590,13,0)=0,"",VLOOKUP(C2189,' Disaggregation - Section E '!A$618:N2590,13,0)),"")</f>
        <v/>
      </c>
      <c r="K2189" s="166" t="str">
        <f ca="1">IFERROR(VLOOKUP(C2189,' Disaggregation - Section E '!A$618:N1393,3,0),"")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9" s="166"/>
      <c r="M2189" s="166" t="str">
        <f ca="1">IFERROR(IF(VLOOKUP(C2189,' Disaggregation - Section E '!A$618:T1393,20,0)=0,"",VLOOKUP(C2189,' Disaggregation - Section E '!A$618:T1393,20,0)),"")</f>
        <v/>
      </c>
      <c r="N2189" s="171" t="str">
        <f ca="1">IFERROR(IF(VLOOKUP(C2189,' Disaggregation - Section E '!A$618:N1393,14,0)=0,"",VLOOKUP(C2189,' Disaggregation - Section E '!A$618:N1393,14,0)),"")</f>
        <v/>
      </c>
      <c r="O2189" s="171" t="str">
        <f ca="1">IFERROR(IF(VLOOKUP(C2189,' Disaggregation - Section E '!A$618:N1393,9,0)=0,"",VLOOKUP(C2189,' Disaggregation - Section E '!A$618:N1393,9,0)),"")</f>
        <v/>
      </c>
      <c r="P2189" s="171" t="str">
        <f ca="1">IFERROR(IF(VLOOKUP(C2189,' Disaggregation - Section E '!A$618:N1393,10,0)=0,"",VLOOKUP(C2189,' Disaggregation - Section E '!A$618:N1393,10,0)),"")</f>
        <v/>
      </c>
    </row>
    <row r="2190" spans="1:16">
      <c r="A2190" s="166" t="b">
        <f t="shared" ca="1" si="146"/>
        <v>0</v>
      </c>
      <c r="B2190" s="166"/>
      <c r="C2190" s="172" t="str">
        <f ca="1">IF(COUNTA(D$1418:D2190)=1,"",OFFSET(B2188,-COUNTA(D$1418:D2190)+3,1))</f>
        <v>a163p000004VjnRAAS</v>
      </c>
      <c r="D2190" s="177"/>
      <c r="E2190" s="168" t="str">
        <f ca="1">IFERROR(IF(VLOOKUP(C2190,' Disaggregation - Section E '!A$618:N1394,7,0)="","",VLOOKUP(C2190,' Disaggregation - Section E '!A$618:N1394,7,0)*100),"")</f>
        <v/>
      </c>
      <c r="F2190" s="171" t="str">
        <f ca="1">IFERROR(VLOOKUP(C2190,' Disaggregation - Section E '!A$618:N1394,5,0),"")</f>
        <v/>
      </c>
      <c r="G2190" s="170" t="str">
        <f ca="1">IFERROR(IF(VLOOKUP(C2190,' Disaggregation - Section E '!A$618:N1394,6,0)="","",VLOOKUP(C2190,' Disaggregation - Section E '!A$618:N1394,6,0)),"")</f>
        <v/>
      </c>
      <c r="H2190" s="177" t="str">
        <f ca="1">IFERROR(IF(INDEX(' Disaggregation - Section E '!F$618:F2591,MATCH(C2190,' Disaggregation - Section E '!A$618:A2591,0)+1,1)&lt;&gt;0,INDEX(' Disaggregation - Section E '!F$618:F$1820,MATCH(C2190,' Disaggregation - Section E '!A$618:A2591,0)+1,1),""),"")</f>
        <v/>
      </c>
      <c r="I2190" s="171" t="str">
        <f ca="1">IFERROR(IF(VLOOKUP(C2190,' Disaggregation - Section E '!A$618:N1394,8,0)=0,"",VLOOKUP(C2190,' Disaggregation - Section E '!A$618:N1394,8,0)),"")</f>
        <v/>
      </c>
      <c r="J2190" s="171" t="str">
        <f ca="1">IFERROR(IF(VLOOKUP(C2190,' Disaggregation - Section E '!A$618:N2591,13,0)=0,"",VLOOKUP(C2190,' Disaggregation - Section E '!A$618:N2591,13,0)),"")</f>
        <v/>
      </c>
      <c r="K2190" s="166" t="str">
        <f ca="1">IFERROR(VLOOKUP(C2190,' Disaggregation - Section E '!A$618:N1394,3,0),"")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0" s="166"/>
      <c r="M2190" s="166" t="str">
        <f ca="1">IFERROR(IF(VLOOKUP(C2190,' Disaggregation - Section E '!A$618:T1394,20,0)=0,"",VLOOKUP(C2190,' Disaggregation - Section E '!A$618:T1394,20,0)),"")</f>
        <v/>
      </c>
      <c r="N2190" s="171" t="str">
        <f ca="1">IFERROR(IF(VLOOKUP(C2190,' Disaggregation - Section E '!A$618:N1394,14,0)=0,"",VLOOKUP(C2190,' Disaggregation - Section E '!A$618:N1394,14,0)),"")</f>
        <v/>
      </c>
      <c r="O2190" s="171" t="str">
        <f ca="1">IFERROR(IF(VLOOKUP(C2190,' Disaggregation - Section E '!A$618:N1394,9,0)=0,"",VLOOKUP(C2190,' Disaggregation - Section E '!A$618:N1394,9,0)),"")</f>
        <v/>
      </c>
      <c r="P2190" s="171" t="str">
        <f ca="1">IFERROR(IF(VLOOKUP(C2190,' Disaggregation - Section E '!A$618:N1394,10,0)=0,"",VLOOKUP(C2190,' Disaggregation - Section E '!A$618:N1394,10,0)),"")</f>
        <v/>
      </c>
    </row>
    <row r="2191" spans="1:16">
      <c r="A2191" s="166" t="b">
        <f t="shared" ca="1" si="146"/>
        <v>0</v>
      </c>
      <c r="B2191" s="166"/>
      <c r="C2191" s="172" t="str">
        <f ca="1">IF(COUNTA(D$1418:D2191)=1,"",OFFSET(B2189,-COUNTA(D$1418:D2191)+3,1))</f>
        <v>a163p000004VjnSAAS</v>
      </c>
      <c r="D2191" s="177"/>
      <c r="E2191" s="168" t="str">
        <f ca="1">IFERROR(IF(VLOOKUP(C2191,' Disaggregation - Section E '!A$618:N1395,7,0)="","",VLOOKUP(C2191,' Disaggregation - Section E '!A$618:N1395,7,0)*100),"")</f>
        <v/>
      </c>
      <c r="F2191" s="171" t="str">
        <f ca="1">IFERROR(VLOOKUP(C2191,' Disaggregation - Section E '!A$618:N1395,5,0),"")</f>
        <v/>
      </c>
      <c r="G2191" s="170" t="str">
        <f ca="1">IFERROR(IF(VLOOKUP(C2191,' Disaggregation - Section E '!A$618:N1395,6,0)="","",VLOOKUP(C2191,' Disaggregation - Section E '!A$618:N1395,6,0)),"")</f>
        <v/>
      </c>
      <c r="H2191" s="177" t="str">
        <f ca="1">IFERROR(IF(INDEX(' Disaggregation - Section E '!F$618:F2592,MATCH(C2191,' Disaggregation - Section E '!A$618:A2592,0)+1,1)&lt;&gt;0,INDEX(' Disaggregation - Section E '!F$618:F$1820,MATCH(C2191,' Disaggregation - Section E '!A$618:A2592,0)+1,1),""),"")</f>
        <v/>
      </c>
      <c r="I2191" s="171" t="str">
        <f ca="1">IFERROR(IF(VLOOKUP(C2191,' Disaggregation - Section E '!A$618:N1395,8,0)=0,"",VLOOKUP(C2191,' Disaggregation - Section E '!A$618:N1395,8,0)),"")</f>
        <v/>
      </c>
      <c r="J2191" s="171" t="str">
        <f ca="1">IFERROR(IF(VLOOKUP(C2191,' Disaggregation - Section E '!A$618:N2592,13,0)=0,"",VLOOKUP(C2191,' Disaggregation - Section E '!A$618:N2592,13,0)),"")</f>
        <v/>
      </c>
      <c r="K2191" s="166" t="str">
        <f ca="1">IFERROR(VLOOKUP(C2191,' Disaggregation - Section E '!A$618:N1395,3,0),"")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1" s="166"/>
      <c r="M2191" s="166" t="str">
        <f ca="1">IFERROR(IF(VLOOKUP(C2191,' Disaggregation - Section E '!A$618:T1395,20,0)=0,"",VLOOKUP(C2191,' Disaggregation - Section E '!A$618:T1395,20,0)),"")</f>
        <v/>
      </c>
      <c r="N2191" s="171" t="str">
        <f ca="1">IFERROR(IF(VLOOKUP(C2191,' Disaggregation - Section E '!A$618:N1395,14,0)=0,"",VLOOKUP(C2191,' Disaggregation - Section E '!A$618:N1395,14,0)),"")</f>
        <v/>
      </c>
      <c r="O2191" s="171" t="str">
        <f ca="1">IFERROR(IF(VLOOKUP(C2191,' Disaggregation - Section E '!A$618:N1395,9,0)=0,"",VLOOKUP(C2191,' Disaggregation - Section E '!A$618:N1395,9,0)),"")</f>
        <v/>
      </c>
      <c r="P2191" s="171" t="str">
        <f ca="1">IFERROR(IF(VLOOKUP(C2191,' Disaggregation - Section E '!A$618:N1395,10,0)=0,"",VLOOKUP(C2191,' Disaggregation - Section E '!A$618:N1395,10,0)),"")</f>
        <v/>
      </c>
    </row>
    <row r="2192" spans="1:16">
      <c r="A2192" s="166" t="b">
        <f t="shared" ca="1" si="146"/>
        <v>0</v>
      </c>
      <c r="B2192" s="166"/>
      <c r="C2192" s="172" t="str">
        <f ca="1">IF(COUNTA(D$1418:D2192)=1,"",OFFSET(B2190,-COUNTA(D$1418:D2192)+3,1))</f>
        <v>a163p000004VjnTAAS</v>
      </c>
      <c r="D2192" s="177"/>
      <c r="E2192" s="168" t="str">
        <f ca="1">IFERROR(IF(VLOOKUP(C2192,' Disaggregation - Section E '!A$618:N1396,7,0)="","",VLOOKUP(C2192,' Disaggregation - Section E '!A$618:N1396,7,0)*100),"")</f>
        <v/>
      </c>
      <c r="F2192" s="171" t="str">
        <f ca="1">IFERROR(VLOOKUP(C2192,' Disaggregation - Section E '!A$618:N1396,5,0),"")</f>
        <v/>
      </c>
      <c r="G2192" s="170" t="str">
        <f ca="1">IFERROR(IF(VLOOKUP(C2192,' Disaggregation - Section E '!A$618:N1396,6,0)="","",VLOOKUP(C2192,' Disaggregation - Section E '!A$618:N1396,6,0)),"")</f>
        <v/>
      </c>
      <c r="H2192" s="177" t="str">
        <f ca="1">IFERROR(IF(INDEX(' Disaggregation - Section E '!F$618:F2593,MATCH(C2192,' Disaggregation - Section E '!A$618:A2593,0)+1,1)&lt;&gt;0,INDEX(' Disaggregation - Section E '!F$618:F$1820,MATCH(C2192,' Disaggregation - Section E '!A$618:A2593,0)+1,1),""),"")</f>
        <v/>
      </c>
      <c r="I2192" s="171" t="str">
        <f ca="1">IFERROR(IF(VLOOKUP(C2192,' Disaggregation - Section E '!A$618:N1396,8,0)=0,"",VLOOKUP(C2192,' Disaggregation - Section E '!A$618:N1396,8,0)),"")</f>
        <v/>
      </c>
      <c r="J2192" s="171" t="str">
        <f ca="1">IFERROR(IF(VLOOKUP(C2192,' Disaggregation - Section E '!A$618:N2593,13,0)=0,"",VLOOKUP(C2192,' Disaggregation - Section E '!A$618:N2593,13,0)),"")</f>
        <v/>
      </c>
      <c r="K2192" s="166" t="str">
        <f ca="1">IFERROR(VLOOKUP(C2192,' Disaggregation - Section E '!A$618:N1396,3,0),"")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2" s="166"/>
      <c r="M2192" s="166" t="str">
        <f ca="1">IFERROR(IF(VLOOKUP(C2192,' Disaggregation - Section E '!A$618:T1396,20,0)=0,"",VLOOKUP(C2192,' Disaggregation - Section E '!A$618:T1396,20,0)),"")</f>
        <v/>
      </c>
      <c r="N2192" s="171" t="str">
        <f ca="1">IFERROR(IF(VLOOKUP(C2192,' Disaggregation - Section E '!A$618:N1396,14,0)=0,"",VLOOKUP(C2192,' Disaggregation - Section E '!A$618:N1396,14,0)),"")</f>
        <v/>
      </c>
      <c r="O2192" s="171" t="str">
        <f ca="1">IFERROR(IF(VLOOKUP(C2192,' Disaggregation - Section E '!A$618:N1396,9,0)=0,"",VLOOKUP(C2192,' Disaggregation - Section E '!A$618:N1396,9,0)),"")</f>
        <v/>
      </c>
      <c r="P2192" s="171" t="str">
        <f ca="1">IFERROR(IF(VLOOKUP(C2192,' Disaggregation - Section E '!A$618:N1396,10,0)=0,"",VLOOKUP(C2192,' Disaggregation - Section E '!A$618:N1396,10,0)),"")</f>
        <v/>
      </c>
    </row>
    <row r="2193" spans="1:18">
      <c r="A2193" s="166" t="b">
        <f t="shared" ca="1" si="146"/>
        <v>0</v>
      </c>
      <c r="B2193" s="166"/>
      <c r="C2193" s="172" t="str">
        <f ca="1">IF(COUNTA(D$1418:D2193)=1,"",OFFSET(B2191,-COUNTA(D$1418:D2193)+3,1))</f>
        <v>a163p000004VjnUAAS</v>
      </c>
      <c r="D2193" s="177"/>
      <c r="E2193" s="168" t="str">
        <f ca="1">IFERROR(IF(VLOOKUP(C2193,' Disaggregation - Section E '!A$618:N1397,7,0)="","",VLOOKUP(C2193,' Disaggregation - Section E '!A$618:N1397,7,0)*100),"")</f>
        <v/>
      </c>
      <c r="F2193" s="171" t="str">
        <f ca="1">IFERROR(VLOOKUP(C2193,' Disaggregation - Section E '!A$618:N1397,5,0),"")</f>
        <v/>
      </c>
      <c r="G2193" s="170" t="str">
        <f ca="1">IFERROR(IF(VLOOKUP(C2193,' Disaggregation - Section E '!A$618:N1397,6,0)="","",VLOOKUP(C2193,' Disaggregation - Section E '!A$618:N1397,6,0)),"")</f>
        <v/>
      </c>
      <c r="H2193" s="177" t="str">
        <f ca="1">IFERROR(IF(INDEX(' Disaggregation - Section E '!F$618:F2594,MATCH(C2193,' Disaggregation - Section E '!A$618:A2594,0)+1,1)&lt;&gt;0,INDEX(' Disaggregation - Section E '!F$618:F$1820,MATCH(C2193,' Disaggregation - Section E '!A$618:A2594,0)+1,1),""),"")</f>
        <v/>
      </c>
      <c r="I2193" s="171" t="str">
        <f ca="1">IFERROR(IF(VLOOKUP(C2193,' Disaggregation - Section E '!A$618:N1397,8,0)=0,"",VLOOKUP(C2193,' Disaggregation - Section E '!A$618:N1397,8,0)),"")</f>
        <v/>
      </c>
      <c r="J2193" s="171" t="str">
        <f ca="1">IFERROR(IF(VLOOKUP(C2193,' Disaggregation - Section E '!A$618:N2594,13,0)=0,"",VLOOKUP(C2193,' Disaggregation - Section E '!A$618:N2594,13,0)),"")</f>
        <v/>
      </c>
      <c r="K2193" s="166" t="str">
        <f ca="1">IFERROR(VLOOKUP(C2193,' Disaggregation - Section E '!A$618:N1397,3,0),"")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3" s="166"/>
      <c r="M2193" s="166" t="str">
        <f ca="1">IFERROR(IF(VLOOKUP(C2193,' Disaggregation - Section E '!A$618:T1397,20,0)=0,"",VLOOKUP(C2193,' Disaggregation - Section E '!A$618:T1397,20,0)),"")</f>
        <v/>
      </c>
      <c r="N2193" s="171" t="str">
        <f ca="1">IFERROR(IF(VLOOKUP(C2193,' Disaggregation - Section E '!A$618:N1397,14,0)=0,"",VLOOKUP(C2193,' Disaggregation - Section E '!A$618:N1397,14,0)),"")</f>
        <v/>
      </c>
      <c r="O2193" s="171" t="str">
        <f ca="1">IFERROR(IF(VLOOKUP(C2193,' Disaggregation - Section E '!A$618:N1397,9,0)=0,"",VLOOKUP(C2193,' Disaggregation - Section E '!A$618:N1397,9,0)),"")</f>
        <v/>
      </c>
      <c r="P2193" s="171" t="str">
        <f ca="1">IFERROR(IF(VLOOKUP(C2193,' Disaggregation - Section E '!A$618:N1397,10,0)=0,"",VLOOKUP(C2193,' Disaggregation - Section E '!A$618:N1397,10,0)),"")</f>
        <v/>
      </c>
    </row>
    <row r="2194" spans="1:18">
      <c r="A2194" s="166" t="b">
        <f t="shared" ca="1" si="146"/>
        <v>0</v>
      </c>
      <c r="B2194" s="166"/>
      <c r="C2194" s="172" t="str">
        <f ca="1">IF(COUNTA(D$1418:D2194)=1,"",OFFSET(B2192,-COUNTA(D$1418:D2194)+3,1))</f>
        <v>a163p000004VjnVAAS</v>
      </c>
      <c r="D2194" s="177"/>
      <c r="E2194" s="168" t="str">
        <f ca="1">IFERROR(IF(VLOOKUP(C2194,' Disaggregation - Section E '!A$618:N1398,7,0)="","",VLOOKUP(C2194,' Disaggregation - Section E '!A$618:N1398,7,0)*100),"")</f>
        <v/>
      </c>
      <c r="F2194" s="171" t="str">
        <f ca="1">IFERROR(VLOOKUP(C2194,' Disaggregation - Section E '!A$618:N1398,5,0),"")</f>
        <v/>
      </c>
      <c r="G2194" s="170" t="str">
        <f ca="1">IFERROR(IF(VLOOKUP(C2194,' Disaggregation - Section E '!A$618:N1398,6,0)="","",VLOOKUP(C2194,' Disaggregation - Section E '!A$618:N1398,6,0)),"")</f>
        <v/>
      </c>
      <c r="H2194" s="177" t="str">
        <f ca="1">IFERROR(IF(INDEX(' Disaggregation - Section E '!F$618:F2595,MATCH(C2194,' Disaggregation - Section E '!A$618:A2595,0)+1,1)&lt;&gt;0,INDEX(' Disaggregation - Section E '!F$618:F$1820,MATCH(C2194,' Disaggregation - Section E '!A$618:A2595,0)+1,1),""),"")</f>
        <v/>
      </c>
      <c r="I2194" s="171" t="str">
        <f ca="1">IFERROR(IF(VLOOKUP(C2194,' Disaggregation - Section E '!A$618:N1398,8,0)=0,"",VLOOKUP(C2194,' Disaggregation - Section E '!A$618:N1398,8,0)),"")</f>
        <v/>
      </c>
      <c r="J2194" s="171" t="str">
        <f ca="1">IFERROR(IF(VLOOKUP(C2194,' Disaggregation - Section E '!A$618:N2595,13,0)=0,"",VLOOKUP(C2194,' Disaggregation - Section E '!A$618:N2595,13,0)),"")</f>
        <v/>
      </c>
      <c r="K2194" s="166" t="str">
        <f ca="1">IFERROR(VLOOKUP(C2194,' Disaggregation - Section E '!A$618:N1398,3,0),"")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4" s="166"/>
      <c r="M2194" s="166" t="str">
        <f ca="1">IFERROR(IF(VLOOKUP(C2194,' Disaggregation - Section E '!A$618:T1398,20,0)=0,"",VLOOKUP(C2194,' Disaggregation - Section E '!A$618:T1398,20,0)),"")</f>
        <v/>
      </c>
      <c r="N2194" s="171" t="str">
        <f ca="1">IFERROR(IF(VLOOKUP(C2194,' Disaggregation - Section E '!A$618:N1398,14,0)=0,"",VLOOKUP(C2194,' Disaggregation - Section E '!A$618:N1398,14,0)),"")</f>
        <v/>
      </c>
      <c r="O2194" s="171" t="str">
        <f ca="1">IFERROR(IF(VLOOKUP(C2194,' Disaggregation - Section E '!A$618:N1398,9,0)=0,"",VLOOKUP(C2194,' Disaggregation - Section E '!A$618:N1398,9,0)),"")</f>
        <v/>
      </c>
      <c r="P2194" s="171" t="str">
        <f ca="1">IFERROR(IF(VLOOKUP(C2194,' Disaggregation - Section E '!A$618:N1398,10,0)=0,"",VLOOKUP(C2194,' Disaggregation - Section E '!A$618:N1398,10,0)),"")</f>
        <v/>
      </c>
    </row>
    <row r="2195" spans="1:18">
      <c r="A2195" s="166" t="b">
        <f t="shared" ca="1" si="146"/>
        <v>0</v>
      </c>
      <c r="B2195" s="166"/>
      <c r="C2195" s="172" t="str">
        <f ca="1">IF(COUNTA(D$1418:D2195)=1,"",OFFSET(B2193,-COUNTA(D$1418:D2195)+3,1))</f>
        <v>a163p000004VjnWAAS</v>
      </c>
      <c r="D2195" s="177"/>
      <c r="E2195" s="168" t="str">
        <f ca="1">IFERROR(IF(VLOOKUP(C2195,' Disaggregation - Section E '!A$618:N1399,7,0)="","",VLOOKUP(C2195,' Disaggregation - Section E '!A$618:N1399,7,0)*100),"")</f>
        <v/>
      </c>
      <c r="F2195" s="171" t="str">
        <f ca="1">IFERROR(VLOOKUP(C2195,' Disaggregation - Section E '!A$618:N1399,5,0),"")</f>
        <v/>
      </c>
      <c r="G2195" s="170" t="str">
        <f ca="1">IFERROR(IF(VLOOKUP(C2195,' Disaggregation - Section E '!A$618:N1399,6,0)="","",VLOOKUP(C2195,' Disaggregation - Section E '!A$618:N1399,6,0)),"")</f>
        <v/>
      </c>
      <c r="H2195" s="177" t="str">
        <f ca="1">IFERROR(IF(INDEX(' Disaggregation - Section E '!F$618:F2596,MATCH(C2195,' Disaggregation - Section E '!A$618:A2596,0)+1,1)&lt;&gt;0,INDEX(' Disaggregation - Section E '!F$618:F$1820,MATCH(C2195,' Disaggregation - Section E '!A$618:A2596,0)+1,1),""),"")</f>
        <v/>
      </c>
      <c r="I2195" s="171" t="str">
        <f ca="1">IFERROR(IF(VLOOKUP(C2195,' Disaggregation - Section E '!A$618:N1399,8,0)=0,"",VLOOKUP(C2195,' Disaggregation - Section E '!A$618:N1399,8,0)),"")</f>
        <v/>
      </c>
      <c r="J2195" s="171" t="str">
        <f ca="1">IFERROR(IF(VLOOKUP(C2195,' Disaggregation - Section E '!A$618:N2596,13,0)=0,"",VLOOKUP(C2195,' Disaggregation - Section E '!A$618:N2596,13,0)),"")</f>
        <v/>
      </c>
      <c r="K2195" s="166" t="str">
        <f ca="1">IFERROR(VLOOKUP(C2195,' Disaggregation - Section E '!A$618:N1399,3,0),"")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5" s="166"/>
      <c r="M2195" s="166" t="str">
        <f ca="1">IFERROR(IF(VLOOKUP(C2195,' Disaggregation - Section E '!A$618:T1399,20,0)=0,"",VLOOKUP(C2195,' Disaggregation - Section E '!A$618:T1399,20,0)),"")</f>
        <v/>
      </c>
      <c r="N2195" s="171" t="str">
        <f ca="1">IFERROR(IF(VLOOKUP(C2195,' Disaggregation - Section E '!A$618:N1399,14,0)=0,"",VLOOKUP(C2195,' Disaggregation - Section E '!A$618:N1399,14,0)),"")</f>
        <v/>
      </c>
      <c r="O2195" s="171" t="str">
        <f ca="1">IFERROR(IF(VLOOKUP(C2195,' Disaggregation - Section E '!A$618:N1399,9,0)=0,"",VLOOKUP(C2195,' Disaggregation - Section E '!A$618:N1399,9,0)),"")</f>
        <v/>
      </c>
      <c r="P2195" s="171" t="str">
        <f ca="1">IFERROR(IF(VLOOKUP(C2195,' Disaggregation - Section E '!A$618:N1399,10,0)=0,"",VLOOKUP(C2195,' Disaggregation - Section E '!A$618:N1399,10,0)),"")</f>
        <v/>
      </c>
    </row>
    <row r="2196" spans="1:18">
      <c r="A2196" s="166" t="b">
        <f t="shared" ca="1" si="146"/>
        <v>0</v>
      </c>
      <c r="B2196" s="166"/>
      <c r="C2196" s="172" t="str">
        <f ca="1">IF(COUNTA(D$1418:D2196)=1,"",OFFSET(B2194,-COUNTA(D$1418:D2196)+3,1))</f>
        <v>a163p000004VjnXAAS</v>
      </c>
      <c r="D2196" s="177"/>
      <c r="E2196" s="168" t="str">
        <f ca="1">IFERROR(IF(VLOOKUP(C2196,' Disaggregation - Section E '!A$618:N1400,7,0)="","",VLOOKUP(C2196,' Disaggregation - Section E '!A$618:N1400,7,0)*100),"")</f>
        <v/>
      </c>
      <c r="F2196" s="171" t="str">
        <f ca="1">IFERROR(VLOOKUP(C2196,' Disaggregation - Section E '!A$618:N1400,5,0),"")</f>
        <v/>
      </c>
      <c r="G2196" s="170" t="str">
        <f ca="1">IFERROR(IF(VLOOKUP(C2196,' Disaggregation - Section E '!A$618:N1400,6,0)="","",VLOOKUP(C2196,' Disaggregation - Section E '!A$618:N1400,6,0)),"")</f>
        <v/>
      </c>
      <c r="H2196" s="177" t="str">
        <f ca="1">IFERROR(IF(INDEX(' Disaggregation - Section E '!F$618:F2597,MATCH(C2196,' Disaggregation - Section E '!A$618:A2597,0)+1,1)&lt;&gt;0,INDEX(' Disaggregation - Section E '!F$618:F$1820,MATCH(C2196,' Disaggregation - Section E '!A$618:A2597,0)+1,1),""),"")</f>
        <v/>
      </c>
      <c r="I2196" s="171" t="str">
        <f ca="1">IFERROR(IF(VLOOKUP(C2196,' Disaggregation - Section E '!A$618:N1400,8,0)=0,"",VLOOKUP(C2196,' Disaggregation - Section E '!A$618:N1400,8,0)),"")</f>
        <v/>
      </c>
      <c r="J2196" s="171" t="str">
        <f ca="1">IFERROR(IF(VLOOKUP(C2196,' Disaggregation - Section E '!A$618:N2597,13,0)=0,"",VLOOKUP(C2196,' Disaggregation - Section E '!A$618:N2597,13,0)),"")</f>
        <v/>
      </c>
      <c r="K2196" s="166" t="str">
        <f ca="1">IFERROR(VLOOKUP(C2196,' Disaggregation - Section E '!A$618:N1400,3,0),"")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6" s="166"/>
      <c r="M2196" s="166" t="str">
        <f ca="1">IFERROR(IF(VLOOKUP(C2196,' Disaggregation - Section E '!A$618:T1400,20,0)=0,"",VLOOKUP(C2196,' Disaggregation - Section E '!A$618:T1400,20,0)),"")</f>
        <v/>
      </c>
      <c r="N2196" s="171" t="str">
        <f ca="1">IFERROR(IF(VLOOKUP(C2196,' Disaggregation - Section E '!A$618:N1400,14,0)=0,"",VLOOKUP(C2196,' Disaggregation - Section E '!A$618:N1400,14,0)),"")</f>
        <v/>
      </c>
      <c r="O2196" s="171" t="str">
        <f ca="1">IFERROR(IF(VLOOKUP(C2196,' Disaggregation - Section E '!A$618:N1400,9,0)=0,"",VLOOKUP(C2196,' Disaggregation - Section E '!A$618:N1400,9,0)),"")</f>
        <v/>
      </c>
      <c r="P2196" s="171" t="str">
        <f ca="1">IFERROR(IF(VLOOKUP(C2196,' Disaggregation - Section E '!A$618:N1400,10,0)=0,"",VLOOKUP(C2196,' Disaggregation - Section E '!A$618:N1400,10,0)),"")</f>
        <v/>
      </c>
    </row>
    <row r="2197" spans="1:18">
      <c r="A2197" s="166" t="b">
        <f t="shared" ca="1" si="146"/>
        <v>0</v>
      </c>
      <c r="B2197" s="166"/>
      <c r="C2197" s="172" t="str">
        <f ca="1">IF(COUNTA(D$1418:D2197)=1,"",OFFSET(B2195,-COUNTA(D$1418:D2197)+3,1))</f>
        <v>a163p000004VjnYAAS</v>
      </c>
      <c r="D2197" s="177"/>
      <c r="E2197" s="168" t="str">
        <f ca="1">IFERROR(IF(VLOOKUP(C2197,' Disaggregation - Section E '!A$618:N1401,7,0)="","",VLOOKUP(C2197,' Disaggregation - Section E '!A$618:N1401,7,0)*100),"")</f>
        <v/>
      </c>
      <c r="F2197" s="171" t="str">
        <f ca="1">IFERROR(VLOOKUP(C2197,' Disaggregation - Section E '!A$618:N1401,5,0),"")</f>
        <v/>
      </c>
      <c r="G2197" s="170" t="str">
        <f ca="1">IFERROR(IF(VLOOKUP(C2197,' Disaggregation - Section E '!A$618:N1401,6,0)="","",VLOOKUP(C2197,' Disaggregation - Section E '!A$618:N1401,6,0)),"")</f>
        <v/>
      </c>
      <c r="H2197" s="177" t="str">
        <f ca="1">IFERROR(IF(INDEX(' Disaggregation - Section E '!F$618:F2598,MATCH(C2197,' Disaggregation - Section E '!A$618:A2598,0)+1,1)&lt;&gt;0,INDEX(' Disaggregation - Section E '!F$618:F$1820,MATCH(C2197,' Disaggregation - Section E '!A$618:A2598,0)+1,1),""),"")</f>
        <v/>
      </c>
      <c r="I2197" s="171" t="str">
        <f ca="1">IFERROR(IF(VLOOKUP(C2197,' Disaggregation - Section E '!A$618:N1401,8,0)=0,"",VLOOKUP(C2197,' Disaggregation - Section E '!A$618:N1401,8,0)),"")</f>
        <v/>
      </c>
      <c r="J2197" s="171" t="str">
        <f ca="1">IFERROR(IF(VLOOKUP(C2197,' Disaggregation - Section E '!A$618:N2598,13,0)=0,"",VLOOKUP(C2197,' Disaggregation - Section E '!A$618:N2598,13,0)),"")</f>
        <v/>
      </c>
      <c r="K2197" s="166" t="str">
        <f ca="1">IFERROR(VLOOKUP(C2197,' Disaggregation - Section E '!A$618:N1401,3,0),"")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7" s="166"/>
      <c r="M2197" s="166" t="str">
        <f ca="1">IFERROR(IF(VLOOKUP(C2197,' Disaggregation - Section E '!A$618:T1401,20,0)=0,"",VLOOKUP(C2197,' Disaggregation - Section E '!A$618:T1401,20,0)),"")</f>
        <v/>
      </c>
      <c r="N2197" s="171" t="str">
        <f ca="1">IFERROR(IF(VLOOKUP(C2197,' Disaggregation - Section E '!A$618:N1401,14,0)=0,"",VLOOKUP(C2197,' Disaggregation - Section E '!A$618:N1401,14,0)),"")</f>
        <v/>
      </c>
      <c r="O2197" s="171" t="str">
        <f ca="1">IFERROR(IF(VLOOKUP(C2197,' Disaggregation - Section E '!A$618:N1401,9,0)=0,"",VLOOKUP(C2197,' Disaggregation - Section E '!A$618:N1401,9,0)),"")</f>
        <v/>
      </c>
      <c r="P2197" s="171" t="str">
        <f ca="1">IFERROR(IF(VLOOKUP(C2197,' Disaggregation - Section E '!A$618:N1401,10,0)=0,"",VLOOKUP(C2197,' Disaggregation - Section E '!A$618:N1401,10,0)),"")</f>
        <v/>
      </c>
    </row>
    <row r="2198" spans="1:18">
      <c r="A2198" s="166" t="b">
        <f t="shared" ca="1" si="146"/>
        <v>0</v>
      </c>
      <c r="B2198" s="166"/>
      <c r="C2198" s="172" t="str">
        <f ca="1">IF(COUNTA(D$1418:D2198)=1,"",OFFSET(B2196,-COUNTA(D$1418:D2198)+3,1))</f>
        <v>a163p000004VjnZAAS</v>
      </c>
      <c r="D2198" s="177"/>
      <c r="E2198" s="168" t="str">
        <f ca="1">IFERROR(IF(VLOOKUP(C2198,' Disaggregation - Section E '!A$618:N1402,7,0)="","",VLOOKUP(C2198,' Disaggregation - Section E '!A$618:N1402,7,0)*100),"")</f>
        <v/>
      </c>
      <c r="F2198" s="171" t="str">
        <f ca="1">IFERROR(VLOOKUP(C2198,' Disaggregation - Section E '!A$618:N1402,5,0),"")</f>
        <v/>
      </c>
      <c r="G2198" s="170" t="str">
        <f ca="1">IFERROR(IF(VLOOKUP(C2198,' Disaggregation - Section E '!A$618:N1402,6,0)="","",VLOOKUP(C2198,' Disaggregation - Section E '!A$618:N1402,6,0)),"")</f>
        <v/>
      </c>
      <c r="H2198" s="177" t="str">
        <f ca="1">IFERROR(IF(INDEX(' Disaggregation - Section E '!F$618:F2599,MATCH(C2198,' Disaggregation - Section E '!A$618:A2599,0)+1,1)&lt;&gt;0,INDEX(' Disaggregation - Section E '!F$618:F$1820,MATCH(C2198,' Disaggregation - Section E '!A$618:A2599,0)+1,1),""),"")</f>
        <v/>
      </c>
      <c r="I2198" s="171" t="str">
        <f ca="1">IFERROR(IF(VLOOKUP(C2198,' Disaggregation - Section E '!A$618:N1402,8,0)=0,"",VLOOKUP(C2198,' Disaggregation - Section E '!A$618:N1402,8,0)),"")</f>
        <v/>
      </c>
      <c r="J2198" s="171" t="str">
        <f ca="1">IFERROR(IF(VLOOKUP(C2198,' Disaggregation - Section E '!A$618:N2599,13,0)=0,"",VLOOKUP(C2198,' Disaggregation - Section E '!A$618:N2599,13,0)),"")</f>
        <v/>
      </c>
      <c r="K2198" s="166" t="str">
        <f ca="1">IFERROR(VLOOKUP(C2198,' Disaggregation - Section E '!A$618:N1402,3,0),"")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8" s="166"/>
      <c r="M2198" s="166" t="str">
        <f ca="1">IFERROR(IF(VLOOKUP(C2198,' Disaggregation - Section E '!A$618:T1402,20,0)=0,"",VLOOKUP(C2198,' Disaggregation - Section E '!A$618:T1402,20,0)),"")</f>
        <v/>
      </c>
      <c r="N2198" s="171" t="str">
        <f ca="1">IFERROR(IF(VLOOKUP(C2198,' Disaggregation - Section E '!A$618:N1402,14,0)=0,"",VLOOKUP(C2198,' Disaggregation - Section E '!A$618:N1402,14,0)),"")</f>
        <v/>
      </c>
      <c r="O2198" s="171" t="str">
        <f ca="1">IFERROR(IF(VLOOKUP(C2198,' Disaggregation - Section E '!A$618:N1402,9,0)=0,"",VLOOKUP(C2198,' Disaggregation - Section E '!A$618:N1402,9,0)),"")</f>
        <v/>
      </c>
      <c r="P2198" s="171" t="str">
        <f ca="1">IFERROR(IF(VLOOKUP(C2198,' Disaggregation - Section E '!A$618:N1402,10,0)=0,"",VLOOKUP(C2198,' Disaggregation - Section E '!A$618:N1402,10,0)),"")</f>
        <v/>
      </c>
    </row>
    <row r="2199" spans="1:18">
      <c r="A2199" s="166" t="b">
        <f t="shared" ca="1" si="146"/>
        <v>0</v>
      </c>
      <c r="B2199" s="166"/>
      <c r="C2199" s="172" t="str">
        <f ca="1">IF(COUNTA(D$1418:D2199)=1,"",OFFSET(B2197,-COUNTA(D$1418:D2199)+3,1))</f>
        <v>a163p000004VjnaAAC</v>
      </c>
      <c r="D2199" s="177"/>
      <c r="E2199" s="168" t="str">
        <f ca="1">IFERROR(IF(VLOOKUP(C2199,' Disaggregation - Section E '!A$618:N1403,7,0)="","",VLOOKUP(C2199,' Disaggregation - Section E '!A$618:N1403,7,0)*100),"")</f>
        <v/>
      </c>
      <c r="F2199" s="171" t="str">
        <f ca="1">IFERROR(VLOOKUP(C2199,' Disaggregation - Section E '!A$618:N1403,5,0),"")</f>
        <v/>
      </c>
      <c r="G2199" s="170" t="str">
        <f ca="1">IFERROR(IF(VLOOKUP(C2199,' Disaggregation - Section E '!A$618:N1403,6,0)="","",VLOOKUP(C2199,' Disaggregation - Section E '!A$618:N1403,6,0)),"")</f>
        <v/>
      </c>
      <c r="H2199" s="177" t="str">
        <f ca="1">IFERROR(IF(INDEX(' Disaggregation - Section E '!F$618:F2600,MATCH(C2199,' Disaggregation - Section E '!A$618:A2600,0)+1,1)&lt;&gt;0,INDEX(' Disaggregation - Section E '!F$618:F$1820,MATCH(C2199,' Disaggregation - Section E '!A$618:A2600,0)+1,1),""),"")</f>
        <v/>
      </c>
      <c r="I2199" s="171" t="str">
        <f ca="1">IFERROR(IF(VLOOKUP(C2199,' Disaggregation - Section E '!A$618:N1403,8,0)=0,"",VLOOKUP(C2199,' Disaggregation - Section E '!A$618:N1403,8,0)),"")</f>
        <v/>
      </c>
      <c r="J2199" s="171" t="str">
        <f ca="1">IFERROR(IF(VLOOKUP(C2199,' Disaggregation - Section E '!A$618:N2600,13,0)=0,"",VLOOKUP(C2199,' Disaggregation - Section E '!A$618:N2600,13,0)),"")</f>
        <v/>
      </c>
      <c r="K2199" s="166" t="str">
        <f ca="1">IFERROR(VLOOKUP(C2199,' Disaggregation - Section E '!A$618:N1403,3,0),"")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9" s="166"/>
      <c r="M2199" s="166" t="str">
        <f ca="1">IFERROR(IF(VLOOKUP(C2199,' Disaggregation - Section E '!A$618:T1403,20,0)=0,"",VLOOKUP(C2199,' Disaggregation - Section E '!A$618:T1403,20,0)),"")</f>
        <v/>
      </c>
      <c r="N2199" s="171" t="str">
        <f ca="1">IFERROR(IF(VLOOKUP(C2199,' Disaggregation - Section E '!A$618:N1403,14,0)=0,"",VLOOKUP(C2199,' Disaggregation - Section E '!A$618:N1403,14,0)),"")</f>
        <v/>
      </c>
      <c r="O2199" s="171" t="str">
        <f ca="1">IFERROR(IF(VLOOKUP(C2199,' Disaggregation - Section E '!A$618:N1403,9,0)=0,"",VLOOKUP(C2199,' Disaggregation - Section E '!A$618:N1403,9,0)),"")</f>
        <v/>
      </c>
      <c r="P2199" s="171" t="str">
        <f ca="1">IFERROR(IF(VLOOKUP(C2199,' Disaggregation - Section E '!A$618:N1403,10,0)=0,"",VLOOKUP(C2199,' Disaggregation - Section E '!A$618:N1403,10,0)),"")</f>
        <v/>
      </c>
    </row>
    <row r="2200" spans="1:18">
      <c r="J2200" s="164" t="str">
        <f ca="1">IF(ROW()&gt;'Impact Indicator Target Update'!A19,"",INDIRECT("'Impact Indicators - Section B'!A"&amp;'Impact Indicator Target Update'!D19))</f>
        <v/>
      </c>
    </row>
    <row r="2201" spans="1:18">
      <c r="J2201" s="164" t="str">
        <f ca="1">IF(ROW()&gt;'Impact Indicator Target Update'!A20,"",INDIRECT("'Impact Indicators - Section B'!A"&amp;'Impact Indicator Target Update'!D20))</f>
        <v/>
      </c>
    </row>
    <row r="2202" spans="1:18">
      <c r="A2202" s="165" t="s">
        <v>4506</v>
      </c>
      <c r="B2202" s="164" t="s">
        <v>3331</v>
      </c>
      <c r="J2202" s="164" t="str">
        <f ca="1">IF(ROW()&gt;'Impact Indicator Target Update'!A21,"",INDIRECT("'Impact Indicators - Section B'!A"&amp;'Impact Indicator Target Update'!D21))</f>
        <v/>
      </c>
    </row>
    <row r="2203" spans="1:18">
      <c r="A2203" s="166" t="s">
        <v>348</v>
      </c>
      <c r="B2203" s="166">
        <v>7</v>
      </c>
      <c r="C2203" s="166" t="s">
        <v>341</v>
      </c>
      <c r="D2203" s="166" t="s">
        <v>4507</v>
      </c>
      <c r="E2203" s="166" t="s">
        <v>4508</v>
      </c>
      <c r="F2203" s="166" t="s">
        <v>4509</v>
      </c>
      <c r="G2203" s="166" t="s">
        <v>4510</v>
      </c>
      <c r="H2203" s="166">
        <v>-81</v>
      </c>
      <c r="I2203" s="166" t="s">
        <v>3055</v>
      </c>
      <c r="J2203" s="166" t="s">
        <v>2302</v>
      </c>
      <c r="K2203" s="166" t="s">
        <v>485</v>
      </c>
      <c r="L2203" s="166" t="s">
        <v>3336</v>
      </c>
      <c r="M2203" s="166" t="s">
        <v>4511</v>
      </c>
      <c r="N2203" s="166" t="s">
        <v>3599</v>
      </c>
      <c r="O2203" s="166" t="s">
        <v>3602</v>
      </c>
      <c r="P2203" s="166" t="s">
        <v>1621</v>
      </c>
      <c r="Q2203" s="166" t="s">
        <v>987</v>
      </c>
      <c r="R2203" s="166" t="s">
        <v>4512</v>
      </c>
    </row>
    <row r="2204" spans="1:18" hidden="1">
      <c r="A2204" s="166" t="b">
        <f ca="1">IF(M2204&lt;&gt;"",TRUE,FALSE)</f>
        <v>1</v>
      </c>
      <c r="B2204" s="166">
        <f ca="1">IF(_xlfn.ISFORMULA(J2204),B2203+1,B2203)</f>
        <v>8</v>
      </c>
      <c r="C2204" s="166" t="str">
        <f ca="1">IF(COUNTA($G$2202:G2203)=1,"",OFFSET(B2204,-COUNTA($G$2202:G2203)+1,1))</f>
        <v/>
      </c>
      <c r="D2204" s="166" t="str">
        <f ca="1">IFERROR(IF(INDIRECT("'WPTM - Section F'!AT"&amp;$B2204)=0,"",INDIRECT("'WPTM - Section F'!AT"&amp;$B2204)),"")</f>
        <v/>
      </c>
      <c r="E2204" s="171"/>
      <c r="F2204" s="171" t="str">
        <f ca="1">IFERROR(IF(INDIRECT("'WPTM - Section F'!AU"&amp;$B2204)=0,"",INDIRECT("'WPTM - Section F'!AU"&amp;$B2204)),"")</f>
        <v>Actividad clave (EN)</v>
      </c>
      <c r="G2204" s="171"/>
      <c r="H2204" s="167">
        <f>H2203+1</f>
        <v>-80</v>
      </c>
      <c r="I2204" s="166" t="str">
        <f ca="1">IF(IFERROR(VLOOKUP(INDIRECT("'WPTM - Section F'!F"&amp;B2204),'Overview - Section A'!M$30:R41,6,0),IFERROR(VLOOKUP(INDIRECT("'WPTM - Section F'!F"&amp;B2204),'Overview - Section A'!E$27:J29,6,0),""))=0,"",IFERROR(VLOOKUP(INDIRECT("'WPTM - Section F'!F"&amp;B2204),'Overview - Section A'!M$30:R41,6,0),IFERROR(VLOOKUP(INDIRECT("'WPTM - Section F'!F"&amp;B2204),'Overview - Section A'!E$27:J29,6,0),"")))</f>
        <v/>
      </c>
      <c r="J2204" s="166" t="str">
        <f ca="1">IFERROR(IF(INDIRECT("'WPTM - Section F'!G"&amp;$B2204)=0,"",INDIRECT("'WPTM - Section F'!G"&amp;$B2204)),"")</f>
        <v>País</v>
      </c>
      <c r="K2204" s="171" t="str">
        <f ca="1">IFERROR(IF(INDIRECT("'WPTM - Section F'!BF"&amp;$B2204)=0,"",INDIRECT("'WPTM - Section F'!BF"&amp;$B2204)),"")</f>
        <v>population english</v>
      </c>
      <c r="L2204" s="166" t="str">
        <f ca="1">IFERROR(INDEX('Reference Records'!F$429:F654,MATCH(INDIRECT("'WPTM - Section F'!AP"&amp;B2204)&amp;"|"&amp;INDIRECT("'WPTM - Section F'!C"&amp;$B2204),'Reference Records'!G$429:G654,0)),"")</f>
        <v/>
      </c>
      <c r="M2204" s="171" t="str">
        <f ca="1">IFERROR(IF(INDIRECT("'WPTM - Section F'!E"&amp;$B2204)=0,"",INDIRECT("'WPTM - Section F'!E"&amp;$B2204)),"")</f>
        <v>Actividad clave</v>
      </c>
      <c r="N2204" s="171" t="str">
        <f ca="1">IFERROR(IF(INDIRECT("'WPTM - Section F'!AV"&amp;$B2204)=0,"",INDIRECT("'WPTM - Section F'!AV"&amp;$B2204)),"")</f>
        <v>Comentarios (EN)</v>
      </c>
      <c r="O2204" s="171" t="str">
        <f ca="1">IFERROR(IF(INDIRECT("'WPTM - Section F'!AN"&amp;$B2204)=0,"",INDIRECT("'WPTM - Section F'!AN"&amp;$B2204)),"")</f>
        <v>Comentarios</v>
      </c>
      <c r="P2204" s="171" t="str">
        <f ca="1">IFERROR(IF(INDIRECT("'WPTM - Section F'!BE"&amp;$B2204)=0,"",INDIRECT("'WPTM - Section F'!BE"&amp;$B2204)),"")</f>
        <v>english interventions</v>
      </c>
      <c r="Q2204" s="171" t="s">
        <v>4513</v>
      </c>
      <c r="R2204" s="177" t="s">
        <v>4514</v>
      </c>
    </row>
    <row r="2205" spans="1:18">
      <c r="A2205" s="166" t="b">
        <v>0</v>
      </c>
      <c r="B2205" s="166">
        <f t="shared" ref="B2205:B2268" ca="1" si="147">IF(_xlfn.ISFORMULA(J2205),B2204+1,B2204)</f>
        <v>8</v>
      </c>
      <c r="C2205" s="413" t="s">
        <v>4515</v>
      </c>
      <c r="D2205" s="166" t="s">
        <v>507</v>
      </c>
      <c r="E2205" s="171"/>
      <c r="F2205" s="171"/>
      <c r="G2205" s="414" t="s">
        <v>4516</v>
      </c>
      <c r="H2205" s="167">
        <f t="shared" ref="H2205:H2268" si="148">H2204+1</f>
        <v>-79</v>
      </c>
      <c r="I2205" s="166"/>
      <c r="J2205" s="166"/>
      <c r="K2205" s="171"/>
      <c r="L2205" s="166"/>
      <c r="M2205" s="171"/>
      <c r="N2205" s="171"/>
      <c r="O2205" s="171"/>
      <c r="P2205" s="171"/>
      <c r="Q2205" s="171"/>
      <c r="R2205" s="177">
        <v>1</v>
      </c>
    </row>
    <row r="2206" spans="1:18">
      <c r="A2206" s="166" t="b">
        <v>0</v>
      </c>
      <c r="B2206" s="166">
        <f t="shared" ca="1" si="147"/>
        <v>8</v>
      </c>
      <c r="C2206" s="413" t="s">
        <v>4517</v>
      </c>
      <c r="D2206" s="166" t="s">
        <v>507</v>
      </c>
      <c r="E2206" s="171"/>
      <c r="F2206" s="171"/>
      <c r="G2206" s="414" t="s">
        <v>4518</v>
      </c>
      <c r="H2206" s="167">
        <f t="shared" si="148"/>
        <v>-78</v>
      </c>
      <c r="I2206" s="166"/>
      <c r="J2206" s="166"/>
      <c r="K2206" s="171"/>
      <c r="L2206" s="166"/>
      <c r="M2206" s="171"/>
      <c r="N2206" s="171"/>
      <c r="O2206" s="171"/>
      <c r="P2206" s="171"/>
      <c r="Q2206" s="171"/>
      <c r="R2206" s="177">
        <v>2</v>
      </c>
    </row>
    <row r="2207" spans="1:18">
      <c r="A2207" s="166" t="b">
        <v>0</v>
      </c>
      <c r="B2207" s="166">
        <f t="shared" ca="1" si="147"/>
        <v>8</v>
      </c>
      <c r="C2207" s="413" t="s">
        <v>4519</v>
      </c>
      <c r="D2207" s="166" t="s">
        <v>507</v>
      </c>
      <c r="E2207" s="171"/>
      <c r="F2207" s="171"/>
      <c r="G2207" s="414" t="s">
        <v>4520</v>
      </c>
      <c r="H2207" s="167">
        <f t="shared" si="148"/>
        <v>-77</v>
      </c>
      <c r="I2207" s="166"/>
      <c r="J2207" s="166"/>
      <c r="K2207" s="171"/>
      <c r="L2207" s="166"/>
      <c r="M2207" s="171"/>
      <c r="N2207" s="171"/>
      <c r="O2207" s="171"/>
      <c r="P2207" s="171"/>
      <c r="Q2207" s="171"/>
      <c r="R2207" s="177">
        <v>3</v>
      </c>
    </row>
    <row r="2208" spans="1:18">
      <c r="A2208" s="166" t="b">
        <v>0</v>
      </c>
      <c r="B2208" s="166">
        <f t="shared" ca="1" si="147"/>
        <v>8</v>
      </c>
      <c r="C2208" s="413" t="s">
        <v>4521</v>
      </c>
      <c r="D2208" s="166" t="s">
        <v>507</v>
      </c>
      <c r="E2208" s="171"/>
      <c r="F2208" s="171"/>
      <c r="G2208" s="414" t="s">
        <v>4522</v>
      </c>
      <c r="H2208" s="167">
        <f t="shared" si="148"/>
        <v>-76</v>
      </c>
      <c r="I2208" s="166"/>
      <c r="J2208" s="166"/>
      <c r="K2208" s="171"/>
      <c r="L2208" s="166"/>
      <c r="M2208" s="171"/>
      <c r="N2208" s="171"/>
      <c r="O2208" s="171"/>
      <c r="P2208" s="171"/>
      <c r="Q2208" s="171"/>
      <c r="R2208" s="177">
        <v>4</v>
      </c>
    </row>
    <row r="2209" spans="1:18">
      <c r="A2209" s="166" t="b">
        <v>0</v>
      </c>
      <c r="B2209" s="166">
        <f t="shared" ca="1" si="147"/>
        <v>8</v>
      </c>
      <c r="C2209" s="413" t="s">
        <v>4523</v>
      </c>
      <c r="D2209" s="166" t="s">
        <v>507</v>
      </c>
      <c r="E2209" s="171"/>
      <c r="F2209" s="171"/>
      <c r="G2209" s="414" t="s">
        <v>4524</v>
      </c>
      <c r="H2209" s="167">
        <f t="shared" si="148"/>
        <v>-75</v>
      </c>
      <c r="I2209" s="166"/>
      <c r="J2209" s="166"/>
      <c r="K2209" s="171"/>
      <c r="L2209" s="166"/>
      <c r="M2209" s="171"/>
      <c r="N2209" s="171"/>
      <c r="O2209" s="171"/>
      <c r="P2209" s="171"/>
      <c r="Q2209" s="171"/>
      <c r="R2209" s="177">
        <v>5</v>
      </c>
    </row>
    <row r="2210" spans="1:18">
      <c r="A2210" s="166" t="b">
        <v>0</v>
      </c>
      <c r="B2210" s="166">
        <f t="shared" ca="1" si="147"/>
        <v>8</v>
      </c>
      <c r="C2210" s="413" t="s">
        <v>4525</v>
      </c>
      <c r="D2210" s="166" t="s">
        <v>507</v>
      </c>
      <c r="E2210" s="171"/>
      <c r="F2210" s="171"/>
      <c r="G2210" s="414" t="s">
        <v>4526</v>
      </c>
      <c r="H2210" s="167">
        <f t="shared" si="148"/>
        <v>-74</v>
      </c>
      <c r="I2210" s="166"/>
      <c r="J2210" s="166"/>
      <c r="K2210" s="171"/>
      <c r="L2210" s="166"/>
      <c r="M2210" s="171"/>
      <c r="N2210" s="171"/>
      <c r="O2210" s="171"/>
      <c r="P2210" s="171"/>
      <c r="Q2210" s="171"/>
      <c r="R2210" s="177">
        <v>6</v>
      </c>
    </row>
    <row r="2211" spans="1:18">
      <c r="A2211" s="166" t="b">
        <v>0</v>
      </c>
      <c r="B2211" s="166">
        <f t="shared" ca="1" si="147"/>
        <v>8</v>
      </c>
      <c r="C2211" s="413" t="s">
        <v>4527</v>
      </c>
      <c r="D2211" s="166" t="s">
        <v>507</v>
      </c>
      <c r="E2211" s="171"/>
      <c r="F2211" s="171"/>
      <c r="G2211" s="414" t="s">
        <v>4528</v>
      </c>
      <c r="H2211" s="167">
        <f t="shared" si="148"/>
        <v>-73</v>
      </c>
      <c r="I2211" s="166"/>
      <c r="J2211" s="166"/>
      <c r="K2211" s="171"/>
      <c r="L2211" s="166"/>
      <c r="M2211" s="171"/>
      <c r="N2211" s="171"/>
      <c r="O2211" s="171"/>
      <c r="P2211" s="171"/>
      <c r="Q2211" s="171"/>
      <c r="R2211" s="177">
        <v>7</v>
      </c>
    </row>
    <row r="2212" spans="1:18">
      <c r="A2212" s="166" t="b">
        <v>0</v>
      </c>
      <c r="B2212" s="166">
        <f t="shared" ca="1" si="147"/>
        <v>8</v>
      </c>
      <c r="C2212" s="413" t="s">
        <v>4529</v>
      </c>
      <c r="D2212" s="166" t="s">
        <v>507</v>
      </c>
      <c r="E2212" s="171"/>
      <c r="F2212" s="171"/>
      <c r="G2212" s="414" t="s">
        <v>4530</v>
      </c>
      <c r="H2212" s="167">
        <f t="shared" si="148"/>
        <v>-72</v>
      </c>
      <c r="I2212" s="166"/>
      <c r="J2212" s="166"/>
      <c r="K2212" s="171"/>
      <c r="L2212" s="166"/>
      <c r="M2212" s="171"/>
      <c r="N2212" s="171"/>
      <c r="O2212" s="171"/>
      <c r="P2212" s="171"/>
      <c r="Q2212" s="171"/>
      <c r="R2212" s="177">
        <v>8</v>
      </c>
    </row>
    <row r="2213" spans="1:18">
      <c r="A2213" s="166" t="b">
        <v>0</v>
      </c>
      <c r="B2213" s="166">
        <f t="shared" ca="1" si="147"/>
        <v>8</v>
      </c>
      <c r="C2213" s="413" t="s">
        <v>4531</v>
      </c>
      <c r="D2213" s="166" t="s">
        <v>507</v>
      </c>
      <c r="E2213" s="171"/>
      <c r="F2213" s="171"/>
      <c r="G2213" s="414" t="s">
        <v>4532</v>
      </c>
      <c r="H2213" s="167">
        <f t="shared" si="148"/>
        <v>-71</v>
      </c>
      <c r="I2213" s="166"/>
      <c r="J2213" s="166"/>
      <c r="K2213" s="171"/>
      <c r="L2213" s="166"/>
      <c r="M2213" s="171"/>
      <c r="N2213" s="171"/>
      <c r="O2213" s="171"/>
      <c r="P2213" s="171"/>
      <c r="Q2213" s="171"/>
      <c r="R2213" s="177">
        <v>9</v>
      </c>
    </row>
    <row r="2214" spans="1:18">
      <c r="A2214" s="166" t="b">
        <v>0</v>
      </c>
      <c r="B2214" s="166">
        <f t="shared" ca="1" si="147"/>
        <v>8</v>
      </c>
      <c r="C2214" s="413" t="s">
        <v>4533</v>
      </c>
      <c r="D2214" s="166" t="s">
        <v>507</v>
      </c>
      <c r="E2214" s="171"/>
      <c r="F2214" s="171"/>
      <c r="G2214" s="414" t="s">
        <v>4534</v>
      </c>
      <c r="H2214" s="167">
        <f t="shared" si="148"/>
        <v>-70</v>
      </c>
      <c r="I2214" s="166"/>
      <c r="J2214" s="166"/>
      <c r="K2214" s="171"/>
      <c r="L2214" s="166"/>
      <c r="M2214" s="171"/>
      <c r="N2214" s="171"/>
      <c r="O2214" s="171"/>
      <c r="P2214" s="171"/>
      <c r="Q2214" s="171"/>
      <c r="R2214" s="177">
        <v>10</v>
      </c>
    </row>
    <row r="2215" spans="1:18">
      <c r="A2215" s="166" t="b">
        <v>0</v>
      </c>
      <c r="B2215" s="166">
        <f t="shared" ca="1" si="147"/>
        <v>8</v>
      </c>
      <c r="C2215" s="413" t="s">
        <v>4535</v>
      </c>
      <c r="D2215" s="166" t="s">
        <v>507</v>
      </c>
      <c r="E2215" s="171"/>
      <c r="F2215" s="171"/>
      <c r="G2215" s="414" t="s">
        <v>4536</v>
      </c>
      <c r="H2215" s="167">
        <f t="shared" si="148"/>
        <v>-69</v>
      </c>
      <c r="I2215" s="166"/>
      <c r="J2215" s="166"/>
      <c r="K2215" s="171"/>
      <c r="L2215" s="166"/>
      <c r="M2215" s="171"/>
      <c r="N2215" s="171"/>
      <c r="O2215" s="171"/>
      <c r="P2215" s="171"/>
      <c r="Q2215" s="171"/>
      <c r="R2215" s="177">
        <v>11</v>
      </c>
    </row>
    <row r="2216" spans="1:18">
      <c r="A2216" s="166" t="b">
        <v>0</v>
      </c>
      <c r="B2216" s="166">
        <f t="shared" ca="1" si="147"/>
        <v>8</v>
      </c>
      <c r="C2216" s="413" t="s">
        <v>4537</v>
      </c>
      <c r="D2216" s="166" t="s">
        <v>507</v>
      </c>
      <c r="E2216" s="171"/>
      <c r="F2216" s="171"/>
      <c r="G2216" s="414" t="s">
        <v>4538</v>
      </c>
      <c r="H2216" s="167">
        <f t="shared" si="148"/>
        <v>-68</v>
      </c>
      <c r="I2216" s="166"/>
      <c r="J2216" s="166"/>
      <c r="K2216" s="171"/>
      <c r="L2216" s="166"/>
      <c r="M2216" s="171"/>
      <c r="N2216" s="171"/>
      <c r="O2216" s="171"/>
      <c r="P2216" s="171"/>
      <c r="Q2216" s="171"/>
      <c r="R2216" s="177">
        <v>12</v>
      </c>
    </row>
    <row r="2217" spans="1:18">
      <c r="A2217" s="166" t="b">
        <v>0</v>
      </c>
      <c r="B2217" s="166">
        <f t="shared" ca="1" si="147"/>
        <v>8</v>
      </c>
      <c r="C2217" s="413" t="s">
        <v>4539</v>
      </c>
      <c r="D2217" s="166" t="s">
        <v>507</v>
      </c>
      <c r="E2217" s="171"/>
      <c r="F2217" s="171"/>
      <c r="G2217" s="414" t="s">
        <v>4540</v>
      </c>
      <c r="H2217" s="167">
        <f t="shared" si="148"/>
        <v>-67</v>
      </c>
      <c r="I2217" s="166"/>
      <c r="J2217" s="166"/>
      <c r="K2217" s="171"/>
      <c r="L2217" s="166"/>
      <c r="M2217" s="171"/>
      <c r="N2217" s="171"/>
      <c r="O2217" s="171"/>
      <c r="P2217" s="171"/>
      <c r="Q2217" s="171"/>
      <c r="R2217" s="177">
        <v>13</v>
      </c>
    </row>
    <row r="2218" spans="1:18">
      <c r="A2218" s="166" t="b">
        <v>0</v>
      </c>
      <c r="B2218" s="166">
        <f t="shared" ca="1" si="147"/>
        <v>8</v>
      </c>
      <c r="C2218" s="413" t="s">
        <v>4541</v>
      </c>
      <c r="D2218" s="166" t="s">
        <v>507</v>
      </c>
      <c r="E2218" s="171"/>
      <c r="F2218" s="171"/>
      <c r="G2218" s="414" t="s">
        <v>4542</v>
      </c>
      <c r="H2218" s="167">
        <f t="shared" si="148"/>
        <v>-66</v>
      </c>
      <c r="I2218" s="166"/>
      <c r="J2218" s="166"/>
      <c r="K2218" s="171"/>
      <c r="L2218" s="166"/>
      <c r="M2218" s="171"/>
      <c r="N2218" s="171"/>
      <c r="O2218" s="171"/>
      <c r="P2218" s="171"/>
      <c r="Q2218" s="171"/>
      <c r="R2218" s="177">
        <v>14</v>
      </c>
    </row>
    <row r="2219" spans="1:18">
      <c r="A2219" s="166" t="b">
        <v>0</v>
      </c>
      <c r="B2219" s="166">
        <f t="shared" ca="1" si="147"/>
        <v>8</v>
      </c>
      <c r="C2219" s="413" t="s">
        <v>4543</v>
      </c>
      <c r="D2219" s="166" t="s">
        <v>507</v>
      </c>
      <c r="E2219" s="171"/>
      <c r="F2219" s="171"/>
      <c r="G2219" s="414" t="s">
        <v>4544</v>
      </c>
      <c r="H2219" s="167">
        <f t="shared" si="148"/>
        <v>-65</v>
      </c>
      <c r="I2219" s="166"/>
      <c r="J2219" s="166"/>
      <c r="K2219" s="171"/>
      <c r="L2219" s="166"/>
      <c r="M2219" s="171"/>
      <c r="N2219" s="171"/>
      <c r="O2219" s="171"/>
      <c r="P2219" s="171"/>
      <c r="Q2219" s="171"/>
      <c r="R2219" s="177">
        <v>15</v>
      </c>
    </row>
    <row r="2220" spans="1:18">
      <c r="A2220" s="166" t="b">
        <v>0</v>
      </c>
      <c r="B2220" s="166">
        <f t="shared" ca="1" si="147"/>
        <v>8</v>
      </c>
      <c r="C2220" s="413" t="s">
        <v>4545</v>
      </c>
      <c r="D2220" s="166" t="s">
        <v>507</v>
      </c>
      <c r="E2220" s="171"/>
      <c r="F2220" s="171"/>
      <c r="G2220" s="414" t="s">
        <v>4546</v>
      </c>
      <c r="H2220" s="167">
        <f t="shared" si="148"/>
        <v>-64</v>
      </c>
      <c r="I2220" s="166"/>
      <c r="J2220" s="166"/>
      <c r="K2220" s="171"/>
      <c r="L2220" s="166"/>
      <c r="M2220" s="171"/>
      <c r="N2220" s="171"/>
      <c r="O2220" s="171"/>
      <c r="P2220" s="171"/>
      <c r="Q2220" s="171"/>
      <c r="R2220" s="177">
        <v>16</v>
      </c>
    </row>
    <row r="2221" spans="1:18">
      <c r="A2221" s="166" t="b">
        <v>0</v>
      </c>
      <c r="B2221" s="166">
        <f t="shared" ca="1" si="147"/>
        <v>8</v>
      </c>
      <c r="C2221" s="413" t="s">
        <v>4547</v>
      </c>
      <c r="D2221" s="166" t="s">
        <v>507</v>
      </c>
      <c r="E2221" s="171"/>
      <c r="F2221" s="171"/>
      <c r="G2221" s="414" t="s">
        <v>4548</v>
      </c>
      <c r="H2221" s="167">
        <f t="shared" si="148"/>
        <v>-63</v>
      </c>
      <c r="I2221" s="166"/>
      <c r="J2221" s="166"/>
      <c r="K2221" s="171"/>
      <c r="L2221" s="166"/>
      <c r="M2221" s="171"/>
      <c r="N2221" s="171"/>
      <c r="O2221" s="171"/>
      <c r="P2221" s="171"/>
      <c r="Q2221" s="171"/>
      <c r="R2221" s="177">
        <v>17</v>
      </c>
    </row>
    <row r="2222" spans="1:18">
      <c r="A2222" s="166" t="b">
        <v>0</v>
      </c>
      <c r="B2222" s="166">
        <f t="shared" ca="1" si="147"/>
        <v>8</v>
      </c>
      <c r="C2222" s="413" t="s">
        <v>4549</v>
      </c>
      <c r="D2222" s="166" t="s">
        <v>507</v>
      </c>
      <c r="E2222" s="171"/>
      <c r="F2222" s="171"/>
      <c r="G2222" s="414" t="s">
        <v>4550</v>
      </c>
      <c r="H2222" s="167">
        <f t="shared" si="148"/>
        <v>-62</v>
      </c>
      <c r="I2222" s="166"/>
      <c r="J2222" s="166"/>
      <c r="K2222" s="171"/>
      <c r="L2222" s="166"/>
      <c r="M2222" s="171"/>
      <c r="N2222" s="171"/>
      <c r="O2222" s="171"/>
      <c r="P2222" s="171"/>
      <c r="Q2222" s="171"/>
      <c r="R2222" s="177">
        <v>18</v>
      </c>
    </row>
    <row r="2223" spans="1:18">
      <c r="A2223" s="166" t="b">
        <v>0</v>
      </c>
      <c r="B2223" s="166">
        <f t="shared" ca="1" si="147"/>
        <v>8</v>
      </c>
      <c r="C2223" s="413" t="s">
        <v>4551</v>
      </c>
      <c r="D2223" s="166" t="s">
        <v>507</v>
      </c>
      <c r="E2223" s="171"/>
      <c r="F2223" s="171"/>
      <c r="G2223" s="414" t="s">
        <v>4552</v>
      </c>
      <c r="H2223" s="167">
        <f t="shared" si="148"/>
        <v>-61</v>
      </c>
      <c r="I2223" s="166"/>
      <c r="J2223" s="166"/>
      <c r="K2223" s="171"/>
      <c r="L2223" s="166"/>
      <c r="M2223" s="171"/>
      <c r="N2223" s="171"/>
      <c r="O2223" s="171"/>
      <c r="P2223" s="171"/>
      <c r="Q2223" s="171"/>
      <c r="R2223" s="177">
        <v>19</v>
      </c>
    </row>
    <row r="2224" spans="1:18">
      <c r="A2224" s="166" t="b">
        <v>0</v>
      </c>
      <c r="B2224" s="166">
        <f t="shared" ca="1" si="147"/>
        <v>8</v>
      </c>
      <c r="C2224" s="413" t="s">
        <v>4553</v>
      </c>
      <c r="D2224" s="166" t="s">
        <v>507</v>
      </c>
      <c r="E2224" s="171"/>
      <c r="F2224" s="171"/>
      <c r="G2224" s="414" t="s">
        <v>4554</v>
      </c>
      <c r="H2224" s="167">
        <f t="shared" si="148"/>
        <v>-60</v>
      </c>
      <c r="I2224" s="166"/>
      <c r="J2224" s="166"/>
      <c r="K2224" s="171"/>
      <c r="L2224" s="166"/>
      <c r="M2224" s="171"/>
      <c r="N2224" s="171"/>
      <c r="O2224" s="171"/>
      <c r="P2224" s="171"/>
      <c r="Q2224" s="171"/>
      <c r="R2224" s="177">
        <v>20</v>
      </c>
    </row>
    <row r="2225" spans="1:18">
      <c r="A2225" s="166" t="b">
        <v>0</v>
      </c>
      <c r="B2225" s="166">
        <f t="shared" ca="1" si="147"/>
        <v>8</v>
      </c>
      <c r="C2225" s="413" t="s">
        <v>4555</v>
      </c>
      <c r="D2225" s="166" t="s">
        <v>507</v>
      </c>
      <c r="E2225" s="171"/>
      <c r="F2225" s="171"/>
      <c r="G2225" s="414" t="s">
        <v>4556</v>
      </c>
      <c r="H2225" s="167">
        <f t="shared" si="148"/>
        <v>-59</v>
      </c>
      <c r="I2225" s="166"/>
      <c r="J2225" s="166"/>
      <c r="K2225" s="171"/>
      <c r="L2225" s="166"/>
      <c r="M2225" s="171"/>
      <c r="N2225" s="171"/>
      <c r="O2225" s="171"/>
      <c r="P2225" s="171"/>
      <c r="Q2225" s="171"/>
      <c r="R2225" s="177">
        <v>21</v>
      </c>
    </row>
    <row r="2226" spans="1:18">
      <c r="A2226" s="166" t="b">
        <v>0</v>
      </c>
      <c r="B2226" s="166">
        <f t="shared" ca="1" si="147"/>
        <v>8</v>
      </c>
      <c r="C2226" s="413" t="s">
        <v>4557</v>
      </c>
      <c r="D2226" s="166" t="s">
        <v>507</v>
      </c>
      <c r="E2226" s="171"/>
      <c r="F2226" s="171"/>
      <c r="G2226" s="414" t="s">
        <v>4558</v>
      </c>
      <c r="H2226" s="167">
        <f t="shared" si="148"/>
        <v>-58</v>
      </c>
      <c r="I2226" s="166"/>
      <c r="J2226" s="166"/>
      <c r="K2226" s="171"/>
      <c r="L2226" s="166"/>
      <c r="M2226" s="171"/>
      <c r="N2226" s="171"/>
      <c r="O2226" s="171"/>
      <c r="P2226" s="171"/>
      <c r="Q2226" s="171"/>
      <c r="R2226" s="177">
        <v>22</v>
      </c>
    </row>
    <row r="2227" spans="1:18">
      <c r="A2227" s="166" t="b">
        <v>0</v>
      </c>
      <c r="B2227" s="166">
        <f t="shared" ca="1" si="147"/>
        <v>8</v>
      </c>
      <c r="C2227" s="413" t="s">
        <v>4559</v>
      </c>
      <c r="D2227" s="166" t="s">
        <v>507</v>
      </c>
      <c r="E2227" s="171"/>
      <c r="F2227" s="171"/>
      <c r="G2227" s="414" t="s">
        <v>4560</v>
      </c>
      <c r="H2227" s="167">
        <f t="shared" si="148"/>
        <v>-57</v>
      </c>
      <c r="I2227" s="166"/>
      <c r="J2227" s="166"/>
      <c r="K2227" s="171"/>
      <c r="L2227" s="166"/>
      <c r="M2227" s="171"/>
      <c r="N2227" s="171"/>
      <c r="O2227" s="171"/>
      <c r="P2227" s="171"/>
      <c r="Q2227" s="171"/>
      <c r="R2227" s="177">
        <v>23</v>
      </c>
    </row>
    <row r="2228" spans="1:18">
      <c r="A2228" s="166" t="b">
        <v>0</v>
      </c>
      <c r="B2228" s="166">
        <f t="shared" ca="1" si="147"/>
        <v>8</v>
      </c>
      <c r="C2228" s="413" t="s">
        <v>4561</v>
      </c>
      <c r="D2228" s="166" t="s">
        <v>507</v>
      </c>
      <c r="E2228" s="171"/>
      <c r="F2228" s="171"/>
      <c r="G2228" s="414" t="s">
        <v>4562</v>
      </c>
      <c r="H2228" s="167">
        <f t="shared" si="148"/>
        <v>-56</v>
      </c>
      <c r="I2228" s="166"/>
      <c r="J2228" s="166"/>
      <c r="K2228" s="171"/>
      <c r="L2228" s="166"/>
      <c r="M2228" s="171"/>
      <c r="N2228" s="171"/>
      <c r="O2228" s="171"/>
      <c r="P2228" s="171"/>
      <c r="Q2228" s="171"/>
      <c r="R2228" s="177">
        <v>24</v>
      </c>
    </row>
    <row r="2229" spans="1:18">
      <c r="A2229" s="166" t="b">
        <v>0</v>
      </c>
      <c r="B2229" s="166">
        <f t="shared" ca="1" si="147"/>
        <v>8</v>
      </c>
      <c r="C2229" s="413" t="s">
        <v>4563</v>
      </c>
      <c r="D2229" s="166" t="s">
        <v>507</v>
      </c>
      <c r="E2229" s="171"/>
      <c r="F2229" s="171"/>
      <c r="G2229" s="414" t="s">
        <v>4564</v>
      </c>
      <c r="H2229" s="167">
        <f t="shared" si="148"/>
        <v>-55</v>
      </c>
      <c r="I2229" s="166"/>
      <c r="J2229" s="166"/>
      <c r="K2229" s="171"/>
      <c r="L2229" s="166"/>
      <c r="M2229" s="171"/>
      <c r="N2229" s="171"/>
      <c r="O2229" s="171"/>
      <c r="P2229" s="171"/>
      <c r="Q2229" s="171"/>
      <c r="R2229" s="177">
        <v>25</v>
      </c>
    </row>
    <row r="2230" spans="1:18">
      <c r="A2230" s="166" t="b">
        <v>0</v>
      </c>
      <c r="B2230" s="166">
        <f t="shared" ca="1" si="147"/>
        <v>8</v>
      </c>
      <c r="C2230" s="413" t="s">
        <v>4565</v>
      </c>
      <c r="D2230" s="166" t="s">
        <v>507</v>
      </c>
      <c r="E2230" s="171"/>
      <c r="F2230" s="171"/>
      <c r="G2230" s="414" t="s">
        <v>4566</v>
      </c>
      <c r="H2230" s="167">
        <f t="shared" si="148"/>
        <v>-54</v>
      </c>
      <c r="I2230" s="166"/>
      <c r="J2230" s="166"/>
      <c r="K2230" s="171"/>
      <c r="L2230" s="166"/>
      <c r="M2230" s="171"/>
      <c r="N2230" s="171"/>
      <c r="O2230" s="171"/>
      <c r="P2230" s="171"/>
      <c r="Q2230" s="171"/>
      <c r="R2230" s="177">
        <v>26</v>
      </c>
    </row>
    <row r="2231" spans="1:18">
      <c r="A2231" s="166" t="b">
        <v>0</v>
      </c>
      <c r="B2231" s="166">
        <f t="shared" ca="1" si="147"/>
        <v>8</v>
      </c>
      <c r="C2231" s="413" t="s">
        <v>4567</v>
      </c>
      <c r="D2231" s="166" t="s">
        <v>507</v>
      </c>
      <c r="E2231" s="171"/>
      <c r="F2231" s="171"/>
      <c r="G2231" s="414" t="s">
        <v>4568</v>
      </c>
      <c r="H2231" s="167">
        <f t="shared" si="148"/>
        <v>-53</v>
      </c>
      <c r="I2231" s="166"/>
      <c r="J2231" s="166"/>
      <c r="K2231" s="171"/>
      <c r="L2231" s="166"/>
      <c r="M2231" s="171"/>
      <c r="N2231" s="171"/>
      <c r="O2231" s="171"/>
      <c r="P2231" s="171"/>
      <c r="Q2231" s="171"/>
      <c r="R2231" s="177">
        <v>27</v>
      </c>
    </row>
    <row r="2232" spans="1:18">
      <c r="A2232" s="166" t="b">
        <v>0</v>
      </c>
      <c r="B2232" s="166">
        <f t="shared" ca="1" si="147"/>
        <v>8</v>
      </c>
      <c r="C2232" s="413" t="s">
        <v>4569</v>
      </c>
      <c r="D2232" s="166" t="s">
        <v>507</v>
      </c>
      <c r="E2232" s="171"/>
      <c r="F2232" s="171"/>
      <c r="G2232" s="414" t="s">
        <v>4570</v>
      </c>
      <c r="H2232" s="167">
        <f t="shared" si="148"/>
        <v>-52</v>
      </c>
      <c r="I2232" s="166"/>
      <c r="J2232" s="166"/>
      <c r="K2232" s="171"/>
      <c r="L2232" s="166"/>
      <c r="M2232" s="171"/>
      <c r="N2232" s="171"/>
      <c r="O2232" s="171"/>
      <c r="P2232" s="171"/>
      <c r="Q2232" s="171"/>
      <c r="R2232" s="177">
        <v>28</v>
      </c>
    </row>
    <row r="2233" spans="1:18">
      <c r="A2233" s="166" t="b">
        <v>0</v>
      </c>
      <c r="B2233" s="166">
        <f t="shared" ca="1" si="147"/>
        <v>8</v>
      </c>
      <c r="C2233" s="413" t="s">
        <v>4571</v>
      </c>
      <c r="D2233" s="166" t="s">
        <v>507</v>
      </c>
      <c r="E2233" s="171"/>
      <c r="F2233" s="171"/>
      <c r="G2233" s="414" t="s">
        <v>4572</v>
      </c>
      <c r="H2233" s="167">
        <f t="shared" si="148"/>
        <v>-51</v>
      </c>
      <c r="I2233" s="166"/>
      <c r="J2233" s="166"/>
      <c r="K2233" s="171"/>
      <c r="L2233" s="166"/>
      <c r="M2233" s="171"/>
      <c r="N2233" s="171"/>
      <c r="O2233" s="171"/>
      <c r="P2233" s="171"/>
      <c r="Q2233" s="171"/>
      <c r="R2233" s="177">
        <v>29</v>
      </c>
    </row>
    <row r="2234" spans="1:18">
      <c r="A2234" s="166" t="b">
        <v>0</v>
      </c>
      <c r="B2234" s="166">
        <f t="shared" ca="1" si="147"/>
        <v>8</v>
      </c>
      <c r="C2234" s="413" t="s">
        <v>4573</v>
      </c>
      <c r="D2234" s="166" t="s">
        <v>507</v>
      </c>
      <c r="E2234" s="171"/>
      <c r="F2234" s="171"/>
      <c r="G2234" s="414" t="s">
        <v>4574</v>
      </c>
      <c r="H2234" s="167">
        <f t="shared" si="148"/>
        <v>-50</v>
      </c>
      <c r="I2234" s="166"/>
      <c r="J2234" s="166"/>
      <c r="K2234" s="171"/>
      <c r="L2234" s="166"/>
      <c r="M2234" s="171"/>
      <c r="N2234" s="171"/>
      <c r="O2234" s="171"/>
      <c r="P2234" s="171"/>
      <c r="Q2234" s="171"/>
      <c r="R2234" s="177">
        <v>30</v>
      </c>
    </row>
    <row r="2235" spans="1:18">
      <c r="A2235" s="166" t="b">
        <v>0</v>
      </c>
      <c r="B2235" s="166">
        <f t="shared" ca="1" si="147"/>
        <v>8</v>
      </c>
      <c r="C2235" s="413" t="s">
        <v>4575</v>
      </c>
      <c r="D2235" s="166" t="s">
        <v>507</v>
      </c>
      <c r="E2235" s="171"/>
      <c r="F2235" s="171"/>
      <c r="G2235" s="414" t="s">
        <v>4576</v>
      </c>
      <c r="H2235" s="167">
        <f t="shared" si="148"/>
        <v>-49</v>
      </c>
      <c r="I2235" s="166"/>
      <c r="J2235" s="166"/>
      <c r="K2235" s="171"/>
      <c r="L2235" s="166"/>
      <c r="M2235" s="171"/>
      <c r="N2235" s="171"/>
      <c r="O2235" s="171"/>
      <c r="P2235" s="171"/>
      <c r="Q2235" s="171"/>
      <c r="R2235" s="177">
        <v>31</v>
      </c>
    </row>
    <row r="2236" spans="1:18">
      <c r="A2236" s="166" t="b">
        <v>0</v>
      </c>
      <c r="B2236" s="166">
        <f t="shared" ca="1" si="147"/>
        <v>8</v>
      </c>
      <c r="C2236" s="413" t="s">
        <v>4577</v>
      </c>
      <c r="D2236" s="166" t="s">
        <v>507</v>
      </c>
      <c r="E2236" s="171"/>
      <c r="F2236" s="171"/>
      <c r="G2236" s="414" t="s">
        <v>4578</v>
      </c>
      <c r="H2236" s="167">
        <f t="shared" si="148"/>
        <v>-48</v>
      </c>
      <c r="I2236" s="166"/>
      <c r="J2236" s="166"/>
      <c r="K2236" s="171"/>
      <c r="L2236" s="166"/>
      <c r="M2236" s="171"/>
      <c r="N2236" s="171"/>
      <c r="O2236" s="171"/>
      <c r="P2236" s="171"/>
      <c r="Q2236" s="171"/>
      <c r="R2236" s="177">
        <v>32</v>
      </c>
    </row>
    <row r="2237" spans="1:18">
      <c r="A2237" s="166" t="b">
        <v>0</v>
      </c>
      <c r="B2237" s="166">
        <f t="shared" ca="1" si="147"/>
        <v>8</v>
      </c>
      <c r="C2237" s="413" t="s">
        <v>4579</v>
      </c>
      <c r="D2237" s="166" t="s">
        <v>507</v>
      </c>
      <c r="E2237" s="171"/>
      <c r="F2237" s="171"/>
      <c r="G2237" s="414" t="s">
        <v>4580</v>
      </c>
      <c r="H2237" s="167">
        <f t="shared" si="148"/>
        <v>-47</v>
      </c>
      <c r="I2237" s="166"/>
      <c r="J2237" s="166"/>
      <c r="K2237" s="171"/>
      <c r="L2237" s="166"/>
      <c r="M2237" s="171"/>
      <c r="N2237" s="171"/>
      <c r="O2237" s="171"/>
      <c r="P2237" s="171"/>
      <c r="Q2237" s="171"/>
      <c r="R2237" s="177">
        <v>33</v>
      </c>
    </row>
    <row r="2238" spans="1:18">
      <c r="A2238" s="166" t="b">
        <v>0</v>
      </c>
      <c r="B2238" s="166">
        <f t="shared" ca="1" si="147"/>
        <v>8</v>
      </c>
      <c r="C2238" s="413" t="s">
        <v>4581</v>
      </c>
      <c r="D2238" s="166" t="s">
        <v>507</v>
      </c>
      <c r="E2238" s="171"/>
      <c r="F2238" s="171"/>
      <c r="G2238" s="414" t="s">
        <v>4582</v>
      </c>
      <c r="H2238" s="167">
        <f t="shared" si="148"/>
        <v>-46</v>
      </c>
      <c r="I2238" s="166"/>
      <c r="J2238" s="166"/>
      <c r="K2238" s="171"/>
      <c r="L2238" s="166"/>
      <c r="M2238" s="171"/>
      <c r="N2238" s="171"/>
      <c r="O2238" s="171"/>
      <c r="P2238" s="171"/>
      <c r="Q2238" s="171"/>
      <c r="R2238" s="177">
        <v>34</v>
      </c>
    </row>
    <row r="2239" spans="1:18">
      <c r="A2239" s="166" t="b">
        <v>0</v>
      </c>
      <c r="B2239" s="166">
        <f t="shared" ca="1" si="147"/>
        <v>8</v>
      </c>
      <c r="C2239" s="413" t="s">
        <v>4583</v>
      </c>
      <c r="D2239" s="166" t="s">
        <v>507</v>
      </c>
      <c r="E2239" s="171"/>
      <c r="F2239" s="171"/>
      <c r="G2239" s="414" t="s">
        <v>4584</v>
      </c>
      <c r="H2239" s="167">
        <f t="shared" si="148"/>
        <v>-45</v>
      </c>
      <c r="I2239" s="166"/>
      <c r="J2239" s="166"/>
      <c r="K2239" s="171"/>
      <c r="L2239" s="166"/>
      <c r="M2239" s="171"/>
      <c r="N2239" s="171"/>
      <c r="O2239" s="171"/>
      <c r="P2239" s="171"/>
      <c r="Q2239" s="171"/>
      <c r="R2239" s="177">
        <v>35</v>
      </c>
    </row>
    <row r="2240" spans="1:18">
      <c r="A2240" s="166" t="b">
        <v>0</v>
      </c>
      <c r="B2240" s="166">
        <f t="shared" ca="1" si="147"/>
        <v>8</v>
      </c>
      <c r="C2240" s="413" t="s">
        <v>4585</v>
      </c>
      <c r="D2240" s="166" t="s">
        <v>507</v>
      </c>
      <c r="E2240" s="171"/>
      <c r="F2240" s="171"/>
      <c r="G2240" s="414" t="s">
        <v>4586</v>
      </c>
      <c r="H2240" s="167">
        <f t="shared" si="148"/>
        <v>-44</v>
      </c>
      <c r="I2240" s="166"/>
      <c r="J2240" s="166"/>
      <c r="K2240" s="171"/>
      <c r="L2240" s="166"/>
      <c r="M2240" s="171"/>
      <c r="N2240" s="171"/>
      <c r="O2240" s="171"/>
      <c r="P2240" s="171"/>
      <c r="Q2240" s="171"/>
      <c r="R2240" s="177">
        <v>36</v>
      </c>
    </row>
    <row r="2241" spans="1:18">
      <c r="A2241" s="166" t="b">
        <v>0</v>
      </c>
      <c r="B2241" s="166">
        <f t="shared" ca="1" si="147"/>
        <v>8</v>
      </c>
      <c r="C2241" s="413" t="s">
        <v>4587</v>
      </c>
      <c r="D2241" s="166" t="s">
        <v>507</v>
      </c>
      <c r="E2241" s="171"/>
      <c r="F2241" s="171"/>
      <c r="G2241" s="414" t="s">
        <v>4588</v>
      </c>
      <c r="H2241" s="167">
        <f t="shared" si="148"/>
        <v>-43</v>
      </c>
      <c r="I2241" s="166"/>
      <c r="J2241" s="166"/>
      <c r="K2241" s="171"/>
      <c r="L2241" s="166"/>
      <c r="M2241" s="171"/>
      <c r="N2241" s="171"/>
      <c r="O2241" s="171"/>
      <c r="P2241" s="171"/>
      <c r="Q2241" s="171"/>
      <c r="R2241" s="177">
        <v>37</v>
      </c>
    </row>
    <row r="2242" spans="1:18">
      <c r="A2242" s="166" t="b">
        <v>0</v>
      </c>
      <c r="B2242" s="166">
        <f t="shared" ca="1" si="147"/>
        <v>8</v>
      </c>
      <c r="C2242" s="413" t="s">
        <v>4589</v>
      </c>
      <c r="D2242" s="166" t="s">
        <v>507</v>
      </c>
      <c r="E2242" s="171"/>
      <c r="F2242" s="171"/>
      <c r="G2242" s="414" t="s">
        <v>4590</v>
      </c>
      <c r="H2242" s="167">
        <f t="shared" si="148"/>
        <v>-42</v>
      </c>
      <c r="I2242" s="166"/>
      <c r="J2242" s="166"/>
      <c r="K2242" s="171"/>
      <c r="L2242" s="166"/>
      <c r="M2242" s="171"/>
      <c r="N2242" s="171"/>
      <c r="O2242" s="171"/>
      <c r="P2242" s="171"/>
      <c r="Q2242" s="171"/>
      <c r="R2242" s="177">
        <v>38</v>
      </c>
    </row>
    <row r="2243" spans="1:18">
      <c r="A2243" s="166" t="b">
        <v>0</v>
      </c>
      <c r="B2243" s="166">
        <f t="shared" ca="1" si="147"/>
        <v>8</v>
      </c>
      <c r="C2243" s="413" t="s">
        <v>4591</v>
      </c>
      <c r="D2243" s="166" t="s">
        <v>507</v>
      </c>
      <c r="E2243" s="171"/>
      <c r="F2243" s="171"/>
      <c r="G2243" s="414" t="s">
        <v>4592</v>
      </c>
      <c r="H2243" s="167">
        <f t="shared" si="148"/>
        <v>-41</v>
      </c>
      <c r="I2243" s="166"/>
      <c r="J2243" s="166"/>
      <c r="K2243" s="171"/>
      <c r="L2243" s="166"/>
      <c r="M2243" s="171"/>
      <c r="N2243" s="171"/>
      <c r="O2243" s="171"/>
      <c r="P2243" s="171"/>
      <c r="Q2243" s="171"/>
      <c r="R2243" s="177">
        <v>39</v>
      </c>
    </row>
    <row r="2244" spans="1:18">
      <c r="A2244" s="166" t="b">
        <v>0</v>
      </c>
      <c r="B2244" s="166">
        <f t="shared" ca="1" si="147"/>
        <v>8</v>
      </c>
      <c r="C2244" s="413" t="s">
        <v>4593</v>
      </c>
      <c r="D2244" s="166" t="s">
        <v>507</v>
      </c>
      <c r="E2244" s="171"/>
      <c r="F2244" s="171"/>
      <c r="G2244" s="414" t="s">
        <v>4594</v>
      </c>
      <c r="H2244" s="167">
        <f t="shared" si="148"/>
        <v>-40</v>
      </c>
      <c r="I2244" s="166"/>
      <c r="J2244" s="166"/>
      <c r="K2244" s="171"/>
      <c r="L2244" s="166"/>
      <c r="M2244" s="171"/>
      <c r="N2244" s="171"/>
      <c r="O2244" s="171"/>
      <c r="P2244" s="171"/>
      <c r="Q2244" s="171"/>
      <c r="R2244" s="177">
        <v>40</v>
      </c>
    </row>
    <row r="2245" spans="1:18">
      <c r="A2245" s="166" t="b">
        <v>0</v>
      </c>
      <c r="B2245" s="166">
        <f t="shared" ca="1" si="147"/>
        <v>8</v>
      </c>
      <c r="C2245" s="413" t="s">
        <v>4595</v>
      </c>
      <c r="D2245" s="166" t="s">
        <v>507</v>
      </c>
      <c r="E2245" s="171"/>
      <c r="F2245" s="171"/>
      <c r="G2245" s="414" t="s">
        <v>4596</v>
      </c>
      <c r="H2245" s="167">
        <f t="shared" si="148"/>
        <v>-39</v>
      </c>
      <c r="I2245" s="166"/>
      <c r="J2245" s="166"/>
      <c r="K2245" s="171"/>
      <c r="L2245" s="166"/>
      <c r="M2245" s="171"/>
      <c r="N2245" s="171"/>
      <c r="O2245" s="171"/>
      <c r="P2245" s="171"/>
      <c r="Q2245" s="171"/>
      <c r="R2245" s="177">
        <v>41</v>
      </c>
    </row>
    <row r="2246" spans="1:18">
      <c r="A2246" s="166" t="b">
        <v>0</v>
      </c>
      <c r="B2246" s="166">
        <f t="shared" ca="1" si="147"/>
        <v>8</v>
      </c>
      <c r="C2246" s="413" t="s">
        <v>4597</v>
      </c>
      <c r="D2246" s="166" t="s">
        <v>507</v>
      </c>
      <c r="E2246" s="171"/>
      <c r="F2246" s="171"/>
      <c r="G2246" s="414" t="s">
        <v>4598</v>
      </c>
      <c r="H2246" s="167">
        <f t="shared" si="148"/>
        <v>-38</v>
      </c>
      <c r="I2246" s="166"/>
      <c r="J2246" s="166"/>
      <c r="K2246" s="171"/>
      <c r="L2246" s="166"/>
      <c r="M2246" s="171"/>
      <c r="N2246" s="171"/>
      <c r="O2246" s="171"/>
      <c r="P2246" s="171"/>
      <c r="Q2246" s="171"/>
      <c r="R2246" s="177">
        <v>42</v>
      </c>
    </row>
    <row r="2247" spans="1:18">
      <c r="A2247" s="166" t="b">
        <v>0</v>
      </c>
      <c r="B2247" s="166">
        <f t="shared" ca="1" si="147"/>
        <v>8</v>
      </c>
      <c r="C2247" s="413" t="s">
        <v>4599</v>
      </c>
      <c r="D2247" s="166" t="s">
        <v>507</v>
      </c>
      <c r="E2247" s="171"/>
      <c r="F2247" s="171"/>
      <c r="G2247" s="414" t="s">
        <v>4600</v>
      </c>
      <c r="H2247" s="167">
        <f t="shared" si="148"/>
        <v>-37</v>
      </c>
      <c r="I2247" s="166"/>
      <c r="J2247" s="166"/>
      <c r="K2247" s="171"/>
      <c r="L2247" s="166"/>
      <c r="M2247" s="171"/>
      <c r="N2247" s="171"/>
      <c r="O2247" s="171"/>
      <c r="P2247" s="171"/>
      <c r="Q2247" s="171"/>
      <c r="R2247" s="177">
        <v>43</v>
      </c>
    </row>
    <row r="2248" spans="1:18">
      <c r="A2248" s="166" t="b">
        <v>0</v>
      </c>
      <c r="B2248" s="166">
        <f t="shared" ca="1" si="147"/>
        <v>8</v>
      </c>
      <c r="C2248" s="413" t="s">
        <v>4601</v>
      </c>
      <c r="D2248" s="166" t="s">
        <v>507</v>
      </c>
      <c r="E2248" s="171"/>
      <c r="F2248" s="171"/>
      <c r="G2248" s="414" t="s">
        <v>4602</v>
      </c>
      <c r="H2248" s="167">
        <f t="shared" si="148"/>
        <v>-36</v>
      </c>
      <c r="I2248" s="166"/>
      <c r="J2248" s="166"/>
      <c r="K2248" s="171"/>
      <c r="L2248" s="166"/>
      <c r="M2248" s="171"/>
      <c r="N2248" s="171"/>
      <c r="O2248" s="171"/>
      <c r="P2248" s="171"/>
      <c r="Q2248" s="171"/>
      <c r="R2248" s="177">
        <v>44</v>
      </c>
    </row>
    <row r="2249" spans="1:18">
      <c r="A2249" s="166" t="b">
        <v>0</v>
      </c>
      <c r="B2249" s="166">
        <f t="shared" ca="1" si="147"/>
        <v>8</v>
      </c>
      <c r="C2249" s="413" t="s">
        <v>4603</v>
      </c>
      <c r="D2249" s="166" t="s">
        <v>507</v>
      </c>
      <c r="E2249" s="171"/>
      <c r="F2249" s="171"/>
      <c r="G2249" s="414" t="s">
        <v>4604</v>
      </c>
      <c r="H2249" s="167">
        <f t="shared" si="148"/>
        <v>-35</v>
      </c>
      <c r="I2249" s="166"/>
      <c r="J2249" s="166"/>
      <c r="K2249" s="171"/>
      <c r="L2249" s="166"/>
      <c r="M2249" s="171"/>
      <c r="N2249" s="171"/>
      <c r="O2249" s="171"/>
      <c r="P2249" s="171"/>
      <c r="Q2249" s="171"/>
      <c r="R2249" s="177">
        <v>45</v>
      </c>
    </row>
    <row r="2250" spans="1:18">
      <c r="A2250" s="166" t="b">
        <v>0</v>
      </c>
      <c r="B2250" s="166">
        <f t="shared" ca="1" si="147"/>
        <v>8</v>
      </c>
      <c r="C2250" s="413" t="s">
        <v>4605</v>
      </c>
      <c r="D2250" s="166" t="s">
        <v>507</v>
      </c>
      <c r="E2250" s="171"/>
      <c r="F2250" s="171"/>
      <c r="G2250" s="414" t="s">
        <v>4606</v>
      </c>
      <c r="H2250" s="167">
        <f t="shared" si="148"/>
        <v>-34</v>
      </c>
      <c r="I2250" s="166"/>
      <c r="J2250" s="166"/>
      <c r="K2250" s="171"/>
      <c r="L2250" s="166"/>
      <c r="M2250" s="171"/>
      <c r="N2250" s="171"/>
      <c r="O2250" s="171"/>
      <c r="P2250" s="171"/>
      <c r="Q2250" s="171"/>
      <c r="R2250" s="177">
        <v>46</v>
      </c>
    </row>
    <row r="2251" spans="1:18">
      <c r="A2251" s="166" t="b">
        <v>0</v>
      </c>
      <c r="B2251" s="166">
        <f t="shared" ca="1" si="147"/>
        <v>8</v>
      </c>
      <c r="C2251" s="413" t="s">
        <v>4607</v>
      </c>
      <c r="D2251" s="166" t="s">
        <v>507</v>
      </c>
      <c r="E2251" s="171"/>
      <c r="F2251" s="171"/>
      <c r="G2251" s="414" t="s">
        <v>4608</v>
      </c>
      <c r="H2251" s="167">
        <f t="shared" si="148"/>
        <v>-33</v>
      </c>
      <c r="I2251" s="166"/>
      <c r="J2251" s="166"/>
      <c r="K2251" s="171"/>
      <c r="L2251" s="166"/>
      <c r="M2251" s="171"/>
      <c r="N2251" s="171"/>
      <c r="O2251" s="171"/>
      <c r="P2251" s="171"/>
      <c r="Q2251" s="171"/>
      <c r="R2251" s="177">
        <v>47</v>
      </c>
    </row>
    <row r="2252" spans="1:18">
      <c r="A2252" s="166" t="b">
        <v>0</v>
      </c>
      <c r="B2252" s="166">
        <f t="shared" ca="1" si="147"/>
        <v>8</v>
      </c>
      <c r="C2252" s="413" t="s">
        <v>4609</v>
      </c>
      <c r="D2252" s="166" t="s">
        <v>507</v>
      </c>
      <c r="E2252" s="171"/>
      <c r="F2252" s="171"/>
      <c r="G2252" s="414" t="s">
        <v>4610</v>
      </c>
      <c r="H2252" s="167">
        <f t="shared" si="148"/>
        <v>-32</v>
      </c>
      <c r="I2252" s="166"/>
      <c r="J2252" s="166"/>
      <c r="K2252" s="171"/>
      <c r="L2252" s="166"/>
      <c r="M2252" s="171"/>
      <c r="N2252" s="171"/>
      <c r="O2252" s="171"/>
      <c r="P2252" s="171"/>
      <c r="Q2252" s="171"/>
      <c r="R2252" s="177">
        <v>48</v>
      </c>
    </row>
    <row r="2253" spans="1:18">
      <c r="A2253" s="166" t="b">
        <v>0</v>
      </c>
      <c r="B2253" s="166">
        <f t="shared" ca="1" si="147"/>
        <v>8</v>
      </c>
      <c r="C2253" s="413" t="s">
        <v>4611</v>
      </c>
      <c r="D2253" s="166" t="s">
        <v>507</v>
      </c>
      <c r="E2253" s="171"/>
      <c r="F2253" s="171"/>
      <c r="G2253" s="414" t="s">
        <v>4612</v>
      </c>
      <c r="H2253" s="167">
        <f t="shared" si="148"/>
        <v>-31</v>
      </c>
      <c r="I2253" s="166"/>
      <c r="J2253" s="166"/>
      <c r="K2253" s="171"/>
      <c r="L2253" s="166"/>
      <c r="M2253" s="171"/>
      <c r="N2253" s="171"/>
      <c r="O2253" s="171"/>
      <c r="P2253" s="171"/>
      <c r="Q2253" s="171"/>
      <c r="R2253" s="177">
        <v>49</v>
      </c>
    </row>
    <row r="2254" spans="1:18">
      <c r="A2254" s="166" t="b">
        <v>0</v>
      </c>
      <c r="B2254" s="166">
        <f t="shared" ca="1" si="147"/>
        <v>8</v>
      </c>
      <c r="C2254" s="413" t="s">
        <v>4613</v>
      </c>
      <c r="D2254" s="166" t="s">
        <v>507</v>
      </c>
      <c r="E2254" s="171"/>
      <c r="F2254" s="171"/>
      <c r="G2254" s="414" t="s">
        <v>4614</v>
      </c>
      <c r="H2254" s="167">
        <f t="shared" si="148"/>
        <v>-30</v>
      </c>
      <c r="I2254" s="166"/>
      <c r="J2254" s="166"/>
      <c r="K2254" s="171"/>
      <c r="L2254" s="166"/>
      <c r="M2254" s="171"/>
      <c r="N2254" s="171"/>
      <c r="O2254" s="171"/>
      <c r="P2254" s="171"/>
      <c r="Q2254" s="171"/>
      <c r="R2254" s="177">
        <v>50</v>
      </c>
    </row>
    <row r="2255" spans="1:18">
      <c r="A2255" s="166" t="b">
        <v>0</v>
      </c>
      <c r="B2255" s="166">
        <f t="shared" ca="1" si="147"/>
        <v>8</v>
      </c>
      <c r="C2255" s="413" t="s">
        <v>4615</v>
      </c>
      <c r="D2255" s="166" t="s">
        <v>507</v>
      </c>
      <c r="E2255" s="171"/>
      <c r="F2255" s="171"/>
      <c r="G2255" s="414" t="s">
        <v>4616</v>
      </c>
      <c r="H2255" s="167">
        <f t="shared" si="148"/>
        <v>-29</v>
      </c>
      <c r="I2255" s="166"/>
      <c r="J2255" s="166"/>
      <c r="K2255" s="171"/>
      <c r="L2255" s="166"/>
      <c r="M2255" s="171"/>
      <c r="N2255" s="171"/>
      <c r="O2255" s="171"/>
      <c r="P2255" s="171"/>
      <c r="Q2255" s="171"/>
      <c r="R2255" s="177">
        <v>51</v>
      </c>
    </row>
    <row r="2256" spans="1:18">
      <c r="A2256" s="166" t="b">
        <v>0</v>
      </c>
      <c r="B2256" s="166">
        <f t="shared" ca="1" si="147"/>
        <v>8</v>
      </c>
      <c r="C2256" s="413" t="s">
        <v>4617</v>
      </c>
      <c r="D2256" s="166" t="s">
        <v>507</v>
      </c>
      <c r="E2256" s="171"/>
      <c r="F2256" s="171"/>
      <c r="G2256" s="414" t="s">
        <v>4618</v>
      </c>
      <c r="H2256" s="167">
        <f t="shared" si="148"/>
        <v>-28</v>
      </c>
      <c r="I2256" s="166"/>
      <c r="J2256" s="166"/>
      <c r="K2256" s="171"/>
      <c r="L2256" s="166"/>
      <c r="M2256" s="171"/>
      <c r="N2256" s="171"/>
      <c r="O2256" s="171"/>
      <c r="P2256" s="171"/>
      <c r="Q2256" s="171"/>
      <c r="R2256" s="177">
        <v>52</v>
      </c>
    </row>
    <row r="2257" spans="1:18">
      <c r="A2257" s="166" t="b">
        <v>0</v>
      </c>
      <c r="B2257" s="166">
        <f t="shared" ca="1" si="147"/>
        <v>8</v>
      </c>
      <c r="C2257" s="413" t="s">
        <v>4619</v>
      </c>
      <c r="D2257" s="166" t="s">
        <v>507</v>
      </c>
      <c r="E2257" s="171"/>
      <c r="F2257" s="171"/>
      <c r="G2257" s="414" t="s">
        <v>4620</v>
      </c>
      <c r="H2257" s="167">
        <f t="shared" si="148"/>
        <v>-27</v>
      </c>
      <c r="I2257" s="166"/>
      <c r="J2257" s="166"/>
      <c r="K2257" s="171"/>
      <c r="L2257" s="166"/>
      <c r="M2257" s="171"/>
      <c r="N2257" s="171"/>
      <c r="O2257" s="171"/>
      <c r="P2257" s="171"/>
      <c r="Q2257" s="171"/>
      <c r="R2257" s="177">
        <v>53</v>
      </c>
    </row>
    <row r="2258" spans="1:18">
      <c r="A2258" s="166" t="b">
        <v>0</v>
      </c>
      <c r="B2258" s="166">
        <f t="shared" ca="1" si="147"/>
        <v>8</v>
      </c>
      <c r="C2258" s="413" t="s">
        <v>4621</v>
      </c>
      <c r="D2258" s="166" t="s">
        <v>507</v>
      </c>
      <c r="E2258" s="171"/>
      <c r="F2258" s="171"/>
      <c r="G2258" s="414" t="s">
        <v>4622</v>
      </c>
      <c r="H2258" s="167">
        <f t="shared" si="148"/>
        <v>-26</v>
      </c>
      <c r="I2258" s="166"/>
      <c r="J2258" s="166"/>
      <c r="K2258" s="171"/>
      <c r="L2258" s="166"/>
      <c r="M2258" s="171"/>
      <c r="N2258" s="171"/>
      <c r="O2258" s="171"/>
      <c r="P2258" s="171"/>
      <c r="Q2258" s="171"/>
      <c r="R2258" s="177">
        <v>54</v>
      </c>
    </row>
    <row r="2259" spans="1:18">
      <c r="A2259" s="166" t="b">
        <v>0</v>
      </c>
      <c r="B2259" s="166">
        <f t="shared" ca="1" si="147"/>
        <v>8</v>
      </c>
      <c r="C2259" s="413" t="s">
        <v>4623</v>
      </c>
      <c r="D2259" s="166" t="s">
        <v>507</v>
      </c>
      <c r="E2259" s="171"/>
      <c r="F2259" s="171"/>
      <c r="G2259" s="414" t="s">
        <v>4624</v>
      </c>
      <c r="H2259" s="167">
        <f t="shared" si="148"/>
        <v>-25</v>
      </c>
      <c r="I2259" s="166"/>
      <c r="J2259" s="166"/>
      <c r="K2259" s="171"/>
      <c r="L2259" s="166"/>
      <c r="M2259" s="171"/>
      <c r="N2259" s="171"/>
      <c r="O2259" s="171"/>
      <c r="P2259" s="171"/>
      <c r="Q2259" s="171"/>
      <c r="R2259" s="177">
        <v>55</v>
      </c>
    </row>
    <row r="2260" spans="1:18">
      <c r="A2260" s="166" t="b">
        <v>0</v>
      </c>
      <c r="B2260" s="166">
        <f t="shared" ca="1" si="147"/>
        <v>8</v>
      </c>
      <c r="C2260" s="413" t="s">
        <v>4625</v>
      </c>
      <c r="D2260" s="166" t="s">
        <v>507</v>
      </c>
      <c r="E2260" s="171"/>
      <c r="F2260" s="171"/>
      <c r="G2260" s="414" t="s">
        <v>4626</v>
      </c>
      <c r="H2260" s="167">
        <f t="shared" si="148"/>
        <v>-24</v>
      </c>
      <c r="I2260" s="166"/>
      <c r="J2260" s="166"/>
      <c r="K2260" s="171"/>
      <c r="L2260" s="166"/>
      <c r="M2260" s="171"/>
      <c r="N2260" s="171"/>
      <c r="O2260" s="171"/>
      <c r="P2260" s="171"/>
      <c r="Q2260" s="171"/>
      <c r="R2260" s="177">
        <v>56</v>
      </c>
    </row>
    <row r="2261" spans="1:18">
      <c r="A2261" s="166" t="b">
        <v>0</v>
      </c>
      <c r="B2261" s="166">
        <f t="shared" ca="1" si="147"/>
        <v>8</v>
      </c>
      <c r="C2261" s="413" t="s">
        <v>4627</v>
      </c>
      <c r="D2261" s="166" t="s">
        <v>507</v>
      </c>
      <c r="E2261" s="171"/>
      <c r="F2261" s="171"/>
      <c r="G2261" s="414" t="s">
        <v>4628</v>
      </c>
      <c r="H2261" s="167">
        <f t="shared" si="148"/>
        <v>-23</v>
      </c>
      <c r="I2261" s="166"/>
      <c r="J2261" s="166"/>
      <c r="K2261" s="171"/>
      <c r="L2261" s="166"/>
      <c r="M2261" s="171"/>
      <c r="N2261" s="171"/>
      <c r="O2261" s="171"/>
      <c r="P2261" s="171"/>
      <c r="Q2261" s="171"/>
      <c r="R2261" s="177">
        <v>57</v>
      </c>
    </row>
    <row r="2262" spans="1:18">
      <c r="A2262" s="166" t="b">
        <v>0</v>
      </c>
      <c r="B2262" s="166">
        <f t="shared" ca="1" si="147"/>
        <v>8</v>
      </c>
      <c r="C2262" s="413" t="s">
        <v>4629</v>
      </c>
      <c r="D2262" s="166" t="s">
        <v>507</v>
      </c>
      <c r="E2262" s="171"/>
      <c r="F2262" s="171"/>
      <c r="G2262" s="414" t="s">
        <v>4630</v>
      </c>
      <c r="H2262" s="167">
        <f t="shared" si="148"/>
        <v>-22</v>
      </c>
      <c r="I2262" s="166"/>
      <c r="J2262" s="166"/>
      <c r="K2262" s="171"/>
      <c r="L2262" s="166"/>
      <c r="M2262" s="171"/>
      <c r="N2262" s="171"/>
      <c r="O2262" s="171"/>
      <c r="P2262" s="171"/>
      <c r="Q2262" s="171"/>
      <c r="R2262" s="177">
        <v>58</v>
      </c>
    </row>
    <row r="2263" spans="1:18">
      <c r="A2263" s="166" t="b">
        <v>0</v>
      </c>
      <c r="B2263" s="166">
        <f t="shared" ca="1" si="147"/>
        <v>8</v>
      </c>
      <c r="C2263" s="413" t="s">
        <v>4631</v>
      </c>
      <c r="D2263" s="166" t="s">
        <v>507</v>
      </c>
      <c r="E2263" s="171"/>
      <c r="F2263" s="171"/>
      <c r="G2263" s="414" t="s">
        <v>4632</v>
      </c>
      <c r="H2263" s="167">
        <f t="shared" si="148"/>
        <v>-21</v>
      </c>
      <c r="I2263" s="166"/>
      <c r="J2263" s="166"/>
      <c r="K2263" s="171"/>
      <c r="L2263" s="166"/>
      <c r="M2263" s="171"/>
      <c r="N2263" s="171"/>
      <c r="O2263" s="171"/>
      <c r="P2263" s="171"/>
      <c r="Q2263" s="171"/>
      <c r="R2263" s="177">
        <v>59</v>
      </c>
    </row>
    <row r="2264" spans="1:18">
      <c r="A2264" s="166" t="b">
        <v>0</v>
      </c>
      <c r="B2264" s="166">
        <f t="shared" ca="1" si="147"/>
        <v>8</v>
      </c>
      <c r="C2264" s="413" t="s">
        <v>4633</v>
      </c>
      <c r="D2264" s="166" t="s">
        <v>507</v>
      </c>
      <c r="E2264" s="171"/>
      <c r="F2264" s="171"/>
      <c r="G2264" s="414" t="s">
        <v>4634</v>
      </c>
      <c r="H2264" s="167">
        <f t="shared" si="148"/>
        <v>-20</v>
      </c>
      <c r="I2264" s="166"/>
      <c r="J2264" s="166"/>
      <c r="K2264" s="171"/>
      <c r="L2264" s="166"/>
      <c r="M2264" s="171"/>
      <c r="N2264" s="171"/>
      <c r="O2264" s="171"/>
      <c r="P2264" s="171"/>
      <c r="Q2264" s="171"/>
      <c r="R2264" s="177">
        <v>60</v>
      </c>
    </row>
    <row r="2265" spans="1:18">
      <c r="A2265" s="166" t="b">
        <v>0</v>
      </c>
      <c r="B2265" s="166">
        <f t="shared" ca="1" si="147"/>
        <v>8</v>
      </c>
      <c r="C2265" s="413" t="s">
        <v>4635</v>
      </c>
      <c r="D2265" s="166" t="s">
        <v>507</v>
      </c>
      <c r="E2265" s="171"/>
      <c r="F2265" s="171"/>
      <c r="G2265" s="414" t="s">
        <v>4636</v>
      </c>
      <c r="H2265" s="167">
        <f t="shared" si="148"/>
        <v>-19</v>
      </c>
      <c r="I2265" s="166"/>
      <c r="J2265" s="166"/>
      <c r="K2265" s="171"/>
      <c r="L2265" s="166"/>
      <c r="M2265" s="171"/>
      <c r="N2265" s="171"/>
      <c r="O2265" s="171"/>
      <c r="P2265" s="171"/>
      <c r="Q2265" s="171"/>
      <c r="R2265" s="177">
        <v>61</v>
      </c>
    </row>
    <row r="2266" spans="1:18">
      <c r="A2266" s="166" t="b">
        <v>0</v>
      </c>
      <c r="B2266" s="166">
        <f t="shared" ca="1" si="147"/>
        <v>8</v>
      </c>
      <c r="C2266" s="413" t="s">
        <v>4637</v>
      </c>
      <c r="D2266" s="166" t="s">
        <v>507</v>
      </c>
      <c r="E2266" s="171"/>
      <c r="F2266" s="171"/>
      <c r="G2266" s="414" t="s">
        <v>4638</v>
      </c>
      <c r="H2266" s="167">
        <f t="shared" si="148"/>
        <v>-18</v>
      </c>
      <c r="I2266" s="166"/>
      <c r="J2266" s="166"/>
      <c r="K2266" s="171"/>
      <c r="L2266" s="166"/>
      <c r="M2266" s="171"/>
      <c r="N2266" s="171"/>
      <c r="O2266" s="171"/>
      <c r="P2266" s="171"/>
      <c r="Q2266" s="171"/>
      <c r="R2266" s="177">
        <v>62</v>
      </c>
    </row>
    <row r="2267" spans="1:18">
      <c r="A2267" s="166" t="b">
        <v>0</v>
      </c>
      <c r="B2267" s="166">
        <f t="shared" ca="1" si="147"/>
        <v>8</v>
      </c>
      <c r="C2267" s="413" t="s">
        <v>4639</v>
      </c>
      <c r="D2267" s="166" t="s">
        <v>507</v>
      </c>
      <c r="E2267" s="171"/>
      <c r="F2267" s="171"/>
      <c r="G2267" s="414" t="s">
        <v>4640</v>
      </c>
      <c r="H2267" s="167">
        <f t="shared" si="148"/>
        <v>-17</v>
      </c>
      <c r="I2267" s="166"/>
      <c r="J2267" s="166"/>
      <c r="K2267" s="171"/>
      <c r="L2267" s="166"/>
      <c r="M2267" s="171"/>
      <c r="N2267" s="171"/>
      <c r="O2267" s="171"/>
      <c r="P2267" s="171"/>
      <c r="Q2267" s="171"/>
      <c r="R2267" s="177">
        <v>63</v>
      </c>
    </row>
    <row r="2268" spans="1:18">
      <c r="A2268" s="166" t="b">
        <v>0</v>
      </c>
      <c r="B2268" s="166">
        <f t="shared" ca="1" si="147"/>
        <v>8</v>
      </c>
      <c r="C2268" s="413" t="s">
        <v>4641</v>
      </c>
      <c r="D2268" s="166" t="s">
        <v>507</v>
      </c>
      <c r="E2268" s="171"/>
      <c r="F2268" s="171"/>
      <c r="G2268" s="414" t="s">
        <v>4642</v>
      </c>
      <c r="H2268" s="167">
        <f t="shared" si="148"/>
        <v>-16</v>
      </c>
      <c r="I2268" s="166"/>
      <c r="J2268" s="166"/>
      <c r="K2268" s="171"/>
      <c r="L2268" s="166"/>
      <c r="M2268" s="171"/>
      <c r="N2268" s="171"/>
      <c r="O2268" s="171"/>
      <c r="P2268" s="171"/>
      <c r="Q2268" s="171"/>
      <c r="R2268" s="177">
        <v>64</v>
      </c>
    </row>
    <row r="2269" spans="1:18">
      <c r="A2269" s="166" t="b">
        <v>0</v>
      </c>
      <c r="B2269" s="166">
        <f t="shared" ref="B2269:B2332" ca="1" si="149">IF(_xlfn.ISFORMULA(J2269),B2268+1,B2268)</f>
        <v>8</v>
      </c>
      <c r="C2269" s="413" t="s">
        <v>4643</v>
      </c>
      <c r="D2269" s="166" t="s">
        <v>507</v>
      </c>
      <c r="E2269" s="171"/>
      <c r="F2269" s="171"/>
      <c r="G2269" s="414" t="s">
        <v>4644</v>
      </c>
      <c r="H2269" s="167">
        <f t="shared" ref="H2269:H2332" si="150">H2268+1</f>
        <v>-15</v>
      </c>
      <c r="I2269" s="166"/>
      <c r="J2269" s="166"/>
      <c r="K2269" s="171"/>
      <c r="L2269" s="166"/>
      <c r="M2269" s="171"/>
      <c r="N2269" s="171"/>
      <c r="O2269" s="171"/>
      <c r="P2269" s="171"/>
      <c r="Q2269" s="171"/>
      <c r="R2269" s="177">
        <v>65</v>
      </c>
    </row>
    <row r="2270" spans="1:18">
      <c r="A2270" s="166" t="b">
        <v>0</v>
      </c>
      <c r="B2270" s="166">
        <f t="shared" ca="1" si="149"/>
        <v>8</v>
      </c>
      <c r="C2270" s="413" t="s">
        <v>4645</v>
      </c>
      <c r="D2270" s="166" t="s">
        <v>507</v>
      </c>
      <c r="E2270" s="171"/>
      <c r="F2270" s="171"/>
      <c r="G2270" s="414" t="s">
        <v>4646</v>
      </c>
      <c r="H2270" s="167">
        <f t="shared" si="150"/>
        <v>-14</v>
      </c>
      <c r="I2270" s="166"/>
      <c r="J2270" s="166"/>
      <c r="K2270" s="171"/>
      <c r="L2270" s="166"/>
      <c r="M2270" s="171"/>
      <c r="N2270" s="171"/>
      <c r="O2270" s="171"/>
      <c r="P2270" s="171"/>
      <c r="Q2270" s="171"/>
      <c r="R2270" s="177">
        <v>66</v>
      </c>
    </row>
    <row r="2271" spans="1:18">
      <c r="A2271" s="166" t="b">
        <v>0</v>
      </c>
      <c r="B2271" s="166">
        <f t="shared" ca="1" si="149"/>
        <v>8</v>
      </c>
      <c r="C2271" s="413" t="s">
        <v>4647</v>
      </c>
      <c r="D2271" s="166" t="s">
        <v>507</v>
      </c>
      <c r="E2271" s="171"/>
      <c r="F2271" s="171"/>
      <c r="G2271" s="414" t="s">
        <v>4648</v>
      </c>
      <c r="H2271" s="167">
        <f t="shared" si="150"/>
        <v>-13</v>
      </c>
      <c r="I2271" s="166"/>
      <c r="J2271" s="166"/>
      <c r="K2271" s="171"/>
      <c r="L2271" s="166"/>
      <c r="M2271" s="171"/>
      <c r="N2271" s="171"/>
      <c r="O2271" s="171"/>
      <c r="P2271" s="171"/>
      <c r="Q2271" s="171"/>
      <c r="R2271" s="177">
        <v>67</v>
      </c>
    </row>
    <row r="2272" spans="1:18">
      <c r="A2272" s="166" t="b">
        <v>0</v>
      </c>
      <c r="B2272" s="166">
        <f t="shared" ca="1" si="149"/>
        <v>8</v>
      </c>
      <c r="C2272" s="413" t="s">
        <v>4649</v>
      </c>
      <c r="D2272" s="166" t="s">
        <v>507</v>
      </c>
      <c r="E2272" s="171"/>
      <c r="F2272" s="171"/>
      <c r="G2272" s="414" t="s">
        <v>4650</v>
      </c>
      <c r="H2272" s="167">
        <f t="shared" si="150"/>
        <v>-12</v>
      </c>
      <c r="I2272" s="166"/>
      <c r="J2272" s="166"/>
      <c r="K2272" s="171"/>
      <c r="L2272" s="166"/>
      <c r="M2272" s="171"/>
      <c r="N2272" s="171"/>
      <c r="O2272" s="171"/>
      <c r="P2272" s="171"/>
      <c r="Q2272" s="171"/>
      <c r="R2272" s="177">
        <v>68</v>
      </c>
    </row>
    <row r="2273" spans="1:18">
      <c r="A2273" s="166" t="b">
        <v>0</v>
      </c>
      <c r="B2273" s="166">
        <f t="shared" ca="1" si="149"/>
        <v>8</v>
      </c>
      <c r="C2273" s="413" t="s">
        <v>4651</v>
      </c>
      <c r="D2273" s="166" t="s">
        <v>507</v>
      </c>
      <c r="E2273" s="171"/>
      <c r="F2273" s="171"/>
      <c r="G2273" s="414" t="s">
        <v>4652</v>
      </c>
      <c r="H2273" s="167">
        <f t="shared" si="150"/>
        <v>-11</v>
      </c>
      <c r="I2273" s="166"/>
      <c r="J2273" s="166"/>
      <c r="K2273" s="171"/>
      <c r="L2273" s="166"/>
      <c r="M2273" s="171"/>
      <c r="N2273" s="171"/>
      <c r="O2273" s="171"/>
      <c r="P2273" s="171"/>
      <c r="Q2273" s="171"/>
      <c r="R2273" s="177">
        <v>69</v>
      </c>
    </row>
    <row r="2274" spans="1:18">
      <c r="A2274" s="166" t="b">
        <v>0</v>
      </c>
      <c r="B2274" s="166">
        <f t="shared" ca="1" si="149"/>
        <v>8</v>
      </c>
      <c r="C2274" s="413" t="s">
        <v>4653</v>
      </c>
      <c r="D2274" s="166" t="s">
        <v>507</v>
      </c>
      <c r="E2274" s="171"/>
      <c r="F2274" s="171"/>
      <c r="G2274" s="414" t="s">
        <v>4654</v>
      </c>
      <c r="H2274" s="167">
        <f t="shared" si="150"/>
        <v>-10</v>
      </c>
      <c r="I2274" s="166"/>
      <c r="J2274" s="166"/>
      <c r="K2274" s="171"/>
      <c r="L2274" s="166"/>
      <c r="M2274" s="171"/>
      <c r="N2274" s="171"/>
      <c r="O2274" s="171"/>
      <c r="P2274" s="171"/>
      <c r="Q2274" s="171"/>
      <c r="R2274" s="177">
        <v>70</v>
      </c>
    </row>
    <row r="2275" spans="1:18">
      <c r="A2275" s="166" t="b">
        <v>0</v>
      </c>
      <c r="B2275" s="166">
        <f t="shared" ca="1" si="149"/>
        <v>8</v>
      </c>
      <c r="C2275" s="413" t="s">
        <v>4655</v>
      </c>
      <c r="D2275" s="166" t="s">
        <v>507</v>
      </c>
      <c r="E2275" s="171"/>
      <c r="F2275" s="171"/>
      <c r="G2275" s="414" t="s">
        <v>4656</v>
      </c>
      <c r="H2275" s="167">
        <f t="shared" si="150"/>
        <v>-9</v>
      </c>
      <c r="I2275" s="166"/>
      <c r="J2275" s="166"/>
      <c r="K2275" s="171"/>
      <c r="L2275" s="166"/>
      <c r="M2275" s="171"/>
      <c r="N2275" s="171"/>
      <c r="O2275" s="171"/>
      <c r="P2275" s="171"/>
      <c r="Q2275" s="171"/>
      <c r="R2275" s="177">
        <v>71</v>
      </c>
    </row>
    <row r="2276" spans="1:18">
      <c r="A2276" s="166" t="b">
        <v>0</v>
      </c>
      <c r="B2276" s="166">
        <f t="shared" ca="1" si="149"/>
        <v>8</v>
      </c>
      <c r="C2276" s="413" t="s">
        <v>4657</v>
      </c>
      <c r="D2276" s="166" t="s">
        <v>507</v>
      </c>
      <c r="E2276" s="171"/>
      <c r="F2276" s="171"/>
      <c r="G2276" s="414" t="s">
        <v>4658</v>
      </c>
      <c r="H2276" s="167">
        <f t="shared" si="150"/>
        <v>-8</v>
      </c>
      <c r="I2276" s="166"/>
      <c r="J2276" s="166"/>
      <c r="K2276" s="171"/>
      <c r="L2276" s="166"/>
      <c r="M2276" s="171"/>
      <c r="N2276" s="171"/>
      <c r="O2276" s="171"/>
      <c r="P2276" s="171"/>
      <c r="Q2276" s="171"/>
      <c r="R2276" s="177">
        <v>72</v>
      </c>
    </row>
    <row r="2277" spans="1:18">
      <c r="A2277" s="166" t="b">
        <v>0</v>
      </c>
      <c r="B2277" s="166">
        <f t="shared" ca="1" si="149"/>
        <v>8</v>
      </c>
      <c r="C2277" s="413" t="s">
        <v>4659</v>
      </c>
      <c r="D2277" s="166" t="s">
        <v>507</v>
      </c>
      <c r="E2277" s="171"/>
      <c r="F2277" s="171"/>
      <c r="G2277" s="414" t="s">
        <v>4660</v>
      </c>
      <c r="H2277" s="167">
        <f t="shared" si="150"/>
        <v>-7</v>
      </c>
      <c r="I2277" s="166"/>
      <c r="J2277" s="166"/>
      <c r="K2277" s="171"/>
      <c r="L2277" s="166"/>
      <c r="M2277" s="171"/>
      <c r="N2277" s="171"/>
      <c r="O2277" s="171"/>
      <c r="P2277" s="171"/>
      <c r="Q2277" s="171"/>
      <c r="R2277" s="177">
        <v>73</v>
      </c>
    </row>
    <row r="2278" spans="1:18">
      <c r="A2278" s="166" t="b">
        <v>0</v>
      </c>
      <c r="B2278" s="166">
        <f t="shared" ca="1" si="149"/>
        <v>8</v>
      </c>
      <c r="C2278" s="413" t="s">
        <v>4661</v>
      </c>
      <c r="D2278" s="166" t="s">
        <v>507</v>
      </c>
      <c r="E2278" s="171"/>
      <c r="F2278" s="171"/>
      <c r="G2278" s="414" t="s">
        <v>4662</v>
      </c>
      <c r="H2278" s="167">
        <f t="shared" si="150"/>
        <v>-6</v>
      </c>
      <c r="I2278" s="166"/>
      <c r="J2278" s="166"/>
      <c r="K2278" s="171"/>
      <c r="L2278" s="166"/>
      <c r="M2278" s="171"/>
      <c r="N2278" s="171"/>
      <c r="O2278" s="171"/>
      <c r="P2278" s="171"/>
      <c r="Q2278" s="171"/>
      <c r="R2278" s="177">
        <v>74</v>
      </c>
    </row>
    <row r="2279" spans="1:18">
      <c r="A2279" s="166" t="b">
        <v>0</v>
      </c>
      <c r="B2279" s="166">
        <f t="shared" ca="1" si="149"/>
        <v>8</v>
      </c>
      <c r="C2279" s="413" t="s">
        <v>4663</v>
      </c>
      <c r="D2279" s="166" t="s">
        <v>507</v>
      </c>
      <c r="E2279" s="171"/>
      <c r="F2279" s="171"/>
      <c r="G2279" s="414" t="s">
        <v>4664</v>
      </c>
      <c r="H2279" s="167">
        <f t="shared" si="150"/>
        <v>-5</v>
      </c>
      <c r="I2279" s="166"/>
      <c r="J2279" s="166"/>
      <c r="K2279" s="171"/>
      <c r="L2279" s="166"/>
      <c r="M2279" s="171"/>
      <c r="N2279" s="171"/>
      <c r="O2279" s="171"/>
      <c r="P2279" s="171"/>
      <c r="Q2279" s="171"/>
      <c r="R2279" s="177">
        <v>75</v>
      </c>
    </row>
    <row r="2280" spans="1:18">
      <c r="A2280" s="166" t="b">
        <v>0</v>
      </c>
      <c r="B2280" s="166">
        <f t="shared" ca="1" si="149"/>
        <v>8</v>
      </c>
      <c r="C2280" s="413" t="s">
        <v>4665</v>
      </c>
      <c r="D2280" s="166" t="s">
        <v>507</v>
      </c>
      <c r="E2280" s="171"/>
      <c r="F2280" s="171"/>
      <c r="G2280" s="414" t="s">
        <v>4666</v>
      </c>
      <c r="H2280" s="167">
        <f t="shared" si="150"/>
        <v>-4</v>
      </c>
      <c r="I2280" s="166"/>
      <c r="J2280" s="166"/>
      <c r="K2280" s="171"/>
      <c r="L2280" s="166"/>
      <c r="M2280" s="171"/>
      <c r="N2280" s="171"/>
      <c r="O2280" s="171"/>
      <c r="P2280" s="171"/>
      <c r="Q2280" s="171"/>
      <c r="R2280" s="177">
        <v>76</v>
      </c>
    </row>
    <row r="2281" spans="1:18">
      <c r="A2281" s="166" t="b">
        <v>0</v>
      </c>
      <c r="B2281" s="166">
        <f t="shared" ca="1" si="149"/>
        <v>8</v>
      </c>
      <c r="C2281" s="413" t="s">
        <v>4667</v>
      </c>
      <c r="D2281" s="166" t="s">
        <v>507</v>
      </c>
      <c r="E2281" s="171"/>
      <c r="F2281" s="171"/>
      <c r="G2281" s="414" t="s">
        <v>4668</v>
      </c>
      <c r="H2281" s="167">
        <f t="shared" si="150"/>
        <v>-3</v>
      </c>
      <c r="I2281" s="166"/>
      <c r="J2281" s="166"/>
      <c r="K2281" s="171"/>
      <c r="L2281" s="166"/>
      <c r="M2281" s="171"/>
      <c r="N2281" s="171"/>
      <c r="O2281" s="171"/>
      <c r="P2281" s="171"/>
      <c r="Q2281" s="171"/>
      <c r="R2281" s="177">
        <v>77</v>
      </c>
    </row>
    <row r="2282" spans="1:18">
      <c r="A2282" s="166" t="b">
        <v>0</v>
      </c>
      <c r="B2282" s="166">
        <f t="shared" ca="1" si="149"/>
        <v>8</v>
      </c>
      <c r="C2282" s="413" t="s">
        <v>4669</v>
      </c>
      <c r="D2282" s="166" t="s">
        <v>507</v>
      </c>
      <c r="E2282" s="171"/>
      <c r="F2282" s="171"/>
      <c r="G2282" s="414" t="s">
        <v>4670</v>
      </c>
      <c r="H2282" s="167">
        <f t="shared" si="150"/>
        <v>-2</v>
      </c>
      <c r="I2282" s="166"/>
      <c r="J2282" s="166"/>
      <c r="K2282" s="171"/>
      <c r="L2282" s="166"/>
      <c r="M2282" s="171"/>
      <c r="N2282" s="171"/>
      <c r="O2282" s="171"/>
      <c r="P2282" s="171"/>
      <c r="Q2282" s="171"/>
      <c r="R2282" s="177">
        <v>78</v>
      </c>
    </row>
    <row r="2283" spans="1:18">
      <c r="A2283" s="166" t="b">
        <v>0</v>
      </c>
      <c r="B2283" s="166">
        <f t="shared" ca="1" si="149"/>
        <v>8</v>
      </c>
      <c r="C2283" s="413" t="s">
        <v>4671</v>
      </c>
      <c r="D2283" s="166" t="s">
        <v>507</v>
      </c>
      <c r="E2283" s="171"/>
      <c r="F2283" s="171"/>
      <c r="G2283" s="414" t="s">
        <v>4672</v>
      </c>
      <c r="H2283" s="167">
        <f t="shared" si="150"/>
        <v>-1</v>
      </c>
      <c r="I2283" s="166"/>
      <c r="J2283" s="166"/>
      <c r="K2283" s="171"/>
      <c r="L2283" s="166"/>
      <c r="M2283" s="171"/>
      <c r="N2283" s="171"/>
      <c r="O2283" s="171"/>
      <c r="P2283" s="171"/>
      <c r="Q2283" s="171"/>
      <c r="R2283" s="177">
        <v>79</v>
      </c>
    </row>
    <row r="2284" spans="1:18">
      <c r="A2284" s="166" t="b">
        <v>0</v>
      </c>
      <c r="B2284" s="166">
        <f t="shared" ca="1" si="149"/>
        <v>8</v>
      </c>
      <c r="C2284" s="413" t="s">
        <v>4673</v>
      </c>
      <c r="D2284" s="166" t="s">
        <v>507</v>
      </c>
      <c r="E2284" s="171"/>
      <c r="F2284" s="171"/>
      <c r="G2284" s="414" t="s">
        <v>4674</v>
      </c>
      <c r="H2284" s="167">
        <f t="shared" si="150"/>
        <v>0</v>
      </c>
      <c r="I2284" s="166"/>
      <c r="J2284" s="166"/>
      <c r="K2284" s="171"/>
      <c r="L2284" s="166"/>
      <c r="M2284" s="171"/>
      <c r="N2284" s="171"/>
      <c r="O2284" s="171"/>
      <c r="P2284" s="171"/>
      <c r="Q2284" s="171"/>
      <c r="R2284" s="177">
        <v>80</v>
      </c>
    </row>
    <row r="2285" spans="1:18">
      <c r="A2285" s="166" t="b">
        <f t="shared" ref="A2285:A2348" ca="1" si="151">IF(M2285&lt;&gt;"",TRUE,FALSE)</f>
        <v>1</v>
      </c>
      <c r="B2285" s="166">
        <f t="shared" ca="1" si="149"/>
        <v>9</v>
      </c>
      <c r="C2285" s="172" t="str">
        <f ca="1">IF(COUNTA($G$2202:G2284)=1,"",OFFSET(B2285,-COUNTA($G$2202:G2284)+1,1))</f>
        <v>a1N3p00000FhqnlEAB</v>
      </c>
      <c r="D2285" s="166" t="str">
        <f t="shared" ref="D2285:D2348" ca="1" si="152">IFERROR(IF(INDIRECT("'WPTM - Section F'!AT"&amp;$B2285)=0,"",INDIRECT("'WPTM - Section F'!AT"&amp;$B2285)),"")</f>
        <v>INT-257067</v>
      </c>
      <c r="E2285" s="171"/>
      <c r="F2285" s="171" t="str">
        <f t="shared" ref="F2285:F2348" ca="1" si="153">IFERROR(IF(INDIRECT("'WPTM - Section F'!AU"&amp;$B2285)=0,"",INDIRECT("'WPTM - Section F'!AU"&amp;$B2285)),"")</f>
        <v/>
      </c>
      <c r="G2285" s="171"/>
      <c r="H2285" s="167">
        <f t="shared" si="150"/>
        <v>1</v>
      </c>
      <c r="I2285" s="166" t="str">
        <f ca="1">IF(IFERROR(VLOOKUP(INDIRECT("'WPTM - Section F'!F"&amp;B2285),'Overview - Section A'!M$30:R122,6,0),IFERROR(VLOOKUP(INDIRECT("'WPTM - Section F'!F"&amp;B2285),'Overview - Section A'!E$27:J110,6,0),""))=0,"",IFERROR(VLOOKUP(INDIRECT("'WPTM - Section F'!F"&amp;B2285),'Overview - Section A'!M$30:R122,6,0),IFERROR(VLOOKUP(INDIRECT("'WPTM - Section F'!F"&amp;B2285),'Overview - Section A'!E$27:J110,6,0),"")))</f>
        <v>AR-10752</v>
      </c>
      <c r="J2285" s="166" t="str">
        <f t="shared" ref="J2285:J2348" ca="1" si="154">IFERROR(IF(INDIRECT("'WPTM - Section F'!G"&amp;$B2285)=0,"",INDIRECT("'WPTM - Section F'!G"&amp;$B2285)),"")</f>
        <v>Bolivia (Plurinational State)</v>
      </c>
      <c r="K2285" s="171" t="str">
        <f t="shared" ref="K2285:K2348" ca="1" si="155">IFERROR(IF(INDIRECT("'WPTM - Section F'!BF"&amp;$B2285)=0,"",INDIRECT("'WPTM - Section F'!BF"&amp;$B2285)),"")</f>
        <v/>
      </c>
      <c r="L2285" s="166" t="str">
        <f ca="1">IFERROR(INDEX('Reference Records'!F$429:F735,MATCH(INDIRECT("'WPTM - Section F'!AP"&amp;B2285)&amp;"|"&amp;INDIRECT("'WPTM - Section F'!C"&amp;$B2285),'Reference Records'!G$429:G735,0)),"")</f>
        <v/>
      </c>
      <c r="M2285" s="171" t="str">
        <f t="shared" ref="M2285:M2348" ca="1" si="156">IFERROR(IF(INDIRECT("'WPTM - Section F'!E"&amp;$B2285)=0,"",INDIRECT("'WPTM - Section F'!E"&amp;$B2285)),"")</f>
        <v>Realizar la encuesta biológica y comportamental integrada para obtener una estimación del tamaño de las poblaciones de trabajadoras sexuales en las ciudades de La Paz, El Alto, Cochabamba y Santa Cruz</v>
      </c>
      <c r="N2285" s="171" t="str">
        <f t="shared" ref="N2285:N2348" ca="1" si="157">IFERROR(IF(INDIRECT("'WPTM - Section F'!AV"&amp;$B2285)=0,"",INDIRECT("'WPTM - Section F'!AV"&amp;$B2285)),"")</f>
        <v/>
      </c>
      <c r="O2285" s="171" t="str">
        <f t="shared" ref="O2285:O2348" ca="1" si="158">IFERROR(IF(INDIRECT("'WPTM - Section F'!AN"&amp;$B2285)=0,"",INDIRECT("'WPTM - Section F'!AN"&amp;$B2285)),"")</f>
        <v/>
      </c>
      <c r="P2285" s="171" t="str">
        <f t="shared" ref="P2285:P2348" ca="1" si="159">IFERROR(IF(INDIRECT("'WPTM - Section F'!BE"&amp;$B2285)=0,"",INDIRECT("'WPTM - Section F'!BE"&amp;$B2285)),"")</f>
        <v/>
      </c>
      <c r="Q2285" s="171"/>
      <c r="R2285" s="177"/>
    </row>
    <row r="2286" spans="1:18">
      <c r="A2286" s="166" t="b">
        <f t="shared" ca="1" si="151"/>
        <v>1</v>
      </c>
      <c r="B2286" s="166">
        <f t="shared" ca="1" si="149"/>
        <v>10</v>
      </c>
      <c r="C2286" s="172" t="str">
        <f ca="1">IF(COUNTA($G$2202:G2285)=1,"",OFFSET(B2286,-COUNTA($G$2202:G2285)+1,1))</f>
        <v>a1N3p00000FhqnmEAB</v>
      </c>
      <c r="D2286" s="166" t="str">
        <f t="shared" ca="1" si="152"/>
        <v>INT-257067</v>
      </c>
      <c r="E2286" s="171"/>
      <c r="F2286" s="171" t="str">
        <f t="shared" ca="1" si="153"/>
        <v/>
      </c>
      <c r="G2286" s="171"/>
      <c r="H2286" s="167">
        <f t="shared" si="150"/>
        <v>2</v>
      </c>
      <c r="I2286" s="166" t="str">
        <f ca="1">IF(IFERROR(VLOOKUP(INDIRECT("'WPTM - Section F'!F"&amp;B2286),'Overview - Section A'!M$30:R123,6,0),IFERROR(VLOOKUP(INDIRECT("'WPTM - Section F'!F"&amp;B2286),'Overview - Section A'!E$27:J111,6,0),""))=0,"",IFERROR(VLOOKUP(INDIRECT("'WPTM - Section F'!F"&amp;B2286),'Overview - Section A'!M$30:R123,6,0),IFERROR(VLOOKUP(INDIRECT("'WPTM - Section F'!F"&amp;B2286),'Overview - Section A'!E$27:J111,6,0),"")))</f>
        <v>AR-10752</v>
      </c>
      <c r="J2286" s="166" t="str">
        <f t="shared" ca="1" si="154"/>
        <v>Bolivia (Plurinational State)</v>
      </c>
      <c r="K2286" s="171" t="str">
        <f t="shared" ca="1" si="155"/>
        <v/>
      </c>
      <c r="L2286" s="166" t="str">
        <f ca="1">IFERROR(INDEX('Reference Records'!F$429:F736,MATCH(INDIRECT("'WPTM - Section F'!AP"&amp;B2286)&amp;"|"&amp;INDIRECT("'WPTM - Section F'!C"&amp;$B2286),'Reference Records'!G$429:G736,0)),"")</f>
        <v/>
      </c>
      <c r="M2286" s="171" t="str">
        <f t="shared" ca="1" si="156"/>
        <v xml:space="preserve">Elaboracion de plan expansion de PrEP a escala nacional basado en las lecciones aprendidas de los pilotos </v>
      </c>
      <c r="N2286" s="171" t="str">
        <f t="shared" ca="1" si="157"/>
        <v/>
      </c>
      <c r="O2286" s="171" t="str">
        <f t="shared" ca="1" si="158"/>
        <v/>
      </c>
      <c r="P2286" s="171" t="str">
        <f t="shared" ca="1" si="159"/>
        <v/>
      </c>
      <c r="Q2286" s="171"/>
      <c r="R2286" s="177"/>
    </row>
    <row r="2287" spans="1:18">
      <c r="A2287" s="166" t="b">
        <f t="shared" ca="1" si="151"/>
        <v>1</v>
      </c>
      <c r="B2287" s="166">
        <f t="shared" ca="1" si="149"/>
        <v>11</v>
      </c>
      <c r="C2287" s="172" t="str">
        <f ca="1">IF(COUNTA($G$2202:G2286)=1,"",OFFSET(B2287,-COUNTA($G$2202:G2286)+1,1))</f>
        <v>a1N3p00000FhqnnEAB</v>
      </c>
      <c r="D2287" s="166" t="str">
        <f t="shared" ca="1" si="152"/>
        <v>INT-257067</v>
      </c>
      <c r="E2287" s="171"/>
      <c r="F2287" s="171" t="str">
        <f t="shared" ca="1" si="153"/>
        <v/>
      </c>
      <c r="G2287" s="171"/>
      <c r="H2287" s="167">
        <f t="shared" si="150"/>
        <v>3</v>
      </c>
      <c r="I2287" s="166" t="str">
        <f ca="1">IF(IFERROR(VLOOKUP(INDIRECT("'WPTM - Section F'!F"&amp;B2287),'Overview - Section A'!M$30:R124,6,0),IFERROR(VLOOKUP(INDIRECT("'WPTM - Section F'!F"&amp;B2287),'Overview - Section A'!E$27:J112,6,0),""))=0,"",IFERROR(VLOOKUP(INDIRECT("'WPTM - Section F'!F"&amp;B2287),'Overview - Section A'!M$30:R124,6,0),IFERROR(VLOOKUP(INDIRECT("'WPTM - Section F'!F"&amp;B2287),'Overview - Section A'!E$27:J112,6,0),"")))</f>
        <v>AR-10752</v>
      </c>
      <c r="J2287" s="166" t="str">
        <f t="shared" ca="1" si="154"/>
        <v>Bolivia (Plurinational State)</v>
      </c>
      <c r="K2287" s="171" t="str">
        <f t="shared" ca="1" si="155"/>
        <v/>
      </c>
      <c r="L2287" s="166" t="str">
        <f ca="1">IFERROR(INDEX('Reference Records'!F$429:F737,MATCH(INDIRECT("'WPTM - Section F'!AP"&amp;B2287)&amp;"|"&amp;INDIRECT("'WPTM - Section F'!C"&amp;$B2287),'Reference Records'!G$429:G737,0)),"")</f>
        <v/>
      </c>
      <c r="M2287" s="171" t="str">
        <f t="shared" ca="1" si="156"/>
        <v>Expansión gradual del acceso al GeneXpert MTB/RIF como primer método diagnostico a todo caso SR o con TB presuntiva</v>
      </c>
      <c r="N2287" s="171" t="str">
        <f t="shared" ca="1" si="157"/>
        <v/>
      </c>
      <c r="O2287" s="171" t="str">
        <f t="shared" ca="1" si="158"/>
        <v/>
      </c>
      <c r="P2287" s="171" t="str">
        <f t="shared" ca="1" si="159"/>
        <v/>
      </c>
      <c r="Q2287" s="171"/>
      <c r="R2287" s="177"/>
    </row>
    <row r="2288" spans="1:18">
      <c r="A2288" s="166" t="b">
        <f t="shared" ca="1" si="151"/>
        <v>1</v>
      </c>
      <c r="B2288" s="166">
        <f t="shared" ca="1" si="149"/>
        <v>12</v>
      </c>
      <c r="C2288" s="172" t="str">
        <f ca="1">IF(COUNTA($G$2202:G2287)=1,"",OFFSET(B2288,-COUNTA($G$2202:G2287)+1,1))</f>
        <v>a1N3p00000FhqnoEAB</v>
      </c>
      <c r="D2288" s="166" t="str">
        <f t="shared" ca="1" si="152"/>
        <v>INT-257067</v>
      </c>
      <c r="E2288" s="171"/>
      <c r="F2288" s="171" t="str">
        <f t="shared" ca="1" si="153"/>
        <v/>
      </c>
      <c r="G2288" s="171"/>
      <c r="H2288" s="167">
        <f t="shared" si="150"/>
        <v>4</v>
      </c>
      <c r="I2288" s="166" t="str">
        <f ca="1">IF(IFERROR(VLOOKUP(INDIRECT("'WPTM - Section F'!F"&amp;B2288),'Overview - Section A'!M$30:R125,6,0),IFERROR(VLOOKUP(INDIRECT("'WPTM - Section F'!F"&amp;B2288),'Overview - Section A'!E$27:J113,6,0),""))=0,"",IFERROR(VLOOKUP(INDIRECT("'WPTM - Section F'!F"&amp;B2288),'Overview - Section A'!M$30:R125,6,0),IFERROR(VLOOKUP(INDIRECT("'WPTM - Section F'!F"&amp;B2288),'Overview - Section A'!E$27:J113,6,0),"")))</f>
        <v>AR-10752</v>
      </c>
      <c r="J2288" s="166" t="str">
        <f t="shared" ca="1" si="154"/>
        <v>Bolivia (Plurinational State)</v>
      </c>
      <c r="K2288" s="171" t="str">
        <f t="shared" ca="1" si="155"/>
        <v/>
      </c>
      <c r="L2288" s="166" t="str">
        <f ca="1">IFERROR(INDEX('Reference Records'!F$429:F738,MATCH(INDIRECT("'WPTM - Section F'!AP"&amp;B2288)&amp;"|"&amp;INDIRECT("'WPTM - Section F'!C"&amp;$B2288),'Reference Records'!G$429:G738,0)),"")</f>
        <v/>
      </c>
      <c r="M2288" s="171" t="str">
        <f t="shared" ca="1" si="156"/>
        <v>Implementación a esquemas acortado totalmente orales para la tuberculosis resistente a la rifampicina</v>
      </c>
      <c r="N2288" s="171" t="str">
        <f t="shared" ca="1" si="157"/>
        <v/>
      </c>
      <c r="O2288" s="171" t="str">
        <f t="shared" ca="1" si="158"/>
        <v/>
      </c>
      <c r="P2288" s="171" t="str">
        <f t="shared" ca="1" si="159"/>
        <v/>
      </c>
      <c r="Q2288" s="171"/>
      <c r="R2288" s="177"/>
    </row>
    <row r="2289" spans="1:18">
      <c r="A2289" s="166" t="b">
        <f t="shared" ca="1" si="151"/>
        <v>0</v>
      </c>
      <c r="B2289" s="166">
        <f t="shared" ca="1" si="149"/>
        <v>13</v>
      </c>
      <c r="C2289" s="172" t="str">
        <f ca="1">IF(COUNTA($G$2202:G2288)=1,"",OFFSET(B2289,-COUNTA($G$2202:G2288)+1,1))</f>
        <v>a1N3p00000FhqnpEAB</v>
      </c>
      <c r="D2289" s="166" t="str">
        <f t="shared" ca="1" si="152"/>
        <v>INT-257067</v>
      </c>
      <c r="E2289" s="171"/>
      <c r="F2289" s="171" t="str">
        <f t="shared" ca="1" si="153"/>
        <v/>
      </c>
      <c r="G2289" s="171"/>
      <c r="H2289" s="167">
        <f t="shared" si="150"/>
        <v>5</v>
      </c>
      <c r="I2289" s="166" t="str">
        <f ca="1">IF(IFERROR(VLOOKUP(INDIRECT("'WPTM - Section F'!F"&amp;B2289),'Overview - Section A'!M$30:R126,6,0),IFERROR(VLOOKUP(INDIRECT("'WPTM - Section F'!F"&amp;B2289),'Overview - Section A'!E$27:J114,6,0),""))=0,"",IFERROR(VLOOKUP(INDIRECT("'WPTM - Section F'!F"&amp;B2289),'Overview - Section A'!M$30:R126,6,0),IFERROR(VLOOKUP(INDIRECT("'WPTM - Section F'!F"&amp;B2289),'Overview - Section A'!E$27:J114,6,0),"")))</f>
        <v/>
      </c>
      <c r="J2289" s="166" t="str">
        <f t="shared" ca="1" si="154"/>
        <v/>
      </c>
      <c r="K2289" s="171" t="str">
        <f t="shared" ca="1" si="155"/>
        <v/>
      </c>
      <c r="L2289" s="166" t="str">
        <f ca="1">IFERROR(INDEX('Reference Records'!F$429:F739,MATCH(INDIRECT("'WPTM - Section F'!AP"&amp;B2289)&amp;"|"&amp;INDIRECT("'WPTM - Section F'!C"&amp;$B2289),'Reference Records'!G$429:G739,0)),"")</f>
        <v/>
      </c>
      <c r="M2289" s="171" t="str">
        <f t="shared" ca="1" si="156"/>
        <v/>
      </c>
      <c r="N2289" s="171" t="str">
        <f t="shared" ca="1" si="157"/>
        <v/>
      </c>
      <c r="O2289" s="171" t="str">
        <f t="shared" ca="1" si="158"/>
        <v/>
      </c>
      <c r="P2289" s="171" t="str">
        <f t="shared" ca="1" si="159"/>
        <v/>
      </c>
      <c r="Q2289" s="171"/>
      <c r="R2289" s="177"/>
    </row>
    <row r="2290" spans="1:18">
      <c r="A2290" s="166" t="b">
        <f t="shared" ca="1" si="151"/>
        <v>0</v>
      </c>
      <c r="B2290" s="166">
        <f t="shared" ca="1" si="149"/>
        <v>14</v>
      </c>
      <c r="C2290" s="172" t="str">
        <f ca="1">IF(COUNTA($G$2202:G2289)=1,"",OFFSET(B2290,-COUNTA($G$2202:G2289)+1,1))</f>
        <v>a1N3p00000FhqnqEAB</v>
      </c>
      <c r="D2290" s="166" t="str">
        <f t="shared" ca="1" si="152"/>
        <v>INT-257067</v>
      </c>
      <c r="E2290" s="171"/>
      <c r="F2290" s="171" t="str">
        <f t="shared" ca="1" si="153"/>
        <v/>
      </c>
      <c r="G2290" s="171"/>
      <c r="H2290" s="167">
        <f t="shared" si="150"/>
        <v>6</v>
      </c>
      <c r="I2290" s="166" t="str">
        <f ca="1">IF(IFERROR(VLOOKUP(INDIRECT("'WPTM - Section F'!F"&amp;B2290),'Overview - Section A'!M$30:R127,6,0),IFERROR(VLOOKUP(INDIRECT("'WPTM - Section F'!F"&amp;B2290),'Overview - Section A'!E$27:J115,6,0),""))=0,"",IFERROR(VLOOKUP(INDIRECT("'WPTM - Section F'!F"&amp;B2290),'Overview - Section A'!M$30:R127,6,0),IFERROR(VLOOKUP(INDIRECT("'WPTM - Section F'!F"&amp;B2290),'Overview - Section A'!E$27:J115,6,0),"")))</f>
        <v/>
      </c>
      <c r="J2290" s="166" t="str">
        <f t="shared" ca="1" si="154"/>
        <v/>
      </c>
      <c r="K2290" s="171" t="str">
        <f t="shared" ca="1" si="155"/>
        <v/>
      </c>
      <c r="L2290" s="166" t="str">
        <f ca="1">IFERROR(INDEX('Reference Records'!F$429:F740,MATCH(INDIRECT("'WPTM - Section F'!AP"&amp;B2290)&amp;"|"&amp;INDIRECT("'WPTM - Section F'!C"&amp;$B2290),'Reference Records'!G$429:G740,0)),"")</f>
        <v/>
      </c>
      <c r="M2290" s="171" t="str">
        <f t="shared" ca="1" si="156"/>
        <v/>
      </c>
      <c r="N2290" s="171" t="str">
        <f t="shared" ca="1" si="157"/>
        <v/>
      </c>
      <c r="O2290" s="171" t="str">
        <f t="shared" ca="1" si="158"/>
        <v/>
      </c>
      <c r="P2290" s="171" t="str">
        <f t="shared" ca="1" si="159"/>
        <v/>
      </c>
      <c r="Q2290" s="171"/>
      <c r="R2290" s="177"/>
    </row>
    <row r="2291" spans="1:18">
      <c r="A2291" s="166" t="b">
        <f t="shared" ca="1" si="151"/>
        <v>0</v>
      </c>
      <c r="B2291" s="166">
        <f t="shared" ca="1" si="149"/>
        <v>15</v>
      </c>
      <c r="C2291" s="172" t="str">
        <f ca="1">IF(COUNTA($G$2202:G2290)=1,"",OFFSET(B2291,-COUNTA($G$2202:G2290)+1,1))</f>
        <v>a1N3p00000FhqnrEAB</v>
      </c>
      <c r="D2291" s="166" t="str">
        <f t="shared" ca="1" si="152"/>
        <v>INT-257067</v>
      </c>
      <c r="E2291" s="171"/>
      <c r="F2291" s="171" t="str">
        <f t="shared" ca="1" si="153"/>
        <v/>
      </c>
      <c r="G2291" s="171"/>
      <c r="H2291" s="167">
        <f t="shared" si="150"/>
        <v>7</v>
      </c>
      <c r="I2291" s="166" t="str">
        <f ca="1">IF(IFERROR(VLOOKUP(INDIRECT("'WPTM - Section F'!F"&amp;B2291),'Overview - Section A'!M$30:R128,6,0),IFERROR(VLOOKUP(INDIRECT("'WPTM - Section F'!F"&amp;B2291),'Overview - Section A'!E$27:J116,6,0),""))=0,"",IFERROR(VLOOKUP(INDIRECT("'WPTM - Section F'!F"&amp;B2291),'Overview - Section A'!M$30:R128,6,0),IFERROR(VLOOKUP(INDIRECT("'WPTM - Section F'!F"&amp;B2291),'Overview - Section A'!E$27:J116,6,0),"")))</f>
        <v/>
      </c>
      <c r="J2291" s="166" t="str">
        <f t="shared" ca="1" si="154"/>
        <v/>
      </c>
      <c r="K2291" s="171" t="str">
        <f t="shared" ca="1" si="155"/>
        <v/>
      </c>
      <c r="L2291" s="166" t="str">
        <f ca="1">IFERROR(INDEX('Reference Records'!F$429:F741,MATCH(INDIRECT("'WPTM - Section F'!AP"&amp;B2291)&amp;"|"&amp;INDIRECT("'WPTM - Section F'!C"&amp;$B2291),'Reference Records'!G$429:G741,0)),"")</f>
        <v/>
      </c>
      <c r="M2291" s="171" t="str">
        <f t="shared" ca="1" si="156"/>
        <v/>
      </c>
      <c r="N2291" s="171" t="str">
        <f t="shared" ca="1" si="157"/>
        <v/>
      </c>
      <c r="O2291" s="171" t="str">
        <f t="shared" ca="1" si="158"/>
        <v/>
      </c>
      <c r="P2291" s="171" t="str">
        <f t="shared" ca="1" si="159"/>
        <v/>
      </c>
      <c r="Q2291" s="171"/>
      <c r="R2291" s="177"/>
    </row>
    <row r="2292" spans="1:18">
      <c r="A2292" s="166" t="b">
        <f t="shared" ca="1" si="151"/>
        <v>0</v>
      </c>
      <c r="B2292" s="166">
        <f t="shared" ca="1" si="149"/>
        <v>16</v>
      </c>
      <c r="C2292" s="172" t="str">
        <f ca="1">IF(COUNTA($G$2202:G2291)=1,"",OFFSET(B2292,-COUNTA($G$2202:G2291)+1,1))</f>
        <v>a1N3p00000FhqnsEAB</v>
      </c>
      <c r="D2292" s="166" t="str">
        <f t="shared" ca="1" si="152"/>
        <v>INT-257067</v>
      </c>
      <c r="E2292" s="171"/>
      <c r="F2292" s="171" t="str">
        <f t="shared" ca="1" si="153"/>
        <v/>
      </c>
      <c r="G2292" s="171"/>
      <c r="H2292" s="167">
        <f t="shared" si="150"/>
        <v>8</v>
      </c>
      <c r="I2292" s="166" t="str">
        <f ca="1">IF(IFERROR(VLOOKUP(INDIRECT("'WPTM - Section F'!F"&amp;B2292),'Overview - Section A'!M$30:R129,6,0),IFERROR(VLOOKUP(INDIRECT("'WPTM - Section F'!F"&amp;B2292),'Overview - Section A'!E$27:J117,6,0),""))=0,"",IFERROR(VLOOKUP(INDIRECT("'WPTM - Section F'!F"&amp;B2292),'Overview - Section A'!M$30:R129,6,0),IFERROR(VLOOKUP(INDIRECT("'WPTM - Section F'!F"&amp;B2292),'Overview - Section A'!E$27:J117,6,0),"")))</f>
        <v/>
      </c>
      <c r="J2292" s="166" t="str">
        <f t="shared" ca="1" si="154"/>
        <v/>
      </c>
      <c r="K2292" s="171" t="str">
        <f t="shared" ca="1" si="155"/>
        <v/>
      </c>
      <c r="L2292" s="166" t="str">
        <f ca="1">IFERROR(INDEX('Reference Records'!F$429:F742,MATCH(INDIRECT("'WPTM - Section F'!AP"&amp;B2292)&amp;"|"&amp;INDIRECT("'WPTM - Section F'!C"&amp;$B2292),'Reference Records'!G$429:G742,0)),"")</f>
        <v/>
      </c>
      <c r="M2292" s="171" t="str">
        <f t="shared" ca="1" si="156"/>
        <v/>
      </c>
      <c r="N2292" s="171" t="str">
        <f t="shared" ca="1" si="157"/>
        <v/>
      </c>
      <c r="O2292" s="171" t="str">
        <f t="shared" ca="1" si="158"/>
        <v/>
      </c>
      <c r="P2292" s="171" t="str">
        <f t="shared" ca="1" si="159"/>
        <v/>
      </c>
      <c r="Q2292" s="171"/>
      <c r="R2292" s="177"/>
    </row>
    <row r="2293" spans="1:18">
      <c r="A2293" s="166" t="b">
        <f t="shared" ca="1" si="151"/>
        <v>0</v>
      </c>
      <c r="B2293" s="166">
        <f t="shared" ca="1" si="149"/>
        <v>17</v>
      </c>
      <c r="C2293" s="172" t="str">
        <f ca="1">IF(COUNTA($G$2202:G2292)=1,"",OFFSET(B2293,-COUNTA($G$2202:G2292)+1,1))</f>
        <v>a1N3p00000FhqntEAB</v>
      </c>
      <c r="D2293" s="166" t="str">
        <f t="shared" ca="1" si="152"/>
        <v>INT-257067</v>
      </c>
      <c r="E2293" s="171"/>
      <c r="F2293" s="171" t="str">
        <f t="shared" ca="1" si="153"/>
        <v/>
      </c>
      <c r="G2293" s="171"/>
      <c r="H2293" s="167">
        <f t="shared" si="150"/>
        <v>9</v>
      </c>
      <c r="I2293" s="166" t="str">
        <f ca="1">IF(IFERROR(VLOOKUP(INDIRECT("'WPTM - Section F'!F"&amp;B2293),'Overview - Section A'!M$30:R130,6,0),IFERROR(VLOOKUP(INDIRECT("'WPTM - Section F'!F"&amp;B2293),'Overview - Section A'!E$27:J118,6,0),""))=0,"",IFERROR(VLOOKUP(INDIRECT("'WPTM - Section F'!F"&amp;B2293),'Overview - Section A'!M$30:R130,6,0),IFERROR(VLOOKUP(INDIRECT("'WPTM - Section F'!F"&amp;B2293),'Overview - Section A'!E$27:J118,6,0),"")))</f>
        <v/>
      </c>
      <c r="J2293" s="166" t="str">
        <f t="shared" ca="1" si="154"/>
        <v/>
      </c>
      <c r="K2293" s="171" t="str">
        <f t="shared" ca="1" si="155"/>
        <v/>
      </c>
      <c r="L2293" s="166" t="str">
        <f ca="1">IFERROR(INDEX('Reference Records'!F$429:F743,MATCH(INDIRECT("'WPTM - Section F'!AP"&amp;B2293)&amp;"|"&amp;INDIRECT("'WPTM - Section F'!C"&amp;$B2293),'Reference Records'!G$429:G743,0)),"")</f>
        <v/>
      </c>
      <c r="M2293" s="171" t="str">
        <f t="shared" ca="1" si="156"/>
        <v/>
      </c>
      <c r="N2293" s="171" t="str">
        <f t="shared" ca="1" si="157"/>
        <v/>
      </c>
      <c r="O2293" s="171" t="str">
        <f t="shared" ca="1" si="158"/>
        <v/>
      </c>
      <c r="P2293" s="171" t="str">
        <f t="shared" ca="1" si="159"/>
        <v/>
      </c>
      <c r="Q2293" s="171"/>
      <c r="R2293" s="177"/>
    </row>
    <row r="2294" spans="1:18">
      <c r="A2294" s="166" t="b">
        <f t="shared" ca="1" si="151"/>
        <v>0</v>
      </c>
      <c r="B2294" s="166">
        <f t="shared" ca="1" si="149"/>
        <v>18</v>
      </c>
      <c r="C2294" s="172" t="str">
        <f ca="1">IF(COUNTA($G$2202:G2293)=1,"",OFFSET(B2294,-COUNTA($G$2202:G2293)+1,1))</f>
        <v>a1N3p00000FhqnuEAB</v>
      </c>
      <c r="D2294" s="166" t="str">
        <f t="shared" ca="1" si="152"/>
        <v>INT-257067</v>
      </c>
      <c r="E2294" s="171"/>
      <c r="F2294" s="171" t="str">
        <f t="shared" ca="1" si="153"/>
        <v/>
      </c>
      <c r="G2294" s="171"/>
      <c r="H2294" s="167">
        <f t="shared" si="150"/>
        <v>10</v>
      </c>
      <c r="I2294" s="166" t="str">
        <f ca="1">IF(IFERROR(VLOOKUP(INDIRECT("'WPTM - Section F'!F"&amp;B2294),'Overview - Section A'!M$30:R131,6,0),IFERROR(VLOOKUP(INDIRECT("'WPTM - Section F'!F"&amp;B2294),'Overview - Section A'!E$27:J119,6,0),""))=0,"",IFERROR(VLOOKUP(INDIRECT("'WPTM - Section F'!F"&amp;B2294),'Overview - Section A'!M$30:R131,6,0),IFERROR(VLOOKUP(INDIRECT("'WPTM - Section F'!F"&amp;B2294),'Overview - Section A'!E$27:J119,6,0),"")))</f>
        <v/>
      </c>
      <c r="J2294" s="166" t="str">
        <f t="shared" ca="1" si="154"/>
        <v/>
      </c>
      <c r="K2294" s="171" t="str">
        <f t="shared" ca="1" si="155"/>
        <v/>
      </c>
      <c r="L2294" s="166" t="str">
        <f ca="1">IFERROR(INDEX('Reference Records'!F$429:F744,MATCH(INDIRECT("'WPTM - Section F'!AP"&amp;B2294)&amp;"|"&amp;INDIRECT("'WPTM - Section F'!C"&amp;$B2294),'Reference Records'!G$429:G744,0)),"")</f>
        <v/>
      </c>
      <c r="M2294" s="171" t="str">
        <f t="shared" ca="1" si="156"/>
        <v/>
      </c>
      <c r="N2294" s="171" t="str">
        <f t="shared" ca="1" si="157"/>
        <v/>
      </c>
      <c r="O2294" s="171" t="str">
        <f t="shared" ca="1" si="158"/>
        <v/>
      </c>
      <c r="P2294" s="171" t="str">
        <f t="shared" ca="1" si="159"/>
        <v/>
      </c>
      <c r="Q2294" s="171"/>
      <c r="R2294" s="177"/>
    </row>
    <row r="2295" spans="1:18">
      <c r="A2295" s="166" t="b">
        <f t="shared" ca="1" si="151"/>
        <v>0</v>
      </c>
      <c r="B2295" s="166">
        <f t="shared" ca="1" si="149"/>
        <v>19</v>
      </c>
      <c r="C2295" s="172" t="str">
        <f ca="1">IF(COUNTA($G$2202:G2294)=1,"",OFFSET(B2295,-COUNTA($G$2202:G2294)+1,1))</f>
        <v>a1N3p00000FhqnvEAB</v>
      </c>
      <c r="D2295" s="166" t="str">
        <f t="shared" ca="1" si="152"/>
        <v>INT-257067</v>
      </c>
      <c r="E2295" s="171"/>
      <c r="F2295" s="171" t="str">
        <f t="shared" ca="1" si="153"/>
        <v/>
      </c>
      <c r="G2295" s="171"/>
      <c r="H2295" s="167">
        <f t="shared" si="150"/>
        <v>11</v>
      </c>
      <c r="I2295" s="166" t="str">
        <f ca="1">IF(IFERROR(VLOOKUP(INDIRECT("'WPTM - Section F'!F"&amp;B2295),'Overview - Section A'!M$30:R132,6,0),IFERROR(VLOOKUP(INDIRECT("'WPTM - Section F'!F"&amp;B2295),'Overview - Section A'!E$27:J120,6,0),""))=0,"",IFERROR(VLOOKUP(INDIRECT("'WPTM - Section F'!F"&amp;B2295),'Overview - Section A'!M$30:R132,6,0),IFERROR(VLOOKUP(INDIRECT("'WPTM - Section F'!F"&amp;B2295),'Overview - Section A'!E$27:J120,6,0),"")))</f>
        <v/>
      </c>
      <c r="J2295" s="166" t="str">
        <f t="shared" ca="1" si="154"/>
        <v/>
      </c>
      <c r="K2295" s="171" t="str">
        <f t="shared" ca="1" si="155"/>
        <v/>
      </c>
      <c r="L2295" s="166" t="str">
        <f ca="1">IFERROR(INDEX('Reference Records'!F$429:F745,MATCH(INDIRECT("'WPTM - Section F'!AP"&amp;B2295)&amp;"|"&amp;INDIRECT("'WPTM - Section F'!C"&amp;$B2295),'Reference Records'!G$429:G745,0)),"")</f>
        <v/>
      </c>
      <c r="M2295" s="171" t="str">
        <f t="shared" ca="1" si="156"/>
        <v/>
      </c>
      <c r="N2295" s="171" t="str">
        <f t="shared" ca="1" si="157"/>
        <v/>
      </c>
      <c r="O2295" s="171" t="str">
        <f t="shared" ca="1" si="158"/>
        <v/>
      </c>
      <c r="P2295" s="171" t="str">
        <f t="shared" ca="1" si="159"/>
        <v/>
      </c>
      <c r="Q2295" s="171"/>
      <c r="R2295" s="177"/>
    </row>
    <row r="2296" spans="1:18">
      <c r="A2296" s="166" t="b">
        <f t="shared" ca="1" si="151"/>
        <v>0</v>
      </c>
      <c r="B2296" s="166">
        <f t="shared" ca="1" si="149"/>
        <v>20</v>
      </c>
      <c r="C2296" s="172" t="str">
        <f ca="1">IF(COUNTA($G$2202:G2295)=1,"",OFFSET(B2296,-COUNTA($G$2202:G2295)+1,1))</f>
        <v>a1N3p00000FhqnwEAB</v>
      </c>
      <c r="D2296" s="166" t="str">
        <f t="shared" ca="1" si="152"/>
        <v>INT-257067</v>
      </c>
      <c r="E2296" s="171"/>
      <c r="F2296" s="171" t="str">
        <f t="shared" ca="1" si="153"/>
        <v/>
      </c>
      <c r="G2296" s="171"/>
      <c r="H2296" s="167">
        <f t="shared" si="150"/>
        <v>12</v>
      </c>
      <c r="I2296" s="166" t="str">
        <f ca="1">IF(IFERROR(VLOOKUP(INDIRECT("'WPTM - Section F'!F"&amp;B2296),'Overview - Section A'!M$30:R133,6,0),IFERROR(VLOOKUP(INDIRECT("'WPTM - Section F'!F"&amp;B2296),'Overview - Section A'!E$27:J121,6,0),""))=0,"",IFERROR(VLOOKUP(INDIRECT("'WPTM - Section F'!F"&amp;B2296),'Overview - Section A'!M$30:R133,6,0),IFERROR(VLOOKUP(INDIRECT("'WPTM - Section F'!F"&amp;B2296),'Overview - Section A'!E$27:J121,6,0),"")))</f>
        <v/>
      </c>
      <c r="J2296" s="166" t="str">
        <f t="shared" ca="1" si="154"/>
        <v/>
      </c>
      <c r="K2296" s="171" t="str">
        <f t="shared" ca="1" si="155"/>
        <v/>
      </c>
      <c r="L2296" s="166" t="str">
        <f ca="1">IFERROR(INDEX('Reference Records'!F$429:F746,MATCH(INDIRECT("'WPTM - Section F'!AP"&amp;B2296)&amp;"|"&amp;INDIRECT("'WPTM - Section F'!C"&amp;$B2296),'Reference Records'!G$429:G746,0)),"")</f>
        <v/>
      </c>
      <c r="M2296" s="171" t="str">
        <f t="shared" ca="1" si="156"/>
        <v/>
      </c>
      <c r="N2296" s="171" t="str">
        <f t="shared" ca="1" si="157"/>
        <v/>
      </c>
      <c r="O2296" s="171" t="str">
        <f t="shared" ca="1" si="158"/>
        <v/>
      </c>
      <c r="P2296" s="171" t="str">
        <f t="shared" ca="1" si="159"/>
        <v/>
      </c>
      <c r="Q2296" s="171"/>
      <c r="R2296" s="177"/>
    </row>
    <row r="2297" spans="1:18">
      <c r="A2297" s="166" t="b">
        <f t="shared" ca="1" si="151"/>
        <v>0</v>
      </c>
      <c r="B2297" s="166">
        <f t="shared" ca="1" si="149"/>
        <v>21</v>
      </c>
      <c r="C2297" s="172" t="str">
        <f ca="1">IF(COUNTA($G$2202:G2296)=1,"",OFFSET(B2297,-COUNTA($G$2202:G2296)+1,1))</f>
        <v>a1N3p00000FhqnxEAB</v>
      </c>
      <c r="D2297" s="166" t="str">
        <f t="shared" ca="1" si="152"/>
        <v>INT-257067</v>
      </c>
      <c r="E2297" s="171"/>
      <c r="F2297" s="171" t="str">
        <f t="shared" ca="1" si="153"/>
        <v/>
      </c>
      <c r="G2297" s="171"/>
      <c r="H2297" s="167">
        <f t="shared" si="150"/>
        <v>13</v>
      </c>
      <c r="I2297" s="166" t="str">
        <f ca="1">IF(IFERROR(VLOOKUP(INDIRECT("'WPTM - Section F'!F"&amp;B2297),'Overview - Section A'!M$30:R134,6,0),IFERROR(VLOOKUP(INDIRECT("'WPTM - Section F'!F"&amp;B2297),'Overview - Section A'!E$27:J122,6,0),""))=0,"",IFERROR(VLOOKUP(INDIRECT("'WPTM - Section F'!F"&amp;B2297),'Overview - Section A'!M$30:R134,6,0),IFERROR(VLOOKUP(INDIRECT("'WPTM - Section F'!F"&amp;B2297),'Overview - Section A'!E$27:J122,6,0),"")))</f>
        <v/>
      </c>
      <c r="J2297" s="166" t="str">
        <f t="shared" ca="1" si="154"/>
        <v/>
      </c>
      <c r="K2297" s="171" t="str">
        <f t="shared" ca="1" si="155"/>
        <v/>
      </c>
      <c r="L2297" s="166" t="str">
        <f ca="1">IFERROR(INDEX('Reference Records'!F$429:F747,MATCH(INDIRECT("'WPTM - Section F'!AP"&amp;B2297)&amp;"|"&amp;INDIRECT("'WPTM - Section F'!C"&amp;$B2297),'Reference Records'!G$429:G747,0)),"")</f>
        <v/>
      </c>
      <c r="M2297" s="171" t="str">
        <f t="shared" ca="1" si="156"/>
        <v/>
      </c>
      <c r="N2297" s="171" t="str">
        <f t="shared" ca="1" si="157"/>
        <v/>
      </c>
      <c r="O2297" s="171" t="str">
        <f t="shared" ca="1" si="158"/>
        <v/>
      </c>
      <c r="P2297" s="171" t="str">
        <f t="shared" ca="1" si="159"/>
        <v/>
      </c>
      <c r="Q2297" s="171"/>
      <c r="R2297" s="177"/>
    </row>
    <row r="2298" spans="1:18">
      <c r="A2298" s="166" t="b">
        <f t="shared" ca="1" si="151"/>
        <v>0</v>
      </c>
      <c r="B2298" s="166">
        <f t="shared" ca="1" si="149"/>
        <v>22</v>
      </c>
      <c r="C2298" s="172" t="str">
        <f ca="1">IF(COUNTA($G$2202:G2297)=1,"",OFFSET(B2298,-COUNTA($G$2202:G2297)+1,1))</f>
        <v>a1N3p00000FhqnyEAB</v>
      </c>
      <c r="D2298" s="166" t="str">
        <f t="shared" ca="1" si="152"/>
        <v>INT-257067</v>
      </c>
      <c r="E2298" s="171"/>
      <c r="F2298" s="171" t="str">
        <f t="shared" ca="1" si="153"/>
        <v/>
      </c>
      <c r="G2298" s="171"/>
      <c r="H2298" s="167">
        <f t="shared" si="150"/>
        <v>14</v>
      </c>
      <c r="I2298" s="166" t="str">
        <f ca="1">IF(IFERROR(VLOOKUP(INDIRECT("'WPTM - Section F'!F"&amp;B2298),'Overview - Section A'!M$30:R135,6,0),IFERROR(VLOOKUP(INDIRECT("'WPTM - Section F'!F"&amp;B2298),'Overview - Section A'!E$27:J123,6,0),""))=0,"",IFERROR(VLOOKUP(INDIRECT("'WPTM - Section F'!F"&amp;B2298),'Overview - Section A'!M$30:R135,6,0),IFERROR(VLOOKUP(INDIRECT("'WPTM - Section F'!F"&amp;B2298),'Overview - Section A'!E$27:J123,6,0),"")))</f>
        <v/>
      </c>
      <c r="J2298" s="166" t="str">
        <f t="shared" ca="1" si="154"/>
        <v/>
      </c>
      <c r="K2298" s="171" t="str">
        <f t="shared" ca="1" si="155"/>
        <v/>
      </c>
      <c r="L2298" s="166" t="str">
        <f ca="1">IFERROR(INDEX('Reference Records'!F$429:F748,MATCH(INDIRECT("'WPTM - Section F'!AP"&amp;B2298)&amp;"|"&amp;INDIRECT("'WPTM - Section F'!C"&amp;$B2298),'Reference Records'!G$429:G748,0)),"")</f>
        <v/>
      </c>
      <c r="M2298" s="171" t="str">
        <f t="shared" ca="1" si="156"/>
        <v/>
      </c>
      <c r="N2298" s="171" t="str">
        <f t="shared" ca="1" si="157"/>
        <v/>
      </c>
      <c r="O2298" s="171" t="str">
        <f t="shared" ca="1" si="158"/>
        <v/>
      </c>
      <c r="P2298" s="171" t="str">
        <f t="shared" ca="1" si="159"/>
        <v/>
      </c>
      <c r="Q2298" s="171"/>
      <c r="R2298" s="177"/>
    </row>
    <row r="2299" spans="1:18">
      <c r="A2299" s="166" t="b">
        <f t="shared" ca="1" si="151"/>
        <v>0</v>
      </c>
      <c r="B2299" s="166">
        <f t="shared" ca="1" si="149"/>
        <v>23</v>
      </c>
      <c r="C2299" s="172" t="str">
        <f ca="1">IF(COUNTA($G$2202:G2298)=1,"",OFFSET(B2299,-COUNTA($G$2202:G2298)+1,1))</f>
        <v>a1N3p00000FhqnzEAB</v>
      </c>
      <c r="D2299" s="166" t="str">
        <f t="shared" ca="1" si="152"/>
        <v>INT-257067</v>
      </c>
      <c r="E2299" s="171"/>
      <c r="F2299" s="171" t="str">
        <f t="shared" ca="1" si="153"/>
        <v/>
      </c>
      <c r="G2299" s="171"/>
      <c r="H2299" s="167">
        <f t="shared" si="150"/>
        <v>15</v>
      </c>
      <c r="I2299" s="166" t="str">
        <f ca="1">IF(IFERROR(VLOOKUP(INDIRECT("'WPTM - Section F'!F"&amp;B2299),'Overview - Section A'!M$30:R136,6,0),IFERROR(VLOOKUP(INDIRECT("'WPTM - Section F'!F"&amp;B2299),'Overview - Section A'!E$27:J124,6,0),""))=0,"",IFERROR(VLOOKUP(INDIRECT("'WPTM - Section F'!F"&amp;B2299),'Overview - Section A'!M$30:R136,6,0),IFERROR(VLOOKUP(INDIRECT("'WPTM - Section F'!F"&amp;B2299),'Overview - Section A'!E$27:J124,6,0),"")))</f>
        <v/>
      </c>
      <c r="J2299" s="166" t="str">
        <f t="shared" ca="1" si="154"/>
        <v/>
      </c>
      <c r="K2299" s="171" t="str">
        <f t="shared" ca="1" si="155"/>
        <v/>
      </c>
      <c r="L2299" s="166" t="str">
        <f ca="1">IFERROR(INDEX('Reference Records'!F$429:F749,MATCH(INDIRECT("'WPTM - Section F'!AP"&amp;B2299)&amp;"|"&amp;INDIRECT("'WPTM - Section F'!C"&amp;$B2299),'Reference Records'!G$429:G749,0)),"")</f>
        <v/>
      </c>
      <c r="M2299" s="171" t="str">
        <f t="shared" ca="1" si="156"/>
        <v/>
      </c>
      <c r="N2299" s="171" t="str">
        <f t="shared" ca="1" si="157"/>
        <v/>
      </c>
      <c r="O2299" s="171" t="str">
        <f t="shared" ca="1" si="158"/>
        <v/>
      </c>
      <c r="P2299" s="171" t="str">
        <f t="shared" ca="1" si="159"/>
        <v/>
      </c>
      <c r="Q2299" s="171"/>
      <c r="R2299" s="177"/>
    </row>
    <row r="2300" spans="1:18">
      <c r="A2300" s="166" t="b">
        <f t="shared" ca="1" si="151"/>
        <v>0</v>
      </c>
      <c r="B2300" s="166">
        <f t="shared" ca="1" si="149"/>
        <v>24</v>
      </c>
      <c r="C2300" s="172" t="str">
        <f ca="1">IF(COUNTA($G$2202:G2299)=1,"",OFFSET(B2300,-COUNTA($G$2202:G2299)+1,1))</f>
        <v>a1N3p00000Fhqo0EAB</v>
      </c>
      <c r="D2300" s="166" t="str">
        <f t="shared" ca="1" si="152"/>
        <v>INT-257067</v>
      </c>
      <c r="E2300" s="171"/>
      <c r="F2300" s="171" t="str">
        <f t="shared" ca="1" si="153"/>
        <v/>
      </c>
      <c r="G2300" s="171"/>
      <c r="H2300" s="167">
        <f t="shared" si="150"/>
        <v>16</v>
      </c>
      <c r="I2300" s="166" t="str">
        <f ca="1">IF(IFERROR(VLOOKUP(INDIRECT("'WPTM - Section F'!F"&amp;B2300),'Overview - Section A'!M$30:R137,6,0),IFERROR(VLOOKUP(INDIRECT("'WPTM - Section F'!F"&amp;B2300),'Overview - Section A'!E$27:J125,6,0),""))=0,"",IFERROR(VLOOKUP(INDIRECT("'WPTM - Section F'!F"&amp;B2300),'Overview - Section A'!M$30:R137,6,0),IFERROR(VLOOKUP(INDIRECT("'WPTM - Section F'!F"&amp;B2300),'Overview - Section A'!E$27:J125,6,0),"")))</f>
        <v/>
      </c>
      <c r="J2300" s="166" t="str">
        <f t="shared" ca="1" si="154"/>
        <v/>
      </c>
      <c r="K2300" s="171" t="str">
        <f t="shared" ca="1" si="155"/>
        <v/>
      </c>
      <c r="L2300" s="166" t="str">
        <f ca="1">IFERROR(INDEX('Reference Records'!F$429:F750,MATCH(INDIRECT("'WPTM - Section F'!AP"&amp;B2300)&amp;"|"&amp;INDIRECT("'WPTM - Section F'!C"&amp;$B2300),'Reference Records'!G$429:G750,0)),"")</f>
        <v/>
      </c>
      <c r="M2300" s="171" t="str">
        <f t="shared" ca="1" si="156"/>
        <v/>
      </c>
      <c r="N2300" s="171" t="str">
        <f t="shared" ca="1" si="157"/>
        <v/>
      </c>
      <c r="O2300" s="171" t="str">
        <f t="shared" ca="1" si="158"/>
        <v/>
      </c>
      <c r="P2300" s="171" t="str">
        <f t="shared" ca="1" si="159"/>
        <v/>
      </c>
      <c r="Q2300" s="171"/>
      <c r="R2300" s="177"/>
    </row>
    <row r="2301" spans="1:18">
      <c r="A2301" s="166" t="b">
        <f t="shared" ca="1" si="151"/>
        <v>0</v>
      </c>
      <c r="B2301" s="166">
        <f t="shared" ca="1" si="149"/>
        <v>25</v>
      </c>
      <c r="C2301" s="172" t="str">
        <f ca="1">IF(COUNTA($G$2202:G2300)=1,"",OFFSET(B2301,-COUNTA($G$2202:G2300)+1,1))</f>
        <v>a1N3p00000Fhqo1EAB</v>
      </c>
      <c r="D2301" s="166" t="str">
        <f t="shared" ca="1" si="152"/>
        <v>INT-257067</v>
      </c>
      <c r="E2301" s="171"/>
      <c r="F2301" s="171" t="str">
        <f t="shared" ca="1" si="153"/>
        <v/>
      </c>
      <c r="G2301" s="171"/>
      <c r="H2301" s="167">
        <f t="shared" si="150"/>
        <v>17</v>
      </c>
      <c r="I2301" s="166" t="str">
        <f ca="1">IF(IFERROR(VLOOKUP(INDIRECT("'WPTM - Section F'!F"&amp;B2301),'Overview - Section A'!M$30:R138,6,0),IFERROR(VLOOKUP(INDIRECT("'WPTM - Section F'!F"&amp;B2301),'Overview - Section A'!E$27:J126,6,0),""))=0,"",IFERROR(VLOOKUP(INDIRECT("'WPTM - Section F'!F"&amp;B2301),'Overview - Section A'!M$30:R138,6,0),IFERROR(VLOOKUP(INDIRECT("'WPTM - Section F'!F"&amp;B2301),'Overview - Section A'!E$27:J126,6,0),"")))</f>
        <v/>
      </c>
      <c r="J2301" s="166" t="str">
        <f t="shared" ca="1" si="154"/>
        <v/>
      </c>
      <c r="K2301" s="171" t="str">
        <f t="shared" ca="1" si="155"/>
        <v/>
      </c>
      <c r="L2301" s="166" t="str">
        <f ca="1">IFERROR(INDEX('Reference Records'!F$429:F751,MATCH(INDIRECT("'WPTM - Section F'!AP"&amp;B2301)&amp;"|"&amp;INDIRECT("'WPTM - Section F'!C"&amp;$B2301),'Reference Records'!G$429:G751,0)),"")</f>
        <v/>
      </c>
      <c r="M2301" s="171" t="str">
        <f t="shared" ca="1" si="156"/>
        <v/>
      </c>
      <c r="N2301" s="171" t="str">
        <f t="shared" ca="1" si="157"/>
        <v/>
      </c>
      <c r="O2301" s="171" t="str">
        <f t="shared" ca="1" si="158"/>
        <v/>
      </c>
      <c r="P2301" s="171" t="str">
        <f t="shared" ca="1" si="159"/>
        <v/>
      </c>
      <c r="Q2301" s="171"/>
      <c r="R2301" s="177"/>
    </row>
    <row r="2302" spans="1:18">
      <c r="A2302" s="166" t="b">
        <f t="shared" ca="1" si="151"/>
        <v>0</v>
      </c>
      <c r="B2302" s="166">
        <f t="shared" ca="1" si="149"/>
        <v>26</v>
      </c>
      <c r="C2302" s="172" t="str">
        <f ca="1">IF(COUNTA($G$2202:G2301)=1,"",OFFSET(B2302,-COUNTA($G$2202:G2301)+1,1))</f>
        <v>a1N3p00000Fhqo2EAB</v>
      </c>
      <c r="D2302" s="166" t="str">
        <f t="shared" ca="1" si="152"/>
        <v>INT-257067</v>
      </c>
      <c r="E2302" s="171"/>
      <c r="F2302" s="171" t="str">
        <f t="shared" ca="1" si="153"/>
        <v/>
      </c>
      <c r="G2302" s="171"/>
      <c r="H2302" s="167">
        <f t="shared" si="150"/>
        <v>18</v>
      </c>
      <c r="I2302" s="166" t="str">
        <f ca="1">IF(IFERROR(VLOOKUP(INDIRECT("'WPTM - Section F'!F"&amp;B2302),'Overview - Section A'!M$30:R139,6,0),IFERROR(VLOOKUP(INDIRECT("'WPTM - Section F'!F"&amp;B2302),'Overview - Section A'!E$27:J127,6,0),""))=0,"",IFERROR(VLOOKUP(INDIRECT("'WPTM - Section F'!F"&amp;B2302),'Overview - Section A'!M$30:R139,6,0),IFERROR(VLOOKUP(INDIRECT("'WPTM - Section F'!F"&amp;B2302),'Overview - Section A'!E$27:J127,6,0),"")))</f>
        <v/>
      </c>
      <c r="J2302" s="166" t="str">
        <f t="shared" ca="1" si="154"/>
        <v/>
      </c>
      <c r="K2302" s="171" t="str">
        <f t="shared" ca="1" si="155"/>
        <v/>
      </c>
      <c r="L2302" s="166" t="str">
        <f ca="1">IFERROR(INDEX('Reference Records'!F$429:F752,MATCH(INDIRECT("'WPTM - Section F'!AP"&amp;B2302)&amp;"|"&amp;INDIRECT("'WPTM - Section F'!C"&amp;$B2302),'Reference Records'!G$429:G752,0)),"")</f>
        <v/>
      </c>
      <c r="M2302" s="171" t="str">
        <f t="shared" ca="1" si="156"/>
        <v/>
      </c>
      <c r="N2302" s="171" t="str">
        <f t="shared" ca="1" si="157"/>
        <v/>
      </c>
      <c r="O2302" s="171" t="str">
        <f t="shared" ca="1" si="158"/>
        <v/>
      </c>
      <c r="P2302" s="171" t="str">
        <f t="shared" ca="1" si="159"/>
        <v/>
      </c>
      <c r="Q2302" s="171"/>
      <c r="R2302" s="177"/>
    </row>
    <row r="2303" spans="1:18">
      <c r="A2303" s="166" t="b">
        <f t="shared" ca="1" si="151"/>
        <v>0</v>
      </c>
      <c r="B2303" s="166">
        <f t="shared" ca="1" si="149"/>
        <v>27</v>
      </c>
      <c r="C2303" s="172" t="str">
        <f ca="1">IF(COUNTA($G$2202:G2302)=1,"",OFFSET(B2303,-COUNTA($G$2202:G2302)+1,1))</f>
        <v>a1N3p00000Fhqo3EAB</v>
      </c>
      <c r="D2303" s="166" t="str">
        <f t="shared" ca="1" si="152"/>
        <v>INT-257067</v>
      </c>
      <c r="E2303" s="171"/>
      <c r="F2303" s="171" t="str">
        <f t="shared" ca="1" si="153"/>
        <v/>
      </c>
      <c r="G2303" s="171"/>
      <c r="H2303" s="167">
        <f t="shared" si="150"/>
        <v>19</v>
      </c>
      <c r="I2303" s="166" t="str">
        <f ca="1">IF(IFERROR(VLOOKUP(INDIRECT("'WPTM - Section F'!F"&amp;B2303),'Overview - Section A'!M$30:R140,6,0),IFERROR(VLOOKUP(INDIRECT("'WPTM - Section F'!F"&amp;B2303),'Overview - Section A'!E$27:J128,6,0),""))=0,"",IFERROR(VLOOKUP(INDIRECT("'WPTM - Section F'!F"&amp;B2303),'Overview - Section A'!M$30:R140,6,0),IFERROR(VLOOKUP(INDIRECT("'WPTM - Section F'!F"&amp;B2303),'Overview - Section A'!E$27:J128,6,0),"")))</f>
        <v/>
      </c>
      <c r="J2303" s="166" t="str">
        <f t="shared" ca="1" si="154"/>
        <v/>
      </c>
      <c r="K2303" s="171" t="str">
        <f t="shared" ca="1" si="155"/>
        <v/>
      </c>
      <c r="L2303" s="166" t="str">
        <f ca="1">IFERROR(INDEX('Reference Records'!F$429:F753,MATCH(INDIRECT("'WPTM - Section F'!AP"&amp;B2303)&amp;"|"&amp;INDIRECT("'WPTM - Section F'!C"&amp;$B2303),'Reference Records'!G$429:G753,0)),"")</f>
        <v/>
      </c>
      <c r="M2303" s="171" t="str">
        <f t="shared" ca="1" si="156"/>
        <v/>
      </c>
      <c r="N2303" s="171" t="str">
        <f t="shared" ca="1" si="157"/>
        <v/>
      </c>
      <c r="O2303" s="171" t="str">
        <f t="shared" ca="1" si="158"/>
        <v/>
      </c>
      <c r="P2303" s="171" t="str">
        <f t="shared" ca="1" si="159"/>
        <v/>
      </c>
      <c r="Q2303" s="171"/>
      <c r="R2303" s="177"/>
    </row>
    <row r="2304" spans="1:18">
      <c r="A2304" s="166" t="b">
        <f t="shared" ca="1" si="151"/>
        <v>0</v>
      </c>
      <c r="B2304" s="166">
        <f t="shared" ca="1" si="149"/>
        <v>28</v>
      </c>
      <c r="C2304" s="172" t="str">
        <f ca="1">IF(COUNTA($G$2202:G2303)=1,"",OFFSET(B2304,-COUNTA($G$2202:G2303)+1,1))</f>
        <v>a1N3p00000Fhqo4EAB</v>
      </c>
      <c r="D2304" s="166" t="str">
        <f t="shared" ca="1" si="152"/>
        <v>INT-257067</v>
      </c>
      <c r="E2304" s="171"/>
      <c r="F2304" s="171" t="str">
        <f t="shared" ca="1" si="153"/>
        <v/>
      </c>
      <c r="G2304" s="171"/>
      <c r="H2304" s="167">
        <f t="shared" si="150"/>
        <v>20</v>
      </c>
      <c r="I2304" s="166" t="str">
        <f ca="1">IF(IFERROR(VLOOKUP(INDIRECT("'WPTM - Section F'!F"&amp;B2304),'Overview - Section A'!M$30:R141,6,0),IFERROR(VLOOKUP(INDIRECT("'WPTM - Section F'!F"&amp;B2304),'Overview - Section A'!E$27:J129,6,0),""))=0,"",IFERROR(VLOOKUP(INDIRECT("'WPTM - Section F'!F"&amp;B2304),'Overview - Section A'!M$30:R141,6,0),IFERROR(VLOOKUP(INDIRECT("'WPTM - Section F'!F"&amp;B2304),'Overview - Section A'!E$27:J129,6,0),"")))</f>
        <v/>
      </c>
      <c r="J2304" s="166" t="str">
        <f t="shared" ca="1" si="154"/>
        <v/>
      </c>
      <c r="K2304" s="171" t="str">
        <f t="shared" ca="1" si="155"/>
        <v/>
      </c>
      <c r="L2304" s="166" t="str">
        <f ca="1">IFERROR(INDEX('Reference Records'!F$429:F754,MATCH(INDIRECT("'WPTM - Section F'!AP"&amp;B2304)&amp;"|"&amp;INDIRECT("'WPTM - Section F'!C"&amp;$B2304),'Reference Records'!G$429:G754,0)),"")</f>
        <v/>
      </c>
      <c r="M2304" s="171" t="str">
        <f t="shared" ca="1" si="156"/>
        <v/>
      </c>
      <c r="N2304" s="171" t="str">
        <f t="shared" ca="1" si="157"/>
        <v/>
      </c>
      <c r="O2304" s="171" t="str">
        <f t="shared" ca="1" si="158"/>
        <v/>
      </c>
      <c r="P2304" s="171" t="str">
        <f t="shared" ca="1" si="159"/>
        <v/>
      </c>
      <c r="Q2304" s="171"/>
      <c r="R2304" s="177"/>
    </row>
    <row r="2305" spans="1:18">
      <c r="A2305" s="166" t="b">
        <f t="shared" ca="1" si="151"/>
        <v>0</v>
      </c>
      <c r="B2305" s="166">
        <f t="shared" ca="1" si="149"/>
        <v>29</v>
      </c>
      <c r="C2305" s="172" t="str">
        <f ca="1">IF(COUNTA($G$2202:G2304)=1,"",OFFSET(B2305,-COUNTA($G$2202:G2304)+1,1))</f>
        <v>a1N3p00000Fhqo5EAB</v>
      </c>
      <c r="D2305" s="166" t="str">
        <f t="shared" ca="1" si="152"/>
        <v>INT-257067</v>
      </c>
      <c r="E2305" s="171"/>
      <c r="F2305" s="171" t="str">
        <f t="shared" ca="1" si="153"/>
        <v/>
      </c>
      <c r="G2305" s="171"/>
      <c r="H2305" s="167">
        <f t="shared" si="150"/>
        <v>21</v>
      </c>
      <c r="I2305" s="166" t="str">
        <f ca="1">IF(IFERROR(VLOOKUP(INDIRECT("'WPTM - Section F'!F"&amp;B2305),'Overview - Section A'!M$30:R142,6,0),IFERROR(VLOOKUP(INDIRECT("'WPTM - Section F'!F"&amp;B2305),'Overview - Section A'!E$27:J130,6,0),""))=0,"",IFERROR(VLOOKUP(INDIRECT("'WPTM - Section F'!F"&amp;B2305),'Overview - Section A'!M$30:R142,6,0),IFERROR(VLOOKUP(INDIRECT("'WPTM - Section F'!F"&amp;B2305),'Overview - Section A'!E$27:J130,6,0),"")))</f>
        <v/>
      </c>
      <c r="J2305" s="166" t="str">
        <f t="shared" ca="1" si="154"/>
        <v/>
      </c>
      <c r="K2305" s="171" t="str">
        <f t="shared" ca="1" si="155"/>
        <v/>
      </c>
      <c r="L2305" s="166" t="str">
        <f ca="1">IFERROR(INDEX('Reference Records'!F$429:F755,MATCH(INDIRECT("'WPTM - Section F'!AP"&amp;B2305)&amp;"|"&amp;INDIRECT("'WPTM - Section F'!C"&amp;$B2305),'Reference Records'!G$429:G755,0)),"")</f>
        <v/>
      </c>
      <c r="M2305" s="171" t="str">
        <f t="shared" ca="1" si="156"/>
        <v/>
      </c>
      <c r="N2305" s="171" t="str">
        <f t="shared" ca="1" si="157"/>
        <v/>
      </c>
      <c r="O2305" s="171" t="str">
        <f t="shared" ca="1" si="158"/>
        <v/>
      </c>
      <c r="P2305" s="171" t="str">
        <f t="shared" ca="1" si="159"/>
        <v/>
      </c>
      <c r="Q2305" s="171"/>
      <c r="R2305" s="177"/>
    </row>
    <row r="2306" spans="1:18">
      <c r="A2306" s="166" t="b">
        <f t="shared" ca="1" si="151"/>
        <v>0</v>
      </c>
      <c r="B2306" s="166">
        <f t="shared" ca="1" si="149"/>
        <v>30</v>
      </c>
      <c r="C2306" s="172" t="str">
        <f ca="1">IF(COUNTA($G$2202:G2305)=1,"",OFFSET(B2306,-COUNTA($G$2202:G2305)+1,1))</f>
        <v>a1N3p00000Fhqo6EAB</v>
      </c>
      <c r="D2306" s="166" t="str">
        <f t="shared" ca="1" si="152"/>
        <v>INT-257067</v>
      </c>
      <c r="E2306" s="171"/>
      <c r="F2306" s="171" t="str">
        <f t="shared" ca="1" si="153"/>
        <v/>
      </c>
      <c r="G2306" s="171"/>
      <c r="H2306" s="167">
        <f t="shared" si="150"/>
        <v>22</v>
      </c>
      <c r="I2306" s="166" t="str">
        <f ca="1">IF(IFERROR(VLOOKUP(INDIRECT("'WPTM - Section F'!F"&amp;B2306),'Overview - Section A'!M$30:R143,6,0),IFERROR(VLOOKUP(INDIRECT("'WPTM - Section F'!F"&amp;B2306),'Overview - Section A'!E$27:J131,6,0),""))=0,"",IFERROR(VLOOKUP(INDIRECT("'WPTM - Section F'!F"&amp;B2306),'Overview - Section A'!M$30:R143,6,0),IFERROR(VLOOKUP(INDIRECT("'WPTM - Section F'!F"&amp;B2306),'Overview - Section A'!E$27:J131,6,0),"")))</f>
        <v/>
      </c>
      <c r="J2306" s="166" t="str">
        <f t="shared" ca="1" si="154"/>
        <v/>
      </c>
      <c r="K2306" s="171" t="str">
        <f t="shared" ca="1" si="155"/>
        <v/>
      </c>
      <c r="L2306" s="166" t="str">
        <f ca="1">IFERROR(INDEX('Reference Records'!F$429:F756,MATCH(INDIRECT("'WPTM - Section F'!AP"&amp;B2306)&amp;"|"&amp;INDIRECT("'WPTM - Section F'!C"&amp;$B2306),'Reference Records'!G$429:G756,0)),"")</f>
        <v/>
      </c>
      <c r="M2306" s="171" t="str">
        <f t="shared" ca="1" si="156"/>
        <v/>
      </c>
      <c r="N2306" s="171" t="str">
        <f t="shared" ca="1" si="157"/>
        <v/>
      </c>
      <c r="O2306" s="171" t="str">
        <f t="shared" ca="1" si="158"/>
        <v/>
      </c>
      <c r="P2306" s="171" t="str">
        <f t="shared" ca="1" si="159"/>
        <v/>
      </c>
      <c r="Q2306" s="171"/>
      <c r="R2306" s="177"/>
    </row>
    <row r="2307" spans="1:18">
      <c r="A2307" s="166" t="b">
        <f t="shared" ca="1" si="151"/>
        <v>0</v>
      </c>
      <c r="B2307" s="166">
        <f t="shared" ca="1" si="149"/>
        <v>31</v>
      </c>
      <c r="C2307" s="172" t="str">
        <f ca="1">IF(COUNTA($G$2202:G2306)=1,"",OFFSET(B2307,-COUNTA($G$2202:G2306)+1,1))</f>
        <v>a1N3p00000Fhqo7EAB</v>
      </c>
      <c r="D2307" s="166" t="str">
        <f t="shared" ca="1" si="152"/>
        <v>INT-257067</v>
      </c>
      <c r="E2307" s="171"/>
      <c r="F2307" s="171" t="str">
        <f t="shared" ca="1" si="153"/>
        <v/>
      </c>
      <c r="G2307" s="171"/>
      <c r="H2307" s="167">
        <f t="shared" si="150"/>
        <v>23</v>
      </c>
      <c r="I2307" s="166" t="str">
        <f ca="1">IF(IFERROR(VLOOKUP(INDIRECT("'WPTM - Section F'!F"&amp;B2307),'Overview - Section A'!M$30:R144,6,0),IFERROR(VLOOKUP(INDIRECT("'WPTM - Section F'!F"&amp;B2307),'Overview - Section A'!E$27:J132,6,0),""))=0,"",IFERROR(VLOOKUP(INDIRECT("'WPTM - Section F'!F"&amp;B2307),'Overview - Section A'!M$30:R144,6,0),IFERROR(VLOOKUP(INDIRECT("'WPTM - Section F'!F"&amp;B2307),'Overview - Section A'!E$27:J132,6,0),"")))</f>
        <v/>
      </c>
      <c r="J2307" s="166" t="str">
        <f t="shared" ca="1" si="154"/>
        <v/>
      </c>
      <c r="K2307" s="171" t="str">
        <f t="shared" ca="1" si="155"/>
        <v/>
      </c>
      <c r="L2307" s="166" t="str">
        <f ca="1">IFERROR(INDEX('Reference Records'!F$429:F757,MATCH(INDIRECT("'WPTM - Section F'!AP"&amp;B2307)&amp;"|"&amp;INDIRECT("'WPTM - Section F'!C"&amp;$B2307),'Reference Records'!G$429:G757,0)),"")</f>
        <v/>
      </c>
      <c r="M2307" s="171" t="str">
        <f t="shared" ca="1" si="156"/>
        <v/>
      </c>
      <c r="N2307" s="171" t="str">
        <f t="shared" ca="1" si="157"/>
        <v/>
      </c>
      <c r="O2307" s="171" t="str">
        <f t="shared" ca="1" si="158"/>
        <v/>
      </c>
      <c r="P2307" s="171" t="str">
        <f t="shared" ca="1" si="159"/>
        <v/>
      </c>
      <c r="Q2307" s="171"/>
      <c r="R2307" s="177"/>
    </row>
    <row r="2308" spans="1:18">
      <c r="A2308" s="166" t="b">
        <f t="shared" ca="1" si="151"/>
        <v>0</v>
      </c>
      <c r="B2308" s="166">
        <f t="shared" ca="1" si="149"/>
        <v>32</v>
      </c>
      <c r="C2308" s="172" t="str">
        <f ca="1">IF(COUNTA($G$2202:G2307)=1,"",OFFSET(B2308,-COUNTA($G$2202:G2307)+1,1))</f>
        <v>a1N3p00000Fhqo8EAB</v>
      </c>
      <c r="D2308" s="166" t="str">
        <f t="shared" ca="1" si="152"/>
        <v>INT-257067</v>
      </c>
      <c r="E2308" s="171"/>
      <c r="F2308" s="171" t="str">
        <f t="shared" ca="1" si="153"/>
        <v/>
      </c>
      <c r="G2308" s="171"/>
      <c r="H2308" s="167">
        <f t="shared" si="150"/>
        <v>24</v>
      </c>
      <c r="I2308" s="166" t="str">
        <f ca="1">IF(IFERROR(VLOOKUP(INDIRECT("'WPTM - Section F'!F"&amp;B2308),'Overview - Section A'!M$30:R145,6,0),IFERROR(VLOOKUP(INDIRECT("'WPTM - Section F'!F"&amp;B2308),'Overview - Section A'!E$27:J133,6,0),""))=0,"",IFERROR(VLOOKUP(INDIRECT("'WPTM - Section F'!F"&amp;B2308),'Overview - Section A'!M$30:R145,6,0),IFERROR(VLOOKUP(INDIRECT("'WPTM - Section F'!F"&amp;B2308),'Overview - Section A'!E$27:J133,6,0),"")))</f>
        <v/>
      </c>
      <c r="J2308" s="166" t="str">
        <f t="shared" ca="1" si="154"/>
        <v/>
      </c>
      <c r="K2308" s="171" t="str">
        <f t="shared" ca="1" si="155"/>
        <v/>
      </c>
      <c r="L2308" s="166" t="str">
        <f ca="1">IFERROR(INDEX('Reference Records'!F$429:F758,MATCH(INDIRECT("'WPTM - Section F'!AP"&amp;B2308)&amp;"|"&amp;INDIRECT("'WPTM - Section F'!C"&amp;$B2308),'Reference Records'!G$429:G758,0)),"")</f>
        <v/>
      </c>
      <c r="M2308" s="171" t="str">
        <f t="shared" ca="1" si="156"/>
        <v/>
      </c>
      <c r="N2308" s="171" t="str">
        <f t="shared" ca="1" si="157"/>
        <v/>
      </c>
      <c r="O2308" s="171" t="str">
        <f t="shared" ca="1" si="158"/>
        <v/>
      </c>
      <c r="P2308" s="171" t="str">
        <f t="shared" ca="1" si="159"/>
        <v/>
      </c>
      <c r="Q2308" s="171"/>
      <c r="R2308" s="177"/>
    </row>
    <row r="2309" spans="1:18">
      <c r="A2309" s="166" t="b">
        <f t="shared" ca="1" si="151"/>
        <v>0</v>
      </c>
      <c r="B2309" s="166">
        <f t="shared" ca="1" si="149"/>
        <v>33</v>
      </c>
      <c r="C2309" s="172" t="str">
        <f ca="1">IF(COUNTA($G$2202:G2308)=1,"",OFFSET(B2309,-COUNTA($G$2202:G2308)+1,1))</f>
        <v>a1N3p00000Fhqo9EAB</v>
      </c>
      <c r="D2309" s="166" t="str">
        <f t="shared" ca="1" si="152"/>
        <v>INT-257067</v>
      </c>
      <c r="E2309" s="171"/>
      <c r="F2309" s="171" t="str">
        <f t="shared" ca="1" si="153"/>
        <v/>
      </c>
      <c r="G2309" s="171"/>
      <c r="H2309" s="167">
        <f t="shared" si="150"/>
        <v>25</v>
      </c>
      <c r="I2309" s="166" t="str">
        <f ca="1">IF(IFERROR(VLOOKUP(INDIRECT("'WPTM - Section F'!F"&amp;B2309),'Overview - Section A'!M$30:R146,6,0),IFERROR(VLOOKUP(INDIRECT("'WPTM - Section F'!F"&amp;B2309),'Overview - Section A'!E$27:J134,6,0),""))=0,"",IFERROR(VLOOKUP(INDIRECT("'WPTM - Section F'!F"&amp;B2309),'Overview - Section A'!M$30:R146,6,0),IFERROR(VLOOKUP(INDIRECT("'WPTM - Section F'!F"&amp;B2309),'Overview - Section A'!E$27:J134,6,0),"")))</f>
        <v/>
      </c>
      <c r="J2309" s="166" t="str">
        <f t="shared" ca="1" si="154"/>
        <v/>
      </c>
      <c r="K2309" s="171" t="str">
        <f t="shared" ca="1" si="155"/>
        <v/>
      </c>
      <c r="L2309" s="166" t="str">
        <f ca="1">IFERROR(INDEX('Reference Records'!F$429:F759,MATCH(INDIRECT("'WPTM - Section F'!AP"&amp;B2309)&amp;"|"&amp;INDIRECT("'WPTM - Section F'!C"&amp;$B2309),'Reference Records'!G$429:G759,0)),"")</f>
        <v/>
      </c>
      <c r="M2309" s="171" t="str">
        <f t="shared" ca="1" si="156"/>
        <v/>
      </c>
      <c r="N2309" s="171" t="str">
        <f t="shared" ca="1" si="157"/>
        <v/>
      </c>
      <c r="O2309" s="171" t="str">
        <f t="shared" ca="1" si="158"/>
        <v/>
      </c>
      <c r="P2309" s="171" t="str">
        <f t="shared" ca="1" si="159"/>
        <v/>
      </c>
      <c r="Q2309" s="171"/>
      <c r="R2309" s="177"/>
    </row>
    <row r="2310" spans="1:18">
      <c r="A2310" s="166" t="b">
        <f t="shared" ca="1" si="151"/>
        <v>0</v>
      </c>
      <c r="B2310" s="166">
        <f t="shared" ca="1" si="149"/>
        <v>34</v>
      </c>
      <c r="C2310" s="172" t="str">
        <f ca="1">IF(COUNTA($G$2202:G2309)=1,"",OFFSET(B2310,-COUNTA($G$2202:G2309)+1,1))</f>
        <v>a1N3p00000FhqoAEAR</v>
      </c>
      <c r="D2310" s="166" t="str">
        <f t="shared" ca="1" si="152"/>
        <v>INT-257067</v>
      </c>
      <c r="E2310" s="171"/>
      <c r="F2310" s="171" t="str">
        <f t="shared" ca="1" si="153"/>
        <v/>
      </c>
      <c r="G2310" s="171"/>
      <c r="H2310" s="167">
        <f t="shared" si="150"/>
        <v>26</v>
      </c>
      <c r="I2310" s="166" t="str">
        <f ca="1">IF(IFERROR(VLOOKUP(INDIRECT("'WPTM - Section F'!F"&amp;B2310),'Overview - Section A'!M$30:R147,6,0),IFERROR(VLOOKUP(INDIRECT("'WPTM - Section F'!F"&amp;B2310),'Overview - Section A'!E$27:J135,6,0),""))=0,"",IFERROR(VLOOKUP(INDIRECT("'WPTM - Section F'!F"&amp;B2310),'Overview - Section A'!M$30:R147,6,0),IFERROR(VLOOKUP(INDIRECT("'WPTM - Section F'!F"&amp;B2310),'Overview - Section A'!E$27:J135,6,0),"")))</f>
        <v/>
      </c>
      <c r="J2310" s="166" t="str">
        <f t="shared" ca="1" si="154"/>
        <v/>
      </c>
      <c r="K2310" s="171" t="str">
        <f t="shared" ca="1" si="155"/>
        <v/>
      </c>
      <c r="L2310" s="166" t="str">
        <f ca="1">IFERROR(INDEX('Reference Records'!F$429:F760,MATCH(INDIRECT("'WPTM - Section F'!AP"&amp;B2310)&amp;"|"&amp;INDIRECT("'WPTM - Section F'!C"&amp;$B2310),'Reference Records'!G$429:G760,0)),"")</f>
        <v/>
      </c>
      <c r="M2310" s="171" t="str">
        <f t="shared" ca="1" si="156"/>
        <v/>
      </c>
      <c r="N2310" s="171" t="str">
        <f t="shared" ca="1" si="157"/>
        <v/>
      </c>
      <c r="O2310" s="171" t="str">
        <f t="shared" ca="1" si="158"/>
        <v/>
      </c>
      <c r="P2310" s="171" t="str">
        <f t="shared" ca="1" si="159"/>
        <v/>
      </c>
      <c r="Q2310" s="171"/>
      <c r="R2310" s="177"/>
    </row>
    <row r="2311" spans="1:18">
      <c r="A2311" s="166" t="b">
        <f t="shared" ca="1" si="151"/>
        <v>0</v>
      </c>
      <c r="B2311" s="166">
        <f t="shared" ca="1" si="149"/>
        <v>35</v>
      </c>
      <c r="C2311" s="172" t="str">
        <f ca="1">IF(COUNTA($G$2202:G2310)=1,"",OFFSET(B2311,-COUNTA($G$2202:G2310)+1,1))</f>
        <v>a1N3p00000FhqoBEAR</v>
      </c>
      <c r="D2311" s="166" t="str">
        <f t="shared" ca="1" si="152"/>
        <v>INT-257067</v>
      </c>
      <c r="E2311" s="171"/>
      <c r="F2311" s="171" t="str">
        <f t="shared" ca="1" si="153"/>
        <v/>
      </c>
      <c r="G2311" s="171"/>
      <c r="H2311" s="167">
        <f t="shared" si="150"/>
        <v>27</v>
      </c>
      <c r="I2311" s="166" t="str">
        <f ca="1">IF(IFERROR(VLOOKUP(INDIRECT("'WPTM - Section F'!F"&amp;B2311),'Overview - Section A'!M$30:R148,6,0),IFERROR(VLOOKUP(INDIRECT("'WPTM - Section F'!F"&amp;B2311),'Overview - Section A'!E$27:J136,6,0),""))=0,"",IFERROR(VLOOKUP(INDIRECT("'WPTM - Section F'!F"&amp;B2311),'Overview - Section A'!M$30:R148,6,0),IFERROR(VLOOKUP(INDIRECT("'WPTM - Section F'!F"&amp;B2311),'Overview - Section A'!E$27:J136,6,0),"")))</f>
        <v/>
      </c>
      <c r="J2311" s="166" t="str">
        <f t="shared" ca="1" si="154"/>
        <v/>
      </c>
      <c r="K2311" s="171" t="str">
        <f t="shared" ca="1" si="155"/>
        <v/>
      </c>
      <c r="L2311" s="166" t="str">
        <f ca="1">IFERROR(INDEX('Reference Records'!F$429:F761,MATCH(INDIRECT("'WPTM - Section F'!AP"&amp;B2311)&amp;"|"&amp;INDIRECT("'WPTM - Section F'!C"&amp;$B2311),'Reference Records'!G$429:G761,0)),"")</f>
        <v/>
      </c>
      <c r="M2311" s="171" t="str">
        <f t="shared" ca="1" si="156"/>
        <v/>
      </c>
      <c r="N2311" s="171" t="str">
        <f t="shared" ca="1" si="157"/>
        <v/>
      </c>
      <c r="O2311" s="171" t="str">
        <f t="shared" ca="1" si="158"/>
        <v/>
      </c>
      <c r="P2311" s="171" t="str">
        <f t="shared" ca="1" si="159"/>
        <v/>
      </c>
      <c r="Q2311" s="171"/>
      <c r="R2311" s="177"/>
    </row>
    <row r="2312" spans="1:18">
      <c r="A2312" s="166" t="b">
        <f t="shared" ca="1" si="151"/>
        <v>0</v>
      </c>
      <c r="B2312" s="166">
        <f t="shared" ca="1" si="149"/>
        <v>36</v>
      </c>
      <c r="C2312" s="172" t="str">
        <f ca="1">IF(COUNTA($G$2202:G2311)=1,"",OFFSET(B2312,-COUNTA($G$2202:G2311)+1,1))</f>
        <v>a1N3p00000FhqoCEAR</v>
      </c>
      <c r="D2312" s="166" t="str">
        <f t="shared" ca="1" si="152"/>
        <v>INT-257067</v>
      </c>
      <c r="E2312" s="171"/>
      <c r="F2312" s="171" t="str">
        <f t="shared" ca="1" si="153"/>
        <v/>
      </c>
      <c r="G2312" s="171"/>
      <c r="H2312" s="167">
        <f t="shared" si="150"/>
        <v>28</v>
      </c>
      <c r="I2312" s="166" t="str">
        <f ca="1">IF(IFERROR(VLOOKUP(INDIRECT("'WPTM - Section F'!F"&amp;B2312),'Overview - Section A'!M$30:R149,6,0),IFERROR(VLOOKUP(INDIRECT("'WPTM - Section F'!F"&amp;B2312),'Overview - Section A'!E$27:J137,6,0),""))=0,"",IFERROR(VLOOKUP(INDIRECT("'WPTM - Section F'!F"&amp;B2312),'Overview - Section A'!M$30:R149,6,0),IFERROR(VLOOKUP(INDIRECT("'WPTM - Section F'!F"&amp;B2312),'Overview - Section A'!E$27:J137,6,0),"")))</f>
        <v/>
      </c>
      <c r="J2312" s="166" t="str">
        <f t="shared" ca="1" si="154"/>
        <v/>
      </c>
      <c r="K2312" s="171" t="str">
        <f t="shared" ca="1" si="155"/>
        <v/>
      </c>
      <c r="L2312" s="166" t="str">
        <f ca="1">IFERROR(INDEX('Reference Records'!F$429:F762,MATCH(INDIRECT("'WPTM - Section F'!AP"&amp;B2312)&amp;"|"&amp;INDIRECT("'WPTM - Section F'!C"&amp;$B2312),'Reference Records'!G$429:G762,0)),"")</f>
        <v/>
      </c>
      <c r="M2312" s="171" t="str">
        <f t="shared" ca="1" si="156"/>
        <v/>
      </c>
      <c r="N2312" s="171" t="str">
        <f t="shared" ca="1" si="157"/>
        <v/>
      </c>
      <c r="O2312" s="171" t="str">
        <f t="shared" ca="1" si="158"/>
        <v/>
      </c>
      <c r="P2312" s="171" t="str">
        <f t="shared" ca="1" si="159"/>
        <v/>
      </c>
      <c r="Q2312" s="171"/>
      <c r="R2312" s="177"/>
    </row>
    <row r="2313" spans="1:18">
      <c r="A2313" s="166" t="b">
        <f t="shared" ca="1" si="151"/>
        <v>0</v>
      </c>
      <c r="B2313" s="166">
        <f t="shared" ca="1" si="149"/>
        <v>37</v>
      </c>
      <c r="C2313" s="172" t="str">
        <f ca="1">IF(COUNTA($G$2202:G2312)=1,"",OFFSET(B2313,-COUNTA($G$2202:G2312)+1,1))</f>
        <v>a1N3p00000FhqoDEAR</v>
      </c>
      <c r="D2313" s="166" t="str">
        <f t="shared" ca="1" si="152"/>
        <v>INT-257067</v>
      </c>
      <c r="E2313" s="171"/>
      <c r="F2313" s="171" t="str">
        <f t="shared" ca="1" si="153"/>
        <v/>
      </c>
      <c r="G2313" s="171"/>
      <c r="H2313" s="167">
        <f t="shared" si="150"/>
        <v>29</v>
      </c>
      <c r="I2313" s="166" t="str">
        <f ca="1">IF(IFERROR(VLOOKUP(INDIRECT("'WPTM - Section F'!F"&amp;B2313),'Overview - Section A'!M$30:R150,6,0),IFERROR(VLOOKUP(INDIRECT("'WPTM - Section F'!F"&amp;B2313),'Overview - Section A'!E$27:J138,6,0),""))=0,"",IFERROR(VLOOKUP(INDIRECT("'WPTM - Section F'!F"&amp;B2313),'Overview - Section A'!M$30:R150,6,0),IFERROR(VLOOKUP(INDIRECT("'WPTM - Section F'!F"&amp;B2313),'Overview - Section A'!E$27:J138,6,0),"")))</f>
        <v/>
      </c>
      <c r="J2313" s="166" t="str">
        <f t="shared" ca="1" si="154"/>
        <v/>
      </c>
      <c r="K2313" s="171" t="str">
        <f t="shared" ca="1" si="155"/>
        <v/>
      </c>
      <c r="L2313" s="166" t="str">
        <f ca="1">IFERROR(INDEX('Reference Records'!F$429:F763,MATCH(INDIRECT("'WPTM - Section F'!AP"&amp;B2313)&amp;"|"&amp;INDIRECT("'WPTM - Section F'!C"&amp;$B2313),'Reference Records'!G$429:G763,0)),"")</f>
        <v/>
      </c>
      <c r="M2313" s="171" t="str">
        <f t="shared" ca="1" si="156"/>
        <v/>
      </c>
      <c r="N2313" s="171" t="str">
        <f t="shared" ca="1" si="157"/>
        <v/>
      </c>
      <c r="O2313" s="171" t="str">
        <f t="shared" ca="1" si="158"/>
        <v/>
      </c>
      <c r="P2313" s="171" t="str">
        <f t="shared" ca="1" si="159"/>
        <v/>
      </c>
      <c r="Q2313" s="171"/>
      <c r="R2313" s="177"/>
    </row>
    <row r="2314" spans="1:18">
      <c r="A2314" s="166" t="b">
        <f t="shared" ca="1" si="151"/>
        <v>0</v>
      </c>
      <c r="B2314" s="166">
        <f t="shared" ca="1" si="149"/>
        <v>38</v>
      </c>
      <c r="C2314" s="172" t="str">
        <f ca="1">IF(COUNTA($G$2202:G2313)=1,"",OFFSET(B2314,-COUNTA($G$2202:G2313)+1,1))</f>
        <v>a1N3p00000FhqoEEAR</v>
      </c>
      <c r="D2314" s="166" t="str">
        <f t="shared" ca="1" si="152"/>
        <v>INT-257067</v>
      </c>
      <c r="E2314" s="171"/>
      <c r="F2314" s="171" t="str">
        <f t="shared" ca="1" si="153"/>
        <v/>
      </c>
      <c r="G2314" s="171"/>
      <c r="H2314" s="167">
        <f t="shared" si="150"/>
        <v>30</v>
      </c>
      <c r="I2314" s="166" t="str">
        <f ca="1">IF(IFERROR(VLOOKUP(INDIRECT("'WPTM - Section F'!F"&amp;B2314),'Overview - Section A'!M$30:R151,6,0),IFERROR(VLOOKUP(INDIRECT("'WPTM - Section F'!F"&amp;B2314),'Overview - Section A'!E$27:J139,6,0),""))=0,"",IFERROR(VLOOKUP(INDIRECT("'WPTM - Section F'!F"&amp;B2314),'Overview - Section A'!M$30:R151,6,0),IFERROR(VLOOKUP(INDIRECT("'WPTM - Section F'!F"&amp;B2314),'Overview - Section A'!E$27:J139,6,0),"")))</f>
        <v/>
      </c>
      <c r="J2314" s="166" t="str">
        <f t="shared" ca="1" si="154"/>
        <v/>
      </c>
      <c r="K2314" s="171" t="str">
        <f t="shared" ca="1" si="155"/>
        <v/>
      </c>
      <c r="L2314" s="166" t="str">
        <f ca="1">IFERROR(INDEX('Reference Records'!F$429:F764,MATCH(INDIRECT("'WPTM - Section F'!AP"&amp;B2314)&amp;"|"&amp;INDIRECT("'WPTM - Section F'!C"&amp;$B2314),'Reference Records'!G$429:G764,0)),"")</f>
        <v/>
      </c>
      <c r="M2314" s="171" t="str">
        <f t="shared" ca="1" si="156"/>
        <v/>
      </c>
      <c r="N2314" s="171" t="str">
        <f t="shared" ca="1" si="157"/>
        <v/>
      </c>
      <c r="O2314" s="171" t="str">
        <f t="shared" ca="1" si="158"/>
        <v/>
      </c>
      <c r="P2314" s="171" t="str">
        <f t="shared" ca="1" si="159"/>
        <v/>
      </c>
      <c r="Q2314" s="171"/>
      <c r="R2314" s="177"/>
    </row>
    <row r="2315" spans="1:18">
      <c r="A2315" s="166" t="b">
        <f t="shared" ca="1" si="151"/>
        <v>0</v>
      </c>
      <c r="B2315" s="166">
        <f t="shared" ca="1" si="149"/>
        <v>39</v>
      </c>
      <c r="C2315" s="172" t="str">
        <f ca="1">IF(COUNTA($G$2202:G2314)=1,"",OFFSET(B2315,-COUNTA($G$2202:G2314)+1,1))</f>
        <v>a1N3p00000FhqoFEAR</v>
      </c>
      <c r="D2315" s="166" t="str">
        <f t="shared" ca="1" si="152"/>
        <v>INT-257067</v>
      </c>
      <c r="E2315" s="171"/>
      <c r="F2315" s="171" t="str">
        <f t="shared" ca="1" si="153"/>
        <v/>
      </c>
      <c r="G2315" s="171"/>
      <c r="H2315" s="167">
        <f t="shared" si="150"/>
        <v>31</v>
      </c>
      <c r="I2315" s="166" t="str">
        <f ca="1">IF(IFERROR(VLOOKUP(INDIRECT("'WPTM - Section F'!F"&amp;B2315),'Overview - Section A'!M$30:R152,6,0),IFERROR(VLOOKUP(INDIRECT("'WPTM - Section F'!F"&amp;B2315),'Overview - Section A'!E$27:J140,6,0),""))=0,"",IFERROR(VLOOKUP(INDIRECT("'WPTM - Section F'!F"&amp;B2315),'Overview - Section A'!M$30:R152,6,0),IFERROR(VLOOKUP(INDIRECT("'WPTM - Section F'!F"&amp;B2315),'Overview - Section A'!E$27:J140,6,0),"")))</f>
        <v/>
      </c>
      <c r="J2315" s="166" t="str">
        <f t="shared" ca="1" si="154"/>
        <v/>
      </c>
      <c r="K2315" s="171" t="str">
        <f t="shared" ca="1" si="155"/>
        <v/>
      </c>
      <c r="L2315" s="166" t="str">
        <f ca="1">IFERROR(INDEX('Reference Records'!F$429:F765,MATCH(INDIRECT("'WPTM - Section F'!AP"&amp;B2315)&amp;"|"&amp;INDIRECT("'WPTM - Section F'!C"&amp;$B2315),'Reference Records'!G$429:G765,0)),"")</f>
        <v/>
      </c>
      <c r="M2315" s="171" t="str">
        <f t="shared" ca="1" si="156"/>
        <v/>
      </c>
      <c r="N2315" s="171" t="str">
        <f t="shared" ca="1" si="157"/>
        <v/>
      </c>
      <c r="O2315" s="171" t="str">
        <f t="shared" ca="1" si="158"/>
        <v/>
      </c>
      <c r="P2315" s="171" t="str">
        <f t="shared" ca="1" si="159"/>
        <v/>
      </c>
      <c r="Q2315" s="171"/>
      <c r="R2315" s="177"/>
    </row>
    <row r="2316" spans="1:18">
      <c r="A2316" s="166" t="b">
        <f t="shared" ca="1" si="151"/>
        <v>0</v>
      </c>
      <c r="B2316" s="166">
        <f t="shared" ca="1" si="149"/>
        <v>40</v>
      </c>
      <c r="C2316" s="172" t="str">
        <f ca="1">IF(COUNTA($G$2202:G2315)=1,"",OFFSET(B2316,-COUNTA($G$2202:G2315)+1,1))</f>
        <v>a1N3p00000FhqoGEAR</v>
      </c>
      <c r="D2316" s="166" t="str">
        <f t="shared" ca="1" si="152"/>
        <v>INT-257067</v>
      </c>
      <c r="E2316" s="171"/>
      <c r="F2316" s="171" t="str">
        <f t="shared" ca="1" si="153"/>
        <v/>
      </c>
      <c r="G2316" s="171"/>
      <c r="H2316" s="167">
        <f t="shared" si="150"/>
        <v>32</v>
      </c>
      <c r="I2316" s="166" t="str">
        <f ca="1">IF(IFERROR(VLOOKUP(INDIRECT("'WPTM - Section F'!F"&amp;B2316),'Overview - Section A'!M$30:R153,6,0),IFERROR(VLOOKUP(INDIRECT("'WPTM - Section F'!F"&amp;B2316),'Overview - Section A'!E$27:J141,6,0),""))=0,"",IFERROR(VLOOKUP(INDIRECT("'WPTM - Section F'!F"&amp;B2316),'Overview - Section A'!M$30:R153,6,0),IFERROR(VLOOKUP(INDIRECT("'WPTM - Section F'!F"&amp;B2316),'Overview - Section A'!E$27:J141,6,0),"")))</f>
        <v/>
      </c>
      <c r="J2316" s="166" t="str">
        <f t="shared" ca="1" si="154"/>
        <v/>
      </c>
      <c r="K2316" s="171" t="str">
        <f t="shared" ca="1" si="155"/>
        <v/>
      </c>
      <c r="L2316" s="166" t="str">
        <f ca="1">IFERROR(INDEX('Reference Records'!F$429:F766,MATCH(INDIRECT("'WPTM - Section F'!AP"&amp;B2316)&amp;"|"&amp;INDIRECT("'WPTM - Section F'!C"&amp;$B2316),'Reference Records'!G$429:G766,0)),"")</f>
        <v/>
      </c>
      <c r="M2316" s="171" t="str">
        <f t="shared" ca="1" si="156"/>
        <v/>
      </c>
      <c r="N2316" s="171" t="str">
        <f t="shared" ca="1" si="157"/>
        <v/>
      </c>
      <c r="O2316" s="171" t="str">
        <f t="shared" ca="1" si="158"/>
        <v/>
      </c>
      <c r="P2316" s="171" t="str">
        <f t="shared" ca="1" si="159"/>
        <v/>
      </c>
      <c r="Q2316" s="171"/>
      <c r="R2316" s="177"/>
    </row>
    <row r="2317" spans="1:18">
      <c r="A2317" s="166" t="b">
        <f t="shared" ca="1" si="151"/>
        <v>0</v>
      </c>
      <c r="B2317" s="166">
        <f t="shared" ca="1" si="149"/>
        <v>41</v>
      </c>
      <c r="C2317" s="172" t="str">
        <f ca="1">IF(COUNTA($G$2202:G2316)=1,"",OFFSET(B2317,-COUNTA($G$2202:G2316)+1,1))</f>
        <v>a1N3p00000FhqoHEAR</v>
      </c>
      <c r="D2317" s="166" t="str">
        <f t="shared" ca="1" si="152"/>
        <v>INT-257067</v>
      </c>
      <c r="E2317" s="171"/>
      <c r="F2317" s="171" t="str">
        <f t="shared" ca="1" si="153"/>
        <v/>
      </c>
      <c r="G2317" s="171"/>
      <c r="H2317" s="167">
        <f t="shared" si="150"/>
        <v>33</v>
      </c>
      <c r="I2317" s="166" t="str">
        <f ca="1">IF(IFERROR(VLOOKUP(INDIRECT("'WPTM - Section F'!F"&amp;B2317),'Overview - Section A'!M$30:R154,6,0),IFERROR(VLOOKUP(INDIRECT("'WPTM - Section F'!F"&amp;B2317),'Overview - Section A'!E$27:J142,6,0),""))=0,"",IFERROR(VLOOKUP(INDIRECT("'WPTM - Section F'!F"&amp;B2317),'Overview - Section A'!M$30:R154,6,0),IFERROR(VLOOKUP(INDIRECT("'WPTM - Section F'!F"&amp;B2317),'Overview - Section A'!E$27:J142,6,0),"")))</f>
        <v/>
      </c>
      <c r="J2317" s="166" t="str">
        <f t="shared" ca="1" si="154"/>
        <v/>
      </c>
      <c r="K2317" s="171" t="str">
        <f t="shared" ca="1" si="155"/>
        <v/>
      </c>
      <c r="L2317" s="166" t="str">
        <f ca="1">IFERROR(INDEX('Reference Records'!F$429:F767,MATCH(INDIRECT("'WPTM - Section F'!AP"&amp;B2317)&amp;"|"&amp;INDIRECT("'WPTM - Section F'!C"&amp;$B2317),'Reference Records'!G$429:G767,0)),"")</f>
        <v/>
      </c>
      <c r="M2317" s="171" t="str">
        <f t="shared" ca="1" si="156"/>
        <v/>
      </c>
      <c r="N2317" s="171" t="str">
        <f t="shared" ca="1" si="157"/>
        <v/>
      </c>
      <c r="O2317" s="171" t="str">
        <f t="shared" ca="1" si="158"/>
        <v/>
      </c>
      <c r="P2317" s="171" t="str">
        <f t="shared" ca="1" si="159"/>
        <v/>
      </c>
      <c r="Q2317" s="171"/>
      <c r="R2317" s="177"/>
    </row>
    <row r="2318" spans="1:18">
      <c r="A2318" s="166" t="b">
        <f t="shared" ca="1" si="151"/>
        <v>0</v>
      </c>
      <c r="B2318" s="166">
        <f t="shared" ca="1" si="149"/>
        <v>42</v>
      </c>
      <c r="C2318" s="172" t="str">
        <f ca="1">IF(COUNTA($G$2202:G2317)=1,"",OFFSET(B2318,-COUNTA($G$2202:G2317)+1,1))</f>
        <v>a1N3p00000FhqoIEAR</v>
      </c>
      <c r="D2318" s="166" t="str">
        <f t="shared" ca="1" si="152"/>
        <v>INT-257067</v>
      </c>
      <c r="E2318" s="171"/>
      <c r="F2318" s="171" t="str">
        <f t="shared" ca="1" si="153"/>
        <v/>
      </c>
      <c r="G2318" s="171"/>
      <c r="H2318" s="167">
        <f t="shared" si="150"/>
        <v>34</v>
      </c>
      <c r="I2318" s="166" t="str">
        <f ca="1">IF(IFERROR(VLOOKUP(INDIRECT("'WPTM - Section F'!F"&amp;B2318),'Overview - Section A'!M$30:R155,6,0),IFERROR(VLOOKUP(INDIRECT("'WPTM - Section F'!F"&amp;B2318),'Overview - Section A'!E$27:J143,6,0),""))=0,"",IFERROR(VLOOKUP(INDIRECT("'WPTM - Section F'!F"&amp;B2318),'Overview - Section A'!M$30:R155,6,0),IFERROR(VLOOKUP(INDIRECT("'WPTM - Section F'!F"&amp;B2318),'Overview - Section A'!E$27:J143,6,0),"")))</f>
        <v/>
      </c>
      <c r="J2318" s="166" t="str">
        <f t="shared" ca="1" si="154"/>
        <v/>
      </c>
      <c r="K2318" s="171" t="str">
        <f t="shared" ca="1" si="155"/>
        <v/>
      </c>
      <c r="L2318" s="166" t="str">
        <f ca="1">IFERROR(INDEX('Reference Records'!F$429:F768,MATCH(INDIRECT("'WPTM - Section F'!AP"&amp;B2318)&amp;"|"&amp;INDIRECT("'WPTM - Section F'!C"&amp;$B2318),'Reference Records'!G$429:G768,0)),"")</f>
        <v/>
      </c>
      <c r="M2318" s="171" t="str">
        <f t="shared" ca="1" si="156"/>
        <v/>
      </c>
      <c r="N2318" s="171" t="str">
        <f t="shared" ca="1" si="157"/>
        <v/>
      </c>
      <c r="O2318" s="171" t="str">
        <f t="shared" ca="1" si="158"/>
        <v/>
      </c>
      <c r="P2318" s="171" t="str">
        <f t="shared" ca="1" si="159"/>
        <v/>
      </c>
      <c r="Q2318" s="171"/>
      <c r="R2318" s="177"/>
    </row>
    <row r="2319" spans="1:18">
      <c r="A2319" s="166" t="b">
        <f t="shared" ca="1" si="151"/>
        <v>0</v>
      </c>
      <c r="B2319" s="166">
        <f t="shared" ca="1" si="149"/>
        <v>43</v>
      </c>
      <c r="C2319" s="172" t="str">
        <f ca="1">IF(COUNTA($G$2202:G2318)=1,"",OFFSET(B2319,-COUNTA($G$2202:G2318)+1,1))</f>
        <v>a1N3p00000FhqoJEAR</v>
      </c>
      <c r="D2319" s="166" t="str">
        <f t="shared" ca="1" si="152"/>
        <v>INT-257067</v>
      </c>
      <c r="E2319" s="171"/>
      <c r="F2319" s="171" t="str">
        <f t="shared" ca="1" si="153"/>
        <v/>
      </c>
      <c r="G2319" s="171"/>
      <c r="H2319" s="167">
        <f t="shared" si="150"/>
        <v>35</v>
      </c>
      <c r="I2319" s="166" t="str">
        <f ca="1">IF(IFERROR(VLOOKUP(INDIRECT("'WPTM - Section F'!F"&amp;B2319),'Overview - Section A'!M$30:R156,6,0),IFERROR(VLOOKUP(INDIRECT("'WPTM - Section F'!F"&amp;B2319),'Overview - Section A'!E$27:J144,6,0),""))=0,"",IFERROR(VLOOKUP(INDIRECT("'WPTM - Section F'!F"&amp;B2319),'Overview - Section A'!M$30:R156,6,0),IFERROR(VLOOKUP(INDIRECT("'WPTM - Section F'!F"&amp;B2319),'Overview - Section A'!E$27:J144,6,0),"")))</f>
        <v/>
      </c>
      <c r="J2319" s="166" t="str">
        <f t="shared" ca="1" si="154"/>
        <v/>
      </c>
      <c r="K2319" s="171" t="str">
        <f t="shared" ca="1" si="155"/>
        <v/>
      </c>
      <c r="L2319" s="166" t="str">
        <f ca="1">IFERROR(INDEX('Reference Records'!F$429:F769,MATCH(INDIRECT("'WPTM - Section F'!AP"&amp;B2319)&amp;"|"&amp;INDIRECT("'WPTM - Section F'!C"&amp;$B2319),'Reference Records'!G$429:G769,0)),"")</f>
        <v/>
      </c>
      <c r="M2319" s="171" t="str">
        <f t="shared" ca="1" si="156"/>
        <v/>
      </c>
      <c r="N2319" s="171" t="str">
        <f t="shared" ca="1" si="157"/>
        <v/>
      </c>
      <c r="O2319" s="171" t="str">
        <f t="shared" ca="1" si="158"/>
        <v/>
      </c>
      <c r="P2319" s="171" t="str">
        <f t="shared" ca="1" si="159"/>
        <v/>
      </c>
      <c r="Q2319" s="171"/>
      <c r="R2319" s="177"/>
    </row>
    <row r="2320" spans="1:18">
      <c r="A2320" s="166" t="b">
        <f t="shared" ca="1" si="151"/>
        <v>0</v>
      </c>
      <c r="B2320" s="166">
        <f t="shared" ca="1" si="149"/>
        <v>44</v>
      </c>
      <c r="C2320" s="172" t="str">
        <f ca="1">IF(COUNTA($G$2202:G2319)=1,"",OFFSET(B2320,-COUNTA($G$2202:G2319)+1,1))</f>
        <v>a1N3p00000FhqoKEAR</v>
      </c>
      <c r="D2320" s="166" t="str">
        <f t="shared" ca="1" si="152"/>
        <v>INT-257067</v>
      </c>
      <c r="E2320" s="171"/>
      <c r="F2320" s="171" t="str">
        <f t="shared" ca="1" si="153"/>
        <v/>
      </c>
      <c r="G2320" s="171"/>
      <c r="H2320" s="167">
        <f t="shared" si="150"/>
        <v>36</v>
      </c>
      <c r="I2320" s="166" t="str">
        <f ca="1">IF(IFERROR(VLOOKUP(INDIRECT("'WPTM - Section F'!F"&amp;B2320),'Overview - Section A'!M$30:R157,6,0),IFERROR(VLOOKUP(INDIRECT("'WPTM - Section F'!F"&amp;B2320),'Overview - Section A'!E$27:J145,6,0),""))=0,"",IFERROR(VLOOKUP(INDIRECT("'WPTM - Section F'!F"&amp;B2320),'Overview - Section A'!M$30:R157,6,0),IFERROR(VLOOKUP(INDIRECT("'WPTM - Section F'!F"&amp;B2320),'Overview - Section A'!E$27:J145,6,0),"")))</f>
        <v/>
      </c>
      <c r="J2320" s="166" t="str">
        <f t="shared" ca="1" si="154"/>
        <v/>
      </c>
      <c r="K2320" s="171" t="str">
        <f t="shared" ca="1" si="155"/>
        <v/>
      </c>
      <c r="L2320" s="166" t="str">
        <f ca="1">IFERROR(INDEX('Reference Records'!F$429:F770,MATCH(INDIRECT("'WPTM - Section F'!AP"&amp;B2320)&amp;"|"&amp;INDIRECT("'WPTM - Section F'!C"&amp;$B2320),'Reference Records'!G$429:G770,0)),"")</f>
        <v/>
      </c>
      <c r="M2320" s="171" t="str">
        <f t="shared" ca="1" si="156"/>
        <v/>
      </c>
      <c r="N2320" s="171" t="str">
        <f t="shared" ca="1" si="157"/>
        <v/>
      </c>
      <c r="O2320" s="171" t="str">
        <f t="shared" ca="1" si="158"/>
        <v/>
      </c>
      <c r="P2320" s="171" t="str">
        <f t="shared" ca="1" si="159"/>
        <v/>
      </c>
      <c r="Q2320" s="171"/>
      <c r="R2320" s="177"/>
    </row>
    <row r="2321" spans="1:18">
      <c r="A2321" s="166" t="b">
        <f t="shared" ca="1" si="151"/>
        <v>0</v>
      </c>
      <c r="B2321" s="166">
        <f t="shared" ca="1" si="149"/>
        <v>45</v>
      </c>
      <c r="C2321" s="172" t="str">
        <f ca="1">IF(COUNTA($G$2202:G2320)=1,"",OFFSET(B2321,-COUNTA($G$2202:G2320)+1,1))</f>
        <v>a1N3p00000FhqoLEAR</v>
      </c>
      <c r="D2321" s="166" t="str">
        <f t="shared" ca="1" si="152"/>
        <v>INT-257067</v>
      </c>
      <c r="E2321" s="171"/>
      <c r="F2321" s="171" t="str">
        <f t="shared" ca="1" si="153"/>
        <v/>
      </c>
      <c r="G2321" s="171"/>
      <c r="H2321" s="167">
        <f t="shared" si="150"/>
        <v>37</v>
      </c>
      <c r="I2321" s="166" t="str">
        <f ca="1">IF(IFERROR(VLOOKUP(INDIRECT("'WPTM - Section F'!F"&amp;B2321),'Overview - Section A'!M$30:R158,6,0),IFERROR(VLOOKUP(INDIRECT("'WPTM - Section F'!F"&amp;B2321),'Overview - Section A'!E$27:J146,6,0),""))=0,"",IFERROR(VLOOKUP(INDIRECT("'WPTM - Section F'!F"&amp;B2321),'Overview - Section A'!M$30:R158,6,0),IFERROR(VLOOKUP(INDIRECT("'WPTM - Section F'!F"&amp;B2321),'Overview - Section A'!E$27:J146,6,0),"")))</f>
        <v/>
      </c>
      <c r="J2321" s="166" t="str">
        <f t="shared" ca="1" si="154"/>
        <v/>
      </c>
      <c r="K2321" s="171" t="str">
        <f t="shared" ca="1" si="155"/>
        <v/>
      </c>
      <c r="L2321" s="166" t="str">
        <f ca="1">IFERROR(INDEX('Reference Records'!F$429:F771,MATCH(INDIRECT("'WPTM - Section F'!AP"&amp;B2321)&amp;"|"&amp;INDIRECT("'WPTM - Section F'!C"&amp;$B2321),'Reference Records'!G$429:G771,0)),"")</f>
        <v/>
      </c>
      <c r="M2321" s="171" t="str">
        <f t="shared" ca="1" si="156"/>
        <v/>
      </c>
      <c r="N2321" s="171" t="str">
        <f t="shared" ca="1" si="157"/>
        <v/>
      </c>
      <c r="O2321" s="171" t="str">
        <f t="shared" ca="1" si="158"/>
        <v/>
      </c>
      <c r="P2321" s="171" t="str">
        <f t="shared" ca="1" si="159"/>
        <v/>
      </c>
      <c r="Q2321" s="171"/>
      <c r="R2321" s="177"/>
    </row>
    <row r="2322" spans="1:18">
      <c r="A2322" s="166" t="b">
        <f t="shared" ca="1" si="151"/>
        <v>0</v>
      </c>
      <c r="B2322" s="166">
        <f t="shared" ca="1" si="149"/>
        <v>46</v>
      </c>
      <c r="C2322" s="172" t="str">
        <f ca="1">IF(COUNTA($G$2202:G2321)=1,"",OFFSET(B2322,-COUNTA($G$2202:G2321)+1,1))</f>
        <v>a1N3p00000FhqoMEAR</v>
      </c>
      <c r="D2322" s="166" t="str">
        <f t="shared" ca="1" si="152"/>
        <v>INT-257067</v>
      </c>
      <c r="E2322" s="171"/>
      <c r="F2322" s="171" t="str">
        <f t="shared" ca="1" si="153"/>
        <v/>
      </c>
      <c r="G2322" s="171"/>
      <c r="H2322" s="167">
        <f t="shared" si="150"/>
        <v>38</v>
      </c>
      <c r="I2322" s="166" t="str">
        <f ca="1">IF(IFERROR(VLOOKUP(INDIRECT("'WPTM - Section F'!F"&amp;B2322),'Overview - Section A'!M$30:R159,6,0),IFERROR(VLOOKUP(INDIRECT("'WPTM - Section F'!F"&amp;B2322),'Overview - Section A'!E$27:J147,6,0),""))=0,"",IFERROR(VLOOKUP(INDIRECT("'WPTM - Section F'!F"&amp;B2322),'Overview - Section A'!M$30:R159,6,0),IFERROR(VLOOKUP(INDIRECT("'WPTM - Section F'!F"&amp;B2322),'Overview - Section A'!E$27:J147,6,0),"")))</f>
        <v/>
      </c>
      <c r="J2322" s="166" t="str">
        <f t="shared" ca="1" si="154"/>
        <v/>
      </c>
      <c r="K2322" s="171" t="str">
        <f t="shared" ca="1" si="155"/>
        <v/>
      </c>
      <c r="L2322" s="166" t="str">
        <f ca="1">IFERROR(INDEX('Reference Records'!F$429:F772,MATCH(INDIRECT("'WPTM - Section F'!AP"&amp;B2322)&amp;"|"&amp;INDIRECT("'WPTM - Section F'!C"&amp;$B2322),'Reference Records'!G$429:G772,0)),"")</f>
        <v/>
      </c>
      <c r="M2322" s="171" t="str">
        <f t="shared" ca="1" si="156"/>
        <v/>
      </c>
      <c r="N2322" s="171" t="str">
        <f t="shared" ca="1" si="157"/>
        <v/>
      </c>
      <c r="O2322" s="171" t="str">
        <f t="shared" ca="1" si="158"/>
        <v/>
      </c>
      <c r="P2322" s="171" t="str">
        <f t="shared" ca="1" si="159"/>
        <v/>
      </c>
      <c r="Q2322" s="171"/>
      <c r="R2322" s="177"/>
    </row>
    <row r="2323" spans="1:18">
      <c r="A2323" s="166" t="b">
        <f t="shared" ca="1" si="151"/>
        <v>0</v>
      </c>
      <c r="B2323" s="166">
        <f t="shared" ca="1" si="149"/>
        <v>47</v>
      </c>
      <c r="C2323" s="172" t="str">
        <f ca="1">IF(COUNTA($G$2202:G2322)=1,"",OFFSET(B2323,-COUNTA($G$2202:G2322)+1,1))</f>
        <v>a1N3p00000FhqoNEAR</v>
      </c>
      <c r="D2323" s="166" t="str">
        <f t="shared" ca="1" si="152"/>
        <v>INT-257067</v>
      </c>
      <c r="E2323" s="171"/>
      <c r="F2323" s="171" t="str">
        <f t="shared" ca="1" si="153"/>
        <v/>
      </c>
      <c r="G2323" s="171"/>
      <c r="H2323" s="167">
        <f t="shared" si="150"/>
        <v>39</v>
      </c>
      <c r="I2323" s="166" t="str">
        <f ca="1">IF(IFERROR(VLOOKUP(INDIRECT("'WPTM - Section F'!F"&amp;B2323),'Overview - Section A'!M$30:R160,6,0),IFERROR(VLOOKUP(INDIRECT("'WPTM - Section F'!F"&amp;B2323),'Overview - Section A'!E$27:J148,6,0),""))=0,"",IFERROR(VLOOKUP(INDIRECT("'WPTM - Section F'!F"&amp;B2323),'Overview - Section A'!M$30:R160,6,0),IFERROR(VLOOKUP(INDIRECT("'WPTM - Section F'!F"&amp;B2323),'Overview - Section A'!E$27:J148,6,0),"")))</f>
        <v/>
      </c>
      <c r="J2323" s="166" t="str">
        <f t="shared" ca="1" si="154"/>
        <v/>
      </c>
      <c r="K2323" s="171" t="str">
        <f t="shared" ca="1" si="155"/>
        <v/>
      </c>
      <c r="L2323" s="166" t="str">
        <f ca="1">IFERROR(INDEX('Reference Records'!F$429:F773,MATCH(INDIRECT("'WPTM - Section F'!AP"&amp;B2323)&amp;"|"&amp;INDIRECT("'WPTM - Section F'!C"&amp;$B2323),'Reference Records'!G$429:G773,0)),"")</f>
        <v/>
      </c>
      <c r="M2323" s="171" t="str">
        <f t="shared" ca="1" si="156"/>
        <v/>
      </c>
      <c r="N2323" s="171" t="str">
        <f t="shared" ca="1" si="157"/>
        <v/>
      </c>
      <c r="O2323" s="171" t="str">
        <f t="shared" ca="1" si="158"/>
        <v/>
      </c>
      <c r="P2323" s="171" t="str">
        <f t="shared" ca="1" si="159"/>
        <v/>
      </c>
      <c r="Q2323" s="171"/>
      <c r="R2323" s="177"/>
    </row>
    <row r="2324" spans="1:18">
      <c r="A2324" s="166" t="b">
        <f t="shared" ca="1" si="151"/>
        <v>0</v>
      </c>
      <c r="B2324" s="166">
        <f t="shared" ca="1" si="149"/>
        <v>48</v>
      </c>
      <c r="C2324" s="172" t="str">
        <f ca="1">IF(COUNTA($G$2202:G2323)=1,"",OFFSET(B2324,-COUNTA($G$2202:G2323)+1,1))</f>
        <v>a1N3p00000FhqoOEAR</v>
      </c>
      <c r="D2324" s="166" t="str">
        <f t="shared" ca="1" si="152"/>
        <v>INT-257067</v>
      </c>
      <c r="E2324" s="171"/>
      <c r="F2324" s="171" t="str">
        <f t="shared" ca="1" si="153"/>
        <v/>
      </c>
      <c r="G2324" s="171"/>
      <c r="H2324" s="167">
        <f t="shared" si="150"/>
        <v>40</v>
      </c>
      <c r="I2324" s="166" t="str">
        <f ca="1">IF(IFERROR(VLOOKUP(INDIRECT("'WPTM - Section F'!F"&amp;B2324),'Overview - Section A'!M$30:R161,6,0),IFERROR(VLOOKUP(INDIRECT("'WPTM - Section F'!F"&amp;B2324),'Overview - Section A'!E$27:J149,6,0),""))=0,"",IFERROR(VLOOKUP(INDIRECT("'WPTM - Section F'!F"&amp;B2324),'Overview - Section A'!M$30:R161,6,0),IFERROR(VLOOKUP(INDIRECT("'WPTM - Section F'!F"&amp;B2324),'Overview - Section A'!E$27:J149,6,0),"")))</f>
        <v/>
      </c>
      <c r="J2324" s="166" t="str">
        <f t="shared" ca="1" si="154"/>
        <v/>
      </c>
      <c r="K2324" s="171" t="str">
        <f t="shared" ca="1" si="155"/>
        <v/>
      </c>
      <c r="L2324" s="166" t="str">
        <f ca="1">IFERROR(INDEX('Reference Records'!F$429:F774,MATCH(INDIRECT("'WPTM - Section F'!AP"&amp;B2324)&amp;"|"&amp;INDIRECT("'WPTM - Section F'!C"&amp;$B2324),'Reference Records'!G$429:G774,0)),"")</f>
        <v/>
      </c>
      <c r="M2324" s="171" t="str">
        <f t="shared" ca="1" si="156"/>
        <v/>
      </c>
      <c r="N2324" s="171" t="str">
        <f t="shared" ca="1" si="157"/>
        <v/>
      </c>
      <c r="O2324" s="171" t="str">
        <f t="shared" ca="1" si="158"/>
        <v/>
      </c>
      <c r="P2324" s="171" t="str">
        <f t="shared" ca="1" si="159"/>
        <v/>
      </c>
      <c r="Q2324" s="171"/>
      <c r="R2324" s="177"/>
    </row>
    <row r="2325" spans="1:18">
      <c r="A2325" s="166" t="b">
        <f t="shared" ca="1" si="151"/>
        <v>0</v>
      </c>
      <c r="B2325" s="166">
        <f t="shared" ca="1" si="149"/>
        <v>49</v>
      </c>
      <c r="C2325" s="172" t="str">
        <f ca="1">IF(COUNTA($G$2202:G2324)=1,"",OFFSET(B2325,-COUNTA($G$2202:G2324)+1,1))</f>
        <v>a1N3p00000FhqoPEAR</v>
      </c>
      <c r="D2325" s="166" t="str">
        <f t="shared" ca="1" si="152"/>
        <v>INT-257067</v>
      </c>
      <c r="E2325" s="171"/>
      <c r="F2325" s="171" t="str">
        <f t="shared" ca="1" si="153"/>
        <v/>
      </c>
      <c r="G2325" s="171"/>
      <c r="H2325" s="167">
        <f t="shared" si="150"/>
        <v>41</v>
      </c>
      <c r="I2325" s="166" t="str">
        <f ca="1">IF(IFERROR(VLOOKUP(INDIRECT("'WPTM - Section F'!F"&amp;B2325),'Overview - Section A'!M$30:R162,6,0),IFERROR(VLOOKUP(INDIRECT("'WPTM - Section F'!F"&amp;B2325),'Overview - Section A'!E$27:J150,6,0),""))=0,"",IFERROR(VLOOKUP(INDIRECT("'WPTM - Section F'!F"&amp;B2325),'Overview - Section A'!M$30:R162,6,0),IFERROR(VLOOKUP(INDIRECT("'WPTM - Section F'!F"&amp;B2325),'Overview - Section A'!E$27:J150,6,0),"")))</f>
        <v/>
      </c>
      <c r="J2325" s="166" t="str">
        <f t="shared" ca="1" si="154"/>
        <v/>
      </c>
      <c r="K2325" s="171" t="str">
        <f t="shared" ca="1" si="155"/>
        <v/>
      </c>
      <c r="L2325" s="166" t="str">
        <f ca="1">IFERROR(INDEX('Reference Records'!F$429:F775,MATCH(INDIRECT("'WPTM - Section F'!AP"&amp;B2325)&amp;"|"&amp;INDIRECT("'WPTM - Section F'!C"&amp;$B2325),'Reference Records'!G$429:G775,0)),"")</f>
        <v/>
      </c>
      <c r="M2325" s="171" t="str">
        <f t="shared" ca="1" si="156"/>
        <v/>
      </c>
      <c r="N2325" s="171" t="str">
        <f t="shared" ca="1" si="157"/>
        <v/>
      </c>
      <c r="O2325" s="171" t="str">
        <f t="shared" ca="1" si="158"/>
        <v/>
      </c>
      <c r="P2325" s="171" t="str">
        <f t="shared" ca="1" si="159"/>
        <v/>
      </c>
      <c r="Q2325" s="171"/>
      <c r="R2325" s="177"/>
    </row>
    <row r="2326" spans="1:18">
      <c r="A2326" s="166" t="b">
        <f t="shared" ca="1" si="151"/>
        <v>0</v>
      </c>
      <c r="B2326" s="166">
        <f t="shared" ca="1" si="149"/>
        <v>50</v>
      </c>
      <c r="C2326" s="172" t="str">
        <f ca="1">IF(COUNTA($G$2202:G2325)=1,"",OFFSET(B2326,-COUNTA($G$2202:G2325)+1,1))</f>
        <v>a1N3p00000FhqoQEAR</v>
      </c>
      <c r="D2326" s="166" t="str">
        <f t="shared" ca="1" si="152"/>
        <v>INT-257067</v>
      </c>
      <c r="E2326" s="171"/>
      <c r="F2326" s="171" t="str">
        <f t="shared" ca="1" si="153"/>
        <v/>
      </c>
      <c r="G2326" s="171"/>
      <c r="H2326" s="167">
        <f t="shared" si="150"/>
        <v>42</v>
      </c>
      <c r="I2326" s="166" t="str">
        <f ca="1">IF(IFERROR(VLOOKUP(INDIRECT("'WPTM - Section F'!F"&amp;B2326),'Overview - Section A'!M$30:R163,6,0),IFERROR(VLOOKUP(INDIRECT("'WPTM - Section F'!F"&amp;B2326),'Overview - Section A'!E$27:J151,6,0),""))=0,"",IFERROR(VLOOKUP(INDIRECT("'WPTM - Section F'!F"&amp;B2326),'Overview - Section A'!M$30:R163,6,0),IFERROR(VLOOKUP(INDIRECT("'WPTM - Section F'!F"&amp;B2326),'Overview - Section A'!E$27:J151,6,0),"")))</f>
        <v/>
      </c>
      <c r="J2326" s="166" t="str">
        <f t="shared" ca="1" si="154"/>
        <v/>
      </c>
      <c r="K2326" s="171" t="str">
        <f t="shared" ca="1" si="155"/>
        <v/>
      </c>
      <c r="L2326" s="166" t="str">
        <f ca="1">IFERROR(INDEX('Reference Records'!F$429:F776,MATCH(INDIRECT("'WPTM - Section F'!AP"&amp;B2326)&amp;"|"&amp;INDIRECT("'WPTM - Section F'!C"&amp;$B2326),'Reference Records'!G$429:G776,0)),"")</f>
        <v/>
      </c>
      <c r="M2326" s="171" t="str">
        <f t="shared" ca="1" si="156"/>
        <v/>
      </c>
      <c r="N2326" s="171" t="str">
        <f t="shared" ca="1" si="157"/>
        <v/>
      </c>
      <c r="O2326" s="171" t="str">
        <f t="shared" ca="1" si="158"/>
        <v/>
      </c>
      <c r="P2326" s="171" t="str">
        <f t="shared" ca="1" si="159"/>
        <v/>
      </c>
      <c r="Q2326" s="171"/>
      <c r="R2326" s="177"/>
    </row>
    <row r="2327" spans="1:18">
      <c r="A2327" s="166" t="b">
        <f t="shared" ca="1" si="151"/>
        <v>0</v>
      </c>
      <c r="B2327" s="166">
        <f t="shared" ca="1" si="149"/>
        <v>51</v>
      </c>
      <c r="C2327" s="172" t="str">
        <f ca="1">IF(COUNTA($G$2202:G2326)=1,"",OFFSET(B2327,-COUNTA($G$2202:G2326)+1,1))</f>
        <v>a1N3p00000FhqoREAR</v>
      </c>
      <c r="D2327" s="166" t="str">
        <f t="shared" ca="1" si="152"/>
        <v>INT-257067</v>
      </c>
      <c r="E2327" s="171"/>
      <c r="F2327" s="171" t="str">
        <f t="shared" ca="1" si="153"/>
        <v/>
      </c>
      <c r="G2327" s="171"/>
      <c r="H2327" s="167">
        <f t="shared" si="150"/>
        <v>43</v>
      </c>
      <c r="I2327" s="166" t="str">
        <f ca="1">IF(IFERROR(VLOOKUP(INDIRECT("'WPTM - Section F'!F"&amp;B2327),'Overview - Section A'!M$30:R164,6,0),IFERROR(VLOOKUP(INDIRECT("'WPTM - Section F'!F"&amp;B2327),'Overview - Section A'!E$27:J152,6,0),""))=0,"",IFERROR(VLOOKUP(INDIRECT("'WPTM - Section F'!F"&amp;B2327),'Overview - Section A'!M$30:R164,6,0),IFERROR(VLOOKUP(INDIRECT("'WPTM - Section F'!F"&amp;B2327),'Overview - Section A'!E$27:J152,6,0),"")))</f>
        <v/>
      </c>
      <c r="J2327" s="166" t="str">
        <f t="shared" ca="1" si="154"/>
        <v/>
      </c>
      <c r="K2327" s="171" t="str">
        <f t="shared" ca="1" si="155"/>
        <v/>
      </c>
      <c r="L2327" s="166" t="str">
        <f ca="1">IFERROR(INDEX('Reference Records'!F$429:F777,MATCH(INDIRECT("'WPTM - Section F'!AP"&amp;B2327)&amp;"|"&amp;INDIRECT("'WPTM - Section F'!C"&amp;$B2327),'Reference Records'!G$429:G777,0)),"")</f>
        <v/>
      </c>
      <c r="M2327" s="171" t="str">
        <f t="shared" ca="1" si="156"/>
        <v/>
      </c>
      <c r="N2327" s="171" t="str">
        <f t="shared" ca="1" si="157"/>
        <v/>
      </c>
      <c r="O2327" s="171" t="str">
        <f t="shared" ca="1" si="158"/>
        <v/>
      </c>
      <c r="P2327" s="171" t="str">
        <f t="shared" ca="1" si="159"/>
        <v/>
      </c>
      <c r="Q2327" s="171"/>
      <c r="R2327" s="177"/>
    </row>
    <row r="2328" spans="1:18">
      <c r="A2328" s="166" t="b">
        <f t="shared" ca="1" si="151"/>
        <v>0</v>
      </c>
      <c r="B2328" s="166">
        <f t="shared" ca="1" si="149"/>
        <v>52</v>
      </c>
      <c r="C2328" s="172" t="str">
        <f ca="1">IF(COUNTA($G$2202:G2327)=1,"",OFFSET(B2328,-COUNTA($G$2202:G2327)+1,1))</f>
        <v>a1N3p00000FhqoSEAR</v>
      </c>
      <c r="D2328" s="166" t="str">
        <f t="shared" ca="1" si="152"/>
        <v>INT-257067</v>
      </c>
      <c r="E2328" s="171"/>
      <c r="F2328" s="171" t="str">
        <f t="shared" ca="1" si="153"/>
        <v/>
      </c>
      <c r="G2328" s="171"/>
      <c r="H2328" s="167">
        <f t="shared" si="150"/>
        <v>44</v>
      </c>
      <c r="I2328" s="166" t="str">
        <f ca="1">IF(IFERROR(VLOOKUP(INDIRECT("'WPTM - Section F'!F"&amp;B2328),'Overview - Section A'!M$30:R165,6,0),IFERROR(VLOOKUP(INDIRECT("'WPTM - Section F'!F"&amp;B2328),'Overview - Section A'!E$27:J153,6,0),""))=0,"",IFERROR(VLOOKUP(INDIRECT("'WPTM - Section F'!F"&amp;B2328),'Overview - Section A'!M$30:R165,6,0),IFERROR(VLOOKUP(INDIRECT("'WPTM - Section F'!F"&amp;B2328),'Overview - Section A'!E$27:J153,6,0),"")))</f>
        <v/>
      </c>
      <c r="J2328" s="166" t="str">
        <f t="shared" ca="1" si="154"/>
        <v/>
      </c>
      <c r="K2328" s="171" t="str">
        <f t="shared" ca="1" si="155"/>
        <v/>
      </c>
      <c r="L2328" s="166" t="str">
        <f ca="1">IFERROR(INDEX('Reference Records'!F$429:F778,MATCH(INDIRECT("'WPTM - Section F'!AP"&amp;B2328)&amp;"|"&amp;INDIRECT("'WPTM - Section F'!C"&amp;$B2328),'Reference Records'!G$429:G778,0)),"")</f>
        <v/>
      </c>
      <c r="M2328" s="171" t="str">
        <f t="shared" ca="1" si="156"/>
        <v/>
      </c>
      <c r="N2328" s="171" t="str">
        <f t="shared" ca="1" si="157"/>
        <v/>
      </c>
      <c r="O2328" s="171" t="str">
        <f t="shared" ca="1" si="158"/>
        <v/>
      </c>
      <c r="P2328" s="171" t="str">
        <f t="shared" ca="1" si="159"/>
        <v/>
      </c>
      <c r="Q2328" s="171"/>
      <c r="R2328" s="177"/>
    </row>
    <row r="2329" spans="1:18">
      <c r="A2329" s="166" t="b">
        <f t="shared" ca="1" si="151"/>
        <v>0</v>
      </c>
      <c r="B2329" s="166">
        <f t="shared" ca="1" si="149"/>
        <v>53</v>
      </c>
      <c r="C2329" s="172" t="str">
        <f ca="1">IF(COUNTA($G$2202:G2328)=1,"",OFFSET(B2329,-COUNTA($G$2202:G2328)+1,1))</f>
        <v>a1N3p00000FhqoTEAR</v>
      </c>
      <c r="D2329" s="166" t="str">
        <f t="shared" ca="1" si="152"/>
        <v>INT-257067</v>
      </c>
      <c r="E2329" s="171"/>
      <c r="F2329" s="171" t="str">
        <f t="shared" ca="1" si="153"/>
        <v/>
      </c>
      <c r="G2329" s="171"/>
      <c r="H2329" s="167">
        <f t="shared" si="150"/>
        <v>45</v>
      </c>
      <c r="I2329" s="166" t="str">
        <f ca="1">IF(IFERROR(VLOOKUP(INDIRECT("'WPTM - Section F'!F"&amp;B2329),'Overview - Section A'!M$30:R166,6,0),IFERROR(VLOOKUP(INDIRECT("'WPTM - Section F'!F"&amp;B2329),'Overview - Section A'!E$27:J154,6,0),""))=0,"",IFERROR(VLOOKUP(INDIRECT("'WPTM - Section F'!F"&amp;B2329),'Overview - Section A'!M$30:R166,6,0),IFERROR(VLOOKUP(INDIRECT("'WPTM - Section F'!F"&amp;B2329),'Overview - Section A'!E$27:J154,6,0),"")))</f>
        <v/>
      </c>
      <c r="J2329" s="166" t="str">
        <f t="shared" ca="1" si="154"/>
        <v/>
      </c>
      <c r="K2329" s="171" t="str">
        <f t="shared" ca="1" si="155"/>
        <v/>
      </c>
      <c r="L2329" s="166" t="str">
        <f ca="1">IFERROR(INDEX('Reference Records'!F$429:F779,MATCH(INDIRECT("'WPTM - Section F'!AP"&amp;B2329)&amp;"|"&amp;INDIRECT("'WPTM - Section F'!C"&amp;$B2329),'Reference Records'!G$429:G779,0)),"")</f>
        <v/>
      </c>
      <c r="M2329" s="171" t="str">
        <f t="shared" ca="1" si="156"/>
        <v/>
      </c>
      <c r="N2329" s="171" t="str">
        <f t="shared" ca="1" si="157"/>
        <v/>
      </c>
      <c r="O2329" s="171" t="str">
        <f t="shared" ca="1" si="158"/>
        <v/>
      </c>
      <c r="P2329" s="171" t="str">
        <f t="shared" ca="1" si="159"/>
        <v/>
      </c>
      <c r="Q2329" s="171"/>
      <c r="R2329" s="177"/>
    </row>
    <row r="2330" spans="1:18">
      <c r="A2330" s="166" t="b">
        <f t="shared" ca="1" si="151"/>
        <v>0</v>
      </c>
      <c r="B2330" s="166">
        <f t="shared" ca="1" si="149"/>
        <v>54</v>
      </c>
      <c r="C2330" s="172" t="str">
        <f ca="1">IF(COUNTA($G$2202:G2329)=1,"",OFFSET(B2330,-COUNTA($G$2202:G2329)+1,1))</f>
        <v>a1N3p00000FhqoUEAR</v>
      </c>
      <c r="D2330" s="166" t="str">
        <f t="shared" ca="1" si="152"/>
        <v>INT-257067</v>
      </c>
      <c r="E2330" s="171"/>
      <c r="F2330" s="171" t="str">
        <f t="shared" ca="1" si="153"/>
        <v/>
      </c>
      <c r="G2330" s="171"/>
      <c r="H2330" s="167">
        <f t="shared" si="150"/>
        <v>46</v>
      </c>
      <c r="I2330" s="166" t="str">
        <f ca="1">IF(IFERROR(VLOOKUP(INDIRECT("'WPTM - Section F'!F"&amp;B2330),'Overview - Section A'!M$30:R167,6,0),IFERROR(VLOOKUP(INDIRECT("'WPTM - Section F'!F"&amp;B2330),'Overview - Section A'!E$27:J155,6,0),""))=0,"",IFERROR(VLOOKUP(INDIRECT("'WPTM - Section F'!F"&amp;B2330),'Overview - Section A'!M$30:R167,6,0),IFERROR(VLOOKUP(INDIRECT("'WPTM - Section F'!F"&amp;B2330),'Overview - Section A'!E$27:J155,6,0),"")))</f>
        <v/>
      </c>
      <c r="J2330" s="166" t="str">
        <f t="shared" ca="1" si="154"/>
        <v/>
      </c>
      <c r="K2330" s="171" t="str">
        <f t="shared" ca="1" si="155"/>
        <v/>
      </c>
      <c r="L2330" s="166" t="str">
        <f ca="1">IFERROR(INDEX('Reference Records'!F$429:F780,MATCH(INDIRECT("'WPTM - Section F'!AP"&amp;B2330)&amp;"|"&amp;INDIRECT("'WPTM - Section F'!C"&amp;$B2330),'Reference Records'!G$429:G780,0)),"")</f>
        <v/>
      </c>
      <c r="M2330" s="171" t="str">
        <f t="shared" ca="1" si="156"/>
        <v/>
      </c>
      <c r="N2330" s="171" t="str">
        <f t="shared" ca="1" si="157"/>
        <v/>
      </c>
      <c r="O2330" s="171" t="str">
        <f t="shared" ca="1" si="158"/>
        <v/>
      </c>
      <c r="P2330" s="171" t="str">
        <f t="shared" ca="1" si="159"/>
        <v/>
      </c>
      <c r="Q2330" s="171"/>
      <c r="R2330" s="177"/>
    </row>
    <row r="2331" spans="1:18">
      <c r="A2331" s="166" t="b">
        <f t="shared" ca="1" si="151"/>
        <v>0</v>
      </c>
      <c r="B2331" s="166">
        <f t="shared" ca="1" si="149"/>
        <v>55</v>
      </c>
      <c r="C2331" s="172" t="str">
        <f ca="1">IF(COUNTA($G$2202:G2330)=1,"",OFFSET(B2331,-COUNTA($G$2202:G2330)+1,1))</f>
        <v>a1N3p00000FhqoVEAR</v>
      </c>
      <c r="D2331" s="166" t="str">
        <f t="shared" ca="1" si="152"/>
        <v>INT-257067</v>
      </c>
      <c r="E2331" s="171"/>
      <c r="F2331" s="171" t="str">
        <f t="shared" ca="1" si="153"/>
        <v/>
      </c>
      <c r="G2331" s="171"/>
      <c r="H2331" s="167">
        <f t="shared" si="150"/>
        <v>47</v>
      </c>
      <c r="I2331" s="166" t="str">
        <f ca="1">IF(IFERROR(VLOOKUP(INDIRECT("'WPTM - Section F'!F"&amp;B2331),'Overview - Section A'!M$30:R168,6,0),IFERROR(VLOOKUP(INDIRECT("'WPTM - Section F'!F"&amp;B2331),'Overview - Section A'!E$27:J156,6,0),""))=0,"",IFERROR(VLOOKUP(INDIRECT("'WPTM - Section F'!F"&amp;B2331),'Overview - Section A'!M$30:R168,6,0),IFERROR(VLOOKUP(INDIRECT("'WPTM - Section F'!F"&amp;B2331),'Overview - Section A'!E$27:J156,6,0),"")))</f>
        <v/>
      </c>
      <c r="J2331" s="166" t="str">
        <f t="shared" ca="1" si="154"/>
        <v/>
      </c>
      <c r="K2331" s="171" t="str">
        <f t="shared" ca="1" si="155"/>
        <v/>
      </c>
      <c r="L2331" s="166" t="str">
        <f ca="1">IFERROR(INDEX('Reference Records'!F$429:F781,MATCH(INDIRECT("'WPTM - Section F'!AP"&amp;B2331)&amp;"|"&amp;INDIRECT("'WPTM - Section F'!C"&amp;$B2331),'Reference Records'!G$429:G781,0)),"")</f>
        <v/>
      </c>
      <c r="M2331" s="171" t="str">
        <f t="shared" ca="1" si="156"/>
        <v/>
      </c>
      <c r="N2331" s="171" t="str">
        <f t="shared" ca="1" si="157"/>
        <v/>
      </c>
      <c r="O2331" s="171" t="str">
        <f t="shared" ca="1" si="158"/>
        <v/>
      </c>
      <c r="P2331" s="171" t="str">
        <f t="shared" ca="1" si="159"/>
        <v/>
      </c>
      <c r="Q2331" s="171"/>
      <c r="R2331" s="177"/>
    </row>
    <row r="2332" spans="1:18">
      <c r="A2332" s="166" t="b">
        <f t="shared" ca="1" si="151"/>
        <v>0</v>
      </c>
      <c r="B2332" s="166">
        <f t="shared" ca="1" si="149"/>
        <v>56</v>
      </c>
      <c r="C2332" s="172" t="str">
        <f ca="1">IF(COUNTA($G$2202:G2331)=1,"",OFFSET(B2332,-COUNTA($G$2202:G2331)+1,1))</f>
        <v>a1N3p00000FhqoWEAR</v>
      </c>
      <c r="D2332" s="166" t="str">
        <f t="shared" ca="1" si="152"/>
        <v>INT-257067</v>
      </c>
      <c r="E2332" s="171"/>
      <c r="F2332" s="171" t="str">
        <f t="shared" ca="1" si="153"/>
        <v/>
      </c>
      <c r="G2332" s="171"/>
      <c r="H2332" s="167">
        <f t="shared" si="150"/>
        <v>48</v>
      </c>
      <c r="I2332" s="166" t="str">
        <f ca="1">IF(IFERROR(VLOOKUP(INDIRECT("'WPTM - Section F'!F"&amp;B2332),'Overview - Section A'!M$30:R169,6,0),IFERROR(VLOOKUP(INDIRECT("'WPTM - Section F'!F"&amp;B2332),'Overview - Section A'!E$27:J157,6,0),""))=0,"",IFERROR(VLOOKUP(INDIRECT("'WPTM - Section F'!F"&amp;B2332),'Overview - Section A'!M$30:R169,6,0),IFERROR(VLOOKUP(INDIRECT("'WPTM - Section F'!F"&amp;B2332),'Overview - Section A'!E$27:J157,6,0),"")))</f>
        <v/>
      </c>
      <c r="J2332" s="166" t="str">
        <f t="shared" ca="1" si="154"/>
        <v/>
      </c>
      <c r="K2332" s="171" t="str">
        <f t="shared" ca="1" si="155"/>
        <v/>
      </c>
      <c r="L2332" s="166" t="str">
        <f ca="1">IFERROR(INDEX('Reference Records'!F$429:F782,MATCH(INDIRECT("'WPTM - Section F'!AP"&amp;B2332)&amp;"|"&amp;INDIRECT("'WPTM - Section F'!C"&amp;$B2332),'Reference Records'!G$429:G782,0)),"")</f>
        <v/>
      </c>
      <c r="M2332" s="171" t="str">
        <f t="shared" ca="1" si="156"/>
        <v/>
      </c>
      <c r="N2332" s="171" t="str">
        <f t="shared" ca="1" si="157"/>
        <v/>
      </c>
      <c r="O2332" s="171" t="str">
        <f t="shared" ca="1" si="158"/>
        <v/>
      </c>
      <c r="P2332" s="171" t="str">
        <f t="shared" ca="1" si="159"/>
        <v/>
      </c>
      <c r="Q2332" s="171"/>
      <c r="R2332" s="177"/>
    </row>
    <row r="2333" spans="1:18">
      <c r="A2333" s="166" t="b">
        <f t="shared" ca="1" si="151"/>
        <v>0</v>
      </c>
      <c r="B2333" s="166">
        <f t="shared" ref="B2333:B2364" ca="1" si="160">IF(_xlfn.ISFORMULA(J2333),B2332+1,B2332)</f>
        <v>57</v>
      </c>
      <c r="C2333" s="172" t="str">
        <f ca="1">IF(COUNTA($G$2202:G2332)=1,"",OFFSET(B2333,-COUNTA($G$2202:G2332)+1,1))</f>
        <v>a1N3p00000FhqoXEAR</v>
      </c>
      <c r="D2333" s="166" t="str">
        <f t="shared" ca="1" si="152"/>
        <v>INT-257067</v>
      </c>
      <c r="E2333" s="171"/>
      <c r="F2333" s="171" t="str">
        <f t="shared" ca="1" si="153"/>
        <v/>
      </c>
      <c r="G2333" s="171"/>
      <c r="H2333" s="167">
        <f t="shared" ref="H2333:H2364" si="161">H2332+1</f>
        <v>49</v>
      </c>
      <c r="I2333" s="166" t="str">
        <f ca="1">IF(IFERROR(VLOOKUP(INDIRECT("'WPTM - Section F'!F"&amp;B2333),'Overview - Section A'!M$30:R170,6,0),IFERROR(VLOOKUP(INDIRECT("'WPTM - Section F'!F"&amp;B2333),'Overview - Section A'!E$27:J158,6,0),""))=0,"",IFERROR(VLOOKUP(INDIRECT("'WPTM - Section F'!F"&amp;B2333),'Overview - Section A'!M$30:R170,6,0),IFERROR(VLOOKUP(INDIRECT("'WPTM - Section F'!F"&amp;B2333),'Overview - Section A'!E$27:J158,6,0),"")))</f>
        <v/>
      </c>
      <c r="J2333" s="166" t="str">
        <f t="shared" ca="1" si="154"/>
        <v/>
      </c>
      <c r="K2333" s="171" t="str">
        <f t="shared" ca="1" si="155"/>
        <v/>
      </c>
      <c r="L2333" s="166" t="str">
        <f ca="1">IFERROR(INDEX('Reference Records'!F$429:F783,MATCH(INDIRECT("'WPTM - Section F'!AP"&amp;B2333)&amp;"|"&amp;INDIRECT("'WPTM - Section F'!C"&amp;$B2333),'Reference Records'!G$429:G783,0)),"")</f>
        <v/>
      </c>
      <c r="M2333" s="171" t="str">
        <f t="shared" ca="1" si="156"/>
        <v/>
      </c>
      <c r="N2333" s="171" t="str">
        <f t="shared" ca="1" si="157"/>
        <v/>
      </c>
      <c r="O2333" s="171" t="str">
        <f t="shared" ca="1" si="158"/>
        <v/>
      </c>
      <c r="P2333" s="171" t="str">
        <f t="shared" ca="1" si="159"/>
        <v/>
      </c>
      <c r="Q2333" s="171"/>
      <c r="R2333" s="177"/>
    </row>
    <row r="2334" spans="1:18">
      <c r="A2334" s="166" t="b">
        <f t="shared" ca="1" si="151"/>
        <v>0</v>
      </c>
      <c r="B2334" s="166">
        <f t="shared" ca="1" si="160"/>
        <v>58</v>
      </c>
      <c r="C2334" s="172" t="str">
        <f ca="1">IF(COUNTA($G$2202:G2333)=1,"",OFFSET(B2334,-COUNTA($G$2202:G2333)+1,1))</f>
        <v>a1N3p00000FhqoYEAR</v>
      </c>
      <c r="D2334" s="166" t="str">
        <f t="shared" ca="1" si="152"/>
        <v>INT-257067</v>
      </c>
      <c r="E2334" s="171"/>
      <c r="F2334" s="171" t="str">
        <f t="shared" ca="1" si="153"/>
        <v/>
      </c>
      <c r="G2334" s="171"/>
      <c r="H2334" s="167">
        <f t="shared" si="161"/>
        <v>50</v>
      </c>
      <c r="I2334" s="166" t="str">
        <f ca="1">IF(IFERROR(VLOOKUP(INDIRECT("'WPTM - Section F'!F"&amp;B2334),'Overview - Section A'!M$30:R171,6,0),IFERROR(VLOOKUP(INDIRECT("'WPTM - Section F'!F"&amp;B2334),'Overview - Section A'!E$27:J159,6,0),""))=0,"",IFERROR(VLOOKUP(INDIRECT("'WPTM - Section F'!F"&amp;B2334),'Overview - Section A'!M$30:R171,6,0),IFERROR(VLOOKUP(INDIRECT("'WPTM - Section F'!F"&amp;B2334),'Overview - Section A'!E$27:J159,6,0),"")))</f>
        <v/>
      </c>
      <c r="J2334" s="166" t="str">
        <f t="shared" ca="1" si="154"/>
        <v/>
      </c>
      <c r="K2334" s="171" t="str">
        <f t="shared" ca="1" si="155"/>
        <v/>
      </c>
      <c r="L2334" s="166" t="str">
        <f ca="1">IFERROR(INDEX('Reference Records'!F$429:F784,MATCH(INDIRECT("'WPTM - Section F'!AP"&amp;B2334)&amp;"|"&amp;INDIRECT("'WPTM - Section F'!C"&amp;$B2334),'Reference Records'!G$429:G784,0)),"")</f>
        <v/>
      </c>
      <c r="M2334" s="171" t="str">
        <f t="shared" ca="1" si="156"/>
        <v/>
      </c>
      <c r="N2334" s="171" t="str">
        <f t="shared" ca="1" si="157"/>
        <v/>
      </c>
      <c r="O2334" s="171" t="str">
        <f t="shared" ca="1" si="158"/>
        <v/>
      </c>
      <c r="P2334" s="171" t="str">
        <f t="shared" ca="1" si="159"/>
        <v/>
      </c>
      <c r="Q2334" s="171"/>
      <c r="R2334" s="177"/>
    </row>
    <row r="2335" spans="1:18">
      <c r="A2335" s="166" t="b">
        <f t="shared" ca="1" si="151"/>
        <v>0</v>
      </c>
      <c r="B2335" s="166">
        <f t="shared" ca="1" si="160"/>
        <v>59</v>
      </c>
      <c r="C2335" s="172" t="str">
        <f ca="1">IF(COUNTA($G$2202:G2334)=1,"",OFFSET(B2335,-COUNTA($G$2202:G2334)+1,1))</f>
        <v>a1N3p00000FhqoZEAR</v>
      </c>
      <c r="D2335" s="166" t="str">
        <f t="shared" ca="1" si="152"/>
        <v>INT-257067</v>
      </c>
      <c r="E2335" s="171"/>
      <c r="F2335" s="171" t="str">
        <f t="shared" ca="1" si="153"/>
        <v/>
      </c>
      <c r="G2335" s="171"/>
      <c r="H2335" s="167">
        <f t="shared" si="161"/>
        <v>51</v>
      </c>
      <c r="I2335" s="166" t="str">
        <f ca="1">IF(IFERROR(VLOOKUP(INDIRECT("'WPTM - Section F'!F"&amp;B2335),'Overview - Section A'!M$30:R172,6,0),IFERROR(VLOOKUP(INDIRECT("'WPTM - Section F'!F"&amp;B2335),'Overview - Section A'!E$27:J160,6,0),""))=0,"",IFERROR(VLOOKUP(INDIRECT("'WPTM - Section F'!F"&amp;B2335),'Overview - Section A'!M$30:R172,6,0),IFERROR(VLOOKUP(INDIRECT("'WPTM - Section F'!F"&amp;B2335),'Overview - Section A'!E$27:J160,6,0),"")))</f>
        <v/>
      </c>
      <c r="J2335" s="166" t="str">
        <f t="shared" ca="1" si="154"/>
        <v/>
      </c>
      <c r="K2335" s="171" t="str">
        <f t="shared" ca="1" si="155"/>
        <v/>
      </c>
      <c r="L2335" s="166" t="str">
        <f ca="1">IFERROR(INDEX('Reference Records'!F$429:F785,MATCH(INDIRECT("'WPTM - Section F'!AP"&amp;B2335)&amp;"|"&amp;INDIRECT("'WPTM - Section F'!C"&amp;$B2335),'Reference Records'!G$429:G785,0)),"")</f>
        <v/>
      </c>
      <c r="M2335" s="171" t="str">
        <f t="shared" ca="1" si="156"/>
        <v/>
      </c>
      <c r="N2335" s="171" t="str">
        <f t="shared" ca="1" si="157"/>
        <v/>
      </c>
      <c r="O2335" s="171" t="str">
        <f t="shared" ca="1" si="158"/>
        <v/>
      </c>
      <c r="P2335" s="171" t="str">
        <f t="shared" ca="1" si="159"/>
        <v/>
      </c>
      <c r="Q2335" s="171"/>
      <c r="R2335" s="177"/>
    </row>
    <row r="2336" spans="1:18">
      <c r="A2336" s="166" t="b">
        <f t="shared" ca="1" si="151"/>
        <v>0</v>
      </c>
      <c r="B2336" s="166">
        <f t="shared" ca="1" si="160"/>
        <v>60</v>
      </c>
      <c r="C2336" s="172" t="str">
        <f ca="1">IF(COUNTA($G$2202:G2335)=1,"",OFFSET(B2336,-COUNTA($G$2202:G2335)+1,1))</f>
        <v>a1N3p00000FhqoaEAB</v>
      </c>
      <c r="D2336" s="166" t="str">
        <f t="shared" ca="1" si="152"/>
        <v>INT-257067</v>
      </c>
      <c r="E2336" s="171"/>
      <c r="F2336" s="171" t="str">
        <f t="shared" ca="1" si="153"/>
        <v/>
      </c>
      <c r="G2336" s="171"/>
      <c r="H2336" s="167">
        <f t="shared" si="161"/>
        <v>52</v>
      </c>
      <c r="I2336" s="166" t="str">
        <f ca="1">IF(IFERROR(VLOOKUP(INDIRECT("'WPTM - Section F'!F"&amp;B2336),'Overview - Section A'!M$30:R173,6,0),IFERROR(VLOOKUP(INDIRECT("'WPTM - Section F'!F"&amp;B2336),'Overview - Section A'!E$27:J161,6,0),""))=0,"",IFERROR(VLOOKUP(INDIRECT("'WPTM - Section F'!F"&amp;B2336),'Overview - Section A'!M$30:R173,6,0),IFERROR(VLOOKUP(INDIRECT("'WPTM - Section F'!F"&amp;B2336),'Overview - Section A'!E$27:J161,6,0),"")))</f>
        <v/>
      </c>
      <c r="J2336" s="166" t="str">
        <f t="shared" ca="1" si="154"/>
        <v/>
      </c>
      <c r="K2336" s="171" t="str">
        <f t="shared" ca="1" si="155"/>
        <v/>
      </c>
      <c r="L2336" s="166" t="str">
        <f ca="1">IFERROR(INDEX('Reference Records'!F$429:F786,MATCH(INDIRECT("'WPTM - Section F'!AP"&amp;B2336)&amp;"|"&amp;INDIRECT("'WPTM - Section F'!C"&amp;$B2336),'Reference Records'!G$429:G786,0)),"")</f>
        <v/>
      </c>
      <c r="M2336" s="171" t="str">
        <f t="shared" ca="1" si="156"/>
        <v/>
      </c>
      <c r="N2336" s="171" t="str">
        <f t="shared" ca="1" si="157"/>
        <v/>
      </c>
      <c r="O2336" s="171" t="str">
        <f t="shared" ca="1" si="158"/>
        <v/>
      </c>
      <c r="P2336" s="171" t="str">
        <f t="shared" ca="1" si="159"/>
        <v/>
      </c>
      <c r="Q2336" s="171"/>
      <c r="R2336" s="177"/>
    </row>
    <row r="2337" spans="1:18">
      <c r="A2337" s="166" t="b">
        <f t="shared" ca="1" si="151"/>
        <v>0</v>
      </c>
      <c r="B2337" s="166">
        <f t="shared" ca="1" si="160"/>
        <v>61</v>
      </c>
      <c r="C2337" s="172" t="str">
        <f ca="1">IF(COUNTA($G$2202:G2336)=1,"",OFFSET(B2337,-COUNTA($G$2202:G2336)+1,1))</f>
        <v>a1N3p00000FhqobEAB</v>
      </c>
      <c r="D2337" s="166" t="str">
        <f t="shared" ca="1" si="152"/>
        <v>INT-257067</v>
      </c>
      <c r="E2337" s="171"/>
      <c r="F2337" s="171" t="str">
        <f t="shared" ca="1" si="153"/>
        <v/>
      </c>
      <c r="G2337" s="171"/>
      <c r="H2337" s="167">
        <f t="shared" si="161"/>
        <v>53</v>
      </c>
      <c r="I2337" s="166" t="str">
        <f ca="1">IF(IFERROR(VLOOKUP(INDIRECT("'WPTM - Section F'!F"&amp;B2337),'Overview - Section A'!M$30:R174,6,0),IFERROR(VLOOKUP(INDIRECT("'WPTM - Section F'!F"&amp;B2337),'Overview - Section A'!E$27:J162,6,0),""))=0,"",IFERROR(VLOOKUP(INDIRECT("'WPTM - Section F'!F"&amp;B2337),'Overview - Section A'!M$30:R174,6,0),IFERROR(VLOOKUP(INDIRECT("'WPTM - Section F'!F"&amp;B2337),'Overview - Section A'!E$27:J162,6,0),"")))</f>
        <v/>
      </c>
      <c r="J2337" s="166" t="str">
        <f t="shared" ca="1" si="154"/>
        <v/>
      </c>
      <c r="K2337" s="171" t="str">
        <f t="shared" ca="1" si="155"/>
        <v/>
      </c>
      <c r="L2337" s="166" t="str">
        <f ca="1">IFERROR(INDEX('Reference Records'!F$429:F787,MATCH(INDIRECT("'WPTM - Section F'!AP"&amp;B2337)&amp;"|"&amp;INDIRECT("'WPTM - Section F'!C"&amp;$B2337),'Reference Records'!G$429:G787,0)),"")</f>
        <v/>
      </c>
      <c r="M2337" s="171" t="str">
        <f t="shared" ca="1" si="156"/>
        <v/>
      </c>
      <c r="N2337" s="171" t="str">
        <f t="shared" ca="1" si="157"/>
        <v/>
      </c>
      <c r="O2337" s="171" t="str">
        <f t="shared" ca="1" si="158"/>
        <v/>
      </c>
      <c r="P2337" s="171" t="str">
        <f t="shared" ca="1" si="159"/>
        <v/>
      </c>
      <c r="Q2337" s="171"/>
      <c r="R2337" s="177"/>
    </row>
    <row r="2338" spans="1:18">
      <c r="A2338" s="166" t="b">
        <f t="shared" ca="1" si="151"/>
        <v>0</v>
      </c>
      <c r="B2338" s="166">
        <f t="shared" ca="1" si="160"/>
        <v>62</v>
      </c>
      <c r="C2338" s="172" t="str">
        <f ca="1">IF(COUNTA($G$2202:G2337)=1,"",OFFSET(B2338,-COUNTA($G$2202:G2337)+1,1))</f>
        <v>a1N3p00000FhqocEAB</v>
      </c>
      <c r="D2338" s="166" t="str">
        <f t="shared" ca="1" si="152"/>
        <v>INT-257067</v>
      </c>
      <c r="E2338" s="171"/>
      <c r="F2338" s="171" t="str">
        <f t="shared" ca="1" si="153"/>
        <v/>
      </c>
      <c r="G2338" s="171"/>
      <c r="H2338" s="167">
        <f t="shared" si="161"/>
        <v>54</v>
      </c>
      <c r="I2338" s="166" t="str">
        <f ca="1">IF(IFERROR(VLOOKUP(INDIRECT("'WPTM - Section F'!F"&amp;B2338),'Overview - Section A'!M$30:R175,6,0),IFERROR(VLOOKUP(INDIRECT("'WPTM - Section F'!F"&amp;B2338),'Overview - Section A'!E$27:J163,6,0),""))=0,"",IFERROR(VLOOKUP(INDIRECT("'WPTM - Section F'!F"&amp;B2338),'Overview - Section A'!M$30:R175,6,0),IFERROR(VLOOKUP(INDIRECT("'WPTM - Section F'!F"&amp;B2338),'Overview - Section A'!E$27:J163,6,0),"")))</f>
        <v/>
      </c>
      <c r="J2338" s="166" t="str">
        <f t="shared" ca="1" si="154"/>
        <v/>
      </c>
      <c r="K2338" s="171" t="str">
        <f t="shared" ca="1" si="155"/>
        <v/>
      </c>
      <c r="L2338" s="166" t="str">
        <f ca="1">IFERROR(INDEX('Reference Records'!F$429:F788,MATCH(INDIRECT("'WPTM - Section F'!AP"&amp;B2338)&amp;"|"&amp;INDIRECT("'WPTM - Section F'!C"&amp;$B2338),'Reference Records'!G$429:G788,0)),"")</f>
        <v/>
      </c>
      <c r="M2338" s="171" t="str">
        <f t="shared" ca="1" si="156"/>
        <v/>
      </c>
      <c r="N2338" s="171" t="str">
        <f t="shared" ca="1" si="157"/>
        <v/>
      </c>
      <c r="O2338" s="171" t="str">
        <f t="shared" ca="1" si="158"/>
        <v/>
      </c>
      <c r="P2338" s="171" t="str">
        <f t="shared" ca="1" si="159"/>
        <v/>
      </c>
      <c r="Q2338" s="171"/>
      <c r="R2338" s="177"/>
    </row>
    <row r="2339" spans="1:18">
      <c r="A2339" s="166" t="b">
        <f t="shared" ca="1" si="151"/>
        <v>0</v>
      </c>
      <c r="B2339" s="166">
        <f t="shared" ca="1" si="160"/>
        <v>63</v>
      </c>
      <c r="C2339" s="172" t="str">
        <f ca="1">IF(COUNTA($G$2202:G2338)=1,"",OFFSET(B2339,-COUNTA($G$2202:G2338)+1,1))</f>
        <v>a1N3p00000FhqodEAB</v>
      </c>
      <c r="D2339" s="166" t="str">
        <f t="shared" ca="1" si="152"/>
        <v>INT-257067</v>
      </c>
      <c r="E2339" s="171"/>
      <c r="F2339" s="171" t="str">
        <f t="shared" ca="1" si="153"/>
        <v/>
      </c>
      <c r="G2339" s="171"/>
      <c r="H2339" s="167">
        <f t="shared" si="161"/>
        <v>55</v>
      </c>
      <c r="I2339" s="166" t="str">
        <f ca="1">IF(IFERROR(VLOOKUP(INDIRECT("'WPTM - Section F'!F"&amp;B2339),'Overview - Section A'!M$30:R176,6,0),IFERROR(VLOOKUP(INDIRECT("'WPTM - Section F'!F"&amp;B2339),'Overview - Section A'!E$27:J164,6,0),""))=0,"",IFERROR(VLOOKUP(INDIRECT("'WPTM - Section F'!F"&amp;B2339),'Overview - Section A'!M$30:R176,6,0),IFERROR(VLOOKUP(INDIRECT("'WPTM - Section F'!F"&amp;B2339),'Overview - Section A'!E$27:J164,6,0),"")))</f>
        <v/>
      </c>
      <c r="J2339" s="166" t="str">
        <f t="shared" ca="1" si="154"/>
        <v/>
      </c>
      <c r="K2339" s="171" t="str">
        <f t="shared" ca="1" si="155"/>
        <v/>
      </c>
      <c r="L2339" s="166" t="str">
        <f ca="1">IFERROR(INDEX('Reference Records'!F$429:F789,MATCH(INDIRECT("'WPTM - Section F'!AP"&amp;B2339)&amp;"|"&amp;INDIRECT("'WPTM - Section F'!C"&amp;$B2339),'Reference Records'!G$429:G789,0)),"")</f>
        <v/>
      </c>
      <c r="M2339" s="171" t="str">
        <f t="shared" ca="1" si="156"/>
        <v/>
      </c>
      <c r="N2339" s="171" t="str">
        <f t="shared" ca="1" si="157"/>
        <v/>
      </c>
      <c r="O2339" s="171" t="str">
        <f t="shared" ca="1" si="158"/>
        <v/>
      </c>
      <c r="P2339" s="171" t="str">
        <f t="shared" ca="1" si="159"/>
        <v/>
      </c>
      <c r="Q2339" s="171"/>
      <c r="R2339" s="177"/>
    </row>
    <row r="2340" spans="1:18">
      <c r="A2340" s="166" t="b">
        <f t="shared" ca="1" si="151"/>
        <v>0</v>
      </c>
      <c r="B2340" s="166">
        <f t="shared" ca="1" si="160"/>
        <v>64</v>
      </c>
      <c r="C2340" s="172" t="str">
        <f ca="1">IF(COUNTA($G$2202:G2339)=1,"",OFFSET(B2340,-COUNTA($G$2202:G2339)+1,1))</f>
        <v>a1N3p00000FhqoeEAB</v>
      </c>
      <c r="D2340" s="166" t="str">
        <f t="shared" ca="1" si="152"/>
        <v>INT-257067</v>
      </c>
      <c r="E2340" s="171"/>
      <c r="F2340" s="171" t="str">
        <f t="shared" ca="1" si="153"/>
        <v/>
      </c>
      <c r="G2340" s="171"/>
      <c r="H2340" s="167">
        <f t="shared" si="161"/>
        <v>56</v>
      </c>
      <c r="I2340" s="166" t="str">
        <f ca="1">IF(IFERROR(VLOOKUP(INDIRECT("'WPTM - Section F'!F"&amp;B2340),'Overview - Section A'!M$30:R177,6,0),IFERROR(VLOOKUP(INDIRECT("'WPTM - Section F'!F"&amp;B2340),'Overview - Section A'!E$27:J165,6,0),""))=0,"",IFERROR(VLOOKUP(INDIRECT("'WPTM - Section F'!F"&amp;B2340),'Overview - Section A'!M$30:R177,6,0),IFERROR(VLOOKUP(INDIRECT("'WPTM - Section F'!F"&amp;B2340),'Overview - Section A'!E$27:J165,6,0),"")))</f>
        <v/>
      </c>
      <c r="J2340" s="166" t="str">
        <f t="shared" ca="1" si="154"/>
        <v/>
      </c>
      <c r="K2340" s="171" t="str">
        <f t="shared" ca="1" si="155"/>
        <v/>
      </c>
      <c r="L2340" s="166" t="str">
        <f ca="1">IFERROR(INDEX('Reference Records'!F$429:F790,MATCH(INDIRECT("'WPTM - Section F'!AP"&amp;B2340)&amp;"|"&amp;INDIRECT("'WPTM - Section F'!C"&amp;$B2340),'Reference Records'!G$429:G790,0)),"")</f>
        <v/>
      </c>
      <c r="M2340" s="171" t="str">
        <f t="shared" ca="1" si="156"/>
        <v/>
      </c>
      <c r="N2340" s="171" t="str">
        <f t="shared" ca="1" si="157"/>
        <v/>
      </c>
      <c r="O2340" s="171" t="str">
        <f t="shared" ca="1" si="158"/>
        <v/>
      </c>
      <c r="P2340" s="171" t="str">
        <f t="shared" ca="1" si="159"/>
        <v/>
      </c>
      <c r="Q2340" s="171"/>
      <c r="R2340" s="177"/>
    </row>
    <row r="2341" spans="1:18">
      <c r="A2341" s="166" t="b">
        <f t="shared" ca="1" si="151"/>
        <v>0</v>
      </c>
      <c r="B2341" s="166">
        <f t="shared" ca="1" si="160"/>
        <v>65</v>
      </c>
      <c r="C2341" s="172" t="str">
        <f ca="1">IF(COUNTA($G$2202:G2340)=1,"",OFFSET(B2341,-COUNTA($G$2202:G2340)+1,1))</f>
        <v>a1N3p00000FhqofEAB</v>
      </c>
      <c r="D2341" s="166" t="str">
        <f t="shared" ca="1" si="152"/>
        <v>INT-257067</v>
      </c>
      <c r="E2341" s="171"/>
      <c r="F2341" s="171" t="str">
        <f t="shared" ca="1" si="153"/>
        <v/>
      </c>
      <c r="G2341" s="171"/>
      <c r="H2341" s="167">
        <f t="shared" si="161"/>
        <v>57</v>
      </c>
      <c r="I2341" s="166" t="str">
        <f ca="1">IF(IFERROR(VLOOKUP(INDIRECT("'WPTM - Section F'!F"&amp;B2341),'Overview - Section A'!M$30:R178,6,0),IFERROR(VLOOKUP(INDIRECT("'WPTM - Section F'!F"&amp;B2341),'Overview - Section A'!E$27:J166,6,0),""))=0,"",IFERROR(VLOOKUP(INDIRECT("'WPTM - Section F'!F"&amp;B2341),'Overview - Section A'!M$30:R178,6,0),IFERROR(VLOOKUP(INDIRECT("'WPTM - Section F'!F"&amp;B2341),'Overview - Section A'!E$27:J166,6,0),"")))</f>
        <v/>
      </c>
      <c r="J2341" s="166" t="str">
        <f t="shared" ca="1" si="154"/>
        <v/>
      </c>
      <c r="K2341" s="171" t="str">
        <f t="shared" ca="1" si="155"/>
        <v/>
      </c>
      <c r="L2341" s="166" t="str">
        <f ca="1">IFERROR(INDEX('Reference Records'!F$429:F791,MATCH(INDIRECT("'WPTM - Section F'!AP"&amp;B2341)&amp;"|"&amp;INDIRECT("'WPTM - Section F'!C"&amp;$B2341),'Reference Records'!G$429:G791,0)),"")</f>
        <v/>
      </c>
      <c r="M2341" s="171" t="str">
        <f t="shared" ca="1" si="156"/>
        <v/>
      </c>
      <c r="N2341" s="171" t="str">
        <f t="shared" ca="1" si="157"/>
        <v/>
      </c>
      <c r="O2341" s="171" t="str">
        <f t="shared" ca="1" si="158"/>
        <v/>
      </c>
      <c r="P2341" s="171" t="str">
        <f t="shared" ca="1" si="159"/>
        <v/>
      </c>
      <c r="Q2341" s="171"/>
      <c r="R2341" s="177"/>
    </row>
    <row r="2342" spans="1:18">
      <c r="A2342" s="166" t="b">
        <f t="shared" ca="1" si="151"/>
        <v>0</v>
      </c>
      <c r="B2342" s="166">
        <f t="shared" ca="1" si="160"/>
        <v>66</v>
      </c>
      <c r="C2342" s="172" t="str">
        <f ca="1">IF(COUNTA($G$2202:G2341)=1,"",OFFSET(B2342,-COUNTA($G$2202:G2341)+1,1))</f>
        <v>a1N3p00000FhqogEAB</v>
      </c>
      <c r="D2342" s="166" t="str">
        <f t="shared" ca="1" si="152"/>
        <v>INT-257067</v>
      </c>
      <c r="E2342" s="171"/>
      <c r="F2342" s="171" t="str">
        <f t="shared" ca="1" si="153"/>
        <v/>
      </c>
      <c r="G2342" s="171"/>
      <c r="H2342" s="167">
        <f t="shared" si="161"/>
        <v>58</v>
      </c>
      <c r="I2342" s="166" t="str">
        <f ca="1">IF(IFERROR(VLOOKUP(INDIRECT("'WPTM - Section F'!F"&amp;B2342),'Overview - Section A'!M$30:R179,6,0),IFERROR(VLOOKUP(INDIRECT("'WPTM - Section F'!F"&amp;B2342),'Overview - Section A'!E$27:J167,6,0),""))=0,"",IFERROR(VLOOKUP(INDIRECT("'WPTM - Section F'!F"&amp;B2342),'Overview - Section A'!M$30:R179,6,0),IFERROR(VLOOKUP(INDIRECT("'WPTM - Section F'!F"&amp;B2342),'Overview - Section A'!E$27:J167,6,0),"")))</f>
        <v/>
      </c>
      <c r="J2342" s="166" t="str">
        <f t="shared" ca="1" si="154"/>
        <v/>
      </c>
      <c r="K2342" s="171" t="str">
        <f t="shared" ca="1" si="155"/>
        <v/>
      </c>
      <c r="L2342" s="166" t="str">
        <f ca="1">IFERROR(INDEX('Reference Records'!F$429:F792,MATCH(INDIRECT("'WPTM - Section F'!AP"&amp;B2342)&amp;"|"&amp;INDIRECT("'WPTM - Section F'!C"&amp;$B2342),'Reference Records'!G$429:G792,0)),"")</f>
        <v/>
      </c>
      <c r="M2342" s="171" t="str">
        <f t="shared" ca="1" si="156"/>
        <v/>
      </c>
      <c r="N2342" s="171" t="str">
        <f t="shared" ca="1" si="157"/>
        <v/>
      </c>
      <c r="O2342" s="171" t="str">
        <f t="shared" ca="1" si="158"/>
        <v/>
      </c>
      <c r="P2342" s="171" t="str">
        <f t="shared" ca="1" si="159"/>
        <v/>
      </c>
      <c r="Q2342" s="171"/>
      <c r="R2342" s="177"/>
    </row>
    <row r="2343" spans="1:18">
      <c r="A2343" s="166" t="b">
        <f t="shared" ca="1" si="151"/>
        <v>0</v>
      </c>
      <c r="B2343" s="166">
        <f t="shared" ca="1" si="160"/>
        <v>67</v>
      </c>
      <c r="C2343" s="172" t="str">
        <f ca="1">IF(COUNTA($G$2202:G2342)=1,"",OFFSET(B2343,-COUNTA($G$2202:G2342)+1,1))</f>
        <v>a1N3p00000FhqohEAB</v>
      </c>
      <c r="D2343" s="166" t="str">
        <f t="shared" ca="1" si="152"/>
        <v>INT-257067</v>
      </c>
      <c r="E2343" s="171"/>
      <c r="F2343" s="171" t="str">
        <f t="shared" ca="1" si="153"/>
        <v/>
      </c>
      <c r="G2343" s="171"/>
      <c r="H2343" s="167">
        <f t="shared" si="161"/>
        <v>59</v>
      </c>
      <c r="I2343" s="166" t="str">
        <f ca="1">IF(IFERROR(VLOOKUP(INDIRECT("'WPTM - Section F'!F"&amp;B2343),'Overview - Section A'!M$30:R180,6,0),IFERROR(VLOOKUP(INDIRECT("'WPTM - Section F'!F"&amp;B2343),'Overview - Section A'!E$27:J168,6,0),""))=0,"",IFERROR(VLOOKUP(INDIRECT("'WPTM - Section F'!F"&amp;B2343),'Overview - Section A'!M$30:R180,6,0),IFERROR(VLOOKUP(INDIRECT("'WPTM - Section F'!F"&amp;B2343),'Overview - Section A'!E$27:J168,6,0),"")))</f>
        <v/>
      </c>
      <c r="J2343" s="166" t="str">
        <f t="shared" ca="1" si="154"/>
        <v/>
      </c>
      <c r="K2343" s="171" t="str">
        <f t="shared" ca="1" si="155"/>
        <v/>
      </c>
      <c r="L2343" s="166" t="str">
        <f ca="1">IFERROR(INDEX('Reference Records'!F$429:F793,MATCH(INDIRECT("'WPTM - Section F'!AP"&amp;B2343)&amp;"|"&amp;INDIRECT("'WPTM - Section F'!C"&amp;$B2343),'Reference Records'!G$429:G793,0)),"")</f>
        <v/>
      </c>
      <c r="M2343" s="171" t="str">
        <f t="shared" ca="1" si="156"/>
        <v/>
      </c>
      <c r="N2343" s="171" t="str">
        <f t="shared" ca="1" si="157"/>
        <v/>
      </c>
      <c r="O2343" s="171" t="str">
        <f t="shared" ca="1" si="158"/>
        <v/>
      </c>
      <c r="P2343" s="171" t="str">
        <f t="shared" ca="1" si="159"/>
        <v/>
      </c>
      <c r="Q2343" s="171"/>
      <c r="R2343" s="177"/>
    </row>
    <row r="2344" spans="1:18">
      <c r="A2344" s="166" t="b">
        <f t="shared" ca="1" si="151"/>
        <v>0</v>
      </c>
      <c r="B2344" s="166">
        <f t="shared" ca="1" si="160"/>
        <v>68</v>
      </c>
      <c r="C2344" s="172" t="str">
        <f ca="1">IF(COUNTA($G$2202:G2343)=1,"",OFFSET(B2344,-COUNTA($G$2202:G2343)+1,1))</f>
        <v>a1N3p00000FhqoiEAB</v>
      </c>
      <c r="D2344" s="166" t="str">
        <f t="shared" ca="1" si="152"/>
        <v>INT-257067</v>
      </c>
      <c r="E2344" s="171"/>
      <c r="F2344" s="171" t="str">
        <f t="shared" ca="1" si="153"/>
        <v/>
      </c>
      <c r="G2344" s="171"/>
      <c r="H2344" s="167">
        <f t="shared" si="161"/>
        <v>60</v>
      </c>
      <c r="I2344" s="166" t="str">
        <f ca="1">IF(IFERROR(VLOOKUP(INDIRECT("'WPTM - Section F'!F"&amp;B2344),'Overview - Section A'!M$30:R181,6,0),IFERROR(VLOOKUP(INDIRECT("'WPTM - Section F'!F"&amp;B2344),'Overview - Section A'!E$27:J169,6,0),""))=0,"",IFERROR(VLOOKUP(INDIRECT("'WPTM - Section F'!F"&amp;B2344),'Overview - Section A'!M$30:R181,6,0),IFERROR(VLOOKUP(INDIRECT("'WPTM - Section F'!F"&amp;B2344),'Overview - Section A'!E$27:J169,6,0),"")))</f>
        <v/>
      </c>
      <c r="J2344" s="166" t="str">
        <f t="shared" ca="1" si="154"/>
        <v/>
      </c>
      <c r="K2344" s="171" t="str">
        <f t="shared" ca="1" si="155"/>
        <v/>
      </c>
      <c r="L2344" s="166" t="str">
        <f ca="1">IFERROR(INDEX('Reference Records'!F$429:F794,MATCH(INDIRECT("'WPTM - Section F'!AP"&amp;B2344)&amp;"|"&amp;INDIRECT("'WPTM - Section F'!C"&amp;$B2344),'Reference Records'!G$429:G794,0)),"")</f>
        <v/>
      </c>
      <c r="M2344" s="171" t="str">
        <f t="shared" ca="1" si="156"/>
        <v/>
      </c>
      <c r="N2344" s="171" t="str">
        <f t="shared" ca="1" si="157"/>
        <v/>
      </c>
      <c r="O2344" s="171" t="str">
        <f t="shared" ca="1" si="158"/>
        <v/>
      </c>
      <c r="P2344" s="171" t="str">
        <f t="shared" ca="1" si="159"/>
        <v/>
      </c>
      <c r="Q2344" s="171"/>
      <c r="R2344" s="177"/>
    </row>
    <row r="2345" spans="1:18">
      <c r="A2345" s="166" t="b">
        <f t="shared" ca="1" si="151"/>
        <v>0</v>
      </c>
      <c r="B2345" s="166">
        <f t="shared" ca="1" si="160"/>
        <v>69</v>
      </c>
      <c r="C2345" s="172" t="str">
        <f ca="1">IF(COUNTA($G$2202:G2344)=1,"",OFFSET(B2345,-COUNTA($G$2202:G2344)+1,1))</f>
        <v>a1N3p00000FhqojEAB</v>
      </c>
      <c r="D2345" s="166" t="str">
        <f t="shared" ca="1" si="152"/>
        <v>INT-257067</v>
      </c>
      <c r="E2345" s="171"/>
      <c r="F2345" s="171" t="str">
        <f t="shared" ca="1" si="153"/>
        <v/>
      </c>
      <c r="G2345" s="171"/>
      <c r="H2345" s="167">
        <f t="shared" si="161"/>
        <v>61</v>
      </c>
      <c r="I2345" s="166" t="str">
        <f ca="1">IF(IFERROR(VLOOKUP(INDIRECT("'WPTM - Section F'!F"&amp;B2345),'Overview - Section A'!M$30:R182,6,0),IFERROR(VLOOKUP(INDIRECT("'WPTM - Section F'!F"&amp;B2345),'Overview - Section A'!E$27:J170,6,0),""))=0,"",IFERROR(VLOOKUP(INDIRECT("'WPTM - Section F'!F"&amp;B2345),'Overview - Section A'!M$30:R182,6,0),IFERROR(VLOOKUP(INDIRECT("'WPTM - Section F'!F"&amp;B2345),'Overview - Section A'!E$27:J170,6,0),"")))</f>
        <v/>
      </c>
      <c r="J2345" s="166" t="str">
        <f t="shared" ca="1" si="154"/>
        <v/>
      </c>
      <c r="K2345" s="171" t="str">
        <f t="shared" ca="1" si="155"/>
        <v/>
      </c>
      <c r="L2345" s="166" t="str">
        <f ca="1">IFERROR(INDEX('Reference Records'!F$429:F795,MATCH(INDIRECT("'WPTM - Section F'!AP"&amp;B2345)&amp;"|"&amp;INDIRECT("'WPTM - Section F'!C"&amp;$B2345),'Reference Records'!G$429:G795,0)),"")</f>
        <v/>
      </c>
      <c r="M2345" s="171" t="str">
        <f t="shared" ca="1" si="156"/>
        <v/>
      </c>
      <c r="N2345" s="171" t="str">
        <f t="shared" ca="1" si="157"/>
        <v/>
      </c>
      <c r="O2345" s="171" t="str">
        <f t="shared" ca="1" si="158"/>
        <v/>
      </c>
      <c r="P2345" s="171" t="str">
        <f t="shared" ca="1" si="159"/>
        <v/>
      </c>
      <c r="Q2345" s="171"/>
      <c r="R2345" s="177"/>
    </row>
    <row r="2346" spans="1:18">
      <c r="A2346" s="166" t="b">
        <f t="shared" ca="1" si="151"/>
        <v>0</v>
      </c>
      <c r="B2346" s="166">
        <f t="shared" ca="1" si="160"/>
        <v>70</v>
      </c>
      <c r="C2346" s="172" t="str">
        <f ca="1">IF(COUNTA($G$2202:G2345)=1,"",OFFSET(B2346,-COUNTA($G$2202:G2345)+1,1))</f>
        <v>a1N3p00000FhqokEAB</v>
      </c>
      <c r="D2346" s="166" t="str">
        <f t="shared" ca="1" si="152"/>
        <v>INT-257067</v>
      </c>
      <c r="E2346" s="171"/>
      <c r="F2346" s="171" t="str">
        <f t="shared" ca="1" si="153"/>
        <v/>
      </c>
      <c r="G2346" s="171"/>
      <c r="H2346" s="167">
        <f t="shared" si="161"/>
        <v>62</v>
      </c>
      <c r="I2346" s="166" t="str">
        <f ca="1">IF(IFERROR(VLOOKUP(INDIRECT("'WPTM - Section F'!F"&amp;B2346),'Overview - Section A'!M$30:R183,6,0),IFERROR(VLOOKUP(INDIRECT("'WPTM - Section F'!F"&amp;B2346),'Overview - Section A'!E$27:J171,6,0),""))=0,"",IFERROR(VLOOKUP(INDIRECT("'WPTM - Section F'!F"&amp;B2346),'Overview - Section A'!M$30:R183,6,0),IFERROR(VLOOKUP(INDIRECT("'WPTM - Section F'!F"&amp;B2346),'Overview - Section A'!E$27:J171,6,0),"")))</f>
        <v/>
      </c>
      <c r="J2346" s="166" t="str">
        <f t="shared" ca="1" si="154"/>
        <v/>
      </c>
      <c r="K2346" s="171" t="str">
        <f t="shared" ca="1" si="155"/>
        <v/>
      </c>
      <c r="L2346" s="166" t="str">
        <f ca="1">IFERROR(INDEX('Reference Records'!F$429:F796,MATCH(INDIRECT("'WPTM - Section F'!AP"&amp;B2346)&amp;"|"&amp;INDIRECT("'WPTM - Section F'!C"&amp;$B2346),'Reference Records'!G$429:G796,0)),"")</f>
        <v/>
      </c>
      <c r="M2346" s="171" t="str">
        <f t="shared" ca="1" si="156"/>
        <v/>
      </c>
      <c r="N2346" s="171" t="str">
        <f t="shared" ca="1" si="157"/>
        <v/>
      </c>
      <c r="O2346" s="171" t="str">
        <f t="shared" ca="1" si="158"/>
        <v/>
      </c>
      <c r="P2346" s="171" t="str">
        <f t="shared" ca="1" si="159"/>
        <v/>
      </c>
      <c r="Q2346" s="171"/>
      <c r="R2346" s="177"/>
    </row>
    <row r="2347" spans="1:18">
      <c r="A2347" s="166" t="b">
        <f t="shared" ca="1" si="151"/>
        <v>0</v>
      </c>
      <c r="B2347" s="166">
        <f t="shared" ca="1" si="160"/>
        <v>71</v>
      </c>
      <c r="C2347" s="172" t="str">
        <f ca="1">IF(COUNTA($G$2202:G2346)=1,"",OFFSET(B2347,-COUNTA($G$2202:G2346)+1,1))</f>
        <v>a1N3p00000FhqolEAB</v>
      </c>
      <c r="D2347" s="166" t="str">
        <f t="shared" ca="1" si="152"/>
        <v>INT-257067</v>
      </c>
      <c r="E2347" s="171"/>
      <c r="F2347" s="171" t="str">
        <f t="shared" ca="1" si="153"/>
        <v/>
      </c>
      <c r="G2347" s="171"/>
      <c r="H2347" s="167">
        <f t="shared" si="161"/>
        <v>63</v>
      </c>
      <c r="I2347" s="166" t="str">
        <f ca="1">IF(IFERROR(VLOOKUP(INDIRECT("'WPTM - Section F'!F"&amp;B2347),'Overview - Section A'!M$30:R184,6,0),IFERROR(VLOOKUP(INDIRECT("'WPTM - Section F'!F"&amp;B2347),'Overview - Section A'!E$27:J172,6,0),""))=0,"",IFERROR(VLOOKUP(INDIRECT("'WPTM - Section F'!F"&amp;B2347),'Overview - Section A'!M$30:R184,6,0),IFERROR(VLOOKUP(INDIRECT("'WPTM - Section F'!F"&amp;B2347),'Overview - Section A'!E$27:J172,6,0),"")))</f>
        <v/>
      </c>
      <c r="J2347" s="166" t="str">
        <f t="shared" ca="1" si="154"/>
        <v/>
      </c>
      <c r="K2347" s="171" t="str">
        <f t="shared" ca="1" si="155"/>
        <v/>
      </c>
      <c r="L2347" s="166" t="str">
        <f ca="1">IFERROR(INDEX('Reference Records'!F$429:F797,MATCH(INDIRECT("'WPTM - Section F'!AP"&amp;B2347)&amp;"|"&amp;INDIRECT("'WPTM - Section F'!C"&amp;$B2347),'Reference Records'!G$429:G797,0)),"")</f>
        <v/>
      </c>
      <c r="M2347" s="171" t="str">
        <f t="shared" ca="1" si="156"/>
        <v/>
      </c>
      <c r="N2347" s="171" t="str">
        <f t="shared" ca="1" si="157"/>
        <v/>
      </c>
      <c r="O2347" s="171" t="str">
        <f t="shared" ca="1" si="158"/>
        <v/>
      </c>
      <c r="P2347" s="171" t="str">
        <f t="shared" ca="1" si="159"/>
        <v/>
      </c>
      <c r="Q2347" s="171"/>
      <c r="R2347" s="177"/>
    </row>
    <row r="2348" spans="1:18">
      <c r="A2348" s="166" t="b">
        <f t="shared" ca="1" si="151"/>
        <v>0</v>
      </c>
      <c r="B2348" s="166">
        <f t="shared" ca="1" si="160"/>
        <v>72</v>
      </c>
      <c r="C2348" s="172" t="str">
        <f ca="1">IF(COUNTA($G$2202:G2347)=1,"",OFFSET(B2348,-COUNTA($G$2202:G2347)+1,1))</f>
        <v>a1N3p00000FhqomEAB</v>
      </c>
      <c r="D2348" s="166" t="str">
        <f t="shared" ca="1" si="152"/>
        <v>INT-257067</v>
      </c>
      <c r="E2348" s="171"/>
      <c r="F2348" s="171" t="str">
        <f t="shared" ca="1" si="153"/>
        <v/>
      </c>
      <c r="G2348" s="171"/>
      <c r="H2348" s="167">
        <f t="shared" si="161"/>
        <v>64</v>
      </c>
      <c r="I2348" s="166" t="str">
        <f ca="1">IF(IFERROR(VLOOKUP(INDIRECT("'WPTM - Section F'!F"&amp;B2348),'Overview - Section A'!M$30:R185,6,0),IFERROR(VLOOKUP(INDIRECT("'WPTM - Section F'!F"&amp;B2348),'Overview - Section A'!E$27:J173,6,0),""))=0,"",IFERROR(VLOOKUP(INDIRECT("'WPTM - Section F'!F"&amp;B2348),'Overview - Section A'!M$30:R185,6,0),IFERROR(VLOOKUP(INDIRECT("'WPTM - Section F'!F"&amp;B2348),'Overview - Section A'!E$27:J173,6,0),"")))</f>
        <v/>
      </c>
      <c r="J2348" s="166" t="str">
        <f t="shared" ca="1" si="154"/>
        <v/>
      </c>
      <c r="K2348" s="171" t="str">
        <f t="shared" ca="1" si="155"/>
        <v/>
      </c>
      <c r="L2348" s="166" t="str">
        <f ca="1">IFERROR(INDEX('Reference Records'!F$429:F798,MATCH(INDIRECT("'WPTM - Section F'!AP"&amp;B2348)&amp;"|"&amp;INDIRECT("'WPTM - Section F'!C"&amp;$B2348),'Reference Records'!G$429:G798,0)),"")</f>
        <v/>
      </c>
      <c r="M2348" s="171" t="str">
        <f t="shared" ca="1" si="156"/>
        <v/>
      </c>
      <c r="N2348" s="171" t="str">
        <f t="shared" ca="1" si="157"/>
        <v/>
      </c>
      <c r="O2348" s="171" t="str">
        <f t="shared" ca="1" si="158"/>
        <v/>
      </c>
      <c r="P2348" s="171" t="str">
        <f t="shared" ca="1" si="159"/>
        <v/>
      </c>
      <c r="Q2348" s="171"/>
      <c r="R2348" s="177"/>
    </row>
    <row r="2349" spans="1:18">
      <c r="A2349" s="166" t="b">
        <f t="shared" ref="A2349:A2364" ca="1" si="162">IF(M2349&lt;&gt;"",TRUE,FALSE)</f>
        <v>0</v>
      </c>
      <c r="B2349" s="166">
        <f t="shared" ca="1" si="160"/>
        <v>73</v>
      </c>
      <c r="C2349" s="172" t="str">
        <f ca="1">IF(COUNTA($G$2202:G2348)=1,"",OFFSET(B2349,-COUNTA($G$2202:G2348)+1,1))</f>
        <v>a1N3p00000FhqonEAB</v>
      </c>
      <c r="D2349" s="166" t="str">
        <f t="shared" ref="D2349:D2364" ca="1" si="163">IFERROR(IF(INDIRECT("'WPTM - Section F'!AT"&amp;$B2349)=0,"",INDIRECT("'WPTM - Section F'!AT"&amp;$B2349)),"")</f>
        <v>INT-257067</v>
      </c>
      <c r="E2349" s="171"/>
      <c r="F2349" s="171" t="str">
        <f t="shared" ref="F2349:F2364" ca="1" si="164">IFERROR(IF(INDIRECT("'WPTM - Section F'!AU"&amp;$B2349)=0,"",INDIRECT("'WPTM - Section F'!AU"&amp;$B2349)),"")</f>
        <v/>
      </c>
      <c r="G2349" s="171"/>
      <c r="H2349" s="167">
        <f t="shared" si="161"/>
        <v>65</v>
      </c>
      <c r="I2349" s="166" t="str">
        <f ca="1">IF(IFERROR(VLOOKUP(INDIRECT("'WPTM - Section F'!F"&amp;B2349),'Overview - Section A'!M$30:R186,6,0),IFERROR(VLOOKUP(INDIRECT("'WPTM - Section F'!F"&amp;B2349),'Overview - Section A'!E$27:J174,6,0),""))=0,"",IFERROR(VLOOKUP(INDIRECT("'WPTM - Section F'!F"&amp;B2349),'Overview - Section A'!M$30:R186,6,0),IFERROR(VLOOKUP(INDIRECT("'WPTM - Section F'!F"&amp;B2349),'Overview - Section A'!E$27:J174,6,0),"")))</f>
        <v/>
      </c>
      <c r="J2349" s="166" t="str">
        <f t="shared" ref="J2349:J2364" ca="1" si="165">IFERROR(IF(INDIRECT("'WPTM - Section F'!G"&amp;$B2349)=0,"",INDIRECT("'WPTM - Section F'!G"&amp;$B2349)),"")</f>
        <v/>
      </c>
      <c r="K2349" s="171" t="str">
        <f t="shared" ref="K2349:K2364" ca="1" si="166">IFERROR(IF(INDIRECT("'WPTM - Section F'!BF"&amp;$B2349)=0,"",INDIRECT("'WPTM - Section F'!BF"&amp;$B2349)),"")</f>
        <v/>
      </c>
      <c r="L2349" s="166" t="str">
        <f ca="1">IFERROR(INDEX('Reference Records'!F$429:F799,MATCH(INDIRECT("'WPTM - Section F'!AP"&amp;B2349)&amp;"|"&amp;INDIRECT("'WPTM - Section F'!C"&amp;$B2349),'Reference Records'!G$429:G799,0)),"")</f>
        <v/>
      </c>
      <c r="M2349" s="171" t="str">
        <f t="shared" ref="M2349:M2364" ca="1" si="167">IFERROR(IF(INDIRECT("'WPTM - Section F'!E"&amp;$B2349)=0,"",INDIRECT("'WPTM - Section F'!E"&amp;$B2349)),"")</f>
        <v/>
      </c>
      <c r="N2349" s="171" t="str">
        <f t="shared" ref="N2349:N2364" ca="1" si="168">IFERROR(IF(INDIRECT("'WPTM - Section F'!AV"&amp;$B2349)=0,"",INDIRECT("'WPTM - Section F'!AV"&amp;$B2349)),"")</f>
        <v/>
      </c>
      <c r="O2349" s="171" t="str">
        <f t="shared" ref="O2349:O2364" ca="1" si="169">IFERROR(IF(INDIRECT("'WPTM - Section F'!AN"&amp;$B2349)=0,"",INDIRECT("'WPTM - Section F'!AN"&amp;$B2349)),"")</f>
        <v/>
      </c>
      <c r="P2349" s="171" t="str">
        <f t="shared" ref="P2349:P2364" ca="1" si="170">IFERROR(IF(INDIRECT("'WPTM - Section F'!BE"&amp;$B2349)=0,"",INDIRECT("'WPTM - Section F'!BE"&amp;$B2349)),"")</f>
        <v/>
      </c>
      <c r="Q2349" s="171"/>
      <c r="R2349" s="177"/>
    </row>
    <row r="2350" spans="1:18">
      <c r="A2350" s="166" t="b">
        <f t="shared" ca="1" si="162"/>
        <v>0</v>
      </c>
      <c r="B2350" s="166">
        <f t="shared" ca="1" si="160"/>
        <v>74</v>
      </c>
      <c r="C2350" s="172" t="str">
        <f ca="1">IF(COUNTA($G$2202:G2349)=1,"",OFFSET(B2350,-COUNTA($G$2202:G2349)+1,1))</f>
        <v>a1N3p00000FhqooEAB</v>
      </c>
      <c r="D2350" s="166" t="str">
        <f t="shared" ca="1" si="163"/>
        <v>INT-257067</v>
      </c>
      <c r="E2350" s="171"/>
      <c r="F2350" s="171" t="str">
        <f t="shared" ca="1" si="164"/>
        <v/>
      </c>
      <c r="G2350" s="171"/>
      <c r="H2350" s="167">
        <f t="shared" si="161"/>
        <v>66</v>
      </c>
      <c r="I2350" s="166" t="str">
        <f ca="1">IF(IFERROR(VLOOKUP(INDIRECT("'WPTM - Section F'!F"&amp;B2350),'Overview - Section A'!M$30:R187,6,0),IFERROR(VLOOKUP(INDIRECT("'WPTM - Section F'!F"&amp;B2350),'Overview - Section A'!E$27:J175,6,0),""))=0,"",IFERROR(VLOOKUP(INDIRECT("'WPTM - Section F'!F"&amp;B2350),'Overview - Section A'!M$30:R187,6,0),IFERROR(VLOOKUP(INDIRECT("'WPTM - Section F'!F"&amp;B2350),'Overview - Section A'!E$27:J175,6,0),"")))</f>
        <v/>
      </c>
      <c r="J2350" s="166" t="str">
        <f t="shared" ca="1" si="165"/>
        <v/>
      </c>
      <c r="K2350" s="171" t="str">
        <f t="shared" ca="1" si="166"/>
        <v/>
      </c>
      <c r="L2350" s="166" t="str">
        <f ca="1">IFERROR(INDEX('Reference Records'!F$429:F800,MATCH(INDIRECT("'WPTM - Section F'!AP"&amp;B2350)&amp;"|"&amp;INDIRECT("'WPTM - Section F'!C"&amp;$B2350),'Reference Records'!G$429:G800,0)),"")</f>
        <v/>
      </c>
      <c r="M2350" s="171" t="str">
        <f t="shared" ca="1" si="167"/>
        <v/>
      </c>
      <c r="N2350" s="171" t="str">
        <f t="shared" ca="1" si="168"/>
        <v/>
      </c>
      <c r="O2350" s="171" t="str">
        <f t="shared" ca="1" si="169"/>
        <v/>
      </c>
      <c r="P2350" s="171" t="str">
        <f t="shared" ca="1" si="170"/>
        <v/>
      </c>
      <c r="Q2350" s="171"/>
      <c r="R2350" s="177"/>
    </row>
    <row r="2351" spans="1:18">
      <c r="A2351" s="166" t="b">
        <f t="shared" ca="1" si="162"/>
        <v>0</v>
      </c>
      <c r="B2351" s="166">
        <f t="shared" ca="1" si="160"/>
        <v>75</v>
      </c>
      <c r="C2351" s="172" t="str">
        <f ca="1">IF(COUNTA($G$2202:G2350)=1,"",OFFSET(B2351,-COUNTA($G$2202:G2350)+1,1))</f>
        <v>a1N3p00000FhqopEAB</v>
      </c>
      <c r="D2351" s="166" t="str">
        <f t="shared" ca="1" si="163"/>
        <v>INT-257067</v>
      </c>
      <c r="E2351" s="171"/>
      <c r="F2351" s="171" t="str">
        <f t="shared" ca="1" si="164"/>
        <v/>
      </c>
      <c r="G2351" s="171"/>
      <c r="H2351" s="167">
        <f t="shared" si="161"/>
        <v>67</v>
      </c>
      <c r="I2351" s="166" t="str">
        <f ca="1">IF(IFERROR(VLOOKUP(INDIRECT("'WPTM - Section F'!F"&amp;B2351),'Overview - Section A'!M$30:R188,6,0),IFERROR(VLOOKUP(INDIRECT("'WPTM - Section F'!F"&amp;B2351),'Overview - Section A'!E$27:J176,6,0),""))=0,"",IFERROR(VLOOKUP(INDIRECT("'WPTM - Section F'!F"&amp;B2351),'Overview - Section A'!M$30:R188,6,0),IFERROR(VLOOKUP(INDIRECT("'WPTM - Section F'!F"&amp;B2351),'Overview - Section A'!E$27:J176,6,0),"")))</f>
        <v/>
      </c>
      <c r="J2351" s="166" t="str">
        <f t="shared" ca="1" si="165"/>
        <v/>
      </c>
      <c r="K2351" s="171" t="str">
        <f t="shared" ca="1" si="166"/>
        <v/>
      </c>
      <c r="L2351" s="166" t="str">
        <f ca="1">IFERROR(INDEX('Reference Records'!F$429:F801,MATCH(INDIRECT("'WPTM - Section F'!AP"&amp;B2351)&amp;"|"&amp;INDIRECT("'WPTM - Section F'!C"&amp;$B2351),'Reference Records'!G$429:G801,0)),"")</f>
        <v/>
      </c>
      <c r="M2351" s="171" t="str">
        <f t="shared" ca="1" si="167"/>
        <v/>
      </c>
      <c r="N2351" s="171" t="str">
        <f t="shared" ca="1" si="168"/>
        <v/>
      </c>
      <c r="O2351" s="171" t="str">
        <f t="shared" ca="1" si="169"/>
        <v/>
      </c>
      <c r="P2351" s="171" t="str">
        <f t="shared" ca="1" si="170"/>
        <v/>
      </c>
      <c r="Q2351" s="171"/>
      <c r="R2351" s="177"/>
    </row>
    <row r="2352" spans="1:18">
      <c r="A2352" s="166" t="b">
        <f t="shared" ca="1" si="162"/>
        <v>0</v>
      </c>
      <c r="B2352" s="166">
        <f t="shared" ca="1" si="160"/>
        <v>76</v>
      </c>
      <c r="C2352" s="172" t="str">
        <f ca="1">IF(COUNTA($G$2202:G2351)=1,"",OFFSET(B2352,-COUNTA($G$2202:G2351)+1,1))</f>
        <v>a1N3p00000FhqoqEAB</v>
      </c>
      <c r="D2352" s="166" t="str">
        <f t="shared" ca="1" si="163"/>
        <v>INT-257067</v>
      </c>
      <c r="E2352" s="171"/>
      <c r="F2352" s="171" t="str">
        <f t="shared" ca="1" si="164"/>
        <v/>
      </c>
      <c r="G2352" s="171"/>
      <c r="H2352" s="167">
        <f t="shared" si="161"/>
        <v>68</v>
      </c>
      <c r="I2352" s="166" t="str">
        <f ca="1">IF(IFERROR(VLOOKUP(INDIRECT("'WPTM - Section F'!F"&amp;B2352),'Overview - Section A'!M$30:R189,6,0),IFERROR(VLOOKUP(INDIRECT("'WPTM - Section F'!F"&amp;B2352),'Overview - Section A'!E$27:J177,6,0),""))=0,"",IFERROR(VLOOKUP(INDIRECT("'WPTM - Section F'!F"&amp;B2352),'Overview - Section A'!M$30:R189,6,0),IFERROR(VLOOKUP(INDIRECT("'WPTM - Section F'!F"&amp;B2352),'Overview - Section A'!E$27:J177,6,0),"")))</f>
        <v/>
      </c>
      <c r="J2352" s="166" t="str">
        <f t="shared" ca="1" si="165"/>
        <v/>
      </c>
      <c r="K2352" s="171" t="str">
        <f t="shared" ca="1" si="166"/>
        <v/>
      </c>
      <c r="L2352" s="166" t="str">
        <f ca="1">IFERROR(INDEX('Reference Records'!F$429:F802,MATCH(INDIRECT("'WPTM - Section F'!AP"&amp;B2352)&amp;"|"&amp;INDIRECT("'WPTM - Section F'!C"&amp;$B2352),'Reference Records'!G$429:G802,0)),"")</f>
        <v/>
      </c>
      <c r="M2352" s="171" t="str">
        <f t="shared" ca="1" si="167"/>
        <v/>
      </c>
      <c r="N2352" s="171" t="str">
        <f t="shared" ca="1" si="168"/>
        <v/>
      </c>
      <c r="O2352" s="171" t="str">
        <f t="shared" ca="1" si="169"/>
        <v/>
      </c>
      <c r="P2352" s="171" t="str">
        <f t="shared" ca="1" si="170"/>
        <v/>
      </c>
      <c r="Q2352" s="171"/>
      <c r="R2352" s="177"/>
    </row>
    <row r="2353" spans="1:18">
      <c r="A2353" s="166" t="b">
        <f t="shared" ca="1" si="162"/>
        <v>0</v>
      </c>
      <c r="B2353" s="166">
        <f t="shared" ca="1" si="160"/>
        <v>77</v>
      </c>
      <c r="C2353" s="172" t="str">
        <f ca="1">IF(COUNTA($G$2202:G2352)=1,"",OFFSET(B2353,-COUNTA($G$2202:G2352)+1,1))</f>
        <v>a1N3p00000FhqorEAB</v>
      </c>
      <c r="D2353" s="166" t="str">
        <f t="shared" ca="1" si="163"/>
        <v>INT-257067</v>
      </c>
      <c r="E2353" s="171"/>
      <c r="F2353" s="171" t="str">
        <f t="shared" ca="1" si="164"/>
        <v/>
      </c>
      <c r="G2353" s="171"/>
      <c r="H2353" s="167">
        <f t="shared" si="161"/>
        <v>69</v>
      </c>
      <c r="I2353" s="166" t="str">
        <f ca="1">IF(IFERROR(VLOOKUP(INDIRECT("'WPTM - Section F'!F"&amp;B2353),'Overview - Section A'!M$30:R190,6,0),IFERROR(VLOOKUP(INDIRECT("'WPTM - Section F'!F"&amp;B2353),'Overview - Section A'!E$27:J178,6,0),""))=0,"",IFERROR(VLOOKUP(INDIRECT("'WPTM - Section F'!F"&amp;B2353),'Overview - Section A'!M$30:R190,6,0),IFERROR(VLOOKUP(INDIRECT("'WPTM - Section F'!F"&amp;B2353),'Overview - Section A'!E$27:J178,6,0),"")))</f>
        <v/>
      </c>
      <c r="J2353" s="166" t="str">
        <f t="shared" ca="1" si="165"/>
        <v/>
      </c>
      <c r="K2353" s="171" t="str">
        <f t="shared" ca="1" si="166"/>
        <v/>
      </c>
      <c r="L2353" s="166" t="str">
        <f ca="1">IFERROR(INDEX('Reference Records'!F$429:F803,MATCH(INDIRECT("'WPTM - Section F'!AP"&amp;B2353)&amp;"|"&amp;INDIRECT("'WPTM - Section F'!C"&amp;$B2353),'Reference Records'!G$429:G803,0)),"")</f>
        <v/>
      </c>
      <c r="M2353" s="171" t="str">
        <f t="shared" ca="1" si="167"/>
        <v/>
      </c>
      <c r="N2353" s="171" t="str">
        <f t="shared" ca="1" si="168"/>
        <v/>
      </c>
      <c r="O2353" s="171" t="str">
        <f t="shared" ca="1" si="169"/>
        <v/>
      </c>
      <c r="P2353" s="171" t="str">
        <f t="shared" ca="1" si="170"/>
        <v/>
      </c>
      <c r="Q2353" s="171"/>
      <c r="R2353" s="177"/>
    </row>
    <row r="2354" spans="1:18">
      <c r="A2354" s="166" t="b">
        <f t="shared" ca="1" si="162"/>
        <v>0</v>
      </c>
      <c r="B2354" s="166">
        <f t="shared" ca="1" si="160"/>
        <v>78</v>
      </c>
      <c r="C2354" s="172" t="str">
        <f ca="1">IF(COUNTA($G$2202:G2353)=1,"",OFFSET(B2354,-COUNTA($G$2202:G2353)+1,1))</f>
        <v>a1N3p00000FhqosEAB</v>
      </c>
      <c r="D2354" s="166" t="str">
        <f t="shared" ca="1" si="163"/>
        <v>INT-257067</v>
      </c>
      <c r="E2354" s="171"/>
      <c r="F2354" s="171" t="str">
        <f t="shared" ca="1" si="164"/>
        <v/>
      </c>
      <c r="G2354" s="171"/>
      <c r="H2354" s="167">
        <f t="shared" si="161"/>
        <v>70</v>
      </c>
      <c r="I2354" s="166" t="str">
        <f ca="1">IF(IFERROR(VLOOKUP(INDIRECT("'WPTM - Section F'!F"&amp;B2354),'Overview - Section A'!M$30:R191,6,0),IFERROR(VLOOKUP(INDIRECT("'WPTM - Section F'!F"&amp;B2354),'Overview - Section A'!E$27:J179,6,0),""))=0,"",IFERROR(VLOOKUP(INDIRECT("'WPTM - Section F'!F"&amp;B2354),'Overview - Section A'!M$30:R191,6,0),IFERROR(VLOOKUP(INDIRECT("'WPTM - Section F'!F"&amp;B2354),'Overview - Section A'!E$27:J179,6,0),"")))</f>
        <v/>
      </c>
      <c r="J2354" s="166" t="str">
        <f t="shared" ca="1" si="165"/>
        <v/>
      </c>
      <c r="K2354" s="171" t="str">
        <f t="shared" ca="1" si="166"/>
        <v/>
      </c>
      <c r="L2354" s="166" t="str">
        <f ca="1">IFERROR(INDEX('Reference Records'!F$429:F804,MATCH(INDIRECT("'WPTM - Section F'!AP"&amp;B2354)&amp;"|"&amp;INDIRECT("'WPTM - Section F'!C"&amp;$B2354),'Reference Records'!G$429:G804,0)),"")</f>
        <v/>
      </c>
      <c r="M2354" s="171" t="str">
        <f t="shared" ca="1" si="167"/>
        <v/>
      </c>
      <c r="N2354" s="171" t="str">
        <f t="shared" ca="1" si="168"/>
        <v/>
      </c>
      <c r="O2354" s="171" t="str">
        <f t="shared" ca="1" si="169"/>
        <v/>
      </c>
      <c r="P2354" s="171" t="str">
        <f t="shared" ca="1" si="170"/>
        <v/>
      </c>
      <c r="Q2354" s="171"/>
      <c r="R2354" s="177"/>
    </row>
    <row r="2355" spans="1:18">
      <c r="A2355" s="166" t="b">
        <f t="shared" ca="1" si="162"/>
        <v>0</v>
      </c>
      <c r="B2355" s="166">
        <f t="shared" ca="1" si="160"/>
        <v>79</v>
      </c>
      <c r="C2355" s="172" t="str">
        <f ca="1">IF(COUNTA($G$2202:G2354)=1,"",OFFSET(B2355,-COUNTA($G$2202:G2354)+1,1))</f>
        <v>a1N3p00000FhqotEAB</v>
      </c>
      <c r="D2355" s="166" t="str">
        <f t="shared" ca="1" si="163"/>
        <v>INT-257067</v>
      </c>
      <c r="E2355" s="171"/>
      <c r="F2355" s="171" t="str">
        <f t="shared" ca="1" si="164"/>
        <v/>
      </c>
      <c r="G2355" s="171"/>
      <c r="H2355" s="167">
        <f t="shared" si="161"/>
        <v>71</v>
      </c>
      <c r="I2355" s="166" t="str">
        <f ca="1">IF(IFERROR(VLOOKUP(INDIRECT("'WPTM - Section F'!F"&amp;B2355),'Overview - Section A'!M$30:R192,6,0),IFERROR(VLOOKUP(INDIRECT("'WPTM - Section F'!F"&amp;B2355),'Overview - Section A'!E$27:J180,6,0),""))=0,"",IFERROR(VLOOKUP(INDIRECT("'WPTM - Section F'!F"&amp;B2355),'Overview - Section A'!M$30:R192,6,0),IFERROR(VLOOKUP(INDIRECT("'WPTM - Section F'!F"&amp;B2355),'Overview - Section A'!E$27:J180,6,0),"")))</f>
        <v/>
      </c>
      <c r="J2355" s="166" t="str">
        <f t="shared" ca="1" si="165"/>
        <v/>
      </c>
      <c r="K2355" s="171" t="str">
        <f t="shared" ca="1" si="166"/>
        <v/>
      </c>
      <c r="L2355" s="166" t="str">
        <f ca="1">IFERROR(INDEX('Reference Records'!F$429:F805,MATCH(INDIRECT("'WPTM - Section F'!AP"&amp;B2355)&amp;"|"&amp;INDIRECT("'WPTM - Section F'!C"&amp;$B2355),'Reference Records'!G$429:G805,0)),"")</f>
        <v/>
      </c>
      <c r="M2355" s="171" t="str">
        <f t="shared" ca="1" si="167"/>
        <v/>
      </c>
      <c r="N2355" s="171" t="str">
        <f t="shared" ca="1" si="168"/>
        <v/>
      </c>
      <c r="O2355" s="171" t="str">
        <f t="shared" ca="1" si="169"/>
        <v/>
      </c>
      <c r="P2355" s="171" t="str">
        <f t="shared" ca="1" si="170"/>
        <v/>
      </c>
      <c r="Q2355" s="171"/>
      <c r="R2355" s="177"/>
    </row>
    <row r="2356" spans="1:18">
      <c r="A2356" s="166" t="b">
        <f t="shared" ca="1" si="162"/>
        <v>0</v>
      </c>
      <c r="B2356" s="166">
        <f t="shared" ca="1" si="160"/>
        <v>80</v>
      </c>
      <c r="C2356" s="172" t="str">
        <f ca="1">IF(COUNTA($G$2202:G2355)=1,"",OFFSET(B2356,-COUNTA($G$2202:G2355)+1,1))</f>
        <v>a1N3p00000FhqouEAB</v>
      </c>
      <c r="D2356" s="166" t="str">
        <f t="shared" ca="1" si="163"/>
        <v>INT-257067</v>
      </c>
      <c r="E2356" s="171"/>
      <c r="F2356" s="171" t="str">
        <f t="shared" ca="1" si="164"/>
        <v/>
      </c>
      <c r="G2356" s="171"/>
      <c r="H2356" s="167">
        <f t="shared" si="161"/>
        <v>72</v>
      </c>
      <c r="I2356" s="166" t="str">
        <f ca="1">IF(IFERROR(VLOOKUP(INDIRECT("'WPTM - Section F'!F"&amp;B2356),'Overview - Section A'!M$30:R193,6,0),IFERROR(VLOOKUP(INDIRECT("'WPTM - Section F'!F"&amp;B2356),'Overview - Section A'!E$27:J181,6,0),""))=0,"",IFERROR(VLOOKUP(INDIRECT("'WPTM - Section F'!F"&amp;B2356),'Overview - Section A'!M$30:R193,6,0),IFERROR(VLOOKUP(INDIRECT("'WPTM - Section F'!F"&amp;B2356),'Overview - Section A'!E$27:J181,6,0),"")))</f>
        <v/>
      </c>
      <c r="J2356" s="166" t="str">
        <f t="shared" ca="1" si="165"/>
        <v/>
      </c>
      <c r="K2356" s="171" t="str">
        <f t="shared" ca="1" si="166"/>
        <v/>
      </c>
      <c r="L2356" s="166" t="str">
        <f ca="1">IFERROR(INDEX('Reference Records'!F$429:F806,MATCH(INDIRECT("'WPTM - Section F'!AP"&amp;B2356)&amp;"|"&amp;INDIRECT("'WPTM - Section F'!C"&amp;$B2356),'Reference Records'!G$429:G806,0)),"")</f>
        <v/>
      </c>
      <c r="M2356" s="171" t="str">
        <f t="shared" ca="1" si="167"/>
        <v/>
      </c>
      <c r="N2356" s="171" t="str">
        <f t="shared" ca="1" si="168"/>
        <v/>
      </c>
      <c r="O2356" s="171" t="str">
        <f t="shared" ca="1" si="169"/>
        <v/>
      </c>
      <c r="P2356" s="171" t="str">
        <f t="shared" ca="1" si="170"/>
        <v/>
      </c>
      <c r="Q2356" s="171"/>
      <c r="R2356" s="177"/>
    </row>
    <row r="2357" spans="1:18">
      <c r="A2357" s="166" t="b">
        <f t="shared" ca="1" si="162"/>
        <v>0</v>
      </c>
      <c r="B2357" s="166">
        <f t="shared" ca="1" si="160"/>
        <v>81</v>
      </c>
      <c r="C2357" s="172" t="str">
        <f ca="1">IF(COUNTA($G$2202:G2356)=1,"",OFFSET(B2357,-COUNTA($G$2202:G2356)+1,1))</f>
        <v>a1N3p00000FhqovEAB</v>
      </c>
      <c r="D2357" s="166" t="str">
        <f t="shared" ca="1" si="163"/>
        <v>INT-257067</v>
      </c>
      <c r="E2357" s="171"/>
      <c r="F2357" s="171" t="str">
        <f t="shared" ca="1" si="164"/>
        <v/>
      </c>
      <c r="G2357" s="171"/>
      <c r="H2357" s="167">
        <f t="shared" si="161"/>
        <v>73</v>
      </c>
      <c r="I2357" s="166" t="str">
        <f ca="1">IF(IFERROR(VLOOKUP(INDIRECT("'WPTM - Section F'!F"&amp;B2357),'Overview - Section A'!M$30:R194,6,0),IFERROR(VLOOKUP(INDIRECT("'WPTM - Section F'!F"&amp;B2357),'Overview - Section A'!E$27:J182,6,0),""))=0,"",IFERROR(VLOOKUP(INDIRECT("'WPTM - Section F'!F"&amp;B2357),'Overview - Section A'!M$30:R194,6,0),IFERROR(VLOOKUP(INDIRECT("'WPTM - Section F'!F"&amp;B2357),'Overview - Section A'!E$27:J182,6,0),"")))</f>
        <v/>
      </c>
      <c r="J2357" s="166" t="str">
        <f t="shared" ca="1" si="165"/>
        <v/>
      </c>
      <c r="K2357" s="171" t="str">
        <f t="shared" ca="1" si="166"/>
        <v/>
      </c>
      <c r="L2357" s="166" t="str">
        <f ca="1">IFERROR(INDEX('Reference Records'!F$429:F807,MATCH(INDIRECT("'WPTM - Section F'!AP"&amp;B2357)&amp;"|"&amp;INDIRECT("'WPTM - Section F'!C"&amp;$B2357),'Reference Records'!G$429:G807,0)),"")</f>
        <v/>
      </c>
      <c r="M2357" s="171" t="str">
        <f t="shared" ca="1" si="167"/>
        <v/>
      </c>
      <c r="N2357" s="171" t="str">
        <f t="shared" ca="1" si="168"/>
        <v/>
      </c>
      <c r="O2357" s="171" t="str">
        <f t="shared" ca="1" si="169"/>
        <v/>
      </c>
      <c r="P2357" s="171" t="str">
        <f t="shared" ca="1" si="170"/>
        <v/>
      </c>
      <c r="Q2357" s="171"/>
      <c r="R2357" s="177"/>
    </row>
    <row r="2358" spans="1:18">
      <c r="A2358" s="166" t="b">
        <f t="shared" ca="1" si="162"/>
        <v>0</v>
      </c>
      <c r="B2358" s="166">
        <f t="shared" ca="1" si="160"/>
        <v>82</v>
      </c>
      <c r="C2358" s="172" t="str">
        <f ca="1">IF(COUNTA($G$2202:G2357)=1,"",OFFSET(B2358,-COUNTA($G$2202:G2357)+1,1))</f>
        <v>a1N3p00000FhqowEAB</v>
      </c>
      <c r="D2358" s="166" t="str">
        <f t="shared" ca="1" si="163"/>
        <v>INT-257067</v>
      </c>
      <c r="E2358" s="171"/>
      <c r="F2358" s="171" t="str">
        <f t="shared" ca="1" si="164"/>
        <v/>
      </c>
      <c r="G2358" s="171"/>
      <c r="H2358" s="167">
        <f t="shared" si="161"/>
        <v>74</v>
      </c>
      <c r="I2358" s="166" t="str">
        <f ca="1">IF(IFERROR(VLOOKUP(INDIRECT("'WPTM - Section F'!F"&amp;B2358),'Overview - Section A'!M$30:R195,6,0),IFERROR(VLOOKUP(INDIRECT("'WPTM - Section F'!F"&amp;B2358),'Overview - Section A'!E$27:J183,6,0),""))=0,"",IFERROR(VLOOKUP(INDIRECT("'WPTM - Section F'!F"&amp;B2358),'Overview - Section A'!M$30:R195,6,0),IFERROR(VLOOKUP(INDIRECT("'WPTM - Section F'!F"&amp;B2358),'Overview - Section A'!E$27:J183,6,0),"")))</f>
        <v/>
      </c>
      <c r="J2358" s="166" t="str">
        <f t="shared" ca="1" si="165"/>
        <v/>
      </c>
      <c r="K2358" s="171" t="str">
        <f t="shared" ca="1" si="166"/>
        <v/>
      </c>
      <c r="L2358" s="166" t="str">
        <f ca="1">IFERROR(INDEX('Reference Records'!F$429:F808,MATCH(INDIRECT("'WPTM - Section F'!AP"&amp;B2358)&amp;"|"&amp;INDIRECT("'WPTM - Section F'!C"&amp;$B2358),'Reference Records'!G$429:G808,0)),"")</f>
        <v/>
      </c>
      <c r="M2358" s="171" t="str">
        <f t="shared" ca="1" si="167"/>
        <v/>
      </c>
      <c r="N2358" s="171" t="str">
        <f t="shared" ca="1" si="168"/>
        <v/>
      </c>
      <c r="O2358" s="171" t="str">
        <f t="shared" ca="1" si="169"/>
        <v/>
      </c>
      <c r="P2358" s="171" t="str">
        <f t="shared" ca="1" si="170"/>
        <v/>
      </c>
      <c r="Q2358" s="171"/>
      <c r="R2358" s="177"/>
    </row>
    <row r="2359" spans="1:18">
      <c r="A2359" s="166" t="b">
        <f t="shared" ca="1" si="162"/>
        <v>0</v>
      </c>
      <c r="B2359" s="166">
        <f t="shared" ca="1" si="160"/>
        <v>83</v>
      </c>
      <c r="C2359" s="172" t="str">
        <f ca="1">IF(COUNTA($G$2202:G2358)=1,"",OFFSET(B2359,-COUNTA($G$2202:G2358)+1,1))</f>
        <v>a1N3p00000FhqoxEAB</v>
      </c>
      <c r="D2359" s="166" t="str">
        <f t="shared" ca="1" si="163"/>
        <v>INT-257067</v>
      </c>
      <c r="E2359" s="171"/>
      <c r="F2359" s="171" t="str">
        <f t="shared" ca="1" si="164"/>
        <v/>
      </c>
      <c r="G2359" s="171"/>
      <c r="H2359" s="167">
        <f t="shared" si="161"/>
        <v>75</v>
      </c>
      <c r="I2359" s="166" t="str">
        <f ca="1">IF(IFERROR(VLOOKUP(INDIRECT("'WPTM - Section F'!F"&amp;B2359),'Overview - Section A'!M$30:R196,6,0),IFERROR(VLOOKUP(INDIRECT("'WPTM - Section F'!F"&amp;B2359),'Overview - Section A'!E$27:J184,6,0),""))=0,"",IFERROR(VLOOKUP(INDIRECT("'WPTM - Section F'!F"&amp;B2359),'Overview - Section A'!M$30:R196,6,0),IFERROR(VLOOKUP(INDIRECT("'WPTM - Section F'!F"&amp;B2359),'Overview - Section A'!E$27:J184,6,0),"")))</f>
        <v/>
      </c>
      <c r="J2359" s="166" t="str">
        <f t="shared" ca="1" si="165"/>
        <v/>
      </c>
      <c r="K2359" s="171" t="str">
        <f t="shared" ca="1" si="166"/>
        <v/>
      </c>
      <c r="L2359" s="166" t="str">
        <f ca="1">IFERROR(INDEX('Reference Records'!F$429:F809,MATCH(INDIRECT("'WPTM - Section F'!AP"&amp;B2359)&amp;"|"&amp;INDIRECT("'WPTM - Section F'!C"&amp;$B2359),'Reference Records'!G$429:G809,0)),"")</f>
        <v/>
      </c>
      <c r="M2359" s="171" t="str">
        <f t="shared" ca="1" si="167"/>
        <v/>
      </c>
      <c r="N2359" s="171" t="str">
        <f t="shared" ca="1" si="168"/>
        <v/>
      </c>
      <c r="O2359" s="171" t="str">
        <f t="shared" ca="1" si="169"/>
        <v/>
      </c>
      <c r="P2359" s="171" t="str">
        <f t="shared" ca="1" si="170"/>
        <v/>
      </c>
      <c r="Q2359" s="171"/>
      <c r="R2359" s="177"/>
    </row>
    <row r="2360" spans="1:18">
      <c r="A2360" s="166" t="b">
        <f t="shared" ca="1" si="162"/>
        <v>0</v>
      </c>
      <c r="B2360" s="166">
        <f t="shared" ca="1" si="160"/>
        <v>84</v>
      </c>
      <c r="C2360" s="172" t="str">
        <f ca="1">IF(COUNTA($G$2202:G2359)=1,"",OFFSET(B2360,-COUNTA($G$2202:G2359)+1,1))</f>
        <v>a1N3p00000FhqoyEAB</v>
      </c>
      <c r="D2360" s="166" t="str">
        <f t="shared" ca="1" si="163"/>
        <v>INT-257067</v>
      </c>
      <c r="E2360" s="171"/>
      <c r="F2360" s="171" t="str">
        <f t="shared" ca="1" si="164"/>
        <v/>
      </c>
      <c r="G2360" s="171"/>
      <c r="H2360" s="167">
        <f t="shared" si="161"/>
        <v>76</v>
      </c>
      <c r="I2360" s="166" t="str">
        <f ca="1">IF(IFERROR(VLOOKUP(INDIRECT("'WPTM - Section F'!F"&amp;B2360),'Overview - Section A'!M$30:R197,6,0),IFERROR(VLOOKUP(INDIRECT("'WPTM - Section F'!F"&amp;B2360),'Overview - Section A'!E$27:J185,6,0),""))=0,"",IFERROR(VLOOKUP(INDIRECT("'WPTM - Section F'!F"&amp;B2360),'Overview - Section A'!M$30:R197,6,0),IFERROR(VLOOKUP(INDIRECT("'WPTM - Section F'!F"&amp;B2360),'Overview - Section A'!E$27:J185,6,0),"")))</f>
        <v/>
      </c>
      <c r="J2360" s="166" t="str">
        <f t="shared" ca="1" si="165"/>
        <v/>
      </c>
      <c r="K2360" s="171" t="str">
        <f t="shared" ca="1" si="166"/>
        <v/>
      </c>
      <c r="L2360" s="166" t="str">
        <f ca="1">IFERROR(INDEX('Reference Records'!F$429:F810,MATCH(INDIRECT("'WPTM - Section F'!AP"&amp;B2360)&amp;"|"&amp;INDIRECT("'WPTM - Section F'!C"&amp;$B2360),'Reference Records'!G$429:G810,0)),"")</f>
        <v/>
      </c>
      <c r="M2360" s="171" t="str">
        <f t="shared" ca="1" si="167"/>
        <v/>
      </c>
      <c r="N2360" s="171" t="str">
        <f t="shared" ca="1" si="168"/>
        <v/>
      </c>
      <c r="O2360" s="171" t="str">
        <f t="shared" ca="1" si="169"/>
        <v/>
      </c>
      <c r="P2360" s="171" t="str">
        <f t="shared" ca="1" si="170"/>
        <v/>
      </c>
      <c r="Q2360" s="171"/>
      <c r="R2360" s="177"/>
    </row>
    <row r="2361" spans="1:18">
      <c r="A2361" s="166" t="b">
        <f t="shared" ca="1" si="162"/>
        <v>0</v>
      </c>
      <c r="B2361" s="166">
        <f t="shared" ca="1" si="160"/>
        <v>85</v>
      </c>
      <c r="C2361" s="172" t="str">
        <f ca="1">IF(COUNTA($G$2202:G2360)=1,"",OFFSET(B2361,-COUNTA($G$2202:G2360)+1,1))</f>
        <v>a1N3p00000FhqozEAB</v>
      </c>
      <c r="D2361" s="166" t="str">
        <f t="shared" ca="1" si="163"/>
        <v>INT-257067</v>
      </c>
      <c r="E2361" s="171"/>
      <c r="F2361" s="171" t="str">
        <f t="shared" ca="1" si="164"/>
        <v/>
      </c>
      <c r="G2361" s="171"/>
      <c r="H2361" s="167">
        <f t="shared" si="161"/>
        <v>77</v>
      </c>
      <c r="I2361" s="166" t="str">
        <f ca="1">IF(IFERROR(VLOOKUP(INDIRECT("'WPTM - Section F'!F"&amp;B2361),'Overview - Section A'!M$30:R198,6,0),IFERROR(VLOOKUP(INDIRECT("'WPTM - Section F'!F"&amp;B2361),'Overview - Section A'!E$27:J186,6,0),""))=0,"",IFERROR(VLOOKUP(INDIRECT("'WPTM - Section F'!F"&amp;B2361),'Overview - Section A'!M$30:R198,6,0),IFERROR(VLOOKUP(INDIRECT("'WPTM - Section F'!F"&amp;B2361),'Overview - Section A'!E$27:J186,6,0),"")))</f>
        <v/>
      </c>
      <c r="J2361" s="166" t="str">
        <f t="shared" ca="1" si="165"/>
        <v/>
      </c>
      <c r="K2361" s="171" t="str">
        <f t="shared" ca="1" si="166"/>
        <v/>
      </c>
      <c r="L2361" s="166" t="str">
        <f ca="1">IFERROR(INDEX('Reference Records'!F$429:F811,MATCH(INDIRECT("'WPTM - Section F'!AP"&amp;B2361)&amp;"|"&amp;INDIRECT("'WPTM - Section F'!C"&amp;$B2361),'Reference Records'!G$429:G811,0)),"")</f>
        <v/>
      </c>
      <c r="M2361" s="171" t="str">
        <f t="shared" ca="1" si="167"/>
        <v/>
      </c>
      <c r="N2361" s="171" t="str">
        <f t="shared" ca="1" si="168"/>
        <v/>
      </c>
      <c r="O2361" s="171" t="str">
        <f t="shared" ca="1" si="169"/>
        <v/>
      </c>
      <c r="P2361" s="171" t="str">
        <f t="shared" ca="1" si="170"/>
        <v/>
      </c>
      <c r="Q2361" s="171"/>
      <c r="R2361" s="177"/>
    </row>
    <row r="2362" spans="1:18">
      <c r="A2362" s="166" t="b">
        <f t="shared" ca="1" si="162"/>
        <v>0</v>
      </c>
      <c r="B2362" s="166">
        <f t="shared" ca="1" si="160"/>
        <v>86</v>
      </c>
      <c r="C2362" s="172" t="str">
        <f ca="1">IF(COUNTA($G$2202:G2361)=1,"",OFFSET(B2362,-COUNTA($G$2202:G2361)+1,1))</f>
        <v>a1N3p00000Fhqp0EAB</v>
      </c>
      <c r="D2362" s="166" t="str">
        <f t="shared" ca="1" si="163"/>
        <v>INT-257067</v>
      </c>
      <c r="E2362" s="171"/>
      <c r="F2362" s="171" t="str">
        <f t="shared" ca="1" si="164"/>
        <v/>
      </c>
      <c r="G2362" s="171"/>
      <c r="H2362" s="167">
        <f t="shared" si="161"/>
        <v>78</v>
      </c>
      <c r="I2362" s="166" t="str">
        <f ca="1">IF(IFERROR(VLOOKUP(INDIRECT("'WPTM - Section F'!F"&amp;B2362),'Overview - Section A'!M$30:R199,6,0),IFERROR(VLOOKUP(INDIRECT("'WPTM - Section F'!F"&amp;B2362),'Overview - Section A'!E$27:J187,6,0),""))=0,"",IFERROR(VLOOKUP(INDIRECT("'WPTM - Section F'!F"&amp;B2362),'Overview - Section A'!M$30:R199,6,0),IFERROR(VLOOKUP(INDIRECT("'WPTM - Section F'!F"&amp;B2362),'Overview - Section A'!E$27:J187,6,0),"")))</f>
        <v/>
      </c>
      <c r="J2362" s="166" t="str">
        <f t="shared" ca="1" si="165"/>
        <v/>
      </c>
      <c r="K2362" s="171" t="str">
        <f t="shared" ca="1" si="166"/>
        <v/>
      </c>
      <c r="L2362" s="166" t="str">
        <f ca="1">IFERROR(INDEX('Reference Records'!F$429:F812,MATCH(INDIRECT("'WPTM - Section F'!AP"&amp;B2362)&amp;"|"&amp;INDIRECT("'WPTM - Section F'!C"&amp;$B2362),'Reference Records'!G$429:G812,0)),"")</f>
        <v/>
      </c>
      <c r="M2362" s="171" t="str">
        <f t="shared" ca="1" si="167"/>
        <v/>
      </c>
      <c r="N2362" s="171" t="str">
        <f t="shared" ca="1" si="168"/>
        <v/>
      </c>
      <c r="O2362" s="171" t="str">
        <f t="shared" ca="1" si="169"/>
        <v/>
      </c>
      <c r="P2362" s="171" t="str">
        <f t="shared" ca="1" si="170"/>
        <v/>
      </c>
      <c r="Q2362" s="171"/>
      <c r="R2362" s="177"/>
    </row>
    <row r="2363" spans="1:18">
      <c r="A2363" s="166" t="b">
        <f t="shared" ca="1" si="162"/>
        <v>0</v>
      </c>
      <c r="B2363" s="166">
        <f t="shared" ca="1" si="160"/>
        <v>87</v>
      </c>
      <c r="C2363" s="172" t="str">
        <f ca="1">IF(COUNTA($G$2202:G2362)=1,"",OFFSET(B2363,-COUNTA($G$2202:G2362)+1,1))</f>
        <v>a1N3p00000Fhqp1EAB</v>
      </c>
      <c r="D2363" s="166" t="str">
        <f t="shared" ca="1" si="163"/>
        <v>INT-257067</v>
      </c>
      <c r="E2363" s="171"/>
      <c r="F2363" s="171" t="str">
        <f t="shared" ca="1" si="164"/>
        <v/>
      </c>
      <c r="G2363" s="171"/>
      <c r="H2363" s="167">
        <f t="shared" si="161"/>
        <v>79</v>
      </c>
      <c r="I2363" s="166" t="str">
        <f ca="1">IF(IFERROR(VLOOKUP(INDIRECT("'WPTM - Section F'!F"&amp;B2363),'Overview - Section A'!M$30:R200,6,0),IFERROR(VLOOKUP(INDIRECT("'WPTM - Section F'!F"&amp;B2363),'Overview - Section A'!E$27:J188,6,0),""))=0,"",IFERROR(VLOOKUP(INDIRECT("'WPTM - Section F'!F"&amp;B2363),'Overview - Section A'!M$30:R200,6,0),IFERROR(VLOOKUP(INDIRECT("'WPTM - Section F'!F"&amp;B2363),'Overview - Section A'!E$27:J188,6,0),"")))</f>
        <v/>
      </c>
      <c r="J2363" s="166" t="str">
        <f t="shared" ca="1" si="165"/>
        <v/>
      </c>
      <c r="K2363" s="171" t="str">
        <f t="shared" ca="1" si="166"/>
        <v/>
      </c>
      <c r="L2363" s="166" t="str">
        <f ca="1">IFERROR(INDEX('Reference Records'!F$429:F813,MATCH(INDIRECT("'WPTM - Section F'!AP"&amp;B2363)&amp;"|"&amp;INDIRECT("'WPTM - Section F'!C"&amp;$B2363),'Reference Records'!G$429:G813,0)),"")</f>
        <v/>
      </c>
      <c r="M2363" s="171" t="str">
        <f t="shared" ca="1" si="167"/>
        <v/>
      </c>
      <c r="N2363" s="171" t="str">
        <f t="shared" ca="1" si="168"/>
        <v/>
      </c>
      <c r="O2363" s="171" t="str">
        <f t="shared" ca="1" si="169"/>
        <v/>
      </c>
      <c r="P2363" s="171" t="str">
        <f t="shared" ca="1" si="170"/>
        <v/>
      </c>
      <c r="Q2363" s="171"/>
      <c r="R2363" s="177"/>
    </row>
    <row r="2364" spans="1:18">
      <c r="A2364" s="166" t="b">
        <f t="shared" ca="1" si="162"/>
        <v>0</v>
      </c>
      <c r="B2364" s="166">
        <f t="shared" ca="1" si="160"/>
        <v>88</v>
      </c>
      <c r="C2364" s="172" t="str">
        <f ca="1">IF(COUNTA($G$2202:G2363)=1,"",OFFSET(B2364,-COUNTA($G$2202:G2363)+1,1))</f>
        <v>a1N3p00000Fhqp2EAB</v>
      </c>
      <c r="D2364" s="166" t="str">
        <f t="shared" ca="1" si="163"/>
        <v>INT-257067</v>
      </c>
      <c r="E2364" s="171"/>
      <c r="F2364" s="171" t="str">
        <f t="shared" ca="1" si="164"/>
        <v/>
      </c>
      <c r="G2364" s="171"/>
      <c r="H2364" s="167">
        <f t="shared" si="161"/>
        <v>80</v>
      </c>
      <c r="I2364" s="166" t="str">
        <f ca="1">IF(IFERROR(VLOOKUP(INDIRECT("'WPTM - Section F'!F"&amp;B2364),'Overview - Section A'!M$30:R201,6,0),IFERROR(VLOOKUP(INDIRECT("'WPTM - Section F'!F"&amp;B2364),'Overview - Section A'!E$27:J189,6,0),""))=0,"",IFERROR(VLOOKUP(INDIRECT("'WPTM - Section F'!F"&amp;B2364),'Overview - Section A'!M$30:R201,6,0),IFERROR(VLOOKUP(INDIRECT("'WPTM - Section F'!F"&amp;B2364),'Overview - Section A'!E$27:J189,6,0),"")))</f>
        <v/>
      </c>
      <c r="J2364" s="166" t="str">
        <f t="shared" ca="1" si="165"/>
        <v/>
      </c>
      <c r="K2364" s="171" t="str">
        <f t="shared" ca="1" si="166"/>
        <v/>
      </c>
      <c r="L2364" s="166" t="str">
        <f ca="1">IFERROR(INDEX('Reference Records'!F$429:F814,MATCH(INDIRECT("'WPTM - Section F'!AP"&amp;B2364)&amp;"|"&amp;INDIRECT("'WPTM - Section F'!C"&amp;$B2364),'Reference Records'!G$429:G814,0)),"")</f>
        <v/>
      </c>
      <c r="M2364" s="171" t="str">
        <f t="shared" ca="1" si="167"/>
        <v/>
      </c>
      <c r="N2364" s="171" t="str">
        <f t="shared" ca="1" si="168"/>
        <v/>
      </c>
      <c r="O2364" s="171" t="str">
        <f t="shared" ca="1" si="169"/>
        <v/>
      </c>
      <c r="P2364" s="171" t="str">
        <f t="shared" ca="1" si="170"/>
        <v/>
      </c>
      <c r="Q2364" s="171"/>
      <c r="R2364" s="177"/>
    </row>
    <row r="2365" spans="1:18">
      <c r="J2365" s="164" t="str">
        <f ca="1">IF(ROW()&gt;'Impact Indicator Target Update'!A24,"",INDIRECT("'Impact Indicators - Section B'!A"&amp;'Impact Indicator Target Update'!D24))</f>
        <v/>
      </c>
    </row>
    <row r="2366" spans="1:18">
      <c r="J2366" s="164" t="str">
        <f ca="1">IF(ROW()&gt;'Impact Indicator Target Update'!A25,"",INDIRECT("'Impact Indicators - Section B'!A"&amp;'Impact Indicator Target Update'!D25))</f>
        <v/>
      </c>
    </row>
    <row r="2367" spans="1:18">
      <c r="J2367" s="164" t="str">
        <f ca="1">IF(ROW()&gt;'Impact Indicator Target Update'!A26,"",INDIRECT("'Impact Indicators - Section B'!A"&amp;'Impact Indicator Target Update'!D26))</f>
        <v/>
      </c>
    </row>
    <row r="2368" spans="1:18">
      <c r="A2368" s="165" t="s">
        <v>4675</v>
      </c>
      <c r="J2368" s="164" t="str">
        <f ca="1">IF(ROW()&gt;'Impact Indicator Target Update'!A27,"",INDIRECT("'Impact Indicators - Section B'!A"&amp;'Impact Indicator Target Update'!D27))</f>
        <v/>
      </c>
    </row>
    <row r="2369" spans="1:17">
      <c r="A2369" s="166" t="s">
        <v>348</v>
      </c>
      <c r="B2369" s="166" t="s">
        <v>341</v>
      </c>
      <c r="C2369" s="166" t="s">
        <v>4512</v>
      </c>
      <c r="D2369" s="166">
        <v>-481</v>
      </c>
      <c r="E2369" s="166" t="s">
        <v>3082</v>
      </c>
      <c r="F2369" s="166" t="s">
        <v>3084</v>
      </c>
      <c r="G2369" s="166" t="s">
        <v>4676</v>
      </c>
      <c r="H2369" s="166" t="s">
        <v>4508</v>
      </c>
      <c r="I2369" s="166" t="s">
        <v>4677</v>
      </c>
      <c r="J2369" s="166" t="s">
        <v>4678</v>
      </c>
      <c r="K2369" s="166" t="s">
        <v>4679</v>
      </c>
      <c r="L2369" s="166"/>
      <c r="M2369" s="166"/>
      <c r="N2369" s="166"/>
      <c r="O2369" s="166"/>
      <c r="P2369" s="166">
        <v>-1</v>
      </c>
      <c r="Q2369" s="166" t="s">
        <v>486</v>
      </c>
    </row>
    <row r="2370" spans="1:17" hidden="1">
      <c r="A2370" s="166" t="b">
        <f ca="1">IF(OR(AND(J2370&lt;&gt;"",J2370&lt;&gt;0),AND(K2370&lt;&gt;"",K2370&lt;&gt;0)),TRUE,FALSE)</f>
        <v>0</v>
      </c>
      <c r="B2370" s="166" t="str">
        <f ca="1">IF(COUNTA(G$2368:G2369)=1,"",OFFSET(B2370,-COUNTA(G$2368:G2369)+1,0))</f>
        <v/>
      </c>
      <c r="C2370" s="177" t="str">
        <f ca="1">IF(COUNTA(G$2368:G2369)=1,"",OFFSET(C2370,-COUNTA(G$2368:G2369)+1,0))</f>
        <v/>
      </c>
      <c r="D2370" s="166">
        <f>D2369+1</f>
        <v>-480</v>
      </c>
      <c r="E2370" s="166">
        <f ca="1">COUNTIF(C2200:C2370,C2370)</f>
        <v>9</v>
      </c>
      <c r="F2370" s="166" t="str">
        <f ca="1">IF(C2370=1,9,IF(E2369=MAX(E2368:E2370),F2368+1,F2369))</f>
        <v>row number</v>
      </c>
      <c r="G2370" s="166"/>
      <c r="H2370" s="171">
        <f ca="1">CHOOSE(E2370,IFERROR(IF(INDIRECT("'WPTM - Section F'!K"&amp;F2370)=0,"",INDIRECT("'WPTM - Section F'!K"&amp;$F2370)),""),IFERROR(IF(INDIRECT("'WPTM - Section F'!O"&amp;F2370)=0,"",INDIRECT("'WPTM - Section F'!O"&amp;$F2370)),""),IFERROR(IF(INDIRECT("'WPTM - Section F'!S"&amp;F2370)=0,"",INDIRECT("'WPTM - Section F'!S"&amp;$F2370)),""),IFERROR(IF(INDIRECT("'WPTM - Section F'!W"&amp;F2370)=0,"",INDIRECT("'WPTM - Section F'!W"&amp;$F2370)),""),IFERROR(IF(INDIRECT("'WPTM - Section F'!AA"&amp;F2370)=0,"",INDIRECT("'WPTM - Section F'!AA"&amp;$F2370)),""),IFERROR(IF(INDIRECT("'WPTM - Section F'!AE"&amp;F2370)=0,"",INDIRECT("'WPTM - Section F'!AE"&amp;$F2370)),""),IFERROR(IF(INDIRECT("'WPTM - Section F'!AI"&amp;F2370)=0,"",INDIRECT("'WPTM - Section F'!AI"&amp;$F2370)),""),IFERROR(IF(INDIRECT("'WPTM - Section F'!AM"&amp;F2370)=0,"",INDIRECT("'WPTM - Section F'!AM"&amp;$F2370)),""),)</f>
        <v>0</v>
      </c>
      <c r="I2370" s="171">
        <f ca="1">CHOOSE(E2370,IFERROR(IF(INDIRECT("'WPTM - Section F'!J"&amp;F2370)=0,"",INDIRECT("'WPTM - Section F'!J"&amp;$F2370)),""),IFERROR(IF(INDIRECT("'WPTM - Section F'!N"&amp;F2370)=0,"",INDIRECT("'WPTM - Section F'!N"&amp;$F2370)),""),IFERROR(IF(INDIRECT("'WPTM - Section F'!R"&amp;F2370)=0,"",INDIRECT("'WPTM - Section F'!R"&amp;$F2370)),""),IFERROR(IF(INDIRECT("'WPTM - Section F'!V"&amp;F2370)=0,"",INDIRECT("'WPTM - Section F'!V"&amp;$F2370)),""),IFERROR(IF(INDIRECT("'WPTM - Section F'!Z"&amp;F2370)=0,"",INDIRECT("'WPTM - Section F'!Z"&amp;$F2370)),""),IFERROR(IF(INDIRECT("'WPTM - Section F'!AD"&amp;F2370)=0,"",INDIRECT("'WPTM - Section F'!AD"&amp;$F2370)),""),IFERROR(IF(INDIRECT("'WPTM - Section F'!AH"&amp;F2370)=0,"",INDIRECT("'WPTM - Section F'!AH"&amp;$F2370)),""),IFERROR(IF(INDIRECT("'WPTM - Section F'!AL"&amp;F2370)=0,"",INDIRECT("'WPTM - Section F'!AL"&amp;$F2370)),""),)</f>
        <v>0</v>
      </c>
      <c r="J2370" s="171">
        <f ca="1">CHOOSE(E2370,IFERROR(IF(INDIRECT("'WPTM - Section F'!H"&amp;F2370)=0,"",INDIRECT("'WPTM - Section F'!H"&amp;$F2370)),""),IFERROR(IF(INDIRECT("'WPTM - Section F'!L"&amp;F2370)=0,"",INDIRECT("'WPTM - Section F'!L"&amp;$F2370)),""),IFERROR(IF(INDIRECT("'WPTM - Section F'!P"&amp;F2370)=0,"",INDIRECT("'WPTM - Section F'!P"&amp;$F2370)),""),IFERROR(IF(INDIRECT("'WPTM - Section F'!T"&amp;F2370)=0,"",INDIRECT("'WPTM - Section F'!T"&amp;$F2370)),""),IFERROR(IF(INDIRECT("'WPTM - Section F'!X"&amp;F2370)=0,"",INDIRECT("'WPTM - Section F'!X"&amp;$F2370)),""),IFERROR(IF(INDIRECT("'WPTM - Section F'!AB"&amp;F2370)=0,"",INDIRECT("'WPTM - Section F'!AB"&amp;$F2370)),""),IFERROR(IF(INDIRECT("'WPTM - Section F'!AF"&amp;F2370)=0,"",INDIRECT("'WPTM - Section F'!AF"&amp;$F2370)),""),IFERROR(IF(INDIRECT("'WPTM - Section F'!AJ"&amp;F2370)=0,"",INDIRECT("'WPTM - Section F'!AJ"&amp;$F2370)),""),)</f>
        <v>0</v>
      </c>
      <c r="K2370" s="171">
        <f ca="1">CHOOSE(E2370,IFERROR(IF(INDIRECT("'WPTM - Section F'!I"&amp;F2370)=0,"",INDIRECT("'WPTM - Section F'!I"&amp;$F2370)),""),IFERROR(IF(INDIRECT("'WPTM - Section F'!M"&amp;F2370)=0,"",INDIRECT("'WPTM - Section F'!M"&amp;$F2370)),""),IFERROR(IF(INDIRECT("'WPTM - Section F'!Q"&amp;F2370)=0,"",INDIRECT("'WPTM - Section F'!Q"&amp;$F2370)),""),IFERROR(IF(INDIRECT("'WPTM - Section F'!U"&amp;F2370)=0,"",INDIRECT("'WPTM - Section F'!U"&amp;$F2370)),""),IFERROR(IF(INDIRECT("'WPTM - Section F'!Y"&amp;F2370)=0,"",INDIRECT("'WPTM - Section F'!Y"&amp;$F2370)),""),IFERROR(IF(INDIRECT("'WPTM - Section F'!AC"&amp;F2370)=0,"",INDIRECT("'WPTM - Section F'!AC"&amp;$F2370)),""),IFERROR(IF(INDIRECT("'WPTM - Section F'!AG"&amp;F2370)=0,"",INDIRECT("'WPTM - Section F'!AG"&amp;$F2370)),""),IFERROR(IF(INDIRECT("'WPTM - Section F'!AK"&amp;F2370)=0,"",INDIRECT("'WPTM - Section F'!AK"&amp;$F2370)),""),)</f>
        <v>0</v>
      </c>
      <c r="L2370" s="166"/>
      <c r="M2370" s="166"/>
      <c r="N2370" s="166"/>
      <c r="O2370" s="166"/>
      <c r="P2370" s="166">
        <f ca="1">IF(NOT(_xlfn.ISFORMULA(I2370)),P2369+1,0)</f>
        <v>0</v>
      </c>
      <c r="Q2370" s="166" t="s">
        <v>4680</v>
      </c>
    </row>
    <row r="2371" spans="1:17">
      <c r="A2371" s="166" t="b">
        <v>0</v>
      </c>
      <c r="B2371" s="166" t="s">
        <v>4681</v>
      </c>
      <c r="C2371" s="177">
        <v>1</v>
      </c>
      <c r="D2371" s="166">
        <f t="shared" ref="D2371:D2434" si="171">D2370+1</f>
        <v>-479</v>
      </c>
      <c r="E2371" s="166">
        <f t="shared" ref="E2371:E2434" ca="1" si="172">COUNTIF(C2201:C2371,C2371)</f>
        <v>1</v>
      </c>
      <c r="F2371" s="166">
        <f t="shared" ref="F2371:F2434" ca="1" si="173">IF(C2371=1,9,IF(E2370=MAX(E2369:E2371),F2369+1,F2370))</f>
        <v>9</v>
      </c>
      <c r="G2371" s="166" t="s">
        <v>4516</v>
      </c>
      <c r="H2371" s="171"/>
      <c r="I2371" s="171"/>
      <c r="J2371" s="171"/>
      <c r="K2371" s="171"/>
      <c r="L2371" s="166"/>
      <c r="M2371" s="166"/>
      <c r="N2371" s="166"/>
      <c r="O2371" s="166"/>
      <c r="P2371" s="166">
        <f t="shared" ref="P2371:P2434" ca="1" si="174">IF(NOT(_xlfn.ISFORMULA(I2371)),P2370+1,0)</f>
        <v>1</v>
      </c>
      <c r="Q2371" s="166" t="b">
        <v>0</v>
      </c>
    </row>
    <row r="2372" spans="1:17">
      <c r="A2372" s="166" t="b">
        <v>0</v>
      </c>
      <c r="B2372" s="166" t="s">
        <v>4682</v>
      </c>
      <c r="C2372" s="177">
        <v>1</v>
      </c>
      <c r="D2372" s="166">
        <f t="shared" si="171"/>
        <v>-478</v>
      </c>
      <c r="E2372" s="166">
        <f t="shared" ca="1" si="172"/>
        <v>2</v>
      </c>
      <c r="F2372" s="166">
        <f t="shared" ca="1" si="173"/>
        <v>9</v>
      </c>
      <c r="G2372" s="166" t="s">
        <v>4516</v>
      </c>
      <c r="H2372" s="171"/>
      <c r="I2372" s="171"/>
      <c r="J2372" s="171"/>
      <c r="K2372" s="171"/>
      <c r="L2372" s="166"/>
      <c r="M2372" s="166"/>
      <c r="N2372" s="166"/>
      <c r="O2372" s="166"/>
      <c r="P2372" s="166">
        <f t="shared" ca="1" si="174"/>
        <v>2</v>
      </c>
      <c r="Q2372" s="166" t="b">
        <v>0</v>
      </c>
    </row>
    <row r="2373" spans="1:17">
      <c r="A2373" s="166" t="b">
        <v>0</v>
      </c>
      <c r="B2373" s="166" t="s">
        <v>4683</v>
      </c>
      <c r="C2373" s="177">
        <v>1</v>
      </c>
      <c r="D2373" s="166">
        <f t="shared" si="171"/>
        <v>-477</v>
      </c>
      <c r="E2373" s="166">
        <f t="shared" ca="1" si="172"/>
        <v>3</v>
      </c>
      <c r="F2373" s="166">
        <f t="shared" ca="1" si="173"/>
        <v>9</v>
      </c>
      <c r="G2373" s="166" t="s">
        <v>4516</v>
      </c>
      <c r="H2373" s="171"/>
      <c r="I2373" s="171"/>
      <c r="J2373" s="171"/>
      <c r="K2373" s="171"/>
      <c r="L2373" s="166"/>
      <c r="M2373" s="166"/>
      <c r="N2373" s="166"/>
      <c r="O2373" s="166"/>
      <c r="P2373" s="166">
        <f t="shared" ca="1" si="174"/>
        <v>3</v>
      </c>
      <c r="Q2373" s="166" t="b">
        <v>0</v>
      </c>
    </row>
    <row r="2374" spans="1:17">
      <c r="A2374" s="166" t="b">
        <v>0</v>
      </c>
      <c r="B2374" s="166" t="s">
        <v>4684</v>
      </c>
      <c r="C2374" s="177">
        <v>1</v>
      </c>
      <c r="D2374" s="166">
        <f t="shared" si="171"/>
        <v>-476</v>
      </c>
      <c r="E2374" s="166">
        <f t="shared" ca="1" si="172"/>
        <v>4</v>
      </c>
      <c r="F2374" s="166">
        <f t="shared" ca="1" si="173"/>
        <v>9</v>
      </c>
      <c r="G2374" s="166" t="s">
        <v>4516</v>
      </c>
      <c r="H2374" s="171"/>
      <c r="I2374" s="171"/>
      <c r="J2374" s="171"/>
      <c r="K2374" s="171"/>
      <c r="L2374" s="166"/>
      <c r="M2374" s="166"/>
      <c r="N2374" s="166"/>
      <c r="O2374" s="166"/>
      <c r="P2374" s="166">
        <f t="shared" ca="1" si="174"/>
        <v>4</v>
      </c>
      <c r="Q2374" s="166" t="b">
        <v>0</v>
      </c>
    </row>
    <row r="2375" spans="1:17">
      <c r="A2375" s="166" t="b">
        <v>0</v>
      </c>
      <c r="B2375" s="166" t="s">
        <v>4685</v>
      </c>
      <c r="C2375" s="177">
        <v>1</v>
      </c>
      <c r="D2375" s="166">
        <f t="shared" si="171"/>
        <v>-475</v>
      </c>
      <c r="E2375" s="166">
        <f t="shared" ca="1" si="172"/>
        <v>5</v>
      </c>
      <c r="F2375" s="166">
        <f t="shared" ca="1" si="173"/>
        <v>9</v>
      </c>
      <c r="G2375" s="166" t="s">
        <v>4516</v>
      </c>
      <c r="H2375" s="171"/>
      <c r="I2375" s="171"/>
      <c r="J2375" s="171"/>
      <c r="K2375" s="171"/>
      <c r="L2375" s="166"/>
      <c r="M2375" s="166"/>
      <c r="N2375" s="166"/>
      <c r="O2375" s="166"/>
      <c r="P2375" s="166">
        <f t="shared" ca="1" si="174"/>
        <v>5</v>
      </c>
      <c r="Q2375" s="166" t="b">
        <v>0</v>
      </c>
    </row>
    <row r="2376" spans="1:17">
      <c r="A2376" s="166" t="b">
        <v>0</v>
      </c>
      <c r="B2376" s="166" t="s">
        <v>4686</v>
      </c>
      <c r="C2376" s="177">
        <v>1</v>
      </c>
      <c r="D2376" s="166">
        <f t="shared" si="171"/>
        <v>-474</v>
      </c>
      <c r="E2376" s="166">
        <f t="shared" ca="1" si="172"/>
        <v>6</v>
      </c>
      <c r="F2376" s="166">
        <f t="shared" ca="1" si="173"/>
        <v>9</v>
      </c>
      <c r="G2376" s="166" t="s">
        <v>4516</v>
      </c>
      <c r="H2376" s="171"/>
      <c r="I2376" s="171"/>
      <c r="J2376" s="171"/>
      <c r="K2376" s="171"/>
      <c r="L2376" s="166"/>
      <c r="M2376" s="166"/>
      <c r="N2376" s="166"/>
      <c r="O2376" s="166"/>
      <c r="P2376" s="166">
        <f t="shared" ca="1" si="174"/>
        <v>6</v>
      </c>
      <c r="Q2376" s="166" t="b">
        <v>0</v>
      </c>
    </row>
    <row r="2377" spans="1:17">
      <c r="A2377" s="166" t="b">
        <v>0</v>
      </c>
      <c r="B2377" s="166" t="s">
        <v>4687</v>
      </c>
      <c r="C2377" s="177">
        <v>2</v>
      </c>
      <c r="D2377" s="166">
        <f t="shared" si="171"/>
        <v>-473</v>
      </c>
      <c r="E2377" s="166">
        <f t="shared" ca="1" si="172"/>
        <v>1</v>
      </c>
      <c r="F2377" s="166">
        <f t="shared" ca="1" si="173"/>
        <v>10</v>
      </c>
      <c r="G2377" s="166" t="s">
        <v>4518</v>
      </c>
      <c r="H2377" s="171"/>
      <c r="I2377" s="171"/>
      <c r="J2377" s="171"/>
      <c r="K2377" s="171"/>
      <c r="L2377" s="166"/>
      <c r="M2377" s="166"/>
      <c r="N2377" s="166"/>
      <c r="O2377" s="166"/>
      <c r="P2377" s="166">
        <f t="shared" ca="1" si="174"/>
        <v>7</v>
      </c>
      <c r="Q2377" s="166" t="b">
        <v>0</v>
      </c>
    </row>
    <row r="2378" spans="1:17">
      <c r="A2378" s="166" t="b">
        <v>0</v>
      </c>
      <c r="B2378" s="166" t="s">
        <v>4688</v>
      </c>
      <c r="C2378" s="177">
        <v>2</v>
      </c>
      <c r="D2378" s="166">
        <f t="shared" si="171"/>
        <v>-472</v>
      </c>
      <c r="E2378" s="166">
        <f t="shared" ca="1" si="172"/>
        <v>2</v>
      </c>
      <c r="F2378" s="166">
        <f t="shared" ca="1" si="173"/>
        <v>10</v>
      </c>
      <c r="G2378" s="166" t="s">
        <v>4518</v>
      </c>
      <c r="H2378" s="171"/>
      <c r="I2378" s="171"/>
      <c r="J2378" s="171"/>
      <c r="K2378" s="171"/>
      <c r="L2378" s="166"/>
      <c r="M2378" s="166"/>
      <c r="N2378" s="166"/>
      <c r="O2378" s="166"/>
      <c r="P2378" s="166">
        <f t="shared" ca="1" si="174"/>
        <v>8</v>
      </c>
      <c r="Q2378" s="166" t="b">
        <v>0</v>
      </c>
    </row>
    <row r="2379" spans="1:17">
      <c r="A2379" s="166" t="b">
        <v>0</v>
      </c>
      <c r="B2379" s="166" t="s">
        <v>4689</v>
      </c>
      <c r="C2379" s="177">
        <v>2</v>
      </c>
      <c r="D2379" s="166">
        <f t="shared" si="171"/>
        <v>-471</v>
      </c>
      <c r="E2379" s="166">
        <f t="shared" ca="1" si="172"/>
        <v>3</v>
      </c>
      <c r="F2379" s="166">
        <f t="shared" ca="1" si="173"/>
        <v>10</v>
      </c>
      <c r="G2379" s="166" t="s">
        <v>4518</v>
      </c>
      <c r="H2379" s="171"/>
      <c r="I2379" s="171"/>
      <c r="J2379" s="171"/>
      <c r="K2379" s="171"/>
      <c r="L2379" s="166"/>
      <c r="M2379" s="166"/>
      <c r="N2379" s="166"/>
      <c r="O2379" s="166"/>
      <c r="P2379" s="166">
        <f t="shared" ca="1" si="174"/>
        <v>9</v>
      </c>
      <c r="Q2379" s="166" t="b">
        <v>0</v>
      </c>
    </row>
    <row r="2380" spans="1:17">
      <c r="A2380" s="166" t="b">
        <v>0</v>
      </c>
      <c r="B2380" s="166" t="s">
        <v>4690</v>
      </c>
      <c r="C2380" s="177">
        <v>2</v>
      </c>
      <c r="D2380" s="166">
        <f t="shared" si="171"/>
        <v>-470</v>
      </c>
      <c r="E2380" s="166">
        <f t="shared" ca="1" si="172"/>
        <v>4</v>
      </c>
      <c r="F2380" s="166">
        <f t="shared" ca="1" si="173"/>
        <v>10</v>
      </c>
      <c r="G2380" s="166" t="s">
        <v>4518</v>
      </c>
      <c r="H2380" s="171"/>
      <c r="I2380" s="171"/>
      <c r="J2380" s="171"/>
      <c r="K2380" s="171"/>
      <c r="L2380" s="166"/>
      <c r="M2380" s="166"/>
      <c r="N2380" s="166"/>
      <c r="O2380" s="166"/>
      <c r="P2380" s="166">
        <f t="shared" ca="1" si="174"/>
        <v>10</v>
      </c>
      <c r="Q2380" s="166" t="b">
        <v>0</v>
      </c>
    </row>
    <row r="2381" spans="1:17">
      <c r="A2381" s="166" t="b">
        <v>0</v>
      </c>
      <c r="B2381" s="166" t="s">
        <v>4691</v>
      </c>
      <c r="C2381" s="177">
        <v>2</v>
      </c>
      <c r="D2381" s="166">
        <f t="shared" si="171"/>
        <v>-469</v>
      </c>
      <c r="E2381" s="166">
        <f t="shared" ca="1" si="172"/>
        <v>5</v>
      </c>
      <c r="F2381" s="166">
        <f t="shared" ca="1" si="173"/>
        <v>10</v>
      </c>
      <c r="G2381" s="166" t="s">
        <v>4518</v>
      </c>
      <c r="H2381" s="171"/>
      <c r="I2381" s="171"/>
      <c r="J2381" s="171"/>
      <c r="K2381" s="171"/>
      <c r="L2381" s="166"/>
      <c r="M2381" s="166"/>
      <c r="N2381" s="166"/>
      <c r="O2381" s="166"/>
      <c r="P2381" s="166">
        <f t="shared" ca="1" si="174"/>
        <v>11</v>
      </c>
      <c r="Q2381" s="166" t="b">
        <v>0</v>
      </c>
    </row>
    <row r="2382" spans="1:17">
      <c r="A2382" s="166" t="b">
        <v>0</v>
      </c>
      <c r="B2382" s="166" t="s">
        <v>4692</v>
      </c>
      <c r="C2382" s="177">
        <v>2</v>
      </c>
      <c r="D2382" s="166">
        <f t="shared" si="171"/>
        <v>-468</v>
      </c>
      <c r="E2382" s="166">
        <f t="shared" ca="1" si="172"/>
        <v>6</v>
      </c>
      <c r="F2382" s="166">
        <f t="shared" ca="1" si="173"/>
        <v>10</v>
      </c>
      <c r="G2382" s="166" t="s">
        <v>4518</v>
      </c>
      <c r="H2382" s="171"/>
      <c r="I2382" s="171"/>
      <c r="J2382" s="171"/>
      <c r="K2382" s="171"/>
      <c r="L2382" s="166"/>
      <c r="M2382" s="166"/>
      <c r="N2382" s="166"/>
      <c r="O2382" s="166"/>
      <c r="P2382" s="166">
        <f t="shared" ca="1" si="174"/>
        <v>12</v>
      </c>
      <c r="Q2382" s="166" t="b">
        <v>0</v>
      </c>
    </row>
    <row r="2383" spans="1:17">
      <c r="A2383" s="166" t="b">
        <v>0</v>
      </c>
      <c r="B2383" s="166" t="s">
        <v>4693</v>
      </c>
      <c r="C2383" s="177">
        <v>3</v>
      </c>
      <c r="D2383" s="166">
        <f t="shared" si="171"/>
        <v>-467</v>
      </c>
      <c r="E2383" s="166">
        <f t="shared" ca="1" si="172"/>
        <v>1</v>
      </c>
      <c r="F2383" s="166">
        <f t="shared" ca="1" si="173"/>
        <v>11</v>
      </c>
      <c r="G2383" s="166" t="s">
        <v>4520</v>
      </c>
      <c r="H2383" s="171"/>
      <c r="I2383" s="171"/>
      <c r="J2383" s="171"/>
      <c r="K2383" s="171"/>
      <c r="L2383" s="166"/>
      <c r="M2383" s="166"/>
      <c r="N2383" s="166"/>
      <c r="O2383" s="166"/>
      <c r="P2383" s="166">
        <f t="shared" ca="1" si="174"/>
        <v>13</v>
      </c>
      <c r="Q2383" s="166" t="b">
        <v>0</v>
      </c>
    </row>
    <row r="2384" spans="1:17">
      <c r="A2384" s="166" t="b">
        <v>0</v>
      </c>
      <c r="B2384" s="166" t="s">
        <v>4694</v>
      </c>
      <c r="C2384" s="177">
        <v>3</v>
      </c>
      <c r="D2384" s="166">
        <f t="shared" si="171"/>
        <v>-466</v>
      </c>
      <c r="E2384" s="166">
        <f t="shared" ca="1" si="172"/>
        <v>2</v>
      </c>
      <c r="F2384" s="166">
        <f t="shared" ca="1" si="173"/>
        <v>11</v>
      </c>
      <c r="G2384" s="166" t="s">
        <v>4520</v>
      </c>
      <c r="H2384" s="171"/>
      <c r="I2384" s="171"/>
      <c r="J2384" s="171"/>
      <c r="K2384" s="171"/>
      <c r="L2384" s="166"/>
      <c r="M2384" s="166"/>
      <c r="N2384" s="166"/>
      <c r="O2384" s="166"/>
      <c r="P2384" s="166">
        <f t="shared" ca="1" si="174"/>
        <v>14</v>
      </c>
      <c r="Q2384" s="166" t="b">
        <v>0</v>
      </c>
    </row>
    <row r="2385" spans="1:17">
      <c r="A2385" s="166" t="b">
        <v>0</v>
      </c>
      <c r="B2385" s="166" t="s">
        <v>4695</v>
      </c>
      <c r="C2385" s="177">
        <v>3</v>
      </c>
      <c r="D2385" s="166">
        <f t="shared" si="171"/>
        <v>-465</v>
      </c>
      <c r="E2385" s="166">
        <f t="shared" ca="1" si="172"/>
        <v>3</v>
      </c>
      <c r="F2385" s="166">
        <f t="shared" ca="1" si="173"/>
        <v>11</v>
      </c>
      <c r="G2385" s="166" t="s">
        <v>4520</v>
      </c>
      <c r="H2385" s="171"/>
      <c r="I2385" s="171"/>
      <c r="J2385" s="171"/>
      <c r="K2385" s="171"/>
      <c r="L2385" s="166"/>
      <c r="M2385" s="166"/>
      <c r="N2385" s="166"/>
      <c r="O2385" s="166"/>
      <c r="P2385" s="166">
        <f t="shared" ca="1" si="174"/>
        <v>15</v>
      </c>
      <c r="Q2385" s="166" t="b">
        <v>0</v>
      </c>
    </row>
    <row r="2386" spans="1:17">
      <c r="A2386" s="166" t="b">
        <v>0</v>
      </c>
      <c r="B2386" s="166" t="s">
        <v>4696</v>
      </c>
      <c r="C2386" s="177">
        <v>3</v>
      </c>
      <c r="D2386" s="166">
        <f t="shared" si="171"/>
        <v>-464</v>
      </c>
      <c r="E2386" s="166">
        <f t="shared" ca="1" si="172"/>
        <v>4</v>
      </c>
      <c r="F2386" s="166">
        <f t="shared" ca="1" si="173"/>
        <v>11</v>
      </c>
      <c r="G2386" s="166" t="s">
        <v>4520</v>
      </c>
      <c r="H2386" s="171"/>
      <c r="I2386" s="171"/>
      <c r="J2386" s="171"/>
      <c r="K2386" s="171"/>
      <c r="L2386" s="166"/>
      <c r="M2386" s="166"/>
      <c r="N2386" s="166"/>
      <c r="O2386" s="166"/>
      <c r="P2386" s="166">
        <f t="shared" ca="1" si="174"/>
        <v>16</v>
      </c>
      <c r="Q2386" s="166" t="b">
        <v>0</v>
      </c>
    </row>
    <row r="2387" spans="1:17">
      <c r="A2387" s="166" t="b">
        <v>0</v>
      </c>
      <c r="B2387" s="166" t="s">
        <v>4697</v>
      </c>
      <c r="C2387" s="177">
        <v>3</v>
      </c>
      <c r="D2387" s="166">
        <f t="shared" si="171"/>
        <v>-463</v>
      </c>
      <c r="E2387" s="166">
        <f t="shared" ca="1" si="172"/>
        <v>5</v>
      </c>
      <c r="F2387" s="166">
        <f t="shared" ca="1" si="173"/>
        <v>11</v>
      </c>
      <c r="G2387" s="166" t="s">
        <v>4520</v>
      </c>
      <c r="H2387" s="171"/>
      <c r="I2387" s="171"/>
      <c r="J2387" s="171"/>
      <c r="K2387" s="171"/>
      <c r="L2387" s="166"/>
      <c r="M2387" s="166"/>
      <c r="N2387" s="166"/>
      <c r="O2387" s="166"/>
      <c r="P2387" s="166">
        <f t="shared" ca="1" si="174"/>
        <v>17</v>
      </c>
      <c r="Q2387" s="166" t="b">
        <v>0</v>
      </c>
    </row>
    <row r="2388" spans="1:17">
      <c r="A2388" s="166" t="b">
        <v>0</v>
      </c>
      <c r="B2388" s="166" t="s">
        <v>4698</v>
      </c>
      <c r="C2388" s="177">
        <v>3</v>
      </c>
      <c r="D2388" s="166">
        <f t="shared" si="171"/>
        <v>-462</v>
      </c>
      <c r="E2388" s="166">
        <f t="shared" ca="1" si="172"/>
        <v>6</v>
      </c>
      <c r="F2388" s="166">
        <f t="shared" ca="1" si="173"/>
        <v>11</v>
      </c>
      <c r="G2388" s="166" t="s">
        <v>4520</v>
      </c>
      <c r="H2388" s="171"/>
      <c r="I2388" s="171"/>
      <c r="J2388" s="171"/>
      <c r="K2388" s="171"/>
      <c r="L2388" s="166"/>
      <c r="M2388" s="166"/>
      <c r="N2388" s="166"/>
      <c r="O2388" s="166"/>
      <c r="P2388" s="166">
        <f t="shared" ca="1" si="174"/>
        <v>18</v>
      </c>
      <c r="Q2388" s="166" t="b">
        <v>0</v>
      </c>
    </row>
    <row r="2389" spans="1:17">
      <c r="A2389" s="166" t="b">
        <v>0</v>
      </c>
      <c r="B2389" s="166" t="s">
        <v>4699</v>
      </c>
      <c r="C2389" s="177">
        <v>4</v>
      </c>
      <c r="D2389" s="166">
        <f t="shared" si="171"/>
        <v>-461</v>
      </c>
      <c r="E2389" s="166">
        <f t="shared" ca="1" si="172"/>
        <v>1</v>
      </c>
      <c r="F2389" s="166">
        <f t="shared" ca="1" si="173"/>
        <v>12</v>
      </c>
      <c r="G2389" s="166" t="s">
        <v>4522</v>
      </c>
      <c r="H2389" s="171"/>
      <c r="I2389" s="171"/>
      <c r="J2389" s="171"/>
      <c r="K2389" s="171"/>
      <c r="L2389" s="166"/>
      <c r="M2389" s="166"/>
      <c r="N2389" s="166"/>
      <c r="O2389" s="166"/>
      <c r="P2389" s="166">
        <f t="shared" ca="1" si="174"/>
        <v>19</v>
      </c>
      <c r="Q2389" s="166" t="b">
        <v>0</v>
      </c>
    </row>
    <row r="2390" spans="1:17">
      <c r="A2390" s="166" t="b">
        <v>0</v>
      </c>
      <c r="B2390" s="166" t="s">
        <v>4700</v>
      </c>
      <c r="C2390" s="177">
        <v>4</v>
      </c>
      <c r="D2390" s="166">
        <f t="shared" si="171"/>
        <v>-460</v>
      </c>
      <c r="E2390" s="166">
        <f t="shared" ca="1" si="172"/>
        <v>2</v>
      </c>
      <c r="F2390" s="166">
        <f t="shared" ca="1" si="173"/>
        <v>12</v>
      </c>
      <c r="G2390" s="166" t="s">
        <v>4522</v>
      </c>
      <c r="H2390" s="171"/>
      <c r="I2390" s="171"/>
      <c r="J2390" s="171"/>
      <c r="K2390" s="171"/>
      <c r="L2390" s="166"/>
      <c r="M2390" s="166"/>
      <c r="N2390" s="166"/>
      <c r="O2390" s="166"/>
      <c r="P2390" s="166">
        <f t="shared" ca="1" si="174"/>
        <v>20</v>
      </c>
      <c r="Q2390" s="166" t="b">
        <v>0</v>
      </c>
    </row>
    <row r="2391" spans="1:17">
      <c r="A2391" s="166" t="b">
        <v>0</v>
      </c>
      <c r="B2391" s="166" t="s">
        <v>4701</v>
      </c>
      <c r="C2391" s="177">
        <v>4</v>
      </c>
      <c r="D2391" s="166">
        <f t="shared" si="171"/>
        <v>-459</v>
      </c>
      <c r="E2391" s="166">
        <f t="shared" ca="1" si="172"/>
        <v>3</v>
      </c>
      <c r="F2391" s="166">
        <f t="shared" ca="1" si="173"/>
        <v>12</v>
      </c>
      <c r="G2391" s="166" t="s">
        <v>4522</v>
      </c>
      <c r="H2391" s="171"/>
      <c r="I2391" s="171"/>
      <c r="J2391" s="171"/>
      <c r="K2391" s="171"/>
      <c r="L2391" s="166"/>
      <c r="M2391" s="166"/>
      <c r="N2391" s="166"/>
      <c r="O2391" s="166"/>
      <c r="P2391" s="166">
        <f t="shared" ca="1" si="174"/>
        <v>21</v>
      </c>
      <c r="Q2391" s="166" t="b">
        <v>0</v>
      </c>
    </row>
    <row r="2392" spans="1:17">
      <c r="A2392" s="166" t="b">
        <v>0</v>
      </c>
      <c r="B2392" s="166" t="s">
        <v>4702</v>
      </c>
      <c r="C2392" s="177">
        <v>4</v>
      </c>
      <c r="D2392" s="166">
        <f t="shared" si="171"/>
        <v>-458</v>
      </c>
      <c r="E2392" s="166">
        <f t="shared" ca="1" si="172"/>
        <v>4</v>
      </c>
      <c r="F2392" s="166">
        <f t="shared" ca="1" si="173"/>
        <v>12</v>
      </c>
      <c r="G2392" s="166" t="s">
        <v>4522</v>
      </c>
      <c r="H2392" s="171"/>
      <c r="I2392" s="171"/>
      <c r="J2392" s="171"/>
      <c r="K2392" s="171"/>
      <c r="L2392" s="166"/>
      <c r="M2392" s="166"/>
      <c r="N2392" s="166"/>
      <c r="O2392" s="166"/>
      <c r="P2392" s="166">
        <f t="shared" ca="1" si="174"/>
        <v>22</v>
      </c>
      <c r="Q2392" s="166" t="b">
        <v>0</v>
      </c>
    </row>
    <row r="2393" spans="1:17">
      <c r="A2393" s="166" t="b">
        <v>0</v>
      </c>
      <c r="B2393" s="166" t="s">
        <v>4703</v>
      </c>
      <c r="C2393" s="177">
        <v>4</v>
      </c>
      <c r="D2393" s="166">
        <f t="shared" si="171"/>
        <v>-457</v>
      </c>
      <c r="E2393" s="166">
        <f t="shared" ca="1" si="172"/>
        <v>5</v>
      </c>
      <c r="F2393" s="166">
        <f t="shared" ca="1" si="173"/>
        <v>12</v>
      </c>
      <c r="G2393" s="166" t="s">
        <v>4522</v>
      </c>
      <c r="H2393" s="171"/>
      <c r="I2393" s="171"/>
      <c r="J2393" s="171"/>
      <c r="K2393" s="171"/>
      <c r="L2393" s="166"/>
      <c r="M2393" s="166"/>
      <c r="N2393" s="166"/>
      <c r="O2393" s="166"/>
      <c r="P2393" s="166">
        <f t="shared" ca="1" si="174"/>
        <v>23</v>
      </c>
      <c r="Q2393" s="166" t="b">
        <v>0</v>
      </c>
    </row>
    <row r="2394" spans="1:17">
      <c r="A2394" s="166" t="b">
        <v>0</v>
      </c>
      <c r="B2394" s="166" t="s">
        <v>4704</v>
      </c>
      <c r="C2394" s="177">
        <v>4</v>
      </c>
      <c r="D2394" s="166">
        <f t="shared" si="171"/>
        <v>-456</v>
      </c>
      <c r="E2394" s="166">
        <f t="shared" ca="1" si="172"/>
        <v>6</v>
      </c>
      <c r="F2394" s="166">
        <f t="shared" ca="1" si="173"/>
        <v>12</v>
      </c>
      <c r="G2394" s="166" t="s">
        <v>4522</v>
      </c>
      <c r="H2394" s="171"/>
      <c r="I2394" s="171"/>
      <c r="J2394" s="171"/>
      <c r="K2394" s="171"/>
      <c r="L2394" s="166"/>
      <c r="M2394" s="166"/>
      <c r="N2394" s="166"/>
      <c r="O2394" s="166"/>
      <c r="P2394" s="166">
        <f t="shared" ca="1" si="174"/>
        <v>24</v>
      </c>
      <c r="Q2394" s="166" t="b">
        <v>0</v>
      </c>
    </row>
    <row r="2395" spans="1:17">
      <c r="A2395" s="166" t="b">
        <v>0</v>
      </c>
      <c r="B2395" s="166" t="s">
        <v>4705</v>
      </c>
      <c r="C2395" s="177">
        <v>5</v>
      </c>
      <c r="D2395" s="166">
        <f t="shared" si="171"/>
        <v>-455</v>
      </c>
      <c r="E2395" s="166">
        <f t="shared" ca="1" si="172"/>
        <v>1</v>
      </c>
      <c r="F2395" s="166">
        <f t="shared" ca="1" si="173"/>
        <v>13</v>
      </c>
      <c r="G2395" s="166" t="s">
        <v>4524</v>
      </c>
      <c r="H2395" s="171"/>
      <c r="I2395" s="171"/>
      <c r="J2395" s="171"/>
      <c r="K2395" s="171"/>
      <c r="L2395" s="166"/>
      <c r="M2395" s="166"/>
      <c r="N2395" s="166"/>
      <c r="O2395" s="166"/>
      <c r="P2395" s="166">
        <f t="shared" ca="1" si="174"/>
        <v>25</v>
      </c>
      <c r="Q2395" s="166" t="b">
        <v>0</v>
      </c>
    </row>
    <row r="2396" spans="1:17">
      <c r="A2396" s="166" t="b">
        <v>0</v>
      </c>
      <c r="B2396" s="166" t="s">
        <v>4706</v>
      </c>
      <c r="C2396" s="177">
        <v>5</v>
      </c>
      <c r="D2396" s="166">
        <f t="shared" si="171"/>
        <v>-454</v>
      </c>
      <c r="E2396" s="166">
        <f t="shared" ca="1" si="172"/>
        <v>2</v>
      </c>
      <c r="F2396" s="166">
        <f t="shared" ca="1" si="173"/>
        <v>13</v>
      </c>
      <c r="G2396" s="166" t="s">
        <v>4524</v>
      </c>
      <c r="H2396" s="171"/>
      <c r="I2396" s="171"/>
      <c r="J2396" s="171"/>
      <c r="K2396" s="171"/>
      <c r="L2396" s="166"/>
      <c r="M2396" s="166"/>
      <c r="N2396" s="166"/>
      <c r="O2396" s="166"/>
      <c r="P2396" s="166">
        <f t="shared" ca="1" si="174"/>
        <v>26</v>
      </c>
      <c r="Q2396" s="166" t="b">
        <v>0</v>
      </c>
    </row>
    <row r="2397" spans="1:17">
      <c r="A2397" s="166" t="b">
        <v>0</v>
      </c>
      <c r="B2397" s="166" t="s">
        <v>4707</v>
      </c>
      <c r="C2397" s="177">
        <v>5</v>
      </c>
      <c r="D2397" s="166">
        <f t="shared" si="171"/>
        <v>-453</v>
      </c>
      <c r="E2397" s="166">
        <f t="shared" ca="1" si="172"/>
        <v>3</v>
      </c>
      <c r="F2397" s="166">
        <f t="shared" ca="1" si="173"/>
        <v>13</v>
      </c>
      <c r="G2397" s="166" t="s">
        <v>4524</v>
      </c>
      <c r="H2397" s="171"/>
      <c r="I2397" s="171"/>
      <c r="J2397" s="171"/>
      <c r="K2397" s="171"/>
      <c r="L2397" s="166"/>
      <c r="M2397" s="166"/>
      <c r="N2397" s="166"/>
      <c r="O2397" s="166"/>
      <c r="P2397" s="166">
        <f t="shared" ca="1" si="174"/>
        <v>27</v>
      </c>
      <c r="Q2397" s="166" t="b">
        <v>0</v>
      </c>
    </row>
    <row r="2398" spans="1:17">
      <c r="A2398" s="166" t="b">
        <v>0</v>
      </c>
      <c r="B2398" s="166" t="s">
        <v>4708</v>
      </c>
      <c r="C2398" s="177">
        <v>5</v>
      </c>
      <c r="D2398" s="166">
        <f t="shared" si="171"/>
        <v>-452</v>
      </c>
      <c r="E2398" s="166">
        <f t="shared" ca="1" si="172"/>
        <v>4</v>
      </c>
      <c r="F2398" s="166">
        <f t="shared" ca="1" si="173"/>
        <v>13</v>
      </c>
      <c r="G2398" s="166" t="s">
        <v>4524</v>
      </c>
      <c r="H2398" s="171"/>
      <c r="I2398" s="171"/>
      <c r="J2398" s="171"/>
      <c r="K2398" s="171"/>
      <c r="L2398" s="166"/>
      <c r="M2398" s="166"/>
      <c r="N2398" s="166"/>
      <c r="O2398" s="166"/>
      <c r="P2398" s="166">
        <f t="shared" ca="1" si="174"/>
        <v>28</v>
      </c>
      <c r="Q2398" s="166" t="b">
        <v>0</v>
      </c>
    </row>
    <row r="2399" spans="1:17">
      <c r="A2399" s="166" t="b">
        <v>0</v>
      </c>
      <c r="B2399" s="166" t="s">
        <v>4709</v>
      </c>
      <c r="C2399" s="177">
        <v>5</v>
      </c>
      <c r="D2399" s="166">
        <f t="shared" si="171"/>
        <v>-451</v>
      </c>
      <c r="E2399" s="166">
        <f t="shared" ca="1" si="172"/>
        <v>5</v>
      </c>
      <c r="F2399" s="166">
        <f t="shared" ca="1" si="173"/>
        <v>13</v>
      </c>
      <c r="G2399" s="166" t="s">
        <v>4524</v>
      </c>
      <c r="H2399" s="171"/>
      <c r="I2399" s="171"/>
      <c r="J2399" s="171"/>
      <c r="K2399" s="171"/>
      <c r="L2399" s="166"/>
      <c r="M2399" s="166"/>
      <c r="N2399" s="166"/>
      <c r="O2399" s="166"/>
      <c r="P2399" s="166">
        <f t="shared" ca="1" si="174"/>
        <v>29</v>
      </c>
      <c r="Q2399" s="166" t="b">
        <v>0</v>
      </c>
    </row>
    <row r="2400" spans="1:17">
      <c r="A2400" s="166" t="b">
        <v>0</v>
      </c>
      <c r="B2400" s="166" t="s">
        <v>4710</v>
      </c>
      <c r="C2400" s="177">
        <v>5</v>
      </c>
      <c r="D2400" s="166">
        <f t="shared" si="171"/>
        <v>-450</v>
      </c>
      <c r="E2400" s="166">
        <f t="shared" ca="1" si="172"/>
        <v>6</v>
      </c>
      <c r="F2400" s="166">
        <f t="shared" ca="1" si="173"/>
        <v>13</v>
      </c>
      <c r="G2400" s="166" t="s">
        <v>4524</v>
      </c>
      <c r="H2400" s="171"/>
      <c r="I2400" s="171"/>
      <c r="J2400" s="171"/>
      <c r="K2400" s="171"/>
      <c r="L2400" s="166"/>
      <c r="M2400" s="166"/>
      <c r="N2400" s="166"/>
      <c r="O2400" s="166"/>
      <c r="P2400" s="166">
        <f t="shared" ca="1" si="174"/>
        <v>30</v>
      </c>
      <c r="Q2400" s="166" t="b">
        <v>0</v>
      </c>
    </row>
    <row r="2401" spans="1:17">
      <c r="A2401" s="166" t="b">
        <v>0</v>
      </c>
      <c r="B2401" s="166" t="s">
        <v>4711</v>
      </c>
      <c r="C2401" s="177">
        <v>6</v>
      </c>
      <c r="D2401" s="166">
        <f t="shared" si="171"/>
        <v>-449</v>
      </c>
      <c r="E2401" s="166">
        <f t="shared" ca="1" si="172"/>
        <v>1</v>
      </c>
      <c r="F2401" s="166">
        <f t="shared" ca="1" si="173"/>
        <v>14</v>
      </c>
      <c r="G2401" s="166" t="s">
        <v>4526</v>
      </c>
      <c r="H2401" s="171"/>
      <c r="I2401" s="171"/>
      <c r="J2401" s="171"/>
      <c r="K2401" s="171"/>
      <c r="L2401" s="166"/>
      <c r="M2401" s="166"/>
      <c r="N2401" s="166"/>
      <c r="O2401" s="166"/>
      <c r="P2401" s="166">
        <f t="shared" ca="1" si="174"/>
        <v>31</v>
      </c>
      <c r="Q2401" s="166" t="b">
        <v>0</v>
      </c>
    </row>
    <row r="2402" spans="1:17">
      <c r="A2402" s="166" t="b">
        <v>0</v>
      </c>
      <c r="B2402" s="166" t="s">
        <v>4712</v>
      </c>
      <c r="C2402" s="177">
        <v>6</v>
      </c>
      <c r="D2402" s="166">
        <f t="shared" si="171"/>
        <v>-448</v>
      </c>
      <c r="E2402" s="166">
        <f t="shared" ca="1" si="172"/>
        <v>2</v>
      </c>
      <c r="F2402" s="166">
        <f t="shared" ca="1" si="173"/>
        <v>14</v>
      </c>
      <c r="G2402" s="166" t="s">
        <v>4526</v>
      </c>
      <c r="H2402" s="171"/>
      <c r="I2402" s="171"/>
      <c r="J2402" s="171"/>
      <c r="K2402" s="171"/>
      <c r="L2402" s="166"/>
      <c r="M2402" s="166"/>
      <c r="N2402" s="166"/>
      <c r="O2402" s="166"/>
      <c r="P2402" s="166">
        <f t="shared" ca="1" si="174"/>
        <v>32</v>
      </c>
      <c r="Q2402" s="166" t="b">
        <v>0</v>
      </c>
    </row>
    <row r="2403" spans="1:17">
      <c r="A2403" s="166" t="b">
        <v>0</v>
      </c>
      <c r="B2403" s="166" t="s">
        <v>4713</v>
      </c>
      <c r="C2403" s="177">
        <v>6</v>
      </c>
      <c r="D2403" s="166">
        <f t="shared" si="171"/>
        <v>-447</v>
      </c>
      <c r="E2403" s="166">
        <f t="shared" ca="1" si="172"/>
        <v>3</v>
      </c>
      <c r="F2403" s="166">
        <f t="shared" ca="1" si="173"/>
        <v>14</v>
      </c>
      <c r="G2403" s="166" t="s">
        <v>4526</v>
      </c>
      <c r="H2403" s="171"/>
      <c r="I2403" s="171"/>
      <c r="J2403" s="171"/>
      <c r="K2403" s="171"/>
      <c r="L2403" s="166"/>
      <c r="M2403" s="166"/>
      <c r="N2403" s="166"/>
      <c r="O2403" s="166"/>
      <c r="P2403" s="166">
        <f t="shared" ca="1" si="174"/>
        <v>33</v>
      </c>
      <c r="Q2403" s="166" t="b">
        <v>0</v>
      </c>
    </row>
    <row r="2404" spans="1:17">
      <c r="A2404" s="166" t="b">
        <v>0</v>
      </c>
      <c r="B2404" s="166" t="s">
        <v>4714</v>
      </c>
      <c r="C2404" s="177">
        <v>6</v>
      </c>
      <c r="D2404" s="166">
        <f t="shared" si="171"/>
        <v>-446</v>
      </c>
      <c r="E2404" s="166">
        <f t="shared" ca="1" si="172"/>
        <v>4</v>
      </c>
      <c r="F2404" s="166">
        <f t="shared" ca="1" si="173"/>
        <v>14</v>
      </c>
      <c r="G2404" s="166" t="s">
        <v>4526</v>
      </c>
      <c r="H2404" s="171"/>
      <c r="I2404" s="171"/>
      <c r="J2404" s="171"/>
      <c r="K2404" s="171"/>
      <c r="L2404" s="166"/>
      <c r="M2404" s="166"/>
      <c r="N2404" s="166"/>
      <c r="O2404" s="166"/>
      <c r="P2404" s="166">
        <f t="shared" ca="1" si="174"/>
        <v>34</v>
      </c>
      <c r="Q2404" s="166" t="b">
        <v>0</v>
      </c>
    </row>
    <row r="2405" spans="1:17">
      <c r="A2405" s="166" t="b">
        <v>0</v>
      </c>
      <c r="B2405" s="166" t="s">
        <v>4715</v>
      </c>
      <c r="C2405" s="177">
        <v>6</v>
      </c>
      <c r="D2405" s="166">
        <f t="shared" si="171"/>
        <v>-445</v>
      </c>
      <c r="E2405" s="166">
        <f t="shared" ca="1" si="172"/>
        <v>5</v>
      </c>
      <c r="F2405" s="166">
        <f t="shared" ca="1" si="173"/>
        <v>14</v>
      </c>
      <c r="G2405" s="166" t="s">
        <v>4526</v>
      </c>
      <c r="H2405" s="171"/>
      <c r="I2405" s="171"/>
      <c r="J2405" s="171"/>
      <c r="K2405" s="171"/>
      <c r="L2405" s="166"/>
      <c r="M2405" s="166"/>
      <c r="N2405" s="166"/>
      <c r="O2405" s="166"/>
      <c r="P2405" s="166">
        <f t="shared" ca="1" si="174"/>
        <v>35</v>
      </c>
      <c r="Q2405" s="166" t="b">
        <v>0</v>
      </c>
    </row>
    <row r="2406" spans="1:17">
      <c r="A2406" s="166" t="b">
        <v>0</v>
      </c>
      <c r="B2406" s="166" t="s">
        <v>4716</v>
      </c>
      <c r="C2406" s="177">
        <v>6</v>
      </c>
      <c r="D2406" s="166">
        <f t="shared" si="171"/>
        <v>-444</v>
      </c>
      <c r="E2406" s="166">
        <f t="shared" ca="1" si="172"/>
        <v>6</v>
      </c>
      <c r="F2406" s="166">
        <f t="shared" ca="1" si="173"/>
        <v>14</v>
      </c>
      <c r="G2406" s="166" t="s">
        <v>4526</v>
      </c>
      <c r="H2406" s="171"/>
      <c r="I2406" s="171"/>
      <c r="J2406" s="171"/>
      <c r="K2406" s="171"/>
      <c r="L2406" s="166"/>
      <c r="M2406" s="166"/>
      <c r="N2406" s="166"/>
      <c r="O2406" s="166"/>
      <c r="P2406" s="166">
        <f t="shared" ca="1" si="174"/>
        <v>36</v>
      </c>
      <c r="Q2406" s="166" t="b">
        <v>0</v>
      </c>
    </row>
    <row r="2407" spans="1:17">
      <c r="A2407" s="166" t="b">
        <v>0</v>
      </c>
      <c r="B2407" s="166" t="s">
        <v>4717</v>
      </c>
      <c r="C2407" s="177">
        <v>7</v>
      </c>
      <c r="D2407" s="166">
        <f t="shared" si="171"/>
        <v>-443</v>
      </c>
      <c r="E2407" s="166">
        <f t="shared" ca="1" si="172"/>
        <v>1</v>
      </c>
      <c r="F2407" s="166">
        <f t="shared" ca="1" si="173"/>
        <v>15</v>
      </c>
      <c r="G2407" s="166" t="s">
        <v>4528</v>
      </c>
      <c r="H2407" s="171"/>
      <c r="I2407" s="171"/>
      <c r="J2407" s="171"/>
      <c r="K2407" s="171"/>
      <c r="L2407" s="166"/>
      <c r="M2407" s="166"/>
      <c r="N2407" s="166"/>
      <c r="O2407" s="166"/>
      <c r="P2407" s="166">
        <f t="shared" ca="1" si="174"/>
        <v>37</v>
      </c>
      <c r="Q2407" s="166" t="b">
        <v>0</v>
      </c>
    </row>
    <row r="2408" spans="1:17">
      <c r="A2408" s="166" t="b">
        <v>0</v>
      </c>
      <c r="B2408" s="166" t="s">
        <v>4718</v>
      </c>
      <c r="C2408" s="177">
        <v>7</v>
      </c>
      <c r="D2408" s="166">
        <f t="shared" si="171"/>
        <v>-442</v>
      </c>
      <c r="E2408" s="166">
        <f t="shared" ca="1" si="172"/>
        <v>2</v>
      </c>
      <c r="F2408" s="166">
        <f t="shared" ca="1" si="173"/>
        <v>15</v>
      </c>
      <c r="G2408" s="166" t="s">
        <v>4528</v>
      </c>
      <c r="H2408" s="171"/>
      <c r="I2408" s="171"/>
      <c r="J2408" s="171"/>
      <c r="K2408" s="171"/>
      <c r="L2408" s="166"/>
      <c r="M2408" s="166"/>
      <c r="N2408" s="166"/>
      <c r="O2408" s="166"/>
      <c r="P2408" s="166">
        <f t="shared" ca="1" si="174"/>
        <v>38</v>
      </c>
      <c r="Q2408" s="166" t="b">
        <v>0</v>
      </c>
    </row>
    <row r="2409" spans="1:17">
      <c r="A2409" s="166" t="b">
        <v>0</v>
      </c>
      <c r="B2409" s="166" t="s">
        <v>4719</v>
      </c>
      <c r="C2409" s="177">
        <v>7</v>
      </c>
      <c r="D2409" s="166">
        <f t="shared" si="171"/>
        <v>-441</v>
      </c>
      <c r="E2409" s="166">
        <f t="shared" ca="1" si="172"/>
        <v>3</v>
      </c>
      <c r="F2409" s="166">
        <f t="shared" ca="1" si="173"/>
        <v>15</v>
      </c>
      <c r="G2409" s="166" t="s">
        <v>4528</v>
      </c>
      <c r="H2409" s="171"/>
      <c r="I2409" s="171"/>
      <c r="J2409" s="171"/>
      <c r="K2409" s="171"/>
      <c r="L2409" s="166"/>
      <c r="M2409" s="166"/>
      <c r="N2409" s="166"/>
      <c r="O2409" s="166"/>
      <c r="P2409" s="166">
        <f t="shared" ca="1" si="174"/>
        <v>39</v>
      </c>
      <c r="Q2409" s="166" t="b">
        <v>0</v>
      </c>
    </row>
    <row r="2410" spans="1:17">
      <c r="A2410" s="166" t="b">
        <v>0</v>
      </c>
      <c r="B2410" s="166" t="s">
        <v>4720</v>
      </c>
      <c r="C2410" s="177">
        <v>7</v>
      </c>
      <c r="D2410" s="166">
        <f t="shared" si="171"/>
        <v>-440</v>
      </c>
      <c r="E2410" s="166">
        <f t="shared" ca="1" si="172"/>
        <v>4</v>
      </c>
      <c r="F2410" s="166">
        <f t="shared" ca="1" si="173"/>
        <v>15</v>
      </c>
      <c r="G2410" s="166" t="s">
        <v>4528</v>
      </c>
      <c r="H2410" s="171"/>
      <c r="I2410" s="171"/>
      <c r="J2410" s="171"/>
      <c r="K2410" s="171"/>
      <c r="L2410" s="166"/>
      <c r="M2410" s="166"/>
      <c r="N2410" s="166"/>
      <c r="O2410" s="166"/>
      <c r="P2410" s="166">
        <f t="shared" ca="1" si="174"/>
        <v>40</v>
      </c>
      <c r="Q2410" s="166" t="b">
        <v>0</v>
      </c>
    </row>
    <row r="2411" spans="1:17">
      <c r="A2411" s="166" t="b">
        <v>0</v>
      </c>
      <c r="B2411" s="166" t="s">
        <v>4721</v>
      </c>
      <c r="C2411" s="177">
        <v>7</v>
      </c>
      <c r="D2411" s="166">
        <f t="shared" si="171"/>
        <v>-439</v>
      </c>
      <c r="E2411" s="166">
        <f t="shared" ca="1" si="172"/>
        <v>5</v>
      </c>
      <c r="F2411" s="166">
        <f t="shared" ca="1" si="173"/>
        <v>15</v>
      </c>
      <c r="G2411" s="166" t="s">
        <v>4528</v>
      </c>
      <c r="H2411" s="171"/>
      <c r="I2411" s="171"/>
      <c r="J2411" s="171"/>
      <c r="K2411" s="171"/>
      <c r="L2411" s="166"/>
      <c r="M2411" s="166"/>
      <c r="N2411" s="166"/>
      <c r="O2411" s="166"/>
      <c r="P2411" s="166">
        <f t="shared" ca="1" si="174"/>
        <v>41</v>
      </c>
      <c r="Q2411" s="166" t="b">
        <v>0</v>
      </c>
    </row>
    <row r="2412" spans="1:17">
      <c r="A2412" s="166" t="b">
        <v>0</v>
      </c>
      <c r="B2412" s="166" t="s">
        <v>4722</v>
      </c>
      <c r="C2412" s="177">
        <v>7</v>
      </c>
      <c r="D2412" s="166">
        <f t="shared" si="171"/>
        <v>-438</v>
      </c>
      <c r="E2412" s="166">
        <f t="shared" ca="1" si="172"/>
        <v>6</v>
      </c>
      <c r="F2412" s="166">
        <f t="shared" ca="1" si="173"/>
        <v>15</v>
      </c>
      <c r="G2412" s="166" t="s">
        <v>4528</v>
      </c>
      <c r="H2412" s="171"/>
      <c r="I2412" s="171"/>
      <c r="J2412" s="171"/>
      <c r="K2412" s="171"/>
      <c r="L2412" s="166"/>
      <c r="M2412" s="166"/>
      <c r="N2412" s="166"/>
      <c r="O2412" s="166"/>
      <c r="P2412" s="166">
        <f t="shared" ca="1" si="174"/>
        <v>42</v>
      </c>
      <c r="Q2412" s="166" t="b">
        <v>0</v>
      </c>
    </row>
    <row r="2413" spans="1:17">
      <c r="A2413" s="166" t="b">
        <v>0</v>
      </c>
      <c r="B2413" s="166" t="s">
        <v>4723</v>
      </c>
      <c r="C2413" s="177">
        <v>8</v>
      </c>
      <c r="D2413" s="166">
        <f t="shared" si="171"/>
        <v>-437</v>
      </c>
      <c r="E2413" s="166">
        <f t="shared" ca="1" si="172"/>
        <v>1</v>
      </c>
      <c r="F2413" s="166">
        <f t="shared" ca="1" si="173"/>
        <v>16</v>
      </c>
      <c r="G2413" s="166" t="s">
        <v>4530</v>
      </c>
      <c r="H2413" s="171"/>
      <c r="I2413" s="171"/>
      <c r="J2413" s="171"/>
      <c r="K2413" s="171"/>
      <c r="L2413" s="166"/>
      <c r="M2413" s="166"/>
      <c r="N2413" s="166"/>
      <c r="O2413" s="166"/>
      <c r="P2413" s="166">
        <f t="shared" ca="1" si="174"/>
        <v>43</v>
      </c>
      <c r="Q2413" s="166" t="b">
        <v>0</v>
      </c>
    </row>
    <row r="2414" spans="1:17">
      <c r="A2414" s="166" t="b">
        <v>0</v>
      </c>
      <c r="B2414" s="166" t="s">
        <v>4724</v>
      </c>
      <c r="C2414" s="177">
        <v>8</v>
      </c>
      <c r="D2414" s="166">
        <f t="shared" si="171"/>
        <v>-436</v>
      </c>
      <c r="E2414" s="166">
        <f t="shared" ca="1" si="172"/>
        <v>2</v>
      </c>
      <c r="F2414" s="166">
        <f t="shared" ca="1" si="173"/>
        <v>16</v>
      </c>
      <c r="G2414" s="166" t="s">
        <v>4530</v>
      </c>
      <c r="H2414" s="171"/>
      <c r="I2414" s="171"/>
      <c r="J2414" s="171"/>
      <c r="K2414" s="171"/>
      <c r="L2414" s="166"/>
      <c r="M2414" s="166"/>
      <c r="N2414" s="166"/>
      <c r="O2414" s="166"/>
      <c r="P2414" s="166">
        <f t="shared" ca="1" si="174"/>
        <v>44</v>
      </c>
      <c r="Q2414" s="166" t="b">
        <v>0</v>
      </c>
    </row>
    <row r="2415" spans="1:17">
      <c r="A2415" s="166" t="b">
        <v>0</v>
      </c>
      <c r="B2415" s="166" t="s">
        <v>4725</v>
      </c>
      <c r="C2415" s="177">
        <v>8</v>
      </c>
      <c r="D2415" s="166">
        <f t="shared" si="171"/>
        <v>-435</v>
      </c>
      <c r="E2415" s="166">
        <f t="shared" ca="1" si="172"/>
        <v>3</v>
      </c>
      <c r="F2415" s="166">
        <f t="shared" ca="1" si="173"/>
        <v>16</v>
      </c>
      <c r="G2415" s="166" t="s">
        <v>4530</v>
      </c>
      <c r="H2415" s="171"/>
      <c r="I2415" s="171"/>
      <c r="J2415" s="171"/>
      <c r="K2415" s="171"/>
      <c r="L2415" s="166"/>
      <c r="M2415" s="166"/>
      <c r="N2415" s="166"/>
      <c r="O2415" s="166"/>
      <c r="P2415" s="166">
        <f t="shared" ca="1" si="174"/>
        <v>45</v>
      </c>
      <c r="Q2415" s="166" t="b">
        <v>0</v>
      </c>
    </row>
    <row r="2416" spans="1:17">
      <c r="A2416" s="166" t="b">
        <v>0</v>
      </c>
      <c r="B2416" s="166" t="s">
        <v>4726</v>
      </c>
      <c r="C2416" s="177">
        <v>8</v>
      </c>
      <c r="D2416" s="166">
        <f t="shared" si="171"/>
        <v>-434</v>
      </c>
      <c r="E2416" s="166">
        <f t="shared" ca="1" si="172"/>
        <v>4</v>
      </c>
      <c r="F2416" s="166">
        <f t="shared" ca="1" si="173"/>
        <v>16</v>
      </c>
      <c r="G2416" s="166" t="s">
        <v>4530</v>
      </c>
      <c r="H2416" s="171"/>
      <c r="I2416" s="171"/>
      <c r="J2416" s="171"/>
      <c r="K2416" s="171"/>
      <c r="L2416" s="166"/>
      <c r="M2416" s="166"/>
      <c r="N2416" s="166"/>
      <c r="O2416" s="166"/>
      <c r="P2416" s="166">
        <f t="shared" ca="1" si="174"/>
        <v>46</v>
      </c>
      <c r="Q2416" s="166" t="b">
        <v>0</v>
      </c>
    </row>
    <row r="2417" spans="1:17">
      <c r="A2417" s="166" t="b">
        <v>0</v>
      </c>
      <c r="B2417" s="166" t="s">
        <v>4727</v>
      </c>
      <c r="C2417" s="177">
        <v>8</v>
      </c>
      <c r="D2417" s="166">
        <f t="shared" si="171"/>
        <v>-433</v>
      </c>
      <c r="E2417" s="166">
        <f t="shared" ca="1" si="172"/>
        <v>5</v>
      </c>
      <c r="F2417" s="166">
        <f t="shared" ca="1" si="173"/>
        <v>16</v>
      </c>
      <c r="G2417" s="166" t="s">
        <v>4530</v>
      </c>
      <c r="H2417" s="171"/>
      <c r="I2417" s="171"/>
      <c r="J2417" s="171"/>
      <c r="K2417" s="171"/>
      <c r="L2417" s="166"/>
      <c r="M2417" s="166"/>
      <c r="N2417" s="166"/>
      <c r="O2417" s="166"/>
      <c r="P2417" s="166">
        <f t="shared" ca="1" si="174"/>
        <v>47</v>
      </c>
      <c r="Q2417" s="166" t="b">
        <v>0</v>
      </c>
    </row>
    <row r="2418" spans="1:17">
      <c r="A2418" s="166" t="b">
        <v>0</v>
      </c>
      <c r="B2418" s="166" t="s">
        <v>4728</v>
      </c>
      <c r="C2418" s="177">
        <v>8</v>
      </c>
      <c r="D2418" s="166">
        <f t="shared" si="171"/>
        <v>-432</v>
      </c>
      <c r="E2418" s="166">
        <f t="shared" ca="1" si="172"/>
        <v>6</v>
      </c>
      <c r="F2418" s="166">
        <f t="shared" ca="1" si="173"/>
        <v>16</v>
      </c>
      <c r="G2418" s="166" t="s">
        <v>4530</v>
      </c>
      <c r="H2418" s="171"/>
      <c r="I2418" s="171"/>
      <c r="J2418" s="171"/>
      <c r="K2418" s="171"/>
      <c r="L2418" s="166"/>
      <c r="M2418" s="166"/>
      <c r="N2418" s="166"/>
      <c r="O2418" s="166"/>
      <c r="P2418" s="166">
        <f t="shared" ca="1" si="174"/>
        <v>48</v>
      </c>
      <c r="Q2418" s="166" t="b">
        <v>0</v>
      </c>
    </row>
    <row r="2419" spans="1:17">
      <c r="A2419" s="166" t="b">
        <v>0</v>
      </c>
      <c r="B2419" s="166" t="s">
        <v>4729</v>
      </c>
      <c r="C2419" s="177">
        <v>9</v>
      </c>
      <c r="D2419" s="166">
        <f t="shared" si="171"/>
        <v>-431</v>
      </c>
      <c r="E2419" s="166">
        <f t="shared" ca="1" si="172"/>
        <v>1</v>
      </c>
      <c r="F2419" s="166">
        <f t="shared" ca="1" si="173"/>
        <v>17</v>
      </c>
      <c r="G2419" s="166" t="s">
        <v>4532</v>
      </c>
      <c r="H2419" s="171"/>
      <c r="I2419" s="171"/>
      <c r="J2419" s="171"/>
      <c r="K2419" s="171"/>
      <c r="L2419" s="166"/>
      <c r="M2419" s="166"/>
      <c r="N2419" s="166"/>
      <c r="O2419" s="166"/>
      <c r="P2419" s="166">
        <f t="shared" ca="1" si="174"/>
        <v>49</v>
      </c>
      <c r="Q2419" s="166" t="b">
        <v>0</v>
      </c>
    </row>
    <row r="2420" spans="1:17">
      <c r="A2420" s="166" t="b">
        <v>0</v>
      </c>
      <c r="B2420" s="166" t="s">
        <v>4730</v>
      </c>
      <c r="C2420" s="177">
        <v>9</v>
      </c>
      <c r="D2420" s="166">
        <f t="shared" si="171"/>
        <v>-430</v>
      </c>
      <c r="E2420" s="166">
        <f t="shared" ca="1" si="172"/>
        <v>2</v>
      </c>
      <c r="F2420" s="166">
        <f t="shared" ca="1" si="173"/>
        <v>17</v>
      </c>
      <c r="G2420" s="166" t="s">
        <v>4532</v>
      </c>
      <c r="H2420" s="171"/>
      <c r="I2420" s="171"/>
      <c r="J2420" s="171"/>
      <c r="K2420" s="171"/>
      <c r="L2420" s="166"/>
      <c r="M2420" s="166"/>
      <c r="N2420" s="166"/>
      <c r="O2420" s="166"/>
      <c r="P2420" s="166">
        <f t="shared" ca="1" si="174"/>
        <v>50</v>
      </c>
      <c r="Q2420" s="166" t="b">
        <v>0</v>
      </c>
    </row>
    <row r="2421" spans="1:17">
      <c r="A2421" s="166" t="b">
        <v>0</v>
      </c>
      <c r="B2421" s="166" t="s">
        <v>4731</v>
      </c>
      <c r="C2421" s="177">
        <v>9</v>
      </c>
      <c r="D2421" s="166">
        <f t="shared" si="171"/>
        <v>-429</v>
      </c>
      <c r="E2421" s="166">
        <f t="shared" ca="1" si="172"/>
        <v>3</v>
      </c>
      <c r="F2421" s="166">
        <f t="shared" ca="1" si="173"/>
        <v>17</v>
      </c>
      <c r="G2421" s="166" t="s">
        <v>4532</v>
      </c>
      <c r="H2421" s="171"/>
      <c r="I2421" s="171"/>
      <c r="J2421" s="171"/>
      <c r="K2421" s="171"/>
      <c r="L2421" s="166"/>
      <c r="M2421" s="166"/>
      <c r="N2421" s="166"/>
      <c r="O2421" s="166"/>
      <c r="P2421" s="166">
        <f t="shared" ca="1" si="174"/>
        <v>51</v>
      </c>
      <c r="Q2421" s="166" t="b">
        <v>0</v>
      </c>
    </row>
    <row r="2422" spans="1:17">
      <c r="A2422" s="166" t="b">
        <v>0</v>
      </c>
      <c r="B2422" s="166" t="s">
        <v>4732</v>
      </c>
      <c r="C2422" s="177">
        <v>9</v>
      </c>
      <c r="D2422" s="166">
        <f t="shared" si="171"/>
        <v>-428</v>
      </c>
      <c r="E2422" s="166">
        <f t="shared" ca="1" si="172"/>
        <v>4</v>
      </c>
      <c r="F2422" s="166">
        <f t="shared" ca="1" si="173"/>
        <v>17</v>
      </c>
      <c r="G2422" s="166" t="s">
        <v>4532</v>
      </c>
      <c r="H2422" s="171"/>
      <c r="I2422" s="171"/>
      <c r="J2422" s="171"/>
      <c r="K2422" s="171"/>
      <c r="L2422" s="166"/>
      <c r="M2422" s="166"/>
      <c r="N2422" s="166"/>
      <c r="O2422" s="166"/>
      <c r="P2422" s="166">
        <f t="shared" ca="1" si="174"/>
        <v>52</v>
      </c>
      <c r="Q2422" s="166" t="b">
        <v>0</v>
      </c>
    </row>
    <row r="2423" spans="1:17">
      <c r="A2423" s="166" t="b">
        <v>0</v>
      </c>
      <c r="B2423" s="166" t="s">
        <v>4733</v>
      </c>
      <c r="C2423" s="177">
        <v>9</v>
      </c>
      <c r="D2423" s="166">
        <f t="shared" si="171"/>
        <v>-427</v>
      </c>
      <c r="E2423" s="166">
        <f t="shared" ca="1" si="172"/>
        <v>5</v>
      </c>
      <c r="F2423" s="166">
        <f t="shared" ca="1" si="173"/>
        <v>17</v>
      </c>
      <c r="G2423" s="166" t="s">
        <v>4532</v>
      </c>
      <c r="H2423" s="171"/>
      <c r="I2423" s="171"/>
      <c r="J2423" s="171"/>
      <c r="K2423" s="171"/>
      <c r="L2423" s="166"/>
      <c r="M2423" s="166"/>
      <c r="N2423" s="166"/>
      <c r="O2423" s="166"/>
      <c r="P2423" s="166">
        <f t="shared" ca="1" si="174"/>
        <v>53</v>
      </c>
      <c r="Q2423" s="166" t="b">
        <v>0</v>
      </c>
    </row>
    <row r="2424" spans="1:17">
      <c r="A2424" s="166" t="b">
        <v>0</v>
      </c>
      <c r="B2424" s="166" t="s">
        <v>4734</v>
      </c>
      <c r="C2424" s="177">
        <v>9</v>
      </c>
      <c r="D2424" s="166">
        <f t="shared" si="171"/>
        <v>-426</v>
      </c>
      <c r="E2424" s="166">
        <f t="shared" ca="1" si="172"/>
        <v>6</v>
      </c>
      <c r="F2424" s="166">
        <f t="shared" ca="1" si="173"/>
        <v>17</v>
      </c>
      <c r="G2424" s="166" t="s">
        <v>4532</v>
      </c>
      <c r="H2424" s="171"/>
      <c r="I2424" s="171"/>
      <c r="J2424" s="171"/>
      <c r="K2424" s="171"/>
      <c r="L2424" s="166"/>
      <c r="M2424" s="166"/>
      <c r="N2424" s="166"/>
      <c r="O2424" s="166"/>
      <c r="P2424" s="166">
        <f t="shared" ca="1" si="174"/>
        <v>54</v>
      </c>
      <c r="Q2424" s="166" t="b">
        <v>0</v>
      </c>
    </row>
    <row r="2425" spans="1:17">
      <c r="A2425" s="166" t="b">
        <v>0</v>
      </c>
      <c r="B2425" s="166" t="s">
        <v>4735</v>
      </c>
      <c r="C2425" s="177">
        <v>10</v>
      </c>
      <c r="D2425" s="166">
        <f t="shared" si="171"/>
        <v>-425</v>
      </c>
      <c r="E2425" s="166">
        <f t="shared" ca="1" si="172"/>
        <v>1</v>
      </c>
      <c r="F2425" s="166">
        <f t="shared" ca="1" si="173"/>
        <v>18</v>
      </c>
      <c r="G2425" s="166" t="s">
        <v>4534</v>
      </c>
      <c r="H2425" s="171"/>
      <c r="I2425" s="171"/>
      <c r="J2425" s="171"/>
      <c r="K2425" s="171"/>
      <c r="L2425" s="166"/>
      <c r="M2425" s="166"/>
      <c r="N2425" s="166"/>
      <c r="O2425" s="166"/>
      <c r="P2425" s="166">
        <f t="shared" ca="1" si="174"/>
        <v>55</v>
      </c>
      <c r="Q2425" s="166" t="b">
        <v>0</v>
      </c>
    </row>
    <row r="2426" spans="1:17">
      <c r="A2426" s="166" t="b">
        <v>0</v>
      </c>
      <c r="B2426" s="166" t="s">
        <v>4736</v>
      </c>
      <c r="C2426" s="177">
        <v>10</v>
      </c>
      <c r="D2426" s="166">
        <f t="shared" si="171"/>
        <v>-424</v>
      </c>
      <c r="E2426" s="166">
        <f t="shared" ca="1" si="172"/>
        <v>2</v>
      </c>
      <c r="F2426" s="166">
        <f t="shared" ca="1" si="173"/>
        <v>18</v>
      </c>
      <c r="G2426" s="166" t="s">
        <v>4534</v>
      </c>
      <c r="H2426" s="171"/>
      <c r="I2426" s="171"/>
      <c r="J2426" s="171"/>
      <c r="K2426" s="171"/>
      <c r="L2426" s="166"/>
      <c r="M2426" s="166"/>
      <c r="N2426" s="166"/>
      <c r="O2426" s="166"/>
      <c r="P2426" s="166">
        <f t="shared" ca="1" si="174"/>
        <v>56</v>
      </c>
      <c r="Q2426" s="166" t="b">
        <v>0</v>
      </c>
    </row>
    <row r="2427" spans="1:17">
      <c r="A2427" s="166" t="b">
        <v>0</v>
      </c>
      <c r="B2427" s="166" t="s">
        <v>4737</v>
      </c>
      <c r="C2427" s="177">
        <v>10</v>
      </c>
      <c r="D2427" s="166">
        <f t="shared" si="171"/>
        <v>-423</v>
      </c>
      <c r="E2427" s="166">
        <f t="shared" ca="1" si="172"/>
        <v>3</v>
      </c>
      <c r="F2427" s="166">
        <f t="shared" ca="1" si="173"/>
        <v>18</v>
      </c>
      <c r="G2427" s="166" t="s">
        <v>4534</v>
      </c>
      <c r="H2427" s="171"/>
      <c r="I2427" s="171"/>
      <c r="J2427" s="171"/>
      <c r="K2427" s="171"/>
      <c r="L2427" s="166"/>
      <c r="M2427" s="166"/>
      <c r="N2427" s="166"/>
      <c r="O2427" s="166"/>
      <c r="P2427" s="166">
        <f t="shared" ca="1" si="174"/>
        <v>57</v>
      </c>
      <c r="Q2427" s="166" t="b">
        <v>0</v>
      </c>
    </row>
    <row r="2428" spans="1:17">
      <c r="A2428" s="166" t="b">
        <v>0</v>
      </c>
      <c r="B2428" s="166" t="s">
        <v>4738</v>
      </c>
      <c r="C2428" s="177">
        <v>10</v>
      </c>
      <c r="D2428" s="166">
        <f t="shared" si="171"/>
        <v>-422</v>
      </c>
      <c r="E2428" s="166">
        <f t="shared" ca="1" si="172"/>
        <v>4</v>
      </c>
      <c r="F2428" s="166">
        <f t="shared" ca="1" si="173"/>
        <v>18</v>
      </c>
      <c r="G2428" s="166" t="s">
        <v>4534</v>
      </c>
      <c r="H2428" s="171"/>
      <c r="I2428" s="171"/>
      <c r="J2428" s="171"/>
      <c r="K2428" s="171"/>
      <c r="L2428" s="166"/>
      <c r="M2428" s="166"/>
      <c r="N2428" s="166"/>
      <c r="O2428" s="166"/>
      <c r="P2428" s="166">
        <f t="shared" ca="1" si="174"/>
        <v>58</v>
      </c>
      <c r="Q2428" s="166" t="b">
        <v>0</v>
      </c>
    </row>
    <row r="2429" spans="1:17">
      <c r="A2429" s="166" t="b">
        <v>0</v>
      </c>
      <c r="B2429" s="166" t="s">
        <v>4739</v>
      </c>
      <c r="C2429" s="177">
        <v>10</v>
      </c>
      <c r="D2429" s="166">
        <f t="shared" si="171"/>
        <v>-421</v>
      </c>
      <c r="E2429" s="166">
        <f t="shared" ca="1" si="172"/>
        <v>5</v>
      </c>
      <c r="F2429" s="166">
        <f t="shared" ca="1" si="173"/>
        <v>18</v>
      </c>
      <c r="G2429" s="166" t="s">
        <v>4534</v>
      </c>
      <c r="H2429" s="171"/>
      <c r="I2429" s="171"/>
      <c r="J2429" s="171"/>
      <c r="K2429" s="171"/>
      <c r="L2429" s="166"/>
      <c r="M2429" s="166"/>
      <c r="N2429" s="166"/>
      <c r="O2429" s="166"/>
      <c r="P2429" s="166">
        <f t="shared" ca="1" si="174"/>
        <v>59</v>
      </c>
      <c r="Q2429" s="166" t="b">
        <v>0</v>
      </c>
    </row>
    <row r="2430" spans="1:17">
      <c r="A2430" s="166" t="b">
        <v>0</v>
      </c>
      <c r="B2430" s="166" t="s">
        <v>4740</v>
      </c>
      <c r="C2430" s="177">
        <v>10</v>
      </c>
      <c r="D2430" s="166">
        <f t="shared" si="171"/>
        <v>-420</v>
      </c>
      <c r="E2430" s="166">
        <f t="shared" ca="1" si="172"/>
        <v>6</v>
      </c>
      <c r="F2430" s="166">
        <f t="shared" ca="1" si="173"/>
        <v>18</v>
      </c>
      <c r="G2430" s="166" t="s">
        <v>4534</v>
      </c>
      <c r="H2430" s="171"/>
      <c r="I2430" s="171"/>
      <c r="J2430" s="171"/>
      <c r="K2430" s="171"/>
      <c r="L2430" s="166"/>
      <c r="M2430" s="166"/>
      <c r="N2430" s="166"/>
      <c r="O2430" s="166"/>
      <c r="P2430" s="166">
        <f t="shared" ca="1" si="174"/>
        <v>60</v>
      </c>
      <c r="Q2430" s="166" t="b">
        <v>0</v>
      </c>
    </row>
    <row r="2431" spans="1:17">
      <c r="A2431" s="166" t="b">
        <v>0</v>
      </c>
      <c r="B2431" s="166" t="s">
        <v>4741</v>
      </c>
      <c r="C2431" s="177">
        <v>11</v>
      </c>
      <c r="D2431" s="166">
        <f t="shared" si="171"/>
        <v>-419</v>
      </c>
      <c r="E2431" s="166">
        <f t="shared" ca="1" si="172"/>
        <v>1</v>
      </c>
      <c r="F2431" s="166">
        <f t="shared" ca="1" si="173"/>
        <v>19</v>
      </c>
      <c r="G2431" s="166" t="s">
        <v>4536</v>
      </c>
      <c r="H2431" s="171"/>
      <c r="I2431" s="171"/>
      <c r="J2431" s="171"/>
      <c r="K2431" s="171"/>
      <c r="L2431" s="166"/>
      <c r="M2431" s="166"/>
      <c r="N2431" s="166"/>
      <c r="O2431" s="166"/>
      <c r="P2431" s="166">
        <f t="shared" ca="1" si="174"/>
        <v>61</v>
      </c>
      <c r="Q2431" s="166" t="b">
        <v>0</v>
      </c>
    </row>
    <row r="2432" spans="1:17">
      <c r="A2432" s="166" t="b">
        <v>0</v>
      </c>
      <c r="B2432" s="166" t="s">
        <v>4742</v>
      </c>
      <c r="C2432" s="177">
        <v>11</v>
      </c>
      <c r="D2432" s="166">
        <f t="shared" si="171"/>
        <v>-418</v>
      </c>
      <c r="E2432" s="166">
        <f t="shared" ca="1" si="172"/>
        <v>2</v>
      </c>
      <c r="F2432" s="166">
        <f t="shared" ca="1" si="173"/>
        <v>19</v>
      </c>
      <c r="G2432" s="166" t="s">
        <v>4536</v>
      </c>
      <c r="H2432" s="171"/>
      <c r="I2432" s="171"/>
      <c r="J2432" s="171"/>
      <c r="K2432" s="171"/>
      <c r="L2432" s="166"/>
      <c r="M2432" s="166"/>
      <c r="N2432" s="166"/>
      <c r="O2432" s="166"/>
      <c r="P2432" s="166">
        <f t="shared" ca="1" si="174"/>
        <v>62</v>
      </c>
      <c r="Q2432" s="166" t="b">
        <v>0</v>
      </c>
    </row>
    <row r="2433" spans="1:17">
      <c r="A2433" s="166" t="b">
        <v>0</v>
      </c>
      <c r="B2433" s="166" t="s">
        <v>4743</v>
      </c>
      <c r="C2433" s="177">
        <v>11</v>
      </c>
      <c r="D2433" s="166">
        <f t="shared" si="171"/>
        <v>-417</v>
      </c>
      <c r="E2433" s="166">
        <f t="shared" ca="1" si="172"/>
        <v>3</v>
      </c>
      <c r="F2433" s="166">
        <f t="shared" ca="1" si="173"/>
        <v>19</v>
      </c>
      <c r="G2433" s="166" t="s">
        <v>4536</v>
      </c>
      <c r="H2433" s="171"/>
      <c r="I2433" s="171"/>
      <c r="J2433" s="171"/>
      <c r="K2433" s="171"/>
      <c r="L2433" s="166"/>
      <c r="M2433" s="166"/>
      <c r="N2433" s="166"/>
      <c r="O2433" s="166"/>
      <c r="P2433" s="166">
        <f t="shared" ca="1" si="174"/>
        <v>63</v>
      </c>
      <c r="Q2433" s="166" t="b">
        <v>0</v>
      </c>
    </row>
    <row r="2434" spans="1:17">
      <c r="A2434" s="166" t="b">
        <v>0</v>
      </c>
      <c r="B2434" s="166" t="s">
        <v>4744</v>
      </c>
      <c r="C2434" s="177">
        <v>11</v>
      </c>
      <c r="D2434" s="166">
        <f t="shared" si="171"/>
        <v>-416</v>
      </c>
      <c r="E2434" s="166">
        <f t="shared" ca="1" si="172"/>
        <v>4</v>
      </c>
      <c r="F2434" s="166">
        <f t="shared" ca="1" si="173"/>
        <v>19</v>
      </c>
      <c r="G2434" s="166" t="s">
        <v>4536</v>
      </c>
      <c r="H2434" s="171"/>
      <c r="I2434" s="171"/>
      <c r="J2434" s="171"/>
      <c r="K2434" s="171"/>
      <c r="L2434" s="166"/>
      <c r="M2434" s="166"/>
      <c r="N2434" s="166"/>
      <c r="O2434" s="166"/>
      <c r="P2434" s="166">
        <f t="shared" ca="1" si="174"/>
        <v>64</v>
      </c>
      <c r="Q2434" s="166" t="b">
        <v>0</v>
      </c>
    </row>
    <row r="2435" spans="1:17">
      <c r="A2435" s="166" t="b">
        <v>0</v>
      </c>
      <c r="B2435" s="166" t="s">
        <v>4745</v>
      </c>
      <c r="C2435" s="177">
        <v>11</v>
      </c>
      <c r="D2435" s="166">
        <f t="shared" ref="D2435:D2498" si="175">D2434+1</f>
        <v>-415</v>
      </c>
      <c r="E2435" s="166">
        <f t="shared" ref="E2435:E2498" ca="1" si="176">COUNTIF(C2265:C2435,C2435)</f>
        <v>5</v>
      </c>
      <c r="F2435" s="166">
        <f t="shared" ref="F2435:F2498" ca="1" si="177">IF(C2435=1,9,IF(E2434=MAX(E2433:E2435),F2433+1,F2434))</f>
        <v>19</v>
      </c>
      <c r="G2435" s="166" t="s">
        <v>4536</v>
      </c>
      <c r="H2435" s="171"/>
      <c r="I2435" s="171"/>
      <c r="J2435" s="171"/>
      <c r="K2435" s="171"/>
      <c r="L2435" s="166"/>
      <c r="M2435" s="166"/>
      <c r="N2435" s="166"/>
      <c r="O2435" s="166"/>
      <c r="P2435" s="166">
        <f t="shared" ref="P2435:P2498" ca="1" si="178">IF(NOT(_xlfn.ISFORMULA(I2435)),P2434+1,0)</f>
        <v>65</v>
      </c>
      <c r="Q2435" s="166" t="b">
        <v>0</v>
      </c>
    </row>
    <row r="2436" spans="1:17">
      <c r="A2436" s="166" t="b">
        <v>0</v>
      </c>
      <c r="B2436" s="166" t="s">
        <v>4746</v>
      </c>
      <c r="C2436" s="177">
        <v>11</v>
      </c>
      <c r="D2436" s="166">
        <f t="shared" si="175"/>
        <v>-414</v>
      </c>
      <c r="E2436" s="166">
        <f t="shared" ca="1" si="176"/>
        <v>6</v>
      </c>
      <c r="F2436" s="166">
        <f t="shared" ca="1" si="177"/>
        <v>19</v>
      </c>
      <c r="G2436" s="166" t="s">
        <v>4536</v>
      </c>
      <c r="H2436" s="171"/>
      <c r="I2436" s="171"/>
      <c r="J2436" s="171"/>
      <c r="K2436" s="171"/>
      <c r="L2436" s="166"/>
      <c r="M2436" s="166"/>
      <c r="N2436" s="166"/>
      <c r="O2436" s="166"/>
      <c r="P2436" s="166">
        <f t="shared" ca="1" si="178"/>
        <v>66</v>
      </c>
      <c r="Q2436" s="166" t="b">
        <v>0</v>
      </c>
    </row>
    <row r="2437" spans="1:17">
      <c r="A2437" s="166" t="b">
        <v>0</v>
      </c>
      <c r="B2437" s="166" t="s">
        <v>4747</v>
      </c>
      <c r="C2437" s="177">
        <v>12</v>
      </c>
      <c r="D2437" s="166">
        <f t="shared" si="175"/>
        <v>-413</v>
      </c>
      <c r="E2437" s="166">
        <f t="shared" ca="1" si="176"/>
        <v>1</v>
      </c>
      <c r="F2437" s="166">
        <f t="shared" ca="1" si="177"/>
        <v>20</v>
      </c>
      <c r="G2437" s="166" t="s">
        <v>4538</v>
      </c>
      <c r="H2437" s="171"/>
      <c r="I2437" s="171"/>
      <c r="J2437" s="171"/>
      <c r="K2437" s="171"/>
      <c r="L2437" s="166"/>
      <c r="M2437" s="166"/>
      <c r="N2437" s="166"/>
      <c r="O2437" s="166"/>
      <c r="P2437" s="166">
        <f t="shared" ca="1" si="178"/>
        <v>67</v>
      </c>
      <c r="Q2437" s="166" t="b">
        <v>0</v>
      </c>
    </row>
    <row r="2438" spans="1:17">
      <c r="A2438" s="166" t="b">
        <v>0</v>
      </c>
      <c r="B2438" s="166" t="s">
        <v>4748</v>
      </c>
      <c r="C2438" s="177">
        <v>12</v>
      </c>
      <c r="D2438" s="166">
        <f t="shared" si="175"/>
        <v>-412</v>
      </c>
      <c r="E2438" s="166">
        <f t="shared" ca="1" si="176"/>
        <v>2</v>
      </c>
      <c r="F2438" s="166">
        <f t="shared" ca="1" si="177"/>
        <v>20</v>
      </c>
      <c r="G2438" s="166" t="s">
        <v>4538</v>
      </c>
      <c r="H2438" s="171"/>
      <c r="I2438" s="171"/>
      <c r="J2438" s="171"/>
      <c r="K2438" s="171"/>
      <c r="L2438" s="166"/>
      <c r="M2438" s="166"/>
      <c r="N2438" s="166"/>
      <c r="O2438" s="166"/>
      <c r="P2438" s="166">
        <f t="shared" ca="1" si="178"/>
        <v>68</v>
      </c>
      <c r="Q2438" s="166" t="b">
        <v>0</v>
      </c>
    </row>
    <row r="2439" spans="1:17">
      <c r="A2439" s="166" t="b">
        <v>0</v>
      </c>
      <c r="B2439" s="166" t="s">
        <v>4749</v>
      </c>
      <c r="C2439" s="177">
        <v>12</v>
      </c>
      <c r="D2439" s="166">
        <f t="shared" si="175"/>
        <v>-411</v>
      </c>
      <c r="E2439" s="166">
        <f t="shared" ca="1" si="176"/>
        <v>3</v>
      </c>
      <c r="F2439" s="166">
        <f t="shared" ca="1" si="177"/>
        <v>20</v>
      </c>
      <c r="G2439" s="166" t="s">
        <v>4538</v>
      </c>
      <c r="H2439" s="171"/>
      <c r="I2439" s="171"/>
      <c r="J2439" s="171"/>
      <c r="K2439" s="171"/>
      <c r="L2439" s="166"/>
      <c r="M2439" s="166"/>
      <c r="N2439" s="166"/>
      <c r="O2439" s="166"/>
      <c r="P2439" s="166">
        <f t="shared" ca="1" si="178"/>
        <v>69</v>
      </c>
      <c r="Q2439" s="166" t="b">
        <v>0</v>
      </c>
    </row>
    <row r="2440" spans="1:17">
      <c r="A2440" s="166" t="b">
        <v>0</v>
      </c>
      <c r="B2440" s="166" t="s">
        <v>4750</v>
      </c>
      <c r="C2440" s="177">
        <v>12</v>
      </c>
      <c r="D2440" s="166">
        <f t="shared" si="175"/>
        <v>-410</v>
      </c>
      <c r="E2440" s="166">
        <f t="shared" ca="1" si="176"/>
        <v>4</v>
      </c>
      <c r="F2440" s="166">
        <f t="shared" ca="1" si="177"/>
        <v>20</v>
      </c>
      <c r="G2440" s="166" t="s">
        <v>4538</v>
      </c>
      <c r="H2440" s="171"/>
      <c r="I2440" s="171"/>
      <c r="J2440" s="171"/>
      <c r="K2440" s="171"/>
      <c r="L2440" s="166"/>
      <c r="M2440" s="166"/>
      <c r="N2440" s="166"/>
      <c r="O2440" s="166"/>
      <c r="P2440" s="166">
        <f t="shared" ca="1" si="178"/>
        <v>70</v>
      </c>
      <c r="Q2440" s="166" t="b">
        <v>0</v>
      </c>
    </row>
    <row r="2441" spans="1:17">
      <c r="A2441" s="166" t="b">
        <v>0</v>
      </c>
      <c r="B2441" s="166" t="s">
        <v>4751</v>
      </c>
      <c r="C2441" s="177">
        <v>12</v>
      </c>
      <c r="D2441" s="166">
        <f t="shared" si="175"/>
        <v>-409</v>
      </c>
      <c r="E2441" s="166">
        <f t="shared" ca="1" si="176"/>
        <v>5</v>
      </c>
      <c r="F2441" s="166">
        <f t="shared" ca="1" si="177"/>
        <v>20</v>
      </c>
      <c r="G2441" s="166" t="s">
        <v>4538</v>
      </c>
      <c r="H2441" s="171"/>
      <c r="I2441" s="171"/>
      <c r="J2441" s="171"/>
      <c r="K2441" s="171"/>
      <c r="L2441" s="166"/>
      <c r="M2441" s="166"/>
      <c r="N2441" s="166"/>
      <c r="O2441" s="166"/>
      <c r="P2441" s="166">
        <f t="shared" ca="1" si="178"/>
        <v>71</v>
      </c>
      <c r="Q2441" s="166" t="b">
        <v>0</v>
      </c>
    </row>
    <row r="2442" spans="1:17">
      <c r="A2442" s="166" t="b">
        <v>0</v>
      </c>
      <c r="B2442" s="166" t="s">
        <v>4752</v>
      </c>
      <c r="C2442" s="177">
        <v>12</v>
      </c>
      <c r="D2442" s="166">
        <f t="shared" si="175"/>
        <v>-408</v>
      </c>
      <c r="E2442" s="166">
        <f t="shared" ca="1" si="176"/>
        <v>6</v>
      </c>
      <c r="F2442" s="166">
        <f t="shared" ca="1" si="177"/>
        <v>20</v>
      </c>
      <c r="G2442" s="166" t="s">
        <v>4538</v>
      </c>
      <c r="H2442" s="171"/>
      <c r="I2442" s="171"/>
      <c r="J2442" s="171"/>
      <c r="K2442" s="171"/>
      <c r="L2442" s="166"/>
      <c r="M2442" s="166"/>
      <c r="N2442" s="166"/>
      <c r="O2442" s="166"/>
      <c r="P2442" s="166">
        <f t="shared" ca="1" si="178"/>
        <v>72</v>
      </c>
      <c r="Q2442" s="166" t="b">
        <v>0</v>
      </c>
    </row>
    <row r="2443" spans="1:17">
      <c r="A2443" s="166" t="b">
        <v>0</v>
      </c>
      <c r="B2443" s="166" t="s">
        <v>4753</v>
      </c>
      <c r="C2443" s="177">
        <v>13</v>
      </c>
      <c r="D2443" s="166">
        <f t="shared" si="175"/>
        <v>-407</v>
      </c>
      <c r="E2443" s="166">
        <f t="shared" ca="1" si="176"/>
        <v>1</v>
      </c>
      <c r="F2443" s="166">
        <f t="shared" ca="1" si="177"/>
        <v>21</v>
      </c>
      <c r="G2443" s="166" t="s">
        <v>4540</v>
      </c>
      <c r="H2443" s="171"/>
      <c r="I2443" s="171"/>
      <c r="J2443" s="171"/>
      <c r="K2443" s="171"/>
      <c r="L2443" s="166"/>
      <c r="M2443" s="166"/>
      <c r="N2443" s="166"/>
      <c r="O2443" s="166"/>
      <c r="P2443" s="166">
        <f t="shared" ca="1" si="178"/>
        <v>73</v>
      </c>
      <c r="Q2443" s="166" t="b">
        <v>0</v>
      </c>
    </row>
    <row r="2444" spans="1:17">
      <c r="A2444" s="166" t="b">
        <v>0</v>
      </c>
      <c r="B2444" s="166" t="s">
        <v>4754</v>
      </c>
      <c r="C2444" s="177">
        <v>13</v>
      </c>
      <c r="D2444" s="166">
        <f t="shared" si="175"/>
        <v>-406</v>
      </c>
      <c r="E2444" s="166">
        <f t="shared" ca="1" si="176"/>
        <v>2</v>
      </c>
      <c r="F2444" s="166">
        <f t="shared" ca="1" si="177"/>
        <v>21</v>
      </c>
      <c r="G2444" s="166" t="s">
        <v>4540</v>
      </c>
      <c r="H2444" s="171"/>
      <c r="I2444" s="171"/>
      <c r="J2444" s="171"/>
      <c r="K2444" s="171"/>
      <c r="L2444" s="166"/>
      <c r="M2444" s="166"/>
      <c r="N2444" s="166"/>
      <c r="O2444" s="166"/>
      <c r="P2444" s="166">
        <f t="shared" ca="1" si="178"/>
        <v>74</v>
      </c>
      <c r="Q2444" s="166" t="b">
        <v>0</v>
      </c>
    </row>
    <row r="2445" spans="1:17">
      <c r="A2445" s="166" t="b">
        <v>0</v>
      </c>
      <c r="B2445" s="166" t="s">
        <v>4755</v>
      </c>
      <c r="C2445" s="177">
        <v>13</v>
      </c>
      <c r="D2445" s="166">
        <f t="shared" si="175"/>
        <v>-405</v>
      </c>
      <c r="E2445" s="166">
        <f t="shared" ca="1" si="176"/>
        <v>3</v>
      </c>
      <c r="F2445" s="166">
        <f t="shared" ca="1" si="177"/>
        <v>21</v>
      </c>
      <c r="G2445" s="166" t="s">
        <v>4540</v>
      </c>
      <c r="H2445" s="171"/>
      <c r="I2445" s="171"/>
      <c r="J2445" s="171"/>
      <c r="K2445" s="171"/>
      <c r="L2445" s="166"/>
      <c r="M2445" s="166"/>
      <c r="N2445" s="166"/>
      <c r="O2445" s="166"/>
      <c r="P2445" s="166">
        <f t="shared" ca="1" si="178"/>
        <v>75</v>
      </c>
      <c r="Q2445" s="166" t="b">
        <v>0</v>
      </c>
    </row>
    <row r="2446" spans="1:17">
      <c r="A2446" s="166" t="b">
        <v>0</v>
      </c>
      <c r="B2446" s="166" t="s">
        <v>4756</v>
      </c>
      <c r="C2446" s="177">
        <v>13</v>
      </c>
      <c r="D2446" s="166">
        <f t="shared" si="175"/>
        <v>-404</v>
      </c>
      <c r="E2446" s="166">
        <f t="shared" ca="1" si="176"/>
        <v>4</v>
      </c>
      <c r="F2446" s="166">
        <f t="shared" ca="1" si="177"/>
        <v>21</v>
      </c>
      <c r="G2446" s="166" t="s">
        <v>4540</v>
      </c>
      <c r="H2446" s="171"/>
      <c r="I2446" s="171"/>
      <c r="J2446" s="171"/>
      <c r="K2446" s="171"/>
      <c r="L2446" s="166"/>
      <c r="M2446" s="166"/>
      <c r="N2446" s="166"/>
      <c r="O2446" s="166"/>
      <c r="P2446" s="166">
        <f t="shared" ca="1" si="178"/>
        <v>76</v>
      </c>
      <c r="Q2446" s="166" t="b">
        <v>0</v>
      </c>
    </row>
    <row r="2447" spans="1:17">
      <c r="A2447" s="166" t="b">
        <v>0</v>
      </c>
      <c r="B2447" s="166" t="s">
        <v>4757</v>
      </c>
      <c r="C2447" s="177">
        <v>13</v>
      </c>
      <c r="D2447" s="166">
        <f t="shared" si="175"/>
        <v>-403</v>
      </c>
      <c r="E2447" s="166">
        <f t="shared" ca="1" si="176"/>
        <v>5</v>
      </c>
      <c r="F2447" s="166">
        <f t="shared" ca="1" si="177"/>
        <v>21</v>
      </c>
      <c r="G2447" s="166" t="s">
        <v>4540</v>
      </c>
      <c r="H2447" s="171"/>
      <c r="I2447" s="171"/>
      <c r="J2447" s="171"/>
      <c r="K2447" s="171"/>
      <c r="L2447" s="166"/>
      <c r="M2447" s="166"/>
      <c r="N2447" s="166"/>
      <c r="O2447" s="166"/>
      <c r="P2447" s="166">
        <f t="shared" ca="1" si="178"/>
        <v>77</v>
      </c>
      <c r="Q2447" s="166" t="b">
        <v>0</v>
      </c>
    </row>
    <row r="2448" spans="1:17">
      <c r="A2448" s="166" t="b">
        <v>0</v>
      </c>
      <c r="B2448" s="166" t="s">
        <v>4758</v>
      </c>
      <c r="C2448" s="177">
        <v>13</v>
      </c>
      <c r="D2448" s="166">
        <f t="shared" si="175"/>
        <v>-402</v>
      </c>
      <c r="E2448" s="166">
        <f t="shared" ca="1" si="176"/>
        <v>6</v>
      </c>
      <c r="F2448" s="166">
        <f t="shared" ca="1" si="177"/>
        <v>21</v>
      </c>
      <c r="G2448" s="166" t="s">
        <v>4540</v>
      </c>
      <c r="H2448" s="171"/>
      <c r="I2448" s="171"/>
      <c r="J2448" s="171"/>
      <c r="K2448" s="171"/>
      <c r="L2448" s="166"/>
      <c r="M2448" s="166"/>
      <c r="N2448" s="166"/>
      <c r="O2448" s="166"/>
      <c r="P2448" s="166">
        <f t="shared" ca="1" si="178"/>
        <v>78</v>
      </c>
      <c r="Q2448" s="166" t="b">
        <v>0</v>
      </c>
    </row>
    <row r="2449" spans="1:17">
      <c r="A2449" s="166" t="b">
        <v>0</v>
      </c>
      <c r="B2449" s="166" t="s">
        <v>4759</v>
      </c>
      <c r="C2449" s="177">
        <v>14</v>
      </c>
      <c r="D2449" s="166">
        <f t="shared" si="175"/>
        <v>-401</v>
      </c>
      <c r="E2449" s="166">
        <f t="shared" ca="1" si="176"/>
        <v>1</v>
      </c>
      <c r="F2449" s="166">
        <f t="shared" ca="1" si="177"/>
        <v>22</v>
      </c>
      <c r="G2449" s="166" t="s">
        <v>4542</v>
      </c>
      <c r="H2449" s="171"/>
      <c r="I2449" s="171"/>
      <c r="J2449" s="171"/>
      <c r="K2449" s="171"/>
      <c r="L2449" s="166"/>
      <c r="M2449" s="166"/>
      <c r="N2449" s="166"/>
      <c r="O2449" s="166"/>
      <c r="P2449" s="166">
        <f t="shared" ca="1" si="178"/>
        <v>79</v>
      </c>
      <c r="Q2449" s="166" t="b">
        <v>0</v>
      </c>
    </row>
    <row r="2450" spans="1:17">
      <c r="A2450" s="166" t="b">
        <v>0</v>
      </c>
      <c r="B2450" s="166" t="s">
        <v>4760</v>
      </c>
      <c r="C2450" s="177">
        <v>14</v>
      </c>
      <c r="D2450" s="166">
        <f t="shared" si="175"/>
        <v>-400</v>
      </c>
      <c r="E2450" s="166">
        <f t="shared" ca="1" si="176"/>
        <v>2</v>
      </c>
      <c r="F2450" s="166">
        <f t="shared" ca="1" si="177"/>
        <v>22</v>
      </c>
      <c r="G2450" s="166" t="s">
        <v>4542</v>
      </c>
      <c r="H2450" s="171"/>
      <c r="I2450" s="171"/>
      <c r="J2450" s="171"/>
      <c r="K2450" s="171"/>
      <c r="L2450" s="166"/>
      <c r="M2450" s="166"/>
      <c r="N2450" s="166"/>
      <c r="O2450" s="166"/>
      <c r="P2450" s="166">
        <f t="shared" ca="1" si="178"/>
        <v>80</v>
      </c>
      <c r="Q2450" s="166" t="b">
        <v>0</v>
      </c>
    </row>
    <row r="2451" spans="1:17">
      <c r="A2451" s="166" t="b">
        <v>0</v>
      </c>
      <c r="B2451" s="166" t="s">
        <v>4761</v>
      </c>
      <c r="C2451" s="177">
        <v>14</v>
      </c>
      <c r="D2451" s="166">
        <f t="shared" si="175"/>
        <v>-399</v>
      </c>
      <c r="E2451" s="166">
        <f t="shared" ca="1" si="176"/>
        <v>3</v>
      </c>
      <c r="F2451" s="166">
        <f t="shared" ca="1" si="177"/>
        <v>22</v>
      </c>
      <c r="G2451" s="166" t="s">
        <v>4542</v>
      </c>
      <c r="H2451" s="171"/>
      <c r="I2451" s="171"/>
      <c r="J2451" s="171"/>
      <c r="K2451" s="171"/>
      <c r="L2451" s="166"/>
      <c r="M2451" s="166"/>
      <c r="N2451" s="166"/>
      <c r="O2451" s="166"/>
      <c r="P2451" s="166">
        <f t="shared" ca="1" si="178"/>
        <v>81</v>
      </c>
      <c r="Q2451" s="166" t="b">
        <v>0</v>
      </c>
    </row>
    <row r="2452" spans="1:17">
      <c r="A2452" s="166" t="b">
        <v>0</v>
      </c>
      <c r="B2452" s="166" t="s">
        <v>4762</v>
      </c>
      <c r="C2452" s="177">
        <v>14</v>
      </c>
      <c r="D2452" s="166">
        <f t="shared" si="175"/>
        <v>-398</v>
      </c>
      <c r="E2452" s="166">
        <f t="shared" ca="1" si="176"/>
        <v>4</v>
      </c>
      <c r="F2452" s="166">
        <f t="shared" ca="1" si="177"/>
        <v>22</v>
      </c>
      <c r="G2452" s="166" t="s">
        <v>4542</v>
      </c>
      <c r="H2452" s="171"/>
      <c r="I2452" s="171"/>
      <c r="J2452" s="171"/>
      <c r="K2452" s="171"/>
      <c r="L2452" s="166"/>
      <c r="M2452" s="166"/>
      <c r="N2452" s="166"/>
      <c r="O2452" s="166"/>
      <c r="P2452" s="166">
        <f t="shared" ca="1" si="178"/>
        <v>82</v>
      </c>
      <c r="Q2452" s="166" t="b">
        <v>0</v>
      </c>
    </row>
    <row r="2453" spans="1:17">
      <c r="A2453" s="166" t="b">
        <v>0</v>
      </c>
      <c r="B2453" s="166" t="s">
        <v>4763</v>
      </c>
      <c r="C2453" s="177">
        <v>14</v>
      </c>
      <c r="D2453" s="166">
        <f t="shared" si="175"/>
        <v>-397</v>
      </c>
      <c r="E2453" s="166">
        <f t="shared" ca="1" si="176"/>
        <v>5</v>
      </c>
      <c r="F2453" s="166">
        <f t="shared" ca="1" si="177"/>
        <v>22</v>
      </c>
      <c r="G2453" s="166" t="s">
        <v>4542</v>
      </c>
      <c r="H2453" s="171"/>
      <c r="I2453" s="171"/>
      <c r="J2453" s="171"/>
      <c r="K2453" s="171"/>
      <c r="L2453" s="166"/>
      <c r="M2453" s="166"/>
      <c r="N2453" s="166"/>
      <c r="O2453" s="166"/>
      <c r="P2453" s="166">
        <f t="shared" ca="1" si="178"/>
        <v>83</v>
      </c>
      <c r="Q2453" s="166" t="b">
        <v>0</v>
      </c>
    </row>
    <row r="2454" spans="1:17">
      <c r="A2454" s="166" t="b">
        <v>0</v>
      </c>
      <c r="B2454" s="166" t="s">
        <v>4764</v>
      </c>
      <c r="C2454" s="177">
        <v>14</v>
      </c>
      <c r="D2454" s="166">
        <f t="shared" si="175"/>
        <v>-396</v>
      </c>
      <c r="E2454" s="166">
        <f t="shared" ca="1" si="176"/>
        <v>6</v>
      </c>
      <c r="F2454" s="166">
        <f t="shared" ca="1" si="177"/>
        <v>22</v>
      </c>
      <c r="G2454" s="166" t="s">
        <v>4542</v>
      </c>
      <c r="H2454" s="171"/>
      <c r="I2454" s="171"/>
      <c r="J2454" s="171"/>
      <c r="K2454" s="171"/>
      <c r="L2454" s="166"/>
      <c r="M2454" s="166"/>
      <c r="N2454" s="166"/>
      <c r="O2454" s="166"/>
      <c r="P2454" s="166">
        <f t="shared" ca="1" si="178"/>
        <v>84</v>
      </c>
      <c r="Q2454" s="166" t="b">
        <v>0</v>
      </c>
    </row>
    <row r="2455" spans="1:17">
      <c r="A2455" s="166" t="b">
        <v>0</v>
      </c>
      <c r="B2455" s="166" t="s">
        <v>4765</v>
      </c>
      <c r="C2455" s="177">
        <v>15</v>
      </c>
      <c r="D2455" s="166">
        <f t="shared" si="175"/>
        <v>-395</v>
      </c>
      <c r="E2455" s="166">
        <f t="shared" ca="1" si="176"/>
        <v>1</v>
      </c>
      <c r="F2455" s="166">
        <f t="shared" ca="1" si="177"/>
        <v>23</v>
      </c>
      <c r="G2455" s="166" t="s">
        <v>4544</v>
      </c>
      <c r="H2455" s="171"/>
      <c r="I2455" s="171"/>
      <c r="J2455" s="171"/>
      <c r="K2455" s="171"/>
      <c r="L2455" s="166"/>
      <c r="M2455" s="166"/>
      <c r="N2455" s="166"/>
      <c r="O2455" s="166"/>
      <c r="P2455" s="166">
        <f t="shared" ca="1" si="178"/>
        <v>85</v>
      </c>
      <c r="Q2455" s="166" t="b">
        <v>0</v>
      </c>
    </row>
    <row r="2456" spans="1:17">
      <c r="A2456" s="166" t="b">
        <v>0</v>
      </c>
      <c r="B2456" s="166" t="s">
        <v>4766</v>
      </c>
      <c r="C2456" s="177">
        <v>15</v>
      </c>
      <c r="D2456" s="166">
        <f t="shared" si="175"/>
        <v>-394</v>
      </c>
      <c r="E2456" s="166">
        <f t="shared" ca="1" si="176"/>
        <v>2</v>
      </c>
      <c r="F2456" s="166">
        <f t="shared" ca="1" si="177"/>
        <v>23</v>
      </c>
      <c r="G2456" s="166" t="s">
        <v>4544</v>
      </c>
      <c r="H2456" s="171"/>
      <c r="I2456" s="171"/>
      <c r="J2456" s="171"/>
      <c r="K2456" s="171"/>
      <c r="L2456" s="166"/>
      <c r="M2456" s="166"/>
      <c r="N2456" s="166"/>
      <c r="O2456" s="166"/>
      <c r="P2456" s="166">
        <f t="shared" ca="1" si="178"/>
        <v>86</v>
      </c>
      <c r="Q2456" s="166" t="b">
        <v>0</v>
      </c>
    </row>
    <row r="2457" spans="1:17">
      <c r="A2457" s="166" t="b">
        <v>0</v>
      </c>
      <c r="B2457" s="166" t="s">
        <v>4767</v>
      </c>
      <c r="C2457" s="177">
        <v>15</v>
      </c>
      <c r="D2457" s="166">
        <f t="shared" si="175"/>
        <v>-393</v>
      </c>
      <c r="E2457" s="166">
        <f t="shared" ca="1" si="176"/>
        <v>3</v>
      </c>
      <c r="F2457" s="166">
        <f t="shared" ca="1" si="177"/>
        <v>23</v>
      </c>
      <c r="G2457" s="166" t="s">
        <v>4544</v>
      </c>
      <c r="H2457" s="171"/>
      <c r="I2457" s="171"/>
      <c r="J2457" s="171"/>
      <c r="K2457" s="171"/>
      <c r="L2457" s="166"/>
      <c r="M2457" s="166"/>
      <c r="N2457" s="166"/>
      <c r="O2457" s="166"/>
      <c r="P2457" s="166">
        <f t="shared" ca="1" si="178"/>
        <v>87</v>
      </c>
      <c r="Q2457" s="166" t="b">
        <v>0</v>
      </c>
    </row>
    <row r="2458" spans="1:17">
      <c r="A2458" s="166" t="b">
        <v>0</v>
      </c>
      <c r="B2458" s="166" t="s">
        <v>4768</v>
      </c>
      <c r="C2458" s="177">
        <v>15</v>
      </c>
      <c r="D2458" s="166">
        <f t="shared" si="175"/>
        <v>-392</v>
      </c>
      <c r="E2458" s="166">
        <f t="shared" ca="1" si="176"/>
        <v>4</v>
      </c>
      <c r="F2458" s="166">
        <f t="shared" ca="1" si="177"/>
        <v>23</v>
      </c>
      <c r="G2458" s="166" t="s">
        <v>4544</v>
      </c>
      <c r="H2458" s="171"/>
      <c r="I2458" s="171"/>
      <c r="J2458" s="171"/>
      <c r="K2458" s="171"/>
      <c r="L2458" s="166"/>
      <c r="M2458" s="166"/>
      <c r="N2458" s="166"/>
      <c r="O2458" s="166"/>
      <c r="P2458" s="166">
        <f t="shared" ca="1" si="178"/>
        <v>88</v>
      </c>
      <c r="Q2458" s="166" t="b">
        <v>0</v>
      </c>
    </row>
    <row r="2459" spans="1:17">
      <c r="A2459" s="166" t="b">
        <v>0</v>
      </c>
      <c r="B2459" s="166" t="s">
        <v>4769</v>
      </c>
      <c r="C2459" s="177">
        <v>15</v>
      </c>
      <c r="D2459" s="166">
        <f t="shared" si="175"/>
        <v>-391</v>
      </c>
      <c r="E2459" s="166">
        <f t="shared" ca="1" si="176"/>
        <v>5</v>
      </c>
      <c r="F2459" s="166">
        <f t="shared" ca="1" si="177"/>
        <v>23</v>
      </c>
      <c r="G2459" s="166" t="s">
        <v>4544</v>
      </c>
      <c r="H2459" s="171"/>
      <c r="I2459" s="171"/>
      <c r="J2459" s="171"/>
      <c r="K2459" s="171"/>
      <c r="L2459" s="166"/>
      <c r="M2459" s="166"/>
      <c r="N2459" s="166"/>
      <c r="O2459" s="166"/>
      <c r="P2459" s="166">
        <f t="shared" ca="1" si="178"/>
        <v>89</v>
      </c>
      <c r="Q2459" s="166" t="b">
        <v>0</v>
      </c>
    </row>
    <row r="2460" spans="1:17">
      <c r="A2460" s="166" t="b">
        <v>0</v>
      </c>
      <c r="B2460" s="166" t="s">
        <v>4770</v>
      </c>
      <c r="C2460" s="177">
        <v>15</v>
      </c>
      <c r="D2460" s="166">
        <f t="shared" si="175"/>
        <v>-390</v>
      </c>
      <c r="E2460" s="166">
        <f t="shared" ca="1" si="176"/>
        <v>6</v>
      </c>
      <c r="F2460" s="166">
        <f t="shared" ca="1" si="177"/>
        <v>23</v>
      </c>
      <c r="G2460" s="166" t="s">
        <v>4544</v>
      </c>
      <c r="H2460" s="171"/>
      <c r="I2460" s="171"/>
      <c r="J2460" s="171"/>
      <c r="K2460" s="171"/>
      <c r="L2460" s="166"/>
      <c r="M2460" s="166"/>
      <c r="N2460" s="166"/>
      <c r="O2460" s="166"/>
      <c r="P2460" s="166">
        <f t="shared" ca="1" si="178"/>
        <v>90</v>
      </c>
      <c r="Q2460" s="166" t="b">
        <v>0</v>
      </c>
    </row>
    <row r="2461" spans="1:17">
      <c r="A2461" s="166" t="b">
        <v>0</v>
      </c>
      <c r="B2461" s="166" t="s">
        <v>4771</v>
      </c>
      <c r="C2461" s="177">
        <v>16</v>
      </c>
      <c r="D2461" s="166">
        <f t="shared" si="175"/>
        <v>-389</v>
      </c>
      <c r="E2461" s="166">
        <f t="shared" ca="1" si="176"/>
        <v>1</v>
      </c>
      <c r="F2461" s="166">
        <f t="shared" ca="1" si="177"/>
        <v>24</v>
      </c>
      <c r="G2461" s="166" t="s">
        <v>4546</v>
      </c>
      <c r="H2461" s="171"/>
      <c r="I2461" s="171"/>
      <c r="J2461" s="171"/>
      <c r="K2461" s="171"/>
      <c r="L2461" s="166"/>
      <c r="M2461" s="166"/>
      <c r="N2461" s="166"/>
      <c r="O2461" s="166"/>
      <c r="P2461" s="166">
        <f t="shared" ca="1" si="178"/>
        <v>91</v>
      </c>
      <c r="Q2461" s="166" t="b">
        <v>0</v>
      </c>
    </row>
    <row r="2462" spans="1:17">
      <c r="A2462" s="166" t="b">
        <v>0</v>
      </c>
      <c r="B2462" s="166" t="s">
        <v>4772</v>
      </c>
      <c r="C2462" s="177">
        <v>16</v>
      </c>
      <c r="D2462" s="166">
        <f t="shared" si="175"/>
        <v>-388</v>
      </c>
      <c r="E2462" s="166">
        <f t="shared" ca="1" si="176"/>
        <v>2</v>
      </c>
      <c r="F2462" s="166">
        <f t="shared" ca="1" si="177"/>
        <v>24</v>
      </c>
      <c r="G2462" s="166" t="s">
        <v>4546</v>
      </c>
      <c r="H2462" s="171"/>
      <c r="I2462" s="171"/>
      <c r="J2462" s="171"/>
      <c r="K2462" s="171"/>
      <c r="L2462" s="166"/>
      <c r="M2462" s="166"/>
      <c r="N2462" s="166"/>
      <c r="O2462" s="166"/>
      <c r="P2462" s="166">
        <f t="shared" ca="1" si="178"/>
        <v>92</v>
      </c>
      <c r="Q2462" s="166" t="b">
        <v>0</v>
      </c>
    </row>
    <row r="2463" spans="1:17">
      <c r="A2463" s="166" t="b">
        <v>0</v>
      </c>
      <c r="B2463" s="166" t="s">
        <v>4773</v>
      </c>
      <c r="C2463" s="177">
        <v>16</v>
      </c>
      <c r="D2463" s="166">
        <f t="shared" si="175"/>
        <v>-387</v>
      </c>
      <c r="E2463" s="166">
        <f t="shared" ca="1" si="176"/>
        <v>3</v>
      </c>
      <c r="F2463" s="166">
        <f t="shared" ca="1" si="177"/>
        <v>24</v>
      </c>
      <c r="G2463" s="166" t="s">
        <v>4546</v>
      </c>
      <c r="H2463" s="171"/>
      <c r="I2463" s="171"/>
      <c r="J2463" s="171"/>
      <c r="K2463" s="171"/>
      <c r="L2463" s="166"/>
      <c r="M2463" s="166"/>
      <c r="N2463" s="166"/>
      <c r="O2463" s="166"/>
      <c r="P2463" s="166">
        <f t="shared" ca="1" si="178"/>
        <v>93</v>
      </c>
      <c r="Q2463" s="166" t="b">
        <v>0</v>
      </c>
    </row>
    <row r="2464" spans="1:17">
      <c r="A2464" s="166" t="b">
        <v>0</v>
      </c>
      <c r="B2464" s="166" t="s">
        <v>4774</v>
      </c>
      <c r="C2464" s="177">
        <v>16</v>
      </c>
      <c r="D2464" s="166">
        <f t="shared" si="175"/>
        <v>-386</v>
      </c>
      <c r="E2464" s="166">
        <f t="shared" ca="1" si="176"/>
        <v>4</v>
      </c>
      <c r="F2464" s="166">
        <f t="shared" ca="1" si="177"/>
        <v>24</v>
      </c>
      <c r="G2464" s="166" t="s">
        <v>4546</v>
      </c>
      <c r="H2464" s="171"/>
      <c r="I2464" s="171"/>
      <c r="J2464" s="171"/>
      <c r="K2464" s="171"/>
      <c r="L2464" s="166"/>
      <c r="M2464" s="166"/>
      <c r="N2464" s="166"/>
      <c r="O2464" s="166"/>
      <c r="P2464" s="166">
        <f t="shared" ca="1" si="178"/>
        <v>94</v>
      </c>
      <c r="Q2464" s="166" t="b">
        <v>0</v>
      </c>
    </row>
    <row r="2465" spans="1:17">
      <c r="A2465" s="166" t="b">
        <v>0</v>
      </c>
      <c r="B2465" s="166" t="s">
        <v>4775</v>
      </c>
      <c r="C2465" s="177">
        <v>16</v>
      </c>
      <c r="D2465" s="166">
        <f t="shared" si="175"/>
        <v>-385</v>
      </c>
      <c r="E2465" s="166">
        <f t="shared" ca="1" si="176"/>
        <v>5</v>
      </c>
      <c r="F2465" s="166">
        <f t="shared" ca="1" si="177"/>
        <v>24</v>
      </c>
      <c r="G2465" s="166" t="s">
        <v>4546</v>
      </c>
      <c r="H2465" s="171"/>
      <c r="I2465" s="171"/>
      <c r="J2465" s="171"/>
      <c r="K2465" s="171"/>
      <c r="L2465" s="166"/>
      <c r="M2465" s="166"/>
      <c r="N2465" s="166"/>
      <c r="O2465" s="166"/>
      <c r="P2465" s="166">
        <f t="shared" ca="1" si="178"/>
        <v>95</v>
      </c>
      <c r="Q2465" s="166" t="b">
        <v>0</v>
      </c>
    </row>
    <row r="2466" spans="1:17">
      <c r="A2466" s="166" t="b">
        <v>0</v>
      </c>
      <c r="B2466" s="166" t="s">
        <v>4776</v>
      </c>
      <c r="C2466" s="177">
        <v>16</v>
      </c>
      <c r="D2466" s="166">
        <f t="shared" si="175"/>
        <v>-384</v>
      </c>
      <c r="E2466" s="166">
        <f t="shared" ca="1" si="176"/>
        <v>6</v>
      </c>
      <c r="F2466" s="166">
        <f t="shared" ca="1" si="177"/>
        <v>24</v>
      </c>
      <c r="G2466" s="166" t="s">
        <v>4546</v>
      </c>
      <c r="H2466" s="171"/>
      <c r="I2466" s="171"/>
      <c r="J2466" s="171"/>
      <c r="K2466" s="171"/>
      <c r="L2466" s="166"/>
      <c r="M2466" s="166"/>
      <c r="N2466" s="166"/>
      <c r="O2466" s="166"/>
      <c r="P2466" s="166">
        <f t="shared" ca="1" si="178"/>
        <v>96</v>
      </c>
      <c r="Q2466" s="166" t="b">
        <v>0</v>
      </c>
    </row>
    <row r="2467" spans="1:17">
      <c r="A2467" s="166" t="b">
        <v>0</v>
      </c>
      <c r="B2467" s="166" t="s">
        <v>4777</v>
      </c>
      <c r="C2467" s="177">
        <v>17</v>
      </c>
      <c r="D2467" s="166">
        <f t="shared" si="175"/>
        <v>-383</v>
      </c>
      <c r="E2467" s="166">
        <f t="shared" ca="1" si="176"/>
        <v>1</v>
      </c>
      <c r="F2467" s="166">
        <f t="shared" ca="1" si="177"/>
        <v>25</v>
      </c>
      <c r="G2467" s="166" t="s">
        <v>4548</v>
      </c>
      <c r="H2467" s="171"/>
      <c r="I2467" s="171"/>
      <c r="J2467" s="171"/>
      <c r="K2467" s="171"/>
      <c r="L2467" s="166"/>
      <c r="M2467" s="166"/>
      <c r="N2467" s="166"/>
      <c r="O2467" s="166"/>
      <c r="P2467" s="166">
        <f t="shared" ca="1" si="178"/>
        <v>97</v>
      </c>
      <c r="Q2467" s="166" t="b">
        <v>0</v>
      </c>
    </row>
    <row r="2468" spans="1:17">
      <c r="A2468" s="166" t="b">
        <v>0</v>
      </c>
      <c r="B2468" s="166" t="s">
        <v>4778</v>
      </c>
      <c r="C2468" s="177">
        <v>17</v>
      </c>
      <c r="D2468" s="166">
        <f t="shared" si="175"/>
        <v>-382</v>
      </c>
      <c r="E2468" s="166">
        <f t="shared" ca="1" si="176"/>
        <v>2</v>
      </c>
      <c r="F2468" s="166">
        <f t="shared" ca="1" si="177"/>
        <v>25</v>
      </c>
      <c r="G2468" s="166" t="s">
        <v>4548</v>
      </c>
      <c r="H2468" s="171"/>
      <c r="I2468" s="171"/>
      <c r="J2468" s="171"/>
      <c r="K2468" s="171"/>
      <c r="L2468" s="166"/>
      <c r="M2468" s="166"/>
      <c r="N2468" s="166"/>
      <c r="O2468" s="166"/>
      <c r="P2468" s="166">
        <f t="shared" ca="1" si="178"/>
        <v>98</v>
      </c>
      <c r="Q2468" s="166" t="b">
        <v>0</v>
      </c>
    </row>
    <row r="2469" spans="1:17">
      <c r="A2469" s="166" t="b">
        <v>0</v>
      </c>
      <c r="B2469" s="166" t="s">
        <v>4779</v>
      </c>
      <c r="C2469" s="177">
        <v>17</v>
      </c>
      <c r="D2469" s="166">
        <f t="shared" si="175"/>
        <v>-381</v>
      </c>
      <c r="E2469" s="166">
        <f t="shared" ca="1" si="176"/>
        <v>3</v>
      </c>
      <c r="F2469" s="166">
        <f t="shared" ca="1" si="177"/>
        <v>25</v>
      </c>
      <c r="G2469" s="166" t="s">
        <v>4548</v>
      </c>
      <c r="H2469" s="171"/>
      <c r="I2469" s="171"/>
      <c r="J2469" s="171"/>
      <c r="K2469" s="171"/>
      <c r="L2469" s="166"/>
      <c r="M2469" s="166"/>
      <c r="N2469" s="166"/>
      <c r="O2469" s="166"/>
      <c r="P2469" s="166">
        <f t="shared" ca="1" si="178"/>
        <v>99</v>
      </c>
      <c r="Q2469" s="166" t="b">
        <v>0</v>
      </c>
    </row>
    <row r="2470" spans="1:17">
      <c r="A2470" s="166" t="b">
        <v>0</v>
      </c>
      <c r="B2470" s="166" t="s">
        <v>4780</v>
      </c>
      <c r="C2470" s="177">
        <v>17</v>
      </c>
      <c r="D2470" s="166">
        <f t="shared" si="175"/>
        <v>-380</v>
      </c>
      <c r="E2470" s="166">
        <f t="shared" ca="1" si="176"/>
        <v>4</v>
      </c>
      <c r="F2470" s="166">
        <f t="shared" ca="1" si="177"/>
        <v>25</v>
      </c>
      <c r="G2470" s="166" t="s">
        <v>4548</v>
      </c>
      <c r="H2470" s="171"/>
      <c r="I2470" s="171"/>
      <c r="J2470" s="171"/>
      <c r="K2470" s="171"/>
      <c r="L2470" s="166"/>
      <c r="M2470" s="166"/>
      <c r="N2470" s="166"/>
      <c r="O2470" s="166"/>
      <c r="P2470" s="166">
        <f t="shared" ca="1" si="178"/>
        <v>100</v>
      </c>
      <c r="Q2470" s="166" t="b">
        <v>0</v>
      </c>
    </row>
    <row r="2471" spans="1:17">
      <c r="A2471" s="166" t="b">
        <v>0</v>
      </c>
      <c r="B2471" s="166" t="s">
        <v>4781</v>
      </c>
      <c r="C2471" s="177">
        <v>17</v>
      </c>
      <c r="D2471" s="166">
        <f t="shared" si="175"/>
        <v>-379</v>
      </c>
      <c r="E2471" s="166">
        <f t="shared" ca="1" si="176"/>
        <v>5</v>
      </c>
      <c r="F2471" s="166">
        <f t="shared" ca="1" si="177"/>
        <v>25</v>
      </c>
      <c r="G2471" s="166" t="s">
        <v>4548</v>
      </c>
      <c r="H2471" s="171"/>
      <c r="I2471" s="171"/>
      <c r="J2471" s="171"/>
      <c r="K2471" s="171"/>
      <c r="L2471" s="166"/>
      <c r="M2471" s="166"/>
      <c r="N2471" s="166"/>
      <c r="O2471" s="166"/>
      <c r="P2471" s="166">
        <f t="shared" ca="1" si="178"/>
        <v>101</v>
      </c>
      <c r="Q2471" s="166" t="b">
        <v>0</v>
      </c>
    </row>
    <row r="2472" spans="1:17">
      <c r="A2472" s="166" t="b">
        <v>0</v>
      </c>
      <c r="B2472" s="166" t="s">
        <v>4782</v>
      </c>
      <c r="C2472" s="177">
        <v>17</v>
      </c>
      <c r="D2472" s="166">
        <f t="shared" si="175"/>
        <v>-378</v>
      </c>
      <c r="E2472" s="166">
        <f t="shared" ca="1" si="176"/>
        <v>6</v>
      </c>
      <c r="F2472" s="166">
        <f t="shared" ca="1" si="177"/>
        <v>25</v>
      </c>
      <c r="G2472" s="166" t="s">
        <v>4548</v>
      </c>
      <c r="H2472" s="171"/>
      <c r="I2472" s="171"/>
      <c r="J2472" s="171"/>
      <c r="K2472" s="171"/>
      <c r="L2472" s="166"/>
      <c r="M2472" s="166"/>
      <c r="N2472" s="166"/>
      <c r="O2472" s="166"/>
      <c r="P2472" s="166">
        <f t="shared" ca="1" si="178"/>
        <v>102</v>
      </c>
      <c r="Q2472" s="166" t="b">
        <v>0</v>
      </c>
    </row>
    <row r="2473" spans="1:17">
      <c r="A2473" s="166" t="b">
        <v>0</v>
      </c>
      <c r="B2473" s="166" t="s">
        <v>4783</v>
      </c>
      <c r="C2473" s="177">
        <v>18</v>
      </c>
      <c r="D2473" s="166">
        <f t="shared" si="175"/>
        <v>-377</v>
      </c>
      <c r="E2473" s="166">
        <f t="shared" ca="1" si="176"/>
        <v>1</v>
      </c>
      <c r="F2473" s="166">
        <f t="shared" ca="1" si="177"/>
        <v>26</v>
      </c>
      <c r="G2473" s="166" t="s">
        <v>4550</v>
      </c>
      <c r="H2473" s="171"/>
      <c r="I2473" s="171"/>
      <c r="J2473" s="171"/>
      <c r="K2473" s="171"/>
      <c r="L2473" s="166"/>
      <c r="M2473" s="166"/>
      <c r="N2473" s="166"/>
      <c r="O2473" s="166"/>
      <c r="P2473" s="166">
        <f t="shared" ca="1" si="178"/>
        <v>103</v>
      </c>
      <c r="Q2473" s="166" t="b">
        <v>0</v>
      </c>
    </row>
    <row r="2474" spans="1:17">
      <c r="A2474" s="166" t="b">
        <v>0</v>
      </c>
      <c r="B2474" s="166" t="s">
        <v>4784</v>
      </c>
      <c r="C2474" s="177">
        <v>18</v>
      </c>
      <c r="D2474" s="166">
        <f t="shared" si="175"/>
        <v>-376</v>
      </c>
      <c r="E2474" s="166">
        <f t="shared" ca="1" si="176"/>
        <v>2</v>
      </c>
      <c r="F2474" s="166">
        <f t="shared" ca="1" si="177"/>
        <v>26</v>
      </c>
      <c r="G2474" s="166" t="s">
        <v>4550</v>
      </c>
      <c r="H2474" s="171"/>
      <c r="I2474" s="171"/>
      <c r="J2474" s="171"/>
      <c r="K2474" s="171"/>
      <c r="L2474" s="166"/>
      <c r="M2474" s="166"/>
      <c r="N2474" s="166"/>
      <c r="O2474" s="166"/>
      <c r="P2474" s="166">
        <f t="shared" ca="1" si="178"/>
        <v>104</v>
      </c>
      <c r="Q2474" s="166" t="b">
        <v>0</v>
      </c>
    </row>
    <row r="2475" spans="1:17">
      <c r="A2475" s="166" t="b">
        <v>0</v>
      </c>
      <c r="B2475" s="166" t="s">
        <v>4785</v>
      </c>
      <c r="C2475" s="177">
        <v>18</v>
      </c>
      <c r="D2475" s="166">
        <f t="shared" si="175"/>
        <v>-375</v>
      </c>
      <c r="E2475" s="166">
        <f t="shared" ca="1" si="176"/>
        <v>3</v>
      </c>
      <c r="F2475" s="166">
        <f t="shared" ca="1" si="177"/>
        <v>26</v>
      </c>
      <c r="G2475" s="166" t="s">
        <v>4550</v>
      </c>
      <c r="H2475" s="171"/>
      <c r="I2475" s="171"/>
      <c r="J2475" s="171"/>
      <c r="K2475" s="171"/>
      <c r="L2475" s="166"/>
      <c r="M2475" s="166"/>
      <c r="N2475" s="166"/>
      <c r="O2475" s="166"/>
      <c r="P2475" s="166">
        <f t="shared" ca="1" si="178"/>
        <v>105</v>
      </c>
      <c r="Q2475" s="166" t="b">
        <v>0</v>
      </c>
    </row>
    <row r="2476" spans="1:17">
      <c r="A2476" s="166" t="b">
        <v>0</v>
      </c>
      <c r="B2476" s="166" t="s">
        <v>4786</v>
      </c>
      <c r="C2476" s="177">
        <v>18</v>
      </c>
      <c r="D2476" s="166">
        <f t="shared" si="175"/>
        <v>-374</v>
      </c>
      <c r="E2476" s="166">
        <f t="shared" ca="1" si="176"/>
        <v>4</v>
      </c>
      <c r="F2476" s="166">
        <f t="shared" ca="1" si="177"/>
        <v>26</v>
      </c>
      <c r="G2476" s="166" t="s">
        <v>4550</v>
      </c>
      <c r="H2476" s="171"/>
      <c r="I2476" s="171"/>
      <c r="J2476" s="171"/>
      <c r="K2476" s="171"/>
      <c r="L2476" s="166"/>
      <c r="M2476" s="166"/>
      <c r="N2476" s="166"/>
      <c r="O2476" s="166"/>
      <c r="P2476" s="166">
        <f t="shared" ca="1" si="178"/>
        <v>106</v>
      </c>
      <c r="Q2476" s="166" t="b">
        <v>0</v>
      </c>
    </row>
    <row r="2477" spans="1:17">
      <c r="A2477" s="166" t="b">
        <v>0</v>
      </c>
      <c r="B2477" s="166" t="s">
        <v>4787</v>
      </c>
      <c r="C2477" s="177">
        <v>18</v>
      </c>
      <c r="D2477" s="166">
        <f t="shared" si="175"/>
        <v>-373</v>
      </c>
      <c r="E2477" s="166">
        <f t="shared" ca="1" si="176"/>
        <v>5</v>
      </c>
      <c r="F2477" s="166">
        <f t="shared" ca="1" si="177"/>
        <v>26</v>
      </c>
      <c r="G2477" s="166" t="s">
        <v>4550</v>
      </c>
      <c r="H2477" s="171"/>
      <c r="I2477" s="171"/>
      <c r="J2477" s="171"/>
      <c r="K2477" s="171"/>
      <c r="L2477" s="166"/>
      <c r="M2477" s="166"/>
      <c r="N2477" s="166"/>
      <c r="O2477" s="166"/>
      <c r="P2477" s="166">
        <f t="shared" ca="1" si="178"/>
        <v>107</v>
      </c>
      <c r="Q2477" s="166" t="b">
        <v>0</v>
      </c>
    </row>
    <row r="2478" spans="1:17">
      <c r="A2478" s="166" t="b">
        <v>0</v>
      </c>
      <c r="B2478" s="166" t="s">
        <v>4788</v>
      </c>
      <c r="C2478" s="177">
        <v>18</v>
      </c>
      <c r="D2478" s="166">
        <f t="shared" si="175"/>
        <v>-372</v>
      </c>
      <c r="E2478" s="166">
        <f t="shared" ca="1" si="176"/>
        <v>6</v>
      </c>
      <c r="F2478" s="166">
        <f t="shared" ca="1" si="177"/>
        <v>26</v>
      </c>
      <c r="G2478" s="166" t="s">
        <v>4550</v>
      </c>
      <c r="H2478" s="171"/>
      <c r="I2478" s="171"/>
      <c r="J2478" s="171"/>
      <c r="K2478" s="171"/>
      <c r="L2478" s="166"/>
      <c r="M2478" s="166"/>
      <c r="N2478" s="166"/>
      <c r="O2478" s="166"/>
      <c r="P2478" s="166">
        <f t="shared" ca="1" si="178"/>
        <v>108</v>
      </c>
      <c r="Q2478" s="166" t="b">
        <v>0</v>
      </c>
    </row>
    <row r="2479" spans="1:17">
      <c r="A2479" s="166" t="b">
        <v>0</v>
      </c>
      <c r="B2479" s="166" t="s">
        <v>4789</v>
      </c>
      <c r="C2479" s="177">
        <v>19</v>
      </c>
      <c r="D2479" s="166">
        <f t="shared" si="175"/>
        <v>-371</v>
      </c>
      <c r="E2479" s="166">
        <f t="shared" ca="1" si="176"/>
        <v>1</v>
      </c>
      <c r="F2479" s="166">
        <f t="shared" ca="1" si="177"/>
        <v>27</v>
      </c>
      <c r="G2479" s="166" t="s">
        <v>4552</v>
      </c>
      <c r="H2479" s="171"/>
      <c r="I2479" s="171"/>
      <c r="J2479" s="171"/>
      <c r="K2479" s="171"/>
      <c r="L2479" s="166"/>
      <c r="M2479" s="166"/>
      <c r="N2479" s="166"/>
      <c r="O2479" s="166"/>
      <c r="P2479" s="166">
        <f t="shared" ca="1" si="178"/>
        <v>109</v>
      </c>
      <c r="Q2479" s="166" t="b">
        <v>0</v>
      </c>
    </row>
    <row r="2480" spans="1:17">
      <c r="A2480" s="166" t="b">
        <v>0</v>
      </c>
      <c r="B2480" s="166" t="s">
        <v>4790</v>
      </c>
      <c r="C2480" s="177">
        <v>19</v>
      </c>
      <c r="D2480" s="166">
        <f t="shared" si="175"/>
        <v>-370</v>
      </c>
      <c r="E2480" s="166">
        <f t="shared" ca="1" si="176"/>
        <v>2</v>
      </c>
      <c r="F2480" s="166">
        <f t="shared" ca="1" si="177"/>
        <v>27</v>
      </c>
      <c r="G2480" s="166" t="s">
        <v>4552</v>
      </c>
      <c r="H2480" s="171"/>
      <c r="I2480" s="171"/>
      <c r="J2480" s="171"/>
      <c r="K2480" s="171"/>
      <c r="L2480" s="166"/>
      <c r="M2480" s="166"/>
      <c r="N2480" s="166"/>
      <c r="O2480" s="166"/>
      <c r="P2480" s="166">
        <f t="shared" ca="1" si="178"/>
        <v>110</v>
      </c>
      <c r="Q2480" s="166" t="b">
        <v>0</v>
      </c>
    </row>
    <row r="2481" spans="1:17">
      <c r="A2481" s="166" t="b">
        <v>0</v>
      </c>
      <c r="B2481" s="166" t="s">
        <v>4791</v>
      </c>
      <c r="C2481" s="177">
        <v>19</v>
      </c>
      <c r="D2481" s="166">
        <f t="shared" si="175"/>
        <v>-369</v>
      </c>
      <c r="E2481" s="166">
        <f t="shared" ca="1" si="176"/>
        <v>3</v>
      </c>
      <c r="F2481" s="166">
        <f t="shared" ca="1" si="177"/>
        <v>27</v>
      </c>
      <c r="G2481" s="166" t="s">
        <v>4552</v>
      </c>
      <c r="H2481" s="171"/>
      <c r="I2481" s="171"/>
      <c r="J2481" s="171"/>
      <c r="K2481" s="171"/>
      <c r="L2481" s="166"/>
      <c r="M2481" s="166"/>
      <c r="N2481" s="166"/>
      <c r="O2481" s="166"/>
      <c r="P2481" s="166">
        <f t="shared" ca="1" si="178"/>
        <v>111</v>
      </c>
      <c r="Q2481" s="166" t="b">
        <v>0</v>
      </c>
    </row>
    <row r="2482" spans="1:17">
      <c r="A2482" s="166" t="b">
        <v>0</v>
      </c>
      <c r="B2482" s="166" t="s">
        <v>4792</v>
      </c>
      <c r="C2482" s="177">
        <v>19</v>
      </c>
      <c r="D2482" s="166">
        <f t="shared" si="175"/>
        <v>-368</v>
      </c>
      <c r="E2482" s="166">
        <f t="shared" ca="1" si="176"/>
        <v>4</v>
      </c>
      <c r="F2482" s="166">
        <f t="shared" ca="1" si="177"/>
        <v>27</v>
      </c>
      <c r="G2482" s="166" t="s">
        <v>4552</v>
      </c>
      <c r="H2482" s="171"/>
      <c r="I2482" s="171"/>
      <c r="J2482" s="171"/>
      <c r="K2482" s="171"/>
      <c r="L2482" s="166"/>
      <c r="M2482" s="166"/>
      <c r="N2482" s="166"/>
      <c r="O2482" s="166"/>
      <c r="P2482" s="166">
        <f t="shared" ca="1" si="178"/>
        <v>112</v>
      </c>
      <c r="Q2482" s="166" t="b">
        <v>0</v>
      </c>
    </row>
    <row r="2483" spans="1:17">
      <c r="A2483" s="166" t="b">
        <v>0</v>
      </c>
      <c r="B2483" s="166" t="s">
        <v>4793</v>
      </c>
      <c r="C2483" s="177">
        <v>19</v>
      </c>
      <c r="D2483" s="166">
        <f t="shared" si="175"/>
        <v>-367</v>
      </c>
      <c r="E2483" s="166">
        <f t="shared" ca="1" si="176"/>
        <v>5</v>
      </c>
      <c r="F2483" s="166">
        <f t="shared" ca="1" si="177"/>
        <v>27</v>
      </c>
      <c r="G2483" s="166" t="s">
        <v>4552</v>
      </c>
      <c r="H2483" s="171"/>
      <c r="I2483" s="171"/>
      <c r="J2483" s="171"/>
      <c r="K2483" s="171"/>
      <c r="L2483" s="166"/>
      <c r="M2483" s="166"/>
      <c r="N2483" s="166"/>
      <c r="O2483" s="166"/>
      <c r="P2483" s="166">
        <f t="shared" ca="1" si="178"/>
        <v>113</v>
      </c>
      <c r="Q2483" s="166" t="b">
        <v>0</v>
      </c>
    </row>
    <row r="2484" spans="1:17">
      <c r="A2484" s="166" t="b">
        <v>0</v>
      </c>
      <c r="B2484" s="166" t="s">
        <v>4794</v>
      </c>
      <c r="C2484" s="177">
        <v>19</v>
      </c>
      <c r="D2484" s="166">
        <f t="shared" si="175"/>
        <v>-366</v>
      </c>
      <c r="E2484" s="166">
        <f t="shared" ca="1" si="176"/>
        <v>6</v>
      </c>
      <c r="F2484" s="166">
        <f t="shared" ca="1" si="177"/>
        <v>27</v>
      </c>
      <c r="G2484" s="166" t="s">
        <v>4552</v>
      </c>
      <c r="H2484" s="171"/>
      <c r="I2484" s="171"/>
      <c r="J2484" s="171"/>
      <c r="K2484" s="171"/>
      <c r="L2484" s="166"/>
      <c r="M2484" s="166"/>
      <c r="N2484" s="166"/>
      <c r="O2484" s="166"/>
      <c r="P2484" s="166">
        <f t="shared" ca="1" si="178"/>
        <v>114</v>
      </c>
      <c r="Q2484" s="166" t="b">
        <v>0</v>
      </c>
    </row>
    <row r="2485" spans="1:17">
      <c r="A2485" s="166" t="b">
        <v>0</v>
      </c>
      <c r="B2485" s="166" t="s">
        <v>4795</v>
      </c>
      <c r="C2485" s="177">
        <v>20</v>
      </c>
      <c r="D2485" s="166">
        <f t="shared" si="175"/>
        <v>-365</v>
      </c>
      <c r="E2485" s="166">
        <f t="shared" ca="1" si="176"/>
        <v>1</v>
      </c>
      <c r="F2485" s="166">
        <f t="shared" ca="1" si="177"/>
        <v>28</v>
      </c>
      <c r="G2485" s="166" t="s">
        <v>4554</v>
      </c>
      <c r="H2485" s="171"/>
      <c r="I2485" s="171"/>
      <c r="J2485" s="171"/>
      <c r="K2485" s="171"/>
      <c r="L2485" s="166"/>
      <c r="M2485" s="166"/>
      <c r="N2485" s="166"/>
      <c r="O2485" s="166"/>
      <c r="P2485" s="166">
        <f t="shared" ca="1" si="178"/>
        <v>115</v>
      </c>
      <c r="Q2485" s="166" t="b">
        <v>0</v>
      </c>
    </row>
    <row r="2486" spans="1:17">
      <c r="A2486" s="166" t="b">
        <v>0</v>
      </c>
      <c r="B2486" s="166" t="s">
        <v>4796</v>
      </c>
      <c r="C2486" s="177">
        <v>20</v>
      </c>
      <c r="D2486" s="166">
        <f t="shared" si="175"/>
        <v>-364</v>
      </c>
      <c r="E2486" s="166">
        <f t="shared" ca="1" si="176"/>
        <v>2</v>
      </c>
      <c r="F2486" s="166">
        <f t="shared" ca="1" si="177"/>
        <v>28</v>
      </c>
      <c r="G2486" s="166" t="s">
        <v>4554</v>
      </c>
      <c r="H2486" s="171"/>
      <c r="I2486" s="171"/>
      <c r="J2486" s="171"/>
      <c r="K2486" s="171"/>
      <c r="L2486" s="166"/>
      <c r="M2486" s="166"/>
      <c r="N2486" s="166"/>
      <c r="O2486" s="166"/>
      <c r="P2486" s="166">
        <f t="shared" ca="1" si="178"/>
        <v>116</v>
      </c>
      <c r="Q2486" s="166" t="b">
        <v>0</v>
      </c>
    </row>
    <row r="2487" spans="1:17">
      <c r="A2487" s="166" t="b">
        <v>0</v>
      </c>
      <c r="B2487" s="166" t="s">
        <v>4797</v>
      </c>
      <c r="C2487" s="177">
        <v>20</v>
      </c>
      <c r="D2487" s="166">
        <f t="shared" si="175"/>
        <v>-363</v>
      </c>
      <c r="E2487" s="166">
        <f t="shared" ca="1" si="176"/>
        <v>3</v>
      </c>
      <c r="F2487" s="166">
        <f t="shared" ca="1" si="177"/>
        <v>28</v>
      </c>
      <c r="G2487" s="166" t="s">
        <v>4554</v>
      </c>
      <c r="H2487" s="171"/>
      <c r="I2487" s="171"/>
      <c r="J2487" s="171"/>
      <c r="K2487" s="171"/>
      <c r="L2487" s="166"/>
      <c r="M2487" s="166"/>
      <c r="N2487" s="166"/>
      <c r="O2487" s="166"/>
      <c r="P2487" s="166">
        <f t="shared" ca="1" si="178"/>
        <v>117</v>
      </c>
      <c r="Q2487" s="166" t="b">
        <v>0</v>
      </c>
    </row>
    <row r="2488" spans="1:17">
      <c r="A2488" s="166" t="b">
        <v>0</v>
      </c>
      <c r="B2488" s="166" t="s">
        <v>4798</v>
      </c>
      <c r="C2488" s="177">
        <v>20</v>
      </c>
      <c r="D2488" s="166">
        <f t="shared" si="175"/>
        <v>-362</v>
      </c>
      <c r="E2488" s="166">
        <f t="shared" ca="1" si="176"/>
        <v>4</v>
      </c>
      <c r="F2488" s="166">
        <f t="shared" ca="1" si="177"/>
        <v>28</v>
      </c>
      <c r="G2488" s="166" t="s">
        <v>4554</v>
      </c>
      <c r="H2488" s="171"/>
      <c r="I2488" s="171"/>
      <c r="J2488" s="171"/>
      <c r="K2488" s="171"/>
      <c r="L2488" s="166"/>
      <c r="M2488" s="166"/>
      <c r="N2488" s="166"/>
      <c r="O2488" s="166"/>
      <c r="P2488" s="166">
        <f t="shared" ca="1" si="178"/>
        <v>118</v>
      </c>
      <c r="Q2488" s="166" t="b">
        <v>0</v>
      </c>
    </row>
    <row r="2489" spans="1:17">
      <c r="A2489" s="166" t="b">
        <v>0</v>
      </c>
      <c r="B2489" s="166" t="s">
        <v>4799</v>
      </c>
      <c r="C2489" s="177">
        <v>20</v>
      </c>
      <c r="D2489" s="166">
        <f t="shared" si="175"/>
        <v>-361</v>
      </c>
      <c r="E2489" s="166">
        <f t="shared" ca="1" si="176"/>
        <v>5</v>
      </c>
      <c r="F2489" s="166">
        <f t="shared" ca="1" si="177"/>
        <v>28</v>
      </c>
      <c r="G2489" s="166" t="s">
        <v>4554</v>
      </c>
      <c r="H2489" s="171"/>
      <c r="I2489" s="171"/>
      <c r="J2489" s="171"/>
      <c r="K2489" s="171"/>
      <c r="L2489" s="166"/>
      <c r="M2489" s="166"/>
      <c r="N2489" s="166"/>
      <c r="O2489" s="166"/>
      <c r="P2489" s="166">
        <f t="shared" ca="1" si="178"/>
        <v>119</v>
      </c>
      <c r="Q2489" s="166" t="b">
        <v>0</v>
      </c>
    </row>
    <row r="2490" spans="1:17">
      <c r="A2490" s="166" t="b">
        <v>0</v>
      </c>
      <c r="B2490" s="166" t="s">
        <v>4800</v>
      </c>
      <c r="C2490" s="177">
        <v>20</v>
      </c>
      <c r="D2490" s="166">
        <f t="shared" si="175"/>
        <v>-360</v>
      </c>
      <c r="E2490" s="166">
        <f t="shared" ca="1" si="176"/>
        <v>6</v>
      </c>
      <c r="F2490" s="166">
        <f t="shared" ca="1" si="177"/>
        <v>28</v>
      </c>
      <c r="G2490" s="166" t="s">
        <v>4554</v>
      </c>
      <c r="H2490" s="171"/>
      <c r="I2490" s="171"/>
      <c r="J2490" s="171"/>
      <c r="K2490" s="171"/>
      <c r="L2490" s="166"/>
      <c r="M2490" s="166"/>
      <c r="N2490" s="166"/>
      <c r="O2490" s="166"/>
      <c r="P2490" s="166">
        <f t="shared" ca="1" si="178"/>
        <v>120</v>
      </c>
      <c r="Q2490" s="166" t="b">
        <v>0</v>
      </c>
    </row>
    <row r="2491" spans="1:17">
      <c r="A2491" s="166" t="b">
        <v>0</v>
      </c>
      <c r="B2491" s="166" t="s">
        <v>4801</v>
      </c>
      <c r="C2491" s="177">
        <v>21</v>
      </c>
      <c r="D2491" s="166">
        <f t="shared" si="175"/>
        <v>-359</v>
      </c>
      <c r="E2491" s="166">
        <f t="shared" ca="1" si="176"/>
        <v>1</v>
      </c>
      <c r="F2491" s="166">
        <f t="shared" ca="1" si="177"/>
        <v>29</v>
      </c>
      <c r="G2491" s="166" t="s">
        <v>4556</v>
      </c>
      <c r="H2491" s="171"/>
      <c r="I2491" s="171"/>
      <c r="J2491" s="171"/>
      <c r="K2491" s="171"/>
      <c r="L2491" s="166"/>
      <c r="M2491" s="166"/>
      <c r="N2491" s="166"/>
      <c r="O2491" s="166"/>
      <c r="P2491" s="166">
        <f t="shared" ca="1" si="178"/>
        <v>121</v>
      </c>
      <c r="Q2491" s="166" t="b">
        <v>0</v>
      </c>
    </row>
    <row r="2492" spans="1:17">
      <c r="A2492" s="166" t="b">
        <v>0</v>
      </c>
      <c r="B2492" s="166" t="s">
        <v>4802</v>
      </c>
      <c r="C2492" s="177">
        <v>21</v>
      </c>
      <c r="D2492" s="166">
        <f t="shared" si="175"/>
        <v>-358</v>
      </c>
      <c r="E2492" s="166">
        <f t="shared" ca="1" si="176"/>
        <v>2</v>
      </c>
      <c r="F2492" s="166">
        <f t="shared" ca="1" si="177"/>
        <v>29</v>
      </c>
      <c r="G2492" s="166" t="s">
        <v>4556</v>
      </c>
      <c r="H2492" s="171"/>
      <c r="I2492" s="171"/>
      <c r="J2492" s="171"/>
      <c r="K2492" s="171"/>
      <c r="L2492" s="166"/>
      <c r="M2492" s="166"/>
      <c r="N2492" s="166"/>
      <c r="O2492" s="166"/>
      <c r="P2492" s="166">
        <f t="shared" ca="1" si="178"/>
        <v>122</v>
      </c>
      <c r="Q2492" s="166" t="b">
        <v>0</v>
      </c>
    </row>
    <row r="2493" spans="1:17">
      <c r="A2493" s="166" t="b">
        <v>0</v>
      </c>
      <c r="B2493" s="166" t="s">
        <v>4803</v>
      </c>
      <c r="C2493" s="177">
        <v>21</v>
      </c>
      <c r="D2493" s="166">
        <f t="shared" si="175"/>
        <v>-357</v>
      </c>
      <c r="E2493" s="166">
        <f t="shared" ca="1" si="176"/>
        <v>3</v>
      </c>
      <c r="F2493" s="166">
        <f t="shared" ca="1" si="177"/>
        <v>29</v>
      </c>
      <c r="G2493" s="166" t="s">
        <v>4556</v>
      </c>
      <c r="H2493" s="171"/>
      <c r="I2493" s="171"/>
      <c r="J2493" s="171"/>
      <c r="K2493" s="171"/>
      <c r="L2493" s="166"/>
      <c r="M2493" s="166"/>
      <c r="N2493" s="166"/>
      <c r="O2493" s="166"/>
      <c r="P2493" s="166">
        <f t="shared" ca="1" si="178"/>
        <v>123</v>
      </c>
      <c r="Q2493" s="166" t="b">
        <v>0</v>
      </c>
    </row>
    <row r="2494" spans="1:17">
      <c r="A2494" s="166" t="b">
        <v>0</v>
      </c>
      <c r="B2494" s="166" t="s">
        <v>4804</v>
      </c>
      <c r="C2494" s="177">
        <v>21</v>
      </c>
      <c r="D2494" s="166">
        <f t="shared" si="175"/>
        <v>-356</v>
      </c>
      <c r="E2494" s="166">
        <f t="shared" ca="1" si="176"/>
        <v>4</v>
      </c>
      <c r="F2494" s="166">
        <f t="shared" ca="1" si="177"/>
        <v>29</v>
      </c>
      <c r="G2494" s="166" t="s">
        <v>4556</v>
      </c>
      <c r="H2494" s="171"/>
      <c r="I2494" s="171"/>
      <c r="J2494" s="171"/>
      <c r="K2494" s="171"/>
      <c r="L2494" s="166"/>
      <c r="M2494" s="166"/>
      <c r="N2494" s="166"/>
      <c r="O2494" s="166"/>
      <c r="P2494" s="166">
        <f t="shared" ca="1" si="178"/>
        <v>124</v>
      </c>
      <c r="Q2494" s="166" t="b">
        <v>0</v>
      </c>
    </row>
    <row r="2495" spans="1:17">
      <c r="A2495" s="166" t="b">
        <v>0</v>
      </c>
      <c r="B2495" s="166" t="s">
        <v>4805</v>
      </c>
      <c r="C2495" s="177">
        <v>21</v>
      </c>
      <c r="D2495" s="166">
        <f t="shared" si="175"/>
        <v>-355</v>
      </c>
      <c r="E2495" s="166">
        <f t="shared" ca="1" si="176"/>
        <v>5</v>
      </c>
      <c r="F2495" s="166">
        <f t="shared" ca="1" si="177"/>
        <v>29</v>
      </c>
      <c r="G2495" s="166" t="s">
        <v>4556</v>
      </c>
      <c r="H2495" s="171"/>
      <c r="I2495" s="171"/>
      <c r="J2495" s="171"/>
      <c r="K2495" s="171"/>
      <c r="L2495" s="166"/>
      <c r="M2495" s="166"/>
      <c r="N2495" s="166"/>
      <c r="O2495" s="166"/>
      <c r="P2495" s="166">
        <f t="shared" ca="1" si="178"/>
        <v>125</v>
      </c>
      <c r="Q2495" s="166" t="b">
        <v>0</v>
      </c>
    </row>
    <row r="2496" spans="1:17">
      <c r="A2496" s="166" t="b">
        <v>0</v>
      </c>
      <c r="B2496" s="166" t="s">
        <v>4806</v>
      </c>
      <c r="C2496" s="177">
        <v>21</v>
      </c>
      <c r="D2496" s="166">
        <f t="shared" si="175"/>
        <v>-354</v>
      </c>
      <c r="E2496" s="166">
        <f t="shared" ca="1" si="176"/>
        <v>6</v>
      </c>
      <c r="F2496" s="166">
        <f t="shared" ca="1" si="177"/>
        <v>29</v>
      </c>
      <c r="G2496" s="166" t="s">
        <v>4556</v>
      </c>
      <c r="H2496" s="171"/>
      <c r="I2496" s="171"/>
      <c r="J2496" s="171"/>
      <c r="K2496" s="171"/>
      <c r="L2496" s="166"/>
      <c r="M2496" s="166"/>
      <c r="N2496" s="166"/>
      <c r="O2496" s="166"/>
      <c r="P2496" s="166">
        <f t="shared" ca="1" si="178"/>
        <v>126</v>
      </c>
      <c r="Q2496" s="166" t="b">
        <v>0</v>
      </c>
    </row>
    <row r="2497" spans="1:17">
      <c r="A2497" s="166" t="b">
        <v>0</v>
      </c>
      <c r="B2497" s="166" t="s">
        <v>4807</v>
      </c>
      <c r="C2497" s="177">
        <v>22</v>
      </c>
      <c r="D2497" s="166">
        <f t="shared" si="175"/>
        <v>-353</v>
      </c>
      <c r="E2497" s="166">
        <f t="shared" ca="1" si="176"/>
        <v>1</v>
      </c>
      <c r="F2497" s="166">
        <f t="shared" ca="1" si="177"/>
        <v>30</v>
      </c>
      <c r="G2497" s="166" t="s">
        <v>4558</v>
      </c>
      <c r="H2497" s="171"/>
      <c r="I2497" s="171"/>
      <c r="J2497" s="171"/>
      <c r="K2497" s="171"/>
      <c r="L2497" s="166"/>
      <c r="M2497" s="166"/>
      <c r="N2497" s="166"/>
      <c r="O2497" s="166"/>
      <c r="P2497" s="166">
        <f t="shared" ca="1" si="178"/>
        <v>127</v>
      </c>
      <c r="Q2497" s="166" t="b">
        <v>0</v>
      </c>
    </row>
    <row r="2498" spans="1:17">
      <c r="A2498" s="166" t="b">
        <v>0</v>
      </c>
      <c r="B2498" s="166" t="s">
        <v>4808</v>
      </c>
      <c r="C2498" s="177">
        <v>22</v>
      </c>
      <c r="D2498" s="166">
        <f t="shared" si="175"/>
        <v>-352</v>
      </c>
      <c r="E2498" s="166">
        <f t="shared" ca="1" si="176"/>
        <v>2</v>
      </c>
      <c r="F2498" s="166">
        <f t="shared" ca="1" si="177"/>
        <v>30</v>
      </c>
      <c r="G2498" s="166" t="s">
        <v>4558</v>
      </c>
      <c r="H2498" s="171"/>
      <c r="I2498" s="171"/>
      <c r="J2498" s="171"/>
      <c r="K2498" s="171"/>
      <c r="L2498" s="166"/>
      <c r="M2498" s="166"/>
      <c r="N2498" s="166"/>
      <c r="O2498" s="166"/>
      <c r="P2498" s="166">
        <f t="shared" ca="1" si="178"/>
        <v>128</v>
      </c>
      <c r="Q2498" s="166" t="b">
        <v>0</v>
      </c>
    </row>
    <row r="2499" spans="1:17">
      <c r="A2499" s="166" t="b">
        <v>0</v>
      </c>
      <c r="B2499" s="166" t="s">
        <v>4809</v>
      </c>
      <c r="C2499" s="177">
        <v>22</v>
      </c>
      <c r="D2499" s="166">
        <f t="shared" ref="D2499:D2562" si="179">D2498+1</f>
        <v>-351</v>
      </c>
      <c r="E2499" s="166">
        <f t="shared" ref="E2499:E2562" ca="1" si="180">COUNTIF(C2329:C2499,C2499)</f>
        <v>3</v>
      </c>
      <c r="F2499" s="166">
        <f t="shared" ref="F2499:F2562" ca="1" si="181">IF(C2499=1,9,IF(E2498=MAX(E2497:E2499),F2497+1,F2498))</f>
        <v>30</v>
      </c>
      <c r="G2499" s="166" t="s">
        <v>4558</v>
      </c>
      <c r="H2499" s="171"/>
      <c r="I2499" s="171"/>
      <c r="J2499" s="171"/>
      <c r="K2499" s="171"/>
      <c r="L2499" s="166"/>
      <c r="M2499" s="166"/>
      <c r="N2499" s="166"/>
      <c r="O2499" s="166"/>
      <c r="P2499" s="166">
        <f t="shared" ref="P2499:P2562" ca="1" si="182">IF(NOT(_xlfn.ISFORMULA(I2499)),P2498+1,0)</f>
        <v>129</v>
      </c>
      <c r="Q2499" s="166" t="b">
        <v>0</v>
      </c>
    </row>
    <row r="2500" spans="1:17">
      <c r="A2500" s="166" t="b">
        <v>0</v>
      </c>
      <c r="B2500" s="166" t="s">
        <v>4810</v>
      </c>
      <c r="C2500" s="177">
        <v>22</v>
      </c>
      <c r="D2500" s="166">
        <f t="shared" si="179"/>
        <v>-350</v>
      </c>
      <c r="E2500" s="166">
        <f t="shared" ca="1" si="180"/>
        <v>4</v>
      </c>
      <c r="F2500" s="166">
        <f t="shared" ca="1" si="181"/>
        <v>30</v>
      </c>
      <c r="G2500" s="166" t="s">
        <v>4558</v>
      </c>
      <c r="H2500" s="171"/>
      <c r="I2500" s="171"/>
      <c r="J2500" s="171"/>
      <c r="K2500" s="171"/>
      <c r="L2500" s="166"/>
      <c r="M2500" s="166"/>
      <c r="N2500" s="166"/>
      <c r="O2500" s="166"/>
      <c r="P2500" s="166">
        <f t="shared" ca="1" si="182"/>
        <v>130</v>
      </c>
      <c r="Q2500" s="166" t="b">
        <v>0</v>
      </c>
    </row>
    <row r="2501" spans="1:17">
      <c r="A2501" s="166" t="b">
        <v>0</v>
      </c>
      <c r="B2501" s="166" t="s">
        <v>4811</v>
      </c>
      <c r="C2501" s="177">
        <v>22</v>
      </c>
      <c r="D2501" s="166">
        <f t="shared" si="179"/>
        <v>-349</v>
      </c>
      <c r="E2501" s="166">
        <f t="shared" ca="1" si="180"/>
        <v>5</v>
      </c>
      <c r="F2501" s="166">
        <f t="shared" ca="1" si="181"/>
        <v>30</v>
      </c>
      <c r="G2501" s="166" t="s">
        <v>4558</v>
      </c>
      <c r="H2501" s="171"/>
      <c r="I2501" s="171"/>
      <c r="J2501" s="171"/>
      <c r="K2501" s="171"/>
      <c r="L2501" s="166"/>
      <c r="M2501" s="166"/>
      <c r="N2501" s="166"/>
      <c r="O2501" s="166"/>
      <c r="P2501" s="166">
        <f t="shared" ca="1" si="182"/>
        <v>131</v>
      </c>
      <c r="Q2501" s="166" t="b">
        <v>0</v>
      </c>
    </row>
    <row r="2502" spans="1:17">
      <c r="A2502" s="166" t="b">
        <v>0</v>
      </c>
      <c r="B2502" s="166" t="s">
        <v>4812</v>
      </c>
      <c r="C2502" s="177">
        <v>22</v>
      </c>
      <c r="D2502" s="166">
        <f t="shared" si="179"/>
        <v>-348</v>
      </c>
      <c r="E2502" s="166">
        <f t="shared" ca="1" si="180"/>
        <v>6</v>
      </c>
      <c r="F2502" s="166">
        <f t="shared" ca="1" si="181"/>
        <v>30</v>
      </c>
      <c r="G2502" s="166" t="s">
        <v>4558</v>
      </c>
      <c r="H2502" s="171"/>
      <c r="I2502" s="171"/>
      <c r="J2502" s="171"/>
      <c r="K2502" s="171"/>
      <c r="L2502" s="166"/>
      <c r="M2502" s="166"/>
      <c r="N2502" s="166"/>
      <c r="O2502" s="166"/>
      <c r="P2502" s="166">
        <f t="shared" ca="1" si="182"/>
        <v>132</v>
      </c>
      <c r="Q2502" s="166" t="b">
        <v>0</v>
      </c>
    </row>
    <row r="2503" spans="1:17">
      <c r="A2503" s="166" t="b">
        <v>0</v>
      </c>
      <c r="B2503" s="166" t="s">
        <v>4813</v>
      </c>
      <c r="C2503" s="177">
        <v>23</v>
      </c>
      <c r="D2503" s="166">
        <f t="shared" si="179"/>
        <v>-347</v>
      </c>
      <c r="E2503" s="166">
        <f t="shared" ca="1" si="180"/>
        <v>1</v>
      </c>
      <c r="F2503" s="166">
        <f t="shared" ca="1" si="181"/>
        <v>31</v>
      </c>
      <c r="G2503" s="166" t="s">
        <v>4560</v>
      </c>
      <c r="H2503" s="171"/>
      <c r="I2503" s="171"/>
      <c r="J2503" s="171"/>
      <c r="K2503" s="171"/>
      <c r="L2503" s="166"/>
      <c r="M2503" s="166"/>
      <c r="N2503" s="166"/>
      <c r="O2503" s="166"/>
      <c r="P2503" s="166">
        <f t="shared" ca="1" si="182"/>
        <v>133</v>
      </c>
      <c r="Q2503" s="166" t="b">
        <v>0</v>
      </c>
    </row>
    <row r="2504" spans="1:17">
      <c r="A2504" s="166" t="b">
        <v>0</v>
      </c>
      <c r="B2504" s="166" t="s">
        <v>4814</v>
      </c>
      <c r="C2504" s="177">
        <v>23</v>
      </c>
      <c r="D2504" s="166">
        <f t="shared" si="179"/>
        <v>-346</v>
      </c>
      <c r="E2504" s="166">
        <f t="shared" ca="1" si="180"/>
        <v>2</v>
      </c>
      <c r="F2504" s="166">
        <f t="shared" ca="1" si="181"/>
        <v>31</v>
      </c>
      <c r="G2504" s="166" t="s">
        <v>4560</v>
      </c>
      <c r="H2504" s="171"/>
      <c r="I2504" s="171"/>
      <c r="J2504" s="171"/>
      <c r="K2504" s="171"/>
      <c r="L2504" s="166"/>
      <c r="M2504" s="166"/>
      <c r="N2504" s="166"/>
      <c r="O2504" s="166"/>
      <c r="P2504" s="166">
        <f t="shared" ca="1" si="182"/>
        <v>134</v>
      </c>
      <c r="Q2504" s="166" t="b">
        <v>0</v>
      </c>
    </row>
    <row r="2505" spans="1:17">
      <c r="A2505" s="166" t="b">
        <v>0</v>
      </c>
      <c r="B2505" s="166" t="s">
        <v>4815</v>
      </c>
      <c r="C2505" s="177">
        <v>23</v>
      </c>
      <c r="D2505" s="166">
        <f t="shared" si="179"/>
        <v>-345</v>
      </c>
      <c r="E2505" s="166">
        <f t="shared" ca="1" si="180"/>
        <v>3</v>
      </c>
      <c r="F2505" s="166">
        <f t="shared" ca="1" si="181"/>
        <v>31</v>
      </c>
      <c r="G2505" s="166" t="s">
        <v>4560</v>
      </c>
      <c r="H2505" s="171"/>
      <c r="I2505" s="171"/>
      <c r="J2505" s="171"/>
      <c r="K2505" s="171"/>
      <c r="L2505" s="166"/>
      <c r="M2505" s="166"/>
      <c r="N2505" s="166"/>
      <c r="O2505" s="166"/>
      <c r="P2505" s="166">
        <f t="shared" ca="1" si="182"/>
        <v>135</v>
      </c>
      <c r="Q2505" s="166" t="b">
        <v>0</v>
      </c>
    </row>
    <row r="2506" spans="1:17">
      <c r="A2506" s="166" t="b">
        <v>0</v>
      </c>
      <c r="B2506" s="166" t="s">
        <v>4816</v>
      </c>
      <c r="C2506" s="177">
        <v>23</v>
      </c>
      <c r="D2506" s="166">
        <f t="shared" si="179"/>
        <v>-344</v>
      </c>
      <c r="E2506" s="166">
        <f t="shared" ca="1" si="180"/>
        <v>4</v>
      </c>
      <c r="F2506" s="166">
        <f t="shared" ca="1" si="181"/>
        <v>31</v>
      </c>
      <c r="G2506" s="166" t="s">
        <v>4560</v>
      </c>
      <c r="H2506" s="171"/>
      <c r="I2506" s="171"/>
      <c r="J2506" s="171"/>
      <c r="K2506" s="171"/>
      <c r="L2506" s="166"/>
      <c r="M2506" s="166"/>
      <c r="N2506" s="166"/>
      <c r="O2506" s="166"/>
      <c r="P2506" s="166">
        <f t="shared" ca="1" si="182"/>
        <v>136</v>
      </c>
      <c r="Q2506" s="166" t="b">
        <v>0</v>
      </c>
    </row>
    <row r="2507" spans="1:17">
      <c r="A2507" s="166" t="b">
        <v>0</v>
      </c>
      <c r="B2507" s="166" t="s">
        <v>4817</v>
      </c>
      <c r="C2507" s="177">
        <v>23</v>
      </c>
      <c r="D2507" s="166">
        <f t="shared" si="179"/>
        <v>-343</v>
      </c>
      <c r="E2507" s="166">
        <f t="shared" ca="1" si="180"/>
        <v>5</v>
      </c>
      <c r="F2507" s="166">
        <f t="shared" ca="1" si="181"/>
        <v>31</v>
      </c>
      <c r="G2507" s="166" t="s">
        <v>4560</v>
      </c>
      <c r="H2507" s="171"/>
      <c r="I2507" s="171"/>
      <c r="J2507" s="171"/>
      <c r="K2507" s="171"/>
      <c r="L2507" s="166"/>
      <c r="M2507" s="166"/>
      <c r="N2507" s="166"/>
      <c r="O2507" s="166"/>
      <c r="P2507" s="166">
        <f t="shared" ca="1" si="182"/>
        <v>137</v>
      </c>
      <c r="Q2507" s="166" t="b">
        <v>0</v>
      </c>
    </row>
    <row r="2508" spans="1:17">
      <c r="A2508" s="166" t="b">
        <v>0</v>
      </c>
      <c r="B2508" s="166" t="s">
        <v>4818</v>
      </c>
      <c r="C2508" s="177">
        <v>23</v>
      </c>
      <c r="D2508" s="166">
        <f t="shared" si="179"/>
        <v>-342</v>
      </c>
      <c r="E2508" s="166">
        <f t="shared" ca="1" si="180"/>
        <v>6</v>
      </c>
      <c r="F2508" s="166">
        <f t="shared" ca="1" si="181"/>
        <v>31</v>
      </c>
      <c r="G2508" s="166" t="s">
        <v>4560</v>
      </c>
      <c r="H2508" s="171"/>
      <c r="I2508" s="171"/>
      <c r="J2508" s="171"/>
      <c r="K2508" s="171"/>
      <c r="L2508" s="166"/>
      <c r="M2508" s="166"/>
      <c r="N2508" s="166"/>
      <c r="O2508" s="166"/>
      <c r="P2508" s="166">
        <f t="shared" ca="1" si="182"/>
        <v>138</v>
      </c>
      <c r="Q2508" s="166" t="b">
        <v>0</v>
      </c>
    </row>
    <row r="2509" spans="1:17">
      <c r="A2509" s="166" t="b">
        <v>0</v>
      </c>
      <c r="B2509" s="166" t="s">
        <v>4819</v>
      </c>
      <c r="C2509" s="177">
        <v>24</v>
      </c>
      <c r="D2509" s="166">
        <f t="shared" si="179"/>
        <v>-341</v>
      </c>
      <c r="E2509" s="166">
        <f t="shared" ca="1" si="180"/>
        <v>1</v>
      </c>
      <c r="F2509" s="166">
        <f t="shared" ca="1" si="181"/>
        <v>32</v>
      </c>
      <c r="G2509" s="166" t="s">
        <v>4562</v>
      </c>
      <c r="H2509" s="171"/>
      <c r="I2509" s="171"/>
      <c r="J2509" s="171"/>
      <c r="K2509" s="171"/>
      <c r="L2509" s="166"/>
      <c r="M2509" s="166"/>
      <c r="N2509" s="166"/>
      <c r="O2509" s="166"/>
      <c r="P2509" s="166">
        <f t="shared" ca="1" si="182"/>
        <v>139</v>
      </c>
      <c r="Q2509" s="166" t="b">
        <v>0</v>
      </c>
    </row>
    <row r="2510" spans="1:17">
      <c r="A2510" s="166" t="b">
        <v>0</v>
      </c>
      <c r="B2510" s="166" t="s">
        <v>4820</v>
      </c>
      <c r="C2510" s="177">
        <v>24</v>
      </c>
      <c r="D2510" s="166">
        <f t="shared" si="179"/>
        <v>-340</v>
      </c>
      <c r="E2510" s="166">
        <f t="shared" ca="1" si="180"/>
        <v>2</v>
      </c>
      <c r="F2510" s="166">
        <f t="shared" ca="1" si="181"/>
        <v>32</v>
      </c>
      <c r="G2510" s="166" t="s">
        <v>4562</v>
      </c>
      <c r="H2510" s="171"/>
      <c r="I2510" s="171"/>
      <c r="J2510" s="171"/>
      <c r="K2510" s="171"/>
      <c r="L2510" s="166"/>
      <c r="M2510" s="166"/>
      <c r="N2510" s="166"/>
      <c r="O2510" s="166"/>
      <c r="P2510" s="166">
        <f t="shared" ca="1" si="182"/>
        <v>140</v>
      </c>
      <c r="Q2510" s="166" t="b">
        <v>0</v>
      </c>
    </row>
    <row r="2511" spans="1:17">
      <c r="A2511" s="166" t="b">
        <v>0</v>
      </c>
      <c r="B2511" s="166" t="s">
        <v>4821</v>
      </c>
      <c r="C2511" s="177">
        <v>24</v>
      </c>
      <c r="D2511" s="166">
        <f t="shared" si="179"/>
        <v>-339</v>
      </c>
      <c r="E2511" s="166">
        <f t="shared" ca="1" si="180"/>
        <v>3</v>
      </c>
      <c r="F2511" s="166">
        <f t="shared" ca="1" si="181"/>
        <v>32</v>
      </c>
      <c r="G2511" s="166" t="s">
        <v>4562</v>
      </c>
      <c r="H2511" s="171"/>
      <c r="I2511" s="171"/>
      <c r="J2511" s="171"/>
      <c r="K2511" s="171"/>
      <c r="L2511" s="166"/>
      <c r="M2511" s="166"/>
      <c r="N2511" s="166"/>
      <c r="O2511" s="166"/>
      <c r="P2511" s="166">
        <f t="shared" ca="1" si="182"/>
        <v>141</v>
      </c>
      <c r="Q2511" s="166" t="b">
        <v>0</v>
      </c>
    </row>
    <row r="2512" spans="1:17">
      <c r="A2512" s="166" t="b">
        <v>0</v>
      </c>
      <c r="B2512" s="166" t="s">
        <v>4822</v>
      </c>
      <c r="C2512" s="177">
        <v>24</v>
      </c>
      <c r="D2512" s="166">
        <f t="shared" si="179"/>
        <v>-338</v>
      </c>
      <c r="E2512" s="166">
        <f t="shared" ca="1" si="180"/>
        <v>4</v>
      </c>
      <c r="F2512" s="166">
        <f t="shared" ca="1" si="181"/>
        <v>32</v>
      </c>
      <c r="G2512" s="166" t="s">
        <v>4562</v>
      </c>
      <c r="H2512" s="171"/>
      <c r="I2512" s="171"/>
      <c r="J2512" s="171"/>
      <c r="K2512" s="171"/>
      <c r="L2512" s="166"/>
      <c r="M2512" s="166"/>
      <c r="N2512" s="166"/>
      <c r="O2512" s="166"/>
      <c r="P2512" s="166">
        <f t="shared" ca="1" si="182"/>
        <v>142</v>
      </c>
      <c r="Q2512" s="166" t="b">
        <v>0</v>
      </c>
    </row>
    <row r="2513" spans="1:17">
      <c r="A2513" s="166" t="b">
        <v>0</v>
      </c>
      <c r="B2513" s="166" t="s">
        <v>4823</v>
      </c>
      <c r="C2513" s="177">
        <v>24</v>
      </c>
      <c r="D2513" s="166">
        <f t="shared" si="179"/>
        <v>-337</v>
      </c>
      <c r="E2513" s="166">
        <f t="shared" ca="1" si="180"/>
        <v>5</v>
      </c>
      <c r="F2513" s="166">
        <f t="shared" ca="1" si="181"/>
        <v>32</v>
      </c>
      <c r="G2513" s="166" t="s">
        <v>4562</v>
      </c>
      <c r="H2513" s="171"/>
      <c r="I2513" s="171"/>
      <c r="J2513" s="171"/>
      <c r="K2513" s="171"/>
      <c r="L2513" s="166"/>
      <c r="M2513" s="166"/>
      <c r="N2513" s="166"/>
      <c r="O2513" s="166"/>
      <c r="P2513" s="166">
        <f t="shared" ca="1" si="182"/>
        <v>143</v>
      </c>
      <c r="Q2513" s="166" t="b">
        <v>0</v>
      </c>
    </row>
    <row r="2514" spans="1:17">
      <c r="A2514" s="166" t="b">
        <v>0</v>
      </c>
      <c r="B2514" s="166" t="s">
        <v>4824</v>
      </c>
      <c r="C2514" s="177">
        <v>24</v>
      </c>
      <c r="D2514" s="166">
        <f t="shared" si="179"/>
        <v>-336</v>
      </c>
      <c r="E2514" s="166">
        <f t="shared" ca="1" si="180"/>
        <v>6</v>
      </c>
      <c r="F2514" s="166">
        <f t="shared" ca="1" si="181"/>
        <v>32</v>
      </c>
      <c r="G2514" s="166" t="s">
        <v>4562</v>
      </c>
      <c r="H2514" s="171"/>
      <c r="I2514" s="171"/>
      <c r="J2514" s="171"/>
      <c r="K2514" s="171"/>
      <c r="L2514" s="166"/>
      <c r="M2514" s="166"/>
      <c r="N2514" s="166"/>
      <c r="O2514" s="166"/>
      <c r="P2514" s="166">
        <f t="shared" ca="1" si="182"/>
        <v>144</v>
      </c>
      <c r="Q2514" s="166" t="b">
        <v>0</v>
      </c>
    </row>
    <row r="2515" spans="1:17">
      <c r="A2515" s="166" t="b">
        <v>0</v>
      </c>
      <c r="B2515" s="166" t="s">
        <v>4825</v>
      </c>
      <c r="C2515" s="177">
        <v>25</v>
      </c>
      <c r="D2515" s="166">
        <f t="shared" si="179"/>
        <v>-335</v>
      </c>
      <c r="E2515" s="166">
        <f t="shared" ca="1" si="180"/>
        <v>1</v>
      </c>
      <c r="F2515" s="166">
        <f t="shared" ca="1" si="181"/>
        <v>33</v>
      </c>
      <c r="G2515" s="166" t="s">
        <v>4564</v>
      </c>
      <c r="H2515" s="171"/>
      <c r="I2515" s="171"/>
      <c r="J2515" s="171"/>
      <c r="K2515" s="171"/>
      <c r="L2515" s="166"/>
      <c r="M2515" s="166"/>
      <c r="N2515" s="166"/>
      <c r="O2515" s="166"/>
      <c r="P2515" s="166">
        <f t="shared" ca="1" si="182"/>
        <v>145</v>
      </c>
      <c r="Q2515" s="166" t="b">
        <v>0</v>
      </c>
    </row>
    <row r="2516" spans="1:17">
      <c r="A2516" s="166" t="b">
        <v>0</v>
      </c>
      <c r="B2516" s="166" t="s">
        <v>4826</v>
      </c>
      <c r="C2516" s="177">
        <v>25</v>
      </c>
      <c r="D2516" s="166">
        <f t="shared" si="179"/>
        <v>-334</v>
      </c>
      <c r="E2516" s="166">
        <f t="shared" ca="1" si="180"/>
        <v>2</v>
      </c>
      <c r="F2516" s="166">
        <f t="shared" ca="1" si="181"/>
        <v>33</v>
      </c>
      <c r="G2516" s="166" t="s">
        <v>4564</v>
      </c>
      <c r="H2516" s="171"/>
      <c r="I2516" s="171"/>
      <c r="J2516" s="171"/>
      <c r="K2516" s="171"/>
      <c r="L2516" s="166"/>
      <c r="M2516" s="166"/>
      <c r="N2516" s="166"/>
      <c r="O2516" s="166"/>
      <c r="P2516" s="166">
        <f t="shared" ca="1" si="182"/>
        <v>146</v>
      </c>
      <c r="Q2516" s="166" t="b">
        <v>0</v>
      </c>
    </row>
    <row r="2517" spans="1:17">
      <c r="A2517" s="166" t="b">
        <v>0</v>
      </c>
      <c r="B2517" s="166" t="s">
        <v>4827</v>
      </c>
      <c r="C2517" s="177">
        <v>25</v>
      </c>
      <c r="D2517" s="166">
        <f t="shared" si="179"/>
        <v>-333</v>
      </c>
      <c r="E2517" s="166">
        <f t="shared" ca="1" si="180"/>
        <v>3</v>
      </c>
      <c r="F2517" s="166">
        <f t="shared" ca="1" si="181"/>
        <v>33</v>
      </c>
      <c r="G2517" s="166" t="s">
        <v>4564</v>
      </c>
      <c r="H2517" s="171"/>
      <c r="I2517" s="171"/>
      <c r="J2517" s="171"/>
      <c r="K2517" s="171"/>
      <c r="L2517" s="166"/>
      <c r="M2517" s="166"/>
      <c r="N2517" s="166"/>
      <c r="O2517" s="166"/>
      <c r="P2517" s="166">
        <f t="shared" ca="1" si="182"/>
        <v>147</v>
      </c>
      <c r="Q2517" s="166" t="b">
        <v>0</v>
      </c>
    </row>
    <row r="2518" spans="1:17">
      <c r="A2518" s="166" t="b">
        <v>0</v>
      </c>
      <c r="B2518" s="166" t="s">
        <v>4828</v>
      </c>
      <c r="C2518" s="177">
        <v>25</v>
      </c>
      <c r="D2518" s="166">
        <f t="shared" si="179"/>
        <v>-332</v>
      </c>
      <c r="E2518" s="166">
        <f t="shared" ca="1" si="180"/>
        <v>4</v>
      </c>
      <c r="F2518" s="166">
        <f t="shared" ca="1" si="181"/>
        <v>33</v>
      </c>
      <c r="G2518" s="166" t="s">
        <v>4564</v>
      </c>
      <c r="H2518" s="171"/>
      <c r="I2518" s="171"/>
      <c r="J2518" s="171"/>
      <c r="K2518" s="171"/>
      <c r="L2518" s="166"/>
      <c r="M2518" s="166"/>
      <c r="N2518" s="166"/>
      <c r="O2518" s="166"/>
      <c r="P2518" s="166">
        <f t="shared" ca="1" si="182"/>
        <v>148</v>
      </c>
      <c r="Q2518" s="166" t="b">
        <v>0</v>
      </c>
    </row>
    <row r="2519" spans="1:17">
      <c r="A2519" s="166" t="b">
        <v>0</v>
      </c>
      <c r="B2519" s="166" t="s">
        <v>4829</v>
      </c>
      <c r="C2519" s="177">
        <v>25</v>
      </c>
      <c r="D2519" s="166">
        <f t="shared" si="179"/>
        <v>-331</v>
      </c>
      <c r="E2519" s="166">
        <f t="shared" ca="1" si="180"/>
        <v>5</v>
      </c>
      <c r="F2519" s="166">
        <f t="shared" ca="1" si="181"/>
        <v>33</v>
      </c>
      <c r="G2519" s="166" t="s">
        <v>4564</v>
      </c>
      <c r="H2519" s="171"/>
      <c r="I2519" s="171"/>
      <c r="J2519" s="171"/>
      <c r="K2519" s="171"/>
      <c r="L2519" s="166"/>
      <c r="M2519" s="166"/>
      <c r="N2519" s="166"/>
      <c r="O2519" s="166"/>
      <c r="P2519" s="166">
        <f t="shared" ca="1" si="182"/>
        <v>149</v>
      </c>
      <c r="Q2519" s="166" t="b">
        <v>0</v>
      </c>
    </row>
    <row r="2520" spans="1:17">
      <c r="A2520" s="166" t="b">
        <v>0</v>
      </c>
      <c r="B2520" s="166" t="s">
        <v>4830</v>
      </c>
      <c r="C2520" s="177">
        <v>25</v>
      </c>
      <c r="D2520" s="166">
        <f t="shared" si="179"/>
        <v>-330</v>
      </c>
      <c r="E2520" s="166">
        <f t="shared" ca="1" si="180"/>
        <v>6</v>
      </c>
      <c r="F2520" s="166">
        <f t="shared" ca="1" si="181"/>
        <v>33</v>
      </c>
      <c r="G2520" s="166" t="s">
        <v>4564</v>
      </c>
      <c r="H2520" s="171"/>
      <c r="I2520" s="171"/>
      <c r="J2520" s="171"/>
      <c r="K2520" s="171"/>
      <c r="L2520" s="166"/>
      <c r="M2520" s="166"/>
      <c r="N2520" s="166"/>
      <c r="O2520" s="166"/>
      <c r="P2520" s="166">
        <f t="shared" ca="1" si="182"/>
        <v>150</v>
      </c>
      <c r="Q2520" s="166" t="b">
        <v>0</v>
      </c>
    </row>
    <row r="2521" spans="1:17">
      <c r="A2521" s="166" t="b">
        <v>0</v>
      </c>
      <c r="B2521" s="166" t="s">
        <v>4831</v>
      </c>
      <c r="C2521" s="177">
        <v>26</v>
      </c>
      <c r="D2521" s="166">
        <f t="shared" si="179"/>
        <v>-329</v>
      </c>
      <c r="E2521" s="166">
        <f t="shared" ca="1" si="180"/>
        <v>1</v>
      </c>
      <c r="F2521" s="166">
        <f t="shared" ca="1" si="181"/>
        <v>34</v>
      </c>
      <c r="G2521" s="166" t="s">
        <v>4566</v>
      </c>
      <c r="H2521" s="171"/>
      <c r="I2521" s="171"/>
      <c r="J2521" s="171"/>
      <c r="K2521" s="171"/>
      <c r="L2521" s="166"/>
      <c r="M2521" s="166"/>
      <c r="N2521" s="166"/>
      <c r="O2521" s="166"/>
      <c r="P2521" s="166">
        <f t="shared" ca="1" si="182"/>
        <v>151</v>
      </c>
      <c r="Q2521" s="166" t="b">
        <v>0</v>
      </c>
    </row>
    <row r="2522" spans="1:17">
      <c r="A2522" s="166" t="b">
        <v>0</v>
      </c>
      <c r="B2522" s="166" t="s">
        <v>4832</v>
      </c>
      <c r="C2522" s="177">
        <v>26</v>
      </c>
      <c r="D2522" s="166">
        <f t="shared" si="179"/>
        <v>-328</v>
      </c>
      <c r="E2522" s="166">
        <f t="shared" ca="1" si="180"/>
        <v>2</v>
      </c>
      <c r="F2522" s="166">
        <f t="shared" ca="1" si="181"/>
        <v>34</v>
      </c>
      <c r="G2522" s="166" t="s">
        <v>4566</v>
      </c>
      <c r="H2522" s="171"/>
      <c r="I2522" s="171"/>
      <c r="J2522" s="171"/>
      <c r="K2522" s="171"/>
      <c r="L2522" s="166"/>
      <c r="M2522" s="166"/>
      <c r="N2522" s="166"/>
      <c r="O2522" s="166"/>
      <c r="P2522" s="166">
        <f t="shared" ca="1" si="182"/>
        <v>152</v>
      </c>
      <c r="Q2522" s="166" t="b">
        <v>0</v>
      </c>
    </row>
    <row r="2523" spans="1:17">
      <c r="A2523" s="166" t="b">
        <v>0</v>
      </c>
      <c r="B2523" s="166" t="s">
        <v>4833</v>
      </c>
      <c r="C2523" s="177">
        <v>26</v>
      </c>
      <c r="D2523" s="166">
        <f t="shared" si="179"/>
        <v>-327</v>
      </c>
      <c r="E2523" s="166">
        <f t="shared" ca="1" si="180"/>
        <v>3</v>
      </c>
      <c r="F2523" s="166">
        <f t="shared" ca="1" si="181"/>
        <v>34</v>
      </c>
      <c r="G2523" s="166" t="s">
        <v>4566</v>
      </c>
      <c r="H2523" s="171"/>
      <c r="I2523" s="171"/>
      <c r="J2523" s="171"/>
      <c r="K2523" s="171"/>
      <c r="L2523" s="166"/>
      <c r="M2523" s="166"/>
      <c r="N2523" s="166"/>
      <c r="O2523" s="166"/>
      <c r="P2523" s="166">
        <f t="shared" ca="1" si="182"/>
        <v>153</v>
      </c>
      <c r="Q2523" s="166" t="b">
        <v>0</v>
      </c>
    </row>
    <row r="2524" spans="1:17">
      <c r="A2524" s="166" t="b">
        <v>0</v>
      </c>
      <c r="B2524" s="166" t="s">
        <v>4834</v>
      </c>
      <c r="C2524" s="177">
        <v>26</v>
      </c>
      <c r="D2524" s="166">
        <f t="shared" si="179"/>
        <v>-326</v>
      </c>
      <c r="E2524" s="166">
        <f t="shared" ca="1" si="180"/>
        <v>4</v>
      </c>
      <c r="F2524" s="166">
        <f t="shared" ca="1" si="181"/>
        <v>34</v>
      </c>
      <c r="G2524" s="166" t="s">
        <v>4566</v>
      </c>
      <c r="H2524" s="171"/>
      <c r="I2524" s="171"/>
      <c r="J2524" s="171"/>
      <c r="K2524" s="171"/>
      <c r="L2524" s="166"/>
      <c r="M2524" s="166"/>
      <c r="N2524" s="166"/>
      <c r="O2524" s="166"/>
      <c r="P2524" s="166">
        <f t="shared" ca="1" si="182"/>
        <v>154</v>
      </c>
      <c r="Q2524" s="166" t="b">
        <v>0</v>
      </c>
    </row>
    <row r="2525" spans="1:17">
      <c r="A2525" s="166" t="b">
        <v>0</v>
      </c>
      <c r="B2525" s="166" t="s">
        <v>4835</v>
      </c>
      <c r="C2525" s="177">
        <v>26</v>
      </c>
      <c r="D2525" s="166">
        <f t="shared" si="179"/>
        <v>-325</v>
      </c>
      <c r="E2525" s="166">
        <f t="shared" ca="1" si="180"/>
        <v>5</v>
      </c>
      <c r="F2525" s="166">
        <f t="shared" ca="1" si="181"/>
        <v>34</v>
      </c>
      <c r="G2525" s="166" t="s">
        <v>4566</v>
      </c>
      <c r="H2525" s="171"/>
      <c r="I2525" s="171"/>
      <c r="J2525" s="171"/>
      <c r="K2525" s="171"/>
      <c r="L2525" s="166"/>
      <c r="M2525" s="166"/>
      <c r="N2525" s="166"/>
      <c r="O2525" s="166"/>
      <c r="P2525" s="166">
        <f t="shared" ca="1" si="182"/>
        <v>155</v>
      </c>
      <c r="Q2525" s="166" t="b">
        <v>0</v>
      </c>
    </row>
    <row r="2526" spans="1:17">
      <c r="A2526" s="166" t="b">
        <v>0</v>
      </c>
      <c r="B2526" s="166" t="s">
        <v>4836</v>
      </c>
      <c r="C2526" s="177">
        <v>26</v>
      </c>
      <c r="D2526" s="166">
        <f t="shared" si="179"/>
        <v>-324</v>
      </c>
      <c r="E2526" s="166">
        <f t="shared" ca="1" si="180"/>
        <v>6</v>
      </c>
      <c r="F2526" s="166">
        <f t="shared" ca="1" si="181"/>
        <v>34</v>
      </c>
      <c r="G2526" s="166" t="s">
        <v>4566</v>
      </c>
      <c r="H2526" s="171"/>
      <c r="I2526" s="171"/>
      <c r="J2526" s="171"/>
      <c r="K2526" s="171"/>
      <c r="L2526" s="166"/>
      <c r="M2526" s="166"/>
      <c r="N2526" s="166"/>
      <c r="O2526" s="166"/>
      <c r="P2526" s="166">
        <f t="shared" ca="1" si="182"/>
        <v>156</v>
      </c>
      <c r="Q2526" s="166" t="b">
        <v>0</v>
      </c>
    </row>
    <row r="2527" spans="1:17">
      <c r="A2527" s="166" t="b">
        <v>0</v>
      </c>
      <c r="B2527" s="166" t="s">
        <v>4837</v>
      </c>
      <c r="C2527" s="177">
        <v>27</v>
      </c>
      <c r="D2527" s="166">
        <f t="shared" si="179"/>
        <v>-323</v>
      </c>
      <c r="E2527" s="166">
        <f t="shared" ca="1" si="180"/>
        <v>1</v>
      </c>
      <c r="F2527" s="166">
        <f t="shared" ca="1" si="181"/>
        <v>35</v>
      </c>
      <c r="G2527" s="166" t="s">
        <v>4568</v>
      </c>
      <c r="H2527" s="171"/>
      <c r="I2527" s="171"/>
      <c r="J2527" s="171"/>
      <c r="K2527" s="171"/>
      <c r="L2527" s="166"/>
      <c r="M2527" s="166"/>
      <c r="N2527" s="166"/>
      <c r="O2527" s="166"/>
      <c r="P2527" s="166">
        <f t="shared" ca="1" si="182"/>
        <v>157</v>
      </c>
      <c r="Q2527" s="166" t="b">
        <v>0</v>
      </c>
    </row>
    <row r="2528" spans="1:17">
      <c r="A2528" s="166" t="b">
        <v>0</v>
      </c>
      <c r="B2528" s="166" t="s">
        <v>4838</v>
      </c>
      <c r="C2528" s="177">
        <v>27</v>
      </c>
      <c r="D2528" s="166">
        <f t="shared" si="179"/>
        <v>-322</v>
      </c>
      <c r="E2528" s="166">
        <f t="shared" ca="1" si="180"/>
        <v>2</v>
      </c>
      <c r="F2528" s="166">
        <f t="shared" ca="1" si="181"/>
        <v>35</v>
      </c>
      <c r="G2528" s="166" t="s">
        <v>4568</v>
      </c>
      <c r="H2528" s="171"/>
      <c r="I2528" s="171"/>
      <c r="J2528" s="171"/>
      <c r="K2528" s="171"/>
      <c r="L2528" s="166"/>
      <c r="M2528" s="166"/>
      <c r="N2528" s="166"/>
      <c r="O2528" s="166"/>
      <c r="P2528" s="166">
        <f t="shared" ca="1" si="182"/>
        <v>158</v>
      </c>
      <c r="Q2528" s="166" t="b">
        <v>0</v>
      </c>
    </row>
    <row r="2529" spans="1:17">
      <c r="A2529" s="166" t="b">
        <v>0</v>
      </c>
      <c r="B2529" s="166" t="s">
        <v>4839</v>
      </c>
      <c r="C2529" s="177">
        <v>27</v>
      </c>
      <c r="D2529" s="166">
        <f t="shared" si="179"/>
        <v>-321</v>
      </c>
      <c r="E2529" s="166">
        <f t="shared" ca="1" si="180"/>
        <v>3</v>
      </c>
      <c r="F2529" s="166">
        <f t="shared" ca="1" si="181"/>
        <v>35</v>
      </c>
      <c r="G2529" s="166" t="s">
        <v>4568</v>
      </c>
      <c r="H2529" s="171"/>
      <c r="I2529" s="171"/>
      <c r="J2529" s="171"/>
      <c r="K2529" s="171"/>
      <c r="L2529" s="166"/>
      <c r="M2529" s="166"/>
      <c r="N2529" s="166"/>
      <c r="O2529" s="166"/>
      <c r="P2529" s="166">
        <f t="shared" ca="1" si="182"/>
        <v>159</v>
      </c>
      <c r="Q2529" s="166" t="b">
        <v>0</v>
      </c>
    </row>
    <row r="2530" spans="1:17">
      <c r="A2530" s="166" t="b">
        <v>0</v>
      </c>
      <c r="B2530" s="166" t="s">
        <v>4840</v>
      </c>
      <c r="C2530" s="177">
        <v>27</v>
      </c>
      <c r="D2530" s="166">
        <f t="shared" si="179"/>
        <v>-320</v>
      </c>
      <c r="E2530" s="166">
        <f t="shared" ca="1" si="180"/>
        <v>4</v>
      </c>
      <c r="F2530" s="166">
        <f t="shared" ca="1" si="181"/>
        <v>35</v>
      </c>
      <c r="G2530" s="166" t="s">
        <v>4568</v>
      </c>
      <c r="H2530" s="171"/>
      <c r="I2530" s="171"/>
      <c r="J2530" s="171"/>
      <c r="K2530" s="171"/>
      <c r="L2530" s="166"/>
      <c r="M2530" s="166"/>
      <c r="N2530" s="166"/>
      <c r="O2530" s="166"/>
      <c r="P2530" s="166">
        <f t="shared" ca="1" si="182"/>
        <v>160</v>
      </c>
      <c r="Q2530" s="166" t="b">
        <v>0</v>
      </c>
    </row>
    <row r="2531" spans="1:17">
      <c r="A2531" s="166" t="b">
        <v>0</v>
      </c>
      <c r="B2531" s="166" t="s">
        <v>4841</v>
      </c>
      <c r="C2531" s="177">
        <v>27</v>
      </c>
      <c r="D2531" s="166">
        <f t="shared" si="179"/>
        <v>-319</v>
      </c>
      <c r="E2531" s="166">
        <f t="shared" ca="1" si="180"/>
        <v>5</v>
      </c>
      <c r="F2531" s="166">
        <f t="shared" ca="1" si="181"/>
        <v>35</v>
      </c>
      <c r="G2531" s="166" t="s">
        <v>4568</v>
      </c>
      <c r="H2531" s="171"/>
      <c r="I2531" s="171"/>
      <c r="J2531" s="171"/>
      <c r="K2531" s="171"/>
      <c r="L2531" s="166"/>
      <c r="M2531" s="166"/>
      <c r="N2531" s="166"/>
      <c r="O2531" s="166"/>
      <c r="P2531" s="166">
        <f t="shared" ca="1" si="182"/>
        <v>161</v>
      </c>
      <c r="Q2531" s="166" t="b">
        <v>0</v>
      </c>
    </row>
    <row r="2532" spans="1:17">
      <c r="A2532" s="166" t="b">
        <v>0</v>
      </c>
      <c r="B2532" s="166" t="s">
        <v>4842</v>
      </c>
      <c r="C2532" s="177">
        <v>27</v>
      </c>
      <c r="D2532" s="166">
        <f t="shared" si="179"/>
        <v>-318</v>
      </c>
      <c r="E2532" s="166">
        <f t="shared" ca="1" si="180"/>
        <v>6</v>
      </c>
      <c r="F2532" s="166">
        <f t="shared" ca="1" si="181"/>
        <v>35</v>
      </c>
      <c r="G2532" s="166" t="s">
        <v>4568</v>
      </c>
      <c r="H2532" s="171"/>
      <c r="I2532" s="171"/>
      <c r="J2532" s="171"/>
      <c r="K2532" s="171"/>
      <c r="L2532" s="166"/>
      <c r="M2532" s="166"/>
      <c r="N2532" s="166"/>
      <c r="O2532" s="166"/>
      <c r="P2532" s="166">
        <f t="shared" ca="1" si="182"/>
        <v>162</v>
      </c>
      <c r="Q2532" s="166" t="b">
        <v>0</v>
      </c>
    </row>
    <row r="2533" spans="1:17">
      <c r="A2533" s="166" t="b">
        <v>0</v>
      </c>
      <c r="B2533" s="166" t="s">
        <v>4843</v>
      </c>
      <c r="C2533" s="177">
        <v>28</v>
      </c>
      <c r="D2533" s="166">
        <f t="shared" si="179"/>
        <v>-317</v>
      </c>
      <c r="E2533" s="166">
        <f t="shared" ca="1" si="180"/>
        <v>1</v>
      </c>
      <c r="F2533" s="166">
        <f t="shared" ca="1" si="181"/>
        <v>36</v>
      </c>
      <c r="G2533" s="166" t="s">
        <v>4570</v>
      </c>
      <c r="H2533" s="171"/>
      <c r="I2533" s="171"/>
      <c r="J2533" s="171"/>
      <c r="K2533" s="171"/>
      <c r="L2533" s="166"/>
      <c r="M2533" s="166"/>
      <c r="N2533" s="166"/>
      <c r="O2533" s="166"/>
      <c r="P2533" s="166">
        <f t="shared" ca="1" si="182"/>
        <v>163</v>
      </c>
      <c r="Q2533" s="166" t="b">
        <v>0</v>
      </c>
    </row>
    <row r="2534" spans="1:17">
      <c r="A2534" s="166" t="b">
        <v>0</v>
      </c>
      <c r="B2534" s="166" t="s">
        <v>4844</v>
      </c>
      <c r="C2534" s="177">
        <v>28</v>
      </c>
      <c r="D2534" s="166">
        <f t="shared" si="179"/>
        <v>-316</v>
      </c>
      <c r="E2534" s="166">
        <f t="shared" ca="1" si="180"/>
        <v>2</v>
      </c>
      <c r="F2534" s="166">
        <f t="shared" ca="1" si="181"/>
        <v>36</v>
      </c>
      <c r="G2534" s="166" t="s">
        <v>4570</v>
      </c>
      <c r="H2534" s="171"/>
      <c r="I2534" s="171"/>
      <c r="J2534" s="171"/>
      <c r="K2534" s="171"/>
      <c r="L2534" s="166"/>
      <c r="M2534" s="166"/>
      <c r="N2534" s="166"/>
      <c r="O2534" s="166"/>
      <c r="P2534" s="166">
        <f t="shared" ca="1" si="182"/>
        <v>164</v>
      </c>
      <c r="Q2534" s="166" t="b">
        <v>0</v>
      </c>
    </row>
    <row r="2535" spans="1:17">
      <c r="A2535" s="166" t="b">
        <v>0</v>
      </c>
      <c r="B2535" s="166" t="s">
        <v>4845</v>
      </c>
      <c r="C2535" s="177">
        <v>28</v>
      </c>
      <c r="D2535" s="166">
        <f t="shared" si="179"/>
        <v>-315</v>
      </c>
      <c r="E2535" s="166">
        <f t="shared" ca="1" si="180"/>
        <v>3</v>
      </c>
      <c r="F2535" s="166">
        <f t="shared" ca="1" si="181"/>
        <v>36</v>
      </c>
      <c r="G2535" s="166" t="s">
        <v>4570</v>
      </c>
      <c r="H2535" s="171"/>
      <c r="I2535" s="171"/>
      <c r="J2535" s="171"/>
      <c r="K2535" s="171"/>
      <c r="L2535" s="166"/>
      <c r="M2535" s="166"/>
      <c r="N2535" s="166"/>
      <c r="O2535" s="166"/>
      <c r="P2535" s="166">
        <f t="shared" ca="1" si="182"/>
        <v>165</v>
      </c>
      <c r="Q2535" s="166" t="b">
        <v>0</v>
      </c>
    </row>
    <row r="2536" spans="1:17">
      <c r="A2536" s="166" t="b">
        <v>0</v>
      </c>
      <c r="B2536" s="166" t="s">
        <v>4846</v>
      </c>
      <c r="C2536" s="177">
        <v>28</v>
      </c>
      <c r="D2536" s="166">
        <f t="shared" si="179"/>
        <v>-314</v>
      </c>
      <c r="E2536" s="166">
        <f t="shared" ca="1" si="180"/>
        <v>4</v>
      </c>
      <c r="F2536" s="166">
        <f t="shared" ca="1" si="181"/>
        <v>36</v>
      </c>
      <c r="G2536" s="166" t="s">
        <v>4570</v>
      </c>
      <c r="H2536" s="171"/>
      <c r="I2536" s="171"/>
      <c r="J2536" s="171"/>
      <c r="K2536" s="171"/>
      <c r="L2536" s="166"/>
      <c r="M2536" s="166"/>
      <c r="N2536" s="166"/>
      <c r="O2536" s="166"/>
      <c r="P2536" s="166">
        <f t="shared" ca="1" si="182"/>
        <v>166</v>
      </c>
      <c r="Q2536" s="166" t="b">
        <v>0</v>
      </c>
    </row>
    <row r="2537" spans="1:17">
      <c r="A2537" s="166" t="b">
        <v>0</v>
      </c>
      <c r="B2537" s="166" t="s">
        <v>4847</v>
      </c>
      <c r="C2537" s="177">
        <v>28</v>
      </c>
      <c r="D2537" s="166">
        <f t="shared" si="179"/>
        <v>-313</v>
      </c>
      <c r="E2537" s="166">
        <f t="shared" ca="1" si="180"/>
        <v>5</v>
      </c>
      <c r="F2537" s="166">
        <f t="shared" ca="1" si="181"/>
        <v>36</v>
      </c>
      <c r="G2537" s="166" t="s">
        <v>4570</v>
      </c>
      <c r="H2537" s="171"/>
      <c r="I2537" s="171"/>
      <c r="J2537" s="171"/>
      <c r="K2537" s="171"/>
      <c r="L2537" s="166"/>
      <c r="M2537" s="166"/>
      <c r="N2537" s="166"/>
      <c r="O2537" s="166"/>
      <c r="P2537" s="166">
        <f t="shared" ca="1" si="182"/>
        <v>167</v>
      </c>
      <c r="Q2537" s="166" t="b">
        <v>0</v>
      </c>
    </row>
    <row r="2538" spans="1:17">
      <c r="A2538" s="166" t="b">
        <v>0</v>
      </c>
      <c r="B2538" s="166" t="s">
        <v>4848</v>
      </c>
      <c r="C2538" s="177">
        <v>28</v>
      </c>
      <c r="D2538" s="166">
        <f t="shared" si="179"/>
        <v>-312</v>
      </c>
      <c r="E2538" s="166">
        <f t="shared" ca="1" si="180"/>
        <v>6</v>
      </c>
      <c r="F2538" s="166">
        <f t="shared" ca="1" si="181"/>
        <v>36</v>
      </c>
      <c r="G2538" s="166" t="s">
        <v>4570</v>
      </c>
      <c r="H2538" s="171"/>
      <c r="I2538" s="171"/>
      <c r="J2538" s="171"/>
      <c r="K2538" s="171"/>
      <c r="L2538" s="166"/>
      <c r="M2538" s="166"/>
      <c r="N2538" s="166"/>
      <c r="O2538" s="166"/>
      <c r="P2538" s="166">
        <f t="shared" ca="1" si="182"/>
        <v>168</v>
      </c>
      <c r="Q2538" s="166" t="b">
        <v>0</v>
      </c>
    </row>
    <row r="2539" spans="1:17">
      <c r="A2539" s="166" t="b">
        <v>0</v>
      </c>
      <c r="B2539" s="166" t="s">
        <v>4849</v>
      </c>
      <c r="C2539" s="177">
        <v>29</v>
      </c>
      <c r="D2539" s="166">
        <f t="shared" si="179"/>
        <v>-311</v>
      </c>
      <c r="E2539" s="166">
        <f t="shared" ca="1" si="180"/>
        <v>1</v>
      </c>
      <c r="F2539" s="166">
        <f t="shared" ca="1" si="181"/>
        <v>37</v>
      </c>
      <c r="G2539" s="166" t="s">
        <v>4572</v>
      </c>
      <c r="H2539" s="171"/>
      <c r="I2539" s="171"/>
      <c r="J2539" s="171"/>
      <c r="K2539" s="171"/>
      <c r="L2539" s="166"/>
      <c r="M2539" s="166"/>
      <c r="N2539" s="166"/>
      <c r="O2539" s="166"/>
      <c r="P2539" s="166">
        <f t="shared" ca="1" si="182"/>
        <v>169</v>
      </c>
      <c r="Q2539" s="166" t="b">
        <v>0</v>
      </c>
    </row>
    <row r="2540" spans="1:17">
      <c r="A2540" s="166" t="b">
        <v>0</v>
      </c>
      <c r="B2540" s="166" t="s">
        <v>4850</v>
      </c>
      <c r="C2540" s="177">
        <v>29</v>
      </c>
      <c r="D2540" s="166">
        <f t="shared" si="179"/>
        <v>-310</v>
      </c>
      <c r="E2540" s="166">
        <f t="shared" ca="1" si="180"/>
        <v>2</v>
      </c>
      <c r="F2540" s="166">
        <f t="shared" ca="1" si="181"/>
        <v>37</v>
      </c>
      <c r="G2540" s="166" t="s">
        <v>4572</v>
      </c>
      <c r="H2540" s="171"/>
      <c r="I2540" s="171"/>
      <c r="J2540" s="171"/>
      <c r="K2540" s="171"/>
      <c r="L2540" s="166"/>
      <c r="M2540" s="166"/>
      <c r="N2540" s="166"/>
      <c r="O2540" s="166"/>
      <c r="P2540" s="166">
        <f t="shared" ca="1" si="182"/>
        <v>170</v>
      </c>
      <c r="Q2540" s="166" t="b">
        <v>0</v>
      </c>
    </row>
    <row r="2541" spans="1:17">
      <c r="A2541" s="166" t="b">
        <v>0</v>
      </c>
      <c r="B2541" s="166" t="s">
        <v>4851</v>
      </c>
      <c r="C2541" s="177">
        <v>29</v>
      </c>
      <c r="D2541" s="166">
        <f t="shared" si="179"/>
        <v>-309</v>
      </c>
      <c r="E2541" s="166">
        <f t="shared" si="180"/>
        <v>3</v>
      </c>
      <c r="F2541" s="166">
        <f t="shared" ca="1" si="181"/>
        <v>37</v>
      </c>
      <c r="G2541" s="166" t="s">
        <v>4572</v>
      </c>
      <c r="H2541" s="171"/>
      <c r="I2541" s="171"/>
      <c r="J2541" s="171"/>
      <c r="K2541" s="171"/>
      <c r="L2541" s="166"/>
      <c r="M2541" s="166"/>
      <c r="N2541" s="166"/>
      <c r="O2541" s="166"/>
      <c r="P2541" s="166">
        <f t="shared" ca="1" si="182"/>
        <v>171</v>
      </c>
      <c r="Q2541" s="166" t="b">
        <v>0</v>
      </c>
    </row>
    <row r="2542" spans="1:17">
      <c r="A2542" s="166" t="b">
        <v>0</v>
      </c>
      <c r="B2542" s="166" t="s">
        <v>4852</v>
      </c>
      <c r="C2542" s="177">
        <v>29</v>
      </c>
      <c r="D2542" s="166">
        <f t="shared" si="179"/>
        <v>-308</v>
      </c>
      <c r="E2542" s="166">
        <f t="shared" si="180"/>
        <v>4</v>
      </c>
      <c r="F2542" s="166">
        <f t="shared" ca="1" si="181"/>
        <v>37</v>
      </c>
      <c r="G2542" s="166" t="s">
        <v>4572</v>
      </c>
      <c r="H2542" s="171"/>
      <c r="I2542" s="171"/>
      <c r="J2542" s="171"/>
      <c r="K2542" s="171"/>
      <c r="L2542" s="166"/>
      <c r="M2542" s="166"/>
      <c r="N2542" s="166"/>
      <c r="O2542" s="166"/>
      <c r="P2542" s="166">
        <f t="shared" ca="1" si="182"/>
        <v>172</v>
      </c>
      <c r="Q2542" s="166" t="b">
        <v>0</v>
      </c>
    </row>
    <row r="2543" spans="1:17">
      <c r="A2543" s="166" t="b">
        <v>0</v>
      </c>
      <c r="B2543" s="166" t="s">
        <v>4853</v>
      </c>
      <c r="C2543" s="177">
        <v>29</v>
      </c>
      <c r="D2543" s="166">
        <f t="shared" si="179"/>
        <v>-307</v>
      </c>
      <c r="E2543" s="166">
        <f t="shared" si="180"/>
        <v>5</v>
      </c>
      <c r="F2543" s="166">
        <f t="shared" ca="1" si="181"/>
        <v>37</v>
      </c>
      <c r="G2543" s="166" t="s">
        <v>4572</v>
      </c>
      <c r="H2543" s="171"/>
      <c r="I2543" s="171"/>
      <c r="J2543" s="171"/>
      <c r="K2543" s="171"/>
      <c r="L2543" s="166"/>
      <c r="M2543" s="166"/>
      <c r="N2543" s="166"/>
      <c r="O2543" s="166"/>
      <c r="P2543" s="166">
        <f t="shared" ca="1" si="182"/>
        <v>173</v>
      </c>
      <c r="Q2543" s="166" t="b">
        <v>0</v>
      </c>
    </row>
    <row r="2544" spans="1:17">
      <c r="A2544" s="166" t="b">
        <v>0</v>
      </c>
      <c r="B2544" s="166" t="s">
        <v>4854</v>
      </c>
      <c r="C2544" s="177">
        <v>29</v>
      </c>
      <c r="D2544" s="166">
        <f t="shared" si="179"/>
        <v>-306</v>
      </c>
      <c r="E2544" s="166">
        <f t="shared" si="180"/>
        <v>6</v>
      </c>
      <c r="F2544" s="166">
        <f t="shared" ca="1" si="181"/>
        <v>37</v>
      </c>
      <c r="G2544" s="166" t="s">
        <v>4572</v>
      </c>
      <c r="H2544" s="171"/>
      <c r="I2544" s="171"/>
      <c r="J2544" s="171"/>
      <c r="K2544" s="171"/>
      <c r="L2544" s="166"/>
      <c r="M2544" s="166"/>
      <c r="N2544" s="166"/>
      <c r="O2544" s="166"/>
      <c r="P2544" s="166">
        <f t="shared" ca="1" si="182"/>
        <v>174</v>
      </c>
      <c r="Q2544" s="166" t="b">
        <v>0</v>
      </c>
    </row>
    <row r="2545" spans="1:17">
      <c r="A2545" s="166" t="b">
        <v>0</v>
      </c>
      <c r="B2545" s="166" t="s">
        <v>4855</v>
      </c>
      <c r="C2545" s="177">
        <v>30</v>
      </c>
      <c r="D2545" s="166">
        <f t="shared" si="179"/>
        <v>-305</v>
      </c>
      <c r="E2545" s="166">
        <f t="shared" si="180"/>
        <v>1</v>
      </c>
      <c r="F2545" s="166">
        <f t="shared" ca="1" si="181"/>
        <v>38</v>
      </c>
      <c r="G2545" s="166" t="s">
        <v>4574</v>
      </c>
      <c r="H2545" s="171"/>
      <c r="I2545" s="171"/>
      <c r="J2545" s="171"/>
      <c r="K2545" s="171"/>
      <c r="L2545" s="166"/>
      <c r="M2545" s="166"/>
      <c r="N2545" s="166"/>
      <c r="O2545" s="166"/>
      <c r="P2545" s="166">
        <f t="shared" ca="1" si="182"/>
        <v>175</v>
      </c>
      <c r="Q2545" s="166" t="b">
        <v>0</v>
      </c>
    </row>
    <row r="2546" spans="1:17">
      <c r="A2546" s="166" t="b">
        <v>0</v>
      </c>
      <c r="B2546" s="166" t="s">
        <v>4856</v>
      </c>
      <c r="C2546" s="177">
        <v>30</v>
      </c>
      <c r="D2546" s="166">
        <f t="shared" si="179"/>
        <v>-304</v>
      </c>
      <c r="E2546" s="166">
        <f t="shared" si="180"/>
        <v>2</v>
      </c>
      <c r="F2546" s="166">
        <f t="shared" ca="1" si="181"/>
        <v>38</v>
      </c>
      <c r="G2546" s="166" t="s">
        <v>4574</v>
      </c>
      <c r="H2546" s="171"/>
      <c r="I2546" s="171"/>
      <c r="J2546" s="171"/>
      <c r="K2546" s="171"/>
      <c r="L2546" s="166"/>
      <c r="M2546" s="166"/>
      <c r="N2546" s="166"/>
      <c r="O2546" s="166"/>
      <c r="P2546" s="166">
        <f t="shared" ca="1" si="182"/>
        <v>176</v>
      </c>
      <c r="Q2546" s="166" t="b">
        <v>0</v>
      </c>
    </row>
    <row r="2547" spans="1:17">
      <c r="A2547" s="166" t="b">
        <v>0</v>
      </c>
      <c r="B2547" s="166" t="s">
        <v>4857</v>
      </c>
      <c r="C2547" s="177">
        <v>30</v>
      </c>
      <c r="D2547" s="166">
        <f t="shared" si="179"/>
        <v>-303</v>
      </c>
      <c r="E2547" s="166">
        <f t="shared" si="180"/>
        <v>3</v>
      </c>
      <c r="F2547" s="166">
        <f t="shared" ca="1" si="181"/>
        <v>38</v>
      </c>
      <c r="G2547" s="166" t="s">
        <v>4574</v>
      </c>
      <c r="H2547" s="171"/>
      <c r="I2547" s="171"/>
      <c r="J2547" s="171"/>
      <c r="K2547" s="171"/>
      <c r="L2547" s="166"/>
      <c r="M2547" s="166"/>
      <c r="N2547" s="166"/>
      <c r="O2547" s="166"/>
      <c r="P2547" s="166">
        <f t="shared" ca="1" si="182"/>
        <v>177</v>
      </c>
      <c r="Q2547" s="166" t="b">
        <v>0</v>
      </c>
    </row>
    <row r="2548" spans="1:17">
      <c r="A2548" s="166" t="b">
        <v>0</v>
      </c>
      <c r="B2548" s="166" t="s">
        <v>4858</v>
      </c>
      <c r="C2548" s="177">
        <v>30</v>
      </c>
      <c r="D2548" s="166">
        <f t="shared" si="179"/>
        <v>-302</v>
      </c>
      <c r="E2548" s="166">
        <f t="shared" si="180"/>
        <v>4</v>
      </c>
      <c r="F2548" s="166">
        <f t="shared" ca="1" si="181"/>
        <v>38</v>
      </c>
      <c r="G2548" s="166" t="s">
        <v>4574</v>
      </c>
      <c r="H2548" s="171"/>
      <c r="I2548" s="171"/>
      <c r="J2548" s="171"/>
      <c r="K2548" s="171"/>
      <c r="L2548" s="166"/>
      <c r="M2548" s="166"/>
      <c r="N2548" s="166"/>
      <c r="O2548" s="166"/>
      <c r="P2548" s="166">
        <f t="shared" ca="1" si="182"/>
        <v>178</v>
      </c>
      <c r="Q2548" s="166" t="b">
        <v>0</v>
      </c>
    </row>
    <row r="2549" spans="1:17">
      <c r="A2549" s="166" t="b">
        <v>0</v>
      </c>
      <c r="B2549" s="166" t="s">
        <v>4859</v>
      </c>
      <c r="C2549" s="177">
        <v>30</v>
      </c>
      <c r="D2549" s="166">
        <f t="shared" si="179"/>
        <v>-301</v>
      </c>
      <c r="E2549" s="166">
        <f t="shared" si="180"/>
        <v>5</v>
      </c>
      <c r="F2549" s="166">
        <f t="shared" ca="1" si="181"/>
        <v>38</v>
      </c>
      <c r="G2549" s="166" t="s">
        <v>4574</v>
      </c>
      <c r="H2549" s="171"/>
      <c r="I2549" s="171"/>
      <c r="J2549" s="171"/>
      <c r="K2549" s="171"/>
      <c r="L2549" s="166"/>
      <c r="M2549" s="166"/>
      <c r="N2549" s="166"/>
      <c r="O2549" s="166"/>
      <c r="P2549" s="166">
        <f t="shared" ca="1" si="182"/>
        <v>179</v>
      </c>
      <c r="Q2549" s="166" t="b">
        <v>0</v>
      </c>
    </row>
    <row r="2550" spans="1:17">
      <c r="A2550" s="166" t="b">
        <v>0</v>
      </c>
      <c r="B2550" s="166" t="s">
        <v>4860</v>
      </c>
      <c r="C2550" s="177">
        <v>30</v>
      </c>
      <c r="D2550" s="166">
        <f t="shared" si="179"/>
        <v>-300</v>
      </c>
      <c r="E2550" s="166">
        <f t="shared" si="180"/>
        <v>6</v>
      </c>
      <c r="F2550" s="166">
        <f t="shared" ca="1" si="181"/>
        <v>38</v>
      </c>
      <c r="G2550" s="166" t="s">
        <v>4574</v>
      </c>
      <c r="H2550" s="171"/>
      <c r="I2550" s="171"/>
      <c r="J2550" s="171"/>
      <c r="K2550" s="171"/>
      <c r="L2550" s="166"/>
      <c r="M2550" s="166"/>
      <c r="N2550" s="166"/>
      <c r="O2550" s="166"/>
      <c r="P2550" s="166">
        <f t="shared" ca="1" si="182"/>
        <v>180</v>
      </c>
      <c r="Q2550" s="166" t="b">
        <v>0</v>
      </c>
    </row>
    <row r="2551" spans="1:17">
      <c r="A2551" s="166" t="b">
        <v>0</v>
      </c>
      <c r="B2551" s="166" t="s">
        <v>4861</v>
      </c>
      <c r="C2551" s="177">
        <v>31</v>
      </c>
      <c r="D2551" s="166">
        <f t="shared" si="179"/>
        <v>-299</v>
      </c>
      <c r="E2551" s="166">
        <f t="shared" si="180"/>
        <v>1</v>
      </c>
      <c r="F2551" s="166">
        <f t="shared" ca="1" si="181"/>
        <v>39</v>
      </c>
      <c r="G2551" s="166" t="s">
        <v>4576</v>
      </c>
      <c r="H2551" s="171"/>
      <c r="I2551" s="171"/>
      <c r="J2551" s="171"/>
      <c r="K2551" s="171"/>
      <c r="L2551" s="166"/>
      <c r="M2551" s="166"/>
      <c r="N2551" s="166"/>
      <c r="O2551" s="166"/>
      <c r="P2551" s="166">
        <f t="shared" ca="1" si="182"/>
        <v>181</v>
      </c>
      <c r="Q2551" s="166" t="b">
        <v>0</v>
      </c>
    </row>
    <row r="2552" spans="1:17">
      <c r="A2552" s="166" t="b">
        <v>0</v>
      </c>
      <c r="B2552" s="166" t="s">
        <v>4862</v>
      </c>
      <c r="C2552" s="177">
        <v>31</v>
      </c>
      <c r="D2552" s="166">
        <f t="shared" si="179"/>
        <v>-298</v>
      </c>
      <c r="E2552" s="166">
        <f t="shared" si="180"/>
        <v>2</v>
      </c>
      <c r="F2552" s="166">
        <f t="shared" ca="1" si="181"/>
        <v>39</v>
      </c>
      <c r="G2552" s="166" t="s">
        <v>4576</v>
      </c>
      <c r="H2552" s="171"/>
      <c r="I2552" s="171"/>
      <c r="J2552" s="171"/>
      <c r="K2552" s="171"/>
      <c r="L2552" s="166"/>
      <c r="M2552" s="166"/>
      <c r="N2552" s="166"/>
      <c r="O2552" s="166"/>
      <c r="P2552" s="166">
        <f t="shared" ca="1" si="182"/>
        <v>182</v>
      </c>
      <c r="Q2552" s="166" t="b">
        <v>0</v>
      </c>
    </row>
    <row r="2553" spans="1:17">
      <c r="A2553" s="166" t="b">
        <v>0</v>
      </c>
      <c r="B2553" s="166" t="s">
        <v>4863</v>
      </c>
      <c r="C2553" s="177">
        <v>31</v>
      </c>
      <c r="D2553" s="166">
        <f t="shared" si="179"/>
        <v>-297</v>
      </c>
      <c r="E2553" s="166">
        <f t="shared" si="180"/>
        <v>3</v>
      </c>
      <c r="F2553" s="166">
        <f t="shared" ca="1" si="181"/>
        <v>39</v>
      </c>
      <c r="G2553" s="166" t="s">
        <v>4576</v>
      </c>
      <c r="H2553" s="171"/>
      <c r="I2553" s="171"/>
      <c r="J2553" s="171"/>
      <c r="K2553" s="171"/>
      <c r="L2553" s="166"/>
      <c r="M2553" s="166"/>
      <c r="N2553" s="166"/>
      <c r="O2553" s="166"/>
      <c r="P2553" s="166">
        <f t="shared" ca="1" si="182"/>
        <v>183</v>
      </c>
      <c r="Q2553" s="166" t="b">
        <v>0</v>
      </c>
    </row>
    <row r="2554" spans="1:17">
      <c r="A2554" s="166" t="b">
        <v>0</v>
      </c>
      <c r="B2554" s="166" t="s">
        <v>4864</v>
      </c>
      <c r="C2554" s="177">
        <v>31</v>
      </c>
      <c r="D2554" s="166">
        <f t="shared" si="179"/>
        <v>-296</v>
      </c>
      <c r="E2554" s="166">
        <f t="shared" si="180"/>
        <v>4</v>
      </c>
      <c r="F2554" s="166">
        <f t="shared" ca="1" si="181"/>
        <v>39</v>
      </c>
      <c r="G2554" s="166" t="s">
        <v>4576</v>
      </c>
      <c r="H2554" s="171"/>
      <c r="I2554" s="171"/>
      <c r="J2554" s="171"/>
      <c r="K2554" s="171"/>
      <c r="L2554" s="166"/>
      <c r="M2554" s="166"/>
      <c r="N2554" s="166"/>
      <c r="O2554" s="166"/>
      <c r="P2554" s="166">
        <f t="shared" ca="1" si="182"/>
        <v>184</v>
      </c>
      <c r="Q2554" s="166" t="b">
        <v>0</v>
      </c>
    </row>
    <row r="2555" spans="1:17">
      <c r="A2555" s="166" t="b">
        <v>0</v>
      </c>
      <c r="B2555" s="166" t="s">
        <v>4865</v>
      </c>
      <c r="C2555" s="177">
        <v>31</v>
      </c>
      <c r="D2555" s="166">
        <f t="shared" si="179"/>
        <v>-295</v>
      </c>
      <c r="E2555" s="166">
        <f t="shared" si="180"/>
        <v>5</v>
      </c>
      <c r="F2555" s="166">
        <f t="shared" ca="1" si="181"/>
        <v>39</v>
      </c>
      <c r="G2555" s="166" t="s">
        <v>4576</v>
      </c>
      <c r="H2555" s="171"/>
      <c r="I2555" s="171"/>
      <c r="J2555" s="171"/>
      <c r="K2555" s="171"/>
      <c r="L2555" s="166"/>
      <c r="M2555" s="166"/>
      <c r="N2555" s="166"/>
      <c r="O2555" s="166"/>
      <c r="P2555" s="166">
        <f t="shared" ca="1" si="182"/>
        <v>185</v>
      </c>
      <c r="Q2555" s="166" t="b">
        <v>0</v>
      </c>
    </row>
    <row r="2556" spans="1:17">
      <c r="A2556" s="166" t="b">
        <v>0</v>
      </c>
      <c r="B2556" s="166" t="s">
        <v>4866</v>
      </c>
      <c r="C2556" s="177">
        <v>31</v>
      </c>
      <c r="D2556" s="166">
        <f t="shared" si="179"/>
        <v>-294</v>
      </c>
      <c r="E2556" s="166">
        <f t="shared" si="180"/>
        <v>6</v>
      </c>
      <c r="F2556" s="166">
        <f t="shared" ca="1" si="181"/>
        <v>39</v>
      </c>
      <c r="G2556" s="166" t="s">
        <v>4576</v>
      </c>
      <c r="H2556" s="171"/>
      <c r="I2556" s="171"/>
      <c r="J2556" s="171"/>
      <c r="K2556" s="171"/>
      <c r="L2556" s="166"/>
      <c r="M2556" s="166"/>
      <c r="N2556" s="166"/>
      <c r="O2556" s="166"/>
      <c r="P2556" s="166">
        <f t="shared" ca="1" si="182"/>
        <v>186</v>
      </c>
      <c r="Q2556" s="166" t="b">
        <v>0</v>
      </c>
    </row>
    <row r="2557" spans="1:17">
      <c r="A2557" s="166" t="b">
        <v>0</v>
      </c>
      <c r="B2557" s="166" t="s">
        <v>4867</v>
      </c>
      <c r="C2557" s="177">
        <v>32</v>
      </c>
      <c r="D2557" s="166">
        <f t="shared" si="179"/>
        <v>-293</v>
      </c>
      <c r="E2557" s="166">
        <f t="shared" si="180"/>
        <v>1</v>
      </c>
      <c r="F2557" s="166">
        <f t="shared" ca="1" si="181"/>
        <v>40</v>
      </c>
      <c r="G2557" s="166" t="s">
        <v>4578</v>
      </c>
      <c r="H2557" s="171"/>
      <c r="I2557" s="171"/>
      <c r="J2557" s="171"/>
      <c r="K2557" s="171"/>
      <c r="L2557" s="166"/>
      <c r="M2557" s="166"/>
      <c r="N2557" s="166"/>
      <c r="O2557" s="166"/>
      <c r="P2557" s="166">
        <f t="shared" ca="1" si="182"/>
        <v>187</v>
      </c>
      <c r="Q2557" s="166" t="b">
        <v>0</v>
      </c>
    </row>
    <row r="2558" spans="1:17">
      <c r="A2558" s="166" t="b">
        <v>0</v>
      </c>
      <c r="B2558" s="166" t="s">
        <v>4868</v>
      </c>
      <c r="C2558" s="177">
        <v>32</v>
      </c>
      <c r="D2558" s="166">
        <f t="shared" si="179"/>
        <v>-292</v>
      </c>
      <c r="E2558" s="166">
        <f t="shared" si="180"/>
        <v>2</v>
      </c>
      <c r="F2558" s="166">
        <f t="shared" ca="1" si="181"/>
        <v>40</v>
      </c>
      <c r="G2558" s="166" t="s">
        <v>4578</v>
      </c>
      <c r="H2558" s="171"/>
      <c r="I2558" s="171"/>
      <c r="J2558" s="171"/>
      <c r="K2558" s="171"/>
      <c r="L2558" s="166"/>
      <c r="M2558" s="166"/>
      <c r="N2558" s="166"/>
      <c r="O2558" s="166"/>
      <c r="P2558" s="166">
        <f t="shared" ca="1" si="182"/>
        <v>188</v>
      </c>
      <c r="Q2558" s="166" t="b">
        <v>0</v>
      </c>
    </row>
    <row r="2559" spans="1:17">
      <c r="A2559" s="166" t="b">
        <v>0</v>
      </c>
      <c r="B2559" s="166" t="s">
        <v>4869</v>
      </c>
      <c r="C2559" s="177">
        <v>32</v>
      </c>
      <c r="D2559" s="166">
        <f t="shared" si="179"/>
        <v>-291</v>
      </c>
      <c r="E2559" s="166">
        <f t="shared" si="180"/>
        <v>3</v>
      </c>
      <c r="F2559" s="166">
        <f t="shared" ca="1" si="181"/>
        <v>40</v>
      </c>
      <c r="G2559" s="166" t="s">
        <v>4578</v>
      </c>
      <c r="H2559" s="171"/>
      <c r="I2559" s="171"/>
      <c r="J2559" s="171"/>
      <c r="K2559" s="171"/>
      <c r="L2559" s="166"/>
      <c r="M2559" s="166"/>
      <c r="N2559" s="166"/>
      <c r="O2559" s="166"/>
      <c r="P2559" s="166">
        <f t="shared" ca="1" si="182"/>
        <v>189</v>
      </c>
      <c r="Q2559" s="166" t="b">
        <v>0</v>
      </c>
    </row>
    <row r="2560" spans="1:17">
      <c r="A2560" s="166" t="b">
        <v>0</v>
      </c>
      <c r="B2560" s="166" t="s">
        <v>4870</v>
      </c>
      <c r="C2560" s="177">
        <v>32</v>
      </c>
      <c r="D2560" s="166">
        <f t="shared" si="179"/>
        <v>-290</v>
      </c>
      <c r="E2560" s="166">
        <f t="shared" si="180"/>
        <v>4</v>
      </c>
      <c r="F2560" s="166">
        <f t="shared" ca="1" si="181"/>
        <v>40</v>
      </c>
      <c r="G2560" s="166" t="s">
        <v>4578</v>
      </c>
      <c r="H2560" s="171"/>
      <c r="I2560" s="171"/>
      <c r="J2560" s="171"/>
      <c r="K2560" s="171"/>
      <c r="L2560" s="166"/>
      <c r="M2560" s="166"/>
      <c r="N2560" s="166"/>
      <c r="O2560" s="166"/>
      <c r="P2560" s="166">
        <f t="shared" ca="1" si="182"/>
        <v>190</v>
      </c>
      <c r="Q2560" s="166" t="b">
        <v>0</v>
      </c>
    </row>
    <row r="2561" spans="1:17">
      <c r="A2561" s="166" t="b">
        <v>0</v>
      </c>
      <c r="B2561" s="166" t="s">
        <v>4871</v>
      </c>
      <c r="C2561" s="177">
        <v>32</v>
      </c>
      <c r="D2561" s="166">
        <f t="shared" si="179"/>
        <v>-289</v>
      </c>
      <c r="E2561" s="166">
        <f t="shared" si="180"/>
        <v>5</v>
      </c>
      <c r="F2561" s="166">
        <f t="shared" ca="1" si="181"/>
        <v>40</v>
      </c>
      <c r="G2561" s="166" t="s">
        <v>4578</v>
      </c>
      <c r="H2561" s="171"/>
      <c r="I2561" s="171"/>
      <c r="J2561" s="171"/>
      <c r="K2561" s="171"/>
      <c r="L2561" s="166"/>
      <c r="M2561" s="166"/>
      <c r="N2561" s="166"/>
      <c r="O2561" s="166"/>
      <c r="P2561" s="166">
        <f t="shared" ca="1" si="182"/>
        <v>191</v>
      </c>
      <c r="Q2561" s="166" t="b">
        <v>0</v>
      </c>
    </row>
    <row r="2562" spans="1:17">
      <c r="A2562" s="166" t="b">
        <v>0</v>
      </c>
      <c r="B2562" s="166" t="s">
        <v>4872</v>
      </c>
      <c r="C2562" s="177">
        <v>32</v>
      </c>
      <c r="D2562" s="166">
        <f t="shared" si="179"/>
        <v>-288</v>
      </c>
      <c r="E2562" s="166">
        <f t="shared" si="180"/>
        <v>6</v>
      </c>
      <c r="F2562" s="166">
        <f t="shared" ca="1" si="181"/>
        <v>40</v>
      </c>
      <c r="G2562" s="166" t="s">
        <v>4578</v>
      </c>
      <c r="H2562" s="171"/>
      <c r="I2562" s="171"/>
      <c r="J2562" s="171"/>
      <c r="K2562" s="171"/>
      <c r="L2562" s="166"/>
      <c r="M2562" s="166"/>
      <c r="N2562" s="166"/>
      <c r="O2562" s="166"/>
      <c r="P2562" s="166">
        <f t="shared" ca="1" si="182"/>
        <v>192</v>
      </c>
      <c r="Q2562" s="166" t="b">
        <v>0</v>
      </c>
    </row>
    <row r="2563" spans="1:17">
      <c r="A2563" s="166" t="b">
        <v>0</v>
      </c>
      <c r="B2563" s="166" t="s">
        <v>4873</v>
      </c>
      <c r="C2563" s="177">
        <v>33</v>
      </c>
      <c r="D2563" s="166">
        <f t="shared" ref="D2563:D2626" si="183">D2562+1</f>
        <v>-287</v>
      </c>
      <c r="E2563" s="166">
        <f t="shared" ref="E2563:E2626" si="184">COUNTIF(C2393:C2563,C2563)</f>
        <v>1</v>
      </c>
      <c r="F2563" s="166">
        <f t="shared" ref="F2563:F2626" ca="1" si="185">IF(C2563=1,9,IF(E2562=MAX(E2561:E2563),F2561+1,F2562))</f>
        <v>41</v>
      </c>
      <c r="G2563" s="166" t="s">
        <v>4580</v>
      </c>
      <c r="H2563" s="171"/>
      <c r="I2563" s="171"/>
      <c r="J2563" s="171"/>
      <c r="K2563" s="171"/>
      <c r="L2563" s="166"/>
      <c r="M2563" s="166"/>
      <c r="N2563" s="166"/>
      <c r="O2563" s="166"/>
      <c r="P2563" s="166">
        <f t="shared" ref="P2563:P2626" ca="1" si="186">IF(NOT(_xlfn.ISFORMULA(I2563)),P2562+1,0)</f>
        <v>193</v>
      </c>
      <c r="Q2563" s="166" t="b">
        <v>0</v>
      </c>
    </row>
    <row r="2564" spans="1:17">
      <c r="A2564" s="166" t="b">
        <v>0</v>
      </c>
      <c r="B2564" s="166" t="s">
        <v>4874</v>
      </c>
      <c r="C2564" s="177">
        <v>33</v>
      </c>
      <c r="D2564" s="166">
        <f t="shared" si="183"/>
        <v>-286</v>
      </c>
      <c r="E2564" s="166">
        <f t="shared" si="184"/>
        <v>2</v>
      </c>
      <c r="F2564" s="166">
        <f t="shared" ca="1" si="185"/>
        <v>41</v>
      </c>
      <c r="G2564" s="166" t="s">
        <v>4580</v>
      </c>
      <c r="H2564" s="171"/>
      <c r="I2564" s="171"/>
      <c r="J2564" s="171"/>
      <c r="K2564" s="171"/>
      <c r="L2564" s="166"/>
      <c r="M2564" s="166"/>
      <c r="N2564" s="166"/>
      <c r="O2564" s="166"/>
      <c r="P2564" s="166">
        <f t="shared" ca="1" si="186"/>
        <v>194</v>
      </c>
      <c r="Q2564" s="166" t="b">
        <v>0</v>
      </c>
    </row>
    <row r="2565" spans="1:17">
      <c r="A2565" s="166" t="b">
        <v>0</v>
      </c>
      <c r="B2565" s="166" t="s">
        <v>4875</v>
      </c>
      <c r="C2565" s="177">
        <v>33</v>
      </c>
      <c r="D2565" s="166">
        <f t="shared" si="183"/>
        <v>-285</v>
      </c>
      <c r="E2565" s="166">
        <f t="shared" si="184"/>
        <v>3</v>
      </c>
      <c r="F2565" s="166">
        <f t="shared" ca="1" si="185"/>
        <v>41</v>
      </c>
      <c r="G2565" s="166" t="s">
        <v>4580</v>
      </c>
      <c r="H2565" s="171"/>
      <c r="I2565" s="171"/>
      <c r="J2565" s="171"/>
      <c r="K2565" s="171"/>
      <c r="L2565" s="166"/>
      <c r="M2565" s="166"/>
      <c r="N2565" s="166"/>
      <c r="O2565" s="166"/>
      <c r="P2565" s="166">
        <f t="shared" ca="1" si="186"/>
        <v>195</v>
      </c>
      <c r="Q2565" s="166" t="b">
        <v>0</v>
      </c>
    </row>
    <row r="2566" spans="1:17">
      <c r="A2566" s="166" t="b">
        <v>0</v>
      </c>
      <c r="B2566" s="166" t="s">
        <v>4876</v>
      </c>
      <c r="C2566" s="177">
        <v>33</v>
      </c>
      <c r="D2566" s="166">
        <f t="shared" si="183"/>
        <v>-284</v>
      </c>
      <c r="E2566" s="166">
        <f t="shared" si="184"/>
        <v>4</v>
      </c>
      <c r="F2566" s="166">
        <f t="shared" ca="1" si="185"/>
        <v>41</v>
      </c>
      <c r="G2566" s="166" t="s">
        <v>4580</v>
      </c>
      <c r="H2566" s="171"/>
      <c r="I2566" s="171"/>
      <c r="J2566" s="171"/>
      <c r="K2566" s="171"/>
      <c r="L2566" s="166"/>
      <c r="M2566" s="166"/>
      <c r="N2566" s="166"/>
      <c r="O2566" s="166"/>
      <c r="P2566" s="166">
        <f t="shared" ca="1" si="186"/>
        <v>196</v>
      </c>
      <c r="Q2566" s="166" t="b">
        <v>0</v>
      </c>
    </row>
    <row r="2567" spans="1:17">
      <c r="A2567" s="166" t="b">
        <v>0</v>
      </c>
      <c r="B2567" s="166" t="s">
        <v>4877</v>
      </c>
      <c r="C2567" s="177">
        <v>33</v>
      </c>
      <c r="D2567" s="166">
        <f t="shared" si="183"/>
        <v>-283</v>
      </c>
      <c r="E2567" s="166">
        <f t="shared" si="184"/>
        <v>5</v>
      </c>
      <c r="F2567" s="166">
        <f t="shared" ca="1" si="185"/>
        <v>41</v>
      </c>
      <c r="G2567" s="166" t="s">
        <v>4580</v>
      </c>
      <c r="H2567" s="171"/>
      <c r="I2567" s="171"/>
      <c r="J2567" s="171"/>
      <c r="K2567" s="171"/>
      <c r="L2567" s="166"/>
      <c r="M2567" s="166"/>
      <c r="N2567" s="166"/>
      <c r="O2567" s="166"/>
      <c r="P2567" s="166">
        <f t="shared" ca="1" si="186"/>
        <v>197</v>
      </c>
      <c r="Q2567" s="166" t="b">
        <v>0</v>
      </c>
    </row>
    <row r="2568" spans="1:17">
      <c r="A2568" s="166" t="b">
        <v>0</v>
      </c>
      <c r="B2568" s="166" t="s">
        <v>4878</v>
      </c>
      <c r="C2568" s="177">
        <v>33</v>
      </c>
      <c r="D2568" s="166">
        <f t="shared" si="183"/>
        <v>-282</v>
      </c>
      <c r="E2568" s="166">
        <f t="shared" si="184"/>
        <v>6</v>
      </c>
      <c r="F2568" s="166">
        <f t="shared" ca="1" si="185"/>
        <v>41</v>
      </c>
      <c r="G2568" s="166" t="s">
        <v>4580</v>
      </c>
      <c r="H2568" s="171"/>
      <c r="I2568" s="171"/>
      <c r="J2568" s="171"/>
      <c r="K2568" s="171"/>
      <c r="L2568" s="166"/>
      <c r="M2568" s="166"/>
      <c r="N2568" s="166"/>
      <c r="O2568" s="166"/>
      <c r="P2568" s="166">
        <f t="shared" ca="1" si="186"/>
        <v>198</v>
      </c>
      <c r="Q2568" s="166" t="b">
        <v>0</v>
      </c>
    </row>
    <row r="2569" spans="1:17">
      <c r="A2569" s="166" t="b">
        <v>0</v>
      </c>
      <c r="B2569" s="166" t="s">
        <v>4879</v>
      </c>
      <c r="C2569" s="177">
        <v>34</v>
      </c>
      <c r="D2569" s="166">
        <f t="shared" si="183"/>
        <v>-281</v>
      </c>
      <c r="E2569" s="166">
        <f t="shared" si="184"/>
        <v>1</v>
      </c>
      <c r="F2569" s="166">
        <f t="shared" ca="1" si="185"/>
        <v>42</v>
      </c>
      <c r="G2569" s="166" t="s">
        <v>4582</v>
      </c>
      <c r="H2569" s="171"/>
      <c r="I2569" s="171"/>
      <c r="J2569" s="171"/>
      <c r="K2569" s="171"/>
      <c r="L2569" s="166"/>
      <c r="M2569" s="166"/>
      <c r="N2569" s="166"/>
      <c r="O2569" s="166"/>
      <c r="P2569" s="166">
        <f t="shared" ca="1" si="186"/>
        <v>199</v>
      </c>
      <c r="Q2569" s="166" t="b">
        <v>0</v>
      </c>
    </row>
    <row r="2570" spans="1:17">
      <c r="A2570" s="166" t="b">
        <v>0</v>
      </c>
      <c r="B2570" s="166" t="s">
        <v>4880</v>
      </c>
      <c r="C2570" s="177">
        <v>34</v>
      </c>
      <c r="D2570" s="166">
        <f t="shared" si="183"/>
        <v>-280</v>
      </c>
      <c r="E2570" s="166">
        <f t="shared" si="184"/>
        <v>2</v>
      </c>
      <c r="F2570" s="166">
        <f t="shared" ca="1" si="185"/>
        <v>42</v>
      </c>
      <c r="G2570" s="166" t="s">
        <v>4582</v>
      </c>
      <c r="H2570" s="171"/>
      <c r="I2570" s="171"/>
      <c r="J2570" s="171"/>
      <c r="K2570" s="171"/>
      <c r="L2570" s="166"/>
      <c r="M2570" s="166"/>
      <c r="N2570" s="166"/>
      <c r="O2570" s="166"/>
      <c r="P2570" s="166">
        <f t="shared" ca="1" si="186"/>
        <v>200</v>
      </c>
      <c r="Q2570" s="166" t="b">
        <v>0</v>
      </c>
    </row>
    <row r="2571" spans="1:17">
      <c r="A2571" s="166" t="b">
        <v>0</v>
      </c>
      <c r="B2571" s="166" t="s">
        <v>4881</v>
      </c>
      <c r="C2571" s="177">
        <v>34</v>
      </c>
      <c r="D2571" s="166">
        <f t="shared" si="183"/>
        <v>-279</v>
      </c>
      <c r="E2571" s="166">
        <f t="shared" si="184"/>
        <v>3</v>
      </c>
      <c r="F2571" s="166">
        <f t="shared" ca="1" si="185"/>
        <v>42</v>
      </c>
      <c r="G2571" s="166" t="s">
        <v>4582</v>
      </c>
      <c r="H2571" s="171"/>
      <c r="I2571" s="171"/>
      <c r="J2571" s="171"/>
      <c r="K2571" s="171"/>
      <c r="L2571" s="166"/>
      <c r="M2571" s="166"/>
      <c r="N2571" s="166"/>
      <c r="O2571" s="166"/>
      <c r="P2571" s="166">
        <f t="shared" ca="1" si="186"/>
        <v>201</v>
      </c>
      <c r="Q2571" s="166" t="b">
        <v>0</v>
      </c>
    </row>
    <row r="2572" spans="1:17">
      <c r="A2572" s="166" t="b">
        <v>0</v>
      </c>
      <c r="B2572" s="166" t="s">
        <v>4882</v>
      </c>
      <c r="C2572" s="177">
        <v>34</v>
      </c>
      <c r="D2572" s="166">
        <f t="shared" si="183"/>
        <v>-278</v>
      </c>
      <c r="E2572" s="166">
        <f t="shared" si="184"/>
        <v>4</v>
      </c>
      <c r="F2572" s="166">
        <f t="shared" ca="1" si="185"/>
        <v>42</v>
      </c>
      <c r="G2572" s="166" t="s">
        <v>4582</v>
      </c>
      <c r="H2572" s="171"/>
      <c r="I2572" s="171"/>
      <c r="J2572" s="171"/>
      <c r="K2572" s="171"/>
      <c r="L2572" s="166"/>
      <c r="M2572" s="166"/>
      <c r="N2572" s="166"/>
      <c r="O2572" s="166"/>
      <c r="P2572" s="166">
        <f t="shared" ca="1" si="186"/>
        <v>202</v>
      </c>
      <c r="Q2572" s="166" t="b">
        <v>0</v>
      </c>
    </row>
    <row r="2573" spans="1:17">
      <c r="A2573" s="166" t="b">
        <v>0</v>
      </c>
      <c r="B2573" s="166" t="s">
        <v>4883</v>
      </c>
      <c r="C2573" s="177">
        <v>34</v>
      </c>
      <c r="D2573" s="166">
        <f t="shared" si="183"/>
        <v>-277</v>
      </c>
      <c r="E2573" s="166">
        <f t="shared" si="184"/>
        <v>5</v>
      </c>
      <c r="F2573" s="166">
        <f t="shared" ca="1" si="185"/>
        <v>42</v>
      </c>
      <c r="G2573" s="166" t="s">
        <v>4582</v>
      </c>
      <c r="H2573" s="171"/>
      <c r="I2573" s="171"/>
      <c r="J2573" s="171"/>
      <c r="K2573" s="171"/>
      <c r="L2573" s="166"/>
      <c r="M2573" s="166"/>
      <c r="N2573" s="166"/>
      <c r="O2573" s="166"/>
      <c r="P2573" s="166">
        <f t="shared" ca="1" si="186"/>
        <v>203</v>
      </c>
      <c r="Q2573" s="166" t="b">
        <v>0</v>
      </c>
    </row>
    <row r="2574" spans="1:17">
      <c r="A2574" s="166" t="b">
        <v>0</v>
      </c>
      <c r="B2574" s="166" t="s">
        <v>4884</v>
      </c>
      <c r="C2574" s="177">
        <v>34</v>
      </c>
      <c r="D2574" s="166">
        <f t="shared" si="183"/>
        <v>-276</v>
      </c>
      <c r="E2574" s="166">
        <f t="shared" si="184"/>
        <v>6</v>
      </c>
      <c r="F2574" s="166">
        <f t="shared" ca="1" si="185"/>
        <v>42</v>
      </c>
      <c r="G2574" s="166" t="s">
        <v>4582</v>
      </c>
      <c r="H2574" s="171"/>
      <c r="I2574" s="171"/>
      <c r="J2574" s="171"/>
      <c r="K2574" s="171"/>
      <c r="L2574" s="166"/>
      <c r="M2574" s="166"/>
      <c r="N2574" s="166"/>
      <c r="O2574" s="166"/>
      <c r="P2574" s="166">
        <f t="shared" ca="1" si="186"/>
        <v>204</v>
      </c>
      <c r="Q2574" s="166" t="b">
        <v>0</v>
      </c>
    </row>
    <row r="2575" spans="1:17">
      <c r="A2575" s="166" t="b">
        <v>0</v>
      </c>
      <c r="B2575" s="166" t="s">
        <v>4885</v>
      </c>
      <c r="C2575" s="177">
        <v>35</v>
      </c>
      <c r="D2575" s="166">
        <f t="shared" si="183"/>
        <v>-275</v>
      </c>
      <c r="E2575" s="166">
        <f t="shared" si="184"/>
        <v>1</v>
      </c>
      <c r="F2575" s="166">
        <f t="shared" ca="1" si="185"/>
        <v>43</v>
      </c>
      <c r="G2575" s="166" t="s">
        <v>4584</v>
      </c>
      <c r="H2575" s="171"/>
      <c r="I2575" s="171"/>
      <c r="J2575" s="171"/>
      <c r="K2575" s="171"/>
      <c r="L2575" s="166"/>
      <c r="M2575" s="166"/>
      <c r="N2575" s="166"/>
      <c r="O2575" s="166"/>
      <c r="P2575" s="166">
        <f t="shared" ca="1" si="186"/>
        <v>205</v>
      </c>
      <c r="Q2575" s="166" t="b">
        <v>0</v>
      </c>
    </row>
    <row r="2576" spans="1:17">
      <c r="A2576" s="166" t="b">
        <v>0</v>
      </c>
      <c r="B2576" s="166" t="s">
        <v>4886</v>
      </c>
      <c r="C2576" s="177">
        <v>35</v>
      </c>
      <c r="D2576" s="166">
        <f t="shared" si="183"/>
        <v>-274</v>
      </c>
      <c r="E2576" s="166">
        <f t="shared" si="184"/>
        <v>2</v>
      </c>
      <c r="F2576" s="166">
        <f t="shared" ca="1" si="185"/>
        <v>43</v>
      </c>
      <c r="G2576" s="166" t="s">
        <v>4584</v>
      </c>
      <c r="H2576" s="171"/>
      <c r="I2576" s="171"/>
      <c r="J2576" s="171"/>
      <c r="K2576" s="171"/>
      <c r="L2576" s="166"/>
      <c r="M2576" s="166"/>
      <c r="N2576" s="166"/>
      <c r="O2576" s="166"/>
      <c r="P2576" s="166">
        <f t="shared" ca="1" si="186"/>
        <v>206</v>
      </c>
      <c r="Q2576" s="166" t="b">
        <v>0</v>
      </c>
    </row>
    <row r="2577" spans="1:17">
      <c r="A2577" s="166" t="b">
        <v>0</v>
      </c>
      <c r="B2577" s="166" t="s">
        <v>4887</v>
      </c>
      <c r="C2577" s="177">
        <v>35</v>
      </c>
      <c r="D2577" s="166">
        <f t="shared" si="183"/>
        <v>-273</v>
      </c>
      <c r="E2577" s="166">
        <f t="shared" si="184"/>
        <v>3</v>
      </c>
      <c r="F2577" s="166">
        <f t="shared" ca="1" si="185"/>
        <v>43</v>
      </c>
      <c r="G2577" s="166" t="s">
        <v>4584</v>
      </c>
      <c r="H2577" s="171"/>
      <c r="I2577" s="171"/>
      <c r="J2577" s="171"/>
      <c r="K2577" s="171"/>
      <c r="L2577" s="166"/>
      <c r="M2577" s="166"/>
      <c r="N2577" s="166"/>
      <c r="O2577" s="166"/>
      <c r="P2577" s="166">
        <f t="shared" ca="1" si="186"/>
        <v>207</v>
      </c>
      <c r="Q2577" s="166" t="b">
        <v>0</v>
      </c>
    </row>
    <row r="2578" spans="1:17">
      <c r="A2578" s="166" t="b">
        <v>0</v>
      </c>
      <c r="B2578" s="166" t="s">
        <v>4888</v>
      </c>
      <c r="C2578" s="177">
        <v>35</v>
      </c>
      <c r="D2578" s="166">
        <f t="shared" si="183"/>
        <v>-272</v>
      </c>
      <c r="E2578" s="166">
        <f t="shared" si="184"/>
        <v>4</v>
      </c>
      <c r="F2578" s="166">
        <f t="shared" ca="1" si="185"/>
        <v>43</v>
      </c>
      <c r="G2578" s="166" t="s">
        <v>4584</v>
      </c>
      <c r="H2578" s="171"/>
      <c r="I2578" s="171"/>
      <c r="J2578" s="171"/>
      <c r="K2578" s="171"/>
      <c r="L2578" s="166"/>
      <c r="M2578" s="166"/>
      <c r="N2578" s="166"/>
      <c r="O2578" s="166"/>
      <c r="P2578" s="166">
        <f t="shared" ca="1" si="186"/>
        <v>208</v>
      </c>
      <c r="Q2578" s="166" t="b">
        <v>0</v>
      </c>
    </row>
    <row r="2579" spans="1:17">
      <c r="A2579" s="166" t="b">
        <v>0</v>
      </c>
      <c r="B2579" s="166" t="s">
        <v>4889</v>
      </c>
      <c r="C2579" s="177">
        <v>35</v>
      </c>
      <c r="D2579" s="166">
        <f t="shared" si="183"/>
        <v>-271</v>
      </c>
      <c r="E2579" s="166">
        <f t="shared" si="184"/>
        <v>5</v>
      </c>
      <c r="F2579" s="166">
        <f t="shared" ca="1" si="185"/>
        <v>43</v>
      </c>
      <c r="G2579" s="166" t="s">
        <v>4584</v>
      </c>
      <c r="H2579" s="171"/>
      <c r="I2579" s="171"/>
      <c r="J2579" s="171"/>
      <c r="K2579" s="171"/>
      <c r="L2579" s="166"/>
      <c r="M2579" s="166"/>
      <c r="N2579" s="166"/>
      <c r="O2579" s="166"/>
      <c r="P2579" s="166">
        <f t="shared" ca="1" si="186"/>
        <v>209</v>
      </c>
      <c r="Q2579" s="166" t="b">
        <v>0</v>
      </c>
    </row>
    <row r="2580" spans="1:17">
      <c r="A2580" s="166" t="b">
        <v>0</v>
      </c>
      <c r="B2580" s="166" t="s">
        <v>4890</v>
      </c>
      <c r="C2580" s="177">
        <v>35</v>
      </c>
      <c r="D2580" s="166">
        <f t="shared" si="183"/>
        <v>-270</v>
      </c>
      <c r="E2580" s="166">
        <f t="shared" si="184"/>
        <v>6</v>
      </c>
      <c r="F2580" s="166">
        <f t="shared" ca="1" si="185"/>
        <v>43</v>
      </c>
      <c r="G2580" s="166" t="s">
        <v>4584</v>
      </c>
      <c r="H2580" s="171"/>
      <c r="I2580" s="171"/>
      <c r="J2580" s="171"/>
      <c r="K2580" s="171"/>
      <c r="L2580" s="166"/>
      <c r="M2580" s="166"/>
      <c r="N2580" s="166"/>
      <c r="O2580" s="166"/>
      <c r="P2580" s="166">
        <f t="shared" ca="1" si="186"/>
        <v>210</v>
      </c>
      <c r="Q2580" s="166" t="b">
        <v>0</v>
      </c>
    </row>
    <row r="2581" spans="1:17">
      <c r="A2581" s="166" t="b">
        <v>0</v>
      </c>
      <c r="B2581" s="166" t="s">
        <v>4891</v>
      </c>
      <c r="C2581" s="177">
        <v>36</v>
      </c>
      <c r="D2581" s="166">
        <f t="shared" si="183"/>
        <v>-269</v>
      </c>
      <c r="E2581" s="166">
        <f t="shared" si="184"/>
        <v>1</v>
      </c>
      <c r="F2581" s="166">
        <f t="shared" ca="1" si="185"/>
        <v>44</v>
      </c>
      <c r="G2581" s="166" t="s">
        <v>4586</v>
      </c>
      <c r="H2581" s="171"/>
      <c r="I2581" s="171"/>
      <c r="J2581" s="171"/>
      <c r="K2581" s="171"/>
      <c r="L2581" s="166"/>
      <c r="M2581" s="166"/>
      <c r="N2581" s="166"/>
      <c r="O2581" s="166"/>
      <c r="P2581" s="166">
        <f t="shared" ca="1" si="186"/>
        <v>211</v>
      </c>
      <c r="Q2581" s="166" t="b">
        <v>0</v>
      </c>
    </row>
    <row r="2582" spans="1:17">
      <c r="A2582" s="166" t="b">
        <v>0</v>
      </c>
      <c r="B2582" s="166" t="s">
        <v>4892</v>
      </c>
      <c r="C2582" s="177">
        <v>36</v>
      </c>
      <c r="D2582" s="166">
        <f t="shared" si="183"/>
        <v>-268</v>
      </c>
      <c r="E2582" s="166">
        <f t="shared" si="184"/>
        <v>2</v>
      </c>
      <c r="F2582" s="166">
        <f t="shared" ca="1" si="185"/>
        <v>44</v>
      </c>
      <c r="G2582" s="166" t="s">
        <v>4586</v>
      </c>
      <c r="H2582" s="171"/>
      <c r="I2582" s="171"/>
      <c r="J2582" s="171"/>
      <c r="K2582" s="171"/>
      <c r="L2582" s="166"/>
      <c r="M2582" s="166"/>
      <c r="N2582" s="166"/>
      <c r="O2582" s="166"/>
      <c r="P2582" s="166">
        <f t="shared" ca="1" si="186"/>
        <v>212</v>
      </c>
      <c r="Q2582" s="166" t="b">
        <v>0</v>
      </c>
    </row>
    <row r="2583" spans="1:17">
      <c r="A2583" s="166" t="b">
        <v>0</v>
      </c>
      <c r="B2583" s="166" t="s">
        <v>4893</v>
      </c>
      <c r="C2583" s="177">
        <v>36</v>
      </c>
      <c r="D2583" s="166">
        <f t="shared" si="183"/>
        <v>-267</v>
      </c>
      <c r="E2583" s="166">
        <f t="shared" si="184"/>
        <v>3</v>
      </c>
      <c r="F2583" s="166">
        <f t="shared" ca="1" si="185"/>
        <v>44</v>
      </c>
      <c r="G2583" s="166" t="s">
        <v>4586</v>
      </c>
      <c r="H2583" s="171"/>
      <c r="I2583" s="171"/>
      <c r="J2583" s="171"/>
      <c r="K2583" s="171"/>
      <c r="L2583" s="166"/>
      <c r="M2583" s="166"/>
      <c r="N2583" s="166"/>
      <c r="O2583" s="166"/>
      <c r="P2583" s="166">
        <f t="shared" ca="1" si="186"/>
        <v>213</v>
      </c>
      <c r="Q2583" s="166" t="b">
        <v>0</v>
      </c>
    </row>
    <row r="2584" spans="1:17">
      <c r="A2584" s="166" t="b">
        <v>0</v>
      </c>
      <c r="B2584" s="166" t="s">
        <v>4894</v>
      </c>
      <c r="C2584" s="177">
        <v>36</v>
      </c>
      <c r="D2584" s="166">
        <f t="shared" si="183"/>
        <v>-266</v>
      </c>
      <c r="E2584" s="166">
        <f t="shared" si="184"/>
        <v>4</v>
      </c>
      <c r="F2584" s="166">
        <f t="shared" ca="1" si="185"/>
        <v>44</v>
      </c>
      <c r="G2584" s="166" t="s">
        <v>4586</v>
      </c>
      <c r="H2584" s="171"/>
      <c r="I2584" s="171"/>
      <c r="J2584" s="171"/>
      <c r="K2584" s="171"/>
      <c r="L2584" s="166"/>
      <c r="M2584" s="166"/>
      <c r="N2584" s="166"/>
      <c r="O2584" s="166"/>
      <c r="P2584" s="166">
        <f t="shared" ca="1" si="186"/>
        <v>214</v>
      </c>
      <c r="Q2584" s="166" t="b">
        <v>0</v>
      </c>
    </row>
    <row r="2585" spans="1:17">
      <c r="A2585" s="166" t="b">
        <v>0</v>
      </c>
      <c r="B2585" s="166" t="s">
        <v>4895</v>
      </c>
      <c r="C2585" s="177">
        <v>36</v>
      </c>
      <c r="D2585" s="166">
        <f t="shared" si="183"/>
        <v>-265</v>
      </c>
      <c r="E2585" s="166">
        <f t="shared" si="184"/>
        <v>5</v>
      </c>
      <c r="F2585" s="166">
        <f t="shared" ca="1" si="185"/>
        <v>44</v>
      </c>
      <c r="G2585" s="166" t="s">
        <v>4586</v>
      </c>
      <c r="H2585" s="171"/>
      <c r="I2585" s="171"/>
      <c r="J2585" s="171"/>
      <c r="K2585" s="171"/>
      <c r="L2585" s="166"/>
      <c r="M2585" s="166"/>
      <c r="N2585" s="166"/>
      <c r="O2585" s="166"/>
      <c r="P2585" s="166">
        <f t="shared" ca="1" si="186"/>
        <v>215</v>
      </c>
      <c r="Q2585" s="166" t="b">
        <v>0</v>
      </c>
    </row>
    <row r="2586" spans="1:17">
      <c r="A2586" s="166" t="b">
        <v>0</v>
      </c>
      <c r="B2586" s="166" t="s">
        <v>4896</v>
      </c>
      <c r="C2586" s="177">
        <v>36</v>
      </c>
      <c r="D2586" s="166">
        <f t="shared" si="183"/>
        <v>-264</v>
      </c>
      <c r="E2586" s="166">
        <f t="shared" si="184"/>
        <v>6</v>
      </c>
      <c r="F2586" s="166">
        <f t="shared" ca="1" si="185"/>
        <v>44</v>
      </c>
      <c r="G2586" s="166" t="s">
        <v>4586</v>
      </c>
      <c r="H2586" s="171"/>
      <c r="I2586" s="171"/>
      <c r="J2586" s="171"/>
      <c r="K2586" s="171"/>
      <c r="L2586" s="166"/>
      <c r="M2586" s="166"/>
      <c r="N2586" s="166"/>
      <c r="O2586" s="166"/>
      <c r="P2586" s="166">
        <f t="shared" ca="1" si="186"/>
        <v>216</v>
      </c>
      <c r="Q2586" s="166" t="b">
        <v>0</v>
      </c>
    </row>
    <row r="2587" spans="1:17">
      <c r="A2587" s="166" t="b">
        <v>0</v>
      </c>
      <c r="B2587" s="166" t="s">
        <v>4897</v>
      </c>
      <c r="C2587" s="177">
        <v>37</v>
      </c>
      <c r="D2587" s="166">
        <f t="shared" si="183"/>
        <v>-263</v>
      </c>
      <c r="E2587" s="166">
        <f t="shared" si="184"/>
        <v>1</v>
      </c>
      <c r="F2587" s="166">
        <f t="shared" ca="1" si="185"/>
        <v>45</v>
      </c>
      <c r="G2587" s="166" t="s">
        <v>4588</v>
      </c>
      <c r="H2587" s="171"/>
      <c r="I2587" s="171"/>
      <c r="J2587" s="171"/>
      <c r="K2587" s="171"/>
      <c r="L2587" s="166"/>
      <c r="M2587" s="166"/>
      <c r="N2587" s="166"/>
      <c r="O2587" s="166"/>
      <c r="P2587" s="166">
        <f t="shared" ca="1" si="186"/>
        <v>217</v>
      </c>
      <c r="Q2587" s="166" t="b">
        <v>0</v>
      </c>
    </row>
    <row r="2588" spans="1:17">
      <c r="A2588" s="166" t="b">
        <v>0</v>
      </c>
      <c r="B2588" s="166" t="s">
        <v>4898</v>
      </c>
      <c r="C2588" s="177">
        <v>37</v>
      </c>
      <c r="D2588" s="166">
        <f t="shared" si="183"/>
        <v>-262</v>
      </c>
      <c r="E2588" s="166">
        <f t="shared" si="184"/>
        <v>2</v>
      </c>
      <c r="F2588" s="166">
        <f t="shared" ca="1" si="185"/>
        <v>45</v>
      </c>
      <c r="G2588" s="166" t="s">
        <v>4588</v>
      </c>
      <c r="H2588" s="171"/>
      <c r="I2588" s="171"/>
      <c r="J2588" s="171"/>
      <c r="K2588" s="171"/>
      <c r="L2588" s="166"/>
      <c r="M2588" s="166"/>
      <c r="N2588" s="166"/>
      <c r="O2588" s="166"/>
      <c r="P2588" s="166">
        <f t="shared" ca="1" si="186"/>
        <v>218</v>
      </c>
      <c r="Q2588" s="166" t="b">
        <v>0</v>
      </c>
    </row>
    <row r="2589" spans="1:17">
      <c r="A2589" s="166" t="b">
        <v>0</v>
      </c>
      <c r="B2589" s="166" t="s">
        <v>4899</v>
      </c>
      <c r="C2589" s="177">
        <v>37</v>
      </c>
      <c r="D2589" s="166">
        <f t="shared" si="183"/>
        <v>-261</v>
      </c>
      <c r="E2589" s="166">
        <f t="shared" si="184"/>
        <v>3</v>
      </c>
      <c r="F2589" s="166">
        <f t="shared" ca="1" si="185"/>
        <v>45</v>
      </c>
      <c r="G2589" s="166" t="s">
        <v>4588</v>
      </c>
      <c r="H2589" s="171"/>
      <c r="I2589" s="171"/>
      <c r="J2589" s="171"/>
      <c r="K2589" s="171"/>
      <c r="L2589" s="166"/>
      <c r="M2589" s="166"/>
      <c r="N2589" s="166"/>
      <c r="O2589" s="166"/>
      <c r="P2589" s="166">
        <f t="shared" ca="1" si="186"/>
        <v>219</v>
      </c>
      <c r="Q2589" s="166" t="b">
        <v>0</v>
      </c>
    </row>
    <row r="2590" spans="1:17">
      <c r="A2590" s="166" t="b">
        <v>0</v>
      </c>
      <c r="B2590" s="166" t="s">
        <v>4900</v>
      </c>
      <c r="C2590" s="177">
        <v>37</v>
      </c>
      <c r="D2590" s="166">
        <f t="shared" si="183"/>
        <v>-260</v>
      </c>
      <c r="E2590" s="166">
        <f t="shared" si="184"/>
        <v>4</v>
      </c>
      <c r="F2590" s="166">
        <f t="shared" ca="1" si="185"/>
        <v>45</v>
      </c>
      <c r="G2590" s="166" t="s">
        <v>4588</v>
      </c>
      <c r="H2590" s="171"/>
      <c r="I2590" s="171"/>
      <c r="J2590" s="171"/>
      <c r="K2590" s="171"/>
      <c r="L2590" s="166"/>
      <c r="M2590" s="166"/>
      <c r="N2590" s="166"/>
      <c r="O2590" s="166"/>
      <c r="P2590" s="166">
        <f t="shared" ca="1" si="186"/>
        <v>220</v>
      </c>
      <c r="Q2590" s="166" t="b">
        <v>0</v>
      </c>
    </row>
    <row r="2591" spans="1:17">
      <c r="A2591" s="166" t="b">
        <v>0</v>
      </c>
      <c r="B2591" s="166" t="s">
        <v>4901</v>
      </c>
      <c r="C2591" s="177">
        <v>37</v>
      </c>
      <c r="D2591" s="166">
        <f t="shared" si="183"/>
        <v>-259</v>
      </c>
      <c r="E2591" s="166">
        <f t="shared" si="184"/>
        <v>5</v>
      </c>
      <c r="F2591" s="166">
        <f t="shared" ca="1" si="185"/>
        <v>45</v>
      </c>
      <c r="G2591" s="166" t="s">
        <v>4588</v>
      </c>
      <c r="H2591" s="171"/>
      <c r="I2591" s="171"/>
      <c r="J2591" s="171"/>
      <c r="K2591" s="171"/>
      <c r="L2591" s="166"/>
      <c r="M2591" s="166"/>
      <c r="N2591" s="166"/>
      <c r="O2591" s="166"/>
      <c r="P2591" s="166">
        <f t="shared" ca="1" si="186"/>
        <v>221</v>
      </c>
      <c r="Q2591" s="166" t="b">
        <v>0</v>
      </c>
    </row>
    <row r="2592" spans="1:17">
      <c r="A2592" s="166" t="b">
        <v>0</v>
      </c>
      <c r="B2592" s="166" t="s">
        <v>4902</v>
      </c>
      <c r="C2592" s="177">
        <v>37</v>
      </c>
      <c r="D2592" s="166">
        <f t="shared" si="183"/>
        <v>-258</v>
      </c>
      <c r="E2592" s="166">
        <f t="shared" si="184"/>
        <v>6</v>
      </c>
      <c r="F2592" s="166">
        <f t="shared" ca="1" si="185"/>
        <v>45</v>
      </c>
      <c r="G2592" s="166" t="s">
        <v>4588</v>
      </c>
      <c r="H2592" s="171"/>
      <c r="I2592" s="171"/>
      <c r="J2592" s="171"/>
      <c r="K2592" s="171"/>
      <c r="L2592" s="166"/>
      <c r="M2592" s="166"/>
      <c r="N2592" s="166"/>
      <c r="O2592" s="166"/>
      <c r="P2592" s="166">
        <f t="shared" ca="1" si="186"/>
        <v>222</v>
      </c>
      <c r="Q2592" s="166" t="b">
        <v>0</v>
      </c>
    </row>
    <row r="2593" spans="1:17">
      <c r="A2593" s="166" t="b">
        <v>0</v>
      </c>
      <c r="B2593" s="166" t="s">
        <v>4903</v>
      </c>
      <c r="C2593" s="177">
        <v>38</v>
      </c>
      <c r="D2593" s="166">
        <f t="shared" si="183"/>
        <v>-257</v>
      </c>
      <c r="E2593" s="166">
        <f t="shared" si="184"/>
        <v>1</v>
      </c>
      <c r="F2593" s="166">
        <f t="shared" ca="1" si="185"/>
        <v>46</v>
      </c>
      <c r="G2593" s="166" t="s">
        <v>4590</v>
      </c>
      <c r="H2593" s="171"/>
      <c r="I2593" s="171"/>
      <c r="J2593" s="171"/>
      <c r="K2593" s="171"/>
      <c r="L2593" s="166"/>
      <c r="M2593" s="166"/>
      <c r="N2593" s="166"/>
      <c r="O2593" s="166"/>
      <c r="P2593" s="166">
        <f t="shared" ca="1" si="186"/>
        <v>223</v>
      </c>
      <c r="Q2593" s="166" t="b">
        <v>0</v>
      </c>
    </row>
    <row r="2594" spans="1:17">
      <c r="A2594" s="166" t="b">
        <v>0</v>
      </c>
      <c r="B2594" s="166" t="s">
        <v>4904</v>
      </c>
      <c r="C2594" s="177">
        <v>38</v>
      </c>
      <c r="D2594" s="166">
        <f t="shared" si="183"/>
        <v>-256</v>
      </c>
      <c r="E2594" s="166">
        <f t="shared" si="184"/>
        <v>2</v>
      </c>
      <c r="F2594" s="166">
        <f t="shared" ca="1" si="185"/>
        <v>46</v>
      </c>
      <c r="G2594" s="166" t="s">
        <v>4590</v>
      </c>
      <c r="H2594" s="171"/>
      <c r="I2594" s="171"/>
      <c r="J2594" s="171"/>
      <c r="K2594" s="171"/>
      <c r="L2594" s="166"/>
      <c r="M2594" s="166"/>
      <c r="N2594" s="166"/>
      <c r="O2594" s="166"/>
      <c r="P2594" s="166">
        <f t="shared" ca="1" si="186"/>
        <v>224</v>
      </c>
      <c r="Q2594" s="166" t="b">
        <v>0</v>
      </c>
    </row>
    <row r="2595" spans="1:17">
      <c r="A2595" s="166" t="b">
        <v>0</v>
      </c>
      <c r="B2595" s="166" t="s">
        <v>4905</v>
      </c>
      <c r="C2595" s="177">
        <v>38</v>
      </c>
      <c r="D2595" s="166">
        <f t="shared" si="183"/>
        <v>-255</v>
      </c>
      <c r="E2595" s="166">
        <f t="shared" si="184"/>
        <v>3</v>
      </c>
      <c r="F2595" s="166">
        <f t="shared" ca="1" si="185"/>
        <v>46</v>
      </c>
      <c r="G2595" s="166" t="s">
        <v>4590</v>
      </c>
      <c r="H2595" s="171"/>
      <c r="I2595" s="171"/>
      <c r="J2595" s="171"/>
      <c r="K2595" s="171"/>
      <c r="L2595" s="166"/>
      <c r="M2595" s="166"/>
      <c r="N2595" s="166"/>
      <c r="O2595" s="166"/>
      <c r="P2595" s="166">
        <f t="shared" ca="1" si="186"/>
        <v>225</v>
      </c>
      <c r="Q2595" s="166" t="b">
        <v>0</v>
      </c>
    </row>
    <row r="2596" spans="1:17">
      <c r="A2596" s="166" t="b">
        <v>0</v>
      </c>
      <c r="B2596" s="166" t="s">
        <v>4906</v>
      </c>
      <c r="C2596" s="177">
        <v>38</v>
      </c>
      <c r="D2596" s="166">
        <f t="shared" si="183"/>
        <v>-254</v>
      </c>
      <c r="E2596" s="166">
        <f t="shared" si="184"/>
        <v>4</v>
      </c>
      <c r="F2596" s="166">
        <f t="shared" ca="1" si="185"/>
        <v>46</v>
      </c>
      <c r="G2596" s="166" t="s">
        <v>4590</v>
      </c>
      <c r="H2596" s="171"/>
      <c r="I2596" s="171"/>
      <c r="J2596" s="171"/>
      <c r="K2596" s="171"/>
      <c r="L2596" s="166"/>
      <c r="M2596" s="166"/>
      <c r="N2596" s="166"/>
      <c r="O2596" s="166"/>
      <c r="P2596" s="166">
        <f t="shared" ca="1" si="186"/>
        <v>226</v>
      </c>
      <c r="Q2596" s="166" t="b">
        <v>0</v>
      </c>
    </row>
    <row r="2597" spans="1:17">
      <c r="A2597" s="166" t="b">
        <v>0</v>
      </c>
      <c r="B2597" s="166" t="s">
        <v>4907</v>
      </c>
      <c r="C2597" s="177">
        <v>38</v>
      </c>
      <c r="D2597" s="166">
        <f t="shared" si="183"/>
        <v>-253</v>
      </c>
      <c r="E2597" s="166">
        <f t="shared" si="184"/>
        <v>5</v>
      </c>
      <c r="F2597" s="166">
        <f t="shared" ca="1" si="185"/>
        <v>46</v>
      </c>
      <c r="G2597" s="166" t="s">
        <v>4590</v>
      </c>
      <c r="H2597" s="171"/>
      <c r="I2597" s="171"/>
      <c r="J2597" s="171"/>
      <c r="K2597" s="171"/>
      <c r="L2597" s="166"/>
      <c r="M2597" s="166"/>
      <c r="N2597" s="166"/>
      <c r="O2597" s="166"/>
      <c r="P2597" s="166">
        <f t="shared" ca="1" si="186"/>
        <v>227</v>
      </c>
      <c r="Q2597" s="166" t="b">
        <v>0</v>
      </c>
    </row>
    <row r="2598" spans="1:17">
      <c r="A2598" s="166" t="b">
        <v>0</v>
      </c>
      <c r="B2598" s="166" t="s">
        <v>4908</v>
      </c>
      <c r="C2598" s="177">
        <v>38</v>
      </c>
      <c r="D2598" s="166">
        <f t="shared" si="183"/>
        <v>-252</v>
      </c>
      <c r="E2598" s="166">
        <f t="shared" si="184"/>
        <v>6</v>
      </c>
      <c r="F2598" s="166">
        <f t="shared" ca="1" si="185"/>
        <v>46</v>
      </c>
      <c r="G2598" s="166" t="s">
        <v>4590</v>
      </c>
      <c r="H2598" s="171"/>
      <c r="I2598" s="171"/>
      <c r="J2598" s="171"/>
      <c r="K2598" s="171"/>
      <c r="L2598" s="166"/>
      <c r="M2598" s="166"/>
      <c r="N2598" s="166"/>
      <c r="O2598" s="166"/>
      <c r="P2598" s="166">
        <f t="shared" ca="1" si="186"/>
        <v>228</v>
      </c>
      <c r="Q2598" s="166" t="b">
        <v>0</v>
      </c>
    </row>
    <row r="2599" spans="1:17">
      <c r="A2599" s="166" t="b">
        <v>0</v>
      </c>
      <c r="B2599" s="166" t="s">
        <v>4909</v>
      </c>
      <c r="C2599" s="177">
        <v>39</v>
      </c>
      <c r="D2599" s="166">
        <f t="shared" si="183"/>
        <v>-251</v>
      </c>
      <c r="E2599" s="166">
        <f t="shared" si="184"/>
        <v>1</v>
      </c>
      <c r="F2599" s="166">
        <f t="shared" ca="1" si="185"/>
        <v>47</v>
      </c>
      <c r="G2599" s="166" t="s">
        <v>4592</v>
      </c>
      <c r="H2599" s="171"/>
      <c r="I2599" s="171"/>
      <c r="J2599" s="171"/>
      <c r="K2599" s="171"/>
      <c r="L2599" s="166"/>
      <c r="M2599" s="166"/>
      <c r="N2599" s="166"/>
      <c r="O2599" s="166"/>
      <c r="P2599" s="166">
        <f t="shared" ca="1" si="186"/>
        <v>229</v>
      </c>
      <c r="Q2599" s="166" t="b">
        <v>0</v>
      </c>
    </row>
    <row r="2600" spans="1:17">
      <c r="A2600" s="166" t="b">
        <v>0</v>
      </c>
      <c r="B2600" s="166" t="s">
        <v>4910</v>
      </c>
      <c r="C2600" s="177">
        <v>39</v>
      </c>
      <c r="D2600" s="166">
        <f t="shared" si="183"/>
        <v>-250</v>
      </c>
      <c r="E2600" s="166">
        <f t="shared" si="184"/>
        <v>2</v>
      </c>
      <c r="F2600" s="166">
        <f t="shared" ca="1" si="185"/>
        <v>47</v>
      </c>
      <c r="G2600" s="166" t="s">
        <v>4592</v>
      </c>
      <c r="H2600" s="171"/>
      <c r="I2600" s="171"/>
      <c r="J2600" s="171"/>
      <c r="K2600" s="171"/>
      <c r="L2600" s="166"/>
      <c r="M2600" s="166"/>
      <c r="N2600" s="166"/>
      <c r="O2600" s="166"/>
      <c r="P2600" s="166">
        <f t="shared" ca="1" si="186"/>
        <v>230</v>
      </c>
      <c r="Q2600" s="166" t="b">
        <v>0</v>
      </c>
    </row>
    <row r="2601" spans="1:17">
      <c r="A2601" s="166" t="b">
        <v>0</v>
      </c>
      <c r="B2601" s="166" t="s">
        <v>4911</v>
      </c>
      <c r="C2601" s="177">
        <v>39</v>
      </c>
      <c r="D2601" s="166">
        <f t="shared" si="183"/>
        <v>-249</v>
      </c>
      <c r="E2601" s="166">
        <f t="shared" si="184"/>
        <v>3</v>
      </c>
      <c r="F2601" s="166">
        <f t="shared" ca="1" si="185"/>
        <v>47</v>
      </c>
      <c r="G2601" s="166" t="s">
        <v>4592</v>
      </c>
      <c r="H2601" s="171"/>
      <c r="I2601" s="171"/>
      <c r="J2601" s="171"/>
      <c r="K2601" s="171"/>
      <c r="L2601" s="166"/>
      <c r="M2601" s="166"/>
      <c r="N2601" s="166"/>
      <c r="O2601" s="166"/>
      <c r="P2601" s="166">
        <f t="shared" ca="1" si="186"/>
        <v>231</v>
      </c>
      <c r="Q2601" s="166" t="b">
        <v>0</v>
      </c>
    </row>
    <row r="2602" spans="1:17">
      <c r="A2602" s="166" t="b">
        <v>0</v>
      </c>
      <c r="B2602" s="166" t="s">
        <v>4912</v>
      </c>
      <c r="C2602" s="177">
        <v>39</v>
      </c>
      <c r="D2602" s="166">
        <f t="shared" si="183"/>
        <v>-248</v>
      </c>
      <c r="E2602" s="166">
        <f t="shared" si="184"/>
        <v>4</v>
      </c>
      <c r="F2602" s="166">
        <f t="shared" ca="1" si="185"/>
        <v>47</v>
      </c>
      <c r="G2602" s="166" t="s">
        <v>4592</v>
      </c>
      <c r="H2602" s="171"/>
      <c r="I2602" s="171"/>
      <c r="J2602" s="171"/>
      <c r="K2602" s="171"/>
      <c r="L2602" s="166"/>
      <c r="M2602" s="166"/>
      <c r="N2602" s="166"/>
      <c r="O2602" s="166"/>
      <c r="P2602" s="166">
        <f t="shared" ca="1" si="186"/>
        <v>232</v>
      </c>
      <c r="Q2602" s="166" t="b">
        <v>0</v>
      </c>
    </row>
    <row r="2603" spans="1:17">
      <c r="A2603" s="166" t="b">
        <v>0</v>
      </c>
      <c r="B2603" s="166" t="s">
        <v>4913</v>
      </c>
      <c r="C2603" s="177">
        <v>39</v>
      </c>
      <c r="D2603" s="166">
        <f t="shared" si="183"/>
        <v>-247</v>
      </c>
      <c r="E2603" s="166">
        <f t="shared" si="184"/>
        <v>5</v>
      </c>
      <c r="F2603" s="166">
        <f t="shared" ca="1" si="185"/>
        <v>47</v>
      </c>
      <c r="G2603" s="166" t="s">
        <v>4592</v>
      </c>
      <c r="H2603" s="171"/>
      <c r="I2603" s="171"/>
      <c r="J2603" s="171"/>
      <c r="K2603" s="171"/>
      <c r="L2603" s="166"/>
      <c r="M2603" s="166"/>
      <c r="N2603" s="166"/>
      <c r="O2603" s="166"/>
      <c r="P2603" s="166">
        <f t="shared" ca="1" si="186"/>
        <v>233</v>
      </c>
      <c r="Q2603" s="166" t="b">
        <v>0</v>
      </c>
    </row>
    <row r="2604" spans="1:17">
      <c r="A2604" s="166" t="b">
        <v>0</v>
      </c>
      <c r="B2604" s="166" t="s">
        <v>4914</v>
      </c>
      <c r="C2604" s="177">
        <v>39</v>
      </c>
      <c r="D2604" s="166">
        <f t="shared" si="183"/>
        <v>-246</v>
      </c>
      <c r="E2604" s="166">
        <f t="shared" si="184"/>
        <v>6</v>
      </c>
      <c r="F2604" s="166">
        <f t="shared" ca="1" si="185"/>
        <v>47</v>
      </c>
      <c r="G2604" s="166" t="s">
        <v>4592</v>
      </c>
      <c r="H2604" s="171"/>
      <c r="I2604" s="171"/>
      <c r="J2604" s="171"/>
      <c r="K2604" s="171"/>
      <c r="L2604" s="166"/>
      <c r="M2604" s="166"/>
      <c r="N2604" s="166"/>
      <c r="O2604" s="166"/>
      <c r="P2604" s="166">
        <f t="shared" ca="1" si="186"/>
        <v>234</v>
      </c>
      <c r="Q2604" s="166" t="b">
        <v>0</v>
      </c>
    </row>
    <row r="2605" spans="1:17">
      <c r="A2605" s="166" t="b">
        <v>0</v>
      </c>
      <c r="B2605" s="166" t="s">
        <v>4915</v>
      </c>
      <c r="C2605" s="177">
        <v>40</v>
      </c>
      <c r="D2605" s="166">
        <f t="shared" si="183"/>
        <v>-245</v>
      </c>
      <c r="E2605" s="166">
        <f t="shared" si="184"/>
        <v>1</v>
      </c>
      <c r="F2605" s="166">
        <f t="shared" ca="1" si="185"/>
        <v>48</v>
      </c>
      <c r="G2605" s="166" t="s">
        <v>4594</v>
      </c>
      <c r="H2605" s="171"/>
      <c r="I2605" s="171"/>
      <c r="J2605" s="171"/>
      <c r="K2605" s="171"/>
      <c r="L2605" s="166"/>
      <c r="M2605" s="166"/>
      <c r="N2605" s="166"/>
      <c r="O2605" s="166"/>
      <c r="P2605" s="166">
        <f t="shared" ca="1" si="186"/>
        <v>235</v>
      </c>
      <c r="Q2605" s="166" t="b">
        <v>0</v>
      </c>
    </row>
    <row r="2606" spans="1:17">
      <c r="A2606" s="166" t="b">
        <v>0</v>
      </c>
      <c r="B2606" s="166" t="s">
        <v>4916</v>
      </c>
      <c r="C2606" s="177">
        <v>40</v>
      </c>
      <c r="D2606" s="166">
        <f t="shared" si="183"/>
        <v>-244</v>
      </c>
      <c r="E2606" s="166">
        <f t="shared" si="184"/>
        <v>2</v>
      </c>
      <c r="F2606" s="166">
        <f t="shared" ca="1" si="185"/>
        <v>48</v>
      </c>
      <c r="G2606" s="166" t="s">
        <v>4594</v>
      </c>
      <c r="H2606" s="171"/>
      <c r="I2606" s="171"/>
      <c r="J2606" s="171"/>
      <c r="K2606" s="171"/>
      <c r="L2606" s="166"/>
      <c r="M2606" s="166"/>
      <c r="N2606" s="166"/>
      <c r="O2606" s="166"/>
      <c r="P2606" s="166">
        <f t="shared" ca="1" si="186"/>
        <v>236</v>
      </c>
      <c r="Q2606" s="166" t="b">
        <v>0</v>
      </c>
    </row>
    <row r="2607" spans="1:17">
      <c r="A2607" s="166" t="b">
        <v>0</v>
      </c>
      <c r="B2607" s="166" t="s">
        <v>4917</v>
      </c>
      <c r="C2607" s="177">
        <v>40</v>
      </c>
      <c r="D2607" s="166">
        <f t="shared" si="183"/>
        <v>-243</v>
      </c>
      <c r="E2607" s="166">
        <f t="shared" si="184"/>
        <v>3</v>
      </c>
      <c r="F2607" s="166">
        <f t="shared" ca="1" si="185"/>
        <v>48</v>
      </c>
      <c r="G2607" s="166" t="s">
        <v>4594</v>
      </c>
      <c r="H2607" s="171"/>
      <c r="I2607" s="171"/>
      <c r="J2607" s="171"/>
      <c r="K2607" s="171"/>
      <c r="L2607" s="166"/>
      <c r="M2607" s="166"/>
      <c r="N2607" s="166"/>
      <c r="O2607" s="166"/>
      <c r="P2607" s="166">
        <f t="shared" ca="1" si="186"/>
        <v>237</v>
      </c>
      <c r="Q2607" s="166" t="b">
        <v>0</v>
      </c>
    </row>
    <row r="2608" spans="1:17">
      <c r="A2608" s="166" t="b">
        <v>0</v>
      </c>
      <c r="B2608" s="166" t="s">
        <v>4918</v>
      </c>
      <c r="C2608" s="177">
        <v>40</v>
      </c>
      <c r="D2608" s="166">
        <f t="shared" si="183"/>
        <v>-242</v>
      </c>
      <c r="E2608" s="166">
        <f t="shared" si="184"/>
        <v>4</v>
      </c>
      <c r="F2608" s="166">
        <f t="shared" ca="1" si="185"/>
        <v>48</v>
      </c>
      <c r="G2608" s="166" t="s">
        <v>4594</v>
      </c>
      <c r="H2608" s="171"/>
      <c r="I2608" s="171"/>
      <c r="J2608" s="171"/>
      <c r="K2608" s="171"/>
      <c r="L2608" s="166"/>
      <c r="M2608" s="166"/>
      <c r="N2608" s="166"/>
      <c r="O2608" s="166"/>
      <c r="P2608" s="166">
        <f t="shared" ca="1" si="186"/>
        <v>238</v>
      </c>
      <c r="Q2608" s="166" t="b">
        <v>0</v>
      </c>
    </row>
    <row r="2609" spans="1:17">
      <c r="A2609" s="166" t="b">
        <v>0</v>
      </c>
      <c r="B2609" s="166" t="s">
        <v>4919</v>
      </c>
      <c r="C2609" s="177">
        <v>40</v>
      </c>
      <c r="D2609" s="166">
        <f t="shared" si="183"/>
        <v>-241</v>
      </c>
      <c r="E2609" s="166">
        <f t="shared" si="184"/>
        <v>5</v>
      </c>
      <c r="F2609" s="166">
        <f t="shared" ca="1" si="185"/>
        <v>48</v>
      </c>
      <c r="G2609" s="166" t="s">
        <v>4594</v>
      </c>
      <c r="H2609" s="171"/>
      <c r="I2609" s="171"/>
      <c r="J2609" s="171"/>
      <c r="K2609" s="171"/>
      <c r="L2609" s="166"/>
      <c r="M2609" s="166"/>
      <c r="N2609" s="166"/>
      <c r="O2609" s="166"/>
      <c r="P2609" s="166">
        <f t="shared" ca="1" si="186"/>
        <v>239</v>
      </c>
      <c r="Q2609" s="166" t="b">
        <v>0</v>
      </c>
    </row>
    <row r="2610" spans="1:17">
      <c r="A2610" s="166" t="b">
        <v>0</v>
      </c>
      <c r="B2610" s="166" t="s">
        <v>4920</v>
      </c>
      <c r="C2610" s="177">
        <v>40</v>
      </c>
      <c r="D2610" s="166">
        <f t="shared" si="183"/>
        <v>-240</v>
      </c>
      <c r="E2610" s="166">
        <f t="shared" si="184"/>
        <v>6</v>
      </c>
      <c r="F2610" s="166">
        <f t="shared" ca="1" si="185"/>
        <v>48</v>
      </c>
      <c r="G2610" s="166" t="s">
        <v>4594</v>
      </c>
      <c r="H2610" s="171"/>
      <c r="I2610" s="171"/>
      <c r="J2610" s="171"/>
      <c r="K2610" s="171"/>
      <c r="L2610" s="166"/>
      <c r="M2610" s="166"/>
      <c r="N2610" s="166"/>
      <c r="O2610" s="166"/>
      <c r="P2610" s="166">
        <f t="shared" ca="1" si="186"/>
        <v>240</v>
      </c>
      <c r="Q2610" s="166" t="b">
        <v>0</v>
      </c>
    </row>
    <row r="2611" spans="1:17">
      <c r="A2611" s="166" t="b">
        <v>0</v>
      </c>
      <c r="B2611" s="166" t="s">
        <v>4921</v>
      </c>
      <c r="C2611" s="177">
        <v>41</v>
      </c>
      <c r="D2611" s="166">
        <f t="shared" si="183"/>
        <v>-239</v>
      </c>
      <c r="E2611" s="166">
        <f t="shared" si="184"/>
        <v>1</v>
      </c>
      <c r="F2611" s="166">
        <f t="shared" ca="1" si="185"/>
        <v>49</v>
      </c>
      <c r="G2611" s="166" t="s">
        <v>4596</v>
      </c>
      <c r="H2611" s="171"/>
      <c r="I2611" s="171"/>
      <c r="J2611" s="171"/>
      <c r="K2611" s="171"/>
      <c r="L2611" s="166"/>
      <c r="M2611" s="166"/>
      <c r="N2611" s="166"/>
      <c r="O2611" s="166"/>
      <c r="P2611" s="166">
        <f t="shared" ca="1" si="186"/>
        <v>241</v>
      </c>
      <c r="Q2611" s="166" t="b">
        <v>0</v>
      </c>
    </row>
    <row r="2612" spans="1:17">
      <c r="A2612" s="166" t="b">
        <v>0</v>
      </c>
      <c r="B2612" s="166" t="s">
        <v>4922</v>
      </c>
      <c r="C2612" s="177">
        <v>41</v>
      </c>
      <c r="D2612" s="166">
        <f t="shared" si="183"/>
        <v>-238</v>
      </c>
      <c r="E2612" s="166">
        <f t="shared" si="184"/>
        <v>2</v>
      </c>
      <c r="F2612" s="166">
        <f t="shared" ca="1" si="185"/>
        <v>49</v>
      </c>
      <c r="G2612" s="166" t="s">
        <v>4596</v>
      </c>
      <c r="H2612" s="171"/>
      <c r="I2612" s="171"/>
      <c r="J2612" s="171"/>
      <c r="K2612" s="171"/>
      <c r="L2612" s="166"/>
      <c r="M2612" s="166"/>
      <c r="N2612" s="166"/>
      <c r="O2612" s="166"/>
      <c r="P2612" s="166">
        <f t="shared" ca="1" si="186"/>
        <v>242</v>
      </c>
      <c r="Q2612" s="166" t="b">
        <v>0</v>
      </c>
    </row>
    <row r="2613" spans="1:17">
      <c r="A2613" s="166" t="b">
        <v>0</v>
      </c>
      <c r="B2613" s="166" t="s">
        <v>4923</v>
      </c>
      <c r="C2613" s="177">
        <v>41</v>
      </c>
      <c r="D2613" s="166">
        <f t="shared" si="183"/>
        <v>-237</v>
      </c>
      <c r="E2613" s="166">
        <f t="shared" si="184"/>
        <v>3</v>
      </c>
      <c r="F2613" s="166">
        <f t="shared" ca="1" si="185"/>
        <v>49</v>
      </c>
      <c r="G2613" s="166" t="s">
        <v>4596</v>
      </c>
      <c r="H2613" s="171"/>
      <c r="I2613" s="171"/>
      <c r="J2613" s="171"/>
      <c r="K2613" s="171"/>
      <c r="L2613" s="166"/>
      <c r="M2613" s="166"/>
      <c r="N2613" s="166"/>
      <c r="O2613" s="166"/>
      <c r="P2613" s="166">
        <f t="shared" ca="1" si="186"/>
        <v>243</v>
      </c>
      <c r="Q2613" s="166" t="b">
        <v>0</v>
      </c>
    </row>
    <row r="2614" spans="1:17">
      <c r="A2614" s="166" t="b">
        <v>0</v>
      </c>
      <c r="B2614" s="166" t="s">
        <v>4924</v>
      </c>
      <c r="C2614" s="177">
        <v>41</v>
      </c>
      <c r="D2614" s="166">
        <f t="shared" si="183"/>
        <v>-236</v>
      </c>
      <c r="E2614" s="166">
        <f t="shared" si="184"/>
        <v>4</v>
      </c>
      <c r="F2614" s="166">
        <f t="shared" ca="1" si="185"/>
        <v>49</v>
      </c>
      <c r="G2614" s="166" t="s">
        <v>4596</v>
      </c>
      <c r="H2614" s="171"/>
      <c r="I2614" s="171"/>
      <c r="J2614" s="171"/>
      <c r="K2614" s="171"/>
      <c r="L2614" s="166"/>
      <c r="M2614" s="166"/>
      <c r="N2614" s="166"/>
      <c r="O2614" s="166"/>
      <c r="P2614" s="166">
        <f t="shared" ca="1" si="186"/>
        <v>244</v>
      </c>
      <c r="Q2614" s="166" t="b">
        <v>0</v>
      </c>
    </row>
    <row r="2615" spans="1:17">
      <c r="A2615" s="166" t="b">
        <v>0</v>
      </c>
      <c r="B2615" s="166" t="s">
        <v>4925</v>
      </c>
      <c r="C2615" s="177">
        <v>41</v>
      </c>
      <c r="D2615" s="166">
        <f t="shared" si="183"/>
        <v>-235</v>
      </c>
      <c r="E2615" s="166">
        <f t="shared" si="184"/>
        <v>5</v>
      </c>
      <c r="F2615" s="166">
        <f t="shared" ca="1" si="185"/>
        <v>49</v>
      </c>
      <c r="G2615" s="166" t="s">
        <v>4596</v>
      </c>
      <c r="H2615" s="171"/>
      <c r="I2615" s="171"/>
      <c r="J2615" s="171"/>
      <c r="K2615" s="171"/>
      <c r="L2615" s="166"/>
      <c r="M2615" s="166"/>
      <c r="N2615" s="166"/>
      <c r="O2615" s="166"/>
      <c r="P2615" s="166">
        <f t="shared" ca="1" si="186"/>
        <v>245</v>
      </c>
      <c r="Q2615" s="166" t="b">
        <v>0</v>
      </c>
    </row>
    <row r="2616" spans="1:17">
      <c r="A2616" s="166" t="b">
        <v>0</v>
      </c>
      <c r="B2616" s="166" t="s">
        <v>4926</v>
      </c>
      <c r="C2616" s="177">
        <v>41</v>
      </c>
      <c r="D2616" s="166">
        <f t="shared" si="183"/>
        <v>-234</v>
      </c>
      <c r="E2616" s="166">
        <f t="shared" si="184"/>
        <v>6</v>
      </c>
      <c r="F2616" s="166">
        <f t="shared" ca="1" si="185"/>
        <v>49</v>
      </c>
      <c r="G2616" s="166" t="s">
        <v>4596</v>
      </c>
      <c r="H2616" s="171"/>
      <c r="I2616" s="171"/>
      <c r="J2616" s="171"/>
      <c r="K2616" s="171"/>
      <c r="L2616" s="166"/>
      <c r="M2616" s="166"/>
      <c r="N2616" s="166"/>
      <c r="O2616" s="166"/>
      <c r="P2616" s="166">
        <f t="shared" ca="1" si="186"/>
        <v>246</v>
      </c>
      <c r="Q2616" s="166" t="b">
        <v>0</v>
      </c>
    </row>
    <row r="2617" spans="1:17">
      <c r="A2617" s="166" t="b">
        <v>0</v>
      </c>
      <c r="B2617" s="166" t="s">
        <v>4927</v>
      </c>
      <c r="C2617" s="177">
        <v>42</v>
      </c>
      <c r="D2617" s="166">
        <f t="shared" si="183"/>
        <v>-233</v>
      </c>
      <c r="E2617" s="166">
        <f t="shared" si="184"/>
        <v>1</v>
      </c>
      <c r="F2617" s="166">
        <f t="shared" ca="1" si="185"/>
        <v>50</v>
      </c>
      <c r="G2617" s="166" t="s">
        <v>4598</v>
      </c>
      <c r="H2617" s="171"/>
      <c r="I2617" s="171"/>
      <c r="J2617" s="171"/>
      <c r="K2617" s="171"/>
      <c r="L2617" s="166"/>
      <c r="M2617" s="166"/>
      <c r="N2617" s="166"/>
      <c r="O2617" s="166"/>
      <c r="P2617" s="166">
        <f t="shared" ca="1" si="186"/>
        <v>247</v>
      </c>
      <c r="Q2617" s="166" t="b">
        <v>0</v>
      </c>
    </row>
    <row r="2618" spans="1:17">
      <c r="A2618" s="166" t="b">
        <v>0</v>
      </c>
      <c r="B2618" s="166" t="s">
        <v>4928</v>
      </c>
      <c r="C2618" s="177">
        <v>42</v>
      </c>
      <c r="D2618" s="166">
        <f t="shared" si="183"/>
        <v>-232</v>
      </c>
      <c r="E2618" s="166">
        <f t="shared" si="184"/>
        <v>2</v>
      </c>
      <c r="F2618" s="166">
        <f t="shared" ca="1" si="185"/>
        <v>50</v>
      </c>
      <c r="G2618" s="166" t="s">
        <v>4598</v>
      </c>
      <c r="H2618" s="171"/>
      <c r="I2618" s="171"/>
      <c r="J2618" s="171"/>
      <c r="K2618" s="171"/>
      <c r="L2618" s="166"/>
      <c r="M2618" s="166"/>
      <c r="N2618" s="166"/>
      <c r="O2618" s="166"/>
      <c r="P2618" s="166">
        <f t="shared" ca="1" si="186"/>
        <v>248</v>
      </c>
      <c r="Q2618" s="166" t="b">
        <v>0</v>
      </c>
    </row>
    <row r="2619" spans="1:17">
      <c r="A2619" s="166" t="b">
        <v>0</v>
      </c>
      <c r="B2619" s="166" t="s">
        <v>4929</v>
      </c>
      <c r="C2619" s="177">
        <v>42</v>
      </c>
      <c r="D2619" s="166">
        <f t="shared" si="183"/>
        <v>-231</v>
      </c>
      <c r="E2619" s="166">
        <f t="shared" si="184"/>
        <v>3</v>
      </c>
      <c r="F2619" s="166">
        <f t="shared" ca="1" si="185"/>
        <v>50</v>
      </c>
      <c r="G2619" s="166" t="s">
        <v>4598</v>
      </c>
      <c r="H2619" s="171"/>
      <c r="I2619" s="171"/>
      <c r="J2619" s="171"/>
      <c r="K2619" s="171"/>
      <c r="L2619" s="166"/>
      <c r="M2619" s="166"/>
      <c r="N2619" s="166"/>
      <c r="O2619" s="166"/>
      <c r="P2619" s="166">
        <f t="shared" ca="1" si="186"/>
        <v>249</v>
      </c>
      <c r="Q2619" s="166" t="b">
        <v>0</v>
      </c>
    </row>
    <row r="2620" spans="1:17">
      <c r="A2620" s="166" t="b">
        <v>0</v>
      </c>
      <c r="B2620" s="166" t="s">
        <v>4930</v>
      </c>
      <c r="C2620" s="177">
        <v>42</v>
      </c>
      <c r="D2620" s="166">
        <f t="shared" si="183"/>
        <v>-230</v>
      </c>
      <c r="E2620" s="166">
        <f t="shared" si="184"/>
        <v>4</v>
      </c>
      <c r="F2620" s="166">
        <f t="shared" ca="1" si="185"/>
        <v>50</v>
      </c>
      <c r="G2620" s="166" t="s">
        <v>4598</v>
      </c>
      <c r="H2620" s="171"/>
      <c r="I2620" s="171"/>
      <c r="J2620" s="171"/>
      <c r="K2620" s="171"/>
      <c r="L2620" s="166"/>
      <c r="M2620" s="166"/>
      <c r="N2620" s="166"/>
      <c r="O2620" s="166"/>
      <c r="P2620" s="166">
        <f t="shared" ca="1" si="186"/>
        <v>250</v>
      </c>
      <c r="Q2620" s="166" t="b">
        <v>0</v>
      </c>
    </row>
    <row r="2621" spans="1:17">
      <c r="A2621" s="166" t="b">
        <v>0</v>
      </c>
      <c r="B2621" s="166" t="s">
        <v>4931</v>
      </c>
      <c r="C2621" s="177">
        <v>42</v>
      </c>
      <c r="D2621" s="166">
        <f t="shared" si="183"/>
        <v>-229</v>
      </c>
      <c r="E2621" s="166">
        <f t="shared" si="184"/>
        <v>5</v>
      </c>
      <c r="F2621" s="166">
        <f t="shared" ca="1" si="185"/>
        <v>50</v>
      </c>
      <c r="G2621" s="166" t="s">
        <v>4598</v>
      </c>
      <c r="H2621" s="171"/>
      <c r="I2621" s="171"/>
      <c r="J2621" s="171"/>
      <c r="K2621" s="171"/>
      <c r="L2621" s="166"/>
      <c r="M2621" s="166"/>
      <c r="N2621" s="166"/>
      <c r="O2621" s="166"/>
      <c r="P2621" s="166">
        <f t="shared" ca="1" si="186"/>
        <v>251</v>
      </c>
      <c r="Q2621" s="166" t="b">
        <v>0</v>
      </c>
    </row>
    <row r="2622" spans="1:17">
      <c r="A2622" s="166" t="b">
        <v>0</v>
      </c>
      <c r="B2622" s="166" t="s">
        <v>4932</v>
      </c>
      <c r="C2622" s="177">
        <v>42</v>
      </c>
      <c r="D2622" s="166">
        <f t="shared" si="183"/>
        <v>-228</v>
      </c>
      <c r="E2622" s="166">
        <f t="shared" si="184"/>
        <v>6</v>
      </c>
      <c r="F2622" s="166">
        <f t="shared" ca="1" si="185"/>
        <v>50</v>
      </c>
      <c r="G2622" s="166" t="s">
        <v>4598</v>
      </c>
      <c r="H2622" s="171"/>
      <c r="I2622" s="171"/>
      <c r="J2622" s="171"/>
      <c r="K2622" s="171"/>
      <c r="L2622" s="166"/>
      <c r="M2622" s="166"/>
      <c r="N2622" s="166"/>
      <c r="O2622" s="166"/>
      <c r="P2622" s="166">
        <f t="shared" ca="1" si="186"/>
        <v>252</v>
      </c>
      <c r="Q2622" s="166" t="b">
        <v>0</v>
      </c>
    </row>
    <row r="2623" spans="1:17">
      <c r="A2623" s="166" t="b">
        <v>0</v>
      </c>
      <c r="B2623" s="166" t="s">
        <v>4933</v>
      </c>
      <c r="C2623" s="177">
        <v>43</v>
      </c>
      <c r="D2623" s="166">
        <f t="shared" si="183"/>
        <v>-227</v>
      </c>
      <c r="E2623" s="166">
        <f t="shared" si="184"/>
        <v>1</v>
      </c>
      <c r="F2623" s="166">
        <f t="shared" ca="1" si="185"/>
        <v>51</v>
      </c>
      <c r="G2623" s="166" t="s">
        <v>4600</v>
      </c>
      <c r="H2623" s="171"/>
      <c r="I2623" s="171"/>
      <c r="J2623" s="171"/>
      <c r="K2623" s="171"/>
      <c r="L2623" s="166"/>
      <c r="M2623" s="166"/>
      <c r="N2623" s="166"/>
      <c r="O2623" s="166"/>
      <c r="P2623" s="166">
        <f t="shared" ca="1" si="186"/>
        <v>253</v>
      </c>
      <c r="Q2623" s="166" t="b">
        <v>0</v>
      </c>
    </row>
    <row r="2624" spans="1:17">
      <c r="A2624" s="166" t="b">
        <v>0</v>
      </c>
      <c r="B2624" s="166" t="s">
        <v>4934</v>
      </c>
      <c r="C2624" s="177">
        <v>43</v>
      </c>
      <c r="D2624" s="166">
        <f t="shared" si="183"/>
        <v>-226</v>
      </c>
      <c r="E2624" s="166">
        <f t="shared" si="184"/>
        <v>2</v>
      </c>
      <c r="F2624" s="166">
        <f t="shared" ca="1" si="185"/>
        <v>51</v>
      </c>
      <c r="G2624" s="166" t="s">
        <v>4600</v>
      </c>
      <c r="H2624" s="171"/>
      <c r="I2624" s="171"/>
      <c r="J2624" s="171"/>
      <c r="K2624" s="171"/>
      <c r="L2624" s="166"/>
      <c r="M2624" s="166"/>
      <c r="N2624" s="166"/>
      <c r="O2624" s="166"/>
      <c r="P2624" s="166">
        <f t="shared" ca="1" si="186"/>
        <v>254</v>
      </c>
      <c r="Q2624" s="166" t="b">
        <v>0</v>
      </c>
    </row>
    <row r="2625" spans="1:17">
      <c r="A2625" s="166" t="b">
        <v>0</v>
      </c>
      <c r="B2625" s="166" t="s">
        <v>4935</v>
      </c>
      <c r="C2625" s="177">
        <v>43</v>
      </c>
      <c r="D2625" s="166">
        <f t="shared" si="183"/>
        <v>-225</v>
      </c>
      <c r="E2625" s="166">
        <f t="shared" si="184"/>
        <v>3</v>
      </c>
      <c r="F2625" s="166">
        <f t="shared" ca="1" si="185"/>
        <v>51</v>
      </c>
      <c r="G2625" s="166" t="s">
        <v>4600</v>
      </c>
      <c r="H2625" s="171"/>
      <c r="I2625" s="171"/>
      <c r="J2625" s="171"/>
      <c r="K2625" s="171"/>
      <c r="L2625" s="166"/>
      <c r="M2625" s="166"/>
      <c r="N2625" s="166"/>
      <c r="O2625" s="166"/>
      <c r="P2625" s="166">
        <f t="shared" ca="1" si="186"/>
        <v>255</v>
      </c>
      <c r="Q2625" s="166" t="b">
        <v>0</v>
      </c>
    </row>
    <row r="2626" spans="1:17">
      <c r="A2626" s="166" t="b">
        <v>0</v>
      </c>
      <c r="B2626" s="166" t="s">
        <v>4936</v>
      </c>
      <c r="C2626" s="177">
        <v>43</v>
      </c>
      <c r="D2626" s="166">
        <f t="shared" si="183"/>
        <v>-224</v>
      </c>
      <c r="E2626" s="166">
        <f t="shared" si="184"/>
        <v>4</v>
      </c>
      <c r="F2626" s="166">
        <f t="shared" ca="1" si="185"/>
        <v>51</v>
      </c>
      <c r="G2626" s="166" t="s">
        <v>4600</v>
      </c>
      <c r="H2626" s="171"/>
      <c r="I2626" s="171"/>
      <c r="J2626" s="171"/>
      <c r="K2626" s="171"/>
      <c r="L2626" s="166"/>
      <c r="M2626" s="166"/>
      <c r="N2626" s="166"/>
      <c r="O2626" s="166"/>
      <c r="P2626" s="166">
        <f t="shared" ca="1" si="186"/>
        <v>256</v>
      </c>
      <c r="Q2626" s="166" t="b">
        <v>0</v>
      </c>
    </row>
    <row r="2627" spans="1:17">
      <c r="A2627" s="166" t="b">
        <v>0</v>
      </c>
      <c r="B2627" s="166" t="s">
        <v>4937</v>
      </c>
      <c r="C2627" s="177">
        <v>43</v>
      </c>
      <c r="D2627" s="166">
        <f t="shared" ref="D2627:D2690" si="187">D2626+1</f>
        <v>-223</v>
      </c>
      <c r="E2627" s="166">
        <f t="shared" ref="E2627:E2690" si="188">COUNTIF(C2457:C2627,C2627)</f>
        <v>5</v>
      </c>
      <c r="F2627" s="166">
        <f t="shared" ref="F2627:F2690" ca="1" si="189">IF(C2627=1,9,IF(E2626=MAX(E2625:E2627),F2625+1,F2626))</f>
        <v>51</v>
      </c>
      <c r="G2627" s="166" t="s">
        <v>4600</v>
      </c>
      <c r="H2627" s="171"/>
      <c r="I2627" s="171"/>
      <c r="J2627" s="171"/>
      <c r="K2627" s="171"/>
      <c r="L2627" s="166"/>
      <c r="M2627" s="166"/>
      <c r="N2627" s="166"/>
      <c r="O2627" s="166"/>
      <c r="P2627" s="166">
        <f t="shared" ref="P2627:P2690" ca="1" si="190">IF(NOT(_xlfn.ISFORMULA(I2627)),P2626+1,0)</f>
        <v>257</v>
      </c>
      <c r="Q2627" s="166" t="b">
        <v>0</v>
      </c>
    </row>
    <row r="2628" spans="1:17">
      <c r="A2628" s="166" t="b">
        <v>0</v>
      </c>
      <c r="B2628" s="166" t="s">
        <v>4938</v>
      </c>
      <c r="C2628" s="177">
        <v>43</v>
      </c>
      <c r="D2628" s="166">
        <f t="shared" si="187"/>
        <v>-222</v>
      </c>
      <c r="E2628" s="166">
        <f t="shared" si="188"/>
        <v>6</v>
      </c>
      <c r="F2628" s="166">
        <f t="shared" ca="1" si="189"/>
        <v>51</v>
      </c>
      <c r="G2628" s="166" t="s">
        <v>4600</v>
      </c>
      <c r="H2628" s="171"/>
      <c r="I2628" s="171"/>
      <c r="J2628" s="171"/>
      <c r="K2628" s="171"/>
      <c r="L2628" s="166"/>
      <c r="M2628" s="166"/>
      <c r="N2628" s="166"/>
      <c r="O2628" s="166"/>
      <c r="P2628" s="166">
        <f t="shared" ca="1" si="190"/>
        <v>258</v>
      </c>
      <c r="Q2628" s="166" t="b">
        <v>0</v>
      </c>
    </row>
    <row r="2629" spans="1:17">
      <c r="A2629" s="166" t="b">
        <v>0</v>
      </c>
      <c r="B2629" s="166" t="s">
        <v>4939</v>
      </c>
      <c r="C2629" s="177">
        <v>44</v>
      </c>
      <c r="D2629" s="166">
        <f t="shared" si="187"/>
        <v>-221</v>
      </c>
      <c r="E2629" s="166">
        <f t="shared" si="188"/>
        <v>1</v>
      </c>
      <c r="F2629" s="166">
        <f t="shared" ca="1" si="189"/>
        <v>52</v>
      </c>
      <c r="G2629" s="166" t="s">
        <v>4602</v>
      </c>
      <c r="H2629" s="171"/>
      <c r="I2629" s="171"/>
      <c r="J2629" s="171"/>
      <c r="K2629" s="171"/>
      <c r="L2629" s="166"/>
      <c r="M2629" s="166"/>
      <c r="N2629" s="166"/>
      <c r="O2629" s="166"/>
      <c r="P2629" s="166">
        <f t="shared" ca="1" si="190"/>
        <v>259</v>
      </c>
      <c r="Q2629" s="166" t="b">
        <v>0</v>
      </c>
    </row>
    <row r="2630" spans="1:17">
      <c r="A2630" s="166" t="b">
        <v>0</v>
      </c>
      <c r="B2630" s="166" t="s">
        <v>4940</v>
      </c>
      <c r="C2630" s="177">
        <v>44</v>
      </c>
      <c r="D2630" s="166">
        <f t="shared" si="187"/>
        <v>-220</v>
      </c>
      <c r="E2630" s="166">
        <f t="shared" si="188"/>
        <v>2</v>
      </c>
      <c r="F2630" s="166">
        <f t="shared" ca="1" si="189"/>
        <v>52</v>
      </c>
      <c r="G2630" s="166" t="s">
        <v>4602</v>
      </c>
      <c r="H2630" s="171"/>
      <c r="I2630" s="171"/>
      <c r="J2630" s="171"/>
      <c r="K2630" s="171"/>
      <c r="L2630" s="166"/>
      <c r="M2630" s="166"/>
      <c r="N2630" s="166"/>
      <c r="O2630" s="166"/>
      <c r="P2630" s="166">
        <f t="shared" ca="1" si="190"/>
        <v>260</v>
      </c>
      <c r="Q2630" s="166" t="b">
        <v>0</v>
      </c>
    </row>
    <row r="2631" spans="1:17">
      <c r="A2631" s="166" t="b">
        <v>0</v>
      </c>
      <c r="B2631" s="166" t="s">
        <v>4941</v>
      </c>
      <c r="C2631" s="177">
        <v>44</v>
      </c>
      <c r="D2631" s="166">
        <f t="shared" si="187"/>
        <v>-219</v>
      </c>
      <c r="E2631" s="166">
        <f t="shared" si="188"/>
        <v>3</v>
      </c>
      <c r="F2631" s="166">
        <f t="shared" ca="1" si="189"/>
        <v>52</v>
      </c>
      <c r="G2631" s="166" t="s">
        <v>4602</v>
      </c>
      <c r="H2631" s="171"/>
      <c r="I2631" s="171"/>
      <c r="J2631" s="171"/>
      <c r="K2631" s="171"/>
      <c r="L2631" s="166"/>
      <c r="M2631" s="166"/>
      <c r="N2631" s="166"/>
      <c r="O2631" s="166"/>
      <c r="P2631" s="166">
        <f t="shared" ca="1" si="190"/>
        <v>261</v>
      </c>
      <c r="Q2631" s="166" t="b">
        <v>0</v>
      </c>
    </row>
    <row r="2632" spans="1:17">
      <c r="A2632" s="166" t="b">
        <v>0</v>
      </c>
      <c r="B2632" s="166" t="s">
        <v>4942</v>
      </c>
      <c r="C2632" s="177">
        <v>44</v>
      </c>
      <c r="D2632" s="166">
        <f t="shared" si="187"/>
        <v>-218</v>
      </c>
      <c r="E2632" s="166">
        <f t="shared" si="188"/>
        <v>4</v>
      </c>
      <c r="F2632" s="166">
        <f t="shared" ca="1" si="189"/>
        <v>52</v>
      </c>
      <c r="G2632" s="166" t="s">
        <v>4602</v>
      </c>
      <c r="H2632" s="171"/>
      <c r="I2632" s="171"/>
      <c r="J2632" s="171"/>
      <c r="K2632" s="171"/>
      <c r="L2632" s="166"/>
      <c r="M2632" s="166"/>
      <c r="N2632" s="166"/>
      <c r="O2632" s="166"/>
      <c r="P2632" s="166">
        <f t="shared" ca="1" si="190"/>
        <v>262</v>
      </c>
      <c r="Q2632" s="166" t="b">
        <v>0</v>
      </c>
    </row>
    <row r="2633" spans="1:17">
      <c r="A2633" s="166" t="b">
        <v>0</v>
      </c>
      <c r="B2633" s="166" t="s">
        <v>4943</v>
      </c>
      <c r="C2633" s="177">
        <v>44</v>
      </c>
      <c r="D2633" s="166">
        <f t="shared" si="187"/>
        <v>-217</v>
      </c>
      <c r="E2633" s="166">
        <f t="shared" si="188"/>
        <v>5</v>
      </c>
      <c r="F2633" s="166">
        <f t="shared" ca="1" si="189"/>
        <v>52</v>
      </c>
      <c r="G2633" s="166" t="s">
        <v>4602</v>
      </c>
      <c r="H2633" s="171"/>
      <c r="I2633" s="171"/>
      <c r="J2633" s="171"/>
      <c r="K2633" s="171"/>
      <c r="L2633" s="166"/>
      <c r="M2633" s="166"/>
      <c r="N2633" s="166"/>
      <c r="O2633" s="166"/>
      <c r="P2633" s="166">
        <f t="shared" ca="1" si="190"/>
        <v>263</v>
      </c>
      <c r="Q2633" s="166" t="b">
        <v>0</v>
      </c>
    </row>
    <row r="2634" spans="1:17">
      <c r="A2634" s="166" t="b">
        <v>0</v>
      </c>
      <c r="B2634" s="166" t="s">
        <v>4944</v>
      </c>
      <c r="C2634" s="177">
        <v>44</v>
      </c>
      <c r="D2634" s="166">
        <f t="shared" si="187"/>
        <v>-216</v>
      </c>
      <c r="E2634" s="166">
        <f t="shared" si="188"/>
        <v>6</v>
      </c>
      <c r="F2634" s="166">
        <f t="shared" ca="1" si="189"/>
        <v>52</v>
      </c>
      <c r="G2634" s="166" t="s">
        <v>4602</v>
      </c>
      <c r="H2634" s="171"/>
      <c r="I2634" s="171"/>
      <c r="J2634" s="171"/>
      <c r="K2634" s="171"/>
      <c r="L2634" s="166"/>
      <c r="M2634" s="166"/>
      <c r="N2634" s="166"/>
      <c r="O2634" s="166"/>
      <c r="P2634" s="166">
        <f t="shared" ca="1" si="190"/>
        <v>264</v>
      </c>
      <c r="Q2634" s="166" t="b">
        <v>0</v>
      </c>
    </row>
    <row r="2635" spans="1:17">
      <c r="A2635" s="166" t="b">
        <v>0</v>
      </c>
      <c r="B2635" s="166" t="s">
        <v>4945</v>
      </c>
      <c r="C2635" s="177">
        <v>45</v>
      </c>
      <c r="D2635" s="166">
        <f t="shared" si="187"/>
        <v>-215</v>
      </c>
      <c r="E2635" s="166">
        <f t="shared" si="188"/>
        <v>1</v>
      </c>
      <c r="F2635" s="166">
        <f t="shared" ca="1" si="189"/>
        <v>53</v>
      </c>
      <c r="G2635" s="166" t="s">
        <v>4604</v>
      </c>
      <c r="H2635" s="171"/>
      <c r="I2635" s="171"/>
      <c r="J2635" s="171"/>
      <c r="K2635" s="171"/>
      <c r="L2635" s="166"/>
      <c r="M2635" s="166"/>
      <c r="N2635" s="166"/>
      <c r="O2635" s="166"/>
      <c r="P2635" s="166">
        <f t="shared" ca="1" si="190"/>
        <v>265</v>
      </c>
      <c r="Q2635" s="166" t="b">
        <v>0</v>
      </c>
    </row>
    <row r="2636" spans="1:17">
      <c r="A2636" s="166" t="b">
        <v>0</v>
      </c>
      <c r="B2636" s="166" t="s">
        <v>4946</v>
      </c>
      <c r="C2636" s="177">
        <v>45</v>
      </c>
      <c r="D2636" s="166">
        <f t="shared" si="187"/>
        <v>-214</v>
      </c>
      <c r="E2636" s="166">
        <f t="shared" si="188"/>
        <v>2</v>
      </c>
      <c r="F2636" s="166">
        <f t="shared" ca="1" si="189"/>
        <v>53</v>
      </c>
      <c r="G2636" s="166" t="s">
        <v>4604</v>
      </c>
      <c r="H2636" s="171"/>
      <c r="I2636" s="171"/>
      <c r="J2636" s="171"/>
      <c r="K2636" s="171"/>
      <c r="L2636" s="166"/>
      <c r="M2636" s="166"/>
      <c r="N2636" s="166"/>
      <c r="O2636" s="166"/>
      <c r="P2636" s="166">
        <f t="shared" ca="1" si="190"/>
        <v>266</v>
      </c>
      <c r="Q2636" s="166" t="b">
        <v>0</v>
      </c>
    </row>
    <row r="2637" spans="1:17">
      <c r="A2637" s="166" t="b">
        <v>0</v>
      </c>
      <c r="B2637" s="166" t="s">
        <v>4947</v>
      </c>
      <c r="C2637" s="177">
        <v>45</v>
      </c>
      <c r="D2637" s="166">
        <f t="shared" si="187"/>
        <v>-213</v>
      </c>
      <c r="E2637" s="166">
        <f t="shared" si="188"/>
        <v>3</v>
      </c>
      <c r="F2637" s="166">
        <f t="shared" ca="1" si="189"/>
        <v>53</v>
      </c>
      <c r="G2637" s="166" t="s">
        <v>4604</v>
      </c>
      <c r="H2637" s="171"/>
      <c r="I2637" s="171"/>
      <c r="J2637" s="171"/>
      <c r="K2637" s="171"/>
      <c r="L2637" s="166"/>
      <c r="M2637" s="166"/>
      <c r="N2637" s="166"/>
      <c r="O2637" s="166"/>
      <c r="P2637" s="166">
        <f t="shared" ca="1" si="190"/>
        <v>267</v>
      </c>
      <c r="Q2637" s="166" t="b">
        <v>0</v>
      </c>
    </row>
    <row r="2638" spans="1:17">
      <c r="A2638" s="166" t="b">
        <v>0</v>
      </c>
      <c r="B2638" s="166" t="s">
        <v>4948</v>
      </c>
      <c r="C2638" s="177">
        <v>45</v>
      </c>
      <c r="D2638" s="166">
        <f t="shared" si="187"/>
        <v>-212</v>
      </c>
      <c r="E2638" s="166">
        <f t="shared" si="188"/>
        <v>4</v>
      </c>
      <c r="F2638" s="166">
        <f t="shared" ca="1" si="189"/>
        <v>53</v>
      </c>
      <c r="G2638" s="166" t="s">
        <v>4604</v>
      </c>
      <c r="H2638" s="171"/>
      <c r="I2638" s="171"/>
      <c r="J2638" s="171"/>
      <c r="K2638" s="171"/>
      <c r="L2638" s="166"/>
      <c r="M2638" s="166"/>
      <c r="N2638" s="166"/>
      <c r="O2638" s="166"/>
      <c r="P2638" s="166">
        <f t="shared" ca="1" si="190"/>
        <v>268</v>
      </c>
      <c r="Q2638" s="166" t="b">
        <v>0</v>
      </c>
    </row>
    <row r="2639" spans="1:17">
      <c r="A2639" s="166" t="b">
        <v>0</v>
      </c>
      <c r="B2639" s="166" t="s">
        <v>4949</v>
      </c>
      <c r="C2639" s="177">
        <v>45</v>
      </c>
      <c r="D2639" s="166">
        <f t="shared" si="187"/>
        <v>-211</v>
      </c>
      <c r="E2639" s="166">
        <f t="shared" si="188"/>
        <v>5</v>
      </c>
      <c r="F2639" s="166">
        <f t="shared" ca="1" si="189"/>
        <v>53</v>
      </c>
      <c r="G2639" s="166" t="s">
        <v>4604</v>
      </c>
      <c r="H2639" s="171"/>
      <c r="I2639" s="171"/>
      <c r="J2639" s="171"/>
      <c r="K2639" s="171"/>
      <c r="L2639" s="166"/>
      <c r="M2639" s="166"/>
      <c r="N2639" s="166"/>
      <c r="O2639" s="166"/>
      <c r="P2639" s="166">
        <f t="shared" ca="1" si="190"/>
        <v>269</v>
      </c>
      <c r="Q2639" s="166" t="b">
        <v>0</v>
      </c>
    </row>
    <row r="2640" spans="1:17">
      <c r="A2640" s="166" t="b">
        <v>0</v>
      </c>
      <c r="B2640" s="166" t="s">
        <v>4950</v>
      </c>
      <c r="C2640" s="177">
        <v>45</v>
      </c>
      <c r="D2640" s="166">
        <f t="shared" si="187"/>
        <v>-210</v>
      </c>
      <c r="E2640" s="166">
        <f t="shared" si="188"/>
        <v>6</v>
      </c>
      <c r="F2640" s="166">
        <f t="shared" ca="1" si="189"/>
        <v>53</v>
      </c>
      <c r="G2640" s="166" t="s">
        <v>4604</v>
      </c>
      <c r="H2640" s="171"/>
      <c r="I2640" s="171"/>
      <c r="J2640" s="171"/>
      <c r="K2640" s="171"/>
      <c r="L2640" s="166"/>
      <c r="M2640" s="166"/>
      <c r="N2640" s="166"/>
      <c r="O2640" s="166"/>
      <c r="P2640" s="166">
        <f t="shared" ca="1" si="190"/>
        <v>270</v>
      </c>
      <c r="Q2640" s="166" t="b">
        <v>0</v>
      </c>
    </row>
    <row r="2641" spans="1:17">
      <c r="A2641" s="166" t="b">
        <v>0</v>
      </c>
      <c r="B2641" s="166" t="s">
        <v>4951</v>
      </c>
      <c r="C2641" s="177">
        <v>46</v>
      </c>
      <c r="D2641" s="166">
        <f t="shared" si="187"/>
        <v>-209</v>
      </c>
      <c r="E2641" s="166">
        <f t="shared" si="188"/>
        <v>1</v>
      </c>
      <c r="F2641" s="166">
        <f t="shared" ca="1" si="189"/>
        <v>54</v>
      </c>
      <c r="G2641" s="166" t="s">
        <v>4606</v>
      </c>
      <c r="H2641" s="171"/>
      <c r="I2641" s="171"/>
      <c r="J2641" s="171"/>
      <c r="K2641" s="171"/>
      <c r="L2641" s="166"/>
      <c r="M2641" s="166"/>
      <c r="N2641" s="166"/>
      <c r="O2641" s="166"/>
      <c r="P2641" s="166">
        <f t="shared" ca="1" si="190"/>
        <v>271</v>
      </c>
      <c r="Q2641" s="166" t="b">
        <v>0</v>
      </c>
    </row>
    <row r="2642" spans="1:17">
      <c r="A2642" s="166" t="b">
        <v>0</v>
      </c>
      <c r="B2642" s="166" t="s">
        <v>4952</v>
      </c>
      <c r="C2642" s="177">
        <v>46</v>
      </c>
      <c r="D2642" s="166">
        <f t="shared" si="187"/>
        <v>-208</v>
      </c>
      <c r="E2642" s="166">
        <f t="shared" si="188"/>
        <v>2</v>
      </c>
      <c r="F2642" s="166">
        <f t="shared" ca="1" si="189"/>
        <v>54</v>
      </c>
      <c r="G2642" s="166" t="s">
        <v>4606</v>
      </c>
      <c r="H2642" s="171"/>
      <c r="I2642" s="171"/>
      <c r="J2642" s="171"/>
      <c r="K2642" s="171"/>
      <c r="L2642" s="166"/>
      <c r="M2642" s="166"/>
      <c r="N2642" s="166"/>
      <c r="O2642" s="166"/>
      <c r="P2642" s="166">
        <f t="shared" ca="1" si="190"/>
        <v>272</v>
      </c>
      <c r="Q2642" s="166" t="b">
        <v>0</v>
      </c>
    </row>
    <row r="2643" spans="1:17">
      <c r="A2643" s="166" t="b">
        <v>0</v>
      </c>
      <c r="B2643" s="166" t="s">
        <v>4953</v>
      </c>
      <c r="C2643" s="177">
        <v>46</v>
      </c>
      <c r="D2643" s="166">
        <f t="shared" si="187"/>
        <v>-207</v>
      </c>
      <c r="E2643" s="166">
        <f t="shared" si="188"/>
        <v>3</v>
      </c>
      <c r="F2643" s="166">
        <f t="shared" ca="1" si="189"/>
        <v>54</v>
      </c>
      <c r="G2643" s="166" t="s">
        <v>4606</v>
      </c>
      <c r="H2643" s="171"/>
      <c r="I2643" s="171"/>
      <c r="J2643" s="171"/>
      <c r="K2643" s="171"/>
      <c r="L2643" s="166"/>
      <c r="M2643" s="166"/>
      <c r="N2643" s="166"/>
      <c r="O2643" s="166"/>
      <c r="P2643" s="166">
        <f t="shared" ca="1" si="190"/>
        <v>273</v>
      </c>
      <c r="Q2643" s="166" t="b">
        <v>0</v>
      </c>
    </row>
    <row r="2644" spans="1:17">
      <c r="A2644" s="166" t="b">
        <v>0</v>
      </c>
      <c r="B2644" s="166" t="s">
        <v>4954</v>
      </c>
      <c r="C2644" s="177">
        <v>46</v>
      </c>
      <c r="D2644" s="166">
        <f t="shared" si="187"/>
        <v>-206</v>
      </c>
      <c r="E2644" s="166">
        <f t="shared" si="188"/>
        <v>4</v>
      </c>
      <c r="F2644" s="166">
        <f t="shared" ca="1" si="189"/>
        <v>54</v>
      </c>
      <c r="G2644" s="166" t="s">
        <v>4606</v>
      </c>
      <c r="H2644" s="171"/>
      <c r="I2644" s="171"/>
      <c r="J2644" s="171"/>
      <c r="K2644" s="171"/>
      <c r="L2644" s="166"/>
      <c r="M2644" s="166"/>
      <c r="N2644" s="166"/>
      <c r="O2644" s="166"/>
      <c r="P2644" s="166">
        <f t="shared" ca="1" si="190"/>
        <v>274</v>
      </c>
      <c r="Q2644" s="166" t="b">
        <v>0</v>
      </c>
    </row>
    <row r="2645" spans="1:17">
      <c r="A2645" s="166" t="b">
        <v>0</v>
      </c>
      <c r="B2645" s="166" t="s">
        <v>4955</v>
      </c>
      <c r="C2645" s="177">
        <v>46</v>
      </c>
      <c r="D2645" s="166">
        <f t="shared" si="187"/>
        <v>-205</v>
      </c>
      <c r="E2645" s="166">
        <f t="shared" si="188"/>
        <v>5</v>
      </c>
      <c r="F2645" s="166">
        <f t="shared" ca="1" si="189"/>
        <v>54</v>
      </c>
      <c r="G2645" s="166" t="s">
        <v>4606</v>
      </c>
      <c r="H2645" s="171"/>
      <c r="I2645" s="171"/>
      <c r="J2645" s="171"/>
      <c r="K2645" s="171"/>
      <c r="L2645" s="166"/>
      <c r="M2645" s="166"/>
      <c r="N2645" s="166"/>
      <c r="O2645" s="166"/>
      <c r="P2645" s="166">
        <f t="shared" ca="1" si="190"/>
        <v>275</v>
      </c>
      <c r="Q2645" s="166" t="b">
        <v>0</v>
      </c>
    </row>
    <row r="2646" spans="1:17">
      <c r="A2646" s="166" t="b">
        <v>0</v>
      </c>
      <c r="B2646" s="166" t="s">
        <v>4956</v>
      </c>
      <c r="C2646" s="177">
        <v>46</v>
      </c>
      <c r="D2646" s="166">
        <f t="shared" si="187"/>
        <v>-204</v>
      </c>
      <c r="E2646" s="166">
        <f t="shared" si="188"/>
        <v>6</v>
      </c>
      <c r="F2646" s="166">
        <f t="shared" ca="1" si="189"/>
        <v>54</v>
      </c>
      <c r="G2646" s="166" t="s">
        <v>4606</v>
      </c>
      <c r="H2646" s="171"/>
      <c r="I2646" s="171"/>
      <c r="J2646" s="171"/>
      <c r="K2646" s="171"/>
      <c r="L2646" s="166"/>
      <c r="M2646" s="166"/>
      <c r="N2646" s="166"/>
      <c r="O2646" s="166"/>
      <c r="P2646" s="166">
        <f t="shared" ca="1" si="190"/>
        <v>276</v>
      </c>
      <c r="Q2646" s="166" t="b">
        <v>0</v>
      </c>
    </row>
    <row r="2647" spans="1:17">
      <c r="A2647" s="166" t="b">
        <v>0</v>
      </c>
      <c r="B2647" s="166" t="s">
        <v>4957</v>
      </c>
      <c r="C2647" s="177">
        <v>47</v>
      </c>
      <c r="D2647" s="166">
        <f t="shared" si="187"/>
        <v>-203</v>
      </c>
      <c r="E2647" s="166">
        <f t="shared" si="188"/>
        <v>1</v>
      </c>
      <c r="F2647" s="166">
        <f t="shared" ca="1" si="189"/>
        <v>55</v>
      </c>
      <c r="G2647" s="166" t="s">
        <v>4608</v>
      </c>
      <c r="H2647" s="171"/>
      <c r="I2647" s="171"/>
      <c r="J2647" s="171"/>
      <c r="K2647" s="171"/>
      <c r="L2647" s="166"/>
      <c r="M2647" s="166"/>
      <c r="N2647" s="166"/>
      <c r="O2647" s="166"/>
      <c r="P2647" s="166">
        <f t="shared" ca="1" si="190"/>
        <v>277</v>
      </c>
      <c r="Q2647" s="166" t="b">
        <v>0</v>
      </c>
    </row>
    <row r="2648" spans="1:17">
      <c r="A2648" s="166" t="b">
        <v>0</v>
      </c>
      <c r="B2648" s="166" t="s">
        <v>4958</v>
      </c>
      <c r="C2648" s="177">
        <v>47</v>
      </c>
      <c r="D2648" s="166">
        <f t="shared" si="187"/>
        <v>-202</v>
      </c>
      <c r="E2648" s="166">
        <f t="shared" si="188"/>
        <v>2</v>
      </c>
      <c r="F2648" s="166">
        <f t="shared" ca="1" si="189"/>
        <v>55</v>
      </c>
      <c r="G2648" s="166" t="s">
        <v>4608</v>
      </c>
      <c r="H2648" s="171"/>
      <c r="I2648" s="171"/>
      <c r="J2648" s="171"/>
      <c r="K2648" s="171"/>
      <c r="L2648" s="166"/>
      <c r="M2648" s="166"/>
      <c r="N2648" s="166"/>
      <c r="O2648" s="166"/>
      <c r="P2648" s="166">
        <f t="shared" ca="1" si="190"/>
        <v>278</v>
      </c>
      <c r="Q2648" s="166" t="b">
        <v>0</v>
      </c>
    </row>
    <row r="2649" spans="1:17">
      <c r="A2649" s="166" t="b">
        <v>0</v>
      </c>
      <c r="B2649" s="166" t="s">
        <v>4959</v>
      </c>
      <c r="C2649" s="177">
        <v>47</v>
      </c>
      <c r="D2649" s="166">
        <f t="shared" si="187"/>
        <v>-201</v>
      </c>
      <c r="E2649" s="166">
        <f t="shared" si="188"/>
        <v>3</v>
      </c>
      <c r="F2649" s="166">
        <f t="shared" ca="1" si="189"/>
        <v>55</v>
      </c>
      <c r="G2649" s="166" t="s">
        <v>4608</v>
      </c>
      <c r="H2649" s="171"/>
      <c r="I2649" s="171"/>
      <c r="J2649" s="171"/>
      <c r="K2649" s="171"/>
      <c r="L2649" s="166"/>
      <c r="M2649" s="166"/>
      <c r="N2649" s="166"/>
      <c r="O2649" s="166"/>
      <c r="P2649" s="166">
        <f t="shared" ca="1" si="190"/>
        <v>279</v>
      </c>
      <c r="Q2649" s="166" t="b">
        <v>0</v>
      </c>
    </row>
    <row r="2650" spans="1:17">
      <c r="A2650" s="166" t="b">
        <v>0</v>
      </c>
      <c r="B2650" s="166" t="s">
        <v>4960</v>
      </c>
      <c r="C2650" s="177">
        <v>47</v>
      </c>
      <c r="D2650" s="166">
        <f t="shared" si="187"/>
        <v>-200</v>
      </c>
      <c r="E2650" s="166">
        <f t="shared" si="188"/>
        <v>4</v>
      </c>
      <c r="F2650" s="166">
        <f t="shared" ca="1" si="189"/>
        <v>55</v>
      </c>
      <c r="G2650" s="166" t="s">
        <v>4608</v>
      </c>
      <c r="H2650" s="171"/>
      <c r="I2650" s="171"/>
      <c r="J2650" s="171"/>
      <c r="K2650" s="171"/>
      <c r="L2650" s="166"/>
      <c r="M2650" s="166"/>
      <c r="N2650" s="166"/>
      <c r="O2650" s="166"/>
      <c r="P2650" s="166">
        <f t="shared" ca="1" si="190"/>
        <v>280</v>
      </c>
      <c r="Q2650" s="166" t="b">
        <v>0</v>
      </c>
    </row>
    <row r="2651" spans="1:17">
      <c r="A2651" s="166" t="b">
        <v>0</v>
      </c>
      <c r="B2651" s="166" t="s">
        <v>4961</v>
      </c>
      <c r="C2651" s="177">
        <v>47</v>
      </c>
      <c r="D2651" s="166">
        <f t="shared" si="187"/>
        <v>-199</v>
      </c>
      <c r="E2651" s="166">
        <f t="shared" si="188"/>
        <v>5</v>
      </c>
      <c r="F2651" s="166">
        <f t="shared" ca="1" si="189"/>
        <v>55</v>
      </c>
      <c r="G2651" s="166" t="s">
        <v>4608</v>
      </c>
      <c r="H2651" s="171"/>
      <c r="I2651" s="171"/>
      <c r="J2651" s="171"/>
      <c r="K2651" s="171"/>
      <c r="L2651" s="166"/>
      <c r="M2651" s="166"/>
      <c r="N2651" s="166"/>
      <c r="O2651" s="166"/>
      <c r="P2651" s="166">
        <f t="shared" ca="1" si="190"/>
        <v>281</v>
      </c>
      <c r="Q2651" s="166" t="b">
        <v>0</v>
      </c>
    </row>
    <row r="2652" spans="1:17">
      <c r="A2652" s="166" t="b">
        <v>0</v>
      </c>
      <c r="B2652" s="166" t="s">
        <v>4962</v>
      </c>
      <c r="C2652" s="177">
        <v>47</v>
      </c>
      <c r="D2652" s="166">
        <f t="shared" si="187"/>
        <v>-198</v>
      </c>
      <c r="E2652" s="166">
        <f t="shared" si="188"/>
        <v>6</v>
      </c>
      <c r="F2652" s="166">
        <f t="shared" ca="1" si="189"/>
        <v>55</v>
      </c>
      <c r="G2652" s="166" t="s">
        <v>4608</v>
      </c>
      <c r="H2652" s="171"/>
      <c r="I2652" s="171"/>
      <c r="J2652" s="171"/>
      <c r="K2652" s="171"/>
      <c r="L2652" s="166"/>
      <c r="M2652" s="166"/>
      <c r="N2652" s="166"/>
      <c r="O2652" s="166"/>
      <c r="P2652" s="166">
        <f t="shared" ca="1" si="190"/>
        <v>282</v>
      </c>
      <c r="Q2652" s="166" t="b">
        <v>0</v>
      </c>
    </row>
    <row r="2653" spans="1:17">
      <c r="A2653" s="166" t="b">
        <v>0</v>
      </c>
      <c r="B2653" s="166" t="s">
        <v>4963</v>
      </c>
      <c r="C2653" s="177">
        <v>48</v>
      </c>
      <c r="D2653" s="166">
        <f t="shared" si="187"/>
        <v>-197</v>
      </c>
      <c r="E2653" s="166">
        <f t="shared" si="188"/>
        <v>1</v>
      </c>
      <c r="F2653" s="166">
        <f t="shared" ca="1" si="189"/>
        <v>56</v>
      </c>
      <c r="G2653" s="166" t="s">
        <v>4610</v>
      </c>
      <c r="H2653" s="171"/>
      <c r="I2653" s="171"/>
      <c r="J2653" s="171"/>
      <c r="K2653" s="171"/>
      <c r="L2653" s="166"/>
      <c r="M2653" s="166"/>
      <c r="N2653" s="166"/>
      <c r="O2653" s="166"/>
      <c r="P2653" s="166">
        <f t="shared" ca="1" si="190"/>
        <v>283</v>
      </c>
      <c r="Q2653" s="166" t="b">
        <v>0</v>
      </c>
    </row>
    <row r="2654" spans="1:17">
      <c r="A2654" s="166" t="b">
        <v>0</v>
      </c>
      <c r="B2654" s="166" t="s">
        <v>4964</v>
      </c>
      <c r="C2654" s="177">
        <v>48</v>
      </c>
      <c r="D2654" s="166">
        <f t="shared" si="187"/>
        <v>-196</v>
      </c>
      <c r="E2654" s="166">
        <f t="shared" si="188"/>
        <v>2</v>
      </c>
      <c r="F2654" s="166">
        <f t="shared" ca="1" si="189"/>
        <v>56</v>
      </c>
      <c r="G2654" s="166" t="s">
        <v>4610</v>
      </c>
      <c r="H2654" s="171"/>
      <c r="I2654" s="171"/>
      <c r="J2654" s="171"/>
      <c r="K2654" s="171"/>
      <c r="L2654" s="166"/>
      <c r="M2654" s="166"/>
      <c r="N2654" s="166"/>
      <c r="O2654" s="166"/>
      <c r="P2654" s="166">
        <f t="shared" ca="1" si="190"/>
        <v>284</v>
      </c>
      <c r="Q2654" s="166" t="b">
        <v>0</v>
      </c>
    </row>
    <row r="2655" spans="1:17">
      <c r="A2655" s="166" t="b">
        <v>0</v>
      </c>
      <c r="B2655" s="166" t="s">
        <v>4965</v>
      </c>
      <c r="C2655" s="177">
        <v>48</v>
      </c>
      <c r="D2655" s="166">
        <f t="shared" si="187"/>
        <v>-195</v>
      </c>
      <c r="E2655" s="166">
        <f t="shared" si="188"/>
        <v>3</v>
      </c>
      <c r="F2655" s="166">
        <f t="shared" ca="1" si="189"/>
        <v>56</v>
      </c>
      <c r="G2655" s="166" t="s">
        <v>4610</v>
      </c>
      <c r="H2655" s="171"/>
      <c r="I2655" s="171"/>
      <c r="J2655" s="171"/>
      <c r="K2655" s="171"/>
      <c r="L2655" s="166"/>
      <c r="M2655" s="166"/>
      <c r="N2655" s="166"/>
      <c r="O2655" s="166"/>
      <c r="P2655" s="166">
        <f t="shared" ca="1" si="190"/>
        <v>285</v>
      </c>
      <c r="Q2655" s="166" t="b">
        <v>0</v>
      </c>
    </row>
    <row r="2656" spans="1:17">
      <c r="A2656" s="166" t="b">
        <v>0</v>
      </c>
      <c r="B2656" s="166" t="s">
        <v>4966</v>
      </c>
      <c r="C2656" s="177">
        <v>48</v>
      </c>
      <c r="D2656" s="166">
        <f t="shared" si="187"/>
        <v>-194</v>
      </c>
      <c r="E2656" s="166">
        <f t="shared" si="188"/>
        <v>4</v>
      </c>
      <c r="F2656" s="166">
        <f t="shared" ca="1" si="189"/>
        <v>56</v>
      </c>
      <c r="G2656" s="166" t="s">
        <v>4610</v>
      </c>
      <c r="H2656" s="171"/>
      <c r="I2656" s="171"/>
      <c r="J2656" s="171"/>
      <c r="K2656" s="171"/>
      <c r="L2656" s="166"/>
      <c r="M2656" s="166"/>
      <c r="N2656" s="166"/>
      <c r="O2656" s="166"/>
      <c r="P2656" s="166">
        <f t="shared" ca="1" si="190"/>
        <v>286</v>
      </c>
      <c r="Q2656" s="166" t="b">
        <v>0</v>
      </c>
    </row>
    <row r="2657" spans="1:17">
      <c r="A2657" s="166" t="b">
        <v>0</v>
      </c>
      <c r="B2657" s="166" t="s">
        <v>4967</v>
      </c>
      <c r="C2657" s="177">
        <v>48</v>
      </c>
      <c r="D2657" s="166">
        <f t="shared" si="187"/>
        <v>-193</v>
      </c>
      <c r="E2657" s="166">
        <f t="shared" si="188"/>
        <v>5</v>
      </c>
      <c r="F2657" s="166">
        <f t="shared" ca="1" si="189"/>
        <v>56</v>
      </c>
      <c r="G2657" s="166" t="s">
        <v>4610</v>
      </c>
      <c r="H2657" s="171"/>
      <c r="I2657" s="171"/>
      <c r="J2657" s="171"/>
      <c r="K2657" s="171"/>
      <c r="L2657" s="166"/>
      <c r="M2657" s="166"/>
      <c r="N2657" s="166"/>
      <c r="O2657" s="166"/>
      <c r="P2657" s="166">
        <f t="shared" ca="1" si="190"/>
        <v>287</v>
      </c>
      <c r="Q2657" s="166" t="b">
        <v>0</v>
      </c>
    </row>
    <row r="2658" spans="1:17">
      <c r="A2658" s="166" t="b">
        <v>0</v>
      </c>
      <c r="B2658" s="166" t="s">
        <v>4968</v>
      </c>
      <c r="C2658" s="177">
        <v>48</v>
      </c>
      <c r="D2658" s="166">
        <f t="shared" si="187"/>
        <v>-192</v>
      </c>
      <c r="E2658" s="166">
        <f t="shared" si="188"/>
        <v>6</v>
      </c>
      <c r="F2658" s="166">
        <f t="shared" ca="1" si="189"/>
        <v>56</v>
      </c>
      <c r="G2658" s="166" t="s">
        <v>4610</v>
      </c>
      <c r="H2658" s="171"/>
      <c r="I2658" s="171"/>
      <c r="J2658" s="171"/>
      <c r="K2658" s="171"/>
      <c r="L2658" s="166"/>
      <c r="M2658" s="166"/>
      <c r="N2658" s="166"/>
      <c r="O2658" s="166"/>
      <c r="P2658" s="166">
        <f t="shared" ca="1" si="190"/>
        <v>288</v>
      </c>
      <c r="Q2658" s="166" t="b">
        <v>0</v>
      </c>
    </row>
    <row r="2659" spans="1:17">
      <c r="A2659" s="166" t="b">
        <v>0</v>
      </c>
      <c r="B2659" s="166" t="s">
        <v>4969</v>
      </c>
      <c r="C2659" s="177">
        <v>49</v>
      </c>
      <c r="D2659" s="166">
        <f t="shared" si="187"/>
        <v>-191</v>
      </c>
      <c r="E2659" s="166">
        <f t="shared" si="188"/>
        <v>1</v>
      </c>
      <c r="F2659" s="166">
        <f t="shared" ca="1" si="189"/>
        <v>57</v>
      </c>
      <c r="G2659" s="166" t="s">
        <v>4612</v>
      </c>
      <c r="H2659" s="171"/>
      <c r="I2659" s="171"/>
      <c r="J2659" s="171"/>
      <c r="K2659" s="171"/>
      <c r="L2659" s="166"/>
      <c r="M2659" s="166"/>
      <c r="N2659" s="166"/>
      <c r="O2659" s="166"/>
      <c r="P2659" s="166">
        <f t="shared" ca="1" si="190"/>
        <v>289</v>
      </c>
      <c r="Q2659" s="166" t="b">
        <v>0</v>
      </c>
    </row>
    <row r="2660" spans="1:17">
      <c r="A2660" s="166" t="b">
        <v>0</v>
      </c>
      <c r="B2660" s="166" t="s">
        <v>4970</v>
      </c>
      <c r="C2660" s="177">
        <v>49</v>
      </c>
      <c r="D2660" s="166">
        <f t="shared" si="187"/>
        <v>-190</v>
      </c>
      <c r="E2660" s="166">
        <f t="shared" si="188"/>
        <v>2</v>
      </c>
      <c r="F2660" s="166">
        <f t="shared" ca="1" si="189"/>
        <v>57</v>
      </c>
      <c r="G2660" s="166" t="s">
        <v>4612</v>
      </c>
      <c r="H2660" s="171"/>
      <c r="I2660" s="171"/>
      <c r="J2660" s="171"/>
      <c r="K2660" s="171"/>
      <c r="L2660" s="166"/>
      <c r="M2660" s="166"/>
      <c r="N2660" s="166"/>
      <c r="O2660" s="166"/>
      <c r="P2660" s="166">
        <f t="shared" ca="1" si="190"/>
        <v>290</v>
      </c>
      <c r="Q2660" s="166" t="b">
        <v>0</v>
      </c>
    </row>
    <row r="2661" spans="1:17">
      <c r="A2661" s="166" t="b">
        <v>0</v>
      </c>
      <c r="B2661" s="166" t="s">
        <v>4971</v>
      </c>
      <c r="C2661" s="177">
        <v>49</v>
      </c>
      <c r="D2661" s="166">
        <f t="shared" si="187"/>
        <v>-189</v>
      </c>
      <c r="E2661" s="166">
        <f t="shared" si="188"/>
        <v>3</v>
      </c>
      <c r="F2661" s="166">
        <f t="shared" ca="1" si="189"/>
        <v>57</v>
      </c>
      <c r="G2661" s="166" t="s">
        <v>4612</v>
      </c>
      <c r="H2661" s="171"/>
      <c r="I2661" s="171"/>
      <c r="J2661" s="171"/>
      <c r="K2661" s="171"/>
      <c r="L2661" s="166"/>
      <c r="M2661" s="166"/>
      <c r="N2661" s="166"/>
      <c r="O2661" s="166"/>
      <c r="P2661" s="166">
        <f t="shared" ca="1" si="190"/>
        <v>291</v>
      </c>
      <c r="Q2661" s="166" t="b">
        <v>0</v>
      </c>
    </row>
    <row r="2662" spans="1:17">
      <c r="A2662" s="166" t="b">
        <v>0</v>
      </c>
      <c r="B2662" s="166" t="s">
        <v>4972</v>
      </c>
      <c r="C2662" s="177">
        <v>49</v>
      </c>
      <c r="D2662" s="166">
        <f t="shared" si="187"/>
        <v>-188</v>
      </c>
      <c r="E2662" s="166">
        <f t="shared" si="188"/>
        <v>4</v>
      </c>
      <c r="F2662" s="166">
        <f t="shared" ca="1" si="189"/>
        <v>57</v>
      </c>
      <c r="G2662" s="166" t="s">
        <v>4612</v>
      </c>
      <c r="H2662" s="171"/>
      <c r="I2662" s="171"/>
      <c r="J2662" s="171"/>
      <c r="K2662" s="171"/>
      <c r="L2662" s="166"/>
      <c r="M2662" s="166"/>
      <c r="N2662" s="166"/>
      <c r="O2662" s="166"/>
      <c r="P2662" s="166">
        <f t="shared" ca="1" si="190"/>
        <v>292</v>
      </c>
      <c r="Q2662" s="166" t="b">
        <v>0</v>
      </c>
    </row>
    <row r="2663" spans="1:17">
      <c r="A2663" s="166" t="b">
        <v>0</v>
      </c>
      <c r="B2663" s="166" t="s">
        <v>4973</v>
      </c>
      <c r="C2663" s="177">
        <v>49</v>
      </c>
      <c r="D2663" s="166">
        <f t="shared" si="187"/>
        <v>-187</v>
      </c>
      <c r="E2663" s="166">
        <f t="shared" si="188"/>
        <v>5</v>
      </c>
      <c r="F2663" s="166">
        <f t="shared" ca="1" si="189"/>
        <v>57</v>
      </c>
      <c r="G2663" s="166" t="s">
        <v>4612</v>
      </c>
      <c r="H2663" s="171"/>
      <c r="I2663" s="171"/>
      <c r="J2663" s="171"/>
      <c r="K2663" s="171"/>
      <c r="L2663" s="166"/>
      <c r="M2663" s="166"/>
      <c r="N2663" s="166"/>
      <c r="O2663" s="166"/>
      <c r="P2663" s="166">
        <f t="shared" ca="1" si="190"/>
        <v>293</v>
      </c>
      <c r="Q2663" s="166" t="b">
        <v>0</v>
      </c>
    </row>
    <row r="2664" spans="1:17">
      <c r="A2664" s="166" t="b">
        <v>0</v>
      </c>
      <c r="B2664" s="166" t="s">
        <v>4974</v>
      </c>
      <c r="C2664" s="177">
        <v>49</v>
      </c>
      <c r="D2664" s="166">
        <f t="shared" si="187"/>
        <v>-186</v>
      </c>
      <c r="E2664" s="166">
        <f t="shared" si="188"/>
        <v>6</v>
      </c>
      <c r="F2664" s="166">
        <f t="shared" ca="1" si="189"/>
        <v>57</v>
      </c>
      <c r="G2664" s="166" t="s">
        <v>4612</v>
      </c>
      <c r="H2664" s="171"/>
      <c r="I2664" s="171"/>
      <c r="J2664" s="171"/>
      <c r="K2664" s="171"/>
      <c r="L2664" s="166"/>
      <c r="M2664" s="166"/>
      <c r="N2664" s="166"/>
      <c r="O2664" s="166"/>
      <c r="P2664" s="166">
        <f t="shared" ca="1" si="190"/>
        <v>294</v>
      </c>
      <c r="Q2664" s="166" t="b">
        <v>0</v>
      </c>
    </row>
    <row r="2665" spans="1:17">
      <c r="A2665" s="166" t="b">
        <v>0</v>
      </c>
      <c r="B2665" s="166" t="s">
        <v>4975</v>
      </c>
      <c r="C2665" s="177">
        <v>50</v>
      </c>
      <c r="D2665" s="166">
        <f t="shared" si="187"/>
        <v>-185</v>
      </c>
      <c r="E2665" s="166">
        <f t="shared" si="188"/>
        <v>1</v>
      </c>
      <c r="F2665" s="166">
        <f t="shared" ca="1" si="189"/>
        <v>58</v>
      </c>
      <c r="G2665" s="166" t="s">
        <v>4614</v>
      </c>
      <c r="H2665" s="171"/>
      <c r="I2665" s="171"/>
      <c r="J2665" s="171"/>
      <c r="K2665" s="171"/>
      <c r="L2665" s="166"/>
      <c r="M2665" s="166"/>
      <c r="N2665" s="166"/>
      <c r="O2665" s="166"/>
      <c r="P2665" s="166">
        <f t="shared" ca="1" si="190"/>
        <v>295</v>
      </c>
      <c r="Q2665" s="166" t="b">
        <v>0</v>
      </c>
    </row>
    <row r="2666" spans="1:17">
      <c r="A2666" s="166" t="b">
        <v>0</v>
      </c>
      <c r="B2666" s="166" t="s">
        <v>4976</v>
      </c>
      <c r="C2666" s="177">
        <v>50</v>
      </c>
      <c r="D2666" s="166">
        <f t="shared" si="187"/>
        <v>-184</v>
      </c>
      <c r="E2666" s="166">
        <f t="shared" si="188"/>
        <v>2</v>
      </c>
      <c r="F2666" s="166">
        <f t="shared" ca="1" si="189"/>
        <v>58</v>
      </c>
      <c r="G2666" s="166" t="s">
        <v>4614</v>
      </c>
      <c r="H2666" s="171"/>
      <c r="I2666" s="171"/>
      <c r="J2666" s="171"/>
      <c r="K2666" s="171"/>
      <c r="L2666" s="166"/>
      <c r="M2666" s="166"/>
      <c r="N2666" s="166"/>
      <c r="O2666" s="166"/>
      <c r="P2666" s="166">
        <f t="shared" ca="1" si="190"/>
        <v>296</v>
      </c>
      <c r="Q2666" s="166" t="b">
        <v>0</v>
      </c>
    </row>
    <row r="2667" spans="1:17">
      <c r="A2667" s="166" t="b">
        <v>0</v>
      </c>
      <c r="B2667" s="166" t="s">
        <v>4977</v>
      </c>
      <c r="C2667" s="177">
        <v>50</v>
      </c>
      <c r="D2667" s="166">
        <f t="shared" si="187"/>
        <v>-183</v>
      </c>
      <c r="E2667" s="166">
        <f t="shared" si="188"/>
        <v>3</v>
      </c>
      <c r="F2667" s="166">
        <f t="shared" ca="1" si="189"/>
        <v>58</v>
      </c>
      <c r="G2667" s="166" t="s">
        <v>4614</v>
      </c>
      <c r="H2667" s="171"/>
      <c r="I2667" s="171"/>
      <c r="J2667" s="171"/>
      <c r="K2667" s="171"/>
      <c r="L2667" s="166"/>
      <c r="M2667" s="166"/>
      <c r="N2667" s="166"/>
      <c r="O2667" s="166"/>
      <c r="P2667" s="166">
        <f t="shared" ca="1" si="190"/>
        <v>297</v>
      </c>
      <c r="Q2667" s="166" t="b">
        <v>0</v>
      </c>
    </row>
    <row r="2668" spans="1:17">
      <c r="A2668" s="166" t="b">
        <v>0</v>
      </c>
      <c r="B2668" s="166" t="s">
        <v>4978</v>
      </c>
      <c r="C2668" s="177">
        <v>50</v>
      </c>
      <c r="D2668" s="166">
        <f t="shared" si="187"/>
        <v>-182</v>
      </c>
      <c r="E2668" s="166">
        <f t="shared" si="188"/>
        <v>4</v>
      </c>
      <c r="F2668" s="166">
        <f t="shared" ca="1" si="189"/>
        <v>58</v>
      </c>
      <c r="G2668" s="166" t="s">
        <v>4614</v>
      </c>
      <c r="H2668" s="171"/>
      <c r="I2668" s="171"/>
      <c r="J2668" s="171"/>
      <c r="K2668" s="171"/>
      <c r="L2668" s="166"/>
      <c r="M2668" s="166"/>
      <c r="N2668" s="166"/>
      <c r="O2668" s="166"/>
      <c r="P2668" s="166">
        <f t="shared" ca="1" si="190"/>
        <v>298</v>
      </c>
      <c r="Q2668" s="166" t="b">
        <v>0</v>
      </c>
    </row>
    <row r="2669" spans="1:17">
      <c r="A2669" s="166" t="b">
        <v>0</v>
      </c>
      <c r="B2669" s="166" t="s">
        <v>4979</v>
      </c>
      <c r="C2669" s="177">
        <v>50</v>
      </c>
      <c r="D2669" s="166">
        <f t="shared" si="187"/>
        <v>-181</v>
      </c>
      <c r="E2669" s="166">
        <f t="shared" si="188"/>
        <v>5</v>
      </c>
      <c r="F2669" s="166">
        <f t="shared" ca="1" si="189"/>
        <v>58</v>
      </c>
      <c r="G2669" s="166" t="s">
        <v>4614</v>
      </c>
      <c r="H2669" s="171"/>
      <c r="I2669" s="171"/>
      <c r="J2669" s="171"/>
      <c r="K2669" s="171"/>
      <c r="L2669" s="166"/>
      <c r="M2669" s="166"/>
      <c r="N2669" s="166"/>
      <c r="O2669" s="166"/>
      <c r="P2669" s="166">
        <f t="shared" ca="1" si="190"/>
        <v>299</v>
      </c>
      <c r="Q2669" s="166" t="b">
        <v>0</v>
      </c>
    </row>
    <row r="2670" spans="1:17">
      <c r="A2670" s="166" t="b">
        <v>0</v>
      </c>
      <c r="B2670" s="166" t="s">
        <v>4980</v>
      </c>
      <c r="C2670" s="177">
        <v>50</v>
      </c>
      <c r="D2670" s="166">
        <f t="shared" si="187"/>
        <v>-180</v>
      </c>
      <c r="E2670" s="166">
        <f t="shared" si="188"/>
        <v>6</v>
      </c>
      <c r="F2670" s="166">
        <f t="shared" ca="1" si="189"/>
        <v>58</v>
      </c>
      <c r="G2670" s="166" t="s">
        <v>4614</v>
      </c>
      <c r="H2670" s="171"/>
      <c r="I2670" s="171"/>
      <c r="J2670" s="171"/>
      <c r="K2670" s="171"/>
      <c r="L2670" s="166"/>
      <c r="M2670" s="166"/>
      <c r="N2670" s="166"/>
      <c r="O2670" s="166"/>
      <c r="P2670" s="166">
        <f t="shared" ca="1" si="190"/>
        <v>300</v>
      </c>
      <c r="Q2670" s="166" t="b">
        <v>0</v>
      </c>
    </row>
    <row r="2671" spans="1:17">
      <c r="A2671" s="166" t="b">
        <v>0</v>
      </c>
      <c r="B2671" s="166" t="s">
        <v>4981</v>
      </c>
      <c r="C2671" s="177">
        <v>51</v>
      </c>
      <c r="D2671" s="166">
        <f t="shared" si="187"/>
        <v>-179</v>
      </c>
      <c r="E2671" s="166">
        <f t="shared" si="188"/>
        <v>1</v>
      </c>
      <c r="F2671" s="166">
        <f t="shared" ca="1" si="189"/>
        <v>59</v>
      </c>
      <c r="G2671" s="166" t="s">
        <v>4616</v>
      </c>
      <c r="H2671" s="171"/>
      <c r="I2671" s="171"/>
      <c r="J2671" s="171"/>
      <c r="K2671" s="171"/>
      <c r="L2671" s="166"/>
      <c r="M2671" s="166"/>
      <c r="N2671" s="166"/>
      <c r="O2671" s="166"/>
      <c r="P2671" s="166">
        <f t="shared" ca="1" si="190"/>
        <v>301</v>
      </c>
      <c r="Q2671" s="166" t="b">
        <v>0</v>
      </c>
    </row>
    <row r="2672" spans="1:17">
      <c r="A2672" s="166" t="b">
        <v>0</v>
      </c>
      <c r="B2672" s="166" t="s">
        <v>4982</v>
      </c>
      <c r="C2672" s="177">
        <v>51</v>
      </c>
      <c r="D2672" s="166">
        <f t="shared" si="187"/>
        <v>-178</v>
      </c>
      <c r="E2672" s="166">
        <f t="shared" si="188"/>
        <v>2</v>
      </c>
      <c r="F2672" s="166">
        <f t="shared" ca="1" si="189"/>
        <v>59</v>
      </c>
      <c r="G2672" s="166" t="s">
        <v>4616</v>
      </c>
      <c r="H2672" s="171"/>
      <c r="I2672" s="171"/>
      <c r="J2672" s="171"/>
      <c r="K2672" s="171"/>
      <c r="L2672" s="166"/>
      <c r="M2672" s="166"/>
      <c r="N2672" s="166"/>
      <c r="O2672" s="166"/>
      <c r="P2672" s="166">
        <f t="shared" ca="1" si="190"/>
        <v>302</v>
      </c>
      <c r="Q2672" s="166" t="b">
        <v>0</v>
      </c>
    </row>
    <row r="2673" spans="1:17">
      <c r="A2673" s="166" t="b">
        <v>0</v>
      </c>
      <c r="B2673" s="166" t="s">
        <v>4983</v>
      </c>
      <c r="C2673" s="177">
        <v>51</v>
      </c>
      <c r="D2673" s="166">
        <f t="shared" si="187"/>
        <v>-177</v>
      </c>
      <c r="E2673" s="166">
        <f t="shared" si="188"/>
        <v>3</v>
      </c>
      <c r="F2673" s="166">
        <f t="shared" ca="1" si="189"/>
        <v>59</v>
      </c>
      <c r="G2673" s="166" t="s">
        <v>4616</v>
      </c>
      <c r="H2673" s="171"/>
      <c r="I2673" s="171"/>
      <c r="J2673" s="171"/>
      <c r="K2673" s="171"/>
      <c r="L2673" s="166"/>
      <c r="M2673" s="166"/>
      <c r="N2673" s="166"/>
      <c r="O2673" s="166"/>
      <c r="P2673" s="166">
        <f t="shared" ca="1" si="190"/>
        <v>303</v>
      </c>
      <c r="Q2673" s="166" t="b">
        <v>0</v>
      </c>
    </row>
    <row r="2674" spans="1:17">
      <c r="A2674" s="166" t="b">
        <v>0</v>
      </c>
      <c r="B2674" s="166" t="s">
        <v>4984</v>
      </c>
      <c r="C2674" s="177">
        <v>51</v>
      </c>
      <c r="D2674" s="166">
        <f t="shared" si="187"/>
        <v>-176</v>
      </c>
      <c r="E2674" s="166">
        <f t="shared" si="188"/>
        <v>4</v>
      </c>
      <c r="F2674" s="166">
        <f t="shared" ca="1" si="189"/>
        <v>59</v>
      </c>
      <c r="G2674" s="166" t="s">
        <v>4616</v>
      </c>
      <c r="H2674" s="171"/>
      <c r="I2674" s="171"/>
      <c r="J2674" s="171"/>
      <c r="K2674" s="171"/>
      <c r="L2674" s="166"/>
      <c r="M2674" s="166"/>
      <c r="N2674" s="166"/>
      <c r="O2674" s="166"/>
      <c r="P2674" s="166">
        <f t="shared" ca="1" si="190"/>
        <v>304</v>
      </c>
      <c r="Q2674" s="166" t="b">
        <v>0</v>
      </c>
    </row>
    <row r="2675" spans="1:17">
      <c r="A2675" s="166" t="b">
        <v>0</v>
      </c>
      <c r="B2675" s="166" t="s">
        <v>4985</v>
      </c>
      <c r="C2675" s="177">
        <v>51</v>
      </c>
      <c r="D2675" s="166">
        <f t="shared" si="187"/>
        <v>-175</v>
      </c>
      <c r="E2675" s="166">
        <f t="shared" si="188"/>
        <v>5</v>
      </c>
      <c r="F2675" s="166">
        <f t="shared" ca="1" si="189"/>
        <v>59</v>
      </c>
      <c r="G2675" s="166" t="s">
        <v>4616</v>
      </c>
      <c r="H2675" s="171"/>
      <c r="I2675" s="171"/>
      <c r="J2675" s="171"/>
      <c r="K2675" s="171"/>
      <c r="L2675" s="166"/>
      <c r="M2675" s="166"/>
      <c r="N2675" s="166"/>
      <c r="O2675" s="166"/>
      <c r="P2675" s="166">
        <f t="shared" ca="1" si="190"/>
        <v>305</v>
      </c>
      <c r="Q2675" s="166" t="b">
        <v>0</v>
      </c>
    </row>
    <row r="2676" spans="1:17">
      <c r="A2676" s="166" t="b">
        <v>0</v>
      </c>
      <c r="B2676" s="166" t="s">
        <v>4986</v>
      </c>
      <c r="C2676" s="177">
        <v>51</v>
      </c>
      <c r="D2676" s="166">
        <f t="shared" si="187"/>
        <v>-174</v>
      </c>
      <c r="E2676" s="166">
        <f t="shared" si="188"/>
        <v>6</v>
      </c>
      <c r="F2676" s="166">
        <f t="shared" ca="1" si="189"/>
        <v>59</v>
      </c>
      <c r="G2676" s="166" t="s">
        <v>4616</v>
      </c>
      <c r="H2676" s="171"/>
      <c r="I2676" s="171"/>
      <c r="J2676" s="171"/>
      <c r="K2676" s="171"/>
      <c r="L2676" s="166"/>
      <c r="M2676" s="166"/>
      <c r="N2676" s="166"/>
      <c r="O2676" s="166"/>
      <c r="P2676" s="166">
        <f t="shared" ca="1" si="190"/>
        <v>306</v>
      </c>
      <c r="Q2676" s="166" t="b">
        <v>0</v>
      </c>
    </row>
    <row r="2677" spans="1:17">
      <c r="A2677" s="166" t="b">
        <v>0</v>
      </c>
      <c r="B2677" s="166" t="s">
        <v>4987</v>
      </c>
      <c r="C2677" s="177">
        <v>52</v>
      </c>
      <c r="D2677" s="166">
        <f t="shared" si="187"/>
        <v>-173</v>
      </c>
      <c r="E2677" s="166">
        <f t="shared" si="188"/>
        <v>1</v>
      </c>
      <c r="F2677" s="166">
        <f t="shared" ca="1" si="189"/>
        <v>60</v>
      </c>
      <c r="G2677" s="166" t="s">
        <v>4618</v>
      </c>
      <c r="H2677" s="171"/>
      <c r="I2677" s="171"/>
      <c r="J2677" s="171"/>
      <c r="K2677" s="171"/>
      <c r="L2677" s="166"/>
      <c r="M2677" s="166"/>
      <c r="N2677" s="166"/>
      <c r="O2677" s="166"/>
      <c r="P2677" s="166">
        <f t="shared" ca="1" si="190"/>
        <v>307</v>
      </c>
      <c r="Q2677" s="166" t="b">
        <v>0</v>
      </c>
    </row>
    <row r="2678" spans="1:17">
      <c r="A2678" s="166" t="b">
        <v>0</v>
      </c>
      <c r="B2678" s="166" t="s">
        <v>4988</v>
      </c>
      <c r="C2678" s="177">
        <v>52</v>
      </c>
      <c r="D2678" s="166">
        <f t="shared" si="187"/>
        <v>-172</v>
      </c>
      <c r="E2678" s="166">
        <f t="shared" si="188"/>
        <v>2</v>
      </c>
      <c r="F2678" s="166">
        <f t="shared" ca="1" si="189"/>
        <v>60</v>
      </c>
      <c r="G2678" s="166" t="s">
        <v>4618</v>
      </c>
      <c r="H2678" s="171"/>
      <c r="I2678" s="171"/>
      <c r="J2678" s="171"/>
      <c r="K2678" s="171"/>
      <c r="L2678" s="166"/>
      <c r="M2678" s="166"/>
      <c r="N2678" s="166"/>
      <c r="O2678" s="166"/>
      <c r="P2678" s="166">
        <f t="shared" ca="1" si="190"/>
        <v>308</v>
      </c>
      <c r="Q2678" s="166" t="b">
        <v>0</v>
      </c>
    </row>
    <row r="2679" spans="1:17">
      <c r="A2679" s="166" t="b">
        <v>0</v>
      </c>
      <c r="B2679" s="166" t="s">
        <v>4989</v>
      </c>
      <c r="C2679" s="177">
        <v>52</v>
      </c>
      <c r="D2679" s="166">
        <f t="shared" si="187"/>
        <v>-171</v>
      </c>
      <c r="E2679" s="166">
        <f t="shared" si="188"/>
        <v>3</v>
      </c>
      <c r="F2679" s="166">
        <f t="shared" ca="1" si="189"/>
        <v>60</v>
      </c>
      <c r="G2679" s="166" t="s">
        <v>4618</v>
      </c>
      <c r="H2679" s="171"/>
      <c r="I2679" s="171"/>
      <c r="J2679" s="171"/>
      <c r="K2679" s="171"/>
      <c r="L2679" s="166"/>
      <c r="M2679" s="166"/>
      <c r="N2679" s="166"/>
      <c r="O2679" s="166"/>
      <c r="P2679" s="166">
        <f t="shared" ca="1" si="190"/>
        <v>309</v>
      </c>
      <c r="Q2679" s="166" t="b">
        <v>0</v>
      </c>
    </row>
    <row r="2680" spans="1:17">
      <c r="A2680" s="166" t="b">
        <v>0</v>
      </c>
      <c r="B2680" s="166" t="s">
        <v>4990</v>
      </c>
      <c r="C2680" s="177">
        <v>52</v>
      </c>
      <c r="D2680" s="166">
        <f t="shared" si="187"/>
        <v>-170</v>
      </c>
      <c r="E2680" s="166">
        <f t="shared" si="188"/>
        <v>4</v>
      </c>
      <c r="F2680" s="166">
        <f t="shared" ca="1" si="189"/>
        <v>60</v>
      </c>
      <c r="G2680" s="166" t="s">
        <v>4618</v>
      </c>
      <c r="H2680" s="171"/>
      <c r="I2680" s="171"/>
      <c r="J2680" s="171"/>
      <c r="K2680" s="171"/>
      <c r="L2680" s="166"/>
      <c r="M2680" s="166"/>
      <c r="N2680" s="166"/>
      <c r="O2680" s="166"/>
      <c r="P2680" s="166">
        <f t="shared" ca="1" si="190"/>
        <v>310</v>
      </c>
      <c r="Q2680" s="166" t="b">
        <v>0</v>
      </c>
    </row>
    <row r="2681" spans="1:17">
      <c r="A2681" s="166" t="b">
        <v>0</v>
      </c>
      <c r="B2681" s="166" t="s">
        <v>4991</v>
      </c>
      <c r="C2681" s="177">
        <v>52</v>
      </c>
      <c r="D2681" s="166">
        <f t="shared" si="187"/>
        <v>-169</v>
      </c>
      <c r="E2681" s="166">
        <f t="shared" si="188"/>
        <v>5</v>
      </c>
      <c r="F2681" s="166">
        <f t="shared" ca="1" si="189"/>
        <v>60</v>
      </c>
      <c r="G2681" s="166" t="s">
        <v>4618</v>
      </c>
      <c r="H2681" s="171"/>
      <c r="I2681" s="171"/>
      <c r="J2681" s="171"/>
      <c r="K2681" s="171"/>
      <c r="L2681" s="166"/>
      <c r="M2681" s="166"/>
      <c r="N2681" s="166"/>
      <c r="O2681" s="166"/>
      <c r="P2681" s="166">
        <f t="shared" ca="1" si="190"/>
        <v>311</v>
      </c>
      <c r="Q2681" s="166" t="b">
        <v>0</v>
      </c>
    </row>
    <row r="2682" spans="1:17">
      <c r="A2682" s="166" t="b">
        <v>0</v>
      </c>
      <c r="B2682" s="166" t="s">
        <v>4992</v>
      </c>
      <c r="C2682" s="177">
        <v>52</v>
      </c>
      <c r="D2682" s="166">
        <f t="shared" si="187"/>
        <v>-168</v>
      </c>
      <c r="E2682" s="166">
        <f t="shared" si="188"/>
        <v>6</v>
      </c>
      <c r="F2682" s="166">
        <f t="shared" ca="1" si="189"/>
        <v>60</v>
      </c>
      <c r="G2682" s="166" t="s">
        <v>4618</v>
      </c>
      <c r="H2682" s="171"/>
      <c r="I2682" s="171"/>
      <c r="J2682" s="171"/>
      <c r="K2682" s="171"/>
      <c r="L2682" s="166"/>
      <c r="M2682" s="166"/>
      <c r="N2682" s="166"/>
      <c r="O2682" s="166"/>
      <c r="P2682" s="166">
        <f t="shared" ca="1" si="190"/>
        <v>312</v>
      </c>
      <c r="Q2682" s="166" t="b">
        <v>0</v>
      </c>
    </row>
    <row r="2683" spans="1:17">
      <c r="A2683" s="166" t="b">
        <v>0</v>
      </c>
      <c r="B2683" s="166" t="s">
        <v>4993</v>
      </c>
      <c r="C2683" s="177">
        <v>53</v>
      </c>
      <c r="D2683" s="166">
        <f t="shared" si="187"/>
        <v>-167</v>
      </c>
      <c r="E2683" s="166">
        <f t="shared" si="188"/>
        <v>1</v>
      </c>
      <c r="F2683" s="166">
        <f t="shared" ca="1" si="189"/>
        <v>61</v>
      </c>
      <c r="G2683" s="166" t="s">
        <v>4620</v>
      </c>
      <c r="H2683" s="171"/>
      <c r="I2683" s="171"/>
      <c r="J2683" s="171"/>
      <c r="K2683" s="171"/>
      <c r="L2683" s="166"/>
      <c r="M2683" s="166"/>
      <c r="N2683" s="166"/>
      <c r="O2683" s="166"/>
      <c r="P2683" s="166">
        <f t="shared" ca="1" si="190"/>
        <v>313</v>
      </c>
      <c r="Q2683" s="166" t="b">
        <v>0</v>
      </c>
    </row>
    <row r="2684" spans="1:17">
      <c r="A2684" s="166" t="b">
        <v>0</v>
      </c>
      <c r="B2684" s="166" t="s">
        <v>4994</v>
      </c>
      <c r="C2684" s="177">
        <v>53</v>
      </c>
      <c r="D2684" s="166">
        <f t="shared" si="187"/>
        <v>-166</v>
      </c>
      <c r="E2684" s="166">
        <f t="shared" si="188"/>
        <v>2</v>
      </c>
      <c r="F2684" s="166">
        <f t="shared" ca="1" si="189"/>
        <v>61</v>
      </c>
      <c r="G2684" s="166" t="s">
        <v>4620</v>
      </c>
      <c r="H2684" s="171"/>
      <c r="I2684" s="171"/>
      <c r="J2684" s="171"/>
      <c r="K2684" s="171"/>
      <c r="L2684" s="166"/>
      <c r="M2684" s="166"/>
      <c r="N2684" s="166"/>
      <c r="O2684" s="166"/>
      <c r="P2684" s="166">
        <f t="shared" ca="1" si="190"/>
        <v>314</v>
      </c>
      <c r="Q2684" s="166" t="b">
        <v>0</v>
      </c>
    </row>
    <row r="2685" spans="1:17">
      <c r="A2685" s="166" t="b">
        <v>0</v>
      </c>
      <c r="B2685" s="166" t="s">
        <v>4995</v>
      </c>
      <c r="C2685" s="177">
        <v>53</v>
      </c>
      <c r="D2685" s="166">
        <f t="shared" si="187"/>
        <v>-165</v>
      </c>
      <c r="E2685" s="166">
        <f t="shared" si="188"/>
        <v>3</v>
      </c>
      <c r="F2685" s="166">
        <f t="shared" ca="1" si="189"/>
        <v>61</v>
      </c>
      <c r="G2685" s="166" t="s">
        <v>4620</v>
      </c>
      <c r="H2685" s="171"/>
      <c r="I2685" s="171"/>
      <c r="J2685" s="171"/>
      <c r="K2685" s="171"/>
      <c r="L2685" s="166"/>
      <c r="M2685" s="166"/>
      <c r="N2685" s="166"/>
      <c r="O2685" s="166"/>
      <c r="P2685" s="166">
        <f t="shared" ca="1" si="190"/>
        <v>315</v>
      </c>
      <c r="Q2685" s="166" t="b">
        <v>0</v>
      </c>
    </row>
    <row r="2686" spans="1:17">
      <c r="A2686" s="166" t="b">
        <v>0</v>
      </c>
      <c r="B2686" s="166" t="s">
        <v>4996</v>
      </c>
      <c r="C2686" s="177">
        <v>53</v>
      </c>
      <c r="D2686" s="166">
        <f t="shared" si="187"/>
        <v>-164</v>
      </c>
      <c r="E2686" s="166">
        <f t="shared" si="188"/>
        <v>4</v>
      </c>
      <c r="F2686" s="166">
        <f t="shared" ca="1" si="189"/>
        <v>61</v>
      </c>
      <c r="G2686" s="166" t="s">
        <v>4620</v>
      </c>
      <c r="H2686" s="171"/>
      <c r="I2686" s="171"/>
      <c r="J2686" s="171"/>
      <c r="K2686" s="171"/>
      <c r="L2686" s="166"/>
      <c r="M2686" s="166"/>
      <c r="N2686" s="166"/>
      <c r="O2686" s="166"/>
      <c r="P2686" s="166">
        <f t="shared" ca="1" si="190"/>
        <v>316</v>
      </c>
      <c r="Q2686" s="166" t="b">
        <v>0</v>
      </c>
    </row>
    <row r="2687" spans="1:17">
      <c r="A2687" s="166" t="b">
        <v>0</v>
      </c>
      <c r="B2687" s="166" t="s">
        <v>4997</v>
      </c>
      <c r="C2687" s="177">
        <v>53</v>
      </c>
      <c r="D2687" s="166">
        <f t="shared" si="187"/>
        <v>-163</v>
      </c>
      <c r="E2687" s="166">
        <f t="shared" si="188"/>
        <v>5</v>
      </c>
      <c r="F2687" s="166">
        <f t="shared" ca="1" si="189"/>
        <v>61</v>
      </c>
      <c r="G2687" s="166" t="s">
        <v>4620</v>
      </c>
      <c r="H2687" s="171"/>
      <c r="I2687" s="171"/>
      <c r="J2687" s="171"/>
      <c r="K2687" s="171"/>
      <c r="L2687" s="166"/>
      <c r="M2687" s="166"/>
      <c r="N2687" s="166"/>
      <c r="O2687" s="166"/>
      <c r="P2687" s="166">
        <f t="shared" ca="1" si="190"/>
        <v>317</v>
      </c>
      <c r="Q2687" s="166" t="b">
        <v>0</v>
      </c>
    </row>
    <row r="2688" spans="1:17">
      <c r="A2688" s="166" t="b">
        <v>0</v>
      </c>
      <c r="B2688" s="166" t="s">
        <v>4998</v>
      </c>
      <c r="C2688" s="177">
        <v>53</v>
      </c>
      <c r="D2688" s="166">
        <f t="shared" si="187"/>
        <v>-162</v>
      </c>
      <c r="E2688" s="166">
        <f t="shared" si="188"/>
        <v>6</v>
      </c>
      <c r="F2688" s="166">
        <f t="shared" ca="1" si="189"/>
        <v>61</v>
      </c>
      <c r="G2688" s="166" t="s">
        <v>4620</v>
      </c>
      <c r="H2688" s="171"/>
      <c r="I2688" s="171"/>
      <c r="J2688" s="171"/>
      <c r="K2688" s="171"/>
      <c r="L2688" s="166"/>
      <c r="M2688" s="166"/>
      <c r="N2688" s="166"/>
      <c r="O2688" s="166"/>
      <c r="P2688" s="166">
        <f t="shared" ca="1" si="190"/>
        <v>318</v>
      </c>
      <c r="Q2688" s="166" t="b">
        <v>0</v>
      </c>
    </row>
    <row r="2689" spans="1:17">
      <c r="A2689" s="166" t="b">
        <v>0</v>
      </c>
      <c r="B2689" s="166" t="s">
        <v>4999</v>
      </c>
      <c r="C2689" s="177">
        <v>54</v>
      </c>
      <c r="D2689" s="166">
        <f t="shared" si="187"/>
        <v>-161</v>
      </c>
      <c r="E2689" s="166">
        <f t="shared" si="188"/>
        <v>1</v>
      </c>
      <c r="F2689" s="166">
        <f t="shared" ca="1" si="189"/>
        <v>62</v>
      </c>
      <c r="G2689" s="166" t="s">
        <v>4622</v>
      </c>
      <c r="H2689" s="171"/>
      <c r="I2689" s="171"/>
      <c r="J2689" s="171"/>
      <c r="K2689" s="171"/>
      <c r="L2689" s="166"/>
      <c r="M2689" s="166"/>
      <c r="N2689" s="166"/>
      <c r="O2689" s="166"/>
      <c r="P2689" s="166">
        <f t="shared" ca="1" si="190"/>
        <v>319</v>
      </c>
      <c r="Q2689" s="166" t="b">
        <v>0</v>
      </c>
    </row>
    <row r="2690" spans="1:17">
      <c r="A2690" s="166" t="b">
        <v>0</v>
      </c>
      <c r="B2690" s="166" t="s">
        <v>5000</v>
      </c>
      <c r="C2690" s="177">
        <v>54</v>
      </c>
      <c r="D2690" s="166">
        <f t="shared" si="187"/>
        <v>-160</v>
      </c>
      <c r="E2690" s="166">
        <f t="shared" si="188"/>
        <v>2</v>
      </c>
      <c r="F2690" s="166">
        <f t="shared" ca="1" si="189"/>
        <v>62</v>
      </c>
      <c r="G2690" s="166" t="s">
        <v>4622</v>
      </c>
      <c r="H2690" s="171"/>
      <c r="I2690" s="171"/>
      <c r="J2690" s="171"/>
      <c r="K2690" s="171"/>
      <c r="L2690" s="166"/>
      <c r="M2690" s="166"/>
      <c r="N2690" s="166"/>
      <c r="O2690" s="166"/>
      <c r="P2690" s="166">
        <f t="shared" ca="1" si="190"/>
        <v>320</v>
      </c>
      <c r="Q2690" s="166" t="b">
        <v>0</v>
      </c>
    </row>
    <row r="2691" spans="1:17">
      <c r="A2691" s="166" t="b">
        <v>0</v>
      </c>
      <c r="B2691" s="166" t="s">
        <v>5001</v>
      </c>
      <c r="C2691" s="177">
        <v>54</v>
      </c>
      <c r="D2691" s="166">
        <f t="shared" ref="D2691:D2754" si="191">D2690+1</f>
        <v>-159</v>
      </c>
      <c r="E2691" s="166">
        <f t="shared" ref="E2691:E2754" si="192">COUNTIF(C2521:C2691,C2691)</f>
        <v>3</v>
      </c>
      <c r="F2691" s="166">
        <f t="shared" ref="F2691:F2754" ca="1" si="193">IF(C2691=1,9,IF(E2690=MAX(E2689:E2691),F2689+1,F2690))</f>
        <v>62</v>
      </c>
      <c r="G2691" s="166" t="s">
        <v>4622</v>
      </c>
      <c r="H2691" s="171"/>
      <c r="I2691" s="171"/>
      <c r="J2691" s="171"/>
      <c r="K2691" s="171"/>
      <c r="L2691" s="166"/>
      <c r="M2691" s="166"/>
      <c r="N2691" s="166"/>
      <c r="O2691" s="166"/>
      <c r="P2691" s="166">
        <f t="shared" ref="P2691:P2754" ca="1" si="194">IF(NOT(_xlfn.ISFORMULA(I2691)),P2690+1,0)</f>
        <v>321</v>
      </c>
      <c r="Q2691" s="166" t="b">
        <v>0</v>
      </c>
    </row>
    <row r="2692" spans="1:17">
      <c r="A2692" s="166" t="b">
        <v>0</v>
      </c>
      <c r="B2692" s="166" t="s">
        <v>5002</v>
      </c>
      <c r="C2692" s="177">
        <v>54</v>
      </c>
      <c r="D2692" s="166">
        <f t="shared" si="191"/>
        <v>-158</v>
      </c>
      <c r="E2692" s="166">
        <f t="shared" si="192"/>
        <v>4</v>
      </c>
      <c r="F2692" s="166">
        <f t="shared" ca="1" si="193"/>
        <v>62</v>
      </c>
      <c r="G2692" s="166" t="s">
        <v>4622</v>
      </c>
      <c r="H2692" s="171"/>
      <c r="I2692" s="171"/>
      <c r="J2692" s="171"/>
      <c r="K2692" s="171"/>
      <c r="L2692" s="166"/>
      <c r="M2692" s="166"/>
      <c r="N2692" s="166"/>
      <c r="O2692" s="166"/>
      <c r="P2692" s="166">
        <f t="shared" ca="1" si="194"/>
        <v>322</v>
      </c>
      <c r="Q2692" s="166" t="b">
        <v>0</v>
      </c>
    </row>
    <row r="2693" spans="1:17">
      <c r="A2693" s="166" t="b">
        <v>0</v>
      </c>
      <c r="B2693" s="166" t="s">
        <v>5003</v>
      </c>
      <c r="C2693" s="177">
        <v>54</v>
      </c>
      <c r="D2693" s="166">
        <f t="shared" si="191"/>
        <v>-157</v>
      </c>
      <c r="E2693" s="166">
        <f t="shared" si="192"/>
        <v>5</v>
      </c>
      <c r="F2693" s="166">
        <f t="shared" ca="1" si="193"/>
        <v>62</v>
      </c>
      <c r="G2693" s="166" t="s">
        <v>4622</v>
      </c>
      <c r="H2693" s="171"/>
      <c r="I2693" s="171"/>
      <c r="J2693" s="171"/>
      <c r="K2693" s="171"/>
      <c r="L2693" s="166"/>
      <c r="M2693" s="166"/>
      <c r="N2693" s="166"/>
      <c r="O2693" s="166"/>
      <c r="P2693" s="166">
        <f t="shared" ca="1" si="194"/>
        <v>323</v>
      </c>
      <c r="Q2693" s="166" t="b">
        <v>0</v>
      </c>
    </row>
    <row r="2694" spans="1:17">
      <c r="A2694" s="166" t="b">
        <v>0</v>
      </c>
      <c r="B2694" s="166" t="s">
        <v>5004</v>
      </c>
      <c r="C2694" s="177">
        <v>54</v>
      </c>
      <c r="D2694" s="166">
        <f t="shared" si="191"/>
        <v>-156</v>
      </c>
      <c r="E2694" s="166">
        <f t="shared" si="192"/>
        <v>6</v>
      </c>
      <c r="F2694" s="166">
        <f t="shared" ca="1" si="193"/>
        <v>62</v>
      </c>
      <c r="G2694" s="166" t="s">
        <v>4622</v>
      </c>
      <c r="H2694" s="171"/>
      <c r="I2694" s="171"/>
      <c r="J2694" s="171"/>
      <c r="K2694" s="171"/>
      <c r="L2694" s="166"/>
      <c r="M2694" s="166"/>
      <c r="N2694" s="166"/>
      <c r="O2694" s="166"/>
      <c r="P2694" s="166">
        <f t="shared" ca="1" si="194"/>
        <v>324</v>
      </c>
      <c r="Q2694" s="166" t="b">
        <v>0</v>
      </c>
    </row>
    <row r="2695" spans="1:17">
      <c r="A2695" s="166" t="b">
        <v>0</v>
      </c>
      <c r="B2695" s="166" t="s">
        <v>5005</v>
      </c>
      <c r="C2695" s="177">
        <v>55</v>
      </c>
      <c r="D2695" s="166">
        <f t="shared" si="191"/>
        <v>-155</v>
      </c>
      <c r="E2695" s="166">
        <f t="shared" si="192"/>
        <v>1</v>
      </c>
      <c r="F2695" s="166">
        <f t="shared" ca="1" si="193"/>
        <v>63</v>
      </c>
      <c r="G2695" s="166" t="s">
        <v>4624</v>
      </c>
      <c r="H2695" s="171"/>
      <c r="I2695" s="171"/>
      <c r="J2695" s="171"/>
      <c r="K2695" s="171"/>
      <c r="L2695" s="166"/>
      <c r="M2695" s="166"/>
      <c r="N2695" s="166"/>
      <c r="O2695" s="166"/>
      <c r="P2695" s="166">
        <f t="shared" ca="1" si="194"/>
        <v>325</v>
      </c>
      <c r="Q2695" s="166" t="b">
        <v>0</v>
      </c>
    </row>
    <row r="2696" spans="1:17">
      <c r="A2696" s="166" t="b">
        <v>0</v>
      </c>
      <c r="B2696" s="166" t="s">
        <v>5006</v>
      </c>
      <c r="C2696" s="177">
        <v>55</v>
      </c>
      <c r="D2696" s="166">
        <f t="shared" si="191"/>
        <v>-154</v>
      </c>
      <c r="E2696" s="166">
        <f t="shared" si="192"/>
        <v>2</v>
      </c>
      <c r="F2696" s="166">
        <f t="shared" ca="1" si="193"/>
        <v>63</v>
      </c>
      <c r="G2696" s="166" t="s">
        <v>4624</v>
      </c>
      <c r="H2696" s="171"/>
      <c r="I2696" s="171"/>
      <c r="J2696" s="171"/>
      <c r="K2696" s="171"/>
      <c r="L2696" s="166"/>
      <c r="M2696" s="166"/>
      <c r="N2696" s="166"/>
      <c r="O2696" s="166"/>
      <c r="P2696" s="166">
        <f t="shared" ca="1" si="194"/>
        <v>326</v>
      </c>
      <c r="Q2696" s="166" t="b">
        <v>0</v>
      </c>
    </row>
    <row r="2697" spans="1:17">
      <c r="A2697" s="166" t="b">
        <v>0</v>
      </c>
      <c r="B2697" s="166" t="s">
        <v>5007</v>
      </c>
      <c r="C2697" s="177">
        <v>55</v>
      </c>
      <c r="D2697" s="166">
        <f t="shared" si="191"/>
        <v>-153</v>
      </c>
      <c r="E2697" s="166">
        <f t="shared" si="192"/>
        <v>3</v>
      </c>
      <c r="F2697" s="166">
        <f t="shared" ca="1" si="193"/>
        <v>63</v>
      </c>
      <c r="G2697" s="166" t="s">
        <v>4624</v>
      </c>
      <c r="H2697" s="171"/>
      <c r="I2697" s="171"/>
      <c r="J2697" s="171"/>
      <c r="K2697" s="171"/>
      <c r="L2697" s="166"/>
      <c r="M2697" s="166"/>
      <c r="N2697" s="166"/>
      <c r="O2697" s="166"/>
      <c r="P2697" s="166">
        <f t="shared" ca="1" si="194"/>
        <v>327</v>
      </c>
      <c r="Q2697" s="166" t="b">
        <v>0</v>
      </c>
    </row>
    <row r="2698" spans="1:17">
      <c r="A2698" s="166" t="b">
        <v>0</v>
      </c>
      <c r="B2698" s="166" t="s">
        <v>5008</v>
      </c>
      <c r="C2698" s="177">
        <v>55</v>
      </c>
      <c r="D2698" s="166">
        <f t="shared" si="191"/>
        <v>-152</v>
      </c>
      <c r="E2698" s="166">
        <f t="shared" si="192"/>
        <v>4</v>
      </c>
      <c r="F2698" s="166">
        <f t="shared" ca="1" si="193"/>
        <v>63</v>
      </c>
      <c r="G2698" s="166" t="s">
        <v>4624</v>
      </c>
      <c r="H2698" s="171"/>
      <c r="I2698" s="171"/>
      <c r="J2698" s="171"/>
      <c r="K2698" s="171"/>
      <c r="L2698" s="166"/>
      <c r="M2698" s="166"/>
      <c r="N2698" s="166"/>
      <c r="O2698" s="166"/>
      <c r="P2698" s="166">
        <f t="shared" ca="1" si="194"/>
        <v>328</v>
      </c>
      <c r="Q2698" s="166" t="b">
        <v>0</v>
      </c>
    </row>
    <row r="2699" spans="1:17">
      <c r="A2699" s="166" t="b">
        <v>0</v>
      </c>
      <c r="B2699" s="166" t="s">
        <v>5009</v>
      </c>
      <c r="C2699" s="177">
        <v>55</v>
      </c>
      <c r="D2699" s="166">
        <f t="shared" si="191"/>
        <v>-151</v>
      </c>
      <c r="E2699" s="166">
        <f t="shared" si="192"/>
        <v>5</v>
      </c>
      <c r="F2699" s="166">
        <f t="shared" ca="1" si="193"/>
        <v>63</v>
      </c>
      <c r="G2699" s="166" t="s">
        <v>4624</v>
      </c>
      <c r="H2699" s="171"/>
      <c r="I2699" s="171"/>
      <c r="J2699" s="171"/>
      <c r="K2699" s="171"/>
      <c r="L2699" s="166"/>
      <c r="M2699" s="166"/>
      <c r="N2699" s="166"/>
      <c r="O2699" s="166"/>
      <c r="P2699" s="166">
        <f t="shared" ca="1" si="194"/>
        <v>329</v>
      </c>
      <c r="Q2699" s="166" t="b">
        <v>0</v>
      </c>
    </row>
    <row r="2700" spans="1:17">
      <c r="A2700" s="166" t="b">
        <v>0</v>
      </c>
      <c r="B2700" s="166" t="s">
        <v>5010</v>
      </c>
      <c r="C2700" s="177">
        <v>55</v>
      </c>
      <c r="D2700" s="166">
        <f t="shared" si="191"/>
        <v>-150</v>
      </c>
      <c r="E2700" s="166">
        <f t="shared" si="192"/>
        <v>6</v>
      </c>
      <c r="F2700" s="166">
        <f t="shared" ca="1" si="193"/>
        <v>63</v>
      </c>
      <c r="G2700" s="166" t="s">
        <v>4624</v>
      </c>
      <c r="H2700" s="171"/>
      <c r="I2700" s="171"/>
      <c r="J2700" s="171"/>
      <c r="K2700" s="171"/>
      <c r="L2700" s="166"/>
      <c r="M2700" s="166"/>
      <c r="N2700" s="166"/>
      <c r="O2700" s="166"/>
      <c r="P2700" s="166">
        <f t="shared" ca="1" si="194"/>
        <v>330</v>
      </c>
      <c r="Q2700" s="166" t="b">
        <v>0</v>
      </c>
    </row>
    <row r="2701" spans="1:17">
      <c r="A2701" s="166" t="b">
        <v>0</v>
      </c>
      <c r="B2701" s="166" t="s">
        <v>5011</v>
      </c>
      <c r="C2701" s="177">
        <v>56</v>
      </c>
      <c r="D2701" s="166">
        <f t="shared" si="191"/>
        <v>-149</v>
      </c>
      <c r="E2701" s="166">
        <f t="shared" si="192"/>
        <v>1</v>
      </c>
      <c r="F2701" s="166">
        <f t="shared" ca="1" si="193"/>
        <v>64</v>
      </c>
      <c r="G2701" s="166" t="s">
        <v>4626</v>
      </c>
      <c r="H2701" s="171"/>
      <c r="I2701" s="171"/>
      <c r="J2701" s="171"/>
      <c r="K2701" s="171"/>
      <c r="L2701" s="166"/>
      <c r="M2701" s="166"/>
      <c r="N2701" s="166"/>
      <c r="O2701" s="166"/>
      <c r="P2701" s="166">
        <f t="shared" ca="1" si="194"/>
        <v>331</v>
      </c>
      <c r="Q2701" s="166" t="b">
        <v>0</v>
      </c>
    </row>
    <row r="2702" spans="1:17">
      <c r="A2702" s="166" t="b">
        <v>0</v>
      </c>
      <c r="B2702" s="166" t="s">
        <v>5012</v>
      </c>
      <c r="C2702" s="177">
        <v>56</v>
      </c>
      <c r="D2702" s="166">
        <f t="shared" si="191"/>
        <v>-148</v>
      </c>
      <c r="E2702" s="166">
        <f t="shared" si="192"/>
        <v>2</v>
      </c>
      <c r="F2702" s="166">
        <f t="shared" ca="1" si="193"/>
        <v>64</v>
      </c>
      <c r="G2702" s="166" t="s">
        <v>4626</v>
      </c>
      <c r="H2702" s="171"/>
      <c r="I2702" s="171"/>
      <c r="J2702" s="171"/>
      <c r="K2702" s="171"/>
      <c r="L2702" s="166"/>
      <c r="M2702" s="166"/>
      <c r="N2702" s="166"/>
      <c r="O2702" s="166"/>
      <c r="P2702" s="166">
        <f t="shared" ca="1" si="194"/>
        <v>332</v>
      </c>
      <c r="Q2702" s="166" t="b">
        <v>0</v>
      </c>
    </row>
    <row r="2703" spans="1:17">
      <c r="A2703" s="166" t="b">
        <v>0</v>
      </c>
      <c r="B2703" s="166" t="s">
        <v>5013</v>
      </c>
      <c r="C2703" s="177">
        <v>56</v>
      </c>
      <c r="D2703" s="166">
        <f t="shared" si="191"/>
        <v>-147</v>
      </c>
      <c r="E2703" s="166">
        <f t="shared" si="192"/>
        <v>3</v>
      </c>
      <c r="F2703" s="166">
        <f t="shared" ca="1" si="193"/>
        <v>64</v>
      </c>
      <c r="G2703" s="166" t="s">
        <v>4626</v>
      </c>
      <c r="H2703" s="171"/>
      <c r="I2703" s="171"/>
      <c r="J2703" s="171"/>
      <c r="K2703" s="171"/>
      <c r="L2703" s="166"/>
      <c r="M2703" s="166"/>
      <c r="N2703" s="166"/>
      <c r="O2703" s="166"/>
      <c r="P2703" s="166">
        <f t="shared" ca="1" si="194"/>
        <v>333</v>
      </c>
      <c r="Q2703" s="166" t="b">
        <v>0</v>
      </c>
    </row>
    <row r="2704" spans="1:17">
      <c r="A2704" s="166" t="b">
        <v>0</v>
      </c>
      <c r="B2704" s="166" t="s">
        <v>5014</v>
      </c>
      <c r="C2704" s="177">
        <v>56</v>
      </c>
      <c r="D2704" s="166">
        <f t="shared" si="191"/>
        <v>-146</v>
      </c>
      <c r="E2704" s="166">
        <f t="shared" si="192"/>
        <v>4</v>
      </c>
      <c r="F2704" s="166">
        <f t="shared" ca="1" si="193"/>
        <v>64</v>
      </c>
      <c r="G2704" s="166" t="s">
        <v>4626</v>
      </c>
      <c r="H2704" s="171"/>
      <c r="I2704" s="171"/>
      <c r="J2704" s="171"/>
      <c r="K2704" s="171"/>
      <c r="L2704" s="166"/>
      <c r="M2704" s="166"/>
      <c r="N2704" s="166"/>
      <c r="O2704" s="166"/>
      <c r="P2704" s="166">
        <f t="shared" ca="1" si="194"/>
        <v>334</v>
      </c>
      <c r="Q2704" s="166" t="b">
        <v>0</v>
      </c>
    </row>
    <row r="2705" spans="1:17">
      <c r="A2705" s="166" t="b">
        <v>0</v>
      </c>
      <c r="B2705" s="166" t="s">
        <v>5015</v>
      </c>
      <c r="C2705" s="177">
        <v>56</v>
      </c>
      <c r="D2705" s="166">
        <f t="shared" si="191"/>
        <v>-145</v>
      </c>
      <c r="E2705" s="166">
        <f t="shared" si="192"/>
        <v>5</v>
      </c>
      <c r="F2705" s="166">
        <f t="shared" ca="1" si="193"/>
        <v>64</v>
      </c>
      <c r="G2705" s="166" t="s">
        <v>4626</v>
      </c>
      <c r="H2705" s="171"/>
      <c r="I2705" s="171"/>
      <c r="J2705" s="171"/>
      <c r="K2705" s="171"/>
      <c r="L2705" s="166"/>
      <c r="M2705" s="166"/>
      <c r="N2705" s="166"/>
      <c r="O2705" s="166"/>
      <c r="P2705" s="166">
        <f t="shared" ca="1" si="194"/>
        <v>335</v>
      </c>
      <c r="Q2705" s="166" t="b">
        <v>0</v>
      </c>
    </row>
    <row r="2706" spans="1:17">
      <c r="A2706" s="166" t="b">
        <v>0</v>
      </c>
      <c r="B2706" s="166" t="s">
        <v>5016</v>
      </c>
      <c r="C2706" s="177">
        <v>56</v>
      </c>
      <c r="D2706" s="166">
        <f t="shared" si="191"/>
        <v>-144</v>
      </c>
      <c r="E2706" s="166">
        <f t="shared" si="192"/>
        <v>6</v>
      </c>
      <c r="F2706" s="166">
        <f t="shared" ca="1" si="193"/>
        <v>64</v>
      </c>
      <c r="G2706" s="166" t="s">
        <v>4626</v>
      </c>
      <c r="H2706" s="171"/>
      <c r="I2706" s="171"/>
      <c r="J2706" s="171"/>
      <c r="K2706" s="171"/>
      <c r="L2706" s="166"/>
      <c r="M2706" s="166"/>
      <c r="N2706" s="166"/>
      <c r="O2706" s="166"/>
      <c r="P2706" s="166">
        <f t="shared" ca="1" si="194"/>
        <v>336</v>
      </c>
      <c r="Q2706" s="166" t="b">
        <v>0</v>
      </c>
    </row>
    <row r="2707" spans="1:17">
      <c r="A2707" s="166" t="b">
        <v>0</v>
      </c>
      <c r="B2707" s="166" t="s">
        <v>5017</v>
      </c>
      <c r="C2707" s="177">
        <v>57</v>
      </c>
      <c r="D2707" s="166">
        <f t="shared" si="191"/>
        <v>-143</v>
      </c>
      <c r="E2707" s="166">
        <f t="shared" si="192"/>
        <v>1</v>
      </c>
      <c r="F2707" s="166">
        <f t="shared" ca="1" si="193"/>
        <v>65</v>
      </c>
      <c r="G2707" s="166" t="s">
        <v>4628</v>
      </c>
      <c r="H2707" s="171"/>
      <c r="I2707" s="171"/>
      <c r="J2707" s="171"/>
      <c r="K2707" s="171"/>
      <c r="L2707" s="166"/>
      <c r="M2707" s="166"/>
      <c r="N2707" s="166"/>
      <c r="O2707" s="166"/>
      <c r="P2707" s="166">
        <f t="shared" ca="1" si="194"/>
        <v>337</v>
      </c>
      <c r="Q2707" s="166" t="b">
        <v>0</v>
      </c>
    </row>
    <row r="2708" spans="1:17">
      <c r="A2708" s="166" t="b">
        <v>0</v>
      </c>
      <c r="B2708" s="166" t="s">
        <v>5018</v>
      </c>
      <c r="C2708" s="177">
        <v>57</v>
      </c>
      <c r="D2708" s="166">
        <f t="shared" si="191"/>
        <v>-142</v>
      </c>
      <c r="E2708" s="166">
        <f t="shared" si="192"/>
        <v>2</v>
      </c>
      <c r="F2708" s="166">
        <f t="shared" ca="1" si="193"/>
        <v>65</v>
      </c>
      <c r="G2708" s="166" t="s">
        <v>4628</v>
      </c>
      <c r="H2708" s="171"/>
      <c r="I2708" s="171"/>
      <c r="J2708" s="171"/>
      <c r="K2708" s="171"/>
      <c r="L2708" s="166"/>
      <c r="M2708" s="166"/>
      <c r="N2708" s="166"/>
      <c r="O2708" s="166"/>
      <c r="P2708" s="166">
        <f t="shared" ca="1" si="194"/>
        <v>338</v>
      </c>
      <c r="Q2708" s="166" t="b">
        <v>0</v>
      </c>
    </row>
    <row r="2709" spans="1:17">
      <c r="A2709" s="166" t="b">
        <v>0</v>
      </c>
      <c r="B2709" s="166" t="s">
        <v>5019</v>
      </c>
      <c r="C2709" s="177">
        <v>57</v>
      </c>
      <c r="D2709" s="166">
        <f t="shared" si="191"/>
        <v>-141</v>
      </c>
      <c r="E2709" s="166">
        <f t="shared" si="192"/>
        <v>3</v>
      </c>
      <c r="F2709" s="166">
        <f t="shared" ca="1" si="193"/>
        <v>65</v>
      </c>
      <c r="G2709" s="166" t="s">
        <v>4628</v>
      </c>
      <c r="H2709" s="171"/>
      <c r="I2709" s="171"/>
      <c r="J2709" s="171"/>
      <c r="K2709" s="171"/>
      <c r="L2709" s="166"/>
      <c r="M2709" s="166"/>
      <c r="N2709" s="166"/>
      <c r="O2709" s="166"/>
      <c r="P2709" s="166">
        <f t="shared" ca="1" si="194"/>
        <v>339</v>
      </c>
      <c r="Q2709" s="166" t="b">
        <v>0</v>
      </c>
    </row>
    <row r="2710" spans="1:17">
      <c r="A2710" s="166" t="b">
        <v>0</v>
      </c>
      <c r="B2710" s="166" t="s">
        <v>5020</v>
      </c>
      <c r="C2710" s="177">
        <v>57</v>
      </c>
      <c r="D2710" s="166">
        <f t="shared" si="191"/>
        <v>-140</v>
      </c>
      <c r="E2710" s="166">
        <f t="shared" si="192"/>
        <v>4</v>
      </c>
      <c r="F2710" s="166">
        <f t="shared" ca="1" si="193"/>
        <v>65</v>
      </c>
      <c r="G2710" s="166" t="s">
        <v>4628</v>
      </c>
      <c r="H2710" s="171"/>
      <c r="I2710" s="171"/>
      <c r="J2710" s="171"/>
      <c r="K2710" s="171"/>
      <c r="L2710" s="166"/>
      <c r="M2710" s="166"/>
      <c r="N2710" s="166"/>
      <c r="O2710" s="166"/>
      <c r="P2710" s="166">
        <f t="shared" ca="1" si="194"/>
        <v>340</v>
      </c>
      <c r="Q2710" s="166" t="b">
        <v>0</v>
      </c>
    </row>
    <row r="2711" spans="1:17">
      <c r="A2711" s="166" t="b">
        <v>0</v>
      </c>
      <c r="B2711" s="166" t="s">
        <v>5021</v>
      </c>
      <c r="C2711" s="177">
        <v>57</v>
      </c>
      <c r="D2711" s="166">
        <f t="shared" si="191"/>
        <v>-139</v>
      </c>
      <c r="E2711" s="166">
        <f t="shared" si="192"/>
        <v>5</v>
      </c>
      <c r="F2711" s="166">
        <f t="shared" ca="1" si="193"/>
        <v>65</v>
      </c>
      <c r="G2711" s="166" t="s">
        <v>4628</v>
      </c>
      <c r="H2711" s="171"/>
      <c r="I2711" s="171"/>
      <c r="J2711" s="171"/>
      <c r="K2711" s="171"/>
      <c r="L2711" s="166"/>
      <c r="M2711" s="166"/>
      <c r="N2711" s="166"/>
      <c r="O2711" s="166"/>
      <c r="P2711" s="166">
        <f t="shared" ca="1" si="194"/>
        <v>341</v>
      </c>
      <c r="Q2711" s="166" t="b">
        <v>0</v>
      </c>
    </row>
    <row r="2712" spans="1:17">
      <c r="A2712" s="166" t="b">
        <v>0</v>
      </c>
      <c r="B2712" s="166" t="s">
        <v>5022</v>
      </c>
      <c r="C2712" s="177">
        <v>57</v>
      </c>
      <c r="D2712" s="166">
        <f t="shared" si="191"/>
        <v>-138</v>
      </c>
      <c r="E2712" s="166">
        <f t="shared" si="192"/>
        <v>6</v>
      </c>
      <c r="F2712" s="166">
        <f t="shared" ca="1" si="193"/>
        <v>65</v>
      </c>
      <c r="G2712" s="166" t="s">
        <v>4628</v>
      </c>
      <c r="H2712" s="171"/>
      <c r="I2712" s="171"/>
      <c r="J2712" s="171"/>
      <c r="K2712" s="171"/>
      <c r="L2712" s="166"/>
      <c r="M2712" s="166"/>
      <c r="N2712" s="166"/>
      <c r="O2712" s="166"/>
      <c r="P2712" s="166">
        <f t="shared" ca="1" si="194"/>
        <v>342</v>
      </c>
      <c r="Q2712" s="166" t="b">
        <v>0</v>
      </c>
    </row>
    <row r="2713" spans="1:17">
      <c r="A2713" s="166" t="b">
        <v>0</v>
      </c>
      <c r="B2713" s="166" t="s">
        <v>5023</v>
      </c>
      <c r="C2713" s="177">
        <v>58</v>
      </c>
      <c r="D2713" s="166">
        <f t="shared" si="191"/>
        <v>-137</v>
      </c>
      <c r="E2713" s="166">
        <f t="shared" si="192"/>
        <v>1</v>
      </c>
      <c r="F2713" s="166">
        <f t="shared" ca="1" si="193"/>
        <v>66</v>
      </c>
      <c r="G2713" s="166" t="s">
        <v>4630</v>
      </c>
      <c r="H2713" s="171"/>
      <c r="I2713" s="171"/>
      <c r="J2713" s="171"/>
      <c r="K2713" s="171"/>
      <c r="L2713" s="166"/>
      <c r="M2713" s="166"/>
      <c r="N2713" s="166"/>
      <c r="O2713" s="166"/>
      <c r="P2713" s="166">
        <f t="shared" ca="1" si="194"/>
        <v>343</v>
      </c>
      <c r="Q2713" s="166" t="b">
        <v>0</v>
      </c>
    </row>
    <row r="2714" spans="1:17">
      <c r="A2714" s="166" t="b">
        <v>0</v>
      </c>
      <c r="B2714" s="166" t="s">
        <v>5024</v>
      </c>
      <c r="C2714" s="177">
        <v>58</v>
      </c>
      <c r="D2714" s="166">
        <f t="shared" si="191"/>
        <v>-136</v>
      </c>
      <c r="E2714" s="166">
        <f t="shared" si="192"/>
        <v>2</v>
      </c>
      <c r="F2714" s="166">
        <f t="shared" ca="1" si="193"/>
        <v>66</v>
      </c>
      <c r="G2714" s="166" t="s">
        <v>4630</v>
      </c>
      <c r="H2714" s="171"/>
      <c r="I2714" s="171"/>
      <c r="J2714" s="171"/>
      <c r="K2714" s="171"/>
      <c r="L2714" s="166"/>
      <c r="M2714" s="166"/>
      <c r="N2714" s="166"/>
      <c r="O2714" s="166"/>
      <c r="P2714" s="166">
        <f t="shared" ca="1" si="194"/>
        <v>344</v>
      </c>
      <c r="Q2714" s="166" t="b">
        <v>0</v>
      </c>
    </row>
    <row r="2715" spans="1:17">
      <c r="A2715" s="166" t="b">
        <v>0</v>
      </c>
      <c r="B2715" s="166" t="s">
        <v>5025</v>
      </c>
      <c r="C2715" s="177">
        <v>58</v>
      </c>
      <c r="D2715" s="166">
        <f t="shared" si="191"/>
        <v>-135</v>
      </c>
      <c r="E2715" s="166">
        <f t="shared" si="192"/>
        <v>3</v>
      </c>
      <c r="F2715" s="166">
        <f t="shared" ca="1" si="193"/>
        <v>66</v>
      </c>
      <c r="G2715" s="166" t="s">
        <v>4630</v>
      </c>
      <c r="H2715" s="171"/>
      <c r="I2715" s="171"/>
      <c r="J2715" s="171"/>
      <c r="K2715" s="171"/>
      <c r="L2715" s="166"/>
      <c r="M2715" s="166"/>
      <c r="N2715" s="166"/>
      <c r="O2715" s="166"/>
      <c r="P2715" s="166">
        <f t="shared" ca="1" si="194"/>
        <v>345</v>
      </c>
      <c r="Q2715" s="166" t="b">
        <v>0</v>
      </c>
    </row>
    <row r="2716" spans="1:17">
      <c r="A2716" s="166" t="b">
        <v>0</v>
      </c>
      <c r="B2716" s="166" t="s">
        <v>5026</v>
      </c>
      <c r="C2716" s="177">
        <v>58</v>
      </c>
      <c r="D2716" s="166">
        <f t="shared" si="191"/>
        <v>-134</v>
      </c>
      <c r="E2716" s="166">
        <f t="shared" si="192"/>
        <v>4</v>
      </c>
      <c r="F2716" s="166">
        <f t="shared" ca="1" si="193"/>
        <v>66</v>
      </c>
      <c r="G2716" s="166" t="s">
        <v>4630</v>
      </c>
      <c r="H2716" s="171"/>
      <c r="I2716" s="171"/>
      <c r="J2716" s="171"/>
      <c r="K2716" s="171"/>
      <c r="L2716" s="166"/>
      <c r="M2716" s="166"/>
      <c r="N2716" s="166"/>
      <c r="O2716" s="166"/>
      <c r="P2716" s="166">
        <f t="shared" ca="1" si="194"/>
        <v>346</v>
      </c>
      <c r="Q2716" s="166" t="b">
        <v>0</v>
      </c>
    </row>
    <row r="2717" spans="1:17">
      <c r="A2717" s="166" t="b">
        <v>0</v>
      </c>
      <c r="B2717" s="166" t="s">
        <v>5027</v>
      </c>
      <c r="C2717" s="177">
        <v>58</v>
      </c>
      <c r="D2717" s="166">
        <f t="shared" si="191"/>
        <v>-133</v>
      </c>
      <c r="E2717" s="166">
        <f t="shared" si="192"/>
        <v>5</v>
      </c>
      <c r="F2717" s="166">
        <f t="shared" ca="1" si="193"/>
        <v>66</v>
      </c>
      <c r="G2717" s="166" t="s">
        <v>4630</v>
      </c>
      <c r="H2717" s="171"/>
      <c r="I2717" s="171"/>
      <c r="J2717" s="171"/>
      <c r="K2717" s="171"/>
      <c r="L2717" s="166"/>
      <c r="M2717" s="166"/>
      <c r="N2717" s="166"/>
      <c r="O2717" s="166"/>
      <c r="P2717" s="166">
        <f t="shared" ca="1" si="194"/>
        <v>347</v>
      </c>
      <c r="Q2717" s="166" t="b">
        <v>0</v>
      </c>
    </row>
    <row r="2718" spans="1:17">
      <c r="A2718" s="166" t="b">
        <v>0</v>
      </c>
      <c r="B2718" s="166" t="s">
        <v>5028</v>
      </c>
      <c r="C2718" s="177">
        <v>58</v>
      </c>
      <c r="D2718" s="166">
        <f t="shared" si="191"/>
        <v>-132</v>
      </c>
      <c r="E2718" s="166">
        <f t="shared" si="192"/>
        <v>6</v>
      </c>
      <c r="F2718" s="166">
        <f t="shared" ca="1" si="193"/>
        <v>66</v>
      </c>
      <c r="G2718" s="166" t="s">
        <v>4630</v>
      </c>
      <c r="H2718" s="171"/>
      <c r="I2718" s="171"/>
      <c r="J2718" s="171"/>
      <c r="K2718" s="171"/>
      <c r="L2718" s="166"/>
      <c r="M2718" s="166"/>
      <c r="N2718" s="166"/>
      <c r="O2718" s="166"/>
      <c r="P2718" s="166">
        <f t="shared" ca="1" si="194"/>
        <v>348</v>
      </c>
      <c r="Q2718" s="166" t="b">
        <v>0</v>
      </c>
    </row>
    <row r="2719" spans="1:17">
      <c r="A2719" s="166" t="b">
        <v>0</v>
      </c>
      <c r="B2719" s="166" t="s">
        <v>5029</v>
      </c>
      <c r="C2719" s="177">
        <v>59</v>
      </c>
      <c r="D2719" s="166">
        <f t="shared" si="191"/>
        <v>-131</v>
      </c>
      <c r="E2719" s="166">
        <f t="shared" si="192"/>
        <v>1</v>
      </c>
      <c r="F2719" s="166">
        <f t="shared" ca="1" si="193"/>
        <v>67</v>
      </c>
      <c r="G2719" s="166" t="s">
        <v>4632</v>
      </c>
      <c r="H2719" s="171"/>
      <c r="I2719" s="171"/>
      <c r="J2719" s="171"/>
      <c r="K2719" s="171"/>
      <c r="L2719" s="166"/>
      <c r="M2719" s="166"/>
      <c r="N2719" s="166"/>
      <c r="O2719" s="166"/>
      <c r="P2719" s="166">
        <f t="shared" ca="1" si="194"/>
        <v>349</v>
      </c>
      <c r="Q2719" s="166" t="b">
        <v>0</v>
      </c>
    </row>
    <row r="2720" spans="1:17">
      <c r="A2720" s="166" t="b">
        <v>0</v>
      </c>
      <c r="B2720" s="166" t="s">
        <v>5030</v>
      </c>
      <c r="C2720" s="177">
        <v>59</v>
      </c>
      <c r="D2720" s="166">
        <f t="shared" si="191"/>
        <v>-130</v>
      </c>
      <c r="E2720" s="166">
        <f t="shared" si="192"/>
        <v>2</v>
      </c>
      <c r="F2720" s="166">
        <f t="shared" ca="1" si="193"/>
        <v>67</v>
      </c>
      <c r="G2720" s="166" t="s">
        <v>4632</v>
      </c>
      <c r="H2720" s="171"/>
      <c r="I2720" s="171"/>
      <c r="J2720" s="171"/>
      <c r="K2720" s="171"/>
      <c r="L2720" s="166"/>
      <c r="M2720" s="166"/>
      <c r="N2720" s="166"/>
      <c r="O2720" s="166"/>
      <c r="P2720" s="166">
        <f t="shared" ca="1" si="194"/>
        <v>350</v>
      </c>
      <c r="Q2720" s="166" t="b">
        <v>0</v>
      </c>
    </row>
    <row r="2721" spans="1:17">
      <c r="A2721" s="166" t="b">
        <v>0</v>
      </c>
      <c r="B2721" s="166" t="s">
        <v>5031</v>
      </c>
      <c r="C2721" s="177">
        <v>59</v>
      </c>
      <c r="D2721" s="166">
        <f t="shared" si="191"/>
        <v>-129</v>
      </c>
      <c r="E2721" s="166">
        <f t="shared" si="192"/>
        <v>3</v>
      </c>
      <c r="F2721" s="166">
        <f t="shared" ca="1" si="193"/>
        <v>67</v>
      </c>
      <c r="G2721" s="166" t="s">
        <v>4632</v>
      </c>
      <c r="H2721" s="171"/>
      <c r="I2721" s="171"/>
      <c r="J2721" s="171"/>
      <c r="K2721" s="171"/>
      <c r="L2721" s="166"/>
      <c r="M2721" s="166"/>
      <c r="N2721" s="166"/>
      <c r="O2721" s="166"/>
      <c r="P2721" s="166">
        <f t="shared" ca="1" si="194"/>
        <v>351</v>
      </c>
      <c r="Q2721" s="166" t="b">
        <v>0</v>
      </c>
    </row>
    <row r="2722" spans="1:17">
      <c r="A2722" s="166" t="b">
        <v>0</v>
      </c>
      <c r="B2722" s="166" t="s">
        <v>5032</v>
      </c>
      <c r="C2722" s="177">
        <v>59</v>
      </c>
      <c r="D2722" s="166">
        <f t="shared" si="191"/>
        <v>-128</v>
      </c>
      <c r="E2722" s="166">
        <f t="shared" si="192"/>
        <v>4</v>
      </c>
      <c r="F2722" s="166">
        <f t="shared" ca="1" si="193"/>
        <v>67</v>
      </c>
      <c r="G2722" s="166" t="s">
        <v>4632</v>
      </c>
      <c r="H2722" s="171"/>
      <c r="I2722" s="171"/>
      <c r="J2722" s="171"/>
      <c r="K2722" s="171"/>
      <c r="L2722" s="166"/>
      <c r="M2722" s="166"/>
      <c r="N2722" s="166"/>
      <c r="O2722" s="166"/>
      <c r="P2722" s="166">
        <f t="shared" ca="1" si="194"/>
        <v>352</v>
      </c>
      <c r="Q2722" s="166" t="b">
        <v>0</v>
      </c>
    </row>
    <row r="2723" spans="1:17">
      <c r="A2723" s="166" t="b">
        <v>0</v>
      </c>
      <c r="B2723" s="166" t="s">
        <v>5033</v>
      </c>
      <c r="C2723" s="177">
        <v>59</v>
      </c>
      <c r="D2723" s="166">
        <f t="shared" si="191"/>
        <v>-127</v>
      </c>
      <c r="E2723" s="166">
        <f t="shared" si="192"/>
        <v>5</v>
      </c>
      <c r="F2723" s="166">
        <f t="shared" ca="1" si="193"/>
        <v>67</v>
      </c>
      <c r="G2723" s="166" t="s">
        <v>4632</v>
      </c>
      <c r="H2723" s="171"/>
      <c r="I2723" s="171"/>
      <c r="J2723" s="171"/>
      <c r="K2723" s="171"/>
      <c r="L2723" s="166"/>
      <c r="M2723" s="166"/>
      <c r="N2723" s="166"/>
      <c r="O2723" s="166"/>
      <c r="P2723" s="166">
        <f t="shared" ca="1" si="194"/>
        <v>353</v>
      </c>
      <c r="Q2723" s="166" t="b">
        <v>0</v>
      </c>
    </row>
    <row r="2724" spans="1:17">
      <c r="A2724" s="166" t="b">
        <v>0</v>
      </c>
      <c r="B2724" s="166" t="s">
        <v>5034</v>
      </c>
      <c r="C2724" s="177">
        <v>59</v>
      </c>
      <c r="D2724" s="166">
        <f t="shared" si="191"/>
        <v>-126</v>
      </c>
      <c r="E2724" s="166">
        <f t="shared" si="192"/>
        <v>6</v>
      </c>
      <c r="F2724" s="166">
        <f t="shared" ca="1" si="193"/>
        <v>67</v>
      </c>
      <c r="G2724" s="166" t="s">
        <v>4632</v>
      </c>
      <c r="H2724" s="171"/>
      <c r="I2724" s="171"/>
      <c r="J2724" s="171"/>
      <c r="K2724" s="171"/>
      <c r="L2724" s="166"/>
      <c r="M2724" s="166"/>
      <c r="N2724" s="166"/>
      <c r="O2724" s="166"/>
      <c r="P2724" s="166">
        <f t="shared" ca="1" si="194"/>
        <v>354</v>
      </c>
      <c r="Q2724" s="166" t="b">
        <v>0</v>
      </c>
    </row>
    <row r="2725" spans="1:17">
      <c r="A2725" s="166" t="b">
        <v>0</v>
      </c>
      <c r="B2725" s="166" t="s">
        <v>5035</v>
      </c>
      <c r="C2725" s="177">
        <v>60</v>
      </c>
      <c r="D2725" s="166">
        <f t="shared" si="191"/>
        <v>-125</v>
      </c>
      <c r="E2725" s="166">
        <f t="shared" si="192"/>
        <v>1</v>
      </c>
      <c r="F2725" s="166">
        <f t="shared" ca="1" si="193"/>
        <v>68</v>
      </c>
      <c r="G2725" s="166" t="s">
        <v>4634</v>
      </c>
      <c r="H2725" s="171"/>
      <c r="I2725" s="171"/>
      <c r="J2725" s="171"/>
      <c r="K2725" s="171"/>
      <c r="L2725" s="166"/>
      <c r="M2725" s="166"/>
      <c r="N2725" s="166"/>
      <c r="O2725" s="166"/>
      <c r="P2725" s="166">
        <f t="shared" ca="1" si="194"/>
        <v>355</v>
      </c>
      <c r="Q2725" s="166" t="b">
        <v>0</v>
      </c>
    </row>
    <row r="2726" spans="1:17">
      <c r="A2726" s="166" t="b">
        <v>0</v>
      </c>
      <c r="B2726" s="166" t="s">
        <v>5036</v>
      </c>
      <c r="C2726" s="177">
        <v>60</v>
      </c>
      <c r="D2726" s="166">
        <f t="shared" si="191"/>
        <v>-124</v>
      </c>
      <c r="E2726" s="166">
        <f t="shared" si="192"/>
        <v>2</v>
      </c>
      <c r="F2726" s="166">
        <f t="shared" ca="1" si="193"/>
        <v>68</v>
      </c>
      <c r="G2726" s="166" t="s">
        <v>4634</v>
      </c>
      <c r="H2726" s="171"/>
      <c r="I2726" s="171"/>
      <c r="J2726" s="171"/>
      <c r="K2726" s="171"/>
      <c r="L2726" s="166"/>
      <c r="M2726" s="166"/>
      <c r="N2726" s="166"/>
      <c r="O2726" s="166"/>
      <c r="P2726" s="166">
        <f t="shared" ca="1" si="194"/>
        <v>356</v>
      </c>
      <c r="Q2726" s="166" t="b">
        <v>0</v>
      </c>
    </row>
    <row r="2727" spans="1:17">
      <c r="A2727" s="166" t="b">
        <v>0</v>
      </c>
      <c r="B2727" s="166" t="s">
        <v>5037</v>
      </c>
      <c r="C2727" s="177">
        <v>60</v>
      </c>
      <c r="D2727" s="166">
        <f t="shared" si="191"/>
        <v>-123</v>
      </c>
      <c r="E2727" s="166">
        <f t="shared" si="192"/>
        <v>3</v>
      </c>
      <c r="F2727" s="166">
        <f t="shared" ca="1" si="193"/>
        <v>68</v>
      </c>
      <c r="G2727" s="166" t="s">
        <v>4634</v>
      </c>
      <c r="H2727" s="171"/>
      <c r="I2727" s="171"/>
      <c r="J2727" s="171"/>
      <c r="K2727" s="171"/>
      <c r="L2727" s="166"/>
      <c r="M2727" s="166"/>
      <c r="N2727" s="166"/>
      <c r="O2727" s="166"/>
      <c r="P2727" s="166">
        <f t="shared" ca="1" si="194"/>
        <v>357</v>
      </c>
      <c r="Q2727" s="166" t="b">
        <v>0</v>
      </c>
    </row>
    <row r="2728" spans="1:17">
      <c r="A2728" s="166" t="b">
        <v>0</v>
      </c>
      <c r="B2728" s="166" t="s">
        <v>5038</v>
      </c>
      <c r="C2728" s="177">
        <v>60</v>
      </c>
      <c r="D2728" s="166">
        <f t="shared" si="191"/>
        <v>-122</v>
      </c>
      <c r="E2728" s="166">
        <f t="shared" si="192"/>
        <v>4</v>
      </c>
      <c r="F2728" s="166">
        <f t="shared" ca="1" si="193"/>
        <v>68</v>
      </c>
      <c r="G2728" s="166" t="s">
        <v>4634</v>
      </c>
      <c r="H2728" s="171"/>
      <c r="I2728" s="171"/>
      <c r="J2728" s="171"/>
      <c r="K2728" s="171"/>
      <c r="L2728" s="166"/>
      <c r="M2728" s="166"/>
      <c r="N2728" s="166"/>
      <c r="O2728" s="166"/>
      <c r="P2728" s="166">
        <f t="shared" ca="1" si="194"/>
        <v>358</v>
      </c>
      <c r="Q2728" s="166" t="b">
        <v>0</v>
      </c>
    </row>
    <row r="2729" spans="1:17">
      <c r="A2729" s="166" t="b">
        <v>0</v>
      </c>
      <c r="B2729" s="166" t="s">
        <v>5039</v>
      </c>
      <c r="C2729" s="177">
        <v>60</v>
      </c>
      <c r="D2729" s="166">
        <f t="shared" si="191"/>
        <v>-121</v>
      </c>
      <c r="E2729" s="166">
        <f t="shared" si="192"/>
        <v>5</v>
      </c>
      <c r="F2729" s="166">
        <f t="shared" ca="1" si="193"/>
        <v>68</v>
      </c>
      <c r="G2729" s="166" t="s">
        <v>4634</v>
      </c>
      <c r="H2729" s="171"/>
      <c r="I2729" s="171"/>
      <c r="J2729" s="171"/>
      <c r="K2729" s="171"/>
      <c r="L2729" s="166"/>
      <c r="M2729" s="166"/>
      <c r="N2729" s="166"/>
      <c r="O2729" s="166"/>
      <c r="P2729" s="166">
        <f t="shared" ca="1" si="194"/>
        <v>359</v>
      </c>
      <c r="Q2729" s="166" t="b">
        <v>0</v>
      </c>
    </row>
    <row r="2730" spans="1:17">
      <c r="A2730" s="166" t="b">
        <v>0</v>
      </c>
      <c r="B2730" s="166" t="s">
        <v>5040</v>
      </c>
      <c r="C2730" s="177">
        <v>60</v>
      </c>
      <c r="D2730" s="166">
        <f t="shared" si="191"/>
        <v>-120</v>
      </c>
      <c r="E2730" s="166">
        <f t="shared" si="192"/>
        <v>6</v>
      </c>
      <c r="F2730" s="166">
        <f t="shared" ca="1" si="193"/>
        <v>68</v>
      </c>
      <c r="G2730" s="166" t="s">
        <v>4634</v>
      </c>
      <c r="H2730" s="171"/>
      <c r="I2730" s="171"/>
      <c r="J2730" s="171"/>
      <c r="K2730" s="171"/>
      <c r="L2730" s="166"/>
      <c r="M2730" s="166"/>
      <c r="N2730" s="166"/>
      <c r="O2730" s="166"/>
      <c r="P2730" s="166">
        <f t="shared" ca="1" si="194"/>
        <v>360</v>
      </c>
      <c r="Q2730" s="166" t="b">
        <v>0</v>
      </c>
    </row>
    <row r="2731" spans="1:17">
      <c r="A2731" s="166" t="b">
        <v>0</v>
      </c>
      <c r="B2731" s="166" t="s">
        <v>5041</v>
      </c>
      <c r="C2731" s="177">
        <v>61</v>
      </c>
      <c r="D2731" s="166">
        <f t="shared" si="191"/>
        <v>-119</v>
      </c>
      <c r="E2731" s="166">
        <f t="shared" si="192"/>
        <v>1</v>
      </c>
      <c r="F2731" s="166">
        <f t="shared" ca="1" si="193"/>
        <v>69</v>
      </c>
      <c r="G2731" s="166" t="s">
        <v>4636</v>
      </c>
      <c r="H2731" s="171"/>
      <c r="I2731" s="171"/>
      <c r="J2731" s="171"/>
      <c r="K2731" s="171"/>
      <c r="L2731" s="166"/>
      <c r="M2731" s="166"/>
      <c r="N2731" s="166"/>
      <c r="O2731" s="166"/>
      <c r="P2731" s="166">
        <f t="shared" ca="1" si="194"/>
        <v>361</v>
      </c>
      <c r="Q2731" s="166" t="b">
        <v>0</v>
      </c>
    </row>
    <row r="2732" spans="1:17">
      <c r="A2732" s="166" t="b">
        <v>0</v>
      </c>
      <c r="B2732" s="166" t="s">
        <v>5042</v>
      </c>
      <c r="C2732" s="177">
        <v>61</v>
      </c>
      <c r="D2732" s="166">
        <f t="shared" si="191"/>
        <v>-118</v>
      </c>
      <c r="E2732" s="166">
        <f t="shared" si="192"/>
        <v>2</v>
      </c>
      <c r="F2732" s="166">
        <f t="shared" ca="1" si="193"/>
        <v>69</v>
      </c>
      <c r="G2732" s="166" t="s">
        <v>4636</v>
      </c>
      <c r="H2732" s="171"/>
      <c r="I2732" s="171"/>
      <c r="J2732" s="171"/>
      <c r="K2732" s="171"/>
      <c r="L2732" s="166"/>
      <c r="M2732" s="166"/>
      <c r="N2732" s="166"/>
      <c r="O2732" s="166"/>
      <c r="P2732" s="166">
        <f t="shared" ca="1" si="194"/>
        <v>362</v>
      </c>
      <c r="Q2732" s="166" t="b">
        <v>0</v>
      </c>
    </row>
    <row r="2733" spans="1:17">
      <c r="A2733" s="166" t="b">
        <v>0</v>
      </c>
      <c r="B2733" s="166" t="s">
        <v>5043</v>
      </c>
      <c r="C2733" s="177">
        <v>61</v>
      </c>
      <c r="D2733" s="166">
        <f t="shared" si="191"/>
        <v>-117</v>
      </c>
      <c r="E2733" s="166">
        <f t="shared" si="192"/>
        <v>3</v>
      </c>
      <c r="F2733" s="166">
        <f t="shared" ca="1" si="193"/>
        <v>69</v>
      </c>
      <c r="G2733" s="166" t="s">
        <v>4636</v>
      </c>
      <c r="H2733" s="171"/>
      <c r="I2733" s="171"/>
      <c r="J2733" s="171"/>
      <c r="K2733" s="171"/>
      <c r="L2733" s="166"/>
      <c r="M2733" s="166"/>
      <c r="N2733" s="166"/>
      <c r="O2733" s="166"/>
      <c r="P2733" s="166">
        <f t="shared" ca="1" si="194"/>
        <v>363</v>
      </c>
      <c r="Q2733" s="166" t="b">
        <v>0</v>
      </c>
    </row>
    <row r="2734" spans="1:17">
      <c r="A2734" s="166" t="b">
        <v>0</v>
      </c>
      <c r="B2734" s="166" t="s">
        <v>5044</v>
      </c>
      <c r="C2734" s="177">
        <v>61</v>
      </c>
      <c r="D2734" s="166">
        <f t="shared" si="191"/>
        <v>-116</v>
      </c>
      <c r="E2734" s="166">
        <f t="shared" si="192"/>
        <v>4</v>
      </c>
      <c r="F2734" s="166">
        <f t="shared" ca="1" si="193"/>
        <v>69</v>
      </c>
      <c r="G2734" s="166" t="s">
        <v>4636</v>
      </c>
      <c r="H2734" s="171"/>
      <c r="I2734" s="171"/>
      <c r="J2734" s="171"/>
      <c r="K2734" s="171"/>
      <c r="L2734" s="166"/>
      <c r="M2734" s="166"/>
      <c r="N2734" s="166"/>
      <c r="O2734" s="166"/>
      <c r="P2734" s="166">
        <f t="shared" ca="1" si="194"/>
        <v>364</v>
      </c>
      <c r="Q2734" s="166" t="b">
        <v>0</v>
      </c>
    </row>
    <row r="2735" spans="1:17">
      <c r="A2735" s="166" t="b">
        <v>0</v>
      </c>
      <c r="B2735" s="166" t="s">
        <v>5045</v>
      </c>
      <c r="C2735" s="177">
        <v>61</v>
      </c>
      <c r="D2735" s="166">
        <f t="shared" si="191"/>
        <v>-115</v>
      </c>
      <c r="E2735" s="166">
        <f t="shared" si="192"/>
        <v>5</v>
      </c>
      <c r="F2735" s="166">
        <f t="shared" ca="1" si="193"/>
        <v>69</v>
      </c>
      <c r="G2735" s="166" t="s">
        <v>4636</v>
      </c>
      <c r="H2735" s="171"/>
      <c r="I2735" s="171"/>
      <c r="J2735" s="171"/>
      <c r="K2735" s="171"/>
      <c r="L2735" s="166"/>
      <c r="M2735" s="166"/>
      <c r="N2735" s="166"/>
      <c r="O2735" s="166"/>
      <c r="P2735" s="166">
        <f t="shared" ca="1" si="194"/>
        <v>365</v>
      </c>
      <c r="Q2735" s="166" t="b">
        <v>0</v>
      </c>
    </row>
    <row r="2736" spans="1:17">
      <c r="A2736" s="166" t="b">
        <v>0</v>
      </c>
      <c r="B2736" s="166" t="s">
        <v>5046</v>
      </c>
      <c r="C2736" s="177">
        <v>61</v>
      </c>
      <c r="D2736" s="166">
        <f t="shared" si="191"/>
        <v>-114</v>
      </c>
      <c r="E2736" s="166">
        <f t="shared" si="192"/>
        <v>6</v>
      </c>
      <c r="F2736" s="166">
        <f t="shared" ca="1" si="193"/>
        <v>69</v>
      </c>
      <c r="G2736" s="166" t="s">
        <v>4636</v>
      </c>
      <c r="H2736" s="171"/>
      <c r="I2736" s="171"/>
      <c r="J2736" s="171"/>
      <c r="K2736" s="171"/>
      <c r="L2736" s="166"/>
      <c r="M2736" s="166"/>
      <c r="N2736" s="166"/>
      <c r="O2736" s="166"/>
      <c r="P2736" s="166">
        <f t="shared" ca="1" si="194"/>
        <v>366</v>
      </c>
      <c r="Q2736" s="166" t="b">
        <v>0</v>
      </c>
    </row>
    <row r="2737" spans="1:17">
      <c r="A2737" s="166" t="b">
        <v>0</v>
      </c>
      <c r="B2737" s="166" t="s">
        <v>5047</v>
      </c>
      <c r="C2737" s="177">
        <v>62</v>
      </c>
      <c r="D2737" s="166">
        <f t="shared" si="191"/>
        <v>-113</v>
      </c>
      <c r="E2737" s="166">
        <f t="shared" si="192"/>
        <v>1</v>
      </c>
      <c r="F2737" s="166">
        <f t="shared" ca="1" si="193"/>
        <v>70</v>
      </c>
      <c r="G2737" s="166" t="s">
        <v>4638</v>
      </c>
      <c r="H2737" s="171"/>
      <c r="I2737" s="171"/>
      <c r="J2737" s="171"/>
      <c r="K2737" s="171"/>
      <c r="L2737" s="166"/>
      <c r="M2737" s="166"/>
      <c r="N2737" s="166"/>
      <c r="O2737" s="166"/>
      <c r="P2737" s="166">
        <f t="shared" ca="1" si="194"/>
        <v>367</v>
      </c>
      <c r="Q2737" s="166" t="b">
        <v>0</v>
      </c>
    </row>
    <row r="2738" spans="1:17">
      <c r="A2738" s="166" t="b">
        <v>0</v>
      </c>
      <c r="B2738" s="166" t="s">
        <v>5048</v>
      </c>
      <c r="C2738" s="177">
        <v>62</v>
      </c>
      <c r="D2738" s="166">
        <f t="shared" si="191"/>
        <v>-112</v>
      </c>
      <c r="E2738" s="166">
        <f t="shared" si="192"/>
        <v>2</v>
      </c>
      <c r="F2738" s="166">
        <f t="shared" ca="1" si="193"/>
        <v>70</v>
      </c>
      <c r="G2738" s="166" t="s">
        <v>4638</v>
      </c>
      <c r="H2738" s="171"/>
      <c r="I2738" s="171"/>
      <c r="J2738" s="171"/>
      <c r="K2738" s="171"/>
      <c r="L2738" s="166"/>
      <c r="M2738" s="166"/>
      <c r="N2738" s="166"/>
      <c r="O2738" s="166"/>
      <c r="P2738" s="166">
        <f t="shared" ca="1" si="194"/>
        <v>368</v>
      </c>
      <c r="Q2738" s="166" t="b">
        <v>0</v>
      </c>
    </row>
    <row r="2739" spans="1:17">
      <c r="A2739" s="166" t="b">
        <v>0</v>
      </c>
      <c r="B2739" s="166" t="s">
        <v>5049</v>
      </c>
      <c r="C2739" s="177">
        <v>62</v>
      </c>
      <c r="D2739" s="166">
        <f t="shared" si="191"/>
        <v>-111</v>
      </c>
      <c r="E2739" s="166">
        <f t="shared" si="192"/>
        <v>3</v>
      </c>
      <c r="F2739" s="166">
        <f t="shared" ca="1" si="193"/>
        <v>70</v>
      </c>
      <c r="G2739" s="166" t="s">
        <v>4638</v>
      </c>
      <c r="H2739" s="171"/>
      <c r="I2739" s="171"/>
      <c r="J2739" s="171"/>
      <c r="K2739" s="171"/>
      <c r="L2739" s="166"/>
      <c r="M2739" s="166"/>
      <c r="N2739" s="166"/>
      <c r="O2739" s="166"/>
      <c r="P2739" s="166">
        <f t="shared" ca="1" si="194"/>
        <v>369</v>
      </c>
      <c r="Q2739" s="166" t="b">
        <v>0</v>
      </c>
    </row>
    <row r="2740" spans="1:17">
      <c r="A2740" s="166" t="b">
        <v>0</v>
      </c>
      <c r="B2740" s="166" t="s">
        <v>5050</v>
      </c>
      <c r="C2740" s="177">
        <v>62</v>
      </c>
      <c r="D2740" s="166">
        <f t="shared" si="191"/>
        <v>-110</v>
      </c>
      <c r="E2740" s="166">
        <f t="shared" si="192"/>
        <v>4</v>
      </c>
      <c r="F2740" s="166">
        <f t="shared" ca="1" si="193"/>
        <v>70</v>
      </c>
      <c r="G2740" s="166" t="s">
        <v>4638</v>
      </c>
      <c r="H2740" s="171"/>
      <c r="I2740" s="171"/>
      <c r="J2740" s="171"/>
      <c r="K2740" s="171"/>
      <c r="L2740" s="166"/>
      <c r="M2740" s="166"/>
      <c r="N2740" s="166"/>
      <c r="O2740" s="166"/>
      <c r="P2740" s="166">
        <f t="shared" ca="1" si="194"/>
        <v>370</v>
      </c>
      <c r="Q2740" s="166" t="b">
        <v>0</v>
      </c>
    </row>
    <row r="2741" spans="1:17">
      <c r="A2741" s="166" t="b">
        <v>0</v>
      </c>
      <c r="B2741" s="166" t="s">
        <v>5051</v>
      </c>
      <c r="C2741" s="177">
        <v>62</v>
      </c>
      <c r="D2741" s="166">
        <f t="shared" si="191"/>
        <v>-109</v>
      </c>
      <c r="E2741" s="166">
        <f t="shared" si="192"/>
        <v>5</v>
      </c>
      <c r="F2741" s="166">
        <f t="shared" ca="1" si="193"/>
        <v>70</v>
      </c>
      <c r="G2741" s="166" t="s">
        <v>4638</v>
      </c>
      <c r="H2741" s="171"/>
      <c r="I2741" s="171"/>
      <c r="J2741" s="171"/>
      <c r="K2741" s="171"/>
      <c r="L2741" s="166"/>
      <c r="M2741" s="166"/>
      <c r="N2741" s="166"/>
      <c r="O2741" s="166"/>
      <c r="P2741" s="166">
        <f t="shared" ca="1" si="194"/>
        <v>371</v>
      </c>
      <c r="Q2741" s="166" t="b">
        <v>0</v>
      </c>
    </row>
    <row r="2742" spans="1:17">
      <c r="A2742" s="166" t="b">
        <v>0</v>
      </c>
      <c r="B2742" s="166" t="s">
        <v>5052</v>
      </c>
      <c r="C2742" s="177">
        <v>62</v>
      </c>
      <c r="D2742" s="166">
        <f t="shared" si="191"/>
        <v>-108</v>
      </c>
      <c r="E2742" s="166">
        <f t="shared" si="192"/>
        <v>6</v>
      </c>
      <c r="F2742" s="166">
        <f t="shared" ca="1" si="193"/>
        <v>70</v>
      </c>
      <c r="G2742" s="166" t="s">
        <v>4638</v>
      </c>
      <c r="H2742" s="171"/>
      <c r="I2742" s="171"/>
      <c r="J2742" s="171"/>
      <c r="K2742" s="171"/>
      <c r="L2742" s="166"/>
      <c r="M2742" s="166"/>
      <c r="N2742" s="166"/>
      <c r="O2742" s="166"/>
      <c r="P2742" s="166">
        <f t="shared" ca="1" si="194"/>
        <v>372</v>
      </c>
      <c r="Q2742" s="166" t="b">
        <v>0</v>
      </c>
    </row>
    <row r="2743" spans="1:17">
      <c r="A2743" s="166" t="b">
        <v>0</v>
      </c>
      <c r="B2743" s="166" t="s">
        <v>5053</v>
      </c>
      <c r="C2743" s="177">
        <v>63</v>
      </c>
      <c r="D2743" s="166">
        <f t="shared" si="191"/>
        <v>-107</v>
      </c>
      <c r="E2743" s="166">
        <f t="shared" si="192"/>
        <v>1</v>
      </c>
      <c r="F2743" s="166">
        <f t="shared" ca="1" si="193"/>
        <v>71</v>
      </c>
      <c r="G2743" s="166" t="s">
        <v>4640</v>
      </c>
      <c r="H2743" s="171"/>
      <c r="I2743" s="171"/>
      <c r="J2743" s="171"/>
      <c r="K2743" s="171"/>
      <c r="L2743" s="166"/>
      <c r="M2743" s="166"/>
      <c r="N2743" s="166"/>
      <c r="O2743" s="166"/>
      <c r="P2743" s="166">
        <f t="shared" ca="1" si="194"/>
        <v>373</v>
      </c>
      <c r="Q2743" s="166" t="b">
        <v>0</v>
      </c>
    </row>
    <row r="2744" spans="1:17">
      <c r="A2744" s="166" t="b">
        <v>0</v>
      </c>
      <c r="B2744" s="166" t="s">
        <v>5054</v>
      </c>
      <c r="C2744" s="177">
        <v>63</v>
      </c>
      <c r="D2744" s="166">
        <f t="shared" si="191"/>
        <v>-106</v>
      </c>
      <c r="E2744" s="166">
        <f t="shared" si="192"/>
        <v>2</v>
      </c>
      <c r="F2744" s="166">
        <f t="shared" ca="1" si="193"/>
        <v>71</v>
      </c>
      <c r="G2744" s="166" t="s">
        <v>4640</v>
      </c>
      <c r="H2744" s="171"/>
      <c r="I2744" s="171"/>
      <c r="J2744" s="171"/>
      <c r="K2744" s="171"/>
      <c r="L2744" s="166"/>
      <c r="M2744" s="166"/>
      <c r="N2744" s="166"/>
      <c r="O2744" s="166"/>
      <c r="P2744" s="166">
        <f t="shared" ca="1" si="194"/>
        <v>374</v>
      </c>
      <c r="Q2744" s="166" t="b">
        <v>0</v>
      </c>
    </row>
    <row r="2745" spans="1:17">
      <c r="A2745" s="166" t="b">
        <v>0</v>
      </c>
      <c r="B2745" s="166" t="s">
        <v>5055</v>
      </c>
      <c r="C2745" s="177">
        <v>63</v>
      </c>
      <c r="D2745" s="166">
        <f t="shared" si="191"/>
        <v>-105</v>
      </c>
      <c r="E2745" s="166">
        <f t="shared" si="192"/>
        <v>3</v>
      </c>
      <c r="F2745" s="166">
        <f t="shared" ca="1" si="193"/>
        <v>71</v>
      </c>
      <c r="G2745" s="166" t="s">
        <v>4640</v>
      </c>
      <c r="H2745" s="171"/>
      <c r="I2745" s="171"/>
      <c r="J2745" s="171"/>
      <c r="K2745" s="171"/>
      <c r="L2745" s="166"/>
      <c r="M2745" s="166"/>
      <c r="N2745" s="166"/>
      <c r="O2745" s="166"/>
      <c r="P2745" s="166">
        <f t="shared" ca="1" si="194"/>
        <v>375</v>
      </c>
      <c r="Q2745" s="166" t="b">
        <v>0</v>
      </c>
    </row>
    <row r="2746" spans="1:17">
      <c r="A2746" s="166" t="b">
        <v>0</v>
      </c>
      <c r="B2746" s="166" t="s">
        <v>5056</v>
      </c>
      <c r="C2746" s="177">
        <v>63</v>
      </c>
      <c r="D2746" s="166">
        <f t="shared" si="191"/>
        <v>-104</v>
      </c>
      <c r="E2746" s="166">
        <f t="shared" si="192"/>
        <v>4</v>
      </c>
      <c r="F2746" s="166">
        <f t="shared" ca="1" si="193"/>
        <v>71</v>
      </c>
      <c r="G2746" s="166" t="s">
        <v>4640</v>
      </c>
      <c r="H2746" s="171"/>
      <c r="I2746" s="171"/>
      <c r="J2746" s="171"/>
      <c r="K2746" s="171"/>
      <c r="L2746" s="166"/>
      <c r="M2746" s="166"/>
      <c r="N2746" s="166"/>
      <c r="O2746" s="166"/>
      <c r="P2746" s="166">
        <f t="shared" ca="1" si="194"/>
        <v>376</v>
      </c>
      <c r="Q2746" s="166" t="b">
        <v>0</v>
      </c>
    </row>
    <row r="2747" spans="1:17">
      <c r="A2747" s="166" t="b">
        <v>0</v>
      </c>
      <c r="B2747" s="166" t="s">
        <v>5057</v>
      </c>
      <c r="C2747" s="177">
        <v>63</v>
      </c>
      <c r="D2747" s="166">
        <f t="shared" si="191"/>
        <v>-103</v>
      </c>
      <c r="E2747" s="166">
        <f t="shared" si="192"/>
        <v>5</v>
      </c>
      <c r="F2747" s="166">
        <f t="shared" ca="1" si="193"/>
        <v>71</v>
      </c>
      <c r="G2747" s="166" t="s">
        <v>4640</v>
      </c>
      <c r="H2747" s="171"/>
      <c r="I2747" s="171"/>
      <c r="J2747" s="171"/>
      <c r="K2747" s="171"/>
      <c r="L2747" s="166"/>
      <c r="M2747" s="166"/>
      <c r="N2747" s="166"/>
      <c r="O2747" s="166"/>
      <c r="P2747" s="166">
        <f t="shared" ca="1" si="194"/>
        <v>377</v>
      </c>
      <c r="Q2747" s="166" t="b">
        <v>0</v>
      </c>
    </row>
    <row r="2748" spans="1:17">
      <c r="A2748" s="166" t="b">
        <v>0</v>
      </c>
      <c r="B2748" s="166" t="s">
        <v>5058</v>
      </c>
      <c r="C2748" s="177">
        <v>63</v>
      </c>
      <c r="D2748" s="166">
        <f t="shared" si="191"/>
        <v>-102</v>
      </c>
      <c r="E2748" s="166">
        <f t="shared" si="192"/>
        <v>6</v>
      </c>
      <c r="F2748" s="166">
        <f t="shared" ca="1" si="193"/>
        <v>71</v>
      </c>
      <c r="G2748" s="166" t="s">
        <v>4640</v>
      </c>
      <c r="H2748" s="171"/>
      <c r="I2748" s="171"/>
      <c r="J2748" s="171"/>
      <c r="K2748" s="171"/>
      <c r="L2748" s="166"/>
      <c r="M2748" s="166"/>
      <c r="N2748" s="166"/>
      <c r="O2748" s="166"/>
      <c r="P2748" s="166">
        <f t="shared" ca="1" si="194"/>
        <v>378</v>
      </c>
      <c r="Q2748" s="166" t="b">
        <v>0</v>
      </c>
    </row>
    <row r="2749" spans="1:17">
      <c r="A2749" s="166" t="b">
        <v>0</v>
      </c>
      <c r="B2749" s="166" t="s">
        <v>5059</v>
      </c>
      <c r="C2749" s="177">
        <v>64</v>
      </c>
      <c r="D2749" s="166">
        <f t="shared" si="191"/>
        <v>-101</v>
      </c>
      <c r="E2749" s="166">
        <f t="shared" si="192"/>
        <v>1</v>
      </c>
      <c r="F2749" s="166">
        <f t="shared" ca="1" si="193"/>
        <v>72</v>
      </c>
      <c r="G2749" s="166" t="s">
        <v>4642</v>
      </c>
      <c r="H2749" s="171"/>
      <c r="I2749" s="171"/>
      <c r="J2749" s="171"/>
      <c r="K2749" s="171"/>
      <c r="L2749" s="166"/>
      <c r="M2749" s="166"/>
      <c r="N2749" s="166"/>
      <c r="O2749" s="166"/>
      <c r="P2749" s="166">
        <f t="shared" ca="1" si="194"/>
        <v>379</v>
      </c>
      <c r="Q2749" s="166" t="b">
        <v>0</v>
      </c>
    </row>
    <row r="2750" spans="1:17">
      <c r="A2750" s="166" t="b">
        <v>0</v>
      </c>
      <c r="B2750" s="166" t="s">
        <v>5060</v>
      </c>
      <c r="C2750" s="177">
        <v>64</v>
      </c>
      <c r="D2750" s="166">
        <f t="shared" si="191"/>
        <v>-100</v>
      </c>
      <c r="E2750" s="166">
        <f t="shared" si="192"/>
        <v>2</v>
      </c>
      <c r="F2750" s="166">
        <f t="shared" ca="1" si="193"/>
        <v>72</v>
      </c>
      <c r="G2750" s="166" t="s">
        <v>4642</v>
      </c>
      <c r="H2750" s="171"/>
      <c r="I2750" s="171"/>
      <c r="J2750" s="171"/>
      <c r="K2750" s="171"/>
      <c r="L2750" s="166"/>
      <c r="M2750" s="166"/>
      <c r="N2750" s="166"/>
      <c r="O2750" s="166"/>
      <c r="P2750" s="166">
        <f t="shared" ca="1" si="194"/>
        <v>380</v>
      </c>
      <c r="Q2750" s="166" t="b">
        <v>0</v>
      </c>
    </row>
    <row r="2751" spans="1:17">
      <c r="A2751" s="166" t="b">
        <v>0</v>
      </c>
      <c r="B2751" s="166" t="s">
        <v>5061</v>
      </c>
      <c r="C2751" s="177">
        <v>64</v>
      </c>
      <c r="D2751" s="166">
        <f t="shared" si="191"/>
        <v>-99</v>
      </c>
      <c r="E2751" s="166">
        <f t="shared" si="192"/>
        <v>3</v>
      </c>
      <c r="F2751" s="166">
        <f t="shared" ca="1" si="193"/>
        <v>72</v>
      </c>
      <c r="G2751" s="166" t="s">
        <v>4642</v>
      </c>
      <c r="H2751" s="171"/>
      <c r="I2751" s="171"/>
      <c r="J2751" s="171"/>
      <c r="K2751" s="171"/>
      <c r="L2751" s="166"/>
      <c r="M2751" s="166"/>
      <c r="N2751" s="166"/>
      <c r="O2751" s="166"/>
      <c r="P2751" s="166">
        <f t="shared" ca="1" si="194"/>
        <v>381</v>
      </c>
      <c r="Q2751" s="166" t="b">
        <v>0</v>
      </c>
    </row>
    <row r="2752" spans="1:17">
      <c r="A2752" s="166" t="b">
        <v>0</v>
      </c>
      <c r="B2752" s="166" t="s">
        <v>5062</v>
      </c>
      <c r="C2752" s="177">
        <v>64</v>
      </c>
      <c r="D2752" s="166">
        <f t="shared" si="191"/>
        <v>-98</v>
      </c>
      <c r="E2752" s="166">
        <f t="shared" si="192"/>
        <v>4</v>
      </c>
      <c r="F2752" s="166">
        <f t="shared" ca="1" si="193"/>
        <v>72</v>
      </c>
      <c r="G2752" s="166" t="s">
        <v>4642</v>
      </c>
      <c r="H2752" s="171"/>
      <c r="I2752" s="171"/>
      <c r="J2752" s="171"/>
      <c r="K2752" s="171"/>
      <c r="L2752" s="166"/>
      <c r="M2752" s="166"/>
      <c r="N2752" s="166"/>
      <c r="O2752" s="166"/>
      <c r="P2752" s="166">
        <f t="shared" ca="1" si="194"/>
        <v>382</v>
      </c>
      <c r="Q2752" s="166" t="b">
        <v>0</v>
      </c>
    </row>
    <row r="2753" spans="1:17">
      <c r="A2753" s="166" t="b">
        <v>0</v>
      </c>
      <c r="B2753" s="166" t="s">
        <v>5063</v>
      </c>
      <c r="C2753" s="177">
        <v>64</v>
      </c>
      <c r="D2753" s="166">
        <f t="shared" si="191"/>
        <v>-97</v>
      </c>
      <c r="E2753" s="166">
        <f t="shared" si="192"/>
        <v>5</v>
      </c>
      <c r="F2753" s="166">
        <f t="shared" ca="1" si="193"/>
        <v>72</v>
      </c>
      <c r="G2753" s="166" t="s">
        <v>4642</v>
      </c>
      <c r="H2753" s="171"/>
      <c r="I2753" s="171"/>
      <c r="J2753" s="171"/>
      <c r="K2753" s="171"/>
      <c r="L2753" s="166"/>
      <c r="M2753" s="166"/>
      <c r="N2753" s="166"/>
      <c r="O2753" s="166"/>
      <c r="P2753" s="166">
        <f t="shared" ca="1" si="194"/>
        <v>383</v>
      </c>
      <c r="Q2753" s="166" t="b">
        <v>0</v>
      </c>
    </row>
    <row r="2754" spans="1:17">
      <c r="A2754" s="166" t="b">
        <v>0</v>
      </c>
      <c r="B2754" s="166" t="s">
        <v>5064</v>
      </c>
      <c r="C2754" s="177">
        <v>64</v>
      </c>
      <c r="D2754" s="166">
        <f t="shared" si="191"/>
        <v>-96</v>
      </c>
      <c r="E2754" s="166">
        <f t="shared" si="192"/>
        <v>6</v>
      </c>
      <c r="F2754" s="166">
        <f t="shared" ca="1" si="193"/>
        <v>72</v>
      </c>
      <c r="G2754" s="166" t="s">
        <v>4642</v>
      </c>
      <c r="H2754" s="171"/>
      <c r="I2754" s="171"/>
      <c r="J2754" s="171"/>
      <c r="K2754" s="171"/>
      <c r="L2754" s="166"/>
      <c r="M2754" s="166"/>
      <c r="N2754" s="166"/>
      <c r="O2754" s="166"/>
      <c r="P2754" s="166">
        <f t="shared" ca="1" si="194"/>
        <v>384</v>
      </c>
      <c r="Q2754" s="166" t="b">
        <v>0</v>
      </c>
    </row>
    <row r="2755" spans="1:17">
      <c r="A2755" s="166" t="b">
        <v>0</v>
      </c>
      <c r="B2755" s="166" t="s">
        <v>5065</v>
      </c>
      <c r="C2755" s="177">
        <v>65</v>
      </c>
      <c r="D2755" s="166">
        <f t="shared" ref="D2755:D2818" si="195">D2754+1</f>
        <v>-95</v>
      </c>
      <c r="E2755" s="166">
        <f t="shared" ref="E2755:E2818" si="196">COUNTIF(C2585:C2755,C2755)</f>
        <v>1</v>
      </c>
      <c r="F2755" s="166">
        <f t="shared" ref="F2755:F2818" ca="1" si="197">IF(C2755=1,9,IF(E2754=MAX(E2753:E2755),F2753+1,F2754))</f>
        <v>73</v>
      </c>
      <c r="G2755" s="166" t="s">
        <v>4644</v>
      </c>
      <c r="H2755" s="171"/>
      <c r="I2755" s="171"/>
      <c r="J2755" s="171"/>
      <c r="K2755" s="171"/>
      <c r="L2755" s="166"/>
      <c r="M2755" s="166"/>
      <c r="N2755" s="166"/>
      <c r="O2755" s="166"/>
      <c r="P2755" s="166">
        <f t="shared" ref="P2755:P2818" ca="1" si="198">IF(NOT(_xlfn.ISFORMULA(I2755)),P2754+1,0)</f>
        <v>385</v>
      </c>
      <c r="Q2755" s="166" t="b">
        <v>0</v>
      </c>
    </row>
    <row r="2756" spans="1:17">
      <c r="A2756" s="166" t="b">
        <v>0</v>
      </c>
      <c r="B2756" s="166" t="s">
        <v>5066</v>
      </c>
      <c r="C2756" s="177">
        <v>65</v>
      </c>
      <c r="D2756" s="166">
        <f t="shared" si="195"/>
        <v>-94</v>
      </c>
      <c r="E2756" s="166">
        <f t="shared" si="196"/>
        <v>2</v>
      </c>
      <c r="F2756" s="166">
        <f t="shared" ca="1" si="197"/>
        <v>73</v>
      </c>
      <c r="G2756" s="166" t="s">
        <v>4644</v>
      </c>
      <c r="H2756" s="171"/>
      <c r="I2756" s="171"/>
      <c r="J2756" s="171"/>
      <c r="K2756" s="171"/>
      <c r="L2756" s="166"/>
      <c r="M2756" s="166"/>
      <c r="N2756" s="166"/>
      <c r="O2756" s="166"/>
      <c r="P2756" s="166">
        <f t="shared" ca="1" si="198"/>
        <v>386</v>
      </c>
      <c r="Q2756" s="166" t="b">
        <v>0</v>
      </c>
    </row>
    <row r="2757" spans="1:17">
      <c r="A2757" s="166" t="b">
        <v>0</v>
      </c>
      <c r="B2757" s="166" t="s">
        <v>5067</v>
      </c>
      <c r="C2757" s="177">
        <v>65</v>
      </c>
      <c r="D2757" s="166">
        <f t="shared" si="195"/>
        <v>-93</v>
      </c>
      <c r="E2757" s="166">
        <f t="shared" si="196"/>
        <v>3</v>
      </c>
      <c r="F2757" s="166">
        <f t="shared" ca="1" si="197"/>
        <v>73</v>
      </c>
      <c r="G2757" s="166" t="s">
        <v>4644</v>
      </c>
      <c r="H2757" s="171"/>
      <c r="I2757" s="171"/>
      <c r="J2757" s="171"/>
      <c r="K2757" s="171"/>
      <c r="L2757" s="166"/>
      <c r="M2757" s="166"/>
      <c r="N2757" s="166"/>
      <c r="O2757" s="166"/>
      <c r="P2757" s="166">
        <f t="shared" ca="1" si="198"/>
        <v>387</v>
      </c>
      <c r="Q2757" s="166" t="b">
        <v>0</v>
      </c>
    </row>
    <row r="2758" spans="1:17">
      <c r="A2758" s="166" t="b">
        <v>0</v>
      </c>
      <c r="B2758" s="166" t="s">
        <v>5068</v>
      </c>
      <c r="C2758" s="177">
        <v>65</v>
      </c>
      <c r="D2758" s="166">
        <f t="shared" si="195"/>
        <v>-92</v>
      </c>
      <c r="E2758" s="166">
        <f t="shared" si="196"/>
        <v>4</v>
      </c>
      <c r="F2758" s="166">
        <f t="shared" ca="1" si="197"/>
        <v>73</v>
      </c>
      <c r="G2758" s="166" t="s">
        <v>4644</v>
      </c>
      <c r="H2758" s="171"/>
      <c r="I2758" s="171"/>
      <c r="J2758" s="171"/>
      <c r="K2758" s="171"/>
      <c r="L2758" s="166"/>
      <c r="M2758" s="166"/>
      <c r="N2758" s="166"/>
      <c r="O2758" s="166"/>
      <c r="P2758" s="166">
        <f t="shared" ca="1" si="198"/>
        <v>388</v>
      </c>
      <c r="Q2758" s="166" t="b">
        <v>0</v>
      </c>
    </row>
    <row r="2759" spans="1:17">
      <c r="A2759" s="166" t="b">
        <v>0</v>
      </c>
      <c r="B2759" s="166" t="s">
        <v>5069</v>
      </c>
      <c r="C2759" s="177">
        <v>65</v>
      </c>
      <c r="D2759" s="166">
        <f t="shared" si="195"/>
        <v>-91</v>
      </c>
      <c r="E2759" s="166">
        <f t="shared" si="196"/>
        <v>5</v>
      </c>
      <c r="F2759" s="166">
        <f t="shared" ca="1" si="197"/>
        <v>73</v>
      </c>
      <c r="G2759" s="166" t="s">
        <v>4644</v>
      </c>
      <c r="H2759" s="171"/>
      <c r="I2759" s="171"/>
      <c r="J2759" s="171"/>
      <c r="K2759" s="171"/>
      <c r="L2759" s="166"/>
      <c r="M2759" s="166"/>
      <c r="N2759" s="166"/>
      <c r="O2759" s="166"/>
      <c r="P2759" s="166">
        <f t="shared" ca="1" si="198"/>
        <v>389</v>
      </c>
      <c r="Q2759" s="166" t="b">
        <v>0</v>
      </c>
    </row>
    <row r="2760" spans="1:17">
      <c r="A2760" s="166" t="b">
        <v>0</v>
      </c>
      <c r="B2760" s="166" t="s">
        <v>5070</v>
      </c>
      <c r="C2760" s="177">
        <v>65</v>
      </c>
      <c r="D2760" s="166">
        <f t="shared" si="195"/>
        <v>-90</v>
      </c>
      <c r="E2760" s="166">
        <f t="shared" si="196"/>
        <v>6</v>
      </c>
      <c r="F2760" s="166">
        <f t="shared" ca="1" si="197"/>
        <v>73</v>
      </c>
      <c r="G2760" s="166" t="s">
        <v>4644</v>
      </c>
      <c r="H2760" s="171"/>
      <c r="I2760" s="171"/>
      <c r="J2760" s="171"/>
      <c r="K2760" s="171"/>
      <c r="L2760" s="166"/>
      <c r="M2760" s="166"/>
      <c r="N2760" s="166"/>
      <c r="O2760" s="166"/>
      <c r="P2760" s="166">
        <f t="shared" ca="1" si="198"/>
        <v>390</v>
      </c>
      <c r="Q2760" s="166" t="b">
        <v>0</v>
      </c>
    </row>
    <row r="2761" spans="1:17">
      <c r="A2761" s="166" t="b">
        <v>0</v>
      </c>
      <c r="B2761" s="166" t="s">
        <v>5071</v>
      </c>
      <c r="C2761" s="177">
        <v>66</v>
      </c>
      <c r="D2761" s="166">
        <f t="shared" si="195"/>
        <v>-89</v>
      </c>
      <c r="E2761" s="166">
        <f t="shared" si="196"/>
        <v>1</v>
      </c>
      <c r="F2761" s="166">
        <f t="shared" ca="1" si="197"/>
        <v>74</v>
      </c>
      <c r="G2761" s="166" t="s">
        <v>4646</v>
      </c>
      <c r="H2761" s="171"/>
      <c r="I2761" s="171"/>
      <c r="J2761" s="171"/>
      <c r="K2761" s="171"/>
      <c r="L2761" s="166"/>
      <c r="M2761" s="166"/>
      <c r="N2761" s="166"/>
      <c r="O2761" s="166"/>
      <c r="P2761" s="166">
        <f t="shared" ca="1" si="198"/>
        <v>391</v>
      </c>
      <c r="Q2761" s="166" t="b">
        <v>0</v>
      </c>
    </row>
    <row r="2762" spans="1:17">
      <c r="A2762" s="166" t="b">
        <v>0</v>
      </c>
      <c r="B2762" s="166" t="s">
        <v>5072</v>
      </c>
      <c r="C2762" s="177">
        <v>66</v>
      </c>
      <c r="D2762" s="166">
        <f t="shared" si="195"/>
        <v>-88</v>
      </c>
      <c r="E2762" s="166">
        <f t="shared" si="196"/>
        <v>2</v>
      </c>
      <c r="F2762" s="166">
        <f t="shared" ca="1" si="197"/>
        <v>74</v>
      </c>
      <c r="G2762" s="166" t="s">
        <v>4646</v>
      </c>
      <c r="H2762" s="171"/>
      <c r="I2762" s="171"/>
      <c r="J2762" s="171"/>
      <c r="K2762" s="171"/>
      <c r="L2762" s="166"/>
      <c r="M2762" s="166"/>
      <c r="N2762" s="166"/>
      <c r="O2762" s="166"/>
      <c r="P2762" s="166">
        <f t="shared" ca="1" si="198"/>
        <v>392</v>
      </c>
      <c r="Q2762" s="166" t="b">
        <v>0</v>
      </c>
    </row>
    <row r="2763" spans="1:17">
      <c r="A2763" s="166" t="b">
        <v>0</v>
      </c>
      <c r="B2763" s="166" t="s">
        <v>5073</v>
      </c>
      <c r="C2763" s="177">
        <v>66</v>
      </c>
      <c r="D2763" s="166">
        <f t="shared" si="195"/>
        <v>-87</v>
      </c>
      <c r="E2763" s="166">
        <f t="shared" si="196"/>
        <v>3</v>
      </c>
      <c r="F2763" s="166">
        <f t="shared" ca="1" si="197"/>
        <v>74</v>
      </c>
      <c r="G2763" s="166" t="s">
        <v>4646</v>
      </c>
      <c r="H2763" s="171"/>
      <c r="I2763" s="171"/>
      <c r="J2763" s="171"/>
      <c r="K2763" s="171"/>
      <c r="L2763" s="166"/>
      <c r="M2763" s="166"/>
      <c r="N2763" s="166"/>
      <c r="O2763" s="166"/>
      <c r="P2763" s="166">
        <f t="shared" ca="1" si="198"/>
        <v>393</v>
      </c>
      <c r="Q2763" s="166" t="b">
        <v>0</v>
      </c>
    </row>
    <row r="2764" spans="1:17">
      <c r="A2764" s="166" t="b">
        <v>0</v>
      </c>
      <c r="B2764" s="166" t="s">
        <v>5074</v>
      </c>
      <c r="C2764" s="177">
        <v>66</v>
      </c>
      <c r="D2764" s="166">
        <f t="shared" si="195"/>
        <v>-86</v>
      </c>
      <c r="E2764" s="166">
        <f t="shared" si="196"/>
        <v>4</v>
      </c>
      <c r="F2764" s="166">
        <f t="shared" ca="1" si="197"/>
        <v>74</v>
      </c>
      <c r="G2764" s="166" t="s">
        <v>4646</v>
      </c>
      <c r="H2764" s="171"/>
      <c r="I2764" s="171"/>
      <c r="J2764" s="171"/>
      <c r="K2764" s="171"/>
      <c r="L2764" s="166"/>
      <c r="M2764" s="166"/>
      <c r="N2764" s="166"/>
      <c r="O2764" s="166"/>
      <c r="P2764" s="166">
        <f t="shared" ca="1" si="198"/>
        <v>394</v>
      </c>
      <c r="Q2764" s="166" t="b">
        <v>0</v>
      </c>
    </row>
    <row r="2765" spans="1:17">
      <c r="A2765" s="166" t="b">
        <v>0</v>
      </c>
      <c r="B2765" s="166" t="s">
        <v>5075</v>
      </c>
      <c r="C2765" s="177">
        <v>66</v>
      </c>
      <c r="D2765" s="166">
        <f t="shared" si="195"/>
        <v>-85</v>
      </c>
      <c r="E2765" s="166">
        <f t="shared" si="196"/>
        <v>5</v>
      </c>
      <c r="F2765" s="166">
        <f t="shared" ca="1" si="197"/>
        <v>74</v>
      </c>
      <c r="G2765" s="166" t="s">
        <v>4646</v>
      </c>
      <c r="H2765" s="171"/>
      <c r="I2765" s="171"/>
      <c r="J2765" s="171"/>
      <c r="K2765" s="171"/>
      <c r="L2765" s="166"/>
      <c r="M2765" s="166"/>
      <c r="N2765" s="166"/>
      <c r="O2765" s="166"/>
      <c r="P2765" s="166">
        <f t="shared" ca="1" si="198"/>
        <v>395</v>
      </c>
      <c r="Q2765" s="166" t="b">
        <v>0</v>
      </c>
    </row>
    <row r="2766" spans="1:17">
      <c r="A2766" s="166" t="b">
        <v>0</v>
      </c>
      <c r="B2766" s="166" t="s">
        <v>5076</v>
      </c>
      <c r="C2766" s="177">
        <v>66</v>
      </c>
      <c r="D2766" s="166">
        <f t="shared" si="195"/>
        <v>-84</v>
      </c>
      <c r="E2766" s="166">
        <f t="shared" si="196"/>
        <v>6</v>
      </c>
      <c r="F2766" s="166">
        <f t="shared" ca="1" si="197"/>
        <v>74</v>
      </c>
      <c r="G2766" s="166" t="s">
        <v>4646</v>
      </c>
      <c r="H2766" s="171"/>
      <c r="I2766" s="171"/>
      <c r="J2766" s="171"/>
      <c r="K2766" s="171"/>
      <c r="L2766" s="166"/>
      <c r="M2766" s="166"/>
      <c r="N2766" s="166"/>
      <c r="O2766" s="166"/>
      <c r="P2766" s="166">
        <f t="shared" ca="1" si="198"/>
        <v>396</v>
      </c>
      <c r="Q2766" s="166" t="b">
        <v>0</v>
      </c>
    </row>
    <row r="2767" spans="1:17">
      <c r="A2767" s="166" t="b">
        <v>0</v>
      </c>
      <c r="B2767" s="166" t="s">
        <v>5077</v>
      </c>
      <c r="C2767" s="177">
        <v>67</v>
      </c>
      <c r="D2767" s="166">
        <f t="shared" si="195"/>
        <v>-83</v>
      </c>
      <c r="E2767" s="166">
        <f t="shared" si="196"/>
        <v>1</v>
      </c>
      <c r="F2767" s="166">
        <f t="shared" ca="1" si="197"/>
        <v>75</v>
      </c>
      <c r="G2767" s="166" t="s">
        <v>4648</v>
      </c>
      <c r="H2767" s="171"/>
      <c r="I2767" s="171"/>
      <c r="J2767" s="171"/>
      <c r="K2767" s="171"/>
      <c r="L2767" s="166"/>
      <c r="M2767" s="166"/>
      <c r="N2767" s="166"/>
      <c r="O2767" s="166"/>
      <c r="P2767" s="166">
        <f t="shared" ca="1" si="198"/>
        <v>397</v>
      </c>
      <c r="Q2767" s="166" t="b">
        <v>0</v>
      </c>
    </row>
    <row r="2768" spans="1:17">
      <c r="A2768" s="166" t="b">
        <v>0</v>
      </c>
      <c r="B2768" s="166" t="s">
        <v>5078</v>
      </c>
      <c r="C2768" s="177">
        <v>67</v>
      </c>
      <c r="D2768" s="166">
        <f t="shared" si="195"/>
        <v>-82</v>
      </c>
      <c r="E2768" s="166">
        <f t="shared" si="196"/>
        <v>2</v>
      </c>
      <c r="F2768" s="166">
        <f t="shared" ca="1" si="197"/>
        <v>75</v>
      </c>
      <c r="G2768" s="166" t="s">
        <v>4648</v>
      </c>
      <c r="H2768" s="171"/>
      <c r="I2768" s="171"/>
      <c r="J2768" s="171"/>
      <c r="K2768" s="171"/>
      <c r="L2768" s="166"/>
      <c r="M2768" s="166"/>
      <c r="N2768" s="166"/>
      <c r="O2768" s="166"/>
      <c r="P2768" s="166">
        <f t="shared" ca="1" si="198"/>
        <v>398</v>
      </c>
      <c r="Q2768" s="166" t="b">
        <v>0</v>
      </c>
    </row>
    <row r="2769" spans="1:17">
      <c r="A2769" s="166" t="b">
        <v>0</v>
      </c>
      <c r="B2769" s="166" t="s">
        <v>5079</v>
      </c>
      <c r="C2769" s="177">
        <v>67</v>
      </c>
      <c r="D2769" s="166">
        <f t="shared" si="195"/>
        <v>-81</v>
      </c>
      <c r="E2769" s="166">
        <f t="shared" si="196"/>
        <v>3</v>
      </c>
      <c r="F2769" s="166">
        <f t="shared" ca="1" si="197"/>
        <v>75</v>
      </c>
      <c r="G2769" s="166" t="s">
        <v>4648</v>
      </c>
      <c r="H2769" s="171"/>
      <c r="I2769" s="171"/>
      <c r="J2769" s="171"/>
      <c r="K2769" s="171"/>
      <c r="L2769" s="166"/>
      <c r="M2769" s="166"/>
      <c r="N2769" s="166"/>
      <c r="O2769" s="166"/>
      <c r="P2769" s="166">
        <f t="shared" ca="1" si="198"/>
        <v>399</v>
      </c>
      <c r="Q2769" s="166" t="b">
        <v>0</v>
      </c>
    </row>
    <row r="2770" spans="1:17">
      <c r="A2770" s="166" t="b">
        <v>0</v>
      </c>
      <c r="B2770" s="166" t="s">
        <v>5080</v>
      </c>
      <c r="C2770" s="177">
        <v>67</v>
      </c>
      <c r="D2770" s="166">
        <f t="shared" si="195"/>
        <v>-80</v>
      </c>
      <c r="E2770" s="166">
        <f t="shared" si="196"/>
        <v>4</v>
      </c>
      <c r="F2770" s="166">
        <f t="shared" ca="1" si="197"/>
        <v>75</v>
      </c>
      <c r="G2770" s="166" t="s">
        <v>4648</v>
      </c>
      <c r="H2770" s="171"/>
      <c r="I2770" s="171"/>
      <c r="J2770" s="171"/>
      <c r="K2770" s="171"/>
      <c r="L2770" s="166"/>
      <c r="M2770" s="166"/>
      <c r="N2770" s="166"/>
      <c r="O2770" s="166"/>
      <c r="P2770" s="166">
        <f t="shared" ca="1" si="198"/>
        <v>400</v>
      </c>
      <c r="Q2770" s="166" t="b">
        <v>0</v>
      </c>
    </row>
    <row r="2771" spans="1:17">
      <c r="A2771" s="166" t="b">
        <v>0</v>
      </c>
      <c r="B2771" s="166" t="s">
        <v>5081</v>
      </c>
      <c r="C2771" s="177">
        <v>67</v>
      </c>
      <c r="D2771" s="166">
        <f t="shared" si="195"/>
        <v>-79</v>
      </c>
      <c r="E2771" s="166">
        <f t="shared" si="196"/>
        <v>5</v>
      </c>
      <c r="F2771" s="166">
        <f t="shared" ca="1" si="197"/>
        <v>75</v>
      </c>
      <c r="G2771" s="166" t="s">
        <v>4648</v>
      </c>
      <c r="H2771" s="171"/>
      <c r="I2771" s="171"/>
      <c r="J2771" s="171"/>
      <c r="K2771" s="171"/>
      <c r="L2771" s="166"/>
      <c r="M2771" s="166"/>
      <c r="N2771" s="166"/>
      <c r="O2771" s="166"/>
      <c r="P2771" s="166">
        <f t="shared" ca="1" si="198"/>
        <v>401</v>
      </c>
      <c r="Q2771" s="166" t="b">
        <v>0</v>
      </c>
    </row>
    <row r="2772" spans="1:17">
      <c r="A2772" s="166" t="b">
        <v>0</v>
      </c>
      <c r="B2772" s="166" t="s">
        <v>5082</v>
      </c>
      <c r="C2772" s="177">
        <v>67</v>
      </c>
      <c r="D2772" s="166">
        <f t="shared" si="195"/>
        <v>-78</v>
      </c>
      <c r="E2772" s="166">
        <f t="shared" si="196"/>
        <v>6</v>
      </c>
      <c r="F2772" s="166">
        <f t="shared" ca="1" si="197"/>
        <v>75</v>
      </c>
      <c r="G2772" s="166" t="s">
        <v>4648</v>
      </c>
      <c r="H2772" s="171"/>
      <c r="I2772" s="171"/>
      <c r="J2772" s="171"/>
      <c r="K2772" s="171"/>
      <c r="L2772" s="166"/>
      <c r="M2772" s="166"/>
      <c r="N2772" s="166"/>
      <c r="O2772" s="166"/>
      <c r="P2772" s="166">
        <f t="shared" ca="1" si="198"/>
        <v>402</v>
      </c>
      <c r="Q2772" s="166" t="b">
        <v>0</v>
      </c>
    </row>
    <row r="2773" spans="1:17">
      <c r="A2773" s="166" t="b">
        <v>0</v>
      </c>
      <c r="B2773" s="166" t="s">
        <v>5083</v>
      </c>
      <c r="C2773" s="177">
        <v>68</v>
      </c>
      <c r="D2773" s="166">
        <f t="shared" si="195"/>
        <v>-77</v>
      </c>
      <c r="E2773" s="166">
        <f t="shared" si="196"/>
        <v>1</v>
      </c>
      <c r="F2773" s="166">
        <f t="shared" ca="1" si="197"/>
        <v>76</v>
      </c>
      <c r="G2773" s="166" t="s">
        <v>4650</v>
      </c>
      <c r="H2773" s="171"/>
      <c r="I2773" s="171"/>
      <c r="J2773" s="171"/>
      <c r="K2773" s="171"/>
      <c r="L2773" s="166"/>
      <c r="M2773" s="166"/>
      <c r="N2773" s="166"/>
      <c r="O2773" s="166"/>
      <c r="P2773" s="166">
        <f t="shared" ca="1" si="198"/>
        <v>403</v>
      </c>
      <c r="Q2773" s="166" t="b">
        <v>0</v>
      </c>
    </row>
    <row r="2774" spans="1:17">
      <c r="A2774" s="166" t="b">
        <v>0</v>
      </c>
      <c r="B2774" s="166" t="s">
        <v>5084</v>
      </c>
      <c r="C2774" s="177">
        <v>68</v>
      </c>
      <c r="D2774" s="166">
        <f t="shared" si="195"/>
        <v>-76</v>
      </c>
      <c r="E2774" s="166">
        <f t="shared" si="196"/>
        <v>2</v>
      </c>
      <c r="F2774" s="166">
        <f t="shared" ca="1" si="197"/>
        <v>76</v>
      </c>
      <c r="G2774" s="166" t="s">
        <v>4650</v>
      </c>
      <c r="H2774" s="171"/>
      <c r="I2774" s="171"/>
      <c r="J2774" s="171"/>
      <c r="K2774" s="171"/>
      <c r="L2774" s="166"/>
      <c r="M2774" s="166"/>
      <c r="N2774" s="166"/>
      <c r="O2774" s="166"/>
      <c r="P2774" s="166">
        <f t="shared" ca="1" si="198"/>
        <v>404</v>
      </c>
      <c r="Q2774" s="166" t="b">
        <v>0</v>
      </c>
    </row>
    <row r="2775" spans="1:17">
      <c r="A2775" s="166" t="b">
        <v>0</v>
      </c>
      <c r="B2775" s="166" t="s">
        <v>5085</v>
      </c>
      <c r="C2775" s="177">
        <v>68</v>
      </c>
      <c r="D2775" s="166">
        <f t="shared" si="195"/>
        <v>-75</v>
      </c>
      <c r="E2775" s="166">
        <f t="shared" si="196"/>
        <v>3</v>
      </c>
      <c r="F2775" s="166">
        <f t="shared" ca="1" si="197"/>
        <v>76</v>
      </c>
      <c r="G2775" s="166" t="s">
        <v>4650</v>
      </c>
      <c r="H2775" s="171"/>
      <c r="I2775" s="171"/>
      <c r="J2775" s="171"/>
      <c r="K2775" s="171"/>
      <c r="L2775" s="166"/>
      <c r="M2775" s="166"/>
      <c r="N2775" s="166"/>
      <c r="O2775" s="166"/>
      <c r="P2775" s="166">
        <f t="shared" ca="1" si="198"/>
        <v>405</v>
      </c>
      <c r="Q2775" s="166" t="b">
        <v>0</v>
      </c>
    </row>
    <row r="2776" spans="1:17">
      <c r="A2776" s="166" t="b">
        <v>0</v>
      </c>
      <c r="B2776" s="166" t="s">
        <v>5086</v>
      </c>
      <c r="C2776" s="177">
        <v>68</v>
      </c>
      <c r="D2776" s="166">
        <f t="shared" si="195"/>
        <v>-74</v>
      </c>
      <c r="E2776" s="166">
        <f t="shared" si="196"/>
        <v>4</v>
      </c>
      <c r="F2776" s="166">
        <f t="shared" ca="1" si="197"/>
        <v>76</v>
      </c>
      <c r="G2776" s="166" t="s">
        <v>4650</v>
      </c>
      <c r="H2776" s="171"/>
      <c r="I2776" s="171"/>
      <c r="J2776" s="171"/>
      <c r="K2776" s="171"/>
      <c r="L2776" s="166"/>
      <c r="M2776" s="166"/>
      <c r="N2776" s="166"/>
      <c r="O2776" s="166"/>
      <c r="P2776" s="166">
        <f t="shared" ca="1" si="198"/>
        <v>406</v>
      </c>
      <c r="Q2776" s="166" t="b">
        <v>0</v>
      </c>
    </row>
    <row r="2777" spans="1:17">
      <c r="A2777" s="166" t="b">
        <v>0</v>
      </c>
      <c r="B2777" s="166" t="s">
        <v>5087</v>
      </c>
      <c r="C2777" s="177">
        <v>68</v>
      </c>
      <c r="D2777" s="166">
        <f t="shared" si="195"/>
        <v>-73</v>
      </c>
      <c r="E2777" s="166">
        <f t="shared" si="196"/>
        <v>5</v>
      </c>
      <c r="F2777" s="166">
        <f t="shared" ca="1" si="197"/>
        <v>76</v>
      </c>
      <c r="G2777" s="166" t="s">
        <v>4650</v>
      </c>
      <c r="H2777" s="171"/>
      <c r="I2777" s="171"/>
      <c r="J2777" s="171"/>
      <c r="K2777" s="171"/>
      <c r="L2777" s="166"/>
      <c r="M2777" s="166"/>
      <c r="N2777" s="166"/>
      <c r="O2777" s="166"/>
      <c r="P2777" s="166">
        <f t="shared" ca="1" si="198"/>
        <v>407</v>
      </c>
      <c r="Q2777" s="166" t="b">
        <v>0</v>
      </c>
    </row>
    <row r="2778" spans="1:17">
      <c r="A2778" s="166" t="b">
        <v>0</v>
      </c>
      <c r="B2778" s="166" t="s">
        <v>5088</v>
      </c>
      <c r="C2778" s="177">
        <v>68</v>
      </c>
      <c r="D2778" s="166">
        <f t="shared" si="195"/>
        <v>-72</v>
      </c>
      <c r="E2778" s="166">
        <f t="shared" si="196"/>
        <v>6</v>
      </c>
      <c r="F2778" s="166">
        <f t="shared" ca="1" si="197"/>
        <v>76</v>
      </c>
      <c r="G2778" s="166" t="s">
        <v>4650</v>
      </c>
      <c r="H2778" s="171"/>
      <c r="I2778" s="171"/>
      <c r="J2778" s="171"/>
      <c r="K2778" s="171"/>
      <c r="L2778" s="166"/>
      <c r="M2778" s="166"/>
      <c r="N2778" s="166"/>
      <c r="O2778" s="166"/>
      <c r="P2778" s="166">
        <f t="shared" ca="1" si="198"/>
        <v>408</v>
      </c>
      <c r="Q2778" s="166" t="b">
        <v>0</v>
      </c>
    </row>
    <row r="2779" spans="1:17">
      <c r="A2779" s="166" t="b">
        <v>0</v>
      </c>
      <c r="B2779" s="166" t="s">
        <v>5089</v>
      </c>
      <c r="C2779" s="177">
        <v>69</v>
      </c>
      <c r="D2779" s="166">
        <f t="shared" si="195"/>
        <v>-71</v>
      </c>
      <c r="E2779" s="166">
        <f t="shared" si="196"/>
        <v>1</v>
      </c>
      <c r="F2779" s="166">
        <f t="shared" ca="1" si="197"/>
        <v>77</v>
      </c>
      <c r="G2779" s="166" t="s">
        <v>4652</v>
      </c>
      <c r="H2779" s="171"/>
      <c r="I2779" s="171"/>
      <c r="J2779" s="171"/>
      <c r="K2779" s="171"/>
      <c r="L2779" s="166"/>
      <c r="M2779" s="166"/>
      <c r="N2779" s="166"/>
      <c r="O2779" s="166"/>
      <c r="P2779" s="166">
        <f t="shared" ca="1" si="198"/>
        <v>409</v>
      </c>
      <c r="Q2779" s="166" t="b">
        <v>0</v>
      </c>
    </row>
    <row r="2780" spans="1:17">
      <c r="A2780" s="166" t="b">
        <v>0</v>
      </c>
      <c r="B2780" s="166" t="s">
        <v>5090</v>
      </c>
      <c r="C2780" s="177">
        <v>69</v>
      </c>
      <c r="D2780" s="166">
        <f t="shared" si="195"/>
        <v>-70</v>
      </c>
      <c r="E2780" s="166">
        <f t="shared" si="196"/>
        <v>2</v>
      </c>
      <c r="F2780" s="166">
        <f t="shared" ca="1" si="197"/>
        <v>77</v>
      </c>
      <c r="G2780" s="166" t="s">
        <v>4652</v>
      </c>
      <c r="H2780" s="171"/>
      <c r="I2780" s="171"/>
      <c r="J2780" s="171"/>
      <c r="K2780" s="171"/>
      <c r="L2780" s="166"/>
      <c r="M2780" s="166"/>
      <c r="N2780" s="166"/>
      <c r="O2780" s="166"/>
      <c r="P2780" s="166">
        <f t="shared" ca="1" si="198"/>
        <v>410</v>
      </c>
      <c r="Q2780" s="166" t="b">
        <v>0</v>
      </c>
    </row>
    <row r="2781" spans="1:17">
      <c r="A2781" s="166" t="b">
        <v>0</v>
      </c>
      <c r="B2781" s="166" t="s">
        <v>5091</v>
      </c>
      <c r="C2781" s="177">
        <v>69</v>
      </c>
      <c r="D2781" s="166">
        <f t="shared" si="195"/>
        <v>-69</v>
      </c>
      <c r="E2781" s="166">
        <f t="shared" si="196"/>
        <v>3</v>
      </c>
      <c r="F2781" s="166">
        <f t="shared" ca="1" si="197"/>
        <v>77</v>
      </c>
      <c r="G2781" s="166" t="s">
        <v>4652</v>
      </c>
      <c r="H2781" s="171"/>
      <c r="I2781" s="171"/>
      <c r="J2781" s="171"/>
      <c r="K2781" s="171"/>
      <c r="L2781" s="166"/>
      <c r="M2781" s="166"/>
      <c r="N2781" s="166"/>
      <c r="O2781" s="166"/>
      <c r="P2781" s="166">
        <f t="shared" ca="1" si="198"/>
        <v>411</v>
      </c>
      <c r="Q2781" s="166" t="b">
        <v>0</v>
      </c>
    </row>
    <row r="2782" spans="1:17">
      <c r="A2782" s="166" t="b">
        <v>0</v>
      </c>
      <c r="B2782" s="166" t="s">
        <v>5092</v>
      </c>
      <c r="C2782" s="177">
        <v>69</v>
      </c>
      <c r="D2782" s="166">
        <f t="shared" si="195"/>
        <v>-68</v>
      </c>
      <c r="E2782" s="166">
        <f t="shared" si="196"/>
        <v>4</v>
      </c>
      <c r="F2782" s="166">
        <f t="shared" ca="1" si="197"/>
        <v>77</v>
      </c>
      <c r="G2782" s="166" t="s">
        <v>4652</v>
      </c>
      <c r="H2782" s="171"/>
      <c r="I2782" s="171"/>
      <c r="J2782" s="171"/>
      <c r="K2782" s="171"/>
      <c r="L2782" s="166"/>
      <c r="M2782" s="166"/>
      <c r="N2782" s="166"/>
      <c r="O2782" s="166"/>
      <c r="P2782" s="166">
        <f t="shared" ca="1" si="198"/>
        <v>412</v>
      </c>
      <c r="Q2782" s="166" t="b">
        <v>0</v>
      </c>
    </row>
    <row r="2783" spans="1:17">
      <c r="A2783" s="166" t="b">
        <v>0</v>
      </c>
      <c r="B2783" s="166" t="s">
        <v>5093</v>
      </c>
      <c r="C2783" s="177">
        <v>69</v>
      </c>
      <c r="D2783" s="166">
        <f t="shared" si="195"/>
        <v>-67</v>
      </c>
      <c r="E2783" s="166">
        <f t="shared" si="196"/>
        <v>5</v>
      </c>
      <c r="F2783" s="166">
        <f t="shared" ca="1" si="197"/>
        <v>77</v>
      </c>
      <c r="G2783" s="166" t="s">
        <v>4652</v>
      </c>
      <c r="H2783" s="171"/>
      <c r="I2783" s="171"/>
      <c r="J2783" s="171"/>
      <c r="K2783" s="171"/>
      <c r="L2783" s="166"/>
      <c r="M2783" s="166"/>
      <c r="N2783" s="166"/>
      <c r="O2783" s="166"/>
      <c r="P2783" s="166">
        <f t="shared" ca="1" si="198"/>
        <v>413</v>
      </c>
      <c r="Q2783" s="166" t="b">
        <v>0</v>
      </c>
    </row>
    <row r="2784" spans="1:17">
      <c r="A2784" s="166" t="b">
        <v>0</v>
      </c>
      <c r="B2784" s="166" t="s">
        <v>5094</v>
      </c>
      <c r="C2784" s="177">
        <v>69</v>
      </c>
      <c r="D2784" s="166">
        <f t="shared" si="195"/>
        <v>-66</v>
      </c>
      <c r="E2784" s="166">
        <f t="shared" si="196"/>
        <v>6</v>
      </c>
      <c r="F2784" s="166">
        <f t="shared" ca="1" si="197"/>
        <v>77</v>
      </c>
      <c r="G2784" s="166" t="s">
        <v>4652</v>
      </c>
      <c r="H2784" s="171"/>
      <c r="I2784" s="171"/>
      <c r="J2784" s="171"/>
      <c r="K2784" s="171"/>
      <c r="L2784" s="166"/>
      <c r="M2784" s="166"/>
      <c r="N2784" s="166"/>
      <c r="O2784" s="166"/>
      <c r="P2784" s="166">
        <f t="shared" ca="1" si="198"/>
        <v>414</v>
      </c>
      <c r="Q2784" s="166" t="b">
        <v>0</v>
      </c>
    </row>
    <row r="2785" spans="1:17">
      <c r="A2785" s="166" t="b">
        <v>0</v>
      </c>
      <c r="B2785" s="166" t="s">
        <v>5095</v>
      </c>
      <c r="C2785" s="177">
        <v>70</v>
      </c>
      <c r="D2785" s="166">
        <f t="shared" si="195"/>
        <v>-65</v>
      </c>
      <c r="E2785" s="166">
        <f t="shared" si="196"/>
        <v>1</v>
      </c>
      <c r="F2785" s="166">
        <f t="shared" ca="1" si="197"/>
        <v>78</v>
      </c>
      <c r="G2785" s="166" t="s">
        <v>4654</v>
      </c>
      <c r="H2785" s="171"/>
      <c r="I2785" s="171"/>
      <c r="J2785" s="171"/>
      <c r="K2785" s="171"/>
      <c r="L2785" s="166"/>
      <c r="M2785" s="166"/>
      <c r="N2785" s="166"/>
      <c r="O2785" s="166"/>
      <c r="P2785" s="166">
        <f t="shared" ca="1" si="198"/>
        <v>415</v>
      </c>
      <c r="Q2785" s="166" t="b">
        <v>0</v>
      </c>
    </row>
    <row r="2786" spans="1:17">
      <c r="A2786" s="166" t="b">
        <v>0</v>
      </c>
      <c r="B2786" s="166" t="s">
        <v>5096</v>
      </c>
      <c r="C2786" s="177">
        <v>70</v>
      </c>
      <c r="D2786" s="166">
        <f t="shared" si="195"/>
        <v>-64</v>
      </c>
      <c r="E2786" s="166">
        <f t="shared" si="196"/>
        <v>2</v>
      </c>
      <c r="F2786" s="166">
        <f t="shared" ca="1" si="197"/>
        <v>78</v>
      </c>
      <c r="G2786" s="166" t="s">
        <v>4654</v>
      </c>
      <c r="H2786" s="171"/>
      <c r="I2786" s="171"/>
      <c r="J2786" s="171"/>
      <c r="K2786" s="171"/>
      <c r="L2786" s="166"/>
      <c r="M2786" s="166"/>
      <c r="N2786" s="166"/>
      <c r="O2786" s="166"/>
      <c r="P2786" s="166">
        <f t="shared" ca="1" si="198"/>
        <v>416</v>
      </c>
      <c r="Q2786" s="166" t="b">
        <v>0</v>
      </c>
    </row>
    <row r="2787" spans="1:17">
      <c r="A2787" s="166" t="b">
        <v>0</v>
      </c>
      <c r="B2787" s="166" t="s">
        <v>5097</v>
      </c>
      <c r="C2787" s="177">
        <v>70</v>
      </c>
      <c r="D2787" s="166">
        <f t="shared" si="195"/>
        <v>-63</v>
      </c>
      <c r="E2787" s="166">
        <f t="shared" si="196"/>
        <v>3</v>
      </c>
      <c r="F2787" s="166">
        <f t="shared" ca="1" si="197"/>
        <v>78</v>
      </c>
      <c r="G2787" s="166" t="s">
        <v>4654</v>
      </c>
      <c r="H2787" s="171"/>
      <c r="I2787" s="171"/>
      <c r="J2787" s="171"/>
      <c r="K2787" s="171"/>
      <c r="L2787" s="166"/>
      <c r="M2787" s="166"/>
      <c r="N2787" s="166"/>
      <c r="O2787" s="166"/>
      <c r="P2787" s="166">
        <f t="shared" ca="1" si="198"/>
        <v>417</v>
      </c>
      <c r="Q2787" s="166" t="b">
        <v>0</v>
      </c>
    </row>
    <row r="2788" spans="1:17">
      <c r="A2788" s="166" t="b">
        <v>0</v>
      </c>
      <c r="B2788" s="166" t="s">
        <v>5098</v>
      </c>
      <c r="C2788" s="177">
        <v>70</v>
      </c>
      <c r="D2788" s="166">
        <f t="shared" si="195"/>
        <v>-62</v>
      </c>
      <c r="E2788" s="166">
        <f t="shared" si="196"/>
        <v>4</v>
      </c>
      <c r="F2788" s="166">
        <f t="shared" ca="1" si="197"/>
        <v>78</v>
      </c>
      <c r="G2788" s="166" t="s">
        <v>4654</v>
      </c>
      <c r="H2788" s="171"/>
      <c r="I2788" s="171"/>
      <c r="J2788" s="171"/>
      <c r="K2788" s="171"/>
      <c r="L2788" s="166"/>
      <c r="M2788" s="166"/>
      <c r="N2788" s="166"/>
      <c r="O2788" s="166"/>
      <c r="P2788" s="166">
        <f t="shared" ca="1" si="198"/>
        <v>418</v>
      </c>
      <c r="Q2788" s="166" t="b">
        <v>0</v>
      </c>
    </row>
    <row r="2789" spans="1:17">
      <c r="A2789" s="166" t="b">
        <v>0</v>
      </c>
      <c r="B2789" s="166" t="s">
        <v>5099</v>
      </c>
      <c r="C2789" s="177">
        <v>70</v>
      </c>
      <c r="D2789" s="166">
        <f t="shared" si="195"/>
        <v>-61</v>
      </c>
      <c r="E2789" s="166">
        <f t="shared" si="196"/>
        <v>5</v>
      </c>
      <c r="F2789" s="166">
        <f t="shared" ca="1" si="197"/>
        <v>78</v>
      </c>
      <c r="G2789" s="166" t="s">
        <v>4654</v>
      </c>
      <c r="H2789" s="171"/>
      <c r="I2789" s="171"/>
      <c r="J2789" s="171"/>
      <c r="K2789" s="171"/>
      <c r="L2789" s="166"/>
      <c r="M2789" s="166"/>
      <c r="N2789" s="166"/>
      <c r="O2789" s="166"/>
      <c r="P2789" s="166">
        <f t="shared" ca="1" si="198"/>
        <v>419</v>
      </c>
      <c r="Q2789" s="166" t="b">
        <v>0</v>
      </c>
    </row>
    <row r="2790" spans="1:17">
      <c r="A2790" s="166" t="b">
        <v>0</v>
      </c>
      <c r="B2790" s="166" t="s">
        <v>5100</v>
      </c>
      <c r="C2790" s="177">
        <v>70</v>
      </c>
      <c r="D2790" s="166">
        <f t="shared" si="195"/>
        <v>-60</v>
      </c>
      <c r="E2790" s="166">
        <f t="shared" si="196"/>
        <v>6</v>
      </c>
      <c r="F2790" s="166">
        <f t="shared" ca="1" si="197"/>
        <v>78</v>
      </c>
      <c r="G2790" s="166" t="s">
        <v>4654</v>
      </c>
      <c r="H2790" s="171"/>
      <c r="I2790" s="171"/>
      <c r="J2790" s="171"/>
      <c r="K2790" s="171"/>
      <c r="L2790" s="166"/>
      <c r="M2790" s="166"/>
      <c r="N2790" s="166"/>
      <c r="O2790" s="166"/>
      <c r="P2790" s="166">
        <f t="shared" ca="1" si="198"/>
        <v>420</v>
      </c>
      <c r="Q2790" s="166" t="b">
        <v>0</v>
      </c>
    </row>
    <row r="2791" spans="1:17">
      <c r="A2791" s="166" t="b">
        <v>0</v>
      </c>
      <c r="B2791" s="166" t="s">
        <v>5101</v>
      </c>
      <c r="C2791" s="177">
        <v>71</v>
      </c>
      <c r="D2791" s="166">
        <f t="shared" si="195"/>
        <v>-59</v>
      </c>
      <c r="E2791" s="166">
        <f t="shared" si="196"/>
        <v>1</v>
      </c>
      <c r="F2791" s="166">
        <f t="shared" ca="1" si="197"/>
        <v>79</v>
      </c>
      <c r="G2791" s="166" t="s">
        <v>4656</v>
      </c>
      <c r="H2791" s="171"/>
      <c r="I2791" s="171"/>
      <c r="J2791" s="171"/>
      <c r="K2791" s="171"/>
      <c r="L2791" s="166"/>
      <c r="M2791" s="166"/>
      <c r="N2791" s="166"/>
      <c r="O2791" s="166"/>
      <c r="P2791" s="166">
        <f t="shared" ca="1" si="198"/>
        <v>421</v>
      </c>
      <c r="Q2791" s="166" t="b">
        <v>0</v>
      </c>
    </row>
    <row r="2792" spans="1:17">
      <c r="A2792" s="166" t="b">
        <v>0</v>
      </c>
      <c r="B2792" s="166" t="s">
        <v>5102</v>
      </c>
      <c r="C2792" s="177">
        <v>71</v>
      </c>
      <c r="D2792" s="166">
        <f t="shared" si="195"/>
        <v>-58</v>
      </c>
      <c r="E2792" s="166">
        <f t="shared" si="196"/>
        <v>2</v>
      </c>
      <c r="F2792" s="166">
        <f t="shared" ca="1" si="197"/>
        <v>79</v>
      </c>
      <c r="G2792" s="166" t="s">
        <v>4656</v>
      </c>
      <c r="H2792" s="171"/>
      <c r="I2792" s="171"/>
      <c r="J2792" s="171"/>
      <c r="K2792" s="171"/>
      <c r="L2792" s="166"/>
      <c r="M2792" s="166"/>
      <c r="N2792" s="166"/>
      <c r="O2792" s="166"/>
      <c r="P2792" s="166">
        <f t="shared" ca="1" si="198"/>
        <v>422</v>
      </c>
      <c r="Q2792" s="166" t="b">
        <v>0</v>
      </c>
    </row>
    <row r="2793" spans="1:17">
      <c r="A2793" s="166" t="b">
        <v>0</v>
      </c>
      <c r="B2793" s="166" t="s">
        <v>5103</v>
      </c>
      <c r="C2793" s="177">
        <v>71</v>
      </c>
      <c r="D2793" s="166">
        <f t="shared" si="195"/>
        <v>-57</v>
      </c>
      <c r="E2793" s="166">
        <f t="shared" si="196"/>
        <v>3</v>
      </c>
      <c r="F2793" s="166">
        <f t="shared" ca="1" si="197"/>
        <v>79</v>
      </c>
      <c r="G2793" s="166" t="s">
        <v>4656</v>
      </c>
      <c r="H2793" s="171"/>
      <c r="I2793" s="171"/>
      <c r="J2793" s="171"/>
      <c r="K2793" s="171"/>
      <c r="L2793" s="166"/>
      <c r="M2793" s="166"/>
      <c r="N2793" s="166"/>
      <c r="O2793" s="166"/>
      <c r="P2793" s="166">
        <f t="shared" ca="1" si="198"/>
        <v>423</v>
      </c>
      <c r="Q2793" s="166" t="b">
        <v>0</v>
      </c>
    </row>
    <row r="2794" spans="1:17">
      <c r="A2794" s="166" t="b">
        <v>0</v>
      </c>
      <c r="B2794" s="166" t="s">
        <v>5104</v>
      </c>
      <c r="C2794" s="177">
        <v>71</v>
      </c>
      <c r="D2794" s="166">
        <f t="shared" si="195"/>
        <v>-56</v>
      </c>
      <c r="E2794" s="166">
        <f t="shared" si="196"/>
        <v>4</v>
      </c>
      <c r="F2794" s="166">
        <f t="shared" ca="1" si="197"/>
        <v>79</v>
      </c>
      <c r="G2794" s="166" t="s">
        <v>4656</v>
      </c>
      <c r="H2794" s="171"/>
      <c r="I2794" s="171"/>
      <c r="J2794" s="171"/>
      <c r="K2794" s="171"/>
      <c r="L2794" s="166"/>
      <c r="M2794" s="166"/>
      <c r="N2794" s="166"/>
      <c r="O2794" s="166"/>
      <c r="P2794" s="166">
        <f t="shared" ca="1" si="198"/>
        <v>424</v>
      </c>
      <c r="Q2794" s="166" t="b">
        <v>0</v>
      </c>
    </row>
    <row r="2795" spans="1:17">
      <c r="A2795" s="166" t="b">
        <v>0</v>
      </c>
      <c r="B2795" s="166" t="s">
        <v>5105</v>
      </c>
      <c r="C2795" s="177">
        <v>71</v>
      </c>
      <c r="D2795" s="166">
        <f t="shared" si="195"/>
        <v>-55</v>
      </c>
      <c r="E2795" s="166">
        <f t="shared" si="196"/>
        <v>5</v>
      </c>
      <c r="F2795" s="166">
        <f t="shared" ca="1" si="197"/>
        <v>79</v>
      </c>
      <c r="G2795" s="166" t="s">
        <v>4656</v>
      </c>
      <c r="H2795" s="171"/>
      <c r="I2795" s="171"/>
      <c r="J2795" s="171"/>
      <c r="K2795" s="171"/>
      <c r="L2795" s="166"/>
      <c r="M2795" s="166"/>
      <c r="N2795" s="166"/>
      <c r="O2795" s="166"/>
      <c r="P2795" s="166">
        <f t="shared" ca="1" si="198"/>
        <v>425</v>
      </c>
      <c r="Q2795" s="166" t="b">
        <v>0</v>
      </c>
    </row>
    <row r="2796" spans="1:17">
      <c r="A2796" s="166" t="b">
        <v>0</v>
      </c>
      <c r="B2796" s="166" t="s">
        <v>5106</v>
      </c>
      <c r="C2796" s="177">
        <v>71</v>
      </c>
      <c r="D2796" s="166">
        <f t="shared" si="195"/>
        <v>-54</v>
      </c>
      <c r="E2796" s="166">
        <f t="shared" si="196"/>
        <v>6</v>
      </c>
      <c r="F2796" s="166">
        <f t="shared" ca="1" si="197"/>
        <v>79</v>
      </c>
      <c r="G2796" s="166" t="s">
        <v>4656</v>
      </c>
      <c r="H2796" s="171"/>
      <c r="I2796" s="171"/>
      <c r="J2796" s="171"/>
      <c r="K2796" s="171"/>
      <c r="L2796" s="166"/>
      <c r="M2796" s="166"/>
      <c r="N2796" s="166"/>
      <c r="O2796" s="166"/>
      <c r="P2796" s="166">
        <f t="shared" ca="1" si="198"/>
        <v>426</v>
      </c>
      <c r="Q2796" s="166" t="b">
        <v>0</v>
      </c>
    </row>
    <row r="2797" spans="1:17">
      <c r="A2797" s="166" t="b">
        <v>0</v>
      </c>
      <c r="B2797" s="166" t="s">
        <v>5107</v>
      </c>
      <c r="C2797" s="177">
        <v>72</v>
      </c>
      <c r="D2797" s="166">
        <f t="shared" si="195"/>
        <v>-53</v>
      </c>
      <c r="E2797" s="166">
        <f t="shared" si="196"/>
        <v>1</v>
      </c>
      <c r="F2797" s="166">
        <f t="shared" ca="1" si="197"/>
        <v>80</v>
      </c>
      <c r="G2797" s="166" t="s">
        <v>4658</v>
      </c>
      <c r="H2797" s="171"/>
      <c r="I2797" s="171"/>
      <c r="J2797" s="171"/>
      <c r="K2797" s="171"/>
      <c r="L2797" s="166"/>
      <c r="M2797" s="166"/>
      <c r="N2797" s="166"/>
      <c r="O2797" s="166"/>
      <c r="P2797" s="166">
        <f t="shared" ca="1" si="198"/>
        <v>427</v>
      </c>
      <c r="Q2797" s="166" t="b">
        <v>0</v>
      </c>
    </row>
    <row r="2798" spans="1:17">
      <c r="A2798" s="166" t="b">
        <v>0</v>
      </c>
      <c r="B2798" s="166" t="s">
        <v>5108</v>
      </c>
      <c r="C2798" s="177">
        <v>72</v>
      </c>
      <c r="D2798" s="166">
        <f t="shared" si="195"/>
        <v>-52</v>
      </c>
      <c r="E2798" s="166">
        <f t="shared" si="196"/>
        <v>2</v>
      </c>
      <c r="F2798" s="166">
        <f t="shared" ca="1" si="197"/>
        <v>80</v>
      </c>
      <c r="G2798" s="166" t="s">
        <v>4658</v>
      </c>
      <c r="H2798" s="171"/>
      <c r="I2798" s="171"/>
      <c r="J2798" s="171"/>
      <c r="K2798" s="171"/>
      <c r="L2798" s="166"/>
      <c r="M2798" s="166"/>
      <c r="N2798" s="166"/>
      <c r="O2798" s="166"/>
      <c r="P2798" s="166">
        <f t="shared" ca="1" si="198"/>
        <v>428</v>
      </c>
      <c r="Q2798" s="166" t="b">
        <v>0</v>
      </c>
    </row>
    <row r="2799" spans="1:17">
      <c r="A2799" s="166" t="b">
        <v>0</v>
      </c>
      <c r="B2799" s="166" t="s">
        <v>5109</v>
      </c>
      <c r="C2799" s="177">
        <v>72</v>
      </c>
      <c r="D2799" s="166">
        <f t="shared" si="195"/>
        <v>-51</v>
      </c>
      <c r="E2799" s="166">
        <f t="shared" si="196"/>
        <v>3</v>
      </c>
      <c r="F2799" s="166">
        <f t="shared" ca="1" si="197"/>
        <v>80</v>
      </c>
      <c r="G2799" s="166" t="s">
        <v>4658</v>
      </c>
      <c r="H2799" s="171"/>
      <c r="I2799" s="171"/>
      <c r="J2799" s="171"/>
      <c r="K2799" s="171"/>
      <c r="L2799" s="166"/>
      <c r="M2799" s="166"/>
      <c r="N2799" s="166"/>
      <c r="O2799" s="166"/>
      <c r="P2799" s="166">
        <f t="shared" ca="1" si="198"/>
        <v>429</v>
      </c>
      <c r="Q2799" s="166" t="b">
        <v>0</v>
      </c>
    </row>
    <row r="2800" spans="1:17">
      <c r="A2800" s="166" t="b">
        <v>0</v>
      </c>
      <c r="B2800" s="166" t="s">
        <v>5110</v>
      </c>
      <c r="C2800" s="177">
        <v>72</v>
      </c>
      <c r="D2800" s="166">
        <f t="shared" si="195"/>
        <v>-50</v>
      </c>
      <c r="E2800" s="166">
        <f t="shared" si="196"/>
        <v>4</v>
      </c>
      <c r="F2800" s="166">
        <f t="shared" ca="1" si="197"/>
        <v>80</v>
      </c>
      <c r="G2800" s="166" t="s">
        <v>4658</v>
      </c>
      <c r="H2800" s="171"/>
      <c r="I2800" s="171"/>
      <c r="J2800" s="171"/>
      <c r="K2800" s="171"/>
      <c r="L2800" s="166"/>
      <c r="M2800" s="166"/>
      <c r="N2800" s="166"/>
      <c r="O2800" s="166"/>
      <c r="P2800" s="166">
        <f t="shared" ca="1" si="198"/>
        <v>430</v>
      </c>
      <c r="Q2800" s="166" t="b">
        <v>0</v>
      </c>
    </row>
    <row r="2801" spans="1:17">
      <c r="A2801" s="166" t="b">
        <v>0</v>
      </c>
      <c r="B2801" s="166" t="s">
        <v>5111</v>
      </c>
      <c r="C2801" s="177">
        <v>72</v>
      </c>
      <c r="D2801" s="166">
        <f t="shared" si="195"/>
        <v>-49</v>
      </c>
      <c r="E2801" s="166">
        <f t="shared" si="196"/>
        <v>5</v>
      </c>
      <c r="F2801" s="166">
        <f t="shared" ca="1" si="197"/>
        <v>80</v>
      </c>
      <c r="G2801" s="166" t="s">
        <v>4658</v>
      </c>
      <c r="H2801" s="171"/>
      <c r="I2801" s="171"/>
      <c r="J2801" s="171"/>
      <c r="K2801" s="171"/>
      <c r="L2801" s="166"/>
      <c r="M2801" s="166"/>
      <c r="N2801" s="166"/>
      <c r="O2801" s="166"/>
      <c r="P2801" s="166">
        <f t="shared" ca="1" si="198"/>
        <v>431</v>
      </c>
      <c r="Q2801" s="166" t="b">
        <v>0</v>
      </c>
    </row>
    <row r="2802" spans="1:17">
      <c r="A2802" s="166" t="b">
        <v>0</v>
      </c>
      <c r="B2802" s="166" t="s">
        <v>5112</v>
      </c>
      <c r="C2802" s="177">
        <v>72</v>
      </c>
      <c r="D2802" s="166">
        <f t="shared" si="195"/>
        <v>-48</v>
      </c>
      <c r="E2802" s="166">
        <f t="shared" si="196"/>
        <v>6</v>
      </c>
      <c r="F2802" s="166">
        <f t="shared" ca="1" si="197"/>
        <v>80</v>
      </c>
      <c r="G2802" s="166" t="s">
        <v>4658</v>
      </c>
      <c r="H2802" s="171"/>
      <c r="I2802" s="171"/>
      <c r="J2802" s="171"/>
      <c r="K2802" s="171"/>
      <c r="L2802" s="166"/>
      <c r="M2802" s="166"/>
      <c r="N2802" s="166"/>
      <c r="O2802" s="166"/>
      <c r="P2802" s="166">
        <f t="shared" ca="1" si="198"/>
        <v>432</v>
      </c>
      <c r="Q2802" s="166" t="b">
        <v>0</v>
      </c>
    </row>
    <row r="2803" spans="1:17">
      <c r="A2803" s="166" t="b">
        <v>0</v>
      </c>
      <c r="B2803" s="166" t="s">
        <v>5113</v>
      </c>
      <c r="C2803" s="177">
        <v>73</v>
      </c>
      <c r="D2803" s="166">
        <f t="shared" si="195"/>
        <v>-47</v>
      </c>
      <c r="E2803" s="166">
        <f t="shared" si="196"/>
        <v>1</v>
      </c>
      <c r="F2803" s="166">
        <f t="shared" ca="1" si="197"/>
        <v>81</v>
      </c>
      <c r="G2803" s="166" t="s">
        <v>4660</v>
      </c>
      <c r="H2803" s="171"/>
      <c r="I2803" s="171"/>
      <c r="J2803" s="171"/>
      <c r="K2803" s="171"/>
      <c r="L2803" s="166"/>
      <c r="M2803" s="166"/>
      <c r="N2803" s="166"/>
      <c r="O2803" s="166"/>
      <c r="P2803" s="166">
        <f t="shared" ca="1" si="198"/>
        <v>433</v>
      </c>
      <c r="Q2803" s="166" t="b">
        <v>0</v>
      </c>
    </row>
    <row r="2804" spans="1:17">
      <c r="A2804" s="166" t="b">
        <v>0</v>
      </c>
      <c r="B2804" s="166" t="s">
        <v>5114</v>
      </c>
      <c r="C2804" s="177">
        <v>73</v>
      </c>
      <c r="D2804" s="166">
        <f t="shared" si="195"/>
        <v>-46</v>
      </c>
      <c r="E2804" s="166">
        <f t="shared" si="196"/>
        <v>2</v>
      </c>
      <c r="F2804" s="166">
        <f t="shared" ca="1" si="197"/>
        <v>81</v>
      </c>
      <c r="G2804" s="166" t="s">
        <v>4660</v>
      </c>
      <c r="H2804" s="171"/>
      <c r="I2804" s="171"/>
      <c r="J2804" s="171"/>
      <c r="K2804" s="171"/>
      <c r="L2804" s="166"/>
      <c r="M2804" s="166"/>
      <c r="N2804" s="166"/>
      <c r="O2804" s="166"/>
      <c r="P2804" s="166">
        <f t="shared" ca="1" si="198"/>
        <v>434</v>
      </c>
      <c r="Q2804" s="166" t="b">
        <v>0</v>
      </c>
    </row>
    <row r="2805" spans="1:17">
      <c r="A2805" s="166" t="b">
        <v>0</v>
      </c>
      <c r="B2805" s="166" t="s">
        <v>5115</v>
      </c>
      <c r="C2805" s="177">
        <v>73</v>
      </c>
      <c r="D2805" s="166">
        <f t="shared" si="195"/>
        <v>-45</v>
      </c>
      <c r="E2805" s="166">
        <f t="shared" si="196"/>
        <v>3</v>
      </c>
      <c r="F2805" s="166">
        <f t="shared" ca="1" si="197"/>
        <v>81</v>
      </c>
      <c r="G2805" s="166" t="s">
        <v>4660</v>
      </c>
      <c r="H2805" s="171"/>
      <c r="I2805" s="171"/>
      <c r="J2805" s="171"/>
      <c r="K2805" s="171"/>
      <c r="L2805" s="166"/>
      <c r="M2805" s="166"/>
      <c r="N2805" s="166"/>
      <c r="O2805" s="166"/>
      <c r="P2805" s="166">
        <f t="shared" ca="1" si="198"/>
        <v>435</v>
      </c>
      <c r="Q2805" s="166" t="b">
        <v>0</v>
      </c>
    </row>
    <row r="2806" spans="1:17">
      <c r="A2806" s="166" t="b">
        <v>0</v>
      </c>
      <c r="B2806" s="166" t="s">
        <v>5116</v>
      </c>
      <c r="C2806" s="177">
        <v>73</v>
      </c>
      <c r="D2806" s="166">
        <f t="shared" si="195"/>
        <v>-44</v>
      </c>
      <c r="E2806" s="166">
        <f t="shared" si="196"/>
        <v>4</v>
      </c>
      <c r="F2806" s="166">
        <f t="shared" ca="1" si="197"/>
        <v>81</v>
      </c>
      <c r="G2806" s="166" t="s">
        <v>4660</v>
      </c>
      <c r="H2806" s="171"/>
      <c r="I2806" s="171"/>
      <c r="J2806" s="171"/>
      <c r="K2806" s="171"/>
      <c r="L2806" s="166"/>
      <c r="M2806" s="166"/>
      <c r="N2806" s="166"/>
      <c r="O2806" s="166"/>
      <c r="P2806" s="166">
        <f t="shared" ca="1" si="198"/>
        <v>436</v>
      </c>
      <c r="Q2806" s="166" t="b">
        <v>0</v>
      </c>
    </row>
    <row r="2807" spans="1:17">
      <c r="A2807" s="166" t="b">
        <v>0</v>
      </c>
      <c r="B2807" s="166" t="s">
        <v>5117</v>
      </c>
      <c r="C2807" s="177">
        <v>73</v>
      </c>
      <c r="D2807" s="166">
        <f t="shared" si="195"/>
        <v>-43</v>
      </c>
      <c r="E2807" s="166">
        <f t="shared" si="196"/>
        <v>5</v>
      </c>
      <c r="F2807" s="166">
        <f t="shared" ca="1" si="197"/>
        <v>81</v>
      </c>
      <c r="G2807" s="166" t="s">
        <v>4660</v>
      </c>
      <c r="H2807" s="171"/>
      <c r="I2807" s="171"/>
      <c r="J2807" s="171"/>
      <c r="K2807" s="171"/>
      <c r="L2807" s="166"/>
      <c r="M2807" s="166"/>
      <c r="N2807" s="166"/>
      <c r="O2807" s="166"/>
      <c r="P2807" s="166">
        <f t="shared" ca="1" si="198"/>
        <v>437</v>
      </c>
      <c r="Q2807" s="166" t="b">
        <v>0</v>
      </c>
    </row>
    <row r="2808" spans="1:17">
      <c r="A2808" s="166" t="b">
        <v>0</v>
      </c>
      <c r="B2808" s="166" t="s">
        <v>5118</v>
      </c>
      <c r="C2808" s="177">
        <v>73</v>
      </c>
      <c r="D2808" s="166">
        <f t="shared" si="195"/>
        <v>-42</v>
      </c>
      <c r="E2808" s="166">
        <f t="shared" si="196"/>
        <v>6</v>
      </c>
      <c r="F2808" s="166">
        <f t="shared" ca="1" si="197"/>
        <v>81</v>
      </c>
      <c r="G2808" s="166" t="s">
        <v>4660</v>
      </c>
      <c r="H2808" s="171"/>
      <c r="I2808" s="171"/>
      <c r="J2808" s="171"/>
      <c r="K2808" s="171"/>
      <c r="L2808" s="166"/>
      <c r="M2808" s="166"/>
      <c r="N2808" s="166"/>
      <c r="O2808" s="166"/>
      <c r="P2808" s="166">
        <f t="shared" ca="1" si="198"/>
        <v>438</v>
      </c>
      <c r="Q2808" s="166" t="b">
        <v>0</v>
      </c>
    </row>
    <row r="2809" spans="1:17">
      <c r="A2809" s="166" t="b">
        <v>0</v>
      </c>
      <c r="B2809" s="166" t="s">
        <v>5119</v>
      </c>
      <c r="C2809" s="177">
        <v>74</v>
      </c>
      <c r="D2809" s="166">
        <f t="shared" si="195"/>
        <v>-41</v>
      </c>
      <c r="E2809" s="166">
        <f t="shared" si="196"/>
        <v>1</v>
      </c>
      <c r="F2809" s="166">
        <f t="shared" ca="1" si="197"/>
        <v>82</v>
      </c>
      <c r="G2809" s="166" t="s">
        <v>4662</v>
      </c>
      <c r="H2809" s="171"/>
      <c r="I2809" s="171"/>
      <c r="J2809" s="171"/>
      <c r="K2809" s="171"/>
      <c r="L2809" s="166"/>
      <c r="M2809" s="166"/>
      <c r="N2809" s="166"/>
      <c r="O2809" s="166"/>
      <c r="P2809" s="166">
        <f t="shared" ca="1" si="198"/>
        <v>439</v>
      </c>
      <c r="Q2809" s="166" t="b">
        <v>0</v>
      </c>
    </row>
    <row r="2810" spans="1:17">
      <c r="A2810" s="166" t="b">
        <v>0</v>
      </c>
      <c r="B2810" s="166" t="s">
        <v>5120</v>
      </c>
      <c r="C2810" s="177">
        <v>74</v>
      </c>
      <c r="D2810" s="166">
        <f t="shared" si="195"/>
        <v>-40</v>
      </c>
      <c r="E2810" s="166">
        <f t="shared" si="196"/>
        <v>2</v>
      </c>
      <c r="F2810" s="166">
        <f t="shared" ca="1" si="197"/>
        <v>82</v>
      </c>
      <c r="G2810" s="166" t="s">
        <v>4662</v>
      </c>
      <c r="H2810" s="171"/>
      <c r="I2810" s="171"/>
      <c r="J2810" s="171"/>
      <c r="K2810" s="171"/>
      <c r="L2810" s="166"/>
      <c r="M2810" s="166"/>
      <c r="N2810" s="166"/>
      <c r="O2810" s="166"/>
      <c r="P2810" s="166">
        <f t="shared" ca="1" si="198"/>
        <v>440</v>
      </c>
      <c r="Q2810" s="166" t="b">
        <v>0</v>
      </c>
    </row>
    <row r="2811" spans="1:17">
      <c r="A2811" s="166" t="b">
        <v>0</v>
      </c>
      <c r="B2811" s="166" t="s">
        <v>5121</v>
      </c>
      <c r="C2811" s="177">
        <v>74</v>
      </c>
      <c r="D2811" s="166">
        <f t="shared" si="195"/>
        <v>-39</v>
      </c>
      <c r="E2811" s="166">
        <f t="shared" si="196"/>
        <v>3</v>
      </c>
      <c r="F2811" s="166">
        <f t="shared" ca="1" si="197"/>
        <v>82</v>
      </c>
      <c r="G2811" s="166" t="s">
        <v>4662</v>
      </c>
      <c r="H2811" s="171"/>
      <c r="I2811" s="171"/>
      <c r="J2811" s="171"/>
      <c r="K2811" s="171"/>
      <c r="L2811" s="166"/>
      <c r="M2811" s="166"/>
      <c r="N2811" s="166"/>
      <c r="O2811" s="166"/>
      <c r="P2811" s="166">
        <f t="shared" ca="1" si="198"/>
        <v>441</v>
      </c>
      <c r="Q2811" s="166" t="b">
        <v>0</v>
      </c>
    </row>
    <row r="2812" spans="1:17">
      <c r="A2812" s="166" t="b">
        <v>0</v>
      </c>
      <c r="B2812" s="166" t="s">
        <v>5122</v>
      </c>
      <c r="C2812" s="177">
        <v>74</v>
      </c>
      <c r="D2812" s="166">
        <f t="shared" si="195"/>
        <v>-38</v>
      </c>
      <c r="E2812" s="166">
        <f t="shared" si="196"/>
        <v>4</v>
      </c>
      <c r="F2812" s="166">
        <f t="shared" ca="1" si="197"/>
        <v>82</v>
      </c>
      <c r="G2812" s="166" t="s">
        <v>4662</v>
      </c>
      <c r="H2812" s="171"/>
      <c r="I2812" s="171"/>
      <c r="J2812" s="171"/>
      <c r="K2812" s="171"/>
      <c r="L2812" s="166"/>
      <c r="M2812" s="166"/>
      <c r="N2812" s="166"/>
      <c r="O2812" s="166"/>
      <c r="P2812" s="166">
        <f t="shared" ca="1" si="198"/>
        <v>442</v>
      </c>
      <c r="Q2812" s="166" t="b">
        <v>0</v>
      </c>
    </row>
    <row r="2813" spans="1:17">
      <c r="A2813" s="166" t="b">
        <v>0</v>
      </c>
      <c r="B2813" s="166" t="s">
        <v>5123</v>
      </c>
      <c r="C2813" s="177">
        <v>74</v>
      </c>
      <c r="D2813" s="166">
        <f t="shared" si="195"/>
        <v>-37</v>
      </c>
      <c r="E2813" s="166">
        <f t="shared" si="196"/>
        <v>5</v>
      </c>
      <c r="F2813" s="166">
        <f t="shared" ca="1" si="197"/>
        <v>82</v>
      </c>
      <c r="G2813" s="166" t="s">
        <v>4662</v>
      </c>
      <c r="H2813" s="171"/>
      <c r="I2813" s="171"/>
      <c r="J2813" s="171"/>
      <c r="K2813" s="171"/>
      <c r="L2813" s="166"/>
      <c r="M2813" s="166"/>
      <c r="N2813" s="166"/>
      <c r="O2813" s="166"/>
      <c r="P2813" s="166">
        <f t="shared" ca="1" si="198"/>
        <v>443</v>
      </c>
      <c r="Q2813" s="166" t="b">
        <v>0</v>
      </c>
    </row>
    <row r="2814" spans="1:17">
      <c r="A2814" s="166" t="b">
        <v>0</v>
      </c>
      <c r="B2814" s="166" t="s">
        <v>5124</v>
      </c>
      <c r="C2814" s="177">
        <v>74</v>
      </c>
      <c r="D2814" s="166">
        <f t="shared" si="195"/>
        <v>-36</v>
      </c>
      <c r="E2814" s="166">
        <f t="shared" si="196"/>
        <v>6</v>
      </c>
      <c r="F2814" s="166">
        <f t="shared" ca="1" si="197"/>
        <v>82</v>
      </c>
      <c r="G2814" s="166" t="s">
        <v>4662</v>
      </c>
      <c r="H2814" s="171"/>
      <c r="I2814" s="171"/>
      <c r="J2814" s="171"/>
      <c r="K2814" s="171"/>
      <c r="L2814" s="166"/>
      <c r="M2814" s="166"/>
      <c r="N2814" s="166"/>
      <c r="O2814" s="166"/>
      <c r="P2814" s="166">
        <f t="shared" ca="1" si="198"/>
        <v>444</v>
      </c>
      <c r="Q2814" s="166" t="b">
        <v>0</v>
      </c>
    </row>
    <row r="2815" spans="1:17">
      <c r="A2815" s="166" t="b">
        <v>0</v>
      </c>
      <c r="B2815" s="166" t="s">
        <v>5125</v>
      </c>
      <c r="C2815" s="177">
        <v>75</v>
      </c>
      <c r="D2815" s="166">
        <f t="shared" si="195"/>
        <v>-35</v>
      </c>
      <c r="E2815" s="166">
        <f t="shared" si="196"/>
        <v>1</v>
      </c>
      <c r="F2815" s="166">
        <f t="shared" ca="1" si="197"/>
        <v>83</v>
      </c>
      <c r="G2815" s="166" t="s">
        <v>4664</v>
      </c>
      <c r="H2815" s="171"/>
      <c r="I2815" s="171"/>
      <c r="J2815" s="171"/>
      <c r="K2815" s="171"/>
      <c r="L2815" s="166"/>
      <c r="M2815" s="166"/>
      <c r="N2815" s="166"/>
      <c r="O2815" s="166"/>
      <c r="P2815" s="166">
        <f t="shared" ca="1" si="198"/>
        <v>445</v>
      </c>
      <c r="Q2815" s="166" t="b">
        <v>0</v>
      </c>
    </row>
    <row r="2816" spans="1:17">
      <c r="A2816" s="166" t="b">
        <v>0</v>
      </c>
      <c r="B2816" s="166" t="s">
        <v>5126</v>
      </c>
      <c r="C2816" s="177">
        <v>75</v>
      </c>
      <c r="D2816" s="166">
        <f t="shared" si="195"/>
        <v>-34</v>
      </c>
      <c r="E2816" s="166">
        <f t="shared" si="196"/>
        <v>2</v>
      </c>
      <c r="F2816" s="166">
        <f t="shared" ca="1" si="197"/>
        <v>83</v>
      </c>
      <c r="G2816" s="166" t="s">
        <v>4664</v>
      </c>
      <c r="H2816" s="171"/>
      <c r="I2816" s="171"/>
      <c r="J2816" s="171"/>
      <c r="K2816" s="171"/>
      <c r="L2816" s="166"/>
      <c r="M2816" s="166"/>
      <c r="N2816" s="166"/>
      <c r="O2816" s="166"/>
      <c r="P2816" s="166">
        <f t="shared" ca="1" si="198"/>
        <v>446</v>
      </c>
      <c r="Q2816" s="166" t="b">
        <v>0</v>
      </c>
    </row>
    <row r="2817" spans="1:17">
      <c r="A2817" s="166" t="b">
        <v>0</v>
      </c>
      <c r="B2817" s="166" t="s">
        <v>5127</v>
      </c>
      <c r="C2817" s="177">
        <v>75</v>
      </c>
      <c r="D2817" s="166">
        <f t="shared" si="195"/>
        <v>-33</v>
      </c>
      <c r="E2817" s="166">
        <f t="shared" si="196"/>
        <v>3</v>
      </c>
      <c r="F2817" s="166">
        <f t="shared" ca="1" si="197"/>
        <v>83</v>
      </c>
      <c r="G2817" s="166" t="s">
        <v>4664</v>
      </c>
      <c r="H2817" s="171"/>
      <c r="I2817" s="171"/>
      <c r="J2817" s="171"/>
      <c r="K2817" s="171"/>
      <c r="L2817" s="166"/>
      <c r="M2817" s="166"/>
      <c r="N2817" s="166"/>
      <c r="O2817" s="166"/>
      <c r="P2817" s="166">
        <f t="shared" ca="1" si="198"/>
        <v>447</v>
      </c>
      <c r="Q2817" s="166" t="b">
        <v>0</v>
      </c>
    </row>
    <row r="2818" spans="1:17">
      <c r="A2818" s="166" t="b">
        <v>0</v>
      </c>
      <c r="B2818" s="166" t="s">
        <v>5128</v>
      </c>
      <c r="C2818" s="177">
        <v>75</v>
      </c>
      <c r="D2818" s="166">
        <f t="shared" si="195"/>
        <v>-32</v>
      </c>
      <c r="E2818" s="166">
        <f t="shared" si="196"/>
        <v>4</v>
      </c>
      <c r="F2818" s="166">
        <f t="shared" ca="1" si="197"/>
        <v>83</v>
      </c>
      <c r="G2818" s="166" t="s">
        <v>4664</v>
      </c>
      <c r="H2818" s="171"/>
      <c r="I2818" s="171"/>
      <c r="J2818" s="171"/>
      <c r="K2818" s="171"/>
      <c r="L2818" s="166"/>
      <c r="M2818" s="166"/>
      <c r="N2818" s="166"/>
      <c r="O2818" s="166"/>
      <c r="P2818" s="166">
        <f t="shared" ca="1" si="198"/>
        <v>448</v>
      </c>
      <c r="Q2818" s="166" t="b">
        <v>0</v>
      </c>
    </row>
    <row r="2819" spans="1:17">
      <c r="A2819" s="166" t="b">
        <v>0</v>
      </c>
      <c r="B2819" s="166" t="s">
        <v>5129</v>
      </c>
      <c r="C2819" s="177">
        <v>75</v>
      </c>
      <c r="D2819" s="166">
        <f t="shared" ref="D2819:D2882" si="199">D2818+1</f>
        <v>-31</v>
      </c>
      <c r="E2819" s="166">
        <f t="shared" ref="E2819:E2882" si="200">COUNTIF(C2649:C2819,C2819)</f>
        <v>5</v>
      </c>
      <c r="F2819" s="166">
        <f t="shared" ref="F2819:F2882" ca="1" si="201">IF(C2819=1,9,IF(E2818=MAX(E2817:E2819),F2817+1,F2818))</f>
        <v>83</v>
      </c>
      <c r="G2819" s="166" t="s">
        <v>4664</v>
      </c>
      <c r="H2819" s="171"/>
      <c r="I2819" s="171"/>
      <c r="J2819" s="171"/>
      <c r="K2819" s="171"/>
      <c r="L2819" s="166"/>
      <c r="M2819" s="166"/>
      <c r="N2819" s="166"/>
      <c r="O2819" s="166"/>
      <c r="P2819" s="166">
        <f t="shared" ref="P2819:P2882" ca="1" si="202">IF(NOT(_xlfn.ISFORMULA(I2819)),P2818+1,0)</f>
        <v>449</v>
      </c>
      <c r="Q2819" s="166" t="b">
        <v>0</v>
      </c>
    </row>
    <row r="2820" spans="1:17">
      <c r="A2820" s="166" t="b">
        <v>0</v>
      </c>
      <c r="B2820" s="166" t="s">
        <v>5130</v>
      </c>
      <c r="C2820" s="177">
        <v>75</v>
      </c>
      <c r="D2820" s="166">
        <f t="shared" si="199"/>
        <v>-30</v>
      </c>
      <c r="E2820" s="166">
        <f t="shared" si="200"/>
        <v>6</v>
      </c>
      <c r="F2820" s="166">
        <f t="shared" ca="1" si="201"/>
        <v>83</v>
      </c>
      <c r="G2820" s="166" t="s">
        <v>4664</v>
      </c>
      <c r="H2820" s="171"/>
      <c r="I2820" s="171"/>
      <c r="J2820" s="171"/>
      <c r="K2820" s="171"/>
      <c r="L2820" s="166"/>
      <c r="M2820" s="166"/>
      <c r="N2820" s="166"/>
      <c r="O2820" s="166"/>
      <c r="P2820" s="166">
        <f t="shared" ca="1" si="202"/>
        <v>450</v>
      </c>
      <c r="Q2820" s="166" t="b">
        <v>0</v>
      </c>
    </row>
    <row r="2821" spans="1:17">
      <c r="A2821" s="166" t="b">
        <v>0</v>
      </c>
      <c r="B2821" s="166" t="s">
        <v>5131</v>
      </c>
      <c r="C2821" s="177">
        <v>76</v>
      </c>
      <c r="D2821" s="166">
        <f t="shared" si="199"/>
        <v>-29</v>
      </c>
      <c r="E2821" s="166">
        <f t="shared" si="200"/>
        <v>1</v>
      </c>
      <c r="F2821" s="166">
        <f t="shared" ca="1" si="201"/>
        <v>84</v>
      </c>
      <c r="G2821" s="166" t="s">
        <v>4666</v>
      </c>
      <c r="H2821" s="171"/>
      <c r="I2821" s="171"/>
      <c r="J2821" s="171"/>
      <c r="K2821" s="171"/>
      <c r="L2821" s="166"/>
      <c r="M2821" s="166"/>
      <c r="N2821" s="166"/>
      <c r="O2821" s="166"/>
      <c r="P2821" s="166">
        <f t="shared" ca="1" si="202"/>
        <v>451</v>
      </c>
      <c r="Q2821" s="166" t="b">
        <v>0</v>
      </c>
    </row>
    <row r="2822" spans="1:17">
      <c r="A2822" s="166" t="b">
        <v>0</v>
      </c>
      <c r="B2822" s="166" t="s">
        <v>5132</v>
      </c>
      <c r="C2822" s="177">
        <v>76</v>
      </c>
      <c r="D2822" s="166">
        <f t="shared" si="199"/>
        <v>-28</v>
      </c>
      <c r="E2822" s="166">
        <f t="shared" si="200"/>
        <v>2</v>
      </c>
      <c r="F2822" s="166">
        <f t="shared" ca="1" si="201"/>
        <v>84</v>
      </c>
      <c r="G2822" s="166" t="s">
        <v>4666</v>
      </c>
      <c r="H2822" s="171"/>
      <c r="I2822" s="171"/>
      <c r="J2822" s="171"/>
      <c r="K2822" s="171"/>
      <c r="L2822" s="166"/>
      <c r="M2822" s="166"/>
      <c r="N2822" s="166"/>
      <c r="O2822" s="166"/>
      <c r="P2822" s="166">
        <f t="shared" ca="1" si="202"/>
        <v>452</v>
      </c>
      <c r="Q2822" s="166" t="b">
        <v>0</v>
      </c>
    </row>
    <row r="2823" spans="1:17">
      <c r="A2823" s="166" t="b">
        <v>0</v>
      </c>
      <c r="B2823" s="166" t="s">
        <v>5133</v>
      </c>
      <c r="C2823" s="177">
        <v>76</v>
      </c>
      <c r="D2823" s="166">
        <f t="shared" si="199"/>
        <v>-27</v>
      </c>
      <c r="E2823" s="166">
        <f t="shared" si="200"/>
        <v>3</v>
      </c>
      <c r="F2823" s="166">
        <f t="shared" ca="1" si="201"/>
        <v>84</v>
      </c>
      <c r="G2823" s="166" t="s">
        <v>4666</v>
      </c>
      <c r="H2823" s="171"/>
      <c r="I2823" s="171"/>
      <c r="J2823" s="171"/>
      <c r="K2823" s="171"/>
      <c r="L2823" s="166"/>
      <c r="M2823" s="166"/>
      <c r="N2823" s="166"/>
      <c r="O2823" s="166"/>
      <c r="P2823" s="166">
        <f t="shared" ca="1" si="202"/>
        <v>453</v>
      </c>
      <c r="Q2823" s="166" t="b">
        <v>0</v>
      </c>
    </row>
    <row r="2824" spans="1:17">
      <c r="A2824" s="166" t="b">
        <v>0</v>
      </c>
      <c r="B2824" s="166" t="s">
        <v>5134</v>
      </c>
      <c r="C2824" s="177">
        <v>76</v>
      </c>
      <c r="D2824" s="166">
        <f t="shared" si="199"/>
        <v>-26</v>
      </c>
      <c r="E2824" s="166">
        <f t="shared" si="200"/>
        <v>4</v>
      </c>
      <c r="F2824" s="166">
        <f t="shared" ca="1" si="201"/>
        <v>84</v>
      </c>
      <c r="G2824" s="166" t="s">
        <v>4666</v>
      </c>
      <c r="H2824" s="171"/>
      <c r="I2824" s="171"/>
      <c r="J2824" s="171"/>
      <c r="K2824" s="171"/>
      <c r="L2824" s="166"/>
      <c r="M2824" s="166"/>
      <c r="N2824" s="166"/>
      <c r="O2824" s="166"/>
      <c r="P2824" s="166">
        <f t="shared" ca="1" si="202"/>
        <v>454</v>
      </c>
      <c r="Q2824" s="166" t="b">
        <v>0</v>
      </c>
    </row>
    <row r="2825" spans="1:17">
      <c r="A2825" s="166" t="b">
        <v>0</v>
      </c>
      <c r="B2825" s="166" t="s">
        <v>5135</v>
      </c>
      <c r="C2825" s="177">
        <v>76</v>
      </c>
      <c r="D2825" s="166">
        <f t="shared" si="199"/>
        <v>-25</v>
      </c>
      <c r="E2825" s="166">
        <f t="shared" si="200"/>
        <v>5</v>
      </c>
      <c r="F2825" s="166">
        <f t="shared" ca="1" si="201"/>
        <v>84</v>
      </c>
      <c r="G2825" s="166" t="s">
        <v>4666</v>
      </c>
      <c r="H2825" s="171"/>
      <c r="I2825" s="171"/>
      <c r="J2825" s="171"/>
      <c r="K2825" s="171"/>
      <c r="L2825" s="166"/>
      <c r="M2825" s="166"/>
      <c r="N2825" s="166"/>
      <c r="O2825" s="166"/>
      <c r="P2825" s="166">
        <f t="shared" ca="1" si="202"/>
        <v>455</v>
      </c>
      <c r="Q2825" s="166" t="b">
        <v>0</v>
      </c>
    </row>
    <row r="2826" spans="1:17">
      <c r="A2826" s="166" t="b">
        <v>0</v>
      </c>
      <c r="B2826" s="166" t="s">
        <v>5136</v>
      </c>
      <c r="C2826" s="177">
        <v>76</v>
      </c>
      <c r="D2826" s="166">
        <f t="shared" si="199"/>
        <v>-24</v>
      </c>
      <c r="E2826" s="166">
        <f t="shared" si="200"/>
        <v>6</v>
      </c>
      <c r="F2826" s="166">
        <f t="shared" ca="1" si="201"/>
        <v>84</v>
      </c>
      <c r="G2826" s="166" t="s">
        <v>4666</v>
      </c>
      <c r="H2826" s="171"/>
      <c r="I2826" s="171"/>
      <c r="J2826" s="171"/>
      <c r="K2826" s="171"/>
      <c r="L2826" s="166"/>
      <c r="M2826" s="166"/>
      <c r="N2826" s="166"/>
      <c r="O2826" s="166"/>
      <c r="P2826" s="166">
        <f t="shared" ca="1" si="202"/>
        <v>456</v>
      </c>
      <c r="Q2826" s="166" t="b">
        <v>0</v>
      </c>
    </row>
    <row r="2827" spans="1:17">
      <c r="A2827" s="166" t="b">
        <v>0</v>
      </c>
      <c r="B2827" s="166" t="s">
        <v>5137</v>
      </c>
      <c r="C2827" s="177">
        <v>77</v>
      </c>
      <c r="D2827" s="166">
        <f t="shared" si="199"/>
        <v>-23</v>
      </c>
      <c r="E2827" s="166">
        <f t="shared" si="200"/>
        <v>1</v>
      </c>
      <c r="F2827" s="166">
        <f t="shared" ca="1" si="201"/>
        <v>85</v>
      </c>
      <c r="G2827" s="166" t="s">
        <v>4668</v>
      </c>
      <c r="H2827" s="171"/>
      <c r="I2827" s="171"/>
      <c r="J2827" s="171"/>
      <c r="K2827" s="171"/>
      <c r="L2827" s="166"/>
      <c r="M2827" s="166"/>
      <c r="N2827" s="166"/>
      <c r="O2827" s="166"/>
      <c r="P2827" s="166">
        <f t="shared" ca="1" si="202"/>
        <v>457</v>
      </c>
      <c r="Q2827" s="166" t="b">
        <v>0</v>
      </c>
    </row>
    <row r="2828" spans="1:17">
      <c r="A2828" s="166" t="b">
        <v>0</v>
      </c>
      <c r="B2828" s="166" t="s">
        <v>5138</v>
      </c>
      <c r="C2828" s="177">
        <v>77</v>
      </c>
      <c r="D2828" s="166">
        <f t="shared" si="199"/>
        <v>-22</v>
      </c>
      <c r="E2828" s="166">
        <f t="shared" si="200"/>
        <v>2</v>
      </c>
      <c r="F2828" s="166">
        <f t="shared" ca="1" si="201"/>
        <v>85</v>
      </c>
      <c r="G2828" s="166" t="s">
        <v>4668</v>
      </c>
      <c r="H2828" s="171"/>
      <c r="I2828" s="171"/>
      <c r="J2828" s="171"/>
      <c r="K2828" s="171"/>
      <c r="L2828" s="166"/>
      <c r="M2828" s="166"/>
      <c r="N2828" s="166"/>
      <c r="O2828" s="166"/>
      <c r="P2828" s="166">
        <f t="shared" ca="1" si="202"/>
        <v>458</v>
      </c>
      <c r="Q2828" s="166" t="b">
        <v>0</v>
      </c>
    </row>
    <row r="2829" spans="1:17">
      <c r="A2829" s="166" t="b">
        <v>0</v>
      </c>
      <c r="B2829" s="166" t="s">
        <v>5139</v>
      </c>
      <c r="C2829" s="177">
        <v>77</v>
      </c>
      <c r="D2829" s="166">
        <f t="shared" si="199"/>
        <v>-21</v>
      </c>
      <c r="E2829" s="166">
        <f t="shared" si="200"/>
        <v>3</v>
      </c>
      <c r="F2829" s="166">
        <f t="shared" ca="1" si="201"/>
        <v>85</v>
      </c>
      <c r="G2829" s="166" t="s">
        <v>4668</v>
      </c>
      <c r="H2829" s="171"/>
      <c r="I2829" s="171"/>
      <c r="J2829" s="171"/>
      <c r="K2829" s="171"/>
      <c r="L2829" s="166"/>
      <c r="M2829" s="166"/>
      <c r="N2829" s="166"/>
      <c r="O2829" s="166"/>
      <c r="P2829" s="166">
        <f t="shared" ca="1" si="202"/>
        <v>459</v>
      </c>
      <c r="Q2829" s="166" t="b">
        <v>0</v>
      </c>
    </row>
    <row r="2830" spans="1:17">
      <c r="A2830" s="166" t="b">
        <v>0</v>
      </c>
      <c r="B2830" s="166" t="s">
        <v>5140</v>
      </c>
      <c r="C2830" s="177">
        <v>77</v>
      </c>
      <c r="D2830" s="166">
        <f t="shared" si="199"/>
        <v>-20</v>
      </c>
      <c r="E2830" s="166">
        <f t="shared" si="200"/>
        <v>4</v>
      </c>
      <c r="F2830" s="166">
        <f t="shared" ca="1" si="201"/>
        <v>85</v>
      </c>
      <c r="G2830" s="166" t="s">
        <v>4668</v>
      </c>
      <c r="H2830" s="171"/>
      <c r="I2830" s="171"/>
      <c r="J2830" s="171"/>
      <c r="K2830" s="171"/>
      <c r="L2830" s="166"/>
      <c r="M2830" s="166"/>
      <c r="N2830" s="166"/>
      <c r="O2830" s="166"/>
      <c r="P2830" s="166">
        <f t="shared" ca="1" si="202"/>
        <v>460</v>
      </c>
      <c r="Q2830" s="166" t="b">
        <v>0</v>
      </c>
    </row>
    <row r="2831" spans="1:17">
      <c r="A2831" s="166" t="b">
        <v>0</v>
      </c>
      <c r="B2831" s="166" t="s">
        <v>5141</v>
      </c>
      <c r="C2831" s="177">
        <v>77</v>
      </c>
      <c r="D2831" s="166">
        <f t="shared" si="199"/>
        <v>-19</v>
      </c>
      <c r="E2831" s="166">
        <f t="shared" si="200"/>
        <v>5</v>
      </c>
      <c r="F2831" s="166">
        <f t="shared" ca="1" si="201"/>
        <v>85</v>
      </c>
      <c r="G2831" s="166" t="s">
        <v>4668</v>
      </c>
      <c r="H2831" s="171"/>
      <c r="I2831" s="171"/>
      <c r="J2831" s="171"/>
      <c r="K2831" s="171"/>
      <c r="L2831" s="166"/>
      <c r="M2831" s="166"/>
      <c r="N2831" s="166"/>
      <c r="O2831" s="166"/>
      <c r="P2831" s="166">
        <f t="shared" ca="1" si="202"/>
        <v>461</v>
      </c>
      <c r="Q2831" s="166" t="b">
        <v>0</v>
      </c>
    </row>
    <row r="2832" spans="1:17">
      <c r="A2832" s="166" t="b">
        <v>0</v>
      </c>
      <c r="B2832" s="166" t="s">
        <v>5142</v>
      </c>
      <c r="C2832" s="177">
        <v>77</v>
      </c>
      <c r="D2832" s="166">
        <f t="shared" si="199"/>
        <v>-18</v>
      </c>
      <c r="E2832" s="166">
        <f t="shared" si="200"/>
        <v>6</v>
      </c>
      <c r="F2832" s="166">
        <f t="shared" ca="1" si="201"/>
        <v>85</v>
      </c>
      <c r="G2832" s="166" t="s">
        <v>4668</v>
      </c>
      <c r="H2832" s="171"/>
      <c r="I2832" s="171"/>
      <c r="J2832" s="171"/>
      <c r="K2832" s="171"/>
      <c r="L2832" s="166"/>
      <c r="M2832" s="166"/>
      <c r="N2832" s="166"/>
      <c r="O2832" s="166"/>
      <c r="P2832" s="166">
        <f t="shared" ca="1" si="202"/>
        <v>462</v>
      </c>
      <c r="Q2832" s="166" t="b">
        <v>0</v>
      </c>
    </row>
    <row r="2833" spans="1:17">
      <c r="A2833" s="166" t="b">
        <v>0</v>
      </c>
      <c r="B2833" s="166" t="s">
        <v>5143</v>
      </c>
      <c r="C2833" s="177">
        <v>78</v>
      </c>
      <c r="D2833" s="166">
        <f t="shared" si="199"/>
        <v>-17</v>
      </c>
      <c r="E2833" s="166">
        <f t="shared" si="200"/>
        <v>1</v>
      </c>
      <c r="F2833" s="166">
        <f t="shared" ca="1" si="201"/>
        <v>86</v>
      </c>
      <c r="G2833" s="166" t="s">
        <v>4670</v>
      </c>
      <c r="H2833" s="171"/>
      <c r="I2833" s="171"/>
      <c r="J2833" s="171"/>
      <c r="K2833" s="171"/>
      <c r="L2833" s="166"/>
      <c r="M2833" s="166"/>
      <c r="N2833" s="166"/>
      <c r="O2833" s="166"/>
      <c r="P2833" s="166">
        <f t="shared" ca="1" si="202"/>
        <v>463</v>
      </c>
      <c r="Q2833" s="166" t="b">
        <v>0</v>
      </c>
    </row>
    <row r="2834" spans="1:17">
      <c r="A2834" s="166" t="b">
        <v>0</v>
      </c>
      <c r="B2834" s="166" t="s">
        <v>5144</v>
      </c>
      <c r="C2834" s="177">
        <v>78</v>
      </c>
      <c r="D2834" s="166">
        <f t="shared" si="199"/>
        <v>-16</v>
      </c>
      <c r="E2834" s="166">
        <f t="shared" si="200"/>
        <v>2</v>
      </c>
      <c r="F2834" s="166">
        <f t="shared" ca="1" si="201"/>
        <v>86</v>
      </c>
      <c r="G2834" s="166" t="s">
        <v>4670</v>
      </c>
      <c r="H2834" s="171"/>
      <c r="I2834" s="171"/>
      <c r="J2834" s="171"/>
      <c r="K2834" s="171"/>
      <c r="L2834" s="166"/>
      <c r="M2834" s="166"/>
      <c r="N2834" s="166"/>
      <c r="O2834" s="166"/>
      <c r="P2834" s="166">
        <f t="shared" ca="1" si="202"/>
        <v>464</v>
      </c>
      <c r="Q2834" s="166" t="b">
        <v>0</v>
      </c>
    </row>
    <row r="2835" spans="1:17">
      <c r="A2835" s="166" t="b">
        <v>0</v>
      </c>
      <c r="B2835" s="166" t="s">
        <v>5145</v>
      </c>
      <c r="C2835" s="177">
        <v>78</v>
      </c>
      <c r="D2835" s="166">
        <f t="shared" si="199"/>
        <v>-15</v>
      </c>
      <c r="E2835" s="166">
        <f t="shared" si="200"/>
        <v>3</v>
      </c>
      <c r="F2835" s="166">
        <f t="shared" ca="1" si="201"/>
        <v>86</v>
      </c>
      <c r="G2835" s="166" t="s">
        <v>4670</v>
      </c>
      <c r="H2835" s="171"/>
      <c r="I2835" s="171"/>
      <c r="J2835" s="171"/>
      <c r="K2835" s="171"/>
      <c r="L2835" s="166"/>
      <c r="M2835" s="166"/>
      <c r="N2835" s="166"/>
      <c r="O2835" s="166"/>
      <c r="P2835" s="166">
        <f t="shared" ca="1" si="202"/>
        <v>465</v>
      </c>
      <c r="Q2835" s="166" t="b">
        <v>0</v>
      </c>
    </row>
    <row r="2836" spans="1:17">
      <c r="A2836" s="166" t="b">
        <v>0</v>
      </c>
      <c r="B2836" s="166" t="s">
        <v>5146</v>
      </c>
      <c r="C2836" s="177">
        <v>78</v>
      </c>
      <c r="D2836" s="166">
        <f t="shared" si="199"/>
        <v>-14</v>
      </c>
      <c r="E2836" s="166">
        <f t="shared" si="200"/>
        <v>4</v>
      </c>
      <c r="F2836" s="166">
        <f t="shared" ca="1" si="201"/>
        <v>86</v>
      </c>
      <c r="G2836" s="166" t="s">
        <v>4670</v>
      </c>
      <c r="H2836" s="171"/>
      <c r="I2836" s="171"/>
      <c r="J2836" s="171"/>
      <c r="K2836" s="171"/>
      <c r="L2836" s="166"/>
      <c r="M2836" s="166"/>
      <c r="N2836" s="166"/>
      <c r="O2836" s="166"/>
      <c r="P2836" s="166">
        <f t="shared" ca="1" si="202"/>
        <v>466</v>
      </c>
      <c r="Q2836" s="166" t="b">
        <v>0</v>
      </c>
    </row>
    <row r="2837" spans="1:17">
      <c r="A2837" s="166" t="b">
        <v>0</v>
      </c>
      <c r="B2837" s="166" t="s">
        <v>5147</v>
      </c>
      <c r="C2837" s="177">
        <v>78</v>
      </c>
      <c r="D2837" s="166">
        <f t="shared" si="199"/>
        <v>-13</v>
      </c>
      <c r="E2837" s="166">
        <f t="shared" si="200"/>
        <v>5</v>
      </c>
      <c r="F2837" s="166">
        <f t="shared" ca="1" si="201"/>
        <v>86</v>
      </c>
      <c r="G2837" s="166" t="s">
        <v>4670</v>
      </c>
      <c r="H2837" s="171"/>
      <c r="I2837" s="171"/>
      <c r="J2837" s="171"/>
      <c r="K2837" s="171"/>
      <c r="L2837" s="166"/>
      <c r="M2837" s="166"/>
      <c r="N2837" s="166"/>
      <c r="O2837" s="166"/>
      <c r="P2837" s="166">
        <f t="shared" ca="1" si="202"/>
        <v>467</v>
      </c>
      <c r="Q2837" s="166" t="b">
        <v>0</v>
      </c>
    </row>
    <row r="2838" spans="1:17">
      <c r="A2838" s="166" t="b">
        <v>0</v>
      </c>
      <c r="B2838" s="166" t="s">
        <v>5148</v>
      </c>
      <c r="C2838" s="177">
        <v>78</v>
      </c>
      <c r="D2838" s="166">
        <f t="shared" si="199"/>
        <v>-12</v>
      </c>
      <c r="E2838" s="166">
        <f t="shared" si="200"/>
        <v>6</v>
      </c>
      <c r="F2838" s="166">
        <f t="shared" ca="1" si="201"/>
        <v>86</v>
      </c>
      <c r="G2838" s="166" t="s">
        <v>4670</v>
      </c>
      <c r="H2838" s="171"/>
      <c r="I2838" s="171"/>
      <c r="J2838" s="171"/>
      <c r="K2838" s="171"/>
      <c r="L2838" s="166"/>
      <c r="M2838" s="166"/>
      <c r="N2838" s="166"/>
      <c r="O2838" s="166"/>
      <c r="P2838" s="166">
        <f t="shared" ca="1" si="202"/>
        <v>468</v>
      </c>
      <c r="Q2838" s="166" t="b">
        <v>0</v>
      </c>
    </row>
    <row r="2839" spans="1:17">
      <c r="A2839" s="166" t="b">
        <v>0</v>
      </c>
      <c r="B2839" s="166" t="s">
        <v>5149</v>
      </c>
      <c r="C2839" s="177">
        <v>79</v>
      </c>
      <c r="D2839" s="166">
        <f t="shared" si="199"/>
        <v>-11</v>
      </c>
      <c r="E2839" s="166">
        <f t="shared" si="200"/>
        <v>1</v>
      </c>
      <c r="F2839" s="166">
        <f t="shared" ca="1" si="201"/>
        <v>87</v>
      </c>
      <c r="G2839" s="166" t="s">
        <v>4672</v>
      </c>
      <c r="H2839" s="171"/>
      <c r="I2839" s="171"/>
      <c r="J2839" s="171"/>
      <c r="K2839" s="171"/>
      <c r="L2839" s="166"/>
      <c r="M2839" s="166"/>
      <c r="N2839" s="166"/>
      <c r="O2839" s="166"/>
      <c r="P2839" s="166">
        <f t="shared" ca="1" si="202"/>
        <v>469</v>
      </c>
      <c r="Q2839" s="166" t="b">
        <v>0</v>
      </c>
    </row>
    <row r="2840" spans="1:17">
      <c r="A2840" s="166" t="b">
        <v>0</v>
      </c>
      <c r="B2840" s="166" t="s">
        <v>5150</v>
      </c>
      <c r="C2840" s="177">
        <v>79</v>
      </c>
      <c r="D2840" s="166">
        <f t="shared" si="199"/>
        <v>-10</v>
      </c>
      <c r="E2840" s="166">
        <f t="shared" si="200"/>
        <v>2</v>
      </c>
      <c r="F2840" s="166">
        <f t="shared" ca="1" si="201"/>
        <v>87</v>
      </c>
      <c r="G2840" s="166" t="s">
        <v>4672</v>
      </c>
      <c r="H2840" s="171"/>
      <c r="I2840" s="171"/>
      <c r="J2840" s="171"/>
      <c r="K2840" s="171"/>
      <c r="L2840" s="166"/>
      <c r="M2840" s="166"/>
      <c r="N2840" s="166"/>
      <c r="O2840" s="166"/>
      <c r="P2840" s="166">
        <f t="shared" ca="1" si="202"/>
        <v>470</v>
      </c>
      <c r="Q2840" s="166" t="b">
        <v>0</v>
      </c>
    </row>
    <row r="2841" spans="1:17">
      <c r="A2841" s="166" t="b">
        <v>0</v>
      </c>
      <c r="B2841" s="166" t="s">
        <v>5151</v>
      </c>
      <c r="C2841" s="177">
        <v>79</v>
      </c>
      <c r="D2841" s="166">
        <f t="shared" si="199"/>
        <v>-9</v>
      </c>
      <c r="E2841" s="166">
        <f t="shared" si="200"/>
        <v>3</v>
      </c>
      <c r="F2841" s="166">
        <f t="shared" ca="1" si="201"/>
        <v>87</v>
      </c>
      <c r="G2841" s="166" t="s">
        <v>4672</v>
      </c>
      <c r="H2841" s="171"/>
      <c r="I2841" s="171"/>
      <c r="J2841" s="171"/>
      <c r="K2841" s="171"/>
      <c r="L2841" s="166"/>
      <c r="M2841" s="166"/>
      <c r="N2841" s="166"/>
      <c r="O2841" s="166"/>
      <c r="P2841" s="166">
        <f t="shared" ca="1" si="202"/>
        <v>471</v>
      </c>
      <c r="Q2841" s="166" t="b">
        <v>0</v>
      </c>
    </row>
    <row r="2842" spans="1:17">
      <c r="A2842" s="166" t="b">
        <v>0</v>
      </c>
      <c r="B2842" s="166" t="s">
        <v>5152</v>
      </c>
      <c r="C2842" s="177">
        <v>79</v>
      </c>
      <c r="D2842" s="166">
        <f t="shared" si="199"/>
        <v>-8</v>
      </c>
      <c r="E2842" s="166">
        <f t="shared" si="200"/>
        <v>4</v>
      </c>
      <c r="F2842" s="166">
        <f t="shared" ca="1" si="201"/>
        <v>87</v>
      </c>
      <c r="G2842" s="166" t="s">
        <v>4672</v>
      </c>
      <c r="H2842" s="171"/>
      <c r="I2842" s="171"/>
      <c r="J2842" s="171"/>
      <c r="K2842" s="171"/>
      <c r="L2842" s="166"/>
      <c r="M2842" s="166"/>
      <c r="N2842" s="166"/>
      <c r="O2842" s="166"/>
      <c r="P2842" s="166">
        <f t="shared" ca="1" si="202"/>
        <v>472</v>
      </c>
      <c r="Q2842" s="166" t="b">
        <v>0</v>
      </c>
    </row>
    <row r="2843" spans="1:17">
      <c r="A2843" s="166" t="b">
        <v>0</v>
      </c>
      <c r="B2843" s="166" t="s">
        <v>5153</v>
      </c>
      <c r="C2843" s="177">
        <v>79</v>
      </c>
      <c r="D2843" s="166">
        <f t="shared" si="199"/>
        <v>-7</v>
      </c>
      <c r="E2843" s="166">
        <f t="shared" si="200"/>
        <v>5</v>
      </c>
      <c r="F2843" s="166">
        <f t="shared" ca="1" si="201"/>
        <v>87</v>
      </c>
      <c r="G2843" s="166" t="s">
        <v>4672</v>
      </c>
      <c r="H2843" s="171"/>
      <c r="I2843" s="171"/>
      <c r="J2843" s="171"/>
      <c r="K2843" s="171"/>
      <c r="L2843" s="166"/>
      <c r="M2843" s="166"/>
      <c r="N2843" s="166"/>
      <c r="O2843" s="166"/>
      <c r="P2843" s="166">
        <f t="shared" ca="1" si="202"/>
        <v>473</v>
      </c>
      <c r="Q2843" s="166" t="b">
        <v>0</v>
      </c>
    </row>
    <row r="2844" spans="1:17">
      <c r="A2844" s="166" t="b">
        <v>0</v>
      </c>
      <c r="B2844" s="166" t="s">
        <v>5154</v>
      </c>
      <c r="C2844" s="177">
        <v>79</v>
      </c>
      <c r="D2844" s="166">
        <f t="shared" si="199"/>
        <v>-6</v>
      </c>
      <c r="E2844" s="166">
        <f t="shared" si="200"/>
        <v>6</v>
      </c>
      <c r="F2844" s="166">
        <f t="shared" ca="1" si="201"/>
        <v>87</v>
      </c>
      <c r="G2844" s="166" t="s">
        <v>4672</v>
      </c>
      <c r="H2844" s="171"/>
      <c r="I2844" s="171"/>
      <c r="J2844" s="171"/>
      <c r="K2844" s="171"/>
      <c r="L2844" s="166"/>
      <c r="M2844" s="166"/>
      <c r="N2844" s="166"/>
      <c r="O2844" s="166"/>
      <c r="P2844" s="166">
        <f t="shared" ca="1" si="202"/>
        <v>474</v>
      </c>
      <c r="Q2844" s="166" t="b">
        <v>0</v>
      </c>
    </row>
    <row r="2845" spans="1:17">
      <c r="A2845" s="166" t="b">
        <v>0</v>
      </c>
      <c r="B2845" s="166" t="s">
        <v>5155</v>
      </c>
      <c r="C2845" s="177">
        <v>80</v>
      </c>
      <c r="D2845" s="166">
        <f t="shared" si="199"/>
        <v>-5</v>
      </c>
      <c r="E2845" s="166">
        <f t="shared" si="200"/>
        <v>1</v>
      </c>
      <c r="F2845" s="166">
        <f t="shared" ca="1" si="201"/>
        <v>88</v>
      </c>
      <c r="G2845" s="166" t="s">
        <v>4674</v>
      </c>
      <c r="H2845" s="171"/>
      <c r="I2845" s="171"/>
      <c r="J2845" s="171"/>
      <c r="K2845" s="171"/>
      <c r="L2845" s="166"/>
      <c r="M2845" s="166"/>
      <c r="N2845" s="166"/>
      <c r="O2845" s="166"/>
      <c r="P2845" s="166">
        <f t="shared" ca="1" si="202"/>
        <v>475</v>
      </c>
      <c r="Q2845" s="166" t="b">
        <v>0</v>
      </c>
    </row>
    <row r="2846" spans="1:17">
      <c r="A2846" s="166" t="b">
        <v>0</v>
      </c>
      <c r="B2846" s="166" t="s">
        <v>5156</v>
      </c>
      <c r="C2846" s="177">
        <v>80</v>
      </c>
      <c r="D2846" s="166">
        <f t="shared" si="199"/>
        <v>-4</v>
      </c>
      <c r="E2846" s="166">
        <f t="shared" si="200"/>
        <v>2</v>
      </c>
      <c r="F2846" s="166">
        <f t="shared" ca="1" si="201"/>
        <v>88</v>
      </c>
      <c r="G2846" s="166" t="s">
        <v>4674</v>
      </c>
      <c r="H2846" s="171"/>
      <c r="I2846" s="171"/>
      <c r="J2846" s="171"/>
      <c r="K2846" s="171"/>
      <c r="L2846" s="166"/>
      <c r="M2846" s="166"/>
      <c r="N2846" s="166"/>
      <c r="O2846" s="166"/>
      <c r="P2846" s="166">
        <f t="shared" ca="1" si="202"/>
        <v>476</v>
      </c>
      <c r="Q2846" s="166" t="b">
        <v>0</v>
      </c>
    </row>
    <row r="2847" spans="1:17">
      <c r="A2847" s="166" t="b">
        <v>0</v>
      </c>
      <c r="B2847" s="166" t="s">
        <v>5157</v>
      </c>
      <c r="C2847" s="177">
        <v>80</v>
      </c>
      <c r="D2847" s="166">
        <f t="shared" si="199"/>
        <v>-3</v>
      </c>
      <c r="E2847" s="166">
        <f t="shared" si="200"/>
        <v>3</v>
      </c>
      <c r="F2847" s="166">
        <f t="shared" ca="1" si="201"/>
        <v>88</v>
      </c>
      <c r="G2847" s="166" t="s">
        <v>4674</v>
      </c>
      <c r="H2847" s="171"/>
      <c r="I2847" s="171"/>
      <c r="J2847" s="171"/>
      <c r="K2847" s="171"/>
      <c r="L2847" s="166"/>
      <c r="M2847" s="166"/>
      <c r="N2847" s="166"/>
      <c r="O2847" s="166"/>
      <c r="P2847" s="166">
        <f t="shared" ca="1" si="202"/>
        <v>477</v>
      </c>
      <c r="Q2847" s="166" t="b">
        <v>0</v>
      </c>
    </row>
    <row r="2848" spans="1:17">
      <c r="A2848" s="166" t="b">
        <v>0</v>
      </c>
      <c r="B2848" s="166" t="s">
        <v>5158</v>
      </c>
      <c r="C2848" s="177">
        <v>80</v>
      </c>
      <c r="D2848" s="166">
        <f t="shared" si="199"/>
        <v>-2</v>
      </c>
      <c r="E2848" s="166">
        <f t="shared" si="200"/>
        <v>4</v>
      </c>
      <c r="F2848" s="166">
        <f t="shared" ca="1" si="201"/>
        <v>88</v>
      </c>
      <c r="G2848" s="166" t="s">
        <v>4674</v>
      </c>
      <c r="H2848" s="171"/>
      <c r="I2848" s="171"/>
      <c r="J2848" s="171"/>
      <c r="K2848" s="171"/>
      <c r="L2848" s="166"/>
      <c r="M2848" s="166"/>
      <c r="N2848" s="166"/>
      <c r="O2848" s="166"/>
      <c r="P2848" s="166">
        <f t="shared" ca="1" si="202"/>
        <v>478</v>
      </c>
      <c r="Q2848" s="166" t="b">
        <v>0</v>
      </c>
    </row>
    <row r="2849" spans="1:17">
      <c r="A2849" s="166" t="b">
        <v>0</v>
      </c>
      <c r="B2849" s="166" t="s">
        <v>5159</v>
      </c>
      <c r="C2849" s="177">
        <v>80</v>
      </c>
      <c r="D2849" s="166">
        <f t="shared" si="199"/>
        <v>-1</v>
      </c>
      <c r="E2849" s="166">
        <f t="shared" si="200"/>
        <v>5</v>
      </c>
      <c r="F2849" s="166">
        <f t="shared" ca="1" si="201"/>
        <v>88</v>
      </c>
      <c r="G2849" s="166" t="s">
        <v>4674</v>
      </c>
      <c r="H2849" s="171"/>
      <c r="I2849" s="171"/>
      <c r="J2849" s="171"/>
      <c r="K2849" s="171"/>
      <c r="L2849" s="166"/>
      <c r="M2849" s="166"/>
      <c r="N2849" s="166"/>
      <c r="O2849" s="166"/>
      <c r="P2849" s="166">
        <f t="shared" ca="1" si="202"/>
        <v>479</v>
      </c>
      <c r="Q2849" s="166" t="b">
        <v>0</v>
      </c>
    </row>
    <row r="2850" spans="1:17">
      <c r="A2850" s="166" t="b">
        <v>0</v>
      </c>
      <c r="B2850" s="166" t="s">
        <v>5160</v>
      </c>
      <c r="C2850" s="177">
        <v>80</v>
      </c>
      <c r="D2850" s="166">
        <f t="shared" si="199"/>
        <v>0</v>
      </c>
      <c r="E2850" s="166">
        <f t="shared" si="200"/>
        <v>6</v>
      </c>
      <c r="F2850" s="166">
        <f t="shared" ca="1" si="201"/>
        <v>88</v>
      </c>
      <c r="G2850" s="166" t="s">
        <v>4674</v>
      </c>
      <c r="H2850" s="171"/>
      <c r="I2850" s="171"/>
      <c r="J2850" s="171"/>
      <c r="K2850" s="171"/>
      <c r="L2850" s="166"/>
      <c r="M2850" s="166"/>
      <c r="N2850" s="166"/>
      <c r="O2850" s="166"/>
      <c r="P2850" s="166">
        <f t="shared" ca="1" si="202"/>
        <v>480</v>
      </c>
      <c r="Q2850" s="166" t="b">
        <v>0</v>
      </c>
    </row>
    <row r="2851" spans="1:17">
      <c r="A2851" s="166" t="b">
        <f t="shared" ref="A2851:A2914" ca="1" si="203">IF(OR(AND(J2851&lt;&gt;"",J2851&lt;&gt;0),AND(K2851&lt;&gt;"",K2851&lt;&gt;0)),TRUE,FALSE)</f>
        <v>1</v>
      </c>
      <c r="B2851" s="172" t="str">
        <f ca="1">IF(COUNTA(G$2368:G2850)=1,"",OFFSET(B2851,-COUNTA(G$2368:G2850)+1,0))</f>
        <v>a1b3p000006eF2IAAU</v>
      </c>
      <c r="C2851" s="177">
        <f ca="1">IF(COUNTA(G$2368:G2850)=1,"",OFFSET(C2851,-COUNTA(G$2368:G2850)+1,0))</f>
        <v>1</v>
      </c>
      <c r="D2851" s="166">
        <f t="shared" si="199"/>
        <v>1</v>
      </c>
      <c r="E2851" s="166">
        <f t="shared" ca="1" si="200"/>
        <v>1</v>
      </c>
      <c r="F2851" s="166">
        <f t="shared" ca="1" si="201"/>
        <v>9</v>
      </c>
      <c r="G2851" s="166"/>
      <c r="H2851" s="171" t="str">
        <f t="shared" ref="H2851:H2914" ca="1" si="204">CHOOSE(E2851,IFERROR(IF(INDIRECT("'WPTM - Section F'!K"&amp;F2851)=0,"",INDIRECT("'WPTM - Section F'!K"&amp;$F2851)),""),IFERROR(IF(INDIRECT("'WPTM - Section F'!O"&amp;F2851)=0,"",INDIRECT("'WPTM - Section F'!O"&amp;$F2851)),""),IFERROR(IF(INDIRECT("'WPTM - Section F'!S"&amp;F2851)=0,"",INDIRECT("'WPTM - Section F'!S"&amp;$F2851)),""),IFERROR(IF(INDIRECT("'WPTM - Section F'!W"&amp;F2851)=0,"",INDIRECT("'WPTM - Section F'!W"&amp;$F2851)),""),IFERROR(IF(INDIRECT("'WPTM - Section F'!AA"&amp;F2851)=0,"",INDIRECT("'WPTM - Section F'!AA"&amp;$F2851)),""),IFERROR(IF(INDIRECT("'WPTM - Section F'!AE"&amp;F2851)=0,"",INDIRECT("'WPTM - Section F'!AE"&amp;$F2851)),""),IFERROR(IF(INDIRECT("'WPTM - Section F'!AI"&amp;F2851)=0,"",INDIRECT("'WPTM - Section F'!AI"&amp;$F2851)),""),IFERROR(IF(INDIRECT("'WPTM - Section F'!AM"&amp;F2851)=0,"",INDIRECT("'WPTM - Section F'!AM"&amp;$F2851)),""),)</f>
        <v>Not started (0): The PR submits no progress against the milestones for the period.
Initiated (1): Principal Recipient submits a draft survey report.
Advanced (2): The Principal Recipient submits a final survey report validated by the Ministry of Health and stakeholders.
Completed (3): The PR submits a final survey report validated by the MoH and stakeholders, and evidence that it has been used by the MoH as a basis for the development of differentiated packages of services for FSW</v>
      </c>
      <c r="I2851" s="171" t="str">
        <f t="shared" ref="I2851:I2914" ca="1" si="205">CHOOSE(E2851,IFERROR(IF(INDIRECT("'WPTM - Section F'!J"&amp;F2851)=0,"",INDIRECT("'WPTM - Section F'!J"&amp;$F2851)),""),IFERROR(IF(INDIRECT("'WPTM - Section F'!N"&amp;F2851)=0,"",INDIRECT("'WPTM - Section F'!N"&amp;$F2851)),""),IFERROR(IF(INDIRECT("'WPTM - Section F'!R"&amp;F2851)=0,"",INDIRECT("'WPTM - Section F'!R"&amp;$F2851)),""),IFERROR(IF(INDIRECT("'WPTM - Section F'!V"&amp;F2851)=0,"",INDIRECT("'WPTM - Section F'!V"&amp;$F2851)),""),IFERROR(IF(INDIRECT("'WPTM - Section F'!Z"&amp;F2851)=0,"",INDIRECT("'WPTM - Section F'!Z"&amp;$F2851)),""),IFERROR(IF(INDIRECT("'WPTM - Section F'!AD"&amp;F2851)=0,"",INDIRECT("'WPTM - Section F'!AD"&amp;$F2851)),""),IFERROR(IF(INDIRECT("'WPTM - Section F'!AH"&amp;F2851)=0,"",INDIRECT("'WPTM - Section F'!AH"&amp;$F2851)),""),IFERROR(IF(INDIRECT("'WPTM - Section F'!AL"&amp;F2851)=0,"",INDIRECT("'WPTM - Section F'!AL"&amp;$F2851)),""),)</f>
        <v>The country has completed the biological and behavioral survey and an estimate of the size of the sex worker populations, including those without a health card, has been obtained by geographic area allowing for the development of differentiated packages of services.</v>
      </c>
      <c r="J2851" s="171" t="str">
        <f t="shared" ref="J2851:J2914" ca="1" si="206">CHOOSE(E2851,IFERROR(IF(INDIRECT("'WPTM - Section F'!H"&amp;F2851)=0,"",INDIRECT("'WPTM - Section F'!H"&amp;$F2851)),""),IFERROR(IF(INDIRECT("'WPTM - Section F'!L"&amp;F2851)=0,"",INDIRECT("'WPTM - Section F'!L"&amp;$F2851)),""),IFERROR(IF(INDIRECT("'WPTM - Section F'!P"&amp;F2851)=0,"",INDIRECT("'WPTM - Section F'!P"&amp;$F2851)),""),IFERROR(IF(INDIRECT("'WPTM - Section F'!T"&amp;F2851)=0,"",INDIRECT("'WPTM - Section F'!T"&amp;$F2851)),""),IFERROR(IF(INDIRECT("'WPTM - Section F'!X"&amp;F2851)=0,"",INDIRECT("'WPTM - Section F'!X"&amp;$F2851)),""),IFERROR(IF(INDIRECT("'WPTM - Section F'!AB"&amp;F2851)=0,"",INDIRECT("'WPTM - Section F'!AB"&amp;$F2851)),""),IFERROR(IF(INDIRECT("'WPTM - Section F'!AF"&amp;F2851)=0,"",INDIRECT("'WPTM - Section F'!AF"&amp;$F2851)),""),IFERROR(IF(INDIRECT("'WPTM - Section F'!AJ"&amp;F2851)=0,"",INDIRECT("'WPTM - Section F'!AJ"&amp;$F2851)),""),)</f>
        <v>El país ha completado la encuesta biológica y comportamental y se ha obtenido una estimación del tamaño de las poblaciones de trabajadoras sexuales, incluidas aquellas que carecen de tarjeta sanitaria, por área geográfica permitiendo el desarrollo de paquetes diferenciados de servicios</v>
      </c>
      <c r="K2851" s="171" t="str">
        <f t="shared" ref="K2851:K2914" ca="1" si="207">CHOOSE(E2851,IFERROR(IF(INDIRECT("'WPTM - Section F'!I"&amp;F2851)=0,"",INDIRECT("'WPTM - Section F'!I"&amp;$F2851)),""),IFERROR(IF(INDIRECT("'WPTM - Section F'!M"&amp;F2851)=0,"",INDIRECT("'WPTM - Section F'!M"&amp;$F2851)),""),IFERROR(IF(INDIRECT("'WPTM - Section F'!Q"&amp;F2851)=0,"",INDIRECT("'WPTM - Section F'!Q"&amp;$F2851)),""),IFERROR(IF(INDIRECT("'WPTM - Section F'!U"&amp;F2851)=0,"",INDIRECT("'WPTM - Section F'!U"&amp;$F2851)),""),IFERROR(IF(INDIRECT("'WPTM - Section F'!Y"&amp;F2851)=0,"",INDIRECT("'WPTM - Section F'!Y"&amp;$F2851)),""),IFERROR(IF(INDIRECT("'WPTM - Section F'!AC"&amp;F2851)=0,"",INDIRECT("'WPTM - Section F'!AC"&amp;$F2851)),""),IFERROR(IF(INDIRECT("'WPTM - Section F'!AG"&amp;F2851)=0,"",INDIRECT("'WPTM - Section F'!AG"&amp;$F2851)),""),IFERROR(IF(INDIRECT("'WPTM - Section F'!AK"&amp;F2851)=0,"",INDIRECT("'WPTM - Section F'!AK"&amp;$F2851)),""),)</f>
        <v>No iniciada (0): El RP presenta ningún avance contra los el hito para el período.
Iniciada (1): El RP presenta un borrador del reporte de la encuesta
Avanzada (2): El RP presenta un reporte final de la encuesta validado por el Ministerio de Salud y las partes interesadas
Completada (3): El RP presenta un reporte final de la encuesta validado por el Ministerio de Salud y las partes interesadas, y evidencias de que se ha utilizado por el Ministerio de Salud como base para el desarrollo de paquetes diferenciados de servicios para las MTS</v>
      </c>
      <c r="L2851" s="166"/>
      <c r="M2851" s="166"/>
      <c r="N2851" s="166"/>
      <c r="O2851" s="166"/>
      <c r="P2851" s="166">
        <f t="shared" ca="1" si="202"/>
        <v>0</v>
      </c>
      <c r="Q2851" s="166"/>
    </row>
    <row r="2852" spans="1:17">
      <c r="A2852" s="166" t="b">
        <f t="shared" ca="1" si="203"/>
        <v>0</v>
      </c>
      <c r="B2852" s="172" t="str">
        <f ca="1">IF(COUNTA(G$2368:G2851)=1,"",OFFSET(B2852,-COUNTA(G$2368:G2851)+1,0))</f>
        <v>a1b3p000006eF3aAAE</v>
      </c>
      <c r="C2852" s="177">
        <f ca="1">IF(COUNTA(G$2368:G2851)=1,"",OFFSET(C2852,-COUNTA(G$2368:G2851)+1,0))</f>
        <v>1</v>
      </c>
      <c r="D2852" s="166">
        <f t="shared" si="199"/>
        <v>2</v>
      </c>
      <c r="E2852" s="166">
        <f t="shared" ca="1" si="200"/>
        <v>2</v>
      </c>
      <c r="F2852" s="166">
        <f t="shared" ca="1" si="201"/>
        <v>9</v>
      </c>
      <c r="G2852" s="166"/>
      <c r="H2852" s="171" t="str">
        <f t="shared" ca="1" si="204"/>
        <v/>
      </c>
      <c r="I2852" s="171" t="str">
        <f t="shared" ca="1" si="205"/>
        <v/>
      </c>
      <c r="J2852" s="171" t="str">
        <f t="shared" ca="1" si="206"/>
        <v/>
      </c>
      <c r="K2852" s="171" t="str">
        <f t="shared" ca="1" si="207"/>
        <v/>
      </c>
      <c r="L2852" s="166"/>
      <c r="M2852" s="166"/>
      <c r="N2852" s="166"/>
      <c r="O2852" s="166"/>
      <c r="P2852" s="166">
        <f t="shared" ca="1" si="202"/>
        <v>0</v>
      </c>
      <c r="Q2852" s="166"/>
    </row>
    <row r="2853" spans="1:17">
      <c r="A2853" s="166" t="b">
        <f t="shared" ca="1" si="203"/>
        <v>1</v>
      </c>
      <c r="B2853" s="172" t="str">
        <f ca="1">IF(COUNTA(G$2368:G2852)=1,"",OFFSET(B2853,-COUNTA(G$2368:G2852)+1,0))</f>
        <v>a1b3p000006eF4sAAE</v>
      </c>
      <c r="C2853" s="177">
        <f ca="1">IF(COUNTA(G$2368:G2852)=1,"",OFFSET(C2853,-COUNTA(G$2368:G2852)+1,0))</f>
        <v>1</v>
      </c>
      <c r="D2853" s="166">
        <f t="shared" si="199"/>
        <v>3</v>
      </c>
      <c r="E2853" s="166">
        <f t="shared" ca="1" si="200"/>
        <v>3</v>
      </c>
      <c r="F2853" s="166">
        <f t="shared" ca="1" si="201"/>
        <v>9</v>
      </c>
      <c r="G2853" s="166"/>
      <c r="H2853" s="171" t="str">
        <f t="shared" ca="1" si="204"/>
        <v/>
      </c>
      <c r="I2853" s="171" t="str">
        <f t="shared" ca="1" si="205"/>
        <v/>
      </c>
      <c r="J2853" s="171" t="str">
        <f t="shared" ca="1" si="206"/>
        <v>El país ha completado las encuestas biológicas y comportamentales para población GB-HSH y TRANS siguiendo la metodología RDS en el caso de HSH y TLS para las mujeres transgénero, y se ha obtenido una estimación del tamaño de las poblaciones, incluidas aquellas que carecen de tarjeta sanitaria, por área geográfica permitiendo el desarrollo de paquetes diferenciados de servicios</v>
      </c>
      <c r="K2853" s="171" t="str">
        <f t="shared" ca="1" si="207"/>
        <v>Calificación de la MSPT:
No iniciada (0): El RP presenta ningún avance contra los el hito para el período.
Iniciada (1): El RP presenta borradores de los reportes de ambas encuestas
Avanzada (2): El RP presenta reportes finales de ambas encuestas validados por el Ministerio de Salud y las partes interesadas
Completada (3): El RP presenta reportes finales de ambas encuestas validados por el Ministerio de Salud y las partes interesadas, y evidencias de que se han utilizado por el Ministerio de Salud como base para el desarrollo de paquetes diferenciados de servicios para las PC</v>
      </c>
      <c r="L2853" s="166"/>
      <c r="M2853" s="166"/>
      <c r="N2853" s="166"/>
      <c r="O2853" s="166"/>
      <c r="P2853" s="166">
        <f t="shared" ca="1" si="202"/>
        <v>0</v>
      </c>
      <c r="Q2853" s="166"/>
    </row>
    <row r="2854" spans="1:17">
      <c r="A2854" s="166" t="b">
        <f t="shared" ca="1" si="203"/>
        <v>0</v>
      </c>
      <c r="B2854" s="172" t="str">
        <f ca="1">IF(COUNTA(G$2368:G2853)=1,"",OFFSET(B2854,-COUNTA(G$2368:G2853)+1,0))</f>
        <v>a1b3p000006eF6AAAU</v>
      </c>
      <c r="C2854" s="177">
        <f ca="1">IF(COUNTA(G$2368:G2853)=1,"",OFFSET(C2854,-COUNTA(G$2368:G2853)+1,0))</f>
        <v>1</v>
      </c>
      <c r="D2854" s="166">
        <f t="shared" si="199"/>
        <v>4</v>
      </c>
      <c r="E2854" s="166">
        <f t="shared" ca="1" si="200"/>
        <v>4</v>
      </c>
      <c r="F2854" s="166">
        <f t="shared" ca="1" si="201"/>
        <v>9</v>
      </c>
      <c r="G2854" s="166"/>
      <c r="H2854" s="171" t="str">
        <f t="shared" ca="1" si="204"/>
        <v/>
      </c>
      <c r="I2854" s="171" t="str">
        <f t="shared" ca="1" si="205"/>
        <v/>
      </c>
      <c r="J2854" s="171" t="str">
        <f t="shared" ca="1" si="206"/>
        <v/>
      </c>
      <c r="K2854" s="171" t="str">
        <f t="shared" ca="1" si="207"/>
        <v/>
      </c>
      <c r="L2854" s="166"/>
      <c r="M2854" s="166"/>
      <c r="N2854" s="166"/>
      <c r="O2854" s="166"/>
      <c r="P2854" s="166">
        <f t="shared" ca="1" si="202"/>
        <v>0</v>
      </c>
      <c r="Q2854" s="166"/>
    </row>
    <row r="2855" spans="1:17">
      <c r="A2855" s="166" t="b">
        <f t="shared" ca="1" si="203"/>
        <v>0</v>
      </c>
      <c r="B2855" s="172" t="str">
        <f ca="1">IF(COUNTA(G$2368:G2854)=1,"",OFFSET(B2855,-COUNTA(G$2368:G2854)+1,0))</f>
        <v>a1b3p000006eF7SAAU</v>
      </c>
      <c r="C2855" s="177">
        <f ca="1">IF(COUNTA(G$2368:G2854)=1,"",OFFSET(C2855,-COUNTA(G$2368:G2854)+1,0))</f>
        <v>1</v>
      </c>
      <c r="D2855" s="166">
        <f t="shared" si="199"/>
        <v>5</v>
      </c>
      <c r="E2855" s="166">
        <f t="shared" ca="1" si="200"/>
        <v>5</v>
      </c>
      <c r="F2855" s="166">
        <f t="shared" ca="1" si="201"/>
        <v>9</v>
      </c>
      <c r="G2855" s="166"/>
      <c r="H2855" s="171" t="str">
        <f t="shared" ca="1" si="204"/>
        <v/>
      </c>
      <c r="I2855" s="171" t="str">
        <f t="shared" ca="1" si="205"/>
        <v/>
      </c>
      <c r="J2855" s="171" t="str">
        <f t="shared" ca="1" si="206"/>
        <v/>
      </c>
      <c r="K2855" s="171" t="str">
        <f t="shared" ca="1" si="207"/>
        <v/>
      </c>
      <c r="L2855" s="166"/>
      <c r="M2855" s="166"/>
      <c r="N2855" s="166"/>
      <c r="O2855" s="166"/>
      <c r="P2855" s="166">
        <f t="shared" ca="1" si="202"/>
        <v>0</v>
      </c>
      <c r="Q2855" s="166"/>
    </row>
    <row r="2856" spans="1:17">
      <c r="A2856" s="166" t="b">
        <f t="shared" ca="1" si="203"/>
        <v>0</v>
      </c>
      <c r="B2856" s="172" t="str">
        <f ca="1">IF(COUNTA(G$2368:G2855)=1,"",OFFSET(B2856,-COUNTA(G$2368:G2855)+1,0))</f>
        <v>a1b3p000006eF8kAAE</v>
      </c>
      <c r="C2856" s="177">
        <f ca="1">IF(COUNTA(G$2368:G2855)=1,"",OFFSET(C2856,-COUNTA(G$2368:G2855)+1,0))</f>
        <v>1</v>
      </c>
      <c r="D2856" s="166">
        <f t="shared" si="199"/>
        <v>6</v>
      </c>
      <c r="E2856" s="166">
        <f t="shared" ca="1" si="200"/>
        <v>6</v>
      </c>
      <c r="F2856" s="166">
        <f t="shared" ca="1" si="201"/>
        <v>9</v>
      </c>
      <c r="G2856" s="166"/>
      <c r="H2856" s="171" t="str">
        <f t="shared" ca="1" si="204"/>
        <v/>
      </c>
      <c r="I2856" s="171" t="str">
        <f t="shared" ca="1" si="205"/>
        <v/>
      </c>
      <c r="J2856" s="171" t="str">
        <f t="shared" ca="1" si="206"/>
        <v/>
      </c>
      <c r="K2856" s="171" t="str">
        <f t="shared" ca="1" si="207"/>
        <v/>
      </c>
      <c r="L2856" s="166"/>
      <c r="M2856" s="166"/>
      <c r="N2856" s="166"/>
      <c r="O2856" s="166"/>
      <c r="P2856" s="166">
        <f t="shared" ca="1" si="202"/>
        <v>0</v>
      </c>
      <c r="Q2856" s="166"/>
    </row>
    <row r="2857" spans="1:17">
      <c r="A2857" s="166" t="b">
        <f t="shared" ca="1" si="203"/>
        <v>1</v>
      </c>
      <c r="B2857" s="172" t="str">
        <f ca="1">IF(COUNTA(G$2368:G2856)=1,"",OFFSET(B2857,-COUNTA(G$2368:G2856)+1,0))</f>
        <v>a1b3p000006eF2JAAU</v>
      </c>
      <c r="C2857" s="177">
        <f ca="1">IF(COUNTA(G$2368:G2856)=1,"",OFFSET(C2857,-COUNTA(G$2368:G2856)+1,0))</f>
        <v>2</v>
      </c>
      <c r="D2857" s="166">
        <f t="shared" si="199"/>
        <v>7</v>
      </c>
      <c r="E2857" s="166">
        <f t="shared" ca="1" si="200"/>
        <v>1</v>
      </c>
      <c r="F2857" s="166">
        <f t="shared" ca="1" si="201"/>
        <v>10</v>
      </c>
      <c r="G2857" s="166"/>
      <c r="H2857" s="171" t="str">
        <f t="shared" ca="1" si="204"/>
        <v>Not started (0): The PR submits no progress against the milestones for the period.
Initiated (1): Principal Recipient submits a draft pilot report.
Advanced (2): Principal Recipient submits final survey report validated by MOH and stakeholders.
Completed (3): Principal Recipient submits a final survey report validated by the MoH and stakeholders, and evidence that it has been used by the MoH as a basis for the development of differentiated packages of services for FSW.</v>
      </c>
      <c r="I2857" s="171" t="str">
        <f t="shared" ca="1" si="205"/>
        <v>Completion of the pilot study to evaluate the feasibility and acceptability of PrEP according to the protocol developed jointly with PAHO, as part of the combined prevention package offered to the MSM GB Trans population in the cities of Santa Cruz de la Sierra and Cochabamba.</v>
      </c>
      <c r="J2857" s="171" t="str">
        <f t="shared" ca="1" si="206"/>
        <v>Finalización del estudio piloto para evaluar la factibilidad y aceptabilidad de la PrEP según el protocolo elaborado conjuntamente con la OPS, como parte del paquete de prevención combinada que es ofrecido a la población HSH GB Trans en las ciudades de Santa Cruz de la Sierra y Cochabamba.</v>
      </c>
      <c r="K2857" s="171" t="str">
        <f t="shared" ca="1" si="207"/>
        <v>No iniciada (0): El RP presenta ningún avance contra los el hito para el período.
Iniciada (1): El RP presenta un borrador del reporte del piloto
Avanzada (2): El RP presenta un reporte final de la encuesta validado por el Ministerio de Salud y las partes interesadas
Completada (3): El RP presenta un reporte final de la encuesta validado por el Ministerio de Salud y las partes interesadas, y evidencias de que se ha utilizado por el Ministerio de Salud como base para el desarrollo de paquetes diferenciados de servicios para las MTS</v>
      </c>
      <c r="L2857" s="166"/>
      <c r="M2857" s="166"/>
      <c r="N2857" s="166"/>
      <c r="O2857" s="166"/>
      <c r="P2857" s="166">
        <f t="shared" ca="1" si="202"/>
        <v>0</v>
      </c>
      <c r="Q2857" s="166"/>
    </row>
    <row r="2858" spans="1:17">
      <c r="A2858" s="166" t="b">
        <f t="shared" ca="1" si="203"/>
        <v>1</v>
      </c>
      <c r="B2858" s="172" t="str">
        <f ca="1">IF(COUNTA(G$2368:G2857)=1,"",OFFSET(B2858,-COUNTA(G$2368:G2857)+1,0))</f>
        <v>a1b3p000006eF3bAAE</v>
      </c>
      <c r="C2858" s="177">
        <f ca="1">IF(COUNTA(G$2368:G2857)=1,"",OFFSET(C2858,-COUNTA(G$2368:G2857)+1,0))</f>
        <v>2</v>
      </c>
      <c r="D2858" s="166">
        <f t="shared" si="199"/>
        <v>8</v>
      </c>
      <c r="E2858" s="166">
        <f t="shared" ca="1" si="200"/>
        <v>2</v>
      </c>
      <c r="F2858" s="166">
        <f t="shared" ca="1" si="201"/>
        <v>10</v>
      </c>
      <c r="G2858" s="166"/>
      <c r="H2858" s="171" t="str">
        <f t="shared" ca="1" si="204"/>
        <v>Not started (0): The PR submits no progress against the milestones for the period.
Initiated (1): Principal Recipient submits a draft expansion plan.
Advanced (2): Principal Recipient submits a final costed expansion plan validated by the MOH and stakeholders.
Completed (3): The PR submits a final costed expansion plan validated by the MoH and stakeholders, and evidence of plan execution (PrEP performance indicator report).</v>
      </c>
      <c r="I2858" s="171" t="str">
        <f t="shared" ca="1" si="205"/>
        <v>Finalization of the costed nationwide PrEP expansion plan based on the outcome of the pilot study.</v>
      </c>
      <c r="J2858" s="171" t="str">
        <f t="shared" ca="1" si="206"/>
        <v>Finalización del plan de expansión costeado de PrEP a escala nacional con base al resultado del estudio piloto</v>
      </c>
      <c r="K2858" s="171" t="str">
        <f t="shared" ca="1" si="207"/>
        <v>No iniciada (0): El RP presenta ningún avance contra los el hito para el período.
Iniciada (1): El RP presenta un borrador del plan de expansión
Avanzada (2): El RP presenta un plan de expansión costeado final validado por el Ministerio de Salud y las partes interesadas
Completada (3): El RP presenta un plan de expansión costeado final validado por el Ministerio de Salud y las partes interesadas, y evidencias de ejecución del plano (reporte sobre indicador de desempeno PrEP)</v>
      </c>
      <c r="L2858" s="166"/>
      <c r="M2858" s="166"/>
      <c r="N2858" s="166"/>
      <c r="O2858" s="166"/>
      <c r="P2858" s="166">
        <f t="shared" ca="1" si="202"/>
        <v>0</v>
      </c>
      <c r="Q2858" s="166"/>
    </row>
    <row r="2859" spans="1:17">
      <c r="A2859" s="166" t="b">
        <f t="shared" ca="1" si="203"/>
        <v>0</v>
      </c>
      <c r="B2859" s="172" t="str">
        <f ca="1">IF(COUNTA(G$2368:G2858)=1,"",OFFSET(B2859,-COUNTA(G$2368:G2858)+1,0))</f>
        <v>a1b3p000006eF4tAAE</v>
      </c>
      <c r="C2859" s="177">
        <f ca="1">IF(COUNTA(G$2368:G2858)=1,"",OFFSET(C2859,-COUNTA(G$2368:G2858)+1,0))</f>
        <v>2</v>
      </c>
      <c r="D2859" s="166">
        <f t="shared" si="199"/>
        <v>9</v>
      </c>
      <c r="E2859" s="166">
        <f t="shared" ca="1" si="200"/>
        <v>3</v>
      </c>
      <c r="F2859" s="166">
        <f t="shared" ca="1" si="201"/>
        <v>10</v>
      </c>
      <c r="G2859" s="166"/>
      <c r="H2859" s="171" t="str">
        <f t="shared" ca="1" si="204"/>
        <v/>
      </c>
      <c r="I2859" s="171" t="str">
        <f t="shared" ca="1" si="205"/>
        <v/>
      </c>
      <c r="J2859" s="171" t="str">
        <f t="shared" ca="1" si="206"/>
        <v/>
      </c>
      <c r="K2859" s="171" t="str">
        <f t="shared" ca="1" si="207"/>
        <v/>
      </c>
      <c r="L2859" s="166"/>
      <c r="M2859" s="166"/>
      <c r="N2859" s="166"/>
      <c r="O2859" s="166"/>
      <c r="P2859" s="166">
        <f t="shared" ca="1" si="202"/>
        <v>0</v>
      </c>
      <c r="Q2859" s="166"/>
    </row>
    <row r="2860" spans="1:17">
      <c r="A2860" s="166" t="b">
        <f t="shared" ca="1" si="203"/>
        <v>0</v>
      </c>
      <c r="B2860" s="172" t="str">
        <f ca="1">IF(COUNTA(G$2368:G2859)=1,"",OFFSET(B2860,-COUNTA(G$2368:G2859)+1,0))</f>
        <v>a1b3p000006eF6BAAU</v>
      </c>
      <c r="C2860" s="177">
        <f ca="1">IF(COUNTA(G$2368:G2859)=1,"",OFFSET(C2860,-COUNTA(G$2368:G2859)+1,0))</f>
        <v>2</v>
      </c>
      <c r="D2860" s="166">
        <f t="shared" si="199"/>
        <v>10</v>
      </c>
      <c r="E2860" s="166">
        <f t="shared" ca="1" si="200"/>
        <v>4</v>
      </c>
      <c r="F2860" s="166">
        <f t="shared" ca="1" si="201"/>
        <v>10</v>
      </c>
      <c r="G2860" s="166"/>
      <c r="H2860" s="171" t="str">
        <f t="shared" ca="1" si="204"/>
        <v/>
      </c>
      <c r="I2860" s="171" t="str">
        <f t="shared" ca="1" si="205"/>
        <v/>
      </c>
      <c r="J2860" s="171" t="str">
        <f t="shared" ca="1" si="206"/>
        <v/>
      </c>
      <c r="K2860" s="171" t="str">
        <f t="shared" ca="1" si="207"/>
        <v/>
      </c>
      <c r="L2860" s="166"/>
      <c r="M2860" s="166"/>
      <c r="N2860" s="166"/>
      <c r="O2860" s="166"/>
      <c r="P2860" s="166">
        <f t="shared" ca="1" si="202"/>
        <v>0</v>
      </c>
      <c r="Q2860" s="166"/>
    </row>
    <row r="2861" spans="1:17">
      <c r="A2861" s="166" t="b">
        <f t="shared" ca="1" si="203"/>
        <v>0</v>
      </c>
      <c r="B2861" s="172" t="str">
        <f ca="1">IF(COUNTA(G$2368:G2860)=1,"",OFFSET(B2861,-COUNTA(G$2368:G2860)+1,0))</f>
        <v>a1b3p000006eF7TAAU</v>
      </c>
      <c r="C2861" s="177">
        <f ca="1">IF(COUNTA(G$2368:G2860)=1,"",OFFSET(C2861,-COUNTA(G$2368:G2860)+1,0))</f>
        <v>2</v>
      </c>
      <c r="D2861" s="166">
        <f t="shared" si="199"/>
        <v>11</v>
      </c>
      <c r="E2861" s="166">
        <f t="shared" ca="1" si="200"/>
        <v>5</v>
      </c>
      <c r="F2861" s="166">
        <f t="shared" ca="1" si="201"/>
        <v>10</v>
      </c>
      <c r="G2861" s="166"/>
      <c r="H2861" s="171" t="str">
        <f t="shared" ca="1" si="204"/>
        <v/>
      </c>
      <c r="I2861" s="171" t="str">
        <f t="shared" ca="1" si="205"/>
        <v/>
      </c>
      <c r="J2861" s="171" t="str">
        <f t="shared" ca="1" si="206"/>
        <v/>
      </c>
      <c r="K2861" s="171" t="str">
        <f t="shared" ca="1" si="207"/>
        <v/>
      </c>
      <c r="L2861" s="166"/>
      <c r="M2861" s="166"/>
      <c r="N2861" s="166"/>
      <c r="O2861" s="166"/>
      <c r="P2861" s="166">
        <f t="shared" ca="1" si="202"/>
        <v>0</v>
      </c>
      <c r="Q2861" s="166"/>
    </row>
    <row r="2862" spans="1:17">
      <c r="A2862" s="166" t="b">
        <f t="shared" ca="1" si="203"/>
        <v>0</v>
      </c>
      <c r="B2862" s="172" t="str">
        <f ca="1">IF(COUNTA(G$2368:G2861)=1,"",OFFSET(B2862,-COUNTA(G$2368:G2861)+1,0))</f>
        <v>a1b3p000006eF8lAAE</v>
      </c>
      <c r="C2862" s="177">
        <f ca="1">IF(COUNTA(G$2368:G2861)=1,"",OFFSET(C2862,-COUNTA(G$2368:G2861)+1,0))</f>
        <v>2</v>
      </c>
      <c r="D2862" s="166">
        <f t="shared" si="199"/>
        <v>12</v>
      </c>
      <c r="E2862" s="166">
        <f t="shared" ca="1" si="200"/>
        <v>6</v>
      </c>
      <c r="F2862" s="166">
        <f t="shared" ca="1" si="201"/>
        <v>10</v>
      </c>
      <c r="G2862" s="166"/>
      <c r="H2862" s="171" t="str">
        <f t="shared" ca="1" si="204"/>
        <v/>
      </c>
      <c r="I2862" s="171" t="str">
        <f t="shared" ca="1" si="205"/>
        <v/>
      </c>
      <c r="J2862" s="171" t="str">
        <f t="shared" ca="1" si="206"/>
        <v/>
      </c>
      <c r="K2862" s="171" t="str">
        <f t="shared" ca="1" si="207"/>
        <v/>
      </c>
      <c r="L2862" s="166"/>
      <c r="M2862" s="166"/>
      <c r="N2862" s="166"/>
      <c r="O2862" s="166"/>
      <c r="P2862" s="166">
        <f t="shared" ca="1" si="202"/>
        <v>0</v>
      </c>
      <c r="Q2862" s="166"/>
    </row>
    <row r="2863" spans="1:17">
      <c r="A2863" s="166" t="b">
        <f t="shared" ca="1" si="203"/>
        <v>1</v>
      </c>
      <c r="B2863" s="172" t="str">
        <f ca="1">IF(COUNTA(G$2368:G2862)=1,"",OFFSET(B2863,-COUNTA(G$2368:G2862)+1,0))</f>
        <v>a1b3p000006eF2KAAU</v>
      </c>
      <c r="C2863" s="177">
        <f ca="1">IF(COUNTA(G$2368:G2862)=1,"",OFFSET(C2863,-COUNTA(G$2368:G2862)+1,0))</f>
        <v>3</v>
      </c>
      <c r="D2863" s="166">
        <f t="shared" si="199"/>
        <v>13</v>
      </c>
      <c r="E2863" s="166">
        <f t="shared" ca="1" si="200"/>
        <v>1</v>
      </c>
      <c r="F2863" s="166">
        <f t="shared" ca="1" si="201"/>
        <v>11</v>
      </c>
      <c r="G2863" s="166"/>
      <c r="H2863" s="171" t="str">
        <f t="shared" ca="1" si="204"/>
        <v>Not started (0): The PR submits no progress against the milestones for the period.
Initiated (1): The Principal Recipient submits a draft report.
Advanced (2): The Principal Recipient submits a final survey report                                                                                                                                                 Completed (3): The Principal Recipient submits a final survey report validated by the Ministry of Health and stakeholders.</v>
      </c>
      <c r="I2863" s="171" t="str">
        <f t="shared" ca="1" si="205"/>
        <v xml:space="preserve">Reports on the expansion of GeneXpert MTB/RIF as a method of diagnosis to all SR in the 9 capital cities of Bolivia (Urbana) that concentrates 80% of the cases of Tuberculosis at the national level. </v>
      </c>
      <c r="J2863" s="171" t="str">
        <f t="shared" ca="1" si="206"/>
        <v xml:space="preserve">Informes sobre la la expansión del GeneXpert MTB/RIF como metodo de diagnostico a todo SR en las 9 ciudades capitales de Bolivia (Urbana) que concentra el 80% de los casos de Tuberculosis a nivel nacional. </v>
      </c>
      <c r="K2863" s="171" t="str">
        <f t="shared" ca="1" si="207"/>
        <v>No iniciada (0): El RP presenta ningún avance contra los el hito para el período.
Iniciada (1): El RP presenta un borrador del reporte
Avanzada (2): El RP presenta un reporte final de la encuesta                                                                                                                                                                 Completada (3): El RP presenta un reporte final de la encuesta validado por el Ministerio de Salud y las partes interesadas.</v>
      </c>
      <c r="L2863" s="166"/>
      <c r="M2863" s="166"/>
      <c r="N2863" s="166"/>
      <c r="O2863" s="166"/>
      <c r="P2863" s="166">
        <f t="shared" ca="1" si="202"/>
        <v>0</v>
      </c>
      <c r="Q2863" s="166"/>
    </row>
    <row r="2864" spans="1:17">
      <c r="A2864" s="166" t="b">
        <f t="shared" ca="1" si="203"/>
        <v>1</v>
      </c>
      <c r="B2864" s="172" t="str">
        <f ca="1">IF(COUNTA(G$2368:G2863)=1,"",OFFSET(B2864,-COUNTA(G$2368:G2863)+1,0))</f>
        <v>a1b3p000006eF3cAAE</v>
      </c>
      <c r="C2864" s="177">
        <f ca="1">IF(COUNTA(G$2368:G2863)=1,"",OFFSET(C2864,-COUNTA(G$2368:G2863)+1,0))</f>
        <v>3</v>
      </c>
      <c r="D2864" s="166">
        <f t="shared" si="199"/>
        <v>14</v>
      </c>
      <c r="E2864" s="166">
        <f t="shared" ca="1" si="200"/>
        <v>2</v>
      </c>
      <c r="F2864" s="166">
        <f t="shared" ca="1" si="201"/>
        <v>11</v>
      </c>
      <c r="G2864" s="166"/>
      <c r="H2864" s="171" t="str">
        <f t="shared" ca="1" si="204"/>
        <v>Not started (0): The PR submits no progress against the milestones for the period.
Initiated (1): The Principal Recipient submits a draft report.
Advanced (2): The Principal Recipient submits a final survey report                                                                                                                                                           Completed (3): The Principal Recipient submits a final survey report validated by the Ministry of Health and stakeholders.</v>
      </c>
      <c r="I2864" s="171" t="str">
        <f t="shared" ca="1" si="205"/>
        <v>Reports on the expansion of GeneXpert MTB/RIF as a diagnostic method to all SR in intermediate cities in rural areas with high incidence of Tuberculosis.</v>
      </c>
      <c r="J2864" s="171" t="str">
        <f t="shared" ca="1" si="206"/>
        <v>Informes sobre la la expansión del GeneXpert MTB/RIF como metodo de diagnostico a todo SR en ciudades intermedias del area rural con alta incidencia de Tuberculosis</v>
      </c>
      <c r="K2864" s="171" t="str">
        <f t="shared" ca="1" si="207"/>
        <v>No iniciada (0): El RP presenta ningún avance contra los el hito para el período.
Iniciada (1): El RP presenta un borrador del reporte
Avanzada (2): El RP presenta un reporte final de la encuesta                                                                                                                                                                    Completada (3): El RP presenta un reporte final de la encuesta validado por el Ministerio de Salud y las partes interesadas.</v>
      </c>
      <c r="L2864" s="166"/>
      <c r="M2864" s="166"/>
      <c r="N2864" s="166"/>
      <c r="O2864" s="166"/>
      <c r="P2864" s="166">
        <f t="shared" ca="1" si="202"/>
        <v>0</v>
      </c>
      <c r="Q2864" s="166"/>
    </row>
    <row r="2865" spans="1:17">
      <c r="A2865" s="166" t="b">
        <f t="shared" ca="1" si="203"/>
        <v>0</v>
      </c>
      <c r="B2865" s="172" t="str">
        <f ca="1">IF(COUNTA(G$2368:G2864)=1,"",OFFSET(B2865,-COUNTA(G$2368:G2864)+1,0))</f>
        <v>a1b3p000006eF4uAAE</v>
      </c>
      <c r="C2865" s="177">
        <f ca="1">IF(COUNTA(G$2368:G2864)=1,"",OFFSET(C2865,-COUNTA(G$2368:G2864)+1,0))</f>
        <v>3</v>
      </c>
      <c r="D2865" s="166">
        <f t="shared" si="199"/>
        <v>15</v>
      </c>
      <c r="E2865" s="166">
        <f t="shared" ca="1" si="200"/>
        <v>3</v>
      </c>
      <c r="F2865" s="166">
        <f t="shared" ca="1" si="201"/>
        <v>11</v>
      </c>
      <c r="G2865" s="166"/>
      <c r="H2865" s="171" t="str">
        <f t="shared" ca="1" si="204"/>
        <v/>
      </c>
      <c r="I2865" s="171" t="str">
        <f t="shared" ca="1" si="205"/>
        <v/>
      </c>
      <c r="J2865" s="171" t="str">
        <f t="shared" ca="1" si="206"/>
        <v/>
      </c>
      <c r="K2865" s="171" t="str">
        <f t="shared" ca="1" si="207"/>
        <v/>
      </c>
      <c r="L2865" s="166"/>
      <c r="M2865" s="166"/>
      <c r="N2865" s="166"/>
      <c r="O2865" s="166"/>
      <c r="P2865" s="166">
        <f t="shared" ca="1" si="202"/>
        <v>0</v>
      </c>
      <c r="Q2865" s="166"/>
    </row>
    <row r="2866" spans="1:17">
      <c r="A2866" s="166" t="b">
        <f t="shared" ca="1" si="203"/>
        <v>0</v>
      </c>
      <c r="B2866" s="172" t="str">
        <f ca="1">IF(COUNTA(G$2368:G2865)=1,"",OFFSET(B2866,-COUNTA(G$2368:G2865)+1,0))</f>
        <v>a1b3p000006eF6CAAU</v>
      </c>
      <c r="C2866" s="177">
        <f ca="1">IF(COUNTA(G$2368:G2865)=1,"",OFFSET(C2866,-COUNTA(G$2368:G2865)+1,0))</f>
        <v>3</v>
      </c>
      <c r="D2866" s="166">
        <f t="shared" si="199"/>
        <v>16</v>
      </c>
      <c r="E2866" s="166">
        <f t="shared" ca="1" si="200"/>
        <v>4</v>
      </c>
      <c r="F2866" s="166">
        <f t="shared" ca="1" si="201"/>
        <v>11</v>
      </c>
      <c r="G2866" s="166"/>
      <c r="H2866" s="171" t="str">
        <f t="shared" ca="1" si="204"/>
        <v/>
      </c>
      <c r="I2866" s="171" t="str">
        <f t="shared" ca="1" si="205"/>
        <v/>
      </c>
      <c r="J2866" s="171" t="str">
        <f t="shared" ca="1" si="206"/>
        <v/>
      </c>
      <c r="K2866" s="171" t="str">
        <f t="shared" ca="1" si="207"/>
        <v/>
      </c>
      <c r="L2866" s="166"/>
      <c r="M2866" s="166"/>
      <c r="N2866" s="166"/>
      <c r="O2866" s="166"/>
      <c r="P2866" s="166">
        <f t="shared" ca="1" si="202"/>
        <v>0</v>
      </c>
      <c r="Q2866" s="166"/>
    </row>
    <row r="2867" spans="1:17">
      <c r="A2867" s="166" t="b">
        <f t="shared" ca="1" si="203"/>
        <v>0</v>
      </c>
      <c r="B2867" s="172" t="str">
        <f ca="1">IF(COUNTA(G$2368:G2866)=1,"",OFFSET(B2867,-COUNTA(G$2368:G2866)+1,0))</f>
        <v>a1b3p000006eF7UAAU</v>
      </c>
      <c r="C2867" s="177">
        <f ca="1">IF(COUNTA(G$2368:G2866)=1,"",OFFSET(C2867,-COUNTA(G$2368:G2866)+1,0))</f>
        <v>3</v>
      </c>
      <c r="D2867" s="166">
        <f t="shared" si="199"/>
        <v>17</v>
      </c>
      <c r="E2867" s="166">
        <f t="shared" ca="1" si="200"/>
        <v>5</v>
      </c>
      <c r="F2867" s="166">
        <f t="shared" ca="1" si="201"/>
        <v>11</v>
      </c>
      <c r="G2867" s="166"/>
      <c r="H2867" s="171" t="str">
        <f t="shared" ca="1" si="204"/>
        <v/>
      </c>
      <c r="I2867" s="171" t="str">
        <f t="shared" ca="1" si="205"/>
        <v/>
      </c>
      <c r="J2867" s="171" t="str">
        <f t="shared" ca="1" si="206"/>
        <v/>
      </c>
      <c r="K2867" s="171" t="str">
        <f t="shared" ca="1" si="207"/>
        <v/>
      </c>
      <c r="L2867" s="166"/>
      <c r="M2867" s="166"/>
      <c r="N2867" s="166"/>
      <c r="O2867" s="166"/>
      <c r="P2867" s="166">
        <f t="shared" ca="1" si="202"/>
        <v>0</v>
      </c>
      <c r="Q2867" s="166"/>
    </row>
    <row r="2868" spans="1:17">
      <c r="A2868" s="166" t="b">
        <f t="shared" ca="1" si="203"/>
        <v>0</v>
      </c>
      <c r="B2868" s="172" t="str">
        <f ca="1">IF(COUNTA(G$2368:G2867)=1,"",OFFSET(B2868,-COUNTA(G$2368:G2867)+1,0))</f>
        <v>a1b3p000006eF8mAAE</v>
      </c>
      <c r="C2868" s="177">
        <f ca="1">IF(COUNTA(G$2368:G2867)=1,"",OFFSET(C2868,-COUNTA(G$2368:G2867)+1,0))</f>
        <v>3</v>
      </c>
      <c r="D2868" s="166">
        <f t="shared" si="199"/>
        <v>18</v>
      </c>
      <c r="E2868" s="166">
        <f t="shared" ca="1" si="200"/>
        <v>6</v>
      </c>
      <c r="F2868" s="166">
        <f t="shared" ca="1" si="201"/>
        <v>11</v>
      </c>
      <c r="G2868" s="166"/>
      <c r="H2868" s="171" t="str">
        <f t="shared" ca="1" si="204"/>
        <v/>
      </c>
      <c r="I2868" s="171" t="str">
        <f t="shared" ca="1" si="205"/>
        <v/>
      </c>
      <c r="J2868" s="171" t="str">
        <f t="shared" ca="1" si="206"/>
        <v/>
      </c>
      <c r="K2868" s="171" t="str">
        <f t="shared" ca="1" si="207"/>
        <v/>
      </c>
      <c r="L2868" s="166"/>
      <c r="M2868" s="166"/>
      <c r="N2868" s="166"/>
      <c r="O2868" s="166"/>
      <c r="P2868" s="166">
        <f t="shared" ca="1" si="202"/>
        <v>0</v>
      </c>
      <c r="Q2868" s="166"/>
    </row>
    <row r="2869" spans="1:17">
      <c r="A2869" s="166" t="b">
        <f t="shared" ca="1" si="203"/>
        <v>1</v>
      </c>
      <c r="B2869" s="172" t="str">
        <f ca="1">IF(COUNTA(G$2368:G2868)=1,"",OFFSET(B2869,-COUNTA(G$2368:G2868)+1,0))</f>
        <v>a1b3p000006eF2LAAU</v>
      </c>
      <c r="C2869" s="177">
        <f ca="1">IF(COUNTA(G$2368:G2868)=1,"",OFFSET(C2869,-COUNTA(G$2368:G2868)+1,0))</f>
        <v>4</v>
      </c>
      <c r="D2869" s="166">
        <f t="shared" si="199"/>
        <v>19</v>
      </c>
      <c r="E2869" s="166">
        <f t="shared" ca="1" si="200"/>
        <v>1</v>
      </c>
      <c r="F2869" s="166">
        <f t="shared" ca="1" si="201"/>
        <v>12</v>
      </c>
      <c r="G2869" s="166"/>
      <c r="H2869" s="171" t="str">
        <f t="shared" ca="1" si="204"/>
        <v>Not started (0): The PR submits no progress against the milestones for the period.
Initiated (1): The Principal Recipient submits a draft report.
Advanced (2): The Principal Recipient submits a final survey report                                                                                                                                                    Completed (3): The Principal Recipient submits a final survey report validated by the Ministry of Health and stakeholders.</v>
      </c>
      <c r="I2869" s="171" t="str">
        <f t="shared" ca="1" si="205"/>
        <v>Completion of the study "Short, all-oral treatment regimens for rifampicin-resistant tuberculosis".</v>
      </c>
      <c r="J2869" s="171" t="str">
        <f t="shared" ca="1" si="206"/>
        <v>Finalización del estudio “Esquemas de tratamiento cortos y totalmente orales para la tuberculosis resistente a la rifampicina”.</v>
      </c>
      <c r="K2869" s="171" t="str">
        <f t="shared" ca="1" si="207"/>
        <v>No iniciada (0): El RP presenta ningún avance contra los el hito para el período.
Iniciada (1): El RP presenta un borrador del reporte
Avanzada (2): El RP presenta un reporte final de la encuesta                                                                                                                                                              Completada (3): El RP presenta un reporte final de la encuesta validado por el Ministerio de Salud y las partes interesadas.</v>
      </c>
      <c r="L2869" s="166"/>
      <c r="M2869" s="166"/>
      <c r="N2869" s="166"/>
      <c r="O2869" s="166"/>
      <c r="P2869" s="166">
        <f t="shared" ca="1" si="202"/>
        <v>0</v>
      </c>
      <c r="Q2869" s="166"/>
    </row>
    <row r="2870" spans="1:17">
      <c r="A2870" s="166" t="b">
        <f t="shared" ca="1" si="203"/>
        <v>1</v>
      </c>
      <c r="B2870" s="172" t="str">
        <f ca="1">IF(COUNTA(G$2368:G2869)=1,"",OFFSET(B2870,-COUNTA(G$2368:G2869)+1,0))</f>
        <v>a1b3p000006eF3dAAE</v>
      </c>
      <c r="C2870" s="177">
        <f ca="1">IF(COUNTA(G$2368:G2869)=1,"",OFFSET(C2870,-COUNTA(G$2368:G2869)+1,0))</f>
        <v>4</v>
      </c>
      <c r="D2870" s="166">
        <f t="shared" si="199"/>
        <v>20</v>
      </c>
      <c r="E2870" s="166">
        <f t="shared" ca="1" si="200"/>
        <v>2</v>
      </c>
      <c r="F2870" s="166">
        <f t="shared" ca="1" si="201"/>
        <v>12</v>
      </c>
      <c r="G2870" s="166"/>
      <c r="H2870" s="171" t="str">
        <f t="shared" ca="1" si="204"/>
        <v>Not started (0): The PR submits no progress against the milestones for the period.
Initiated (1): The Principal Recipient submits a draft report.
Advanced (2): Principal Recipient submits a final survey report                                                                                                                                                                    Completed (3): Principal Recipient submits a final survey report validated by the MOH and stakeholders.</v>
      </c>
      <c r="I2870" s="171" t="str">
        <f t="shared" ca="1" si="205"/>
        <v>Progress report on the implementation of shortened all-oral regimens for rifampicin-resistant tuberculosis.</v>
      </c>
      <c r="J2870" s="171" t="str">
        <f t="shared" ca="1" si="206"/>
        <v>Informe de avance de la implementación a esquemas acortado totalmente orales para la tuberculosis resistente a la rifampicina.</v>
      </c>
      <c r="K2870" s="171" t="str">
        <f t="shared" ca="1" si="207"/>
        <v>No iniciada (0): El RP presenta ningún avance contra los el hito para el período.
Iniciada (1): El RP presenta un borrador del reporte
Avanzada (2): El RP presenta un reporte final de la encuesta                                                                                                                                                              Completada (3): El RP presenta un reporte final de la encuesta validado por el Ministerio de Salud y las partes interesadas</v>
      </c>
      <c r="L2870" s="166"/>
      <c r="M2870" s="166"/>
      <c r="N2870" s="166"/>
      <c r="O2870" s="166"/>
      <c r="P2870" s="166">
        <f t="shared" ca="1" si="202"/>
        <v>0</v>
      </c>
      <c r="Q2870" s="166"/>
    </row>
    <row r="2871" spans="1:17">
      <c r="A2871" s="166" t="b">
        <f t="shared" ca="1" si="203"/>
        <v>0</v>
      </c>
      <c r="B2871" s="172" t="str">
        <f ca="1">IF(COUNTA(G$2368:G2870)=1,"",OFFSET(B2871,-COUNTA(G$2368:G2870)+1,0))</f>
        <v>a1b3p000006eF4vAAE</v>
      </c>
      <c r="C2871" s="177">
        <f ca="1">IF(COUNTA(G$2368:G2870)=1,"",OFFSET(C2871,-COUNTA(G$2368:G2870)+1,0))</f>
        <v>4</v>
      </c>
      <c r="D2871" s="166">
        <f t="shared" si="199"/>
        <v>21</v>
      </c>
      <c r="E2871" s="166">
        <f t="shared" ca="1" si="200"/>
        <v>3</v>
      </c>
      <c r="F2871" s="166">
        <f t="shared" ca="1" si="201"/>
        <v>12</v>
      </c>
      <c r="G2871" s="166"/>
      <c r="H2871" s="171" t="str">
        <f t="shared" ca="1" si="204"/>
        <v/>
      </c>
      <c r="I2871" s="171" t="str">
        <f t="shared" ca="1" si="205"/>
        <v/>
      </c>
      <c r="J2871" s="171" t="str">
        <f t="shared" ca="1" si="206"/>
        <v/>
      </c>
      <c r="K2871" s="171" t="str">
        <f t="shared" ca="1" si="207"/>
        <v/>
      </c>
      <c r="L2871" s="166"/>
      <c r="M2871" s="166"/>
      <c r="N2871" s="166"/>
      <c r="O2871" s="166"/>
      <c r="P2871" s="166">
        <f t="shared" ca="1" si="202"/>
        <v>0</v>
      </c>
      <c r="Q2871" s="166"/>
    </row>
    <row r="2872" spans="1:17">
      <c r="A2872" s="166" t="b">
        <f t="shared" ca="1" si="203"/>
        <v>0</v>
      </c>
      <c r="B2872" s="172" t="str">
        <f ca="1">IF(COUNTA(G$2368:G2871)=1,"",OFFSET(B2872,-COUNTA(G$2368:G2871)+1,0))</f>
        <v>a1b3p000006eF6DAAU</v>
      </c>
      <c r="C2872" s="177">
        <f ca="1">IF(COUNTA(G$2368:G2871)=1,"",OFFSET(C2872,-COUNTA(G$2368:G2871)+1,0))</f>
        <v>4</v>
      </c>
      <c r="D2872" s="166">
        <f t="shared" si="199"/>
        <v>22</v>
      </c>
      <c r="E2872" s="166">
        <f t="shared" ca="1" si="200"/>
        <v>4</v>
      </c>
      <c r="F2872" s="166">
        <f t="shared" ca="1" si="201"/>
        <v>12</v>
      </c>
      <c r="G2872" s="166"/>
      <c r="H2872" s="171" t="str">
        <f t="shared" ca="1" si="204"/>
        <v/>
      </c>
      <c r="I2872" s="171" t="str">
        <f t="shared" ca="1" si="205"/>
        <v/>
      </c>
      <c r="J2872" s="171" t="str">
        <f t="shared" ca="1" si="206"/>
        <v/>
      </c>
      <c r="K2872" s="171" t="str">
        <f t="shared" ca="1" si="207"/>
        <v/>
      </c>
      <c r="L2872" s="166"/>
      <c r="M2872" s="166"/>
      <c r="N2872" s="166"/>
      <c r="O2872" s="166"/>
      <c r="P2872" s="166">
        <f t="shared" ca="1" si="202"/>
        <v>0</v>
      </c>
      <c r="Q2872" s="166"/>
    </row>
    <row r="2873" spans="1:17">
      <c r="A2873" s="166" t="b">
        <f t="shared" ca="1" si="203"/>
        <v>0</v>
      </c>
      <c r="B2873" s="172" t="str">
        <f ca="1">IF(COUNTA(G$2368:G2872)=1,"",OFFSET(B2873,-COUNTA(G$2368:G2872)+1,0))</f>
        <v>a1b3p000006eF7VAAU</v>
      </c>
      <c r="C2873" s="177">
        <f ca="1">IF(COUNTA(G$2368:G2872)=1,"",OFFSET(C2873,-COUNTA(G$2368:G2872)+1,0))</f>
        <v>4</v>
      </c>
      <c r="D2873" s="166">
        <f t="shared" si="199"/>
        <v>23</v>
      </c>
      <c r="E2873" s="166">
        <f t="shared" ca="1" si="200"/>
        <v>5</v>
      </c>
      <c r="F2873" s="166">
        <f t="shared" ca="1" si="201"/>
        <v>12</v>
      </c>
      <c r="G2873" s="166"/>
      <c r="H2873" s="171" t="str">
        <f t="shared" ca="1" si="204"/>
        <v/>
      </c>
      <c r="I2873" s="171" t="str">
        <f t="shared" ca="1" si="205"/>
        <v/>
      </c>
      <c r="J2873" s="171" t="str">
        <f t="shared" ca="1" si="206"/>
        <v/>
      </c>
      <c r="K2873" s="171" t="str">
        <f t="shared" ca="1" si="207"/>
        <v/>
      </c>
      <c r="L2873" s="166"/>
      <c r="M2873" s="166"/>
      <c r="N2873" s="166"/>
      <c r="O2873" s="166"/>
      <c r="P2873" s="166">
        <f t="shared" ca="1" si="202"/>
        <v>0</v>
      </c>
      <c r="Q2873" s="166"/>
    </row>
    <row r="2874" spans="1:17">
      <c r="A2874" s="166" t="b">
        <f t="shared" ca="1" si="203"/>
        <v>0</v>
      </c>
      <c r="B2874" s="172" t="str">
        <f ca="1">IF(COUNTA(G$2368:G2873)=1,"",OFFSET(B2874,-COUNTA(G$2368:G2873)+1,0))</f>
        <v>a1b3p000006eF8nAAE</v>
      </c>
      <c r="C2874" s="177">
        <f ca="1">IF(COUNTA(G$2368:G2873)=1,"",OFFSET(C2874,-COUNTA(G$2368:G2873)+1,0))</f>
        <v>4</v>
      </c>
      <c r="D2874" s="166">
        <f t="shared" si="199"/>
        <v>24</v>
      </c>
      <c r="E2874" s="166">
        <f t="shared" ca="1" si="200"/>
        <v>6</v>
      </c>
      <c r="F2874" s="166">
        <f t="shared" ca="1" si="201"/>
        <v>12</v>
      </c>
      <c r="G2874" s="166"/>
      <c r="H2874" s="171" t="str">
        <f t="shared" ca="1" si="204"/>
        <v/>
      </c>
      <c r="I2874" s="171" t="str">
        <f t="shared" ca="1" si="205"/>
        <v/>
      </c>
      <c r="J2874" s="171" t="str">
        <f t="shared" ca="1" si="206"/>
        <v/>
      </c>
      <c r="K2874" s="171" t="str">
        <f t="shared" ca="1" si="207"/>
        <v/>
      </c>
      <c r="L2874" s="166"/>
      <c r="M2874" s="166"/>
      <c r="N2874" s="166"/>
      <c r="O2874" s="166"/>
      <c r="P2874" s="166">
        <f t="shared" ca="1" si="202"/>
        <v>0</v>
      </c>
      <c r="Q2874" s="166"/>
    </row>
    <row r="2875" spans="1:17">
      <c r="A2875" s="166" t="b">
        <f t="shared" ca="1" si="203"/>
        <v>0</v>
      </c>
      <c r="B2875" s="172" t="str">
        <f ca="1">IF(COUNTA(G$2368:G2874)=1,"",OFFSET(B2875,-COUNTA(G$2368:G2874)+1,0))</f>
        <v>a1b3p000006eF2MAAU</v>
      </c>
      <c r="C2875" s="177">
        <f ca="1">IF(COUNTA(G$2368:G2874)=1,"",OFFSET(C2875,-COUNTA(G$2368:G2874)+1,0))</f>
        <v>5</v>
      </c>
      <c r="D2875" s="166">
        <f t="shared" si="199"/>
        <v>25</v>
      </c>
      <c r="E2875" s="166">
        <f t="shared" ca="1" si="200"/>
        <v>1</v>
      </c>
      <c r="F2875" s="166">
        <f t="shared" ca="1" si="201"/>
        <v>13</v>
      </c>
      <c r="G2875" s="166"/>
      <c r="H2875" s="171" t="str">
        <f t="shared" ca="1" si="204"/>
        <v/>
      </c>
      <c r="I2875" s="171" t="str">
        <f t="shared" ca="1" si="205"/>
        <v/>
      </c>
      <c r="J2875" s="171" t="str">
        <f t="shared" ca="1" si="206"/>
        <v/>
      </c>
      <c r="K2875" s="171" t="str">
        <f t="shared" ca="1" si="207"/>
        <v/>
      </c>
      <c r="L2875" s="166"/>
      <c r="M2875" s="166"/>
      <c r="N2875" s="166"/>
      <c r="O2875" s="166"/>
      <c r="P2875" s="166">
        <f t="shared" ca="1" si="202"/>
        <v>0</v>
      </c>
      <c r="Q2875" s="166"/>
    </row>
    <row r="2876" spans="1:17">
      <c r="A2876" s="166" t="b">
        <f t="shared" ca="1" si="203"/>
        <v>0</v>
      </c>
      <c r="B2876" s="172" t="str">
        <f ca="1">IF(COUNTA(G$2368:G2875)=1,"",OFFSET(B2876,-COUNTA(G$2368:G2875)+1,0))</f>
        <v>a1b3p000006eF3eAAE</v>
      </c>
      <c r="C2876" s="177">
        <f ca="1">IF(COUNTA(G$2368:G2875)=1,"",OFFSET(C2876,-COUNTA(G$2368:G2875)+1,0))</f>
        <v>5</v>
      </c>
      <c r="D2876" s="166">
        <f t="shared" si="199"/>
        <v>26</v>
      </c>
      <c r="E2876" s="166">
        <f t="shared" ca="1" si="200"/>
        <v>2</v>
      </c>
      <c r="F2876" s="166">
        <f t="shared" ca="1" si="201"/>
        <v>13</v>
      </c>
      <c r="G2876" s="166"/>
      <c r="H2876" s="171" t="str">
        <f t="shared" ca="1" si="204"/>
        <v/>
      </c>
      <c r="I2876" s="171" t="str">
        <f t="shared" ca="1" si="205"/>
        <v/>
      </c>
      <c r="J2876" s="171" t="str">
        <f t="shared" ca="1" si="206"/>
        <v/>
      </c>
      <c r="K2876" s="171" t="str">
        <f t="shared" ca="1" si="207"/>
        <v/>
      </c>
      <c r="L2876" s="166"/>
      <c r="M2876" s="166"/>
      <c r="N2876" s="166"/>
      <c r="O2876" s="166"/>
      <c r="P2876" s="166">
        <f t="shared" ca="1" si="202"/>
        <v>0</v>
      </c>
      <c r="Q2876" s="166"/>
    </row>
    <row r="2877" spans="1:17">
      <c r="A2877" s="166" t="b">
        <f t="shared" ca="1" si="203"/>
        <v>0</v>
      </c>
      <c r="B2877" s="172" t="str">
        <f ca="1">IF(COUNTA(G$2368:G2876)=1,"",OFFSET(B2877,-COUNTA(G$2368:G2876)+1,0))</f>
        <v>a1b3p000006eF4wAAE</v>
      </c>
      <c r="C2877" s="177">
        <f ca="1">IF(COUNTA(G$2368:G2876)=1,"",OFFSET(C2877,-COUNTA(G$2368:G2876)+1,0))</f>
        <v>5</v>
      </c>
      <c r="D2877" s="166">
        <f t="shared" si="199"/>
        <v>27</v>
      </c>
      <c r="E2877" s="166">
        <f t="shared" ca="1" si="200"/>
        <v>3</v>
      </c>
      <c r="F2877" s="166">
        <f t="shared" ca="1" si="201"/>
        <v>13</v>
      </c>
      <c r="G2877" s="166"/>
      <c r="H2877" s="171" t="str">
        <f t="shared" ca="1" si="204"/>
        <v/>
      </c>
      <c r="I2877" s="171" t="str">
        <f t="shared" ca="1" si="205"/>
        <v/>
      </c>
      <c r="J2877" s="171" t="str">
        <f t="shared" ca="1" si="206"/>
        <v/>
      </c>
      <c r="K2877" s="171" t="str">
        <f t="shared" ca="1" si="207"/>
        <v/>
      </c>
      <c r="L2877" s="166"/>
      <c r="M2877" s="166"/>
      <c r="N2877" s="166"/>
      <c r="O2877" s="166"/>
      <c r="P2877" s="166">
        <f t="shared" ca="1" si="202"/>
        <v>0</v>
      </c>
      <c r="Q2877" s="166"/>
    </row>
    <row r="2878" spans="1:17">
      <c r="A2878" s="166" t="b">
        <f t="shared" ca="1" si="203"/>
        <v>0</v>
      </c>
      <c r="B2878" s="172" t="str">
        <f ca="1">IF(COUNTA(G$2368:G2877)=1,"",OFFSET(B2878,-COUNTA(G$2368:G2877)+1,0))</f>
        <v>a1b3p000006eF6EAAU</v>
      </c>
      <c r="C2878" s="177">
        <f ca="1">IF(COUNTA(G$2368:G2877)=1,"",OFFSET(C2878,-COUNTA(G$2368:G2877)+1,0))</f>
        <v>5</v>
      </c>
      <c r="D2878" s="166">
        <f t="shared" si="199"/>
        <v>28</v>
      </c>
      <c r="E2878" s="166">
        <f t="shared" ca="1" si="200"/>
        <v>4</v>
      </c>
      <c r="F2878" s="166">
        <f t="shared" ca="1" si="201"/>
        <v>13</v>
      </c>
      <c r="G2878" s="166"/>
      <c r="H2878" s="171" t="str">
        <f t="shared" ca="1" si="204"/>
        <v/>
      </c>
      <c r="I2878" s="171" t="str">
        <f t="shared" ca="1" si="205"/>
        <v/>
      </c>
      <c r="J2878" s="171" t="str">
        <f t="shared" ca="1" si="206"/>
        <v/>
      </c>
      <c r="K2878" s="171" t="str">
        <f t="shared" ca="1" si="207"/>
        <v/>
      </c>
      <c r="L2878" s="166"/>
      <c r="M2878" s="166"/>
      <c r="N2878" s="166"/>
      <c r="O2878" s="166"/>
      <c r="P2878" s="166">
        <f t="shared" ca="1" si="202"/>
        <v>0</v>
      </c>
      <c r="Q2878" s="166"/>
    </row>
    <row r="2879" spans="1:17">
      <c r="A2879" s="166" t="b">
        <f t="shared" ca="1" si="203"/>
        <v>0</v>
      </c>
      <c r="B2879" s="172" t="str">
        <f ca="1">IF(COUNTA(G$2368:G2878)=1,"",OFFSET(B2879,-COUNTA(G$2368:G2878)+1,0))</f>
        <v>a1b3p000006eF7WAAU</v>
      </c>
      <c r="C2879" s="177">
        <f ca="1">IF(COUNTA(G$2368:G2878)=1,"",OFFSET(C2879,-COUNTA(G$2368:G2878)+1,0))</f>
        <v>5</v>
      </c>
      <c r="D2879" s="166">
        <f t="shared" si="199"/>
        <v>29</v>
      </c>
      <c r="E2879" s="166">
        <f t="shared" ca="1" si="200"/>
        <v>5</v>
      </c>
      <c r="F2879" s="166">
        <f t="shared" ca="1" si="201"/>
        <v>13</v>
      </c>
      <c r="G2879" s="166"/>
      <c r="H2879" s="171" t="str">
        <f t="shared" ca="1" si="204"/>
        <v/>
      </c>
      <c r="I2879" s="171" t="str">
        <f t="shared" ca="1" si="205"/>
        <v/>
      </c>
      <c r="J2879" s="171" t="str">
        <f t="shared" ca="1" si="206"/>
        <v/>
      </c>
      <c r="K2879" s="171" t="str">
        <f t="shared" ca="1" si="207"/>
        <v/>
      </c>
      <c r="L2879" s="166"/>
      <c r="M2879" s="166"/>
      <c r="N2879" s="166"/>
      <c r="O2879" s="166"/>
      <c r="P2879" s="166">
        <f t="shared" ca="1" si="202"/>
        <v>0</v>
      </c>
      <c r="Q2879" s="166"/>
    </row>
    <row r="2880" spans="1:17">
      <c r="A2880" s="166" t="b">
        <f t="shared" ca="1" si="203"/>
        <v>0</v>
      </c>
      <c r="B2880" s="172" t="str">
        <f ca="1">IF(COUNTA(G$2368:G2879)=1,"",OFFSET(B2880,-COUNTA(G$2368:G2879)+1,0))</f>
        <v>a1b3p000006eF8oAAE</v>
      </c>
      <c r="C2880" s="177">
        <f ca="1">IF(COUNTA(G$2368:G2879)=1,"",OFFSET(C2880,-COUNTA(G$2368:G2879)+1,0))</f>
        <v>5</v>
      </c>
      <c r="D2880" s="166">
        <f t="shared" si="199"/>
        <v>30</v>
      </c>
      <c r="E2880" s="166">
        <f t="shared" ca="1" si="200"/>
        <v>6</v>
      </c>
      <c r="F2880" s="166">
        <f t="shared" ca="1" si="201"/>
        <v>13</v>
      </c>
      <c r="G2880" s="166"/>
      <c r="H2880" s="171" t="str">
        <f t="shared" ca="1" si="204"/>
        <v/>
      </c>
      <c r="I2880" s="171" t="str">
        <f t="shared" ca="1" si="205"/>
        <v/>
      </c>
      <c r="J2880" s="171" t="str">
        <f t="shared" ca="1" si="206"/>
        <v/>
      </c>
      <c r="K2880" s="171" t="str">
        <f t="shared" ca="1" si="207"/>
        <v/>
      </c>
      <c r="L2880" s="166"/>
      <c r="M2880" s="166"/>
      <c r="N2880" s="166"/>
      <c r="O2880" s="166"/>
      <c r="P2880" s="166">
        <f t="shared" ca="1" si="202"/>
        <v>0</v>
      </c>
      <c r="Q2880" s="166"/>
    </row>
    <row r="2881" spans="1:17">
      <c r="A2881" s="166" t="b">
        <f t="shared" ca="1" si="203"/>
        <v>0</v>
      </c>
      <c r="B2881" s="172" t="str">
        <f ca="1">IF(COUNTA(G$2368:G2880)=1,"",OFFSET(B2881,-COUNTA(G$2368:G2880)+1,0))</f>
        <v>a1b3p000006eF2NAAU</v>
      </c>
      <c r="C2881" s="177">
        <f ca="1">IF(COUNTA(G$2368:G2880)=1,"",OFFSET(C2881,-COUNTA(G$2368:G2880)+1,0))</f>
        <v>6</v>
      </c>
      <c r="D2881" s="166">
        <f t="shared" si="199"/>
        <v>31</v>
      </c>
      <c r="E2881" s="166">
        <f t="shared" ca="1" si="200"/>
        <v>1</v>
      </c>
      <c r="F2881" s="166">
        <f t="shared" ca="1" si="201"/>
        <v>14</v>
      </c>
      <c r="G2881" s="166"/>
      <c r="H2881" s="171" t="str">
        <f t="shared" ca="1" si="204"/>
        <v/>
      </c>
      <c r="I2881" s="171" t="str">
        <f t="shared" ca="1" si="205"/>
        <v/>
      </c>
      <c r="J2881" s="171" t="str">
        <f t="shared" ca="1" si="206"/>
        <v/>
      </c>
      <c r="K2881" s="171" t="str">
        <f t="shared" ca="1" si="207"/>
        <v/>
      </c>
      <c r="L2881" s="166"/>
      <c r="M2881" s="166"/>
      <c r="N2881" s="166"/>
      <c r="O2881" s="166"/>
      <c r="P2881" s="166">
        <f t="shared" ca="1" si="202"/>
        <v>0</v>
      </c>
      <c r="Q2881" s="166"/>
    </row>
    <row r="2882" spans="1:17">
      <c r="A2882" s="166" t="b">
        <f t="shared" ca="1" si="203"/>
        <v>0</v>
      </c>
      <c r="B2882" s="172" t="str">
        <f ca="1">IF(COUNTA(G$2368:G2881)=1,"",OFFSET(B2882,-COUNTA(G$2368:G2881)+1,0))</f>
        <v>a1b3p000006eF3fAAE</v>
      </c>
      <c r="C2882" s="177">
        <f ca="1">IF(COUNTA(G$2368:G2881)=1,"",OFFSET(C2882,-COUNTA(G$2368:G2881)+1,0))</f>
        <v>6</v>
      </c>
      <c r="D2882" s="166">
        <f t="shared" si="199"/>
        <v>32</v>
      </c>
      <c r="E2882" s="166">
        <f t="shared" ca="1" si="200"/>
        <v>2</v>
      </c>
      <c r="F2882" s="166">
        <f t="shared" ca="1" si="201"/>
        <v>14</v>
      </c>
      <c r="G2882" s="166"/>
      <c r="H2882" s="171" t="str">
        <f t="shared" ca="1" si="204"/>
        <v/>
      </c>
      <c r="I2882" s="171" t="str">
        <f t="shared" ca="1" si="205"/>
        <v/>
      </c>
      <c r="J2882" s="171" t="str">
        <f t="shared" ca="1" si="206"/>
        <v/>
      </c>
      <c r="K2882" s="171" t="str">
        <f t="shared" ca="1" si="207"/>
        <v/>
      </c>
      <c r="L2882" s="166"/>
      <c r="M2882" s="166"/>
      <c r="N2882" s="166"/>
      <c r="O2882" s="166"/>
      <c r="P2882" s="166">
        <f t="shared" ca="1" si="202"/>
        <v>0</v>
      </c>
      <c r="Q2882" s="166"/>
    </row>
    <row r="2883" spans="1:17">
      <c r="A2883" s="166" t="b">
        <f t="shared" ca="1" si="203"/>
        <v>0</v>
      </c>
      <c r="B2883" s="172" t="str">
        <f ca="1">IF(COUNTA(G$2368:G2882)=1,"",OFFSET(B2883,-COUNTA(G$2368:G2882)+1,0))</f>
        <v>a1b3p000006eF4xAAE</v>
      </c>
      <c r="C2883" s="177">
        <f ca="1">IF(COUNTA(G$2368:G2882)=1,"",OFFSET(C2883,-COUNTA(G$2368:G2882)+1,0))</f>
        <v>6</v>
      </c>
      <c r="D2883" s="166">
        <f t="shared" ref="D2883:D2946" si="208">D2882+1</f>
        <v>33</v>
      </c>
      <c r="E2883" s="166">
        <f t="shared" ref="E2883:E2946" ca="1" si="209">COUNTIF(C2713:C2883,C2883)</f>
        <v>3</v>
      </c>
      <c r="F2883" s="166">
        <f t="shared" ref="F2883:F2946" ca="1" si="210">IF(C2883=1,9,IF(E2882=MAX(E2881:E2883),F2881+1,F2882))</f>
        <v>14</v>
      </c>
      <c r="G2883" s="166"/>
      <c r="H2883" s="171" t="str">
        <f t="shared" ca="1" si="204"/>
        <v/>
      </c>
      <c r="I2883" s="171" t="str">
        <f t="shared" ca="1" si="205"/>
        <v/>
      </c>
      <c r="J2883" s="171" t="str">
        <f t="shared" ca="1" si="206"/>
        <v/>
      </c>
      <c r="K2883" s="171" t="str">
        <f t="shared" ca="1" si="207"/>
        <v/>
      </c>
      <c r="L2883" s="166"/>
      <c r="M2883" s="166"/>
      <c r="N2883" s="166"/>
      <c r="O2883" s="166"/>
      <c r="P2883" s="166">
        <f t="shared" ref="P2883:P2946" ca="1" si="211">IF(NOT(_xlfn.ISFORMULA(I2883)),P2882+1,0)</f>
        <v>0</v>
      </c>
      <c r="Q2883" s="166"/>
    </row>
    <row r="2884" spans="1:17">
      <c r="A2884" s="166" t="b">
        <f t="shared" ca="1" si="203"/>
        <v>0</v>
      </c>
      <c r="B2884" s="172" t="str">
        <f ca="1">IF(COUNTA(G$2368:G2883)=1,"",OFFSET(B2884,-COUNTA(G$2368:G2883)+1,0))</f>
        <v>a1b3p000006eF6FAAU</v>
      </c>
      <c r="C2884" s="177">
        <f ca="1">IF(COUNTA(G$2368:G2883)=1,"",OFFSET(C2884,-COUNTA(G$2368:G2883)+1,0))</f>
        <v>6</v>
      </c>
      <c r="D2884" s="166">
        <f t="shared" si="208"/>
        <v>34</v>
      </c>
      <c r="E2884" s="166">
        <f t="shared" ca="1" si="209"/>
        <v>4</v>
      </c>
      <c r="F2884" s="166">
        <f t="shared" ca="1" si="210"/>
        <v>14</v>
      </c>
      <c r="G2884" s="166"/>
      <c r="H2884" s="171" t="str">
        <f t="shared" ca="1" si="204"/>
        <v/>
      </c>
      <c r="I2884" s="171" t="str">
        <f t="shared" ca="1" si="205"/>
        <v/>
      </c>
      <c r="J2884" s="171" t="str">
        <f t="shared" ca="1" si="206"/>
        <v/>
      </c>
      <c r="K2884" s="171" t="str">
        <f t="shared" ca="1" si="207"/>
        <v/>
      </c>
      <c r="L2884" s="166"/>
      <c r="M2884" s="166"/>
      <c r="N2884" s="166"/>
      <c r="O2884" s="166"/>
      <c r="P2884" s="166">
        <f t="shared" ca="1" si="211"/>
        <v>0</v>
      </c>
      <c r="Q2884" s="166"/>
    </row>
    <row r="2885" spans="1:17">
      <c r="A2885" s="166" t="b">
        <f t="shared" ca="1" si="203"/>
        <v>0</v>
      </c>
      <c r="B2885" s="172" t="str">
        <f ca="1">IF(COUNTA(G$2368:G2884)=1,"",OFFSET(B2885,-COUNTA(G$2368:G2884)+1,0))</f>
        <v>a1b3p000006eF7XAAU</v>
      </c>
      <c r="C2885" s="177">
        <f ca="1">IF(COUNTA(G$2368:G2884)=1,"",OFFSET(C2885,-COUNTA(G$2368:G2884)+1,0))</f>
        <v>6</v>
      </c>
      <c r="D2885" s="166">
        <f t="shared" si="208"/>
        <v>35</v>
      </c>
      <c r="E2885" s="166">
        <f t="shared" ca="1" si="209"/>
        <v>5</v>
      </c>
      <c r="F2885" s="166">
        <f t="shared" ca="1" si="210"/>
        <v>14</v>
      </c>
      <c r="G2885" s="166"/>
      <c r="H2885" s="171" t="str">
        <f t="shared" ca="1" si="204"/>
        <v/>
      </c>
      <c r="I2885" s="171" t="str">
        <f t="shared" ca="1" si="205"/>
        <v/>
      </c>
      <c r="J2885" s="171" t="str">
        <f t="shared" ca="1" si="206"/>
        <v/>
      </c>
      <c r="K2885" s="171" t="str">
        <f t="shared" ca="1" si="207"/>
        <v/>
      </c>
      <c r="L2885" s="166"/>
      <c r="M2885" s="166"/>
      <c r="N2885" s="166"/>
      <c r="O2885" s="166"/>
      <c r="P2885" s="166">
        <f t="shared" ca="1" si="211"/>
        <v>0</v>
      </c>
      <c r="Q2885" s="166"/>
    </row>
    <row r="2886" spans="1:17">
      <c r="A2886" s="166" t="b">
        <f t="shared" ca="1" si="203"/>
        <v>0</v>
      </c>
      <c r="B2886" s="172" t="str">
        <f ca="1">IF(COUNTA(G$2368:G2885)=1,"",OFFSET(B2886,-COUNTA(G$2368:G2885)+1,0))</f>
        <v>a1b3p000006eF8pAAE</v>
      </c>
      <c r="C2886" s="177">
        <f ca="1">IF(COUNTA(G$2368:G2885)=1,"",OFFSET(C2886,-COUNTA(G$2368:G2885)+1,0))</f>
        <v>6</v>
      </c>
      <c r="D2886" s="166">
        <f t="shared" si="208"/>
        <v>36</v>
      </c>
      <c r="E2886" s="166">
        <f t="shared" ca="1" si="209"/>
        <v>6</v>
      </c>
      <c r="F2886" s="166">
        <f t="shared" ca="1" si="210"/>
        <v>14</v>
      </c>
      <c r="G2886" s="166"/>
      <c r="H2886" s="171" t="str">
        <f t="shared" ca="1" si="204"/>
        <v/>
      </c>
      <c r="I2886" s="171" t="str">
        <f t="shared" ca="1" si="205"/>
        <v/>
      </c>
      <c r="J2886" s="171" t="str">
        <f t="shared" ca="1" si="206"/>
        <v/>
      </c>
      <c r="K2886" s="171" t="str">
        <f t="shared" ca="1" si="207"/>
        <v/>
      </c>
      <c r="L2886" s="166"/>
      <c r="M2886" s="166"/>
      <c r="N2886" s="166"/>
      <c r="O2886" s="166"/>
      <c r="P2886" s="166">
        <f t="shared" ca="1" si="211"/>
        <v>0</v>
      </c>
      <c r="Q2886" s="166"/>
    </row>
    <row r="2887" spans="1:17">
      <c r="A2887" s="166" t="b">
        <f t="shared" ca="1" si="203"/>
        <v>0</v>
      </c>
      <c r="B2887" s="172" t="str">
        <f ca="1">IF(COUNTA(G$2368:G2886)=1,"",OFFSET(B2887,-COUNTA(G$2368:G2886)+1,0))</f>
        <v>a1b3p000006eF2OAAU</v>
      </c>
      <c r="C2887" s="177">
        <f ca="1">IF(COUNTA(G$2368:G2886)=1,"",OFFSET(C2887,-COUNTA(G$2368:G2886)+1,0))</f>
        <v>7</v>
      </c>
      <c r="D2887" s="166">
        <f t="shared" si="208"/>
        <v>37</v>
      </c>
      <c r="E2887" s="166">
        <f t="shared" ca="1" si="209"/>
        <v>1</v>
      </c>
      <c r="F2887" s="166">
        <f t="shared" ca="1" si="210"/>
        <v>15</v>
      </c>
      <c r="G2887" s="166"/>
      <c r="H2887" s="171" t="str">
        <f t="shared" ca="1" si="204"/>
        <v/>
      </c>
      <c r="I2887" s="171" t="str">
        <f t="shared" ca="1" si="205"/>
        <v/>
      </c>
      <c r="J2887" s="171" t="str">
        <f t="shared" ca="1" si="206"/>
        <v/>
      </c>
      <c r="K2887" s="171" t="str">
        <f t="shared" ca="1" si="207"/>
        <v/>
      </c>
      <c r="L2887" s="166"/>
      <c r="M2887" s="166"/>
      <c r="N2887" s="166"/>
      <c r="O2887" s="166"/>
      <c r="P2887" s="166">
        <f t="shared" ca="1" si="211"/>
        <v>0</v>
      </c>
      <c r="Q2887" s="166"/>
    </row>
    <row r="2888" spans="1:17">
      <c r="A2888" s="166" t="b">
        <f t="shared" ca="1" si="203"/>
        <v>0</v>
      </c>
      <c r="B2888" s="172" t="str">
        <f ca="1">IF(COUNTA(G$2368:G2887)=1,"",OFFSET(B2888,-COUNTA(G$2368:G2887)+1,0))</f>
        <v>a1b3p000006eF3gAAE</v>
      </c>
      <c r="C2888" s="177">
        <f ca="1">IF(COUNTA(G$2368:G2887)=1,"",OFFSET(C2888,-COUNTA(G$2368:G2887)+1,0))</f>
        <v>7</v>
      </c>
      <c r="D2888" s="166">
        <f t="shared" si="208"/>
        <v>38</v>
      </c>
      <c r="E2888" s="166">
        <f t="shared" ca="1" si="209"/>
        <v>2</v>
      </c>
      <c r="F2888" s="166">
        <f t="shared" ca="1" si="210"/>
        <v>15</v>
      </c>
      <c r="G2888" s="166"/>
      <c r="H2888" s="171" t="str">
        <f t="shared" ca="1" si="204"/>
        <v/>
      </c>
      <c r="I2888" s="171" t="str">
        <f t="shared" ca="1" si="205"/>
        <v/>
      </c>
      <c r="J2888" s="171" t="str">
        <f t="shared" ca="1" si="206"/>
        <v/>
      </c>
      <c r="K2888" s="171" t="str">
        <f t="shared" ca="1" si="207"/>
        <v/>
      </c>
      <c r="L2888" s="166"/>
      <c r="M2888" s="166"/>
      <c r="N2888" s="166"/>
      <c r="O2888" s="166"/>
      <c r="P2888" s="166">
        <f t="shared" ca="1" si="211"/>
        <v>0</v>
      </c>
      <c r="Q2888" s="166"/>
    </row>
    <row r="2889" spans="1:17">
      <c r="A2889" s="166" t="b">
        <f t="shared" ca="1" si="203"/>
        <v>0</v>
      </c>
      <c r="B2889" s="172" t="str">
        <f ca="1">IF(COUNTA(G$2368:G2888)=1,"",OFFSET(B2889,-COUNTA(G$2368:G2888)+1,0))</f>
        <v>a1b3p000006eF4yAAE</v>
      </c>
      <c r="C2889" s="177">
        <f ca="1">IF(COUNTA(G$2368:G2888)=1,"",OFFSET(C2889,-COUNTA(G$2368:G2888)+1,0))</f>
        <v>7</v>
      </c>
      <c r="D2889" s="166">
        <f t="shared" si="208"/>
        <v>39</v>
      </c>
      <c r="E2889" s="166">
        <f t="shared" ca="1" si="209"/>
        <v>3</v>
      </c>
      <c r="F2889" s="166">
        <f t="shared" ca="1" si="210"/>
        <v>15</v>
      </c>
      <c r="G2889" s="166"/>
      <c r="H2889" s="171" t="str">
        <f t="shared" ca="1" si="204"/>
        <v/>
      </c>
      <c r="I2889" s="171" t="str">
        <f t="shared" ca="1" si="205"/>
        <v/>
      </c>
      <c r="J2889" s="171" t="str">
        <f t="shared" ca="1" si="206"/>
        <v/>
      </c>
      <c r="K2889" s="171" t="str">
        <f t="shared" ca="1" si="207"/>
        <v/>
      </c>
      <c r="L2889" s="166"/>
      <c r="M2889" s="166"/>
      <c r="N2889" s="166"/>
      <c r="O2889" s="166"/>
      <c r="P2889" s="166">
        <f t="shared" ca="1" si="211"/>
        <v>0</v>
      </c>
      <c r="Q2889" s="166"/>
    </row>
    <row r="2890" spans="1:17">
      <c r="A2890" s="166" t="b">
        <f t="shared" ca="1" si="203"/>
        <v>0</v>
      </c>
      <c r="B2890" s="172" t="str">
        <f ca="1">IF(COUNTA(G$2368:G2889)=1,"",OFFSET(B2890,-COUNTA(G$2368:G2889)+1,0))</f>
        <v>a1b3p000006eF6GAAU</v>
      </c>
      <c r="C2890" s="177">
        <f ca="1">IF(COUNTA(G$2368:G2889)=1,"",OFFSET(C2890,-COUNTA(G$2368:G2889)+1,0))</f>
        <v>7</v>
      </c>
      <c r="D2890" s="166">
        <f t="shared" si="208"/>
        <v>40</v>
      </c>
      <c r="E2890" s="166">
        <f t="shared" ca="1" si="209"/>
        <v>4</v>
      </c>
      <c r="F2890" s="166">
        <f t="shared" ca="1" si="210"/>
        <v>15</v>
      </c>
      <c r="G2890" s="166"/>
      <c r="H2890" s="171" t="str">
        <f t="shared" ca="1" si="204"/>
        <v/>
      </c>
      <c r="I2890" s="171" t="str">
        <f t="shared" ca="1" si="205"/>
        <v/>
      </c>
      <c r="J2890" s="171" t="str">
        <f t="shared" ca="1" si="206"/>
        <v/>
      </c>
      <c r="K2890" s="171" t="str">
        <f t="shared" ca="1" si="207"/>
        <v/>
      </c>
      <c r="L2890" s="166"/>
      <c r="M2890" s="166"/>
      <c r="N2890" s="166"/>
      <c r="O2890" s="166"/>
      <c r="P2890" s="166">
        <f t="shared" ca="1" si="211"/>
        <v>0</v>
      </c>
      <c r="Q2890" s="166"/>
    </row>
    <row r="2891" spans="1:17">
      <c r="A2891" s="166" t="b">
        <f t="shared" ca="1" si="203"/>
        <v>0</v>
      </c>
      <c r="B2891" s="172" t="str">
        <f ca="1">IF(COUNTA(G$2368:G2890)=1,"",OFFSET(B2891,-COUNTA(G$2368:G2890)+1,0))</f>
        <v>a1b3p000006eF7YAAU</v>
      </c>
      <c r="C2891" s="177">
        <f ca="1">IF(COUNTA(G$2368:G2890)=1,"",OFFSET(C2891,-COUNTA(G$2368:G2890)+1,0))</f>
        <v>7</v>
      </c>
      <c r="D2891" s="166">
        <f t="shared" si="208"/>
        <v>41</v>
      </c>
      <c r="E2891" s="166">
        <f t="shared" ca="1" si="209"/>
        <v>5</v>
      </c>
      <c r="F2891" s="166">
        <f t="shared" ca="1" si="210"/>
        <v>15</v>
      </c>
      <c r="G2891" s="166"/>
      <c r="H2891" s="171" t="str">
        <f t="shared" ca="1" si="204"/>
        <v/>
      </c>
      <c r="I2891" s="171" t="str">
        <f t="shared" ca="1" si="205"/>
        <v/>
      </c>
      <c r="J2891" s="171" t="str">
        <f t="shared" ca="1" si="206"/>
        <v/>
      </c>
      <c r="K2891" s="171" t="str">
        <f t="shared" ca="1" si="207"/>
        <v/>
      </c>
      <c r="L2891" s="166"/>
      <c r="M2891" s="166"/>
      <c r="N2891" s="166"/>
      <c r="O2891" s="166"/>
      <c r="P2891" s="166">
        <f t="shared" ca="1" si="211"/>
        <v>0</v>
      </c>
      <c r="Q2891" s="166"/>
    </row>
    <row r="2892" spans="1:17">
      <c r="A2892" s="166" t="b">
        <f t="shared" ca="1" si="203"/>
        <v>0</v>
      </c>
      <c r="B2892" s="172" t="str">
        <f ca="1">IF(COUNTA(G$2368:G2891)=1,"",OFFSET(B2892,-COUNTA(G$2368:G2891)+1,0))</f>
        <v>a1b3p000006eF8qAAE</v>
      </c>
      <c r="C2892" s="177">
        <f ca="1">IF(COUNTA(G$2368:G2891)=1,"",OFFSET(C2892,-COUNTA(G$2368:G2891)+1,0))</f>
        <v>7</v>
      </c>
      <c r="D2892" s="166">
        <f t="shared" si="208"/>
        <v>42</v>
      </c>
      <c r="E2892" s="166">
        <f t="shared" ca="1" si="209"/>
        <v>6</v>
      </c>
      <c r="F2892" s="166">
        <f t="shared" ca="1" si="210"/>
        <v>15</v>
      </c>
      <c r="G2892" s="166"/>
      <c r="H2892" s="171" t="str">
        <f t="shared" ca="1" si="204"/>
        <v/>
      </c>
      <c r="I2892" s="171" t="str">
        <f t="shared" ca="1" si="205"/>
        <v/>
      </c>
      <c r="J2892" s="171" t="str">
        <f t="shared" ca="1" si="206"/>
        <v/>
      </c>
      <c r="K2892" s="171" t="str">
        <f t="shared" ca="1" si="207"/>
        <v/>
      </c>
      <c r="L2892" s="166"/>
      <c r="M2892" s="166"/>
      <c r="N2892" s="166"/>
      <c r="O2892" s="166"/>
      <c r="P2892" s="166">
        <f t="shared" ca="1" si="211"/>
        <v>0</v>
      </c>
      <c r="Q2892" s="166"/>
    </row>
    <row r="2893" spans="1:17">
      <c r="A2893" s="166" t="b">
        <f t="shared" ca="1" si="203"/>
        <v>0</v>
      </c>
      <c r="B2893" s="172" t="str">
        <f ca="1">IF(COUNTA(G$2368:G2892)=1,"",OFFSET(B2893,-COUNTA(G$2368:G2892)+1,0))</f>
        <v>a1b3p000006eF2PAAU</v>
      </c>
      <c r="C2893" s="177">
        <f ca="1">IF(COUNTA(G$2368:G2892)=1,"",OFFSET(C2893,-COUNTA(G$2368:G2892)+1,0))</f>
        <v>8</v>
      </c>
      <c r="D2893" s="166">
        <f t="shared" si="208"/>
        <v>43</v>
      </c>
      <c r="E2893" s="166">
        <f t="shared" ca="1" si="209"/>
        <v>1</v>
      </c>
      <c r="F2893" s="166">
        <f t="shared" ca="1" si="210"/>
        <v>16</v>
      </c>
      <c r="G2893" s="166"/>
      <c r="H2893" s="171" t="str">
        <f t="shared" ca="1" si="204"/>
        <v/>
      </c>
      <c r="I2893" s="171" t="str">
        <f t="shared" ca="1" si="205"/>
        <v/>
      </c>
      <c r="J2893" s="171" t="str">
        <f t="shared" ca="1" si="206"/>
        <v/>
      </c>
      <c r="K2893" s="171" t="str">
        <f t="shared" ca="1" si="207"/>
        <v/>
      </c>
      <c r="L2893" s="166"/>
      <c r="M2893" s="166"/>
      <c r="N2893" s="166"/>
      <c r="O2893" s="166"/>
      <c r="P2893" s="166">
        <f t="shared" ca="1" si="211"/>
        <v>0</v>
      </c>
      <c r="Q2893" s="166"/>
    </row>
    <row r="2894" spans="1:17">
      <c r="A2894" s="166" t="b">
        <f t="shared" ca="1" si="203"/>
        <v>0</v>
      </c>
      <c r="B2894" s="172" t="str">
        <f ca="1">IF(COUNTA(G$2368:G2893)=1,"",OFFSET(B2894,-COUNTA(G$2368:G2893)+1,0))</f>
        <v>a1b3p000006eF3hAAE</v>
      </c>
      <c r="C2894" s="177">
        <f ca="1">IF(COUNTA(G$2368:G2893)=1,"",OFFSET(C2894,-COUNTA(G$2368:G2893)+1,0))</f>
        <v>8</v>
      </c>
      <c r="D2894" s="166">
        <f t="shared" si="208"/>
        <v>44</v>
      </c>
      <c r="E2894" s="166">
        <f t="shared" ca="1" si="209"/>
        <v>2</v>
      </c>
      <c r="F2894" s="166">
        <f t="shared" ca="1" si="210"/>
        <v>16</v>
      </c>
      <c r="G2894" s="166"/>
      <c r="H2894" s="171" t="str">
        <f t="shared" ca="1" si="204"/>
        <v/>
      </c>
      <c r="I2894" s="171" t="str">
        <f t="shared" ca="1" si="205"/>
        <v/>
      </c>
      <c r="J2894" s="171" t="str">
        <f t="shared" ca="1" si="206"/>
        <v/>
      </c>
      <c r="K2894" s="171" t="str">
        <f t="shared" ca="1" si="207"/>
        <v/>
      </c>
      <c r="L2894" s="166"/>
      <c r="M2894" s="166"/>
      <c r="N2894" s="166"/>
      <c r="O2894" s="166"/>
      <c r="P2894" s="166">
        <f t="shared" ca="1" si="211"/>
        <v>0</v>
      </c>
      <c r="Q2894" s="166"/>
    </row>
    <row r="2895" spans="1:17">
      <c r="A2895" s="166" t="b">
        <f t="shared" ca="1" si="203"/>
        <v>0</v>
      </c>
      <c r="B2895" s="172" t="str">
        <f ca="1">IF(COUNTA(G$2368:G2894)=1,"",OFFSET(B2895,-COUNTA(G$2368:G2894)+1,0))</f>
        <v>a1b3p000006eF4zAAE</v>
      </c>
      <c r="C2895" s="177">
        <f ca="1">IF(COUNTA(G$2368:G2894)=1,"",OFFSET(C2895,-COUNTA(G$2368:G2894)+1,0))</f>
        <v>8</v>
      </c>
      <c r="D2895" s="166">
        <f t="shared" si="208"/>
        <v>45</v>
      </c>
      <c r="E2895" s="166">
        <f t="shared" ca="1" si="209"/>
        <v>3</v>
      </c>
      <c r="F2895" s="166">
        <f t="shared" ca="1" si="210"/>
        <v>16</v>
      </c>
      <c r="G2895" s="166"/>
      <c r="H2895" s="171" t="str">
        <f t="shared" ca="1" si="204"/>
        <v/>
      </c>
      <c r="I2895" s="171" t="str">
        <f t="shared" ca="1" si="205"/>
        <v/>
      </c>
      <c r="J2895" s="171" t="str">
        <f t="shared" ca="1" si="206"/>
        <v/>
      </c>
      <c r="K2895" s="171" t="str">
        <f t="shared" ca="1" si="207"/>
        <v/>
      </c>
      <c r="L2895" s="166"/>
      <c r="M2895" s="166"/>
      <c r="N2895" s="166"/>
      <c r="O2895" s="166"/>
      <c r="P2895" s="166">
        <f t="shared" ca="1" si="211"/>
        <v>0</v>
      </c>
      <c r="Q2895" s="166"/>
    </row>
    <row r="2896" spans="1:17">
      <c r="A2896" s="166" t="b">
        <f t="shared" ca="1" si="203"/>
        <v>0</v>
      </c>
      <c r="B2896" s="172" t="str">
        <f ca="1">IF(COUNTA(G$2368:G2895)=1,"",OFFSET(B2896,-COUNTA(G$2368:G2895)+1,0))</f>
        <v>a1b3p000006eF6HAAU</v>
      </c>
      <c r="C2896" s="177">
        <f ca="1">IF(COUNTA(G$2368:G2895)=1,"",OFFSET(C2896,-COUNTA(G$2368:G2895)+1,0))</f>
        <v>8</v>
      </c>
      <c r="D2896" s="166">
        <f t="shared" si="208"/>
        <v>46</v>
      </c>
      <c r="E2896" s="166">
        <f t="shared" ca="1" si="209"/>
        <v>4</v>
      </c>
      <c r="F2896" s="166">
        <f t="shared" ca="1" si="210"/>
        <v>16</v>
      </c>
      <c r="G2896" s="166"/>
      <c r="H2896" s="171" t="str">
        <f t="shared" ca="1" si="204"/>
        <v/>
      </c>
      <c r="I2896" s="171" t="str">
        <f t="shared" ca="1" si="205"/>
        <v/>
      </c>
      <c r="J2896" s="171" t="str">
        <f t="shared" ca="1" si="206"/>
        <v/>
      </c>
      <c r="K2896" s="171" t="str">
        <f t="shared" ca="1" si="207"/>
        <v/>
      </c>
      <c r="L2896" s="166"/>
      <c r="M2896" s="166"/>
      <c r="N2896" s="166"/>
      <c r="O2896" s="166"/>
      <c r="P2896" s="166">
        <f t="shared" ca="1" si="211"/>
        <v>0</v>
      </c>
      <c r="Q2896" s="166"/>
    </row>
    <row r="2897" spans="1:17">
      <c r="A2897" s="166" t="b">
        <f t="shared" ca="1" si="203"/>
        <v>0</v>
      </c>
      <c r="B2897" s="172" t="str">
        <f ca="1">IF(COUNTA(G$2368:G2896)=1,"",OFFSET(B2897,-COUNTA(G$2368:G2896)+1,0))</f>
        <v>a1b3p000006eF7ZAAU</v>
      </c>
      <c r="C2897" s="177">
        <f ca="1">IF(COUNTA(G$2368:G2896)=1,"",OFFSET(C2897,-COUNTA(G$2368:G2896)+1,0))</f>
        <v>8</v>
      </c>
      <c r="D2897" s="166">
        <f t="shared" si="208"/>
        <v>47</v>
      </c>
      <c r="E2897" s="166">
        <f t="shared" ca="1" si="209"/>
        <v>5</v>
      </c>
      <c r="F2897" s="166">
        <f t="shared" ca="1" si="210"/>
        <v>16</v>
      </c>
      <c r="G2897" s="166"/>
      <c r="H2897" s="171" t="str">
        <f t="shared" ca="1" si="204"/>
        <v/>
      </c>
      <c r="I2897" s="171" t="str">
        <f t="shared" ca="1" si="205"/>
        <v/>
      </c>
      <c r="J2897" s="171" t="str">
        <f t="shared" ca="1" si="206"/>
        <v/>
      </c>
      <c r="K2897" s="171" t="str">
        <f t="shared" ca="1" si="207"/>
        <v/>
      </c>
      <c r="L2897" s="166"/>
      <c r="M2897" s="166"/>
      <c r="N2897" s="166"/>
      <c r="O2897" s="166"/>
      <c r="P2897" s="166">
        <f t="shared" ca="1" si="211"/>
        <v>0</v>
      </c>
      <c r="Q2897" s="166"/>
    </row>
    <row r="2898" spans="1:17">
      <c r="A2898" s="166" t="b">
        <f t="shared" ca="1" si="203"/>
        <v>0</v>
      </c>
      <c r="B2898" s="172" t="str">
        <f ca="1">IF(COUNTA(G$2368:G2897)=1,"",OFFSET(B2898,-COUNTA(G$2368:G2897)+1,0))</f>
        <v>a1b3p000006eF8rAAE</v>
      </c>
      <c r="C2898" s="177">
        <f ca="1">IF(COUNTA(G$2368:G2897)=1,"",OFFSET(C2898,-COUNTA(G$2368:G2897)+1,0))</f>
        <v>8</v>
      </c>
      <c r="D2898" s="166">
        <f t="shared" si="208"/>
        <v>48</v>
      </c>
      <c r="E2898" s="166">
        <f t="shared" ca="1" si="209"/>
        <v>6</v>
      </c>
      <c r="F2898" s="166">
        <f t="shared" ca="1" si="210"/>
        <v>16</v>
      </c>
      <c r="G2898" s="166"/>
      <c r="H2898" s="171" t="str">
        <f t="shared" ca="1" si="204"/>
        <v/>
      </c>
      <c r="I2898" s="171" t="str">
        <f t="shared" ca="1" si="205"/>
        <v/>
      </c>
      <c r="J2898" s="171" t="str">
        <f t="shared" ca="1" si="206"/>
        <v/>
      </c>
      <c r="K2898" s="171" t="str">
        <f t="shared" ca="1" si="207"/>
        <v/>
      </c>
      <c r="L2898" s="166"/>
      <c r="M2898" s="166"/>
      <c r="N2898" s="166"/>
      <c r="O2898" s="166"/>
      <c r="P2898" s="166">
        <f t="shared" ca="1" si="211"/>
        <v>0</v>
      </c>
      <c r="Q2898" s="166"/>
    </row>
    <row r="2899" spans="1:17">
      <c r="A2899" s="166" t="b">
        <f t="shared" ca="1" si="203"/>
        <v>0</v>
      </c>
      <c r="B2899" s="172" t="str">
        <f ca="1">IF(COUNTA(G$2368:G2898)=1,"",OFFSET(B2899,-COUNTA(G$2368:G2898)+1,0))</f>
        <v>a1b3p000006eF2QAAU</v>
      </c>
      <c r="C2899" s="177">
        <f ca="1">IF(COUNTA(G$2368:G2898)=1,"",OFFSET(C2899,-COUNTA(G$2368:G2898)+1,0))</f>
        <v>9</v>
      </c>
      <c r="D2899" s="166">
        <f t="shared" si="208"/>
        <v>49</v>
      </c>
      <c r="E2899" s="166">
        <f t="shared" ca="1" si="209"/>
        <v>1</v>
      </c>
      <c r="F2899" s="166">
        <f t="shared" ca="1" si="210"/>
        <v>17</v>
      </c>
      <c r="G2899" s="166"/>
      <c r="H2899" s="171" t="str">
        <f t="shared" ca="1" si="204"/>
        <v/>
      </c>
      <c r="I2899" s="171" t="str">
        <f t="shared" ca="1" si="205"/>
        <v/>
      </c>
      <c r="J2899" s="171" t="str">
        <f t="shared" ca="1" si="206"/>
        <v/>
      </c>
      <c r="K2899" s="171" t="str">
        <f t="shared" ca="1" si="207"/>
        <v/>
      </c>
      <c r="L2899" s="166"/>
      <c r="M2899" s="166"/>
      <c r="N2899" s="166"/>
      <c r="O2899" s="166"/>
      <c r="P2899" s="166">
        <f t="shared" ca="1" si="211"/>
        <v>0</v>
      </c>
      <c r="Q2899" s="166"/>
    </row>
    <row r="2900" spans="1:17">
      <c r="A2900" s="166" t="b">
        <f t="shared" ca="1" si="203"/>
        <v>0</v>
      </c>
      <c r="B2900" s="172" t="str">
        <f ca="1">IF(COUNTA(G$2368:G2899)=1,"",OFFSET(B2900,-COUNTA(G$2368:G2899)+1,0))</f>
        <v>a1b3p000006eF3iAAE</v>
      </c>
      <c r="C2900" s="177">
        <f ca="1">IF(COUNTA(G$2368:G2899)=1,"",OFFSET(C2900,-COUNTA(G$2368:G2899)+1,0))</f>
        <v>9</v>
      </c>
      <c r="D2900" s="166">
        <f t="shared" si="208"/>
        <v>50</v>
      </c>
      <c r="E2900" s="166">
        <f t="shared" ca="1" si="209"/>
        <v>2</v>
      </c>
      <c r="F2900" s="166">
        <f t="shared" ca="1" si="210"/>
        <v>17</v>
      </c>
      <c r="G2900" s="166"/>
      <c r="H2900" s="171" t="str">
        <f t="shared" ca="1" si="204"/>
        <v/>
      </c>
      <c r="I2900" s="171" t="str">
        <f t="shared" ca="1" si="205"/>
        <v/>
      </c>
      <c r="J2900" s="171" t="str">
        <f t="shared" ca="1" si="206"/>
        <v/>
      </c>
      <c r="K2900" s="171" t="str">
        <f t="shared" ca="1" si="207"/>
        <v/>
      </c>
      <c r="L2900" s="166"/>
      <c r="M2900" s="166"/>
      <c r="N2900" s="166"/>
      <c r="O2900" s="166"/>
      <c r="P2900" s="166">
        <f t="shared" ca="1" si="211"/>
        <v>0</v>
      </c>
      <c r="Q2900" s="166"/>
    </row>
    <row r="2901" spans="1:17">
      <c r="A2901" s="166" t="b">
        <f t="shared" ca="1" si="203"/>
        <v>0</v>
      </c>
      <c r="B2901" s="172" t="str">
        <f ca="1">IF(COUNTA(G$2368:G2900)=1,"",OFFSET(B2901,-COUNTA(G$2368:G2900)+1,0))</f>
        <v>a1b3p000006eF50AAE</v>
      </c>
      <c r="C2901" s="177">
        <f ca="1">IF(COUNTA(G$2368:G2900)=1,"",OFFSET(C2901,-COUNTA(G$2368:G2900)+1,0))</f>
        <v>9</v>
      </c>
      <c r="D2901" s="166">
        <f t="shared" si="208"/>
        <v>51</v>
      </c>
      <c r="E2901" s="166">
        <f t="shared" ca="1" si="209"/>
        <v>3</v>
      </c>
      <c r="F2901" s="166">
        <f t="shared" ca="1" si="210"/>
        <v>17</v>
      </c>
      <c r="G2901" s="166"/>
      <c r="H2901" s="171" t="str">
        <f t="shared" ca="1" si="204"/>
        <v/>
      </c>
      <c r="I2901" s="171" t="str">
        <f t="shared" ca="1" si="205"/>
        <v/>
      </c>
      <c r="J2901" s="171" t="str">
        <f t="shared" ca="1" si="206"/>
        <v/>
      </c>
      <c r="K2901" s="171" t="str">
        <f t="shared" ca="1" si="207"/>
        <v/>
      </c>
      <c r="L2901" s="166"/>
      <c r="M2901" s="166"/>
      <c r="N2901" s="166"/>
      <c r="O2901" s="166"/>
      <c r="P2901" s="166">
        <f t="shared" ca="1" si="211"/>
        <v>0</v>
      </c>
      <c r="Q2901" s="166"/>
    </row>
    <row r="2902" spans="1:17">
      <c r="A2902" s="166" t="b">
        <f t="shared" ca="1" si="203"/>
        <v>0</v>
      </c>
      <c r="B2902" s="172" t="str">
        <f ca="1">IF(COUNTA(G$2368:G2901)=1,"",OFFSET(B2902,-COUNTA(G$2368:G2901)+1,0))</f>
        <v>a1b3p000006eF6IAAU</v>
      </c>
      <c r="C2902" s="177">
        <f ca="1">IF(COUNTA(G$2368:G2901)=1,"",OFFSET(C2902,-COUNTA(G$2368:G2901)+1,0))</f>
        <v>9</v>
      </c>
      <c r="D2902" s="166">
        <f t="shared" si="208"/>
        <v>52</v>
      </c>
      <c r="E2902" s="166">
        <f t="shared" ca="1" si="209"/>
        <v>4</v>
      </c>
      <c r="F2902" s="166">
        <f t="shared" ca="1" si="210"/>
        <v>17</v>
      </c>
      <c r="G2902" s="166"/>
      <c r="H2902" s="171" t="str">
        <f t="shared" ca="1" si="204"/>
        <v/>
      </c>
      <c r="I2902" s="171" t="str">
        <f t="shared" ca="1" si="205"/>
        <v/>
      </c>
      <c r="J2902" s="171" t="str">
        <f t="shared" ca="1" si="206"/>
        <v/>
      </c>
      <c r="K2902" s="171" t="str">
        <f t="shared" ca="1" si="207"/>
        <v/>
      </c>
      <c r="L2902" s="166"/>
      <c r="M2902" s="166"/>
      <c r="N2902" s="166"/>
      <c r="O2902" s="166"/>
      <c r="P2902" s="166">
        <f t="shared" ca="1" si="211"/>
        <v>0</v>
      </c>
      <c r="Q2902" s="166"/>
    </row>
    <row r="2903" spans="1:17">
      <c r="A2903" s="166" t="b">
        <f t="shared" ca="1" si="203"/>
        <v>0</v>
      </c>
      <c r="B2903" s="172" t="str">
        <f ca="1">IF(COUNTA(G$2368:G2902)=1,"",OFFSET(B2903,-COUNTA(G$2368:G2902)+1,0))</f>
        <v>a1b3p000006eF7aAAE</v>
      </c>
      <c r="C2903" s="177">
        <f ca="1">IF(COUNTA(G$2368:G2902)=1,"",OFFSET(C2903,-COUNTA(G$2368:G2902)+1,0))</f>
        <v>9</v>
      </c>
      <c r="D2903" s="166">
        <f t="shared" si="208"/>
        <v>53</v>
      </c>
      <c r="E2903" s="166">
        <f t="shared" ca="1" si="209"/>
        <v>5</v>
      </c>
      <c r="F2903" s="166">
        <f t="shared" ca="1" si="210"/>
        <v>17</v>
      </c>
      <c r="G2903" s="166"/>
      <c r="H2903" s="171" t="str">
        <f t="shared" ca="1" si="204"/>
        <v/>
      </c>
      <c r="I2903" s="171" t="str">
        <f t="shared" ca="1" si="205"/>
        <v/>
      </c>
      <c r="J2903" s="171" t="str">
        <f t="shared" ca="1" si="206"/>
        <v/>
      </c>
      <c r="K2903" s="171" t="str">
        <f t="shared" ca="1" si="207"/>
        <v/>
      </c>
      <c r="L2903" s="166"/>
      <c r="M2903" s="166"/>
      <c r="N2903" s="166"/>
      <c r="O2903" s="166"/>
      <c r="P2903" s="166">
        <f t="shared" ca="1" si="211"/>
        <v>0</v>
      </c>
      <c r="Q2903" s="166"/>
    </row>
    <row r="2904" spans="1:17">
      <c r="A2904" s="166" t="b">
        <f t="shared" ca="1" si="203"/>
        <v>0</v>
      </c>
      <c r="B2904" s="172" t="str">
        <f ca="1">IF(COUNTA(G$2368:G2903)=1,"",OFFSET(B2904,-COUNTA(G$2368:G2903)+1,0))</f>
        <v>a1b3p000006eF8sAAE</v>
      </c>
      <c r="C2904" s="177">
        <f ca="1">IF(COUNTA(G$2368:G2903)=1,"",OFFSET(C2904,-COUNTA(G$2368:G2903)+1,0))</f>
        <v>9</v>
      </c>
      <c r="D2904" s="166">
        <f t="shared" si="208"/>
        <v>54</v>
      </c>
      <c r="E2904" s="166">
        <f t="shared" ca="1" si="209"/>
        <v>6</v>
      </c>
      <c r="F2904" s="166">
        <f t="shared" ca="1" si="210"/>
        <v>17</v>
      </c>
      <c r="G2904" s="166"/>
      <c r="H2904" s="171" t="str">
        <f t="shared" ca="1" si="204"/>
        <v/>
      </c>
      <c r="I2904" s="171" t="str">
        <f t="shared" ca="1" si="205"/>
        <v/>
      </c>
      <c r="J2904" s="171" t="str">
        <f t="shared" ca="1" si="206"/>
        <v/>
      </c>
      <c r="K2904" s="171" t="str">
        <f t="shared" ca="1" si="207"/>
        <v/>
      </c>
      <c r="L2904" s="166"/>
      <c r="M2904" s="166"/>
      <c r="N2904" s="166"/>
      <c r="O2904" s="166"/>
      <c r="P2904" s="166">
        <f t="shared" ca="1" si="211"/>
        <v>0</v>
      </c>
      <c r="Q2904" s="166"/>
    </row>
    <row r="2905" spans="1:17">
      <c r="A2905" s="166" t="b">
        <f t="shared" ca="1" si="203"/>
        <v>0</v>
      </c>
      <c r="B2905" s="172" t="str">
        <f ca="1">IF(COUNTA(G$2368:G2904)=1,"",OFFSET(B2905,-COUNTA(G$2368:G2904)+1,0))</f>
        <v>a1b3p000006eF2RAAU</v>
      </c>
      <c r="C2905" s="177">
        <f ca="1">IF(COUNTA(G$2368:G2904)=1,"",OFFSET(C2905,-COUNTA(G$2368:G2904)+1,0))</f>
        <v>10</v>
      </c>
      <c r="D2905" s="166">
        <f t="shared" si="208"/>
        <v>55</v>
      </c>
      <c r="E2905" s="166">
        <f t="shared" ca="1" si="209"/>
        <v>1</v>
      </c>
      <c r="F2905" s="166">
        <f t="shared" ca="1" si="210"/>
        <v>18</v>
      </c>
      <c r="G2905" s="166"/>
      <c r="H2905" s="171" t="str">
        <f t="shared" ca="1" si="204"/>
        <v/>
      </c>
      <c r="I2905" s="171" t="str">
        <f t="shared" ca="1" si="205"/>
        <v/>
      </c>
      <c r="J2905" s="171" t="str">
        <f t="shared" ca="1" si="206"/>
        <v/>
      </c>
      <c r="K2905" s="171" t="str">
        <f t="shared" ca="1" si="207"/>
        <v/>
      </c>
      <c r="L2905" s="166"/>
      <c r="M2905" s="166"/>
      <c r="N2905" s="166"/>
      <c r="O2905" s="166"/>
      <c r="P2905" s="166">
        <f t="shared" ca="1" si="211"/>
        <v>0</v>
      </c>
      <c r="Q2905" s="166"/>
    </row>
    <row r="2906" spans="1:17">
      <c r="A2906" s="166" t="b">
        <f t="shared" ca="1" si="203"/>
        <v>0</v>
      </c>
      <c r="B2906" s="172" t="str">
        <f ca="1">IF(COUNTA(G$2368:G2905)=1,"",OFFSET(B2906,-COUNTA(G$2368:G2905)+1,0))</f>
        <v>a1b3p000006eF3jAAE</v>
      </c>
      <c r="C2906" s="177">
        <f ca="1">IF(COUNTA(G$2368:G2905)=1,"",OFFSET(C2906,-COUNTA(G$2368:G2905)+1,0))</f>
        <v>10</v>
      </c>
      <c r="D2906" s="166">
        <f t="shared" si="208"/>
        <v>56</v>
      </c>
      <c r="E2906" s="166">
        <f t="shared" ca="1" si="209"/>
        <v>2</v>
      </c>
      <c r="F2906" s="166">
        <f t="shared" ca="1" si="210"/>
        <v>18</v>
      </c>
      <c r="G2906" s="166"/>
      <c r="H2906" s="171" t="str">
        <f t="shared" ca="1" si="204"/>
        <v/>
      </c>
      <c r="I2906" s="171" t="str">
        <f t="shared" ca="1" si="205"/>
        <v/>
      </c>
      <c r="J2906" s="171" t="str">
        <f t="shared" ca="1" si="206"/>
        <v/>
      </c>
      <c r="K2906" s="171" t="str">
        <f t="shared" ca="1" si="207"/>
        <v/>
      </c>
      <c r="L2906" s="166"/>
      <c r="M2906" s="166"/>
      <c r="N2906" s="166"/>
      <c r="O2906" s="166"/>
      <c r="P2906" s="166">
        <f t="shared" ca="1" si="211"/>
        <v>0</v>
      </c>
      <c r="Q2906" s="166"/>
    </row>
    <row r="2907" spans="1:17">
      <c r="A2907" s="166" t="b">
        <f t="shared" ca="1" si="203"/>
        <v>0</v>
      </c>
      <c r="B2907" s="172" t="str">
        <f ca="1">IF(COUNTA(G$2368:G2906)=1,"",OFFSET(B2907,-COUNTA(G$2368:G2906)+1,0))</f>
        <v>a1b3p000006eF51AAE</v>
      </c>
      <c r="C2907" s="177">
        <f ca="1">IF(COUNTA(G$2368:G2906)=1,"",OFFSET(C2907,-COUNTA(G$2368:G2906)+1,0))</f>
        <v>10</v>
      </c>
      <c r="D2907" s="166">
        <f t="shared" si="208"/>
        <v>57</v>
      </c>
      <c r="E2907" s="166">
        <f t="shared" ca="1" si="209"/>
        <v>3</v>
      </c>
      <c r="F2907" s="166">
        <f t="shared" ca="1" si="210"/>
        <v>18</v>
      </c>
      <c r="G2907" s="166"/>
      <c r="H2907" s="171" t="str">
        <f t="shared" ca="1" si="204"/>
        <v/>
      </c>
      <c r="I2907" s="171" t="str">
        <f t="shared" ca="1" si="205"/>
        <v/>
      </c>
      <c r="J2907" s="171" t="str">
        <f t="shared" ca="1" si="206"/>
        <v/>
      </c>
      <c r="K2907" s="171" t="str">
        <f t="shared" ca="1" si="207"/>
        <v/>
      </c>
      <c r="L2907" s="166"/>
      <c r="M2907" s="166"/>
      <c r="N2907" s="166"/>
      <c r="O2907" s="166"/>
      <c r="P2907" s="166">
        <f t="shared" ca="1" si="211"/>
        <v>0</v>
      </c>
      <c r="Q2907" s="166"/>
    </row>
    <row r="2908" spans="1:17">
      <c r="A2908" s="166" t="b">
        <f t="shared" ca="1" si="203"/>
        <v>0</v>
      </c>
      <c r="B2908" s="172" t="str">
        <f ca="1">IF(COUNTA(G$2368:G2907)=1,"",OFFSET(B2908,-COUNTA(G$2368:G2907)+1,0))</f>
        <v>a1b3p000006eF6JAAU</v>
      </c>
      <c r="C2908" s="177">
        <f ca="1">IF(COUNTA(G$2368:G2907)=1,"",OFFSET(C2908,-COUNTA(G$2368:G2907)+1,0))</f>
        <v>10</v>
      </c>
      <c r="D2908" s="166">
        <f t="shared" si="208"/>
        <v>58</v>
      </c>
      <c r="E2908" s="166">
        <f t="shared" ca="1" si="209"/>
        <v>4</v>
      </c>
      <c r="F2908" s="166">
        <f t="shared" ca="1" si="210"/>
        <v>18</v>
      </c>
      <c r="G2908" s="166"/>
      <c r="H2908" s="171" t="str">
        <f t="shared" ca="1" si="204"/>
        <v/>
      </c>
      <c r="I2908" s="171" t="str">
        <f t="shared" ca="1" si="205"/>
        <v/>
      </c>
      <c r="J2908" s="171" t="str">
        <f t="shared" ca="1" si="206"/>
        <v/>
      </c>
      <c r="K2908" s="171" t="str">
        <f t="shared" ca="1" si="207"/>
        <v/>
      </c>
      <c r="L2908" s="166"/>
      <c r="M2908" s="166"/>
      <c r="N2908" s="166"/>
      <c r="O2908" s="166"/>
      <c r="P2908" s="166">
        <f t="shared" ca="1" si="211"/>
        <v>0</v>
      </c>
      <c r="Q2908" s="166"/>
    </row>
    <row r="2909" spans="1:17">
      <c r="A2909" s="166" t="b">
        <f t="shared" ca="1" si="203"/>
        <v>0</v>
      </c>
      <c r="B2909" s="172" t="str">
        <f ca="1">IF(COUNTA(G$2368:G2908)=1,"",OFFSET(B2909,-COUNTA(G$2368:G2908)+1,0))</f>
        <v>a1b3p000006eF7bAAE</v>
      </c>
      <c r="C2909" s="177">
        <f ca="1">IF(COUNTA(G$2368:G2908)=1,"",OFFSET(C2909,-COUNTA(G$2368:G2908)+1,0))</f>
        <v>10</v>
      </c>
      <c r="D2909" s="166">
        <f t="shared" si="208"/>
        <v>59</v>
      </c>
      <c r="E2909" s="166">
        <f t="shared" ca="1" si="209"/>
        <v>5</v>
      </c>
      <c r="F2909" s="166">
        <f t="shared" ca="1" si="210"/>
        <v>18</v>
      </c>
      <c r="G2909" s="166"/>
      <c r="H2909" s="171" t="str">
        <f t="shared" ca="1" si="204"/>
        <v/>
      </c>
      <c r="I2909" s="171" t="str">
        <f t="shared" ca="1" si="205"/>
        <v/>
      </c>
      <c r="J2909" s="171" t="str">
        <f t="shared" ca="1" si="206"/>
        <v/>
      </c>
      <c r="K2909" s="171" t="str">
        <f t="shared" ca="1" si="207"/>
        <v/>
      </c>
      <c r="L2909" s="166"/>
      <c r="M2909" s="166"/>
      <c r="N2909" s="166"/>
      <c r="O2909" s="166"/>
      <c r="P2909" s="166">
        <f t="shared" ca="1" si="211"/>
        <v>0</v>
      </c>
      <c r="Q2909" s="166"/>
    </row>
    <row r="2910" spans="1:17">
      <c r="A2910" s="166" t="b">
        <f t="shared" ca="1" si="203"/>
        <v>0</v>
      </c>
      <c r="B2910" s="172" t="str">
        <f ca="1">IF(COUNTA(G$2368:G2909)=1,"",OFFSET(B2910,-COUNTA(G$2368:G2909)+1,0))</f>
        <v>a1b3p000006eF8tAAE</v>
      </c>
      <c r="C2910" s="177">
        <f ca="1">IF(COUNTA(G$2368:G2909)=1,"",OFFSET(C2910,-COUNTA(G$2368:G2909)+1,0))</f>
        <v>10</v>
      </c>
      <c r="D2910" s="166">
        <f t="shared" si="208"/>
        <v>60</v>
      </c>
      <c r="E2910" s="166">
        <f t="shared" ca="1" si="209"/>
        <v>6</v>
      </c>
      <c r="F2910" s="166">
        <f t="shared" ca="1" si="210"/>
        <v>18</v>
      </c>
      <c r="G2910" s="166"/>
      <c r="H2910" s="171" t="str">
        <f t="shared" ca="1" si="204"/>
        <v/>
      </c>
      <c r="I2910" s="171" t="str">
        <f t="shared" ca="1" si="205"/>
        <v/>
      </c>
      <c r="J2910" s="171" t="str">
        <f t="shared" ca="1" si="206"/>
        <v/>
      </c>
      <c r="K2910" s="171" t="str">
        <f t="shared" ca="1" si="207"/>
        <v/>
      </c>
      <c r="L2910" s="166"/>
      <c r="M2910" s="166"/>
      <c r="N2910" s="166"/>
      <c r="O2910" s="166"/>
      <c r="P2910" s="166">
        <f t="shared" ca="1" si="211"/>
        <v>0</v>
      </c>
      <c r="Q2910" s="166"/>
    </row>
    <row r="2911" spans="1:17">
      <c r="A2911" s="166" t="b">
        <f t="shared" ca="1" si="203"/>
        <v>0</v>
      </c>
      <c r="B2911" s="172" t="str">
        <f ca="1">IF(COUNTA(G$2368:G2910)=1,"",OFFSET(B2911,-COUNTA(G$2368:G2910)+1,0))</f>
        <v>a1b3p000006eF2SAAU</v>
      </c>
      <c r="C2911" s="177">
        <f ca="1">IF(COUNTA(G$2368:G2910)=1,"",OFFSET(C2911,-COUNTA(G$2368:G2910)+1,0))</f>
        <v>11</v>
      </c>
      <c r="D2911" s="166">
        <f t="shared" si="208"/>
        <v>61</v>
      </c>
      <c r="E2911" s="166">
        <f t="shared" ca="1" si="209"/>
        <v>1</v>
      </c>
      <c r="F2911" s="166">
        <f t="shared" ca="1" si="210"/>
        <v>19</v>
      </c>
      <c r="G2911" s="166"/>
      <c r="H2911" s="171" t="str">
        <f t="shared" ca="1" si="204"/>
        <v/>
      </c>
      <c r="I2911" s="171" t="str">
        <f t="shared" ca="1" si="205"/>
        <v/>
      </c>
      <c r="J2911" s="171" t="str">
        <f t="shared" ca="1" si="206"/>
        <v/>
      </c>
      <c r="K2911" s="171" t="str">
        <f t="shared" ca="1" si="207"/>
        <v/>
      </c>
      <c r="L2911" s="166"/>
      <c r="M2911" s="166"/>
      <c r="N2911" s="166"/>
      <c r="O2911" s="166"/>
      <c r="P2911" s="166">
        <f t="shared" ca="1" si="211"/>
        <v>0</v>
      </c>
      <c r="Q2911" s="166"/>
    </row>
    <row r="2912" spans="1:17">
      <c r="A2912" s="166" t="b">
        <f t="shared" ca="1" si="203"/>
        <v>0</v>
      </c>
      <c r="B2912" s="172" t="str">
        <f ca="1">IF(COUNTA(G$2368:G2911)=1,"",OFFSET(B2912,-COUNTA(G$2368:G2911)+1,0))</f>
        <v>a1b3p000006eF3kAAE</v>
      </c>
      <c r="C2912" s="177">
        <f ca="1">IF(COUNTA(G$2368:G2911)=1,"",OFFSET(C2912,-COUNTA(G$2368:G2911)+1,0))</f>
        <v>11</v>
      </c>
      <c r="D2912" s="166">
        <f t="shared" si="208"/>
        <v>62</v>
      </c>
      <c r="E2912" s="166">
        <f t="shared" ca="1" si="209"/>
        <v>2</v>
      </c>
      <c r="F2912" s="166">
        <f t="shared" ca="1" si="210"/>
        <v>19</v>
      </c>
      <c r="G2912" s="166"/>
      <c r="H2912" s="171" t="str">
        <f t="shared" ca="1" si="204"/>
        <v/>
      </c>
      <c r="I2912" s="171" t="str">
        <f t="shared" ca="1" si="205"/>
        <v/>
      </c>
      <c r="J2912" s="171" t="str">
        <f t="shared" ca="1" si="206"/>
        <v/>
      </c>
      <c r="K2912" s="171" t="str">
        <f t="shared" ca="1" si="207"/>
        <v/>
      </c>
      <c r="L2912" s="166"/>
      <c r="M2912" s="166"/>
      <c r="N2912" s="166"/>
      <c r="O2912" s="166"/>
      <c r="P2912" s="166">
        <f t="shared" ca="1" si="211"/>
        <v>0</v>
      </c>
      <c r="Q2912" s="166"/>
    </row>
    <row r="2913" spans="1:17">
      <c r="A2913" s="166" t="b">
        <f t="shared" ca="1" si="203"/>
        <v>0</v>
      </c>
      <c r="B2913" s="172" t="str">
        <f ca="1">IF(COUNTA(G$2368:G2912)=1,"",OFFSET(B2913,-COUNTA(G$2368:G2912)+1,0))</f>
        <v>a1b3p000006eF52AAE</v>
      </c>
      <c r="C2913" s="177">
        <f ca="1">IF(COUNTA(G$2368:G2912)=1,"",OFFSET(C2913,-COUNTA(G$2368:G2912)+1,0))</f>
        <v>11</v>
      </c>
      <c r="D2913" s="166">
        <f t="shared" si="208"/>
        <v>63</v>
      </c>
      <c r="E2913" s="166">
        <f t="shared" ca="1" si="209"/>
        <v>3</v>
      </c>
      <c r="F2913" s="166">
        <f t="shared" ca="1" si="210"/>
        <v>19</v>
      </c>
      <c r="G2913" s="166"/>
      <c r="H2913" s="171" t="str">
        <f t="shared" ca="1" si="204"/>
        <v/>
      </c>
      <c r="I2913" s="171" t="str">
        <f t="shared" ca="1" si="205"/>
        <v/>
      </c>
      <c r="J2913" s="171" t="str">
        <f t="shared" ca="1" si="206"/>
        <v/>
      </c>
      <c r="K2913" s="171" t="str">
        <f t="shared" ca="1" si="207"/>
        <v/>
      </c>
      <c r="L2913" s="166"/>
      <c r="M2913" s="166"/>
      <c r="N2913" s="166"/>
      <c r="O2913" s="166"/>
      <c r="P2913" s="166">
        <f t="shared" ca="1" si="211"/>
        <v>0</v>
      </c>
      <c r="Q2913" s="166"/>
    </row>
    <row r="2914" spans="1:17">
      <c r="A2914" s="166" t="b">
        <f t="shared" ca="1" si="203"/>
        <v>0</v>
      </c>
      <c r="B2914" s="172" t="str">
        <f ca="1">IF(COUNTA(G$2368:G2913)=1,"",OFFSET(B2914,-COUNTA(G$2368:G2913)+1,0))</f>
        <v>a1b3p000006eF6KAAU</v>
      </c>
      <c r="C2914" s="177">
        <f ca="1">IF(COUNTA(G$2368:G2913)=1,"",OFFSET(C2914,-COUNTA(G$2368:G2913)+1,0))</f>
        <v>11</v>
      </c>
      <c r="D2914" s="166">
        <f t="shared" si="208"/>
        <v>64</v>
      </c>
      <c r="E2914" s="166">
        <f t="shared" ca="1" si="209"/>
        <v>4</v>
      </c>
      <c r="F2914" s="166">
        <f t="shared" ca="1" si="210"/>
        <v>19</v>
      </c>
      <c r="G2914" s="166"/>
      <c r="H2914" s="171" t="str">
        <f t="shared" ca="1" si="204"/>
        <v/>
      </c>
      <c r="I2914" s="171" t="str">
        <f t="shared" ca="1" si="205"/>
        <v/>
      </c>
      <c r="J2914" s="171" t="str">
        <f t="shared" ca="1" si="206"/>
        <v/>
      </c>
      <c r="K2914" s="171" t="str">
        <f t="shared" ca="1" si="207"/>
        <v/>
      </c>
      <c r="L2914" s="166"/>
      <c r="M2914" s="166"/>
      <c r="N2914" s="166"/>
      <c r="O2914" s="166"/>
      <c r="P2914" s="166">
        <f t="shared" ca="1" si="211"/>
        <v>0</v>
      </c>
      <c r="Q2914" s="166"/>
    </row>
    <row r="2915" spans="1:17">
      <c r="A2915" s="166" t="b">
        <f t="shared" ref="A2915:A2978" ca="1" si="212">IF(OR(AND(J2915&lt;&gt;"",J2915&lt;&gt;0),AND(K2915&lt;&gt;"",K2915&lt;&gt;0)),TRUE,FALSE)</f>
        <v>0</v>
      </c>
      <c r="B2915" s="172" t="str">
        <f ca="1">IF(COUNTA(G$2368:G2914)=1,"",OFFSET(B2915,-COUNTA(G$2368:G2914)+1,0))</f>
        <v>a1b3p000006eF7cAAE</v>
      </c>
      <c r="C2915" s="177">
        <f ca="1">IF(COUNTA(G$2368:G2914)=1,"",OFFSET(C2915,-COUNTA(G$2368:G2914)+1,0))</f>
        <v>11</v>
      </c>
      <c r="D2915" s="166">
        <f t="shared" si="208"/>
        <v>65</v>
      </c>
      <c r="E2915" s="166">
        <f t="shared" ca="1" si="209"/>
        <v>5</v>
      </c>
      <c r="F2915" s="166">
        <f t="shared" ca="1" si="210"/>
        <v>19</v>
      </c>
      <c r="G2915" s="166"/>
      <c r="H2915" s="171" t="str">
        <f t="shared" ref="H2915:H2978" ca="1" si="213">CHOOSE(E2915,IFERROR(IF(INDIRECT("'WPTM - Section F'!K"&amp;F2915)=0,"",INDIRECT("'WPTM - Section F'!K"&amp;$F2915)),""),IFERROR(IF(INDIRECT("'WPTM - Section F'!O"&amp;F2915)=0,"",INDIRECT("'WPTM - Section F'!O"&amp;$F2915)),""),IFERROR(IF(INDIRECT("'WPTM - Section F'!S"&amp;F2915)=0,"",INDIRECT("'WPTM - Section F'!S"&amp;$F2915)),""),IFERROR(IF(INDIRECT("'WPTM - Section F'!W"&amp;F2915)=0,"",INDIRECT("'WPTM - Section F'!W"&amp;$F2915)),""),IFERROR(IF(INDIRECT("'WPTM - Section F'!AA"&amp;F2915)=0,"",INDIRECT("'WPTM - Section F'!AA"&amp;$F2915)),""),IFERROR(IF(INDIRECT("'WPTM - Section F'!AE"&amp;F2915)=0,"",INDIRECT("'WPTM - Section F'!AE"&amp;$F2915)),""),IFERROR(IF(INDIRECT("'WPTM - Section F'!AI"&amp;F2915)=0,"",INDIRECT("'WPTM - Section F'!AI"&amp;$F2915)),""),IFERROR(IF(INDIRECT("'WPTM - Section F'!AM"&amp;F2915)=0,"",INDIRECT("'WPTM - Section F'!AM"&amp;$F2915)),""),)</f>
        <v/>
      </c>
      <c r="I2915" s="171" t="str">
        <f t="shared" ref="I2915:I2978" ca="1" si="214">CHOOSE(E2915,IFERROR(IF(INDIRECT("'WPTM - Section F'!J"&amp;F2915)=0,"",INDIRECT("'WPTM - Section F'!J"&amp;$F2915)),""),IFERROR(IF(INDIRECT("'WPTM - Section F'!N"&amp;F2915)=0,"",INDIRECT("'WPTM - Section F'!N"&amp;$F2915)),""),IFERROR(IF(INDIRECT("'WPTM - Section F'!R"&amp;F2915)=0,"",INDIRECT("'WPTM - Section F'!R"&amp;$F2915)),""),IFERROR(IF(INDIRECT("'WPTM - Section F'!V"&amp;F2915)=0,"",INDIRECT("'WPTM - Section F'!V"&amp;$F2915)),""),IFERROR(IF(INDIRECT("'WPTM - Section F'!Z"&amp;F2915)=0,"",INDIRECT("'WPTM - Section F'!Z"&amp;$F2915)),""),IFERROR(IF(INDIRECT("'WPTM - Section F'!AD"&amp;F2915)=0,"",INDIRECT("'WPTM - Section F'!AD"&amp;$F2915)),""),IFERROR(IF(INDIRECT("'WPTM - Section F'!AH"&amp;F2915)=0,"",INDIRECT("'WPTM - Section F'!AH"&amp;$F2915)),""),IFERROR(IF(INDIRECT("'WPTM - Section F'!AL"&amp;F2915)=0,"",INDIRECT("'WPTM - Section F'!AL"&amp;$F2915)),""),)</f>
        <v/>
      </c>
      <c r="J2915" s="171" t="str">
        <f t="shared" ref="J2915:J2978" ca="1" si="215">CHOOSE(E2915,IFERROR(IF(INDIRECT("'WPTM - Section F'!H"&amp;F2915)=0,"",INDIRECT("'WPTM - Section F'!H"&amp;$F2915)),""),IFERROR(IF(INDIRECT("'WPTM - Section F'!L"&amp;F2915)=0,"",INDIRECT("'WPTM - Section F'!L"&amp;$F2915)),""),IFERROR(IF(INDIRECT("'WPTM - Section F'!P"&amp;F2915)=0,"",INDIRECT("'WPTM - Section F'!P"&amp;$F2915)),""),IFERROR(IF(INDIRECT("'WPTM - Section F'!T"&amp;F2915)=0,"",INDIRECT("'WPTM - Section F'!T"&amp;$F2915)),""),IFERROR(IF(INDIRECT("'WPTM - Section F'!X"&amp;F2915)=0,"",INDIRECT("'WPTM - Section F'!X"&amp;$F2915)),""),IFERROR(IF(INDIRECT("'WPTM - Section F'!AB"&amp;F2915)=0,"",INDIRECT("'WPTM - Section F'!AB"&amp;$F2915)),""),IFERROR(IF(INDIRECT("'WPTM - Section F'!AF"&amp;F2915)=0,"",INDIRECT("'WPTM - Section F'!AF"&amp;$F2915)),""),IFERROR(IF(INDIRECT("'WPTM - Section F'!AJ"&amp;F2915)=0,"",INDIRECT("'WPTM - Section F'!AJ"&amp;$F2915)),""),)</f>
        <v/>
      </c>
      <c r="K2915" s="171" t="str">
        <f t="shared" ref="K2915:K2978" ca="1" si="216">CHOOSE(E2915,IFERROR(IF(INDIRECT("'WPTM - Section F'!I"&amp;F2915)=0,"",INDIRECT("'WPTM - Section F'!I"&amp;$F2915)),""),IFERROR(IF(INDIRECT("'WPTM - Section F'!M"&amp;F2915)=0,"",INDIRECT("'WPTM - Section F'!M"&amp;$F2915)),""),IFERROR(IF(INDIRECT("'WPTM - Section F'!Q"&amp;F2915)=0,"",INDIRECT("'WPTM - Section F'!Q"&amp;$F2915)),""),IFERROR(IF(INDIRECT("'WPTM - Section F'!U"&amp;F2915)=0,"",INDIRECT("'WPTM - Section F'!U"&amp;$F2915)),""),IFERROR(IF(INDIRECT("'WPTM - Section F'!Y"&amp;F2915)=0,"",INDIRECT("'WPTM - Section F'!Y"&amp;$F2915)),""),IFERROR(IF(INDIRECT("'WPTM - Section F'!AC"&amp;F2915)=0,"",INDIRECT("'WPTM - Section F'!AC"&amp;$F2915)),""),IFERROR(IF(INDIRECT("'WPTM - Section F'!AG"&amp;F2915)=0,"",INDIRECT("'WPTM - Section F'!AG"&amp;$F2915)),""),IFERROR(IF(INDIRECT("'WPTM - Section F'!AK"&amp;F2915)=0,"",INDIRECT("'WPTM - Section F'!AK"&amp;$F2915)),""),)</f>
        <v/>
      </c>
      <c r="L2915" s="166"/>
      <c r="M2915" s="166"/>
      <c r="N2915" s="166"/>
      <c r="O2915" s="166"/>
      <c r="P2915" s="166">
        <f t="shared" ca="1" si="211"/>
        <v>0</v>
      </c>
      <c r="Q2915" s="166"/>
    </row>
    <row r="2916" spans="1:17">
      <c r="A2916" s="166" t="b">
        <f t="shared" ca="1" si="212"/>
        <v>0</v>
      </c>
      <c r="B2916" s="172" t="str">
        <f ca="1">IF(COUNTA(G$2368:G2915)=1,"",OFFSET(B2916,-COUNTA(G$2368:G2915)+1,0))</f>
        <v>a1b3p000006eF8uAAE</v>
      </c>
      <c r="C2916" s="177">
        <f ca="1">IF(COUNTA(G$2368:G2915)=1,"",OFFSET(C2916,-COUNTA(G$2368:G2915)+1,0))</f>
        <v>11</v>
      </c>
      <c r="D2916" s="166">
        <f t="shared" si="208"/>
        <v>66</v>
      </c>
      <c r="E2916" s="166">
        <f t="shared" ca="1" si="209"/>
        <v>6</v>
      </c>
      <c r="F2916" s="166">
        <f t="shared" ca="1" si="210"/>
        <v>19</v>
      </c>
      <c r="G2916" s="166"/>
      <c r="H2916" s="171" t="str">
        <f t="shared" ca="1" si="213"/>
        <v/>
      </c>
      <c r="I2916" s="171" t="str">
        <f t="shared" ca="1" si="214"/>
        <v/>
      </c>
      <c r="J2916" s="171" t="str">
        <f t="shared" ca="1" si="215"/>
        <v/>
      </c>
      <c r="K2916" s="171" t="str">
        <f t="shared" ca="1" si="216"/>
        <v/>
      </c>
      <c r="L2916" s="166"/>
      <c r="M2916" s="166"/>
      <c r="N2916" s="166"/>
      <c r="O2916" s="166"/>
      <c r="P2916" s="166">
        <f t="shared" ca="1" si="211"/>
        <v>0</v>
      </c>
      <c r="Q2916" s="166"/>
    </row>
    <row r="2917" spans="1:17">
      <c r="A2917" s="166" t="b">
        <f t="shared" ca="1" si="212"/>
        <v>0</v>
      </c>
      <c r="B2917" s="172" t="str">
        <f ca="1">IF(COUNTA(G$2368:G2916)=1,"",OFFSET(B2917,-COUNTA(G$2368:G2916)+1,0))</f>
        <v>a1b3p000006eF2TAAU</v>
      </c>
      <c r="C2917" s="177">
        <f ca="1">IF(COUNTA(G$2368:G2916)=1,"",OFFSET(C2917,-COUNTA(G$2368:G2916)+1,0))</f>
        <v>12</v>
      </c>
      <c r="D2917" s="166">
        <f t="shared" si="208"/>
        <v>67</v>
      </c>
      <c r="E2917" s="166">
        <f t="shared" ca="1" si="209"/>
        <v>1</v>
      </c>
      <c r="F2917" s="166">
        <f t="shared" ca="1" si="210"/>
        <v>20</v>
      </c>
      <c r="G2917" s="166"/>
      <c r="H2917" s="171" t="str">
        <f t="shared" ca="1" si="213"/>
        <v/>
      </c>
      <c r="I2917" s="171" t="str">
        <f t="shared" ca="1" si="214"/>
        <v/>
      </c>
      <c r="J2917" s="171" t="str">
        <f t="shared" ca="1" si="215"/>
        <v/>
      </c>
      <c r="K2917" s="171" t="str">
        <f t="shared" ca="1" si="216"/>
        <v/>
      </c>
      <c r="L2917" s="166"/>
      <c r="M2917" s="166"/>
      <c r="N2917" s="166"/>
      <c r="O2917" s="166"/>
      <c r="P2917" s="166">
        <f t="shared" ca="1" si="211"/>
        <v>0</v>
      </c>
      <c r="Q2917" s="166"/>
    </row>
    <row r="2918" spans="1:17">
      <c r="A2918" s="166" t="b">
        <f t="shared" ca="1" si="212"/>
        <v>0</v>
      </c>
      <c r="B2918" s="172" t="str">
        <f ca="1">IF(COUNTA(G$2368:G2917)=1,"",OFFSET(B2918,-COUNTA(G$2368:G2917)+1,0))</f>
        <v>a1b3p000006eF3lAAE</v>
      </c>
      <c r="C2918" s="177">
        <f ca="1">IF(COUNTA(G$2368:G2917)=1,"",OFFSET(C2918,-COUNTA(G$2368:G2917)+1,0))</f>
        <v>12</v>
      </c>
      <c r="D2918" s="166">
        <f t="shared" si="208"/>
        <v>68</v>
      </c>
      <c r="E2918" s="166">
        <f t="shared" ca="1" si="209"/>
        <v>2</v>
      </c>
      <c r="F2918" s="166">
        <f t="shared" ca="1" si="210"/>
        <v>20</v>
      </c>
      <c r="G2918" s="166"/>
      <c r="H2918" s="171" t="str">
        <f t="shared" ca="1" si="213"/>
        <v/>
      </c>
      <c r="I2918" s="171" t="str">
        <f t="shared" ca="1" si="214"/>
        <v/>
      </c>
      <c r="J2918" s="171" t="str">
        <f t="shared" ca="1" si="215"/>
        <v/>
      </c>
      <c r="K2918" s="171" t="str">
        <f t="shared" ca="1" si="216"/>
        <v/>
      </c>
      <c r="L2918" s="166"/>
      <c r="M2918" s="166"/>
      <c r="N2918" s="166"/>
      <c r="O2918" s="166"/>
      <c r="P2918" s="166">
        <f t="shared" ca="1" si="211"/>
        <v>0</v>
      </c>
      <c r="Q2918" s="166"/>
    </row>
    <row r="2919" spans="1:17">
      <c r="A2919" s="166" t="b">
        <f t="shared" ca="1" si="212"/>
        <v>0</v>
      </c>
      <c r="B2919" s="172" t="str">
        <f ca="1">IF(COUNTA(G$2368:G2918)=1,"",OFFSET(B2919,-COUNTA(G$2368:G2918)+1,0))</f>
        <v>a1b3p000006eF53AAE</v>
      </c>
      <c r="C2919" s="177">
        <f ca="1">IF(COUNTA(G$2368:G2918)=1,"",OFFSET(C2919,-COUNTA(G$2368:G2918)+1,0))</f>
        <v>12</v>
      </c>
      <c r="D2919" s="166">
        <f t="shared" si="208"/>
        <v>69</v>
      </c>
      <c r="E2919" s="166">
        <f t="shared" ca="1" si="209"/>
        <v>3</v>
      </c>
      <c r="F2919" s="166">
        <f t="shared" ca="1" si="210"/>
        <v>20</v>
      </c>
      <c r="G2919" s="166"/>
      <c r="H2919" s="171" t="str">
        <f t="shared" ca="1" si="213"/>
        <v/>
      </c>
      <c r="I2919" s="171" t="str">
        <f t="shared" ca="1" si="214"/>
        <v/>
      </c>
      <c r="J2919" s="171" t="str">
        <f t="shared" ca="1" si="215"/>
        <v/>
      </c>
      <c r="K2919" s="171" t="str">
        <f t="shared" ca="1" si="216"/>
        <v/>
      </c>
      <c r="L2919" s="166"/>
      <c r="M2919" s="166"/>
      <c r="N2919" s="166"/>
      <c r="O2919" s="166"/>
      <c r="P2919" s="166">
        <f t="shared" ca="1" si="211"/>
        <v>0</v>
      </c>
      <c r="Q2919" s="166"/>
    </row>
    <row r="2920" spans="1:17">
      <c r="A2920" s="166" t="b">
        <f t="shared" ca="1" si="212"/>
        <v>0</v>
      </c>
      <c r="B2920" s="172" t="str">
        <f ca="1">IF(COUNTA(G$2368:G2919)=1,"",OFFSET(B2920,-COUNTA(G$2368:G2919)+1,0))</f>
        <v>a1b3p000006eF6LAAU</v>
      </c>
      <c r="C2920" s="177">
        <f ca="1">IF(COUNTA(G$2368:G2919)=1,"",OFFSET(C2920,-COUNTA(G$2368:G2919)+1,0))</f>
        <v>12</v>
      </c>
      <c r="D2920" s="166">
        <f t="shared" si="208"/>
        <v>70</v>
      </c>
      <c r="E2920" s="166">
        <f t="shared" ca="1" si="209"/>
        <v>4</v>
      </c>
      <c r="F2920" s="166">
        <f t="shared" ca="1" si="210"/>
        <v>20</v>
      </c>
      <c r="G2920" s="166"/>
      <c r="H2920" s="171" t="str">
        <f t="shared" ca="1" si="213"/>
        <v/>
      </c>
      <c r="I2920" s="171" t="str">
        <f t="shared" ca="1" si="214"/>
        <v/>
      </c>
      <c r="J2920" s="171" t="str">
        <f t="shared" ca="1" si="215"/>
        <v/>
      </c>
      <c r="K2920" s="171" t="str">
        <f t="shared" ca="1" si="216"/>
        <v/>
      </c>
      <c r="L2920" s="166"/>
      <c r="M2920" s="166"/>
      <c r="N2920" s="166"/>
      <c r="O2920" s="166"/>
      <c r="P2920" s="166">
        <f t="shared" ca="1" si="211"/>
        <v>0</v>
      </c>
      <c r="Q2920" s="166"/>
    </row>
    <row r="2921" spans="1:17">
      <c r="A2921" s="166" t="b">
        <f t="shared" ca="1" si="212"/>
        <v>0</v>
      </c>
      <c r="B2921" s="172" t="str">
        <f ca="1">IF(COUNTA(G$2368:G2920)=1,"",OFFSET(B2921,-COUNTA(G$2368:G2920)+1,0))</f>
        <v>a1b3p000006eF7dAAE</v>
      </c>
      <c r="C2921" s="177">
        <f ca="1">IF(COUNTA(G$2368:G2920)=1,"",OFFSET(C2921,-COUNTA(G$2368:G2920)+1,0))</f>
        <v>12</v>
      </c>
      <c r="D2921" s="166">
        <f t="shared" si="208"/>
        <v>71</v>
      </c>
      <c r="E2921" s="166">
        <f t="shared" ca="1" si="209"/>
        <v>5</v>
      </c>
      <c r="F2921" s="166">
        <f t="shared" ca="1" si="210"/>
        <v>20</v>
      </c>
      <c r="G2921" s="166"/>
      <c r="H2921" s="171" t="str">
        <f t="shared" ca="1" si="213"/>
        <v/>
      </c>
      <c r="I2921" s="171" t="str">
        <f t="shared" ca="1" si="214"/>
        <v/>
      </c>
      <c r="J2921" s="171" t="str">
        <f t="shared" ca="1" si="215"/>
        <v/>
      </c>
      <c r="K2921" s="171" t="str">
        <f t="shared" ca="1" si="216"/>
        <v/>
      </c>
      <c r="L2921" s="166"/>
      <c r="M2921" s="166"/>
      <c r="N2921" s="166"/>
      <c r="O2921" s="166"/>
      <c r="P2921" s="166">
        <f t="shared" ca="1" si="211"/>
        <v>0</v>
      </c>
      <c r="Q2921" s="166"/>
    </row>
    <row r="2922" spans="1:17">
      <c r="A2922" s="166" t="b">
        <f t="shared" ca="1" si="212"/>
        <v>0</v>
      </c>
      <c r="B2922" s="172" t="str">
        <f ca="1">IF(COUNTA(G$2368:G2921)=1,"",OFFSET(B2922,-COUNTA(G$2368:G2921)+1,0))</f>
        <v>a1b3p000006eF8vAAE</v>
      </c>
      <c r="C2922" s="177">
        <f ca="1">IF(COUNTA(G$2368:G2921)=1,"",OFFSET(C2922,-COUNTA(G$2368:G2921)+1,0))</f>
        <v>12</v>
      </c>
      <c r="D2922" s="166">
        <f t="shared" si="208"/>
        <v>72</v>
      </c>
      <c r="E2922" s="166">
        <f t="shared" ca="1" si="209"/>
        <v>6</v>
      </c>
      <c r="F2922" s="166">
        <f t="shared" ca="1" si="210"/>
        <v>20</v>
      </c>
      <c r="G2922" s="166"/>
      <c r="H2922" s="171" t="str">
        <f t="shared" ca="1" si="213"/>
        <v/>
      </c>
      <c r="I2922" s="171" t="str">
        <f t="shared" ca="1" si="214"/>
        <v/>
      </c>
      <c r="J2922" s="171" t="str">
        <f t="shared" ca="1" si="215"/>
        <v/>
      </c>
      <c r="K2922" s="171" t="str">
        <f t="shared" ca="1" si="216"/>
        <v/>
      </c>
      <c r="L2922" s="166"/>
      <c r="M2922" s="166"/>
      <c r="N2922" s="166"/>
      <c r="O2922" s="166"/>
      <c r="P2922" s="166">
        <f t="shared" ca="1" si="211"/>
        <v>0</v>
      </c>
      <c r="Q2922" s="166"/>
    </row>
    <row r="2923" spans="1:17">
      <c r="A2923" s="166" t="b">
        <f t="shared" ca="1" si="212"/>
        <v>0</v>
      </c>
      <c r="B2923" s="172" t="str">
        <f ca="1">IF(COUNTA(G$2368:G2922)=1,"",OFFSET(B2923,-COUNTA(G$2368:G2922)+1,0))</f>
        <v>a1b3p000006eF2UAAU</v>
      </c>
      <c r="C2923" s="177">
        <f ca="1">IF(COUNTA(G$2368:G2922)=1,"",OFFSET(C2923,-COUNTA(G$2368:G2922)+1,0))</f>
        <v>13</v>
      </c>
      <c r="D2923" s="166">
        <f t="shared" si="208"/>
        <v>73</v>
      </c>
      <c r="E2923" s="166">
        <f t="shared" ca="1" si="209"/>
        <v>1</v>
      </c>
      <c r="F2923" s="166">
        <f t="shared" ca="1" si="210"/>
        <v>21</v>
      </c>
      <c r="G2923" s="166"/>
      <c r="H2923" s="171" t="str">
        <f t="shared" ca="1" si="213"/>
        <v/>
      </c>
      <c r="I2923" s="171" t="str">
        <f t="shared" ca="1" si="214"/>
        <v/>
      </c>
      <c r="J2923" s="171" t="str">
        <f t="shared" ca="1" si="215"/>
        <v/>
      </c>
      <c r="K2923" s="171" t="str">
        <f t="shared" ca="1" si="216"/>
        <v/>
      </c>
      <c r="L2923" s="166"/>
      <c r="M2923" s="166"/>
      <c r="N2923" s="166"/>
      <c r="O2923" s="166"/>
      <c r="P2923" s="166">
        <f t="shared" ca="1" si="211"/>
        <v>0</v>
      </c>
      <c r="Q2923" s="166"/>
    </row>
    <row r="2924" spans="1:17">
      <c r="A2924" s="166" t="b">
        <f t="shared" ca="1" si="212"/>
        <v>0</v>
      </c>
      <c r="B2924" s="172" t="str">
        <f ca="1">IF(COUNTA(G$2368:G2923)=1,"",OFFSET(B2924,-COUNTA(G$2368:G2923)+1,0))</f>
        <v>a1b3p000006eF3mAAE</v>
      </c>
      <c r="C2924" s="177">
        <f ca="1">IF(COUNTA(G$2368:G2923)=1,"",OFFSET(C2924,-COUNTA(G$2368:G2923)+1,0))</f>
        <v>13</v>
      </c>
      <c r="D2924" s="166">
        <f t="shared" si="208"/>
        <v>74</v>
      </c>
      <c r="E2924" s="166">
        <f t="shared" ca="1" si="209"/>
        <v>2</v>
      </c>
      <c r="F2924" s="166">
        <f t="shared" ca="1" si="210"/>
        <v>21</v>
      </c>
      <c r="G2924" s="166"/>
      <c r="H2924" s="171" t="str">
        <f t="shared" ca="1" si="213"/>
        <v/>
      </c>
      <c r="I2924" s="171" t="str">
        <f t="shared" ca="1" si="214"/>
        <v/>
      </c>
      <c r="J2924" s="171" t="str">
        <f t="shared" ca="1" si="215"/>
        <v/>
      </c>
      <c r="K2924" s="171" t="str">
        <f t="shared" ca="1" si="216"/>
        <v/>
      </c>
      <c r="L2924" s="166"/>
      <c r="M2924" s="166"/>
      <c r="N2924" s="166"/>
      <c r="O2924" s="166"/>
      <c r="P2924" s="166">
        <f t="shared" ca="1" si="211"/>
        <v>0</v>
      </c>
      <c r="Q2924" s="166"/>
    </row>
    <row r="2925" spans="1:17">
      <c r="A2925" s="166" t="b">
        <f t="shared" ca="1" si="212"/>
        <v>0</v>
      </c>
      <c r="B2925" s="172" t="str">
        <f ca="1">IF(COUNTA(G$2368:G2924)=1,"",OFFSET(B2925,-COUNTA(G$2368:G2924)+1,0))</f>
        <v>a1b3p000006eF54AAE</v>
      </c>
      <c r="C2925" s="177">
        <f ca="1">IF(COUNTA(G$2368:G2924)=1,"",OFFSET(C2925,-COUNTA(G$2368:G2924)+1,0))</f>
        <v>13</v>
      </c>
      <c r="D2925" s="166">
        <f t="shared" si="208"/>
        <v>75</v>
      </c>
      <c r="E2925" s="166">
        <f t="shared" ca="1" si="209"/>
        <v>3</v>
      </c>
      <c r="F2925" s="166">
        <f t="shared" ca="1" si="210"/>
        <v>21</v>
      </c>
      <c r="G2925" s="166"/>
      <c r="H2925" s="171" t="str">
        <f t="shared" ca="1" si="213"/>
        <v/>
      </c>
      <c r="I2925" s="171" t="str">
        <f t="shared" ca="1" si="214"/>
        <v/>
      </c>
      <c r="J2925" s="171" t="str">
        <f t="shared" ca="1" si="215"/>
        <v/>
      </c>
      <c r="K2925" s="171" t="str">
        <f t="shared" ca="1" si="216"/>
        <v/>
      </c>
      <c r="L2925" s="166"/>
      <c r="M2925" s="166"/>
      <c r="N2925" s="166"/>
      <c r="O2925" s="166"/>
      <c r="P2925" s="166">
        <f t="shared" ca="1" si="211"/>
        <v>0</v>
      </c>
      <c r="Q2925" s="166"/>
    </row>
    <row r="2926" spans="1:17">
      <c r="A2926" s="166" t="b">
        <f t="shared" ca="1" si="212"/>
        <v>0</v>
      </c>
      <c r="B2926" s="172" t="str">
        <f ca="1">IF(COUNTA(G$2368:G2925)=1,"",OFFSET(B2926,-COUNTA(G$2368:G2925)+1,0))</f>
        <v>a1b3p000006eF6MAAU</v>
      </c>
      <c r="C2926" s="177">
        <f ca="1">IF(COUNTA(G$2368:G2925)=1,"",OFFSET(C2926,-COUNTA(G$2368:G2925)+1,0))</f>
        <v>13</v>
      </c>
      <c r="D2926" s="166">
        <f t="shared" si="208"/>
        <v>76</v>
      </c>
      <c r="E2926" s="166">
        <f t="shared" ca="1" si="209"/>
        <v>4</v>
      </c>
      <c r="F2926" s="166">
        <f t="shared" ca="1" si="210"/>
        <v>21</v>
      </c>
      <c r="G2926" s="166"/>
      <c r="H2926" s="171" t="str">
        <f t="shared" ca="1" si="213"/>
        <v/>
      </c>
      <c r="I2926" s="171" t="str">
        <f t="shared" ca="1" si="214"/>
        <v/>
      </c>
      <c r="J2926" s="171" t="str">
        <f t="shared" ca="1" si="215"/>
        <v/>
      </c>
      <c r="K2926" s="171" t="str">
        <f t="shared" ca="1" si="216"/>
        <v/>
      </c>
      <c r="L2926" s="166"/>
      <c r="M2926" s="166"/>
      <c r="N2926" s="166"/>
      <c r="O2926" s="166"/>
      <c r="P2926" s="166">
        <f t="shared" ca="1" si="211"/>
        <v>0</v>
      </c>
      <c r="Q2926" s="166"/>
    </row>
    <row r="2927" spans="1:17">
      <c r="A2927" s="166" t="b">
        <f t="shared" ca="1" si="212"/>
        <v>0</v>
      </c>
      <c r="B2927" s="172" t="str">
        <f ca="1">IF(COUNTA(G$2368:G2926)=1,"",OFFSET(B2927,-COUNTA(G$2368:G2926)+1,0))</f>
        <v>a1b3p000006eF7eAAE</v>
      </c>
      <c r="C2927" s="177">
        <f ca="1">IF(COUNTA(G$2368:G2926)=1,"",OFFSET(C2927,-COUNTA(G$2368:G2926)+1,0))</f>
        <v>13</v>
      </c>
      <c r="D2927" s="166">
        <f t="shared" si="208"/>
        <v>77</v>
      </c>
      <c r="E2927" s="166">
        <f t="shared" ca="1" si="209"/>
        <v>5</v>
      </c>
      <c r="F2927" s="166">
        <f t="shared" ca="1" si="210"/>
        <v>21</v>
      </c>
      <c r="G2927" s="166"/>
      <c r="H2927" s="171" t="str">
        <f t="shared" ca="1" si="213"/>
        <v/>
      </c>
      <c r="I2927" s="171" t="str">
        <f t="shared" ca="1" si="214"/>
        <v/>
      </c>
      <c r="J2927" s="171" t="str">
        <f t="shared" ca="1" si="215"/>
        <v/>
      </c>
      <c r="K2927" s="171" t="str">
        <f t="shared" ca="1" si="216"/>
        <v/>
      </c>
      <c r="L2927" s="166"/>
      <c r="M2927" s="166"/>
      <c r="N2927" s="166"/>
      <c r="O2927" s="166"/>
      <c r="P2927" s="166">
        <f t="shared" ca="1" si="211"/>
        <v>0</v>
      </c>
      <c r="Q2927" s="166"/>
    </row>
    <row r="2928" spans="1:17">
      <c r="A2928" s="166" t="b">
        <f t="shared" ca="1" si="212"/>
        <v>0</v>
      </c>
      <c r="B2928" s="172" t="str">
        <f ca="1">IF(COUNTA(G$2368:G2927)=1,"",OFFSET(B2928,-COUNTA(G$2368:G2927)+1,0))</f>
        <v>a1b3p000006eF8wAAE</v>
      </c>
      <c r="C2928" s="177">
        <f ca="1">IF(COUNTA(G$2368:G2927)=1,"",OFFSET(C2928,-COUNTA(G$2368:G2927)+1,0))</f>
        <v>13</v>
      </c>
      <c r="D2928" s="166">
        <f t="shared" si="208"/>
        <v>78</v>
      </c>
      <c r="E2928" s="166">
        <f t="shared" ca="1" si="209"/>
        <v>6</v>
      </c>
      <c r="F2928" s="166">
        <f t="shared" ca="1" si="210"/>
        <v>21</v>
      </c>
      <c r="G2928" s="166"/>
      <c r="H2928" s="171" t="str">
        <f t="shared" ca="1" si="213"/>
        <v/>
      </c>
      <c r="I2928" s="171" t="str">
        <f t="shared" ca="1" si="214"/>
        <v/>
      </c>
      <c r="J2928" s="171" t="str">
        <f t="shared" ca="1" si="215"/>
        <v/>
      </c>
      <c r="K2928" s="171" t="str">
        <f t="shared" ca="1" si="216"/>
        <v/>
      </c>
      <c r="L2928" s="166"/>
      <c r="M2928" s="166"/>
      <c r="N2928" s="166"/>
      <c r="O2928" s="166"/>
      <c r="P2928" s="166">
        <f t="shared" ca="1" si="211"/>
        <v>0</v>
      </c>
      <c r="Q2928" s="166"/>
    </row>
    <row r="2929" spans="1:17">
      <c r="A2929" s="166" t="b">
        <f t="shared" ca="1" si="212"/>
        <v>0</v>
      </c>
      <c r="B2929" s="172" t="str">
        <f ca="1">IF(COUNTA(G$2368:G2928)=1,"",OFFSET(B2929,-COUNTA(G$2368:G2928)+1,0))</f>
        <v>a1b3p000006eF2VAAU</v>
      </c>
      <c r="C2929" s="177">
        <f ca="1">IF(COUNTA(G$2368:G2928)=1,"",OFFSET(C2929,-COUNTA(G$2368:G2928)+1,0))</f>
        <v>14</v>
      </c>
      <c r="D2929" s="166">
        <f t="shared" si="208"/>
        <v>79</v>
      </c>
      <c r="E2929" s="166">
        <f t="shared" ca="1" si="209"/>
        <v>1</v>
      </c>
      <c r="F2929" s="166">
        <f t="shared" ca="1" si="210"/>
        <v>22</v>
      </c>
      <c r="G2929" s="166"/>
      <c r="H2929" s="171" t="str">
        <f t="shared" ca="1" si="213"/>
        <v/>
      </c>
      <c r="I2929" s="171" t="str">
        <f t="shared" ca="1" si="214"/>
        <v/>
      </c>
      <c r="J2929" s="171" t="str">
        <f t="shared" ca="1" si="215"/>
        <v/>
      </c>
      <c r="K2929" s="171" t="str">
        <f t="shared" ca="1" si="216"/>
        <v/>
      </c>
      <c r="L2929" s="166"/>
      <c r="M2929" s="166"/>
      <c r="N2929" s="166"/>
      <c r="O2929" s="166"/>
      <c r="P2929" s="166">
        <f t="shared" ca="1" si="211"/>
        <v>0</v>
      </c>
      <c r="Q2929" s="166"/>
    </row>
    <row r="2930" spans="1:17">
      <c r="A2930" s="166" t="b">
        <f t="shared" ca="1" si="212"/>
        <v>0</v>
      </c>
      <c r="B2930" s="172" t="str">
        <f ca="1">IF(COUNTA(G$2368:G2929)=1,"",OFFSET(B2930,-COUNTA(G$2368:G2929)+1,0))</f>
        <v>a1b3p000006eF3nAAE</v>
      </c>
      <c r="C2930" s="177">
        <f ca="1">IF(COUNTA(G$2368:G2929)=1,"",OFFSET(C2930,-COUNTA(G$2368:G2929)+1,0))</f>
        <v>14</v>
      </c>
      <c r="D2930" s="166">
        <f t="shared" si="208"/>
        <v>80</v>
      </c>
      <c r="E2930" s="166">
        <f t="shared" ca="1" si="209"/>
        <v>2</v>
      </c>
      <c r="F2930" s="166">
        <f t="shared" ca="1" si="210"/>
        <v>22</v>
      </c>
      <c r="G2930" s="166"/>
      <c r="H2930" s="171" t="str">
        <f t="shared" ca="1" si="213"/>
        <v/>
      </c>
      <c r="I2930" s="171" t="str">
        <f t="shared" ca="1" si="214"/>
        <v/>
      </c>
      <c r="J2930" s="171" t="str">
        <f t="shared" ca="1" si="215"/>
        <v/>
      </c>
      <c r="K2930" s="171" t="str">
        <f t="shared" ca="1" si="216"/>
        <v/>
      </c>
      <c r="L2930" s="166"/>
      <c r="M2930" s="166"/>
      <c r="N2930" s="166"/>
      <c r="O2930" s="166"/>
      <c r="P2930" s="166">
        <f t="shared" ca="1" si="211"/>
        <v>0</v>
      </c>
      <c r="Q2930" s="166"/>
    </row>
    <row r="2931" spans="1:17">
      <c r="A2931" s="166" t="b">
        <f t="shared" ca="1" si="212"/>
        <v>0</v>
      </c>
      <c r="B2931" s="172" t="str">
        <f ca="1">IF(COUNTA(G$2368:G2930)=1,"",OFFSET(B2931,-COUNTA(G$2368:G2930)+1,0))</f>
        <v>a1b3p000006eF55AAE</v>
      </c>
      <c r="C2931" s="177">
        <f ca="1">IF(COUNTA(G$2368:G2930)=1,"",OFFSET(C2931,-COUNTA(G$2368:G2930)+1,0))</f>
        <v>14</v>
      </c>
      <c r="D2931" s="166">
        <f t="shared" si="208"/>
        <v>81</v>
      </c>
      <c r="E2931" s="166">
        <f t="shared" ca="1" si="209"/>
        <v>3</v>
      </c>
      <c r="F2931" s="166">
        <f t="shared" ca="1" si="210"/>
        <v>22</v>
      </c>
      <c r="G2931" s="166"/>
      <c r="H2931" s="171" t="str">
        <f t="shared" ca="1" si="213"/>
        <v/>
      </c>
      <c r="I2931" s="171" t="str">
        <f t="shared" ca="1" si="214"/>
        <v/>
      </c>
      <c r="J2931" s="171" t="str">
        <f t="shared" ca="1" si="215"/>
        <v/>
      </c>
      <c r="K2931" s="171" t="str">
        <f t="shared" ca="1" si="216"/>
        <v/>
      </c>
      <c r="L2931" s="166"/>
      <c r="M2931" s="166"/>
      <c r="N2931" s="166"/>
      <c r="O2931" s="166"/>
      <c r="P2931" s="166">
        <f t="shared" ca="1" si="211"/>
        <v>0</v>
      </c>
      <c r="Q2931" s="166"/>
    </row>
    <row r="2932" spans="1:17">
      <c r="A2932" s="166" t="b">
        <f t="shared" ca="1" si="212"/>
        <v>0</v>
      </c>
      <c r="B2932" s="172" t="str">
        <f ca="1">IF(COUNTA(G$2368:G2931)=1,"",OFFSET(B2932,-COUNTA(G$2368:G2931)+1,0))</f>
        <v>a1b3p000006eF6NAAU</v>
      </c>
      <c r="C2932" s="177">
        <f ca="1">IF(COUNTA(G$2368:G2931)=1,"",OFFSET(C2932,-COUNTA(G$2368:G2931)+1,0))</f>
        <v>14</v>
      </c>
      <c r="D2932" s="166">
        <f t="shared" si="208"/>
        <v>82</v>
      </c>
      <c r="E2932" s="166">
        <f t="shared" ca="1" si="209"/>
        <v>4</v>
      </c>
      <c r="F2932" s="166">
        <f t="shared" ca="1" si="210"/>
        <v>22</v>
      </c>
      <c r="G2932" s="166"/>
      <c r="H2932" s="171" t="str">
        <f t="shared" ca="1" si="213"/>
        <v/>
      </c>
      <c r="I2932" s="171" t="str">
        <f t="shared" ca="1" si="214"/>
        <v/>
      </c>
      <c r="J2932" s="171" t="str">
        <f t="shared" ca="1" si="215"/>
        <v/>
      </c>
      <c r="K2932" s="171" t="str">
        <f t="shared" ca="1" si="216"/>
        <v/>
      </c>
      <c r="L2932" s="166"/>
      <c r="M2932" s="166"/>
      <c r="N2932" s="166"/>
      <c r="O2932" s="166"/>
      <c r="P2932" s="166">
        <f t="shared" ca="1" si="211"/>
        <v>0</v>
      </c>
      <c r="Q2932" s="166"/>
    </row>
    <row r="2933" spans="1:17">
      <c r="A2933" s="166" t="b">
        <f t="shared" ca="1" si="212"/>
        <v>0</v>
      </c>
      <c r="B2933" s="172" t="str">
        <f ca="1">IF(COUNTA(G$2368:G2932)=1,"",OFFSET(B2933,-COUNTA(G$2368:G2932)+1,0))</f>
        <v>a1b3p000006eF7fAAE</v>
      </c>
      <c r="C2933" s="177">
        <f ca="1">IF(COUNTA(G$2368:G2932)=1,"",OFFSET(C2933,-COUNTA(G$2368:G2932)+1,0))</f>
        <v>14</v>
      </c>
      <c r="D2933" s="166">
        <f t="shared" si="208"/>
        <v>83</v>
      </c>
      <c r="E2933" s="166">
        <f t="shared" ca="1" si="209"/>
        <v>5</v>
      </c>
      <c r="F2933" s="166">
        <f t="shared" ca="1" si="210"/>
        <v>22</v>
      </c>
      <c r="G2933" s="166"/>
      <c r="H2933" s="171" t="str">
        <f t="shared" ca="1" si="213"/>
        <v/>
      </c>
      <c r="I2933" s="171" t="str">
        <f t="shared" ca="1" si="214"/>
        <v/>
      </c>
      <c r="J2933" s="171" t="str">
        <f t="shared" ca="1" si="215"/>
        <v/>
      </c>
      <c r="K2933" s="171" t="str">
        <f t="shared" ca="1" si="216"/>
        <v/>
      </c>
      <c r="L2933" s="166"/>
      <c r="M2933" s="166"/>
      <c r="N2933" s="166"/>
      <c r="O2933" s="166"/>
      <c r="P2933" s="166">
        <f t="shared" ca="1" si="211"/>
        <v>0</v>
      </c>
      <c r="Q2933" s="166"/>
    </row>
    <row r="2934" spans="1:17">
      <c r="A2934" s="166" t="b">
        <f t="shared" ca="1" si="212"/>
        <v>0</v>
      </c>
      <c r="B2934" s="172" t="str">
        <f ca="1">IF(COUNTA(G$2368:G2933)=1,"",OFFSET(B2934,-COUNTA(G$2368:G2933)+1,0))</f>
        <v>a1b3p000006eF8xAAE</v>
      </c>
      <c r="C2934" s="177">
        <f ca="1">IF(COUNTA(G$2368:G2933)=1,"",OFFSET(C2934,-COUNTA(G$2368:G2933)+1,0))</f>
        <v>14</v>
      </c>
      <c r="D2934" s="166">
        <f t="shared" si="208"/>
        <v>84</v>
      </c>
      <c r="E2934" s="166">
        <f t="shared" ca="1" si="209"/>
        <v>6</v>
      </c>
      <c r="F2934" s="166">
        <f t="shared" ca="1" si="210"/>
        <v>22</v>
      </c>
      <c r="G2934" s="166"/>
      <c r="H2934" s="171" t="str">
        <f t="shared" ca="1" si="213"/>
        <v/>
      </c>
      <c r="I2934" s="171" t="str">
        <f t="shared" ca="1" si="214"/>
        <v/>
      </c>
      <c r="J2934" s="171" t="str">
        <f t="shared" ca="1" si="215"/>
        <v/>
      </c>
      <c r="K2934" s="171" t="str">
        <f t="shared" ca="1" si="216"/>
        <v/>
      </c>
      <c r="L2934" s="166"/>
      <c r="M2934" s="166"/>
      <c r="N2934" s="166"/>
      <c r="O2934" s="166"/>
      <c r="P2934" s="166">
        <f t="shared" ca="1" si="211"/>
        <v>0</v>
      </c>
      <c r="Q2934" s="166"/>
    </row>
    <row r="2935" spans="1:17">
      <c r="A2935" s="166" t="b">
        <f t="shared" ca="1" si="212"/>
        <v>0</v>
      </c>
      <c r="B2935" s="172" t="str">
        <f ca="1">IF(COUNTA(G$2368:G2934)=1,"",OFFSET(B2935,-COUNTA(G$2368:G2934)+1,0))</f>
        <v>a1b3p000006eF2WAAU</v>
      </c>
      <c r="C2935" s="177">
        <f ca="1">IF(COUNTA(G$2368:G2934)=1,"",OFFSET(C2935,-COUNTA(G$2368:G2934)+1,0))</f>
        <v>15</v>
      </c>
      <c r="D2935" s="166">
        <f t="shared" si="208"/>
        <v>85</v>
      </c>
      <c r="E2935" s="166">
        <f t="shared" ca="1" si="209"/>
        <v>1</v>
      </c>
      <c r="F2935" s="166">
        <f t="shared" ca="1" si="210"/>
        <v>23</v>
      </c>
      <c r="G2935" s="166"/>
      <c r="H2935" s="171" t="str">
        <f t="shared" ca="1" si="213"/>
        <v/>
      </c>
      <c r="I2935" s="171" t="str">
        <f t="shared" ca="1" si="214"/>
        <v/>
      </c>
      <c r="J2935" s="171" t="str">
        <f t="shared" ca="1" si="215"/>
        <v/>
      </c>
      <c r="K2935" s="171" t="str">
        <f t="shared" ca="1" si="216"/>
        <v/>
      </c>
      <c r="L2935" s="166"/>
      <c r="M2935" s="166"/>
      <c r="N2935" s="166"/>
      <c r="O2935" s="166"/>
      <c r="P2935" s="166">
        <f t="shared" ca="1" si="211"/>
        <v>0</v>
      </c>
      <c r="Q2935" s="166"/>
    </row>
    <row r="2936" spans="1:17">
      <c r="A2936" s="166" t="b">
        <f t="shared" ca="1" si="212"/>
        <v>0</v>
      </c>
      <c r="B2936" s="172" t="str">
        <f ca="1">IF(COUNTA(G$2368:G2935)=1,"",OFFSET(B2936,-COUNTA(G$2368:G2935)+1,0))</f>
        <v>a1b3p000006eF3oAAE</v>
      </c>
      <c r="C2936" s="177">
        <f ca="1">IF(COUNTA(G$2368:G2935)=1,"",OFFSET(C2936,-COUNTA(G$2368:G2935)+1,0))</f>
        <v>15</v>
      </c>
      <c r="D2936" s="166">
        <f t="shared" si="208"/>
        <v>86</v>
      </c>
      <c r="E2936" s="166">
        <f t="shared" ca="1" si="209"/>
        <v>2</v>
      </c>
      <c r="F2936" s="166">
        <f t="shared" ca="1" si="210"/>
        <v>23</v>
      </c>
      <c r="G2936" s="166"/>
      <c r="H2936" s="171" t="str">
        <f t="shared" ca="1" si="213"/>
        <v/>
      </c>
      <c r="I2936" s="171" t="str">
        <f t="shared" ca="1" si="214"/>
        <v/>
      </c>
      <c r="J2936" s="171" t="str">
        <f t="shared" ca="1" si="215"/>
        <v/>
      </c>
      <c r="K2936" s="171" t="str">
        <f t="shared" ca="1" si="216"/>
        <v/>
      </c>
      <c r="L2936" s="166"/>
      <c r="M2936" s="166"/>
      <c r="N2936" s="166"/>
      <c r="O2936" s="166"/>
      <c r="P2936" s="166">
        <f t="shared" ca="1" si="211"/>
        <v>0</v>
      </c>
      <c r="Q2936" s="166"/>
    </row>
    <row r="2937" spans="1:17">
      <c r="A2937" s="166" t="b">
        <f t="shared" ca="1" si="212"/>
        <v>0</v>
      </c>
      <c r="B2937" s="172" t="str">
        <f ca="1">IF(COUNTA(G$2368:G2936)=1,"",OFFSET(B2937,-COUNTA(G$2368:G2936)+1,0))</f>
        <v>a1b3p000006eF56AAE</v>
      </c>
      <c r="C2937" s="177">
        <f ca="1">IF(COUNTA(G$2368:G2936)=1,"",OFFSET(C2937,-COUNTA(G$2368:G2936)+1,0))</f>
        <v>15</v>
      </c>
      <c r="D2937" s="166">
        <f t="shared" si="208"/>
        <v>87</v>
      </c>
      <c r="E2937" s="166">
        <f t="shared" ca="1" si="209"/>
        <v>3</v>
      </c>
      <c r="F2937" s="166">
        <f t="shared" ca="1" si="210"/>
        <v>23</v>
      </c>
      <c r="G2937" s="166"/>
      <c r="H2937" s="171" t="str">
        <f t="shared" ca="1" si="213"/>
        <v/>
      </c>
      <c r="I2937" s="171" t="str">
        <f t="shared" ca="1" si="214"/>
        <v/>
      </c>
      <c r="J2937" s="171" t="str">
        <f t="shared" ca="1" si="215"/>
        <v/>
      </c>
      <c r="K2937" s="171" t="str">
        <f t="shared" ca="1" si="216"/>
        <v/>
      </c>
      <c r="L2937" s="166"/>
      <c r="M2937" s="166"/>
      <c r="N2937" s="166"/>
      <c r="O2937" s="166"/>
      <c r="P2937" s="166">
        <f t="shared" ca="1" si="211"/>
        <v>0</v>
      </c>
      <c r="Q2937" s="166"/>
    </row>
    <row r="2938" spans="1:17">
      <c r="A2938" s="166" t="b">
        <f t="shared" ca="1" si="212"/>
        <v>0</v>
      </c>
      <c r="B2938" s="172" t="str">
        <f ca="1">IF(COUNTA(G$2368:G2937)=1,"",OFFSET(B2938,-COUNTA(G$2368:G2937)+1,0))</f>
        <v>a1b3p000006eF6OAAU</v>
      </c>
      <c r="C2938" s="177">
        <f ca="1">IF(COUNTA(G$2368:G2937)=1,"",OFFSET(C2938,-COUNTA(G$2368:G2937)+1,0))</f>
        <v>15</v>
      </c>
      <c r="D2938" s="166">
        <f t="shared" si="208"/>
        <v>88</v>
      </c>
      <c r="E2938" s="166">
        <f t="shared" ca="1" si="209"/>
        <v>4</v>
      </c>
      <c r="F2938" s="166">
        <f t="shared" ca="1" si="210"/>
        <v>23</v>
      </c>
      <c r="G2938" s="166"/>
      <c r="H2938" s="171" t="str">
        <f t="shared" ca="1" si="213"/>
        <v/>
      </c>
      <c r="I2938" s="171" t="str">
        <f t="shared" ca="1" si="214"/>
        <v/>
      </c>
      <c r="J2938" s="171" t="str">
        <f t="shared" ca="1" si="215"/>
        <v/>
      </c>
      <c r="K2938" s="171" t="str">
        <f t="shared" ca="1" si="216"/>
        <v/>
      </c>
      <c r="L2938" s="166"/>
      <c r="M2938" s="166"/>
      <c r="N2938" s="166"/>
      <c r="O2938" s="166"/>
      <c r="P2938" s="166">
        <f t="shared" ca="1" si="211"/>
        <v>0</v>
      </c>
      <c r="Q2938" s="166"/>
    </row>
    <row r="2939" spans="1:17">
      <c r="A2939" s="166" t="b">
        <f t="shared" ca="1" si="212"/>
        <v>0</v>
      </c>
      <c r="B2939" s="172" t="str">
        <f ca="1">IF(COUNTA(G$2368:G2938)=1,"",OFFSET(B2939,-COUNTA(G$2368:G2938)+1,0))</f>
        <v>a1b3p000006eF7gAAE</v>
      </c>
      <c r="C2939" s="177">
        <f ca="1">IF(COUNTA(G$2368:G2938)=1,"",OFFSET(C2939,-COUNTA(G$2368:G2938)+1,0))</f>
        <v>15</v>
      </c>
      <c r="D2939" s="166">
        <f t="shared" si="208"/>
        <v>89</v>
      </c>
      <c r="E2939" s="166">
        <f t="shared" ca="1" si="209"/>
        <v>5</v>
      </c>
      <c r="F2939" s="166">
        <f t="shared" ca="1" si="210"/>
        <v>23</v>
      </c>
      <c r="G2939" s="166"/>
      <c r="H2939" s="171" t="str">
        <f t="shared" ca="1" si="213"/>
        <v/>
      </c>
      <c r="I2939" s="171" t="str">
        <f t="shared" ca="1" si="214"/>
        <v/>
      </c>
      <c r="J2939" s="171" t="str">
        <f t="shared" ca="1" si="215"/>
        <v/>
      </c>
      <c r="K2939" s="171" t="str">
        <f t="shared" ca="1" si="216"/>
        <v/>
      </c>
      <c r="L2939" s="166"/>
      <c r="M2939" s="166"/>
      <c r="N2939" s="166"/>
      <c r="O2939" s="166"/>
      <c r="P2939" s="166">
        <f t="shared" ca="1" si="211"/>
        <v>0</v>
      </c>
      <c r="Q2939" s="166"/>
    </row>
    <row r="2940" spans="1:17">
      <c r="A2940" s="166" t="b">
        <f t="shared" ca="1" si="212"/>
        <v>0</v>
      </c>
      <c r="B2940" s="172" t="str">
        <f ca="1">IF(COUNTA(G$2368:G2939)=1,"",OFFSET(B2940,-COUNTA(G$2368:G2939)+1,0))</f>
        <v>a1b3p000006eF8yAAE</v>
      </c>
      <c r="C2940" s="177">
        <f ca="1">IF(COUNTA(G$2368:G2939)=1,"",OFFSET(C2940,-COUNTA(G$2368:G2939)+1,0))</f>
        <v>15</v>
      </c>
      <c r="D2940" s="166">
        <f t="shared" si="208"/>
        <v>90</v>
      </c>
      <c r="E2940" s="166">
        <f t="shared" ca="1" si="209"/>
        <v>6</v>
      </c>
      <c r="F2940" s="166">
        <f t="shared" ca="1" si="210"/>
        <v>23</v>
      </c>
      <c r="G2940" s="166"/>
      <c r="H2940" s="171" t="str">
        <f t="shared" ca="1" si="213"/>
        <v/>
      </c>
      <c r="I2940" s="171" t="str">
        <f t="shared" ca="1" si="214"/>
        <v/>
      </c>
      <c r="J2940" s="171" t="str">
        <f t="shared" ca="1" si="215"/>
        <v/>
      </c>
      <c r="K2940" s="171" t="str">
        <f t="shared" ca="1" si="216"/>
        <v/>
      </c>
      <c r="L2940" s="166"/>
      <c r="M2940" s="166"/>
      <c r="N2940" s="166"/>
      <c r="O2940" s="166"/>
      <c r="P2940" s="166">
        <f t="shared" ca="1" si="211"/>
        <v>0</v>
      </c>
      <c r="Q2940" s="166"/>
    </row>
    <row r="2941" spans="1:17">
      <c r="A2941" s="166" t="b">
        <f t="shared" ca="1" si="212"/>
        <v>0</v>
      </c>
      <c r="B2941" s="172" t="str">
        <f ca="1">IF(COUNTA(G$2368:G2940)=1,"",OFFSET(B2941,-COUNTA(G$2368:G2940)+1,0))</f>
        <v>a1b3p000006eF2XAAU</v>
      </c>
      <c r="C2941" s="177">
        <f ca="1">IF(COUNTA(G$2368:G2940)=1,"",OFFSET(C2941,-COUNTA(G$2368:G2940)+1,0))</f>
        <v>16</v>
      </c>
      <c r="D2941" s="166">
        <f t="shared" si="208"/>
        <v>91</v>
      </c>
      <c r="E2941" s="166">
        <f t="shared" ca="1" si="209"/>
        <v>1</v>
      </c>
      <c r="F2941" s="166">
        <f t="shared" ca="1" si="210"/>
        <v>24</v>
      </c>
      <c r="G2941" s="166"/>
      <c r="H2941" s="171" t="str">
        <f t="shared" ca="1" si="213"/>
        <v/>
      </c>
      <c r="I2941" s="171" t="str">
        <f t="shared" ca="1" si="214"/>
        <v/>
      </c>
      <c r="J2941" s="171" t="str">
        <f t="shared" ca="1" si="215"/>
        <v/>
      </c>
      <c r="K2941" s="171" t="str">
        <f t="shared" ca="1" si="216"/>
        <v/>
      </c>
      <c r="L2941" s="166"/>
      <c r="M2941" s="166"/>
      <c r="N2941" s="166"/>
      <c r="O2941" s="166"/>
      <c r="P2941" s="166">
        <f t="shared" ca="1" si="211"/>
        <v>0</v>
      </c>
      <c r="Q2941" s="166"/>
    </row>
    <row r="2942" spans="1:17">
      <c r="A2942" s="166" t="b">
        <f t="shared" ca="1" si="212"/>
        <v>0</v>
      </c>
      <c r="B2942" s="172" t="str">
        <f ca="1">IF(COUNTA(G$2368:G2941)=1,"",OFFSET(B2942,-COUNTA(G$2368:G2941)+1,0))</f>
        <v>a1b3p000006eF3pAAE</v>
      </c>
      <c r="C2942" s="177">
        <f ca="1">IF(COUNTA(G$2368:G2941)=1,"",OFFSET(C2942,-COUNTA(G$2368:G2941)+1,0))</f>
        <v>16</v>
      </c>
      <c r="D2942" s="166">
        <f t="shared" si="208"/>
        <v>92</v>
      </c>
      <c r="E2942" s="166">
        <f t="shared" ca="1" si="209"/>
        <v>2</v>
      </c>
      <c r="F2942" s="166">
        <f t="shared" ca="1" si="210"/>
        <v>24</v>
      </c>
      <c r="G2942" s="166"/>
      <c r="H2942" s="171" t="str">
        <f t="shared" ca="1" si="213"/>
        <v/>
      </c>
      <c r="I2942" s="171" t="str">
        <f t="shared" ca="1" si="214"/>
        <v/>
      </c>
      <c r="J2942" s="171" t="str">
        <f t="shared" ca="1" si="215"/>
        <v/>
      </c>
      <c r="K2942" s="171" t="str">
        <f t="shared" ca="1" si="216"/>
        <v/>
      </c>
      <c r="L2942" s="166"/>
      <c r="M2942" s="166"/>
      <c r="N2942" s="166"/>
      <c r="O2942" s="166"/>
      <c r="P2942" s="166">
        <f t="shared" ca="1" si="211"/>
        <v>0</v>
      </c>
      <c r="Q2942" s="166"/>
    </row>
    <row r="2943" spans="1:17">
      <c r="A2943" s="166" t="b">
        <f t="shared" ca="1" si="212"/>
        <v>0</v>
      </c>
      <c r="B2943" s="172" t="str">
        <f ca="1">IF(COUNTA(G$2368:G2942)=1,"",OFFSET(B2943,-COUNTA(G$2368:G2942)+1,0))</f>
        <v>a1b3p000006eF57AAE</v>
      </c>
      <c r="C2943" s="177">
        <f ca="1">IF(COUNTA(G$2368:G2942)=1,"",OFFSET(C2943,-COUNTA(G$2368:G2942)+1,0))</f>
        <v>16</v>
      </c>
      <c r="D2943" s="166">
        <f t="shared" si="208"/>
        <v>93</v>
      </c>
      <c r="E2943" s="166">
        <f t="shared" ca="1" si="209"/>
        <v>3</v>
      </c>
      <c r="F2943" s="166">
        <f t="shared" ca="1" si="210"/>
        <v>24</v>
      </c>
      <c r="G2943" s="166"/>
      <c r="H2943" s="171" t="str">
        <f t="shared" ca="1" si="213"/>
        <v/>
      </c>
      <c r="I2943" s="171" t="str">
        <f t="shared" ca="1" si="214"/>
        <v/>
      </c>
      <c r="J2943" s="171" t="str">
        <f t="shared" ca="1" si="215"/>
        <v/>
      </c>
      <c r="K2943" s="171" t="str">
        <f t="shared" ca="1" si="216"/>
        <v/>
      </c>
      <c r="L2943" s="166"/>
      <c r="M2943" s="166"/>
      <c r="N2943" s="166"/>
      <c r="O2943" s="166"/>
      <c r="P2943" s="166">
        <f t="shared" ca="1" si="211"/>
        <v>0</v>
      </c>
      <c r="Q2943" s="166"/>
    </row>
    <row r="2944" spans="1:17">
      <c r="A2944" s="166" t="b">
        <f t="shared" ca="1" si="212"/>
        <v>0</v>
      </c>
      <c r="B2944" s="172" t="str">
        <f ca="1">IF(COUNTA(G$2368:G2943)=1,"",OFFSET(B2944,-COUNTA(G$2368:G2943)+1,0))</f>
        <v>a1b3p000006eF6PAAU</v>
      </c>
      <c r="C2944" s="177">
        <f ca="1">IF(COUNTA(G$2368:G2943)=1,"",OFFSET(C2944,-COUNTA(G$2368:G2943)+1,0))</f>
        <v>16</v>
      </c>
      <c r="D2944" s="166">
        <f t="shared" si="208"/>
        <v>94</v>
      </c>
      <c r="E2944" s="166">
        <f t="shared" ca="1" si="209"/>
        <v>4</v>
      </c>
      <c r="F2944" s="166">
        <f t="shared" ca="1" si="210"/>
        <v>24</v>
      </c>
      <c r="G2944" s="166"/>
      <c r="H2944" s="171" t="str">
        <f t="shared" ca="1" si="213"/>
        <v/>
      </c>
      <c r="I2944" s="171" t="str">
        <f t="shared" ca="1" si="214"/>
        <v/>
      </c>
      <c r="J2944" s="171" t="str">
        <f t="shared" ca="1" si="215"/>
        <v/>
      </c>
      <c r="K2944" s="171" t="str">
        <f t="shared" ca="1" si="216"/>
        <v/>
      </c>
      <c r="L2944" s="166"/>
      <c r="M2944" s="166"/>
      <c r="N2944" s="166"/>
      <c r="O2944" s="166"/>
      <c r="P2944" s="166">
        <f t="shared" ca="1" si="211"/>
        <v>0</v>
      </c>
      <c r="Q2944" s="166"/>
    </row>
    <row r="2945" spans="1:17">
      <c r="A2945" s="166" t="b">
        <f t="shared" ca="1" si="212"/>
        <v>0</v>
      </c>
      <c r="B2945" s="172" t="str">
        <f ca="1">IF(COUNTA(G$2368:G2944)=1,"",OFFSET(B2945,-COUNTA(G$2368:G2944)+1,0))</f>
        <v>a1b3p000006eF7hAAE</v>
      </c>
      <c r="C2945" s="177">
        <f ca="1">IF(COUNTA(G$2368:G2944)=1,"",OFFSET(C2945,-COUNTA(G$2368:G2944)+1,0))</f>
        <v>16</v>
      </c>
      <c r="D2945" s="166">
        <f t="shared" si="208"/>
        <v>95</v>
      </c>
      <c r="E2945" s="166">
        <f t="shared" ca="1" si="209"/>
        <v>5</v>
      </c>
      <c r="F2945" s="166">
        <f t="shared" ca="1" si="210"/>
        <v>24</v>
      </c>
      <c r="G2945" s="166"/>
      <c r="H2945" s="171" t="str">
        <f t="shared" ca="1" si="213"/>
        <v/>
      </c>
      <c r="I2945" s="171" t="str">
        <f t="shared" ca="1" si="214"/>
        <v/>
      </c>
      <c r="J2945" s="171" t="str">
        <f t="shared" ca="1" si="215"/>
        <v/>
      </c>
      <c r="K2945" s="171" t="str">
        <f t="shared" ca="1" si="216"/>
        <v/>
      </c>
      <c r="L2945" s="166"/>
      <c r="M2945" s="166"/>
      <c r="N2945" s="166"/>
      <c r="O2945" s="166"/>
      <c r="P2945" s="166">
        <f t="shared" ca="1" si="211"/>
        <v>0</v>
      </c>
      <c r="Q2945" s="166"/>
    </row>
    <row r="2946" spans="1:17">
      <c r="A2946" s="166" t="b">
        <f t="shared" ca="1" si="212"/>
        <v>0</v>
      </c>
      <c r="B2946" s="172" t="str">
        <f ca="1">IF(COUNTA(G$2368:G2945)=1,"",OFFSET(B2946,-COUNTA(G$2368:G2945)+1,0))</f>
        <v>a1b3p000006eF8zAAE</v>
      </c>
      <c r="C2946" s="177">
        <f ca="1">IF(COUNTA(G$2368:G2945)=1,"",OFFSET(C2946,-COUNTA(G$2368:G2945)+1,0))</f>
        <v>16</v>
      </c>
      <c r="D2946" s="166">
        <f t="shared" si="208"/>
        <v>96</v>
      </c>
      <c r="E2946" s="166">
        <f t="shared" ca="1" si="209"/>
        <v>6</v>
      </c>
      <c r="F2946" s="166">
        <f t="shared" ca="1" si="210"/>
        <v>24</v>
      </c>
      <c r="G2946" s="166"/>
      <c r="H2946" s="171" t="str">
        <f t="shared" ca="1" si="213"/>
        <v/>
      </c>
      <c r="I2946" s="171" t="str">
        <f t="shared" ca="1" si="214"/>
        <v/>
      </c>
      <c r="J2946" s="171" t="str">
        <f t="shared" ca="1" si="215"/>
        <v/>
      </c>
      <c r="K2946" s="171" t="str">
        <f t="shared" ca="1" si="216"/>
        <v/>
      </c>
      <c r="L2946" s="166"/>
      <c r="M2946" s="166"/>
      <c r="N2946" s="166"/>
      <c r="O2946" s="166"/>
      <c r="P2946" s="166">
        <f t="shared" ca="1" si="211"/>
        <v>0</v>
      </c>
      <c r="Q2946" s="166"/>
    </row>
    <row r="2947" spans="1:17">
      <c r="A2947" s="166" t="b">
        <f t="shared" ca="1" si="212"/>
        <v>0</v>
      </c>
      <c r="B2947" s="172" t="str">
        <f ca="1">IF(COUNTA(G$2368:G2946)=1,"",OFFSET(B2947,-COUNTA(G$2368:G2946)+1,0))</f>
        <v>a1b3p000006eF2YAAU</v>
      </c>
      <c r="C2947" s="177">
        <f ca="1">IF(COUNTA(G$2368:G2946)=1,"",OFFSET(C2947,-COUNTA(G$2368:G2946)+1,0))</f>
        <v>17</v>
      </c>
      <c r="D2947" s="166">
        <f t="shared" ref="D2947:D3010" si="217">D2946+1</f>
        <v>97</v>
      </c>
      <c r="E2947" s="166">
        <f t="shared" ref="E2947:E3010" ca="1" si="218">COUNTIF(C2777:C2947,C2947)</f>
        <v>1</v>
      </c>
      <c r="F2947" s="166">
        <f t="shared" ref="F2947:F3010" ca="1" si="219">IF(C2947=1,9,IF(E2946=MAX(E2945:E2947),F2945+1,F2946))</f>
        <v>25</v>
      </c>
      <c r="G2947" s="166"/>
      <c r="H2947" s="171" t="str">
        <f t="shared" ca="1" si="213"/>
        <v/>
      </c>
      <c r="I2947" s="171" t="str">
        <f t="shared" ca="1" si="214"/>
        <v/>
      </c>
      <c r="J2947" s="171" t="str">
        <f t="shared" ca="1" si="215"/>
        <v/>
      </c>
      <c r="K2947" s="171" t="str">
        <f t="shared" ca="1" si="216"/>
        <v/>
      </c>
      <c r="L2947" s="166"/>
      <c r="M2947" s="166"/>
      <c r="N2947" s="166"/>
      <c r="O2947" s="166"/>
      <c r="P2947" s="166">
        <f t="shared" ref="P2947:P3010" ca="1" si="220">IF(NOT(_xlfn.ISFORMULA(I2947)),P2946+1,0)</f>
        <v>0</v>
      </c>
      <c r="Q2947" s="166"/>
    </row>
    <row r="2948" spans="1:17">
      <c r="A2948" s="166" t="b">
        <f t="shared" ca="1" si="212"/>
        <v>0</v>
      </c>
      <c r="B2948" s="172" t="str">
        <f ca="1">IF(COUNTA(G$2368:G2947)=1,"",OFFSET(B2948,-COUNTA(G$2368:G2947)+1,0))</f>
        <v>a1b3p000006eF3qAAE</v>
      </c>
      <c r="C2948" s="177">
        <f ca="1">IF(COUNTA(G$2368:G2947)=1,"",OFFSET(C2948,-COUNTA(G$2368:G2947)+1,0))</f>
        <v>17</v>
      </c>
      <c r="D2948" s="166">
        <f t="shared" si="217"/>
        <v>98</v>
      </c>
      <c r="E2948" s="166">
        <f t="shared" ca="1" si="218"/>
        <v>2</v>
      </c>
      <c r="F2948" s="166">
        <f t="shared" ca="1" si="219"/>
        <v>25</v>
      </c>
      <c r="G2948" s="166"/>
      <c r="H2948" s="171" t="str">
        <f t="shared" ca="1" si="213"/>
        <v/>
      </c>
      <c r="I2948" s="171" t="str">
        <f t="shared" ca="1" si="214"/>
        <v/>
      </c>
      <c r="J2948" s="171" t="str">
        <f t="shared" ca="1" si="215"/>
        <v/>
      </c>
      <c r="K2948" s="171" t="str">
        <f t="shared" ca="1" si="216"/>
        <v/>
      </c>
      <c r="L2948" s="166"/>
      <c r="M2948" s="166"/>
      <c r="N2948" s="166"/>
      <c r="O2948" s="166"/>
      <c r="P2948" s="166">
        <f t="shared" ca="1" si="220"/>
        <v>0</v>
      </c>
      <c r="Q2948" s="166"/>
    </row>
    <row r="2949" spans="1:17">
      <c r="A2949" s="166" t="b">
        <f t="shared" ca="1" si="212"/>
        <v>0</v>
      </c>
      <c r="B2949" s="172" t="str">
        <f ca="1">IF(COUNTA(G$2368:G2948)=1,"",OFFSET(B2949,-COUNTA(G$2368:G2948)+1,0))</f>
        <v>a1b3p000006eF58AAE</v>
      </c>
      <c r="C2949" s="177">
        <f ca="1">IF(COUNTA(G$2368:G2948)=1,"",OFFSET(C2949,-COUNTA(G$2368:G2948)+1,0))</f>
        <v>17</v>
      </c>
      <c r="D2949" s="166">
        <f t="shared" si="217"/>
        <v>99</v>
      </c>
      <c r="E2949" s="166">
        <f t="shared" ca="1" si="218"/>
        <v>3</v>
      </c>
      <c r="F2949" s="166">
        <f t="shared" ca="1" si="219"/>
        <v>25</v>
      </c>
      <c r="G2949" s="166"/>
      <c r="H2949" s="171" t="str">
        <f t="shared" ca="1" si="213"/>
        <v/>
      </c>
      <c r="I2949" s="171" t="str">
        <f t="shared" ca="1" si="214"/>
        <v/>
      </c>
      <c r="J2949" s="171" t="str">
        <f t="shared" ca="1" si="215"/>
        <v/>
      </c>
      <c r="K2949" s="171" t="str">
        <f t="shared" ca="1" si="216"/>
        <v/>
      </c>
      <c r="L2949" s="166"/>
      <c r="M2949" s="166"/>
      <c r="N2949" s="166"/>
      <c r="O2949" s="166"/>
      <c r="P2949" s="166">
        <f t="shared" ca="1" si="220"/>
        <v>0</v>
      </c>
      <c r="Q2949" s="166"/>
    </row>
    <row r="2950" spans="1:17">
      <c r="A2950" s="166" t="b">
        <f t="shared" ca="1" si="212"/>
        <v>0</v>
      </c>
      <c r="B2950" s="172" t="str">
        <f ca="1">IF(COUNTA(G$2368:G2949)=1,"",OFFSET(B2950,-COUNTA(G$2368:G2949)+1,0))</f>
        <v>a1b3p000006eF6QAAU</v>
      </c>
      <c r="C2950" s="177">
        <f ca="1">IF(COUNTA(G$2368:G2949)=1,"",OFFSET(C2950,-COUNTA(G$2368:G2949)+1,0))</f>
        <v>17</v>
      </c>
      <c r="D2950" s="166">
        <f t="shared" si="217"/>
        <v>100</v>
      </c>
      <c r="E2950" s="166">
        <f t="shared" ca="1" si="218"/>
        <v>4</v>
      </c>
      <c r="F2950" s="166">
        <f t="shared" ca="1" si="219"/>
        <v>25</v>
      </c>
      <c r="G2950" s="166"/>
      <c r="H2950" s="171" t="str">
        <f t="shared" ca="1" si="213"/>
        <v/>
      </c>
      <c r="I2950" s="171" t="str">
        <f t="shared" ca="1" si="214"/>
        <v/>
      </c>
      <c r="J2950" s="171" t="str">
        <f t="shared" ca="1" si="215"/>
        <v/>
      </c>
      <c r="K2950" s="171" t="str">
        <f t="shared" ca="1" si="216"/>
        <v/>
      </c>
      <c r="L2950" s="166"/>
      <c r="M2950" s="166"/>
      <c r="N2950" s="166"/>
      <c r="O2950" s="166"/>
      <c r="P2950" s="166">
        <f t="shared" ca="1" si="220"/>
        <v>0</v>
      </c>
      <c r="Q2950" s="166"/>
    </row>
    <row r="2951" spans="1:17">
      <c r="A2951" s="166" t="b">
        <f t="shared" ca="1" si="212"/>
        <v>0</v>
      </c>
      <c r="B2951" s="172" t="str">
        <f ca="1">IF(COUNTA(G$2368:G2950)=1,"",OFFSET(B2951,-COUNTA(G$2368:G2950)+1,0))</f>
        <v>a1b3p000006eF7iAAE</v>
      </c>
      <c r="C2951" s="177">
        <f ca="1">IF(COUNTA(G$2368:G2950)=1,"",OFFSET(C2951,-COUNTA(G$2368:G2950)+1,0))</f>
        <v>17</v>
      </c>
      <c r="D2951" s="166">
        <f t="shared" si="217"/>
        <v>101</v>
      </c>
      <c r="E2951" s="166">
        <f t="shared" ca="1" si="218"/>
        <v>5</v>
      </c>
      <c r="F2951" s="166">
        <f t="shared" ca="1" si="219"/>
        <v>25</v>
      </c>
      <c r="G2951" s="166"/>
      <c r="H2951" s="171" t="str">
        <f t="shared" ca="1" si="213"/>
        <v/>
      </c>
      <c r="I2951" s="171" t="str">
        <f t="shared" ca="1" si="214"/>
        <v/>
      </c>
      <c r="J2951" s="171" t="str">
        <f t="shared" ca="1" si="215"/>
        <v/>
      </c>
      <c r="K2951" s="171" t="str">
        <f t="shared" ca="1" si="216"/>
        <v/>
      </c>
      <c r="L2951" s="166"/>
      <c r="M2951" s="166"/>
      <c r="N2951" s="166"/>
      <c r="O2951" s="166"/>
      <c r="P2951" s="166">
        <f t="shared" ca="1" si="220"/>
        <v>0</v>
      </c>
      <c r="Q2951" s="166"/>
    </row>
    <row r="2952" spans="1:17">
      <c r="A2952" s="166" t="b">
        <f t="shared" ca="1" si="212"/>
        <v>0</v>
      </c>
      <c r="B2952" s="172" t="str">
        <f ca="1">IF(COUNTA(G$2368:G2951)=1,"",OFFSET(B2952,-COUNTA(G$2368:G2951)+1,0))</f>
        <v>a1b3p000006eF90AAE</v>
      </c>
      <c r="C2952" s="177">
        <f ca="1">IF(COUNTA(G$2368:G2951)=1,"",OFFSET(C2952,-COUNTA(G$2368:G2951)+1,0))</f>
        <v>17</v>
      </c>
      <c r="D2952" s="166">
        <f t="shared" si="217"/>
        <v>102</v>
      </c>
      <c r="E2952" s="166">
        <f t="shared" ca="1" si="218"/>
        <v>6</v>
      </c>
      <c r="F2952" s="166">
        <f t="shared" ca="1" si="219"/>
        <v>25</v>
      </c>
      <c r="G2952" s="166"/>
      <c r="H2952" s="171" t="str">
        <f t="shared" ca="1" si="213"/>
        <v/>
      </c>
      <c r="I2952" s="171" t="str">
        <f t="shared" ca="1" si="214"/>
        <v/>
      </c>
      <c r="J2952" s="171" t="str">
        <f t="shared" ca="1" si="215"/>
        <v/>
      </c>
      <c r="K2952" s="171" t="str">
        <f t="shared" ca="1" si="216"/>
        <v/>
      </c>
      <c r="L2952" s="166"/>
      <c r="M2952" s="166"/>
      <c r="N2952" s="166"/>
      <c r="O2952" s="166"/>
      <c r="P2952" s="166">
        <f t="shared" ca="1" si="220"/>
        <v>0</v>
      </c>
      <c r="Q2952" s="166"/>
    </row>
    <row r="2953" spans="1:17">
      <c r="A2953" s="166" t="b">
        <f t="shared" ca="1" si="212"/>
        <v>0</v>
      </c>
      <c r="B2953" s="172" t="str">
        <f ca="1">IF(COUNTA(G$2368:G2952)=1,"",OFFSET(B2953,-COUNTA(G$2368:G2952)+1,0))</f>
        <v>a1b3p000006eF2ZAAU</v>
      </c>
      <c r="C2953" s="177">
        <f ca="1">IF(COUNTA(G$2368:G2952)=1,"",OFFSET(C2953,-COUNTA(G$2368:G2952)+1,0))</f>
        <v>18</v>
      </c>
      <c r="D2953" s="166">
        <f t="shared" si="217"/>
        <v>103</v>
      </c>
      <c r="E2953" s="166">
        <f t="shared" ca="1" si="218"/>
        <v>1</v>
      </c>
      <c r="F2953" s="166">
        <f t="shared" ca="1" si="219"/>
        <v>26</v>
      </c>
      <c r="G2953" s="166"/>
      <c r="H2953" s="171" t="str">
        <f t="shared" ca="1" si="213"/>
        <v/>
      </c>
      <c r="I2953" s="171" t="str">
        <f t="shared" ca="1" si="214"/>
        <v/>
      </c>
      <c r="J2953" s="171" t="str">
        <f t="shared" ca="1" si="215"/>
        <v/>
      </c>
      <c r="K2953" s="171" t="str">
        <f t="shared" ca="1" si="216"/>
        <v/>
      </c>
      <c r="L2953" s="166"/>
      <c r="M2953" s="166"/>
      <c r="N2953" s="166"/>
      <c r="O2953" s="166"/>
      <c r="P2953" s="166">
        <f t="shared" ca="1" si="220"/>
        <v>0</v>
      </c>
      <c r="Q2953" s="166"/>
    </row>
    <row r="2954" spans="1:17">
      <c r="A2954" s="166" t="b">
        <f t="shared" ca="1" si="212"/>
        <v>0</v>
      </c>
      <c r="B2954" s="172" t="str">
        <f ca="1">IF(COUNTA(G$2368:G2953)=1,"",OFFSET(B2954,-COUNTA(G$2368:G2953)+1,0))</f>
        <v>a1b3p000006eF3rAAE</v>
      </c>
      <c r="C2954" s="177">
        <f ca="1">IF(COUNTA(G$2368:G2953)=1,"",OFFSET(C2954,-COUNTA(G$2368:G2953)+1,0))</f>
        <v>18</v>
      </c>
      <c r="D2954" s="166">
        <f t="shared" si="217"/>
        <v>104</v>
      </c>
      <c r="E2954" s="166">
        <f t="shared" ca="1" si="218"/>
        <v>2</v>
      </c>
      <c r="F2954" s="166">
        <f t="shared" ca="1" si="219"/>
        <v>26</v>
      </c>
      <c r="G2954" s="166"/>
      <c r="H2954" s="171" t="str">
        <f t="shared" ca="1" si="213"/>
        <v/>
      </c>
      <c r="I2954" s="171" t="str">
        <f t="shared" ca="1" si="214"/>
        <v/>
      </c>
      <c r="J2954" s="171" t="str">
        <f t="shared" ca="1" si="215"/>
        <v/>
      </c>
      <c r="K2954" s="171" t="str">
        <f t="shared" ca="1" si="216"/>
        <v/>
      </c>
      <c r="L2954" s="166"/>
      <c r="M2954" s="166"/>
      <c r="N2954" s="166"/>
      <c r="O2954" s="166"/>
      <c r="P2954" s="166">
        <f t="shared" ca="1" si="220"/>
        <v>0</v>
      </c>
      <c r="Q2954" s="166"/>
    </row>
    <row r="2955" spans="1:17">
      <c r="A2955" s="166" t="b">
        <f t="shared" ca="1" si="212"/>
        <v>0</v>
      </c>
      <c r="B2955" s="172" t="str">
        <f ca="1">IF(COUNTA(G$2368:G2954)=1,"",OFFSET(B2955,-COUNTA(G$2368:G2954)+1,0))</f>
        <v>a1b3p000006eF59AAE</v>
      </c>
      <c r="C2955" s="177">
        <f ca="1">IF(COUNTA(G$2368:G2954)=1,"",OFFSET(C2955,-COUNTA(G$2368:G2954)+1,0))</f>
        <v>18</v>
      </c>
      <c r="D2955" s="166">
        <f t="shared" si="217"/>
        <v>105</v>
      </c>
      <c r="E2955" s="166">
        <f t="shared" ca="1" si="218"/>
        <v>3</v>
      </c>
      <c r="F2955" s="166">
        <f t="shared" ca="1" si="219"/>
        <v>26</v>
      </c>
      <c r="G2955" s="166"/>
      <c r="H2955" s="171" t="str">
        <f t="shared" ca="1" si="213"/>
        <v/>
      </c>
      <c r="I2955" s="171" t="str">
        <f t="shared" ca="1" si="214"/>
        <v/>
      </c>
      <c r="J2955" s="171" t="str">
        <f t="shared" ca="1" si="215"/>
        <v/>
      </c>
      <c r="K2955" s="171" t="str">
        <f t="shared" ca="1" si="216"/>
        <v/>
      </c>
      <c r="L2955" s="166"/>
      <c r="M2955" s="166"/>
      <c r="N2955" s="166"/>
      <c r="O2955" s="166"/>
      <c r="P2955" s="166">
        <f t="shared" ca="1" si="220"/>
        <v>0</v>
      </c>
      <c r="Q2955" s="166"/>
    </row>
    <row r="2956" spans="1:17">
      <c r="A2956" s="166" t="b">
        <f t="shared" ca="1" si="212"/>
        <v>0</v>
      </c>
      <c r="B2956" s="172" t="str">
        <f ca="1">IF(COUNTA(G$2368:G2955)=1,"",OFFSET(B2956,-COUNTA(G$2368:G2955)+1,0))</f>
        <v>a1b3p000006eF6RAAU</v>
      </c>
      <c r="C2956" s="177">
        <f ca="1">IF(COUNTA(G$2368:G2955)=1,"",OFFSET(C2956,-COUNTA(G$2368:G2955)+1,0))</f>
        <v>18</v>
      </c>
      <c r="D2956" s="166">
        <f t="shared" si="217"/>
        <v>106</v>
      </c>
      <c r="E2956" s="166">
        <f t="shared" ca="1" si="218"/>
        <v>4</v>
      </c>
      <c r="F2956" s="166">
        <f t="shared" ca="1" si="219"/>
        <v>26</v>
      </c>
      <c r="G2956" s="166"/>
      <c r="H2956" s="171" t="str">
        <f t="shared" ca="1" si="213"/>
        <v/>
      </c>
      <c r="I2956" s="171" t="str">
        <f t="shared" ca="1" si="214"/>
        <v/>
      </c>
      <c r="J2956" s="171" t="str">
        <f t="shared" ca="1" si="215"/>
        <v/>
      </c>
      <c r="K2956" s="171" t="str">
        <f t="shared" ca="1" si="216"/>
        <v/>
      </c>
      <c r="L2956" s="166"/>
      <c r="M2956" s="166"/>
      <c r="N2956" s="166"/>
      <c r="O2956" s="166"/>
      <c r="P2956" s="166">
        <f t="shared" ca="1" si="220"/>
        <v>0</v>
      </c>
      <c r="Q2956" s="166"/>
    </row>
    <row r="2957" spans="1:17">
      <c r="A2957" s="166" t="b">
        <f t="shared" ca="1" si="212"/>
        <v>0</v>
      </c>
      <c r="B2957" s="172" t="str">
        <f ca="1">IF(COUNTA(G$2368:G2956)=1,"",OFFSET(B2957,-COUNTA(G$2368:G2956)+1,0))</f>
        <v>a1b3p000006eF7jAAE</v>
      </c>
      <c r="C2957" s="177">
        <f ca="1">IF(COUNTA(G$2368:G2956)=1,"",OFFSET(C2957,-COUNTA(G$2368:G2956)+1,0))</f>
        <v>18</v>
      </c>
      <c r="D2957" s="166">
        <f t="shared" si="217"/>
        <v>107</v>
      </c>
      <c r="E2957" s="166">
        <f t="shared" ca="1" si="218"/>
        <v>5</v>
      </c>
      <c r="F2957" s="166">
        <f t="shared" ca="1" si="219"/>
        <v>26</v>
      </c>
      <c r="G2957" s="166"/>
      <c r="H2957" s="171" t="str">
        <f t="shared" ca="1" si="213"/>
        <v/>
      </c>
      <c r="I2957" s="171" t="str">
        <f t="shared" ca="1" si="214"/>
        <v/>
      </c>
      <c r="J2957" s="171" t="str">
        <f t="shared" ca="1" si="215"/>
        <v/>
      </c>
      <c r="K2957" s="171" t="str">
        <f t="shared" ca="1" si="216"/>
        <v/>
      </c>
      <c r="L2957" s="166"/>
      <c r="M2957" s="166"/>
      <c r="N2957" s="166"/>
      <c r="O2957" s="166"/>
      <c r="P2957" s="166">
        <f t="shared" ca="1" si="220"/>
        <v>0</v>
      </c>
      <c r="Q2957" s="166"/>
    </row>
    <row r="2958" spans="1:17">
      <c r="A2958" s="166" t="b">
        <f t="shared" ca="1" si="212"/>
        <v>0</v>
      </c>
      <c r="B2958" s="172" t="str">
        <f ca="1">IF(COUNTA(G$2368:G2957)=1,"",OFFSET(B2958,-COUNTA(G$2368:G2957)+1,0))</f>
        <v>a1b3p000006eF91AAE</v>
      </c>
      <c r="C2958" s="177">
        <f ca="1">IF(COUNTA(G$2368:G2957)=1,"",OFFSET(C2958,-COUNTA(G$2368:G2957)+1,0))</f>
        <v>18</v>
      </c>
      <c r="D2958" s="166">
        <f t="shared" si="217"/>
        <v>108</v>
      </c>
      <c r="E2958" s="166">
        <f t="shared" ca="1" si="218"/>
        <v>6</v>
      </c>
      <c r="F2958" s="166">
        <f t="shared" ca="1" si="219"/>
        <v>26</v>
      </c>
      <c r="G2958" s="166"/>
      <c r="H2958" s="171" t="str">
        <f t="shared" ca="1" si="213"/>
        <v/>
      </c>
      <c r="I2958" s="171" t="str">
        <f t="shared" ca="1" si="214"/>
        <v/>
      </c>
      <c r="J2958" s="171" t="str">
        <f t="shared" ca="1" si="215"/>
        <v/>
      </c>
      <c r="K2958" s="171" t="str">
        <f t="shared" ca="1" si="216"/>
        <v/>
      </c>
      <c r="L2958" s="166"/>
      <c r="M2958" s="166"/>
      <c r="N2958" s="166"/>
      <c r="O2958" s="166"/>
      <c r="P2958" s="166">
        <f t="shared" ca="1" si="220"/>
        <v>0</v>
      </c>
      <c r="Q2958" s="166"/>
    </row>
    <row r="2959" spans="1:17">
      <c r="A2959" s="166" t="b">
        <f t="shared" ca="1" si="212"/>
        <v>0</v>
      </c>
      <c r="B2959" s="172" t="str">
        <f ca="1">IF(COUNTA(G$2368:G2958)=1,"",OFFSET(B2959,-COUNTA(G$2368:G2958)+1,0))</f>
        <v>a1b3p000006eF2aAAE</v>
      </c>
      <c r="C2959" s="177">
        <f ca="1">IF(COUNTA(G$2368:G2958)=1,"",OFFSET(C2959,-COUNTA(G$2368:G2958)+1,0))</f>
        <v>19</v>
      </c>
      <c r="D2959" s="166">
        <f t="shared" si="217"/>
        <v>109</v>
      </c>
      <c r="E2959" s="166">
        <f t="shared" ca="1" si="218"/>
        <v>1</v>
      </c>
      <c r="F2959" s="166">
        <f t="shared" ca="1" si="219"/>
        <v>27</v>
      </c>
      <c r="G2959" s="166"/>
      <c r="H2959" s="171" t="str">
        <f t="shared" ca="1" si="213"/>
        <v/>
      </c>
      <c r="I2959" s="171" t="str">
        <f t="shared" ca="1" si="214"/>
        <v/>
      </c>
      <c r="J2959" s="171" t="str">
        <f t="shared" ca="1" si="215"/>
        <v/>
      </c>
      <c r="K2959" s="171" t="str">
        <f t="shared" ca="1" si="216"/>
        <v/>
      </c>
      <c r="L2959" s="166"/>
      <c r="M2959" s="166"/>
      <c r="N2959" s="166"/>
      <c r="O2959" s="166"/>
      <c r="P2959" s="166">
        <f t="shared" ca="1" si="220"/>
        <v>0</v>
      </c>
      <c r="Q2959" s="166"/>
    </row>
    <row r="2960" spans="1:17">
      <c r="A2960" s="166" t="b">
        <f t="shared" ca="1" si="212"/>
        <v>0</v>
      </c>
      <c r="B2960" s="172" t="str">
        <f ca="1">IF(COUNTA(G$2368:G2959)=1,"",OFFSET(B2960,-COUNTA(G$2368:G2959)+1,0))</f>
        <v>a1b3p000006eF3sAAE</v>
      </c>
      <c r="C2960" s="177">
        <f ca="1">IF(COUNTA(G$2368:G2959)=1,"",OFFSET(C2960,-COUNTA(G$2368:G2959)+1,0))</f>
        <v>19</v>
      </c>
      <c r="D2960" s="166">
        <f t="shared" si="217"/>
        <v>110</v>
      </c>
      <c r="E2960" s="166">
        <f t="shared" ca="1" si="218"/>
        <v>2</v>
      </c>
      <c r="F2960" s="166">
        <f t="shared" ca="1" si="219"/>
        <v>27</v>
      </c>
      <c r="G2960" s="166"/>
      <c r="H2960" s="171" t="str">
        <f t="shared" ca="1" si="213"/>
        <v/>
      </c>
      <c r="I2960" s="171" t="str">
        <f t="shared" ca="1" si="214"/>
        <v/>
      </c>
      <c r="J2960" s="171" t="str">
        <f t="shared" ca="1" si="215"/>
        <v/>
      </c>
      <c r="K2960" s="171" t="str">
        <f t="shared" ca="1" si="216"/>
        <v/>
      </c>
      <c r="L2960" s="166"/>
      <c r="M2960" s="166"/>
      <c r="N2960" s="166"/>
      <c r="O2960" s="166"/>
      <c r="P2960" s="166">
        <f t="shared" ca="1" si="220"/>
        <v>0</v>
      </c>
      <c r="Q2960" s="166"/>
    </row>
    <row r="2961" spans="1:17">
      <c r="A2961" s="166" t="b">
        <f t="shared" ca="1" si="212"/>
        <v>0</v>
      </c>
      <c r="B2961" s="172" t="str">
        <f ca="1">IF(COUNTA(G$2368:G2960)=1,"",OFFSET(B2961,-COUNTA(G$2368:G2960)+1,0))</f>
        <v>a1b3p000006eF5AAAU</v>
      </c>
      <c r="C2961" s="177">
        <f ca="1">IF(COUNTA(G$2368:G2960)=1,"",OFFSET(C2961,-COUNTA(G$2368:G2960)+1,0))</f>
        <v>19</v>
      </c>
      <c r="D2961" s="166">
        <f t="shared" si="217"/>
        <v>111</v>
      </c>
      <c r="E2961" s="166">
        <f t="shared" ca="1" si="218"/>
        <v>3</v>
      </c>
      <c r="F2961" s="166">
        <f t="shared" ca="1" si="219"/>
        <v>27</v>
      </c>
      <c r="G2961" s="166"/>
      <c r="H2961" s="171" t="str">
        <f t="shared" ca="1" si="213"/>
        <v/>
      </c>
      <c r="I2961" s="171" t="str">
        <f t="shared" ca="1" si="214"/>
        <v/>
      </c>
      <c r="J2961" s="171" t="str">
        <f t="shared" ca="1" si="215"/>
        <v/>
      </c>
      <c r="K2961" s="171" t="str">
        <f t="shared" ca="1" si="216"/>
        <v/>
      </c>
      <c r="L2961" s="166"/>
      <c r="M2961" s="166"/>
      <c r="N2961" s="166"/>
      <c r="O2961" s="166"/>
      <c r="P2961" s="166">
        <f t="shared" ca="1" si="220"/>
        <v>0</v>
      </c>
      <c r="Q2961" s="166"/>
    </row>
    <row r="2962" spans="1:17">
      <c r="A2962" s="166" t="b">
        <f t="shared" ca="1" si="212"/>
        <v>0</v>
      </c>
      <c r="B2962" s="172" t="str">
        <f ca="1">IF(COUNTA(G$2368:G2961)=1,"",OFFSET(B2962,-COUNTA(G$2368:G2961)+1,0))</f>
        <v>a1b3p000006eF6SAAU</v>
      </c>
      <c r="C2962" s="177">
        <f ca="1">IF(COUNTA(G$2368:G2961)=1,"",OFFSET(C2962,-COUNTA(G$2368:G2961)+1,0))</f>
        <v>19</v>
      </c>
      <c r="D2962" s="166">
        <f t="shared" si="217"/>
        <v>112</v>
      </c>
      <c r="E2962" s="166">
        <f t="shared" ca="1" si="218"/>
        <v>4</v>
      </c>
      <c r="F2962" s="166">
        <f t="shared" ca="1" si="219"/>
        <v>27</v>
      </c>
      <c r="G2962" s="166"/>
      <c r="H2962" s="171" t="str">
        <f t="shared" ca="1" si="213"/>
        <v/>
      </c>
      <c r="I2962" s="171" t="str">
        <f t="shared" ca="1" si="214"/>
        <v/>
      </c>
      <c r="J2962" s="171" t="str">
        <f t="shared" ca="1" si="215"/>
        <v/>
      </c>
      <c r="K2962" s="171" t="str">
        <f t="shared" ca="1" si="216"/>
        <v/>
      </c>
      <c r="L2962" s="166"/>
      <c r="M2962" s="166"/>
      <c r="N2962" s="166"/>
      <c r="O2962" s="166"/>
      <c r="P2962" s="166">
        <f t="shared" ca="1" si="220"/>
        <v>0</v>
      </c>
      <c r="Q2962" s="166"/>
    </row>
    <row r="2963" spans="1:17">
      <c r="A2963" s="166" t="b">
        <f t="shared" ca="1" si="212"/>
        <v>0</v>
      </c>
      <c r="B2963" s="172" t="str">
        <f ca="1">IF(COUNTA(G$2368:G2962)=1,"",OFFSET(B2963,-COUNTA(G$2368:G2962)+1,0))</f>
        <v>a1b3p000006eF7kAAE</v>
      </c>
      <c r="C2963" s="177">
        <f ca="1">IF(COUNTA(G$2368:G2962)=1,"",OFFSET(C2963,-COUNTA(G$2368:G2962)+1,0))</f>
        <v>19</v>
      </c>
      <c r="D2963" s="166">
        <f t="shared" si="217"/>
        <v>113</v>
      </c>
      <c r="E2963" s="166">
        <f t="shared" ca="1" si="218"/>
        <v>5</v>
      </c>
      <c r="F2963" s="166">
        <f t="shared" ca="1" si="219"/>
        <v>27</v>
      </c>
      <c r="G2963" s="166"/>
      <c r="H2963" s="171" t="str">
        <f t="shared" ca="1" si="213"/>
        <v/>
      </c>
      <c r="I2963" s="171" t="str">
        <f t="shared" ca="1" si="214"/>
        <v/>
      </c>
      <c r="J2963" s="171" t="str">
        <f t="shared" ca="1" si="215"/>
        <v/>
      </c>
      <c r="K2963" s="171" t="str">
        <f t="shared" ca="1" si="216"/>
        <v/>
      </c>
      <c r="L2963" s="166"/>
      <c r="M2963" s="166"/>
      <c r="N2963" s="166"/>
      <c r="O2963" s="166"/>
      <c r="P2963" s="166">
        <f t="shared" ca="1" si="220"/>
        <v>0</v>
      </c>
      <c r="Q2963" s="166"/>
    </row>
    <row r="2964" spans="1:17">
      <c r="A2964" s="166" t="b">
        <f t="shared" ca="1" si="212"/>
        <v>0</v>
      </c>
      <c r="B2964" s="172" t="str">
        <f ca="1">IF(COUNTA(G$2368:G2963)=1,"",OFFSET(B2964,-COUNTA(G$2368:G2963)+1,0))</f>
        <v>a1b3p000006eF92AAE</v>
      </c>
      <c r="C2964" s="177">
        <f ca="1">IF(COUNTA(G$2368:G2963)=1,"",OFFSET(C2964,-COUNTA(G$2368:G2963)+1,0))</f>
        <v>19</v>
      </c>
      <c r="D2964" s="166">
        <f t="shared" si="217"/>
        <v>114</v>
      </c>
      <c r="E2964" s="166">
        <f t="shared" ca="1" si="218"/>
        <v>6</v>
      </c>
      <c r="F2964" s="166">
        <f t="shared" ca="1" si="219"/>
        <v>27</v>
      </c>
      <c r="G2964" s="166"/>
      <c r="H2964" s="171" t="str">
        <f t="shared" ca="1" si="213"/>
        <v/>
      </c>
      <c r="I2964" s="171" t="str">
        <f t="shared" ca="1" si="214"/>
        <v/>
      </c>
      <c r="J2964" s="171" t="str">
        <f t="shared" ca="1" si="215"/>
        <v/>
      </c>
      <c r="K2964" s="171" t="str">
        <f t="shared" ca="1" si="216"/>
        <v/>
      </c>
      <c r="L2964" s="166"/>
      <c r="M2964" s="166"/>
      <c r="N2964" s="166"/>
      <c r="O2964" s="166"/>
      <c r="P2964" s="166">
        <f t="shared" ca="1" si="220"/>
        <v>0</v>
      </c>
      <c r="Q2964" s="166"/>
    </row>
    <row r="2965" spans="1:17">
      <c r="A2965" s="166" t="b">
        <f t="shared" ca="1" si="212"/>
        <v>0</v>
      </c>
      <c r="B2965" s="172" t="str">
        <f ca="1">IF(COUNTA(G$2368:G2964)=1,"",OFFSET(B2965,-COUNTA(G$2368:G2964)+1,0))</f>
        <v>a1b3p000006eF2bAAE</v>
      </c>
      <c r="C2965" s="177">
        <f ca="1">IF(COUNTA(G$2368:G2964)=1,"",OFFSET(C2965,-COUNTA(G$2368:G2964)+1,0))</f>
        <v>20</v>
      </c>
      <c r="D2965" s="166">
        <f t="shared" si="217"/>
        <v>115</v>
      </c>
      <c r="E2965" s="166">
        <f t="shared" ca="1" si="218"/>
        <v>1</v>
      </c>
      <c r="F2965" s="166">
        <f t="shared" ca="1" si="219"/>
        <v>28</v>
      </c>
      <c r="G2965" s="166"/>
      <c r="H2965" s="171" t="str">
        <f t="shared" ca="1" si="213"/>
        <v/>
      </c>
      <c r="I2965" s="171" t="str">
        <f t="shared" ca="1" si="214"/>
        <v/>
      </c>
      <c r="J2965" s="171" t="str">
        <f t="shared" ca="1" si="215"/>
        <v/>
      </c>
      <c r="K2965" s="171" t="str">
        <f t="shared" ca="1" si="216"/>
        <v/>
      </c>
      <c r="L2965" s="166"/>
      <c r="M2965" s="166"/>
      <c r="N2965" s="166"/>
      <c r="O2965" s="166"/>
      <c r="P2965" s="166">
        <f t="shared" ca="1" si="220"/>
        <v>0</v>
      </c>
      <c r="Q2965" s="166"/>
    </row>
    <row r="2966" spans="1:17">
      <c r="A2966" s="166" t="b">
        <f t="shared" ca="1" si="212"/>
        <v>0</v>
      </c>
      <c r="B2966" s="172" t="str">
        <f ca="1">IF(COUNTA(G$2368:G2965)=1,"",OFFSET(B2966,-COUNTA(G$2368:G2965)+1,0))</f>
        <v>a1b3p000006eF3tAAE</v>
      </c>
      <c r="C2966" s="177">
        <f ca="1">IF(COUNTA(G$2368:G2965)=1,"",OFFSET(C2966,-COUNTA(G$2368:G2965)+1,0))</f>
        <v>20</v>
      </c>
      <c r="D2966" s="166">
        <f t="shared" si="217"/>
        <v>116</v>
      </c>
      <c r="E2966" s="166">
        <f t="shared" ca="1" si="218"/>
        <v>2</v>
      </c>
      <c r="F2966" s="166">
        <f t="shared" ca="1" si="219"/>
        <v>28</v>
      </c>
      <c r="G2966" s="166"/>
      <c r="H2966" s="171" t="str">
        <f t="shared" ca="1" si="213"/>
        <v/>
      </c>
      <c r="I2966" s="171" t="str">
        <f t="shared" ca="1" si="214"/>
        <v/>
      </c>
      <c r="J2966" s="171" t="str">
        <f t="shared" ca="1" si="215"/>
        <v/>
      </c>
      <c r="K2966" s="171" t="str">
        <f t="shared" ca="1" si="216"/>
        <v/>
      </c>
      <c r="L2966" s="166"/>
      <c r="M2966" s="166"/>
      <c r="N2966" s="166"/>
      <c r="O2966" s="166"/>
      <c r="P2966" s="166">
        <f t="shared" ca="1" si="220"/>
        <v>0</v>
      </c>
      <c r="Q2966" s="166"/>
    </row>
    <row r="2967" spans="1:17">
      <c r="A2967" s="166" t="b">
        <f t="shared" ca="1" si="212"/>
        <v>0</v>
      </c>
      <c r="B2967" s="172" t="str">
        <f ca="1">IF(COUNTA(G$2368:G2966)=1,"",OFFSET(B2967,-COUNTA(G$2368:G2966)+1,0))</f>
        <v>a1b3p000006eF5BAAU</v>
      </c>
      <c r="C2967" s="177">
        <f ca="1">IF(COUNTA(G$2368:G2966)=1,"",OFFSET(C2967,-COUNTA(G$2368:G2966)+1,0))</f>
        <v>20</v>
      </c>
      <c r="D2967" s="166">
        <f t="shared" si="217"/>
        <v>117</v>
      </c>
      <c r="E2967" s="166">
        <f t="shared" ca="1" si="218"/>
        <v>3</v>
      </c>
      <c r="F2967" s="166">
        <f t="shared" ca="1" si="219"/>
        <v>28</v>
      </c>
      <c r="G2967" s="166"/>
      <c r="H2967" s="171" t="str">
        <f t="shared" ca="1" si="213"/>
        <v/>
      </c>
      <c r="I2967" s="171" t="str">
        <f t="shared" ca="1" si="214"/>
        <v/>
      </c>
      <c r="J2967" s="171" t="str">
        <f t="shared" ca="1" si="215"/>
        <v/>
      </c>
      <c r="K2967" s="171" t="str">
        <f t="shared" ca="1" si="216"/>
        <v/>
      </c>
      <c r="L2967" s="166"/>
      <c r="M2967" s="166"/>
      <c r="N2967" s="166"/>
      <c r="O2967" s="166"/>
      <c r="P2967" s="166">
        <f t="shared" ca="1" si="220"/>
        <v>0</v>
      </c>
      <c r="Q2967" s="166"/>
    </row>
    <row r="2968" spans="1:17">
      <c r="A2968" s="166" t="b">
        <f t="shared" ca="1" si="212"/>
        <v>0</v>
      </c>
      <c r="B2968" s="172" t="str">
        <f ca="1">IF(COUNTA(G$2368:G2967)=1,"",OFFSET(B2968,-COUNTA(G$2368:G2967)+1,0))</f>
        <v>a1b3p000006eF6TAAU</v>
      </c>
      <c r="C2968" s="177">
        <f ca="1">IF(COUNTA(G$2368:G2967)=1,"",OFFSET(C2968,-COUNTA(G$2368:G2967)+1,0))</f>
        <v>20</v>
      </c>
      <c r="D2968" s="166">
        <f t="shared" si="217"/>
        <v>118</v>
      </c>
      <c r="E2968" s="166">
        <f t="shared" ca="1" si="218"/>
        <v>4</v>
      </c>
      <c r="F2968" s="166">
        <f t="shared" ca="1" si="219"/>
        <v>28</v>
      </c>
      <c r="G2968" s="166"/>
      <c r="H2968" s="171" t="str">
        <f t="shared" ca="1" si="213"/>
        <v/>
      </c>
      <c r="I2968" s="171" t="str">
        <f t="shared" ca="1" si="214"/>
        <v/>
      </c>
      <c r="J2968" s="171" t="str">
        <f t="shared" ca="1" si="215"/>
        <v/>
      </c>
      <c r="K2968" s="171" t="str">
        <f t="shared" ca="1" si="216"/>
        <v/>
      </c>
      <c r="L2968" s="166"/>
      <c r="M2968" s="166"/>
      <c r="N2968" s="166"/>
      <c r="O2968" s="166"/>
      <c r="P2968" s="166">
        <f t="shared" ca="1" si="220"/>
        <v>0</v>
      </c>
      <c r="Q2968" s="166"/>
    </row>
    <row r="2969" spans="1:17">
      <c r="A2969" s="166" t="b">
        <f t="shared" ca="1" si="212"/>
        <v>0</v>
      </c>
      <c r="B2969" s="172" t="str">
        <f ca="1">IF(COUNTA(G$2368:G2968)=1,"",OFFSET(B2969,-COUNTA(G$2368:G2968)+1,0))</f>
        <v>a1b3p000006eF7lAAE</v>
      </c>
      <c r="C2969" s="177">
        <f ca="1">IF(COUNTA(G$2368:G2968)=1,"",OFFSET(C2969,-COUNTA(G$2368:G2968)+1,0))</f>
        <v>20</v>
      </c>
      <c r="D2969" s="166">
        <f t="shared" si="217"/>
        <v>119</v>
      </c>
      <c r="E2969" s="166">
        <f t="shared" ca="1" si="218"/>
        <v>5</v>
      </c>
      <c r="F2969" s="166">
        <f t="shared" ca="1" si="219"/>
        <v>28</v>
      </c>
      <c r="G2969" s="166"/>
      <c r="H2969" s="171" t="str">
        <f t="shared" ca="1" si="213"/>
        <v/>
      </c>
      <c r="I2969" s="171" t="str">
        <f t="shared" ca="1" si="214"/>
        <v/>
      </c>
      <c r="J2969" s="171" t="str">
        <f t="shared" ca="1" si="215"/>
        <v/>
      </c>
      <c r="K2969" s="171" t="str">
        <f t="shared" ca="1" si="216"/>
        <v/>
      </c>
      <c r="L2969" s="166"/>
      <c r="M2969" s="166"/>
      <c r="N2969" s="166"/>
      <c r="O2969" s="166"/>
      <c r="P2969" s="166">
        <f t="shared" ca="1" si="220"/>
        <v>0</v>
      </c>
      <c r="Q2969" s="166"/>
    </row>
    <row r="2970" spans="1:17">
      <c r="A2970" s="166" t="b">
        <f t="shared" ca="1" si="212"/>
        <v>0</v>
      </c>
      <c r="B2970" s="172" t="str">
        <f ca="1">IF(COUNTA(G$2368:G2969)=1,"",OFFSET(B2970,-COUNTA(G$2368:G2969)+1,0))</f>
        <v>a1b3p000006eF93AAE</v>
      </c>
      <c r="C2970" s="177">
        <f ca="1">IF(COUNTA(G$2368:G2969)=1,"",OFFSET(C2970,-COUNTA(G$2368:G2969)+1,0))</f>
        <v>20</v>
      </c>
      <c r="D2970" s="166">
        <f t="shared" si="217"/>
        <v>120</v>
      </c>
      <c r="E2970" s="166">
        <f t="shared" ca="1" si="218"/>
        <v>6</v>
      </c>
      <c r="F2970" s="166">
        <f t="shared" ca="1" si="219"/>
        <v>28</v>
      </c>
      <c r="G2970" s="166"/>
      <c r="H2970" s="171" t="str">
        <f t="shared" ca="1" si="213"/>
        <v/>
      </c>
      <c r="I2970" s="171" t="str">
        <f t="shared" ca="1" si="214"/>
        <v/>
      </c>
      <c r="J2970" s="171" t="str">
        <f t="shared" ca="1" si="215"/>
        <v/>
      </c>
      <c r="K2970" s="171" t="str">
        <f t="shared" ca="1" si="216"/>
        <v/>
      </c>
      <c r="L2970" s="166"/>
      <c r="M2970" s="166"/>
      <c r="N2970" s="166"/>
      <c r="O2970" s="166"/>
      <c r="P2970" s="166">
        <f t="shared" ca="1" si="220"/>
        <v>0</v>
      </c>
      <c r="Q2970" s="166"/>
    </row>
    <row r="2971" spans="1:17">
      <c r="A2971" s="166" t="b">
        <f t="shared" ca="1" si="212"/>
        <v>0</v>
      </c>
      <c r="B2971" s="172" t="str">
        <f ca="1">IF(COUNTA(G$2368:G2970)=1,"",OFFSET(B2971,-COUNTA(G$2368:G2970)+1,0))</f>
        <v>a1b3p000006eF2cAAE</v>
      </c>
      <c r="C2971" s="177">
        <f ca="1">IF(COUNTA(G$2368:G2970)=1,"",OFFSET(C2971,-COUNTA(G$2368:G2970)+1,0))</f>
        <v>21</v>
      </c>
      <c r="D2971" s="166">
        <f t="shared" si="217"/>
        <v>121</v>
      </c>
      <c r="E2971" s="166">
        <f t="shared" ca="1" si="218"/>
        <v>1</v>
      </c>
      <c r="F2971" s="166">
        <f t="shared" ca="1" si="219"/>
        <v>29</v>
      </c>
      <c r="G2971" s="166"/>
      <c r="H2971" s="171" t="str">
        <f t="shared" ca="1" si="213"/>
        <v/>
      </c>
      <c r="I2971" s="171" t="str">
        <f t="shared" ca="1" si="214"/>
        <v/>
      </c>
      <c r="J2971" s="171" t="str">
        <f t="shared" ca="1" si="215"/>
        <v/>
      </c>
      <c r="K2971" s="171" t="str">
        <f t="shared" ca="1" si="216"/>
        <v/>
      </c>
      <c r="L2971" s="166"/>
      <c r="M2971" s="166"/>
      <c r="N2971" s="166"/>
      <c r="O2971" s="166"/>
      <c r="P2971" s="166">
        <f t="shared" ca="1" si="220"/>
        <v>0</v>
      </c>
      <c r="Q2971" s="166"/>
    </row>
    <row r="2972" spans="1:17">
      <c r="A2972" s="166" t="b">
        <f t="shared" ca="1" si="212"/>
        <v>0</v>
      </c>
      <c r="B2972" s="172" t="str">
        <f ca="1">IF(COUNTA(G$2368:G2971)=1,"",OFFSET(B2972,-COUNTA(G$2368:G2971)+1,0))</f>
        <v>a1b3p000006eF3uAAE</v>
      </c>
      <c r="C2972" s="177">
        <f ca="1">IF(COUNTA(G$2368:G2971)=1,"",OFFSET(C2972,-COUNTA(G$2368:G2971)+1,0))</f>
        <v>21</v>
      </c>
      <c r="D2972" s="166">
        <f t="shared" si="217"/>
        <v>122</v>
      </c>
      <c r="E2972" s="166">
        <f t="shared" ca="1" si="218"/>
        <v>2</v>
      </c>
      <c r="F2972" s="166">
        <f t="shared" ca="1" si="219"/>
        <v>29</v>
      </c>
      <c r="G2972" s="166"/>
      <c r="H2972" s="171" t="str">
        <f t="shared" ca="1" si="213"/>
        <v/>
      </c>
      <c r="I2972" s="171" t="str">
        <f t="shared" ca="1" si="214"/>
        <v/>
      </c>
      <c r="J2972" s="171" t="str">
        <f t="shared" ca="1" si="215"/>
        <v/>
      </c>
      <c r="K2972" s="171" t="str">
        <f t="shared" ca="1" si="216"/>
        <v/>
      </c>
      <c r="L2972" s="166"/>
      <c r="M2972" s="166"/>
      <c r="N2972" s="166"/>
      <c r="O2972" s="166"/>
      <c r="P2972" s="166">
        <f t="shared" ca="1" si="220"/>
        <v>0</v>
      </c>
      <c r="Q2972" s="166"/>
    </row>
    <row r="2973" spans="1:17">
      <c r="A2973" s="166" t="b">
        <f t="shared" ca="1" si="212"/>
        <v>0</v>
      </c>
      <c r="B2973" s="172" t="str">
        <f ca="1">IF(COUNTA(G$2368:G2972)=1,"",OFFSET(B2973,-COUNTA(G$2368:G2972)+1,0))</f>
        <v>a1b3p000006eF5CAAU</v>
      </c>
      <c r="C2973" s="177">
        <f ca="1">IF(COUNTA(G$2368:G2972)=1,"",OFFSET(C2973,-COUNTA(G$2368:G2972)+1,0))</f>
        <v>21</v>
      </c>
      <c r="D2973" s="166">
        <f t="shared" si="217"/>
        <v>123</v>
      </c>
      <c r="E2973" s="166">
        <f t="shared" ca="1" si="218"/>
        <v>3</v>
      </c>
      <c r="F2973" s="166">
        <f t="shared" ca="1" si="219"/>
        <v>29</v>
      </c>
      <c r="G2973" s="166"/>
      <c r="H2973" s="171" t="str">
        <f t="shared" ca="1" si="213"/>
        <v/>
      </c>
      <c r="I2973" s="171" t="str">
        <f t="shared" ca="1" si="214"/>
        <v/>
      </c>
      <c r="J2973" s="171" t="str">
        <f t="shared" ca="1" si="215"/>
        <v/>
      </c>
      <c r="K2973" s="171" t="str">
        <f t="shared" ca="1" si="216"/>
        <v/>
      </c>
      <c r="L2973" s="166"/>
      <c r="M2973" s="166"/>
      <c r="N2973" s="166"/>
      <c r="O2973" s="166"/>
      <c r="P2973" s="166">
        <f t="shared" ca="1" si="220"/>
        <v>0</v>
      </c>
      <c r="Q2973" s="166"/>
    </row>
    <row r="2974" spans="1:17">
      <c r="A2974" s="166" t="b">
        <f t="shared" ca="1" si="212"/>
        <v>0</v>
      </c>
      <c r="B2974" s="172" t="str">
        <f ca="1">IF(COUNTA(G$2368:G2973)=1,"",OFFSET(B2974,-COUNTA(G$2368:G2973)+1,0))</f>
        <v>a1b3p000006eF6UAAU</v>
      </c>
      <c r="C2974" s="177">
        <f ca="1">IF(COUNTA(G$2368:G2973)=1,"",OFFSET(C2974,-COUNTA(G$2368:G2973)+1,0))</f>
        <v>21</v>
      </c>
      <c r="D2974" s="166">
        <f t="shared" si="217"/>
        <v>124</v>
      </c>
      <c r="E2974" s="166">
        <f t="shared" ca="1" si="218"/>
        <v>4</v>
      </c>
      <c r="F2974" s="166">
        <f t="shared" ca="1" si="219"/>
        <v>29</v>
      </c>
      <c r="G2974" s="166"/>
      <c r="H2974" s="171" t="str">
        <f t="shared" ca="1" si="213"/>
        <v/>
      </c>
      <c r="I2974" s="171" t="str">
        <f t="shared" ca="1" si="214"/>
        <v/>
      </c>
      <c r="J2974" s="171" t="str">
        <f t="shared" ca="1" si="215"/>
        <v/>
      </c>
      <c r="K2974" s="171" t="str">
        <f t="shared" ca="1" si="216"/>
        <v/>
      </c>
      <c r="L2974" s="166"/>
      <c r="M2974" s="166"/>
      <c r="N2974" s="166"/>
      <c r="O2974" s="166"/>
      <c r="P2974" s="166">
        <f t="shared" ca="1" si="220"/>
        <v>0</v>
      </c>
      <c r="Q2974" s="166"/>
    </row>
    <row r="2975" spans="1:17">
      <c r="A2975" s="166" t="b">
        <f t="shared" ca="1" si="212"/>
        <v>0</v>
      </c>
      <c r="B2975" s="172" t="str">
        <f ca="1">IF(COUNTA(G$2368:G2974)=1,"",OFFSET(B2975,-COUNTA(G$2368:G2974)+1,0))</f>
        <v>a1b3p000006eF7mAAE</v>
      </c>
      <c r="C2975" s="177">
        <f ca="1">IF(COUNTA(G$2368:G2974)=1,"",OFFSET(C2975,-COUNTA(G$2368:G2974)+1,0))</f>
        <v>21</v>
      </c>
      <c r="D2975" s="166">
        <f t="shared" si="217"/>
        <v>125</v>
      </c>
      <c r="E2975" s="166">
        <f t="shared" ca="1" si="218"/>
        <v>5</v>
      </c>
      <c r="F2975" s="166">
        <f t="shared" ca="1" si="219"/>
        <v>29</v>
      </c>
      <c r="G2975" s="166"/>
      <c r="H2975" s="171" t="str">
        <f t="shared" ca="1" si="213"/>
        <v/>
      </c>
      <c r="I2975" s="171" t="str">
        <f t="shared" ca="1" si="214"/>
        <v/>
      </c>
      <c r="J2975" s="171" t="str">
        <f t="shared" ca="1" si="215"/>
        <v/>
      </c>
      <c r="K2975" s="171" t="str">
        <f t="shared" ca="1" si="216"/>
        <v/>
      </c>
      <c r="L2975" s="166"/>
      <c r="M2975" s="166"/>
      <c r="N2975" s="166"/>
      <c r="O2975" s="166"/>
      <c r="P2975" s="166">
        <f t="shared" ca="1" si="220"/>
        <v>0</v>
      </c>
      <c r="Q2975" s="166"/>
    </row>
    <row r="2976" spans="1:17">
      <c r="A2976" s="166" t="b">
        <f t="shared" ca="1" si="212"/>
        <v>0</v>
      </c>
      <c r="B2976" s="172" t="str">
        <f ca="1">IF(COUNTA(G$2368:G2975)=1,"",OFFSET(B2976,-COUNTA(G$2368:G2975)+1,0))</f>
        <v>a1b3p000006eF94AAE</v>
      </c>
      <c r="C2976" s="177">
        <f ca="1">IF(COUNTA(G$2368:G2975)=1,"",OFFSET(C2976,-COUNTA(G$2368:G2975)+1,0))</f>
        <v>21</v>
      </c>
      <c r="D2976" s="166">
        <f t="shared" si="217"/>
        <v>126</v>
      </c>
      <c r="E2976" s="166">
        <f t="shared" ca="1" si="218"/>
        <v>6</v>
      </c>
      <c r="F2976" s="166">
        <f t="shared" ca="1" si="219"/>
        <v>29</v>
      </c>
      <c r="G2976" s="166"/>
      <c r="H2976" s="171" t="str">
        <f t="shared" ca="1" si="213"/>
        <v/>
      </c>
      <c r="I2976" s="171" t="str">
        <f t="shared" ca="1" si="214"/>
        <v/>
      </c>
      <c r="J2976" s="171" t="str">
        <f t="shared" ca="1" si="215"/>
        <v/>
      </c>
      <c r="K2976" s="171" t="str">
        <f t="shared" ca="1" si="216"/>
        <v/>
      </c>
      <c r="L2976" s="166"/>
      <c r="M2976" s="166"/>
      <c r="N2976" s="166"/>
      <c r="O2976" s="166"/>
      <c r="P2976" s="166">
        <f t="shared" ca="1" si="220"/>
        <v>0</v>
      </c>
      <c r="Q2976" s="166"/>
    </row>
    <row r="2977" spans="1:17">
      <c r="A2977" s="166" t="b">
        <f t="shared" ca="1" si="212"/>
        <v>0</v>
      </c>
      <c r="B2977" s="172" t="str">
        <f ca="1">IF(COUNTA(G$2368:G2976)=1,"",OFFSET(B2977,-COUNTA(G$2368:G2976)+1,0))</f>
        <v>a1b3p000006eF2dAAE</v>
      </c>
      <c r="C2977" s="177">
        <f ca="1">IF(COUNTA(G$2368:G2976)=1,"",OFFSET(C2977,-COUNTA(G$2368:G2976)+1,0))</f>
        <v>22</v>
      </c>
      <c r="D2977" s="166">
        <f t="shared" si="217"/>
        <v>127</v>
      </c>
      <c r="E2977" s="166">
        <f t="shared" ca="1" si="218"/>
        <v>1</v>
      </c>
      <c r="F2977" s="166">
        <f t="shared" ca="1" si="219"/>
        <v>30</v>
      </c>
      <c r="G2977" s="166"/>
      <c r="H2977" s="171" t="str">
        <f t="shared" ca="1" si="213"/>
        <v/>
      </c>
      <c r="I2977" s="171" t="str">
        <f t="shared" ca="1" si="214"/>
        <v/>
      </c>
      <c r="J2977" s="171" t="str">
        <f t="shared" ca="1" si="215"/>
        <v/>
      </c>
      <c r="K2977" s="171" t="str">
        <f t="shared" ca="1" si="216"/>
        <v/>
      </c>
      <c r="L2977" s="166"/>
      <c r="M2977" s="166"/>
      <c r="N2977" s="166"/>
      <c r="O2977" s="166"/>
      <c r="P2977" s="166">
        <f t="shared" ca="1" si="220"/>
        <v>0</v>
      </c>
      <c r="Q2977" s="166"/>
    </row>
    <row r="2978" spans="1:17">
      <c r="A2978" s="166" t="b">
        <f t="shared" ca="1" si="212"/>
        <v>0</v>
      </c>
      <c r="B2978" s="172" t="str">
        <f ca="1">IF(COUNTA(G$2368:G2977)=1,"",OFFSET(B2978,-COUNTA(G$2368:G2977)+1,0))</f>
        <v>a1b3p000006eF3vAAE</v>
      </c>
      <c r="C2978" s="177">
        <f ca="1">IF(COUNTA(G$2368:G2977)=1,"",OFFSET(C2978,-COUNTA(G$2368:G2977)+1,0))</f>
        <v>22</v>
      </c>
      <c r="D2978" s="166">
        <f t="shared" si="217"/>
        <v>128</v>
      </c>
      <c r="E2978" s="166">
        <f t="shared" ca="1" si="218"/>
        <v>2</v>
      </c>
      <c r="F2978" s="166">
        <f t="shared" ca="1" si="219"/>
        <v>30</v>
      </c>
      <c r="G2978" s="166"/>
      <c r="H2978" s="171" t="str">
        <f t="shared" ca="1" si="213"/>
        <v/>
      </c>
      <c r="I2978" s="171" t="str">
        <f t="shared" ca="1" si="214"/>
        <v/>
      </c>
      <c r="J2978" s="171" t="str">
        <f t="shared" ca="1" si="215"/>
        <v/>
      </c>
      <c r="K2978" s="171" t="str">
        <f t="shared" ca="1" si="216"/>
        <v/>
      </c>
      <c r="L2978" s="166"/>
      <c r="M2978" s="166"/>
      <c r="N2978" s="166"/>
      <c r="O2978" s="166"/>
      <c r="P2978" s="166">
        <f t="shared" ca="1" si="220"/>
        <v>0</v>
      </c>
      <c r="Q2978" s="166"/>
    </row>
    <row r="2979" spans="1:17">
      <c r="A2979" s="166" t="b">
        <f t="shared" ref="A2979:A3042" ca="1" si="221">IF(OR(AND(J2979&lt;&gt;"",J2979&lt;&gt;0),AND(K2979&lt;&gt;"",K2979&lt;&gt;0)),TRUE,FALSE)</f>
        <v>0</v>
      </c>
      <c r="B2979" s="172" t="str">
        <f ca="1">IF(COUNTA(G$2368:G2978)=1,"",OFFSET(B2979,-COUNTA(G$2368:G2978)+1,0))</f>
        <v>a1b3p000006eF5DAAU</v>
      </c>
      <c r="C2979" s="177">
        <f ca="1">IF(COUNTA(G$2368:G2978)=1,"",OFFSET(C2979,-COUNTA(G$2368:G2978)+1,0))</f>
        <v>22</v>
      </c>
      <c r="D2979" s="166">
        <f t="shared" si="217"/>
        <v>129</v>
      </c>
      <c r="E2979" s="166">
        <f t="shared" ca="1" si="218"/>
        <v>3</v>
      </c>
      <c r="F2979" s="166">
        <f t="shared" ca="1" si="219"/>
        <v>30</v>
      </c>
      <c r="G2979" s="166"/>
      <c r="H2979" s="171" t="str">
        <f t="shared" ref="H2979:H3042" ca="1" si="222">CHOOSE(E2979,IFERROR(IF(INDIRECT("'WPTM - Section F'!K"&amp;F2979)=0,"",INDIRECT("'WPTM - Section F'!K"&amp;$F2979)),""),IFERROR(IF(INDIRECT("'WPTM - Section F'!O"&amp;F2979)=0,"",INDIRECT("'WPTM - Section F'!O"&amp;$F2979)),""),IFERROR(IF(INDIRECT("'WPTM - Section F'!S"&amp;F2979)=0,"",INDIRECT("'WPTM - Section F'!S"&amp;$F2979)),""),IFERROR(IF(INDIRECT("'WPTM - Section F'!W"&amp;F2979)=0,"",INDIRECT("'WPTM - Section F'!W"&amp;$F2979)),""),IFERROR(IF(INDIRECT("'WPTM - Section F'!AA"&amp;F2979)=0,"",INDIRECT("'WPTM - Section F'!AA"&amp;$F2979)),""),IFERROR(IF(INDIRECT("'WPTM - Section F'!AE"&amp;F2979)=0,"",INDIRECT("'WPTM - Section F'!AE"&amp;$F2979)),""),IFERROR(IF(INDIRECT("'WPTM - Section F'!AI"&amp;F2979)=0,"",INDIRECT("'WPTM - Section F'!AI"&amp;$F2979)),""),IFERROR(IF(INDIRECT("'WPTM - Section F'!AM"&amp;F2979)=0,"",INDIRECT("'WPTM - Section F'!AM"&amp;$F2979)),""),)</f>
        <v/>
      </c>
      <c r="I2979" s="171" t="str">
        <f t="shared" ref="I2979:I3042" ca="1" si="223">CHOOSE(E2979,IFERROR(IF(INDIRECT("'WPTM - Section F'!J"&amp;F2979)=0,"",INDIRECT("'WPTM - Section F'!J"&amp;$F2979)),""),IFERROR(IF(INDIRECT("'WPTM - Section F'!N"&amp;F2979)=0,"",INDIRECT("'WPTM - Section F'!N"&amp;$F2979)),""),IFERROR(IF(INDIRECT("'WPTM - Section F'!R"&amp;F2979)=0,"",INDIRECT("'WPTM - Section F'!R"&amp;$F2979)),""),IFERROR(IF(INDIRECT("'WPTM - Section F'!V"&amp;F2979)=0,"",INDIRECT("'WPTM - Section F'!V"&amp;$F2979)),""),IFERROR(IF(INDIRECT("'WPTM - Section F'!Z"&amp;F2979)=0,"",INDIRECT("'WPTM - Section F'!Z"&amp;$F2979)),""),IFERROR(IF(INDIRECT("'WPTM - Section F'!AD"&amp;F2979)=0,"",INDIRECT("'WPTM - Section F'!AD"&amp;$F2979)),""),IFERROR(IF(INDIRECT("'WPTM - Section F'!AH"&amp;F2979)=0,"",INDIRECT("'WPTM - Section F'!AH"&amp;$F2979)),""),IFERROR(IF(INDIRECT("'WPTM - Section F'!AL"&amp;F2979)=0,"",INDIRECT("'WPTM - Section F'!AL"&amp;$F2979)),""),)</f>
        <v/>
      </c>
      <c r="J2979" s="171" t="str">
        <f t="shared" ref="J2979:J3042" ca="1" si="224">CHOOSE(E2979,IFERROR(IF(INDIRECT("'WPTM - Section F'!H"&amp;F2979)=0,"",INDIRECT("'WPTM - Section F'!H"&amp;$F2979)),""),IFERROR(IF(INDIRECT("'WPTM - Section F'!L"&amp;F2979)=0,"",INDIRECT("'WPTM - Section F'!L"&amp;$F2979)),""),IFERROR(IF(INDIRECT("'WPTM - Section F'!P"&amp;F2979)=0,"",INDIRECT("'WPTM - Section F'!P"&amp;$F2979)),""),IFERROR(IF(INDIRECT("'WPTM - Section F'!T"&amp;F2979)=0,"",INDIRECT("'WPTM - Section F'!T"&amp;$F2979)),""),IFERROR(IF(INDIRECT("'WPTM - Section F'!X"&amp;F2979)=0,"",INDIRECT("'WPTM - Section F'!X"&amp;$F2979)),""),IFERROR(IF(INDIRECT("'WPTM - Section F'!AB"&amp;F2979)=0,"",INDIRECT("'WPTM - Section F'!AB"&amp;$F2979)),""),IFERROR(IF(INDIRECT("'WPTM - Section F'!AF"&amp;F2979)=0,"",INDIRECT("'WPTM - Section F'!AF"&amp;$F2979)),""),IFERROR(IF(INDIRECT("'WPTM - Section F'!AJ"&amp;F2979)=0,"",INDIRECT("'WPTM - Section F'!AJ"&amp;$F2979)),""),)</f>
        <v/>
      </c>
      <c r="K2979" s="171" t="str">
        <f t="shared" ref="K2979:K3042" ca="1" si="225">CHOOSE(E2979,IFERROR(IF(INDIRECT("'WPTM - Section F'!I"&amp;F2979)=0,"",INDIRECT("'WPTM - Section F'!I"&amp;$F2979)),""),IFERROR(IF(INDIRECT("'WPTM - Section F'!M"&amp;F2979)=0,"",INDIRECT("'WPTM - Section F'!M"&amp;$F2979)),""),IFERROR(IF(INDIRECT("'WPTM - Section F'!Q"&amp;F2979)=0,"",INDIRECT("'WPTM - Section F'!Q"&amp;$F2979)),""),IFERROR(IF(INDIRECT("'WPTM - Section F'!U"&amp;F2979)=0,"",INDIRECT("'WPTM - Section F'!U"&amp;$F2979)),""),IFERROR(IF(INDIRECT("'WPTM - Section F'!Y"&amp;F2979)=0,"",INDIRECT("'WPTM - Section F'!Y"&amp;$F2979)),""),IFERROR(IF(INDIRECT("'WPTM - Section F'!AC"&amp;F2979)=0,"",INDIRECT("'WPTM - Section F'!AC"&amp;$F2979)),""),IFERROR(IF(INDIRECT("'WPTM - Section F'!AG"&amp;F2979)=0,"",INDIRECT("'WPTM - Section F'!AG"&amp;$F2979)),""),IFERROR(IF(INDIRECT("'WPTM - Section F'!AK"&amp;F2979)=0,"",INDIRECT("'WPTM - Section F'!AK"&amp;$F2979)),""),)</f>
        <v/>
      </c>
      <c r="L2979" s="166"/>
      <c r="M2979" s="166"/>
      <c r="N2979" s="166"/>
      <c r="O2979" s="166"/>
      <c r="P2979" s="166">
        <f t="shared" ca="1" si="220"/>
        <v>0</v>
      </c>
      <c r="Q2979" s="166"/>
    </row>
    <row r="2980" spans="1:17">
      <c r="A2980" s="166" t="b">
        <f t="shared" ca="1" si="221"/>
        <v>0</v>
      </c>
      <c r="B2980" s="172" t="str">
        <f ca="1">IF(COUNTA(G$2368:G2979)=1,"",OFFSET(B2980,-COUNTA(G$2368:G2979)+1,0))</f>
        <v>a1b3p000006eF6VAAU</v>
      </c>
      <c r="C2980" s="177">
        <f ca="1">IF(COUNTA(G$2368:G2979)=1,"",OFFSET(C2980,-COUNTA(G$2368:G2979)+1,0))</f>
        <v>22</v>
      </c>
      <c r="D2980" s="166">
        <f t="shared" si="217"/>
        <v>130</v>
      </c>
      <c r="E2980" s="166">
        <f t="shared" ca="1" si="218"/>
        <v>4</v>
      </c>
      <c r="F2980" s="166">
        <f t="shared" ca="1" si="219"/>
        <v>30</v>
      </c>
      <c r="G2980" s="166"/>
      <c r="H2980" s="171" t="str">
        <f t="shared" ca="1" si="222"/>
        <v/>
      </c>
      <c r="I2980" s="171" t="str">
        <f t="shared" ca="1" si="223"/>
        <v/>
      </c>
      <c r="J2980" s="171" t="str">
        <f t="shared" ca="1" si="224"/>
        <v/>
      </c>
      <c r="K2980" s="171" t="str">
        <f t="shared" ca="1" si="225"/>
        <v/>
      </c>
      <c r="L2980" s="166"/>
      <c r="M2980" s="166"/>
      <c r="N2980" s="166"/>
      <c r="O2980" s="166"/>
      <c r="P2980" s="166">
        <f t="shared" ca="1" si="220"/>
        <v>0</v>
      </c>
      <c r="Q2980" s="166"/>
    </row>
    <row r="2981" spans="1:17">
      <c r="A2981" s="166" t="b">
        <f t="shared" ca="1" si="221"/>
        <v>0</v>
      </c>
      <c r="B2981" s="172" t="str">
        <f ca="1">IF(COUNTA(G$2368:G2980)=1,"",OFFSET(B2981,-COUNTA(G$2368:G2980)+1,0))</f>
        <v>a1b3p000006eF7nAAE</v>
      </c>
      <c r="C2981" s="177">
        <f ca="1">IF(COUNTA(G$2368:G2980)=1,"",OFFSET(C2981,-COUNTA(G$2368:G2980)+1,0))</f>
        <v>22</v>
      </c>
      <c r="D2981" s="166">
        <f t="shared" si="217"/>
        <v>131</v>
      </c>
      <c r="E2981" s="166">
        <f t="shared" ca="1" si="218"/>
        <v>5</v>
      </c>
      <c r="F2981" s="166">
        <f t="shared" ca="1" si="219"/>
        <v>30</v>
      </c>
      <c r="G2981" s="166"/>
      <c r="H2981" s="171" t="str">
        <f t="shared" ca="1" si="222"/>
        <v/>
      </c>
      <c r="I2981" s="171" t="str">
        <f t="shared" ca="1" si="223"/>
        <v/>
      </c>
      <c r="J2981" s="171" t="str">
        <f t="shared" ca="1" si="224"/>
        <v/>
      </c>
      <c r="K2981" s="171" t="str">
        <f t="shared" ca="1" si="225"/>
        <v/>
      </c>
      <c r="L2981" s="166"/>
      <c r="M2981" s="166"/>
      <c r="N2981" s="166"/>
      <c r="O2981" s="166"/>
      <c r="P2981" s="166">
        <f t="shared" ca="1" si="220"/>
        <v>0</v>
      </c>
      <c r="Q2981" s="166"/>
    </row>
    <row r="2982" spans="1:17">
      <c r="A2982" s="166" t="b">
        <f t="shared" ca="1" si="221"/>
        <v>0</v>
      </c>
      <c r="B2982" s="172" t="str">
        <f ca="1">IF(COUNTA(G$2368:G2981)=1,"",OFFSET(B2982,-COUNTA(G$2368:G2981)+1,0))</f>
        <v>a1b3p000006eF95AAE</v>
      </c>
      <c r="C2982" s="177">
        <f ca="1">IF(COUNTA(G$2368:G2981)=1,"",OFFSET(C2982,-COUNTA(G$2368:G2981)+1,0))</f>
        <v>22</v>
      </c>
      <c r="D2982" s="166">
        <f t="shared" si="217"/>
        <v>132</v>
      </c>
      <c r="E2982" s="166">
        <f t="shared" ca="1" si="218"/>
        <v>6</v>
      </c>
      <c r="F2982" s="166">
        <f t="shared" ca="1" si="219"/>
        <v>30</v>
      </c>
      <c r="G2982" s="166"/>
      <c r="H2982" s="171" t="str">
        <f t="shared" ca="1" si="222"/>
        <v/>
      </c>
      <c r="I2982" s="171" t="str">
        <f t="shared" ca="1" si="223"/>
        <v/>
      </c>
      <c r="J2982" s="171" t="str">
        <f t="shared" ca="1" si="224"/>
        <v/>
      </c>
      <c r="K2982" s="171" t="str">
        <f t="shared" ca="1" si="225"/>
        <v/>
      </c>
      <c r="L2982" s="166"/>
      <c r="M2982" s="166"/>
      <c r="N2982" s="166"/>
      <c r="O2982" s="166"/>
      <c r="P2982" s="166">
        <f t="shared" ca="1" si="220"/>
        <v>0</v>
      </c>
      <c r="Q2982" s="166"/>
    </row>
    <row r="2983" spans="1:17">
      <c r="A2983" s="166" t="b">
        <f t="shared" ca="1" si="221"/>
        <v>0</v>
      </c>
      <c r="B2983" s="172" t="str">
        <f ca="1">IF(COUNTA(G$2368:G2982)=1,"",OFFSET(B2983,-COUNTA(G$2368:G2982)+1,0))</f>
        <v>a1b3p000006eF2eAAE</v>
      </c>
      <c r="C2983" s="177">
        <f ca="1">IF(COUNTA(G$2368:G2982)=1,"",OFFSET(C2983,-COUNTA(G$2368:G2982)+1,0))</f>
        <v>23</v>
      </c>
      <c r="D2983" s="166">
        <f t="shared" si="217"/>
        <v>133</v>
      </c>
      <c r="E2983" s="166">
        <f t="shared" ca="1" si="218"/>
        <v>1</v>
      </c>
      <c r="F2983" s="166">
        <f t="shared" ca="1" si="219"/>
        <v>31</v>
      </c>
      <c r="G2983" s="166"/>
      <c r="H2983" s="171" t="str">
        <f t="shared" ca="1" si="222"/>
        <v/>
      </c>
      <c r="I2983" s="171" t="str">
        <f t="shared" ca="1" si="223"/>
        <v/>
      </c>
      <c r="J2983" s="171" t="str">
        <f t="shared" ca="1" si="224"/>
        <v/>
      </c>
      <c r="K2983" s="171" t="str">
        <f t="shared" ca="1" si="225"/>
        <v/>
      </c>
      <c r="L2983" s="166"/>
      <c r="M2983" s="166"/>
      <c r="N2983" s="166"/>
      <c r="O2983" s="166"/>
      <c r="P2983" s="166">
        <f t="shared" ca="1" si="220"/>
        <v>0</v>
      </c>
      <c r="Q2983" s="166"/>
    </row>
    <row r="2984" spans="1:17">
      <c r="A2984" s="166" t="b">
        <f t="shared" ca="1" si="221"/>
        <v>0</v>
      </c>
      <c r="B2984" s="172" t="str">
        <f ca="1">IF(COUNTA(G$2368:G2983)=1,"",OFFSET(B2984,-COUNTA(G$2368:G2983)+1,0))</f>
        <v>a1b3p000006eF3wAAE</v>
      </c>
      <c r="C2984" s="177">
        <f ca="1">IF(COUNTA(G$2368:G2983)=1,"",OFFSET(C2984,-COUNTA(G$2368:G2983)+1,0))</f>
        <v>23</v>
      </c>
      <c r="D2984" s="166">
        <f t="shared" si="217"/>
        <v>134</v>
      </c>
      <c r="E2984" s="166">
        <f t="shared" ca="1" si="218"/>
        <v>2</v>
      </c>
      <c r="F2984" s="166">
        <f t="shared" ca="1" si="219"/>
        <v>31</v>
      </c>
      <c r="G2984" s="166"/>
      <c r="H2984" s="171" t="str">
        <f t="shared" ca="1" si="222"/>
        <v/>
      </c>
      <c r="I2984" s="171" t="str">
        <f t="shared" ca="1" si="223"/>
        <v/>
      </c>
      <c r="J2984" s="171" t="str">
        <f t="shared" ca="1" si="224"/>
        <v/>
      </c>
      <c r="K2984" s="171" t="str">
        <f t="shared" ca="1" si="225"/>
        <v/>
      </c>
      <c r="L2984" s="166"/>
      <c r="M2984" s="166"/>
      <c r="N2984" s="166"/>
      <c r="O2984" s="166"/>
      <c r="P2984" s="166">
        <f t="shared" ca="1" si="220"/>
        <v>0</v>
      </c>
      <c r="Q2984" s="166"/>
    </row>
    <row r="2985" spans="1:17">
      <c r="A2985" s="166" t="b">
        <f t="shared" ca="1" si="221"/>
        <v>0</v>
      </c>
      <c r="B2985" s="172" t="str">
        <f ca="1">IF(COUNTA(G$2368:G2984)=1,"",OFFSET(B2985,-COUNTA(G$2368:G2984)+1,0))</f>
        <v>a1b3p000006eF5EAAU</v>
      </c>
      <c r="C2985" s="177">
        <f ca="1">IF(COUNTA(G$2368:G2984)=1,"",OFFSET(C2985,-COUNTA(G$2368:G2984)+1,0))</f>
        <v>23</v>
      </c>
      <c r="D2985" s="166">
        <f t="shared" si="217"/>
        <v>135</v>
      </c>
      <c r="E2985" s="166">
        <f t="shared" ca="1" si="218"/>
        <v>3</v>
      </c>
      <c r="F2985" s="166">
        <f t="shared" ca="1" si="219"/>
        <v>31</v>
      </c>
      <c r="G2985" s="166"/>
      <c r="H2985" s="171" t="str">
        <f t="shared" ca="1" si="222"/>
        <v/>
      </c>
      <c r="I2985" s="171" t="str">
        <f t="shared" ca="1" si="223"/>
        <v/>
      </c>
      <c r="J2985" s="171" t="str">
        <f t="shared" ca="1" si="224"/>
        <v/>
      </c>
      <c r="K2985" s="171" t="str">
        <f t="shared" ca="1" si="225"/>
        <v/>
      </c>
      <c r="L2985" s="166"/>
      <c r="M2985" s="166"/>
      <c r="N2985" s="166"/>
      <c r="O2985" s="166"/>
      <c r="P2985" s="166">
        <f t="shared" ca="1" si="220"/>
        <v>0</v>
      </c>
      <c r="Q2985" s="166"/>
    </row>
    <row r="2986" spans="1:17">
      <c r="A2986" s="166" t="b">
        <f t="shared" ca="1" si="221"/>
        <v>0</v>
      </c>
      <c r="B2986" s="172" t="str">
        <f ca="1">IF(COUNTA(G$2368:G2985)=1,"",OFFSET(B2986,-COUNTA(G$2368:G2985)+1,0))</f>
        <v>a1b3p000006eF6WAAU</v>
      </c>
      <c r="C2986" s="177">
        <f ca="1">IF(COUNTA(G$2368:G2985)=1,"",OFFSET(C2986,-COUNTA(G$2368:G2985)+1,0))</f>
        <v>23</v>
      </c>
      <c r="D2986" s="166">
        <f t="shared" si="217"/>
        <v>136</v>
      </c>
      <c r="E2986" s="166">
        <f t="shared" ca="1" si="218"/>
        <v>4</v>
      </c>
      <c r="F2986" s="166">
        <f t="shared" ca="1" si="219"/>
        <v>31</v>
      </c>
      <c r="G2986" s="166"/>
      <c r="H2986" s="171" t="str">
        <f t="shared" ca="1" si="222"/>
        <v/>
      </c>
      <c r="I2986" s="171" t="str">
        <f t="shared" ca="1" si="223"/>
        <v/>
      </c>
      <c r="J2986" s="171" t="str">
        <f t="shared" ca="1" si="224"/>
        <v/>
      </c>
      <c r="K2986" s="171" t="str">
        <f t="shared" ca="1" si="225"/>
        <v/>
      </c>
      <c r="L2986" s="166"/>
      <c r="M2986" s="166"/>
      <c r="N2986" s="166"/>
      <c r="O2986" s="166"/>
      <c r="P2986" s="166">
        <f t="shared" ca="1" si="220"/>
        <v>0</v>
      </c>
      <c r="Q2986" s="166"/>
    </row>
    <row r="2987" spans="1:17">
      <c r="A2987" s="166" t="b">
        <f t="shared" ca="1" si="221"/>
        <v>0</v>
      </c>
      <c r="B2987" s="172" t="str">
        <f ca="1">IF(COUNTA(G$2368:G2986)=1,"",OFFSET(B2987,-COUNTA(G$2368:G2986)+1,0))</f>
        <v>a1b3p000006eF7oAAE</v>
      </c>
      <c r="C2987" s="177">
        <f ca="1">IF(COUNTA(G$2368:G2986)=1,"",OFFSET(C2987,-COUNTA(G$2368:G2986)+1,0))</f>
        <v>23</v>
      </c>
      <c r="D2987" s="166">
        <f t="shared" si="217"/>
        <v>137</v>
      </c>
      <c r="E2987" s="166">
        <f t="shared" ca="1" si="218"/>
        <v>5</v>
      </c>
      <c r="F2987" s="166">
        <f t="shared" ca="1" si="219"/>
        <v>31</v>
      </c>
      <c r="G2987" s="166"/>
      <c r="H2987" s="171" t="str">
        <f t="shared" ca="1" si="222"/>
        <v/>
      </c>
      <c r="I2987" s="171" t="str">
        <f t="shared" ca="1" si="223"/>
        <v/>
      </c>
      <c r="J2987" s="171" t="str">
        <f t="shared" ca="1" si="224"/>
        <v/>
      </c>
      <c r="K2987" s="171" t="str">
        <f t="shared" ca="1" si="225"/>
        <v/>
      </c>
      <c r="L2987" s="166"/>
      <c r="M2987" s="166"/>
      <c r="N2987" s="166"/>
      <c r="O2987" s="166"/>
      <c r="P2987" s="166">
        <f t="shared" ca="1" si="220"/>
        <v>0</v>
      </c>
      <c r="Q2987" s="166"/>
    </row>
    <row r="2988" spans="1:17">
      <c r="A2988" s="166" t="b">
        <f t="shared" ca="1" si="221"/>
        <v>0</v>
      </c>
      <c r="B2988" s="172" t="str">
        <f ca="1">IF(COUNTA(G$2368:G2987)=1,"",OFFSET(B2988,-COUNTA(G$2368:G2987)+1,0))</f>
        <v>a1b3p000006eF96AAE</v>
      </c>
      <c r="C2988" s="177">
        <f ca="1">IF(COUNTA(G$2368:G2987)=1,"",OFFSET(C2988,-COUNTA(G$2368:G2987)+1,0))</f>
        <v>23</v>
      </c>
      <c r="D2988" s="166">
        <f t="shared" si="217"/>
        <v>138</v>
      </c>
      <c r="E2988" s="166">
        <f t="shared" ca="1" si="218"/>
        <v>6</v>
      </c>
      <c r="F2988" s="166">
        <f t="shared" ca="1" si="219"/>
        <v>31</v>
      </c>
      <c r="G2988" s="166"/>
      <c r="H2988" s="171" t="str">
        <f t="shared" ca="1" si="222"/>
        <v/>
      </c>
      <c r="I2988" s="171" t="str">
        <f t="shared" ca="1" si="223"/>
        <v/>
      </c>
      <c r="J2988" s="171" t="str">
        <f t="shared" ca="1" si="224"/>
        <v/>
      </c>
      <c r="K2988" s="171" t="str">
        <f t="shared" ca="1" si="225"/>
        <v/>
      </c>
      <c r="L2988" s="166"/>
      <c r="M2988" s="166"/>
      <c r="N2988" s="166"/>
      <c r="O2988" s="166"/>
      <c r="P2988" s="166">
        <f t="shared" ca="1" si="220"/>
        <v>0</v>
      </c>
      <c r="Q2988" s="166"/>
    </row>
    <row r="2989" spans="1:17">
      <c r="A2989" s="166" t="b">
        <f t="shared" ca="1" si="221"/>
        <v>0</v>
      </c>
      <c r="B2989" s="172" t="str">
        <f ca="1">IF(COUNTA(G$2368:G2988)=1,"",OFFSET(B2989,-COUNTA(G$2368:G2988)+1,0))</f>
        <v>a1b3p000006eF2fAAE</v>
      </c>
      <c r="C2989" s="177">
        <f ca="1">IF(COUNTA(G$2368:G2988)=1,"",OFFSET(C2989,-COUNTA(G$2368:G2988)+1,0))</f>
        <v>24</v>
      </c>
      <c r="D2989" s="166">
        <f t="shared" si="217"/>
        <v>139</v>
      </c>
      <c r="E2989" s="166">
        <f t="shared" ca="1" si="218"/>
        <v>1</v>
      </c>
      <c r="F2989" s="166">
        <f t="shared" ca="1" si="219"/>
        <v>32</v>
      </c>
      <c r="G2989" s="166"/>
      <c r="H2989" s="171" t="str">
        <f t="shared" ca="1" si="222"/>
        <v/>
      </c>
      <c r="I2989" s="171" t="str">
        <f t="shared" ca="1" si="223"/>
        <v/>
      </c>
      <c r="J2989" s="171" t="str">
        <f t="shared" ca="1" si="224"/>
        <v/>
      </c>
      <c r="K2989" s="171" t="str">
        <f t="shared" ca="1" si="225"/>
        <v/>
      </c>
      <c r="L2989" s="166"/>
      <c r="M2989" s="166"/>
      <c r="N2989" s="166"/>
      <c r="O2989" s="166"/>
      <c r="P2989" s="166">
        <f t="shared" ca="1" si="220"/>
        <v>0</v>
      </c>
      <c r="Q2989" s="166"/>
    </row>
    <row r="2990" spans="1:17">
      <c r="A2990" s="166" t="b">
        <f t="shared" ca="1" si="221"/>
        <v>0</v>
      </c>
      <c r="B2990" s="172" t="str">
        <f ca="1">IF(COUNTA(G$2368:G2989)=1,"",OFFSET(B2990,-COUNTA(G$2368:G2989)+1,0))</f>
        <v>a1b3p000006eF3xAAE</v>
      </c>
      <c r="C2990" s="177">
        <f ca="1">IF(COUNTA(G$2368:G2989)=1,"",OFFSET(C2990,-COUNTA(G$2368:G2989)+1,0))</f>
        <v>24</v>
      </c>
      <c r="D2990" s="166">
        <f t="shared" si="217"/>
        <v>140</v>
      </c>
      <c r="E2990" s="166">
        <f t="shared" ca="1" si="218"/>
        <v>2</v>
      </c>
      <c r="F2990" s="166">
        <f t="shared" ca="1" si="219"/>
        <v>32</v>
      </c>
      <c r="G2990" s="166"/>
      <c r="H2990" s="171" t="str">
        <f t="shared" ca="1" si="222"/>
        <v/>
      </c>
      <c r="I2990" s="171" t="str">
        <f t="shared" ca="1" si="223"/>
        <v/>
      </c>
      <c r="J2990" s="171" t="str">
        <f t="shared" ca="1" si="224"/>
        <v/>
      </c>
      <c r="K2990" s="171" t="str">
        <f t="shared" ca="1" si="225"/>
        <v/>
      </c>
      <c r="L2990" s="166"/>
      <c r="M2990" s="166"/>
      <c r="N2990" s="166"/>
      <c r="O2990" s="166"/>
      <c r="P2990" s="166">
        <f t="shared" ca="1" si="220"/>
        <v>0</v>
      </c>
      <c r="Q2990" s="166"/>
    </row>
    <row r="2991" spans="1:17">
      <c r="A2991" s="166" t="b">
        <f t="shared" ca="1" si="221"/>
        <v>0</v>
      </c>
      <c r="B2991" s="172" t="str">
        <f ca="1">IF(COUNTA(G$2368:G2990)=1,"",OFFSET(B2991,-COUNTA(G$2368:G2990)+1,0))</f>
        <v>a1b3p000006eF5FAAU</v>
      </c>
      <c r="C2991" s="177">
        <f ca="1">IF(COUNTA(G$2368:G2990)=1,"",OFFSET(C2991,-COUNTA(G$2368:G2990)+1,0))</f>
        <v>24</v>
      </c>
      <c r="D2991" s="166">
        <f t="shared" si="217"/>
        <v>141</v>
      </c>
      <c r="E2991" s="166">
        <f t="shared" ca="1" si="218"/>
        <v>3</v>
      </c>
      <c r="F2991" s="166">
        <f t="shared" ca="1" si="219"/>
        <v>32</v>
      </c>
      <c r="G2991" s="166"/>
      <c r="H2991" s="171" t="str">
        <f t="shared" ca="1" si="222"/>
        <v/>
      </c>
      <c r="I2991" s="171" t="str">
        <f t="shared" ca="1" si="223"/>
        <v/>
      </c>
      <c r="J2991" s="171" t="str">
        <f t="shared" ca="1" si="224"/>
        <v/>
      </c>
      <c r="K2991" s="171" t="str">
        <f t="shared" ca="1" si="225"/>
        <v/>
      </c>
      <c r="L2991" s="166"/>
      <c r="M2991" s="166"/>
      <c r="N2991" s="166"/>
      <c r="O2991" s="166"/>
      <c r="P2991" s="166">
        <f t="shared" ca="1" si="220"/>
        <v>0</v>
      </c>
      <c r="Q2991" s="166"/>
    </row>
    <row r="2992" spans="1:17">
      <c r="A2992" s="166" t="b">
        <f t="shared" ca="1" si="221"/>
        <v>0</v>
      </c>
      <c r="B2992" s="172" t="str">
        <f ca="1">IF(COUNTA(G$2368:G2991)=1,"",OFFSET(B2992,-COUNTA(G$2368:G2991)+1,0))</f>
        <v>a1b3p000006eF6XAAU</v>
      </c>
      <c r="C2992" s="177">
        <f ca="1">IF(COUNTA(G$2368:G2991)=1,"",OFFSET(C2992,-COUNTA(G$2368:G2991)+1,0))</f>
        <v>24</v>
      </c>
      <c r="D2992" s="166">
        <f t="shared" si="217"/>
        <v>142</v>
      </c>
      <c r="E2992" s="166">
        <f t="shared" ca="1" si="218"/>
        <v>4</v>
      </c>
      <c r="F2992" s="166">
        <f t="shared" ca="1" si="219"/>
        <v>32</v>
      </c>
      <c r="G2992" s="166"/>
      <c r="H2992" s="171" t="str">
        <f t="shared" ca="1" si="222"/>
        <v/>
      </c>
      <c r="I2992" s="171" t="str">
        <f t="shared" ca="1" si="223"/>
        <v/>
      </c>
      <c r="J2992" s="171" t="str">
        <f t="shared" ca="1" si="224"/>
        <v/>
      </c>
      <c r="K2992" s="171" t="str">
        <f t="shared" ca="1" si="225"/>
        <v/>
      </c>
      <c r="L2992" s="166"/>
      <c r="M2992" s="166"/>
      <c r="N2992" s="166"/>
      <c r="O2992" s="166"/>
      <c r="P2992" s="166">
        <f t="shared" ca="1" si="220"/>
        <v>0</v>
      </c>
      <c r="Q2992" s="166"/>
    </row>
    <row r="2993" spans="1:17">
      <c r="A2993" s="166" t="b">
        <f t="shared" ca="1" si="221"/>
        <v>0</v>
      </c>
      <c r="B2993" s="172" t="str">
        <f ca="1">IF(COUNTA(G$2368:G2992)=1,"",OFFSET(B2993,-COUNTA(G$2368:G2992)+1,0))</f>
        <v>a1b3p000006eF7pAAE</v>
      </c>
      <c r="C2993" s="177">
        <f ca="1">IF(COUNTA(G$2368:G2992)=1,"",OFFSET(C2993,-COUNTA(G$2368:G2992)+1,0))</f>
        <v>24</v>
      </c>
      <c r="D2993" s="166">
        <f t="shared" si="217"/>
        <v>143</v>
      </c>
      <c r="E2993" s="166">
        <f t="shared" ca="1" si="218"/>
        <v>5</v>
      </c>
      <c r="F2993" s="166">
        <f t="shared" ca="1" si="219"/>
        <v>32</v>
      </c>
      <c r="G2993" s="166"/>
      <c r="H2993" s="171" t="str">
        <f t="shared" ca="1" si="222"/>
        <v/>
      </c>
      <c r="I2993" s="171" t="str">
        <f t="shared" ca="1" si="223"/>
        <v/>
      </c>
      <c r="J2993" s="171" t="str">
        <f t="shared" ca="1" si="224"/>
        <v/>
      </c>
      <c r="K2993" s="171" t="str">
        <f t="shared" ca="1" si="225"/>
        <v/>
      </c>
      <c r="L2993" s="166"/>
      <c r="M2993" s="166"/>
      <c r="N2993" s="166"/>
      <c r="O2993" s="166"/>
      <c r="P2993" s="166">
        <f t="shared" ca="1" si="220"/>
        <v>0</v>
      </c>
      <c r="Q2993" s="166"/>
    </row>
    <row r="2994" spans="1:17">
      <c r="A2994" s="166" t="b">
        <f t="shared" ca="1" si="221"/>
        <v>0</v>
      </c>
      <c r="B2994" s="172" t="str">
        <f ca="1">IF(COUNTA(G$2368:G2993)=1,"",OFFSET(B2994,-COUNTA(G$2368:G2993)+1,0))</f>
        <v>a1b3p000006eF97AAE</v>
      </c>
      <c r="C2994" s="177">
        <f ca="1">IF(COUNTA(G$2368:G2993)=1,"",OFFSET(C2994,-COUNTA(G$2368:G2993)+1,0))</f>
        <v>24</v>
      </c>
      <c r="D2994" s="166">
        <f t="shared" si="217"/>
        <v>144</v>
      </c>
      <c r="E2994" s="166">
        <f t="shared" ca="1" si="218"/>
        <v>6</v>
      </c>
      <c r="F2994" s="166">
        <f t="shared" ca="1" si="219"/>
        <v>32</v>
      </c>
      <c r="G2994" s="166"/>
      <c r="H2994" s="171" t="str">
        <f t="shared" ca="1" si="222"/>
        <v/>
      </c>
      <c r="I2994" s="171" t="str">
        <f t="shared" ca="1" si="223"/>
        <v/>
      </c>
      <c r="J2994" s="171" t="str">
        <f t="shared" ca="1" si="224"/>
        <v/>
      </c>
      <c r="K2994" s="171" t="str">
        <f t="shared" ca="1" si="225"/>
        <v/>
      </c>
      <c r="L2994" s="166"/>
      <c r="M2994" s="166"/>
      <c r="N2994" s="166"/>
      <c r="O2994" s="166"/>
      <c r="P2994" s="166">
        <f t="shared" ca="1" si="220"/>
        <v>0</v>
      </c>
      <c r="Q2994" s="166"/>
    </row>
    <row r="2995" spans="1:17">
      <c r="A2995" s="166" t="b">
        <f t="shared" ca="1" si="221"/>
        <v>0</v>
      </c>
      <c r="B2995" s="172" t="str">
        <f ca="1">IF(COUNTA(G$2368:G2994)=1,"",OFFSET(B2995,-COUNTA(G$2368:G2994)+1,0))</f>
        <v>a1b3p000006eF2gAAE</v>
      </c>
      <c r="C2995" s="177">
        <f ca="1">IF(COUNTA(G$2368:G2994)=1,"",OFFSET(C2995,-COUNTA(G$2368:G2994)+1,0))</f>
        <v>25</v>
      </c>
      <c r="D2995" s="166">
        <f t="shared" si="217"/>
        <v>145</v>
      </c>
      <c r="E2995" s="166">
        <f t="shared" ca="1" si="218"/>
        <v>1</v>
      </c>
      <c r="F2995" s="166">
        <f t="shared" ca="1" si="219"/>
        <v>33</v>
      </c>
      <c r="G2995" s="166"/>
      <c r="H2995" s="171" t="str">
        <f t="shared" ca="1" si="222"/>
        <v/>
      </c>
      <c r="I2995" s="171" t="str">
        <f t="shared" ca="1" si="223"/>
        <v/>
      </c>
      <c r="J2995" s="171" t="str">
        <f t="shared" ca="1" si="224"/>
        <v/>
      </c>
      <c r="K2995" s="171" t="str">
        <f t="shared" ca="1" si="225"/>
        <v/>
      </c>
      <c r="L2995" s="166"/>
      <c r="M2995" s="166"/>
      <c r="N2995" s="166"/>
      <c r="O2995" s="166"/>
      <c r="P2995" s="166">
        <f t="shared" ca="1" si="220"/>
        <v>0</v>
      </c>
      <c r="Q2995" s="166"/>
    </row>
    <row r="2996" spans="1:17">
      <c r="A2996" s="166" t="b">
        <f t="shared" ca="1" si="221"/>
        <v>0</v>
      </c>
      <c r="B2996" s="172" t="str">
        <f ca="1">IF(COUNTA(G$2368:G2995)=1,"",OFFSET(B2996,-COUNTA(G$2368:G2995)+1,0))</f>
        <v>a1b3p000006eF3yAAE</v>
      </c>
      <c r="C2996" s="177">
        <f ca="1">IF(COUNTA(G$2368:G2995)=1,"",OFFSET(C2996,-COUNTA(G$2368:G2995)+1,0))</f>
        <v>25</v>
      </c>
      <c r="D2996" s="166">
        <f t="shared" si="217"/>
        <v>146</v>
      </c>
      <c r="E2996" s="166">
        <f t="shared" ca="1" si="218"/>
        <v>2</v>
      </c>
      <c r="F2996" s="166">
        <f t="shared" ca="1" si="219"/>
        <v>33</v>
      </c>
      <c r="G2996" s="166"/>
      <c r="H2996" s="171" t="str">
        <f t="shared" ca="1" si="222"/>
        <v/>
      </c>
      <c r="I2996" s="171" t="str">
        <f t="shared" ca="1" si="223"/>
        <v/>
      </c>
      <c r="J2996" s="171" t="str">
        <f t="shared" ca="1" si="224"/>
        <v/>
      </c>
      <c r="K2996" s="171" t="str">
        <f t="shared" ca="1" si="225"/>
        <v/>
      </c>
      <c r="L2996" s="166"/>
      <c r="M2996" s="166"/>
      <c r="N2996" s="166"/>
      <c r="O2996" s="166"/>
      <c r="P2996" s="166">
        <f t="shared" ca="1" si="220"/>
        <v>0</v>
      </c>
      <c r="Q2996" s="166"/>
    </row>
    <row r="2997" spans="1:17">
      <c r="A2997" s="166" t="b">
        <f t="shared" ca="1" si="221"/>
        <v>0</v>
      </c>
      <c r="B2997" s="172" t="str">
        <f ca="1">IF(COUNTA(G$2368:G2996)=1,"",OFFSET(B2997,-COUNTA(G$2368:G2996)+1,0))</f>
        <v>a1b3p000006eF5GAAU</v>
      </c>
      <c r="C2997" s="177">
        <f ca="1">IF(COUNTA(G$2368:G2996)=1,"",OFFSET(C2997,-COUNTA(G$2368:G2996)+1,0))</f>
        <v>25</v>
      </c>
      <c r="D2997" s="166">
        <f t="shared" si="217"/>
        <v>147</v>
      </c>
      <c r="E2997" s="166">
        <f t="shared" ca="1" si="218"/>
        <v>3</v>
      </c>
      <c r="F2997" s="166">
        <f t="shared" ca="1" si="219"/>
        <v>33</v>
      </c>
      <c r="G2997" s="166"/>
      <c r="H2997" s="171" t="str">
        <f t="shared" ca="1" si="222"/>
        <v/>
      </c>
      <c r="I2997" s="171" t="str">
        <f t="shared" ca="1" si="223"/>
        <v/>
      </c>
      <c r="J2997" s="171" t="str">
        <f t="shared" ca="1" si="224"/>
        <v/>
      </c>
      <c r="K2997" s="171" t="str">
        <f t="shared" ca="1" si="225"/>
        <v/>
      </c>
      <c r="L2997" s="166"/>
      <c r="M2997" s="166"/>
      <c r="N2997" s="166"/>
      <c r="O2997" s="166"/>
      <c r="P2997" s="166">
        <f t="shared" ca="1" si="220"/>
        <v>0</v>
      </c>
      <c r="Q2997" s="166"/>
    </row>
    <row r="2998" spans="1:17">
      <c r="A2998" s="166" t="b">
        <f t="shared" ca="1" si="221"/>
        <v>0</v>
      </c>
      <c r="B2998" s="172" t="str">
        <f ca="1">IF(COUNTA(G$2368:G2997)=1,"",OFFSET(B2998,-COUNTA(G$2368:G2997)+1,0))</f>
        <v>a1b3p000006eF6YAAU</v>
      </c>
      <c r="C2998" s="177">
        <f ca="1">IF(COUNTA(G$2368:G2997)=1,"",OFFSET(C2998,-COUNTA(G$2368:G2997)+1,0))</f>
        <v>25</v>
      </c>
      <c r="D2998" s="166">
        <f t="shared" si="217"/>
        <v>148</v>
      </c>
      <c r="E2998" s="166">
        <f t="shared" ca="1" si="218"/>
        <v>4</v>
      </c>
      <c r="F2998" s="166">
        <f t="shared" ca="1" si="219"/>
        <v>33</v>
      </c>
      <c r="G2998" s="166"/>
      <c r="H2998" s="171" t="str">
        <f t="shared" ca="1" si="222"/>
        <v/>
      </c>
      <c r="I2998" s="171" t="str">
        <f t="shared" ca="1" si="223"/>
        <v/>
      </c>
      <c r="J2998" s="171" t="str">
        <f t="shared" ca="1" si="224"/>
        <v/>
      </c>
      <c r="K2998" s="171" t="str">
        <f t="shared" ca="1" si="225"/>
        <v/>
      </c>
      <c r="L2998" s="166"/>
      <c r="M2998" s="166"/>
      <c r="N2998" s="166"/>
      <c r="O2998" s="166"/>
      <c r="P2998" s="166">
        <f t="shared" ca="1" si="220"/>
        <v>0</v>
      </c>
      <c r="Q2998" s="166"/>
    </row>
    <row r="2999" spans="1:17">
      <c r="A2999" s="166" t="b">
        <f t="shared" ca="1" si="221"/>
        <v>0</v>
      </c>
      <c r="B2999" s="172" t="str">
        <f ca="1">IF(COUNTA(G$2368:G2998)=1,"",OFFSET(B2999,-COUNTA(G$2368:G2998)+1,0))</f>
        <v>a1b3p000006eF7qAAE</v>
      </c>
      <c r="C2999" s="177">
        <f ca="1">IF(COUNTA(G$2368:G2998)=1,"",OFFSET(C2999,-COUNTA(G$2368:G2998)+1,0))</f>
        <v>25</v>
      </c>
      <c r="D2999" s="166">
        <f t="shared" si="217"/>
        <v>149</v>
      </c>
      <c r="E2999" s="166">
        <f t="shared" ca="1" si="218"/>
        <v>5</v>
      </c>
      <c r="F2999" s="166">
        <f t="shared" ca="1" si="219"/>
        <v>33</v>
      </c>
      <c r="G2999" s="166"/>
      <c r="H2999" s="171" t="str">
        <f t="shared" ca="1" si="222"/>
        <v/>
      </c>
      <c r="I2999" s="171" t="str">
        <f t="shared" ca="1" si="223"/>
        <v/>
      </c>
      <c r="J2999" s="171" t="str">
        <f t="shared" ca="1" si="224"/>
        <v/>
      </c>
      <c r="K2999" s="171" t="str">
        <f t="shared" ca="1" si="225"/>
        <v/>
      </c>
      <c r="L2999" s="166"/>
      <c r="M2999" s="166"/>
      <c r="N2999" s="166"/>
      <c r="O2999" s="166"/>
      <c r="P2999" s="166">
        <f t="shared" ca="1" si="220"/>
        <v>0</v>
      </c>
      <c r="Q2999" s="166"/>
    </row>
    <row r="3000" spans="1:17">
      <c r="A3000" s="166" t="b">
        <f t="shared" ca="1" si="221"/>
        <v>0</v>
      </c>
      <c r="B3000" s="172" t="str">
        <f ca="1">IF(COUNTA(G$2368:G2999)=1,"",OFFSET(B3000,-COUNTA(G$2368:G2999)+1,0))</f>
        <v>a1b3p000006eF98AAE</v>
      </c>
      <c r="C3000" s="177">
        <f ca="1">IF(COUNTA(G$2368:G2999)=1,"",OFFSET(C3000,-COUNTA(G$2368:G2999)+1,0))</f>
        <v>25</v>
      </c>
      <c r="D3000" s="166">
        <f t="shared" si="217"/>
        <v>150</v>
      </c>
      <c r="E3000" s="166">
        <f t="shared" ca="1" si="218"/>
        <v>6</v>
      </c>
      <c r="F3000" s="166">
        <f t="shared" ca="1" si="219"/>
        <v>33</v>
      </c>
      <c r="G3000" s="166"/>
      <c r="H3000" s="171" t="str">
        <f t="shared" ca="1" si="222"/>
        <v/>
      </c>
      <c r="I3000" s="171" t="str">
        <f t="shared" ca="1" si="223"/>
        <v/>
      </c>
      <c r="J3000" s="171" t="str">
        <f t="shared" ca="1" si="224"/>
        <v/>
      </c>
      <c r="K3000" s="171" t="str">
        <f t="shared" ca="1" si="225"/>
        <v/>
      </c>
      <c r="L3000" s="166"/>
      <c r="M3000" s="166"/>
      <c r="N3000" s="166"/>
      <c r="O3000" s="166"/>
      <c r="P3000" s="166">
        <f t="shared" ca="1" si="220"/>
        <v>0</v>
      </c>
      <c r="Q3000" s="166"/>
    </row>
    <row r="3001" spans="1:17">
      <c r="A3001" s="166" t="b">
        <f t="shared" ca="1" si="221"/>
        <v>0</v>
      </c>
      <c r="B3001" s="172" t="str">
        <f ca="1">IF(COUNTA(G$2368:G3000)=1,"",OFFSET(B3001,-COUNTA(G$2368:G3000)+1,0))</f>
        <v>a1b3p000006eF2hAAE</v>
      </c>
      <c r="C3001" s="177">
        <f ca="1">IF(COUNTA(G$2368:G3000)=1,"",OFFSET(C3001,-COUNTA(G$2368:G3000)+1,0))</f>
        <v>26</v>
      </c>
      <c r="D3001" s="166">
        <f t="shared" si="217"/>
        <v>151</v>
      </c>
      <c r="E3001" s="166">
        <f t="shared" ca="1" si="218"/>
        <v>1</v>
      </c>
      <c r="F3001" s="166">
        <f t="shared" ca="1" si="219"/>
        <v>34</v>
      </c>
      <c r="G3001" s="166"/>
      <c r="H3001" s="171" t="str">
        <f t="shared" ca="1" si="222"/>
        <v/>
      </c>
      <c r="I3001" s="171" t="str">
        <f t="shared" ca="1" si="223"/>
        <v/>
      </c>
      <c r="J3001" s="171" t="str">
        <f t="shared" ca="1" si="224"/>
        <v/>
      </c>
      <c r="K3001" s="171" t="str">
        <f t="shared" ca="1" si="225"/>
        <v/>
      </c>
      <c r="L3001" s="166"/>
      <c r="M3001" s="166"/>
      <c r="N3001" s="166"/>
      <c r="O3001" s="166"/>
      <c r="P3001" s="166">
        <f t="shared" ca="1" si="220"/>
        <v>0</v>
      </c>
      <c r="Q3001" s="166"/>
    </row>
    <row r="3002" spans="1:17">
      <c r="A3002" s="166" t="b">
        <f t="shared" ca="1" si="221"/>
        <v>0</v>
      </c>
      <c r="B3002" s="172" t="str">
        <f ca="1">IF(COUNTA(G$2368:G3001)=1,"",OFFSET(B3002,-COUNTA(G$2368:G3001)+1,0))</f>
        <v>a1b3p000006eF3zAAE</v>
      </c>
      <c r="C3002" s="177">
        <f ca="1">IF(COUNTA(G$2368:G3001)=1,"",OFFSET(C3002,-COUNTA(G$2368:G3001)+1,0))</f>
        <v>26</v>
      </c>
      <c r="D3002" s="166">
        <f t="shared" si="217"/>
        <v>152</v>
      </c>
      <c r="E3002" s="166">
        <f t="shared" ca="1" si="218"/>
        <v>2</v>
      </c>
      <c r="F3002" s="166">
        <f t="shared" ca="1" si="219"/>
        <v>34</v>
      </c>
      <c r="G3002" s="166"/>
      <c r="H3002" s="171" t="str">
        <f t="shared" ca="1" si="222"/>
        <v/>
      </c>
      <c r="I3002" s="171" t="str">
        <f t="shared" ca="1" si="223"/>
        <v/>
      </c>
      <c r="J3002" s="171" t="str">
        <f t="shared" ca="1" si="224"/>
        <v/>
      </c>
      <c r="K3002" s="171" t="str">
        <f t="shared" ca="1" si="225"/>
        <v/>
      </c>
      <c r="L3002" s="166"/>
      <c r="M3002" s="166"/>
      <c r="N3002" s="166"/>
      <c r="O3002" s="166"/>
      <c r="P3002" s="166">
        <f t="shared" ca="1" si="220"/>
        <v>0</v>
      </c>
      <c r="Q3002" s="166"/>
    </row>
    <row r="3003" spans="1:17">
      <c r="A3003" s="166" t="b">
        <f t="shared" ca="1" si="221"/>
        <v>0</v>
      </c>
      <c r="B3003" s="172" t="str">
        <f ca="1">IF(COUNTA(G$2368:G3002)=1,"",OFFSET(B3003,-COUNTA(G$2368:G3002)+1,0))</f>
        <v>a1b3p000006eF5HAAU</v>
      </c>
      <c r="C3003" s="177">
        <f ca="1">IF(COUNTA(G$2368:G3002)=1,"",OFFSET(C3003,-COUNTA(G$2368:G3002)+1,0))</f>
        <v>26</v>
      </c>
      <c r="D3003" s="166">
        <f t="shared" si="217"/>
        <v>153</v>
      </c>
      <c r="E3003" s="166">
        <f t="shared" ca="1" si="218"/>
        <v>3</v>
      </c>
      <c r="F3003" s="166">
        <f t="shared" ca="1" si="219"/>
        <v>34</v>
      </c>
      <c r="G3003" s="166"/>
      <c r="H3003" s="171" t="str">
        <f t="shared" ca="1" si="222"/>
        <v/>
      </c>
      <c r="I3003" s="171" t="str">
        <f t="shared" ca="1" si="223"/>
        <v/>
      </c>
      <c r="J3003" s="171" t="str">
        <f t="shared" ca="1" si="224"/>
        <v/>
      </c>
      <c r="K3003" s="171" t="str">
        <f t="shared" ca="1" si="225"/>
        <v/>
      </c>
      <c r="L3003" s="166"/>
      <c r="M3003" s="166"/>
      <c r="N3003" s="166"/>
      <c r="O3003" s="166"/>
      <c r="P3003" s="166">
        <f t="shared" ca="1" si="220"/>
        <v>0</v>
      </c>
      <c r="Q3003" s="166"/>
    </row>
    <row r="3004" spans="1:17">
      <c r="A3004" s="166" t="b">
        <f t="shared" ca="1" si="221"/>
        <v>0</v>
      </c>
      <c r="B3004" s="172" t="str">
        <f ca="1">IF(COUNTA(G$2368:G3003)=1,"",OFFSET(B3004,-COUNTA(G$2368:G3003)+1,0))</f>
        <v>a1b3p000006eF6ZAAU</v>
      </c>
      <c r="C3004" s="177">
        <f ca="1">IF(COUNTA(G$2368:G3003)=1,"",OFFSET(C3004,-COUNTA(G$2368:G3003)+1,0))</f>
        <v>26</v>
      </c>
      <c r="D3004" s="166">
        <f t="shared" si="217"/>
        <v>154</v>
      </c>
      <c r="E3004" s="166">
        <f t="shared" ca="1" si="218"/>
        <v>4</v>
      </c>
      <c r="F3004" s="166">
        <f t="shared" ca="1" si="219"/>
        <v>34</v>
      </c>
      <c r="G3004" s="166"/>
      <c r="H3004" s="171" t="str">
        <f t="shared" ca="1" si="222"/>
        <v/>
      </c>
      <c r="I3004" s="171" t="str">
        <f t="shared" ca="1" si="223"/>
        <v/>
      </c>
      <c r="J3004" s="171" t="str">
        <f t="shared" ca="1" si="224"/>
        <v/>
      </c>
      <c r="K3004" s="171" t="str">
        <f t="shared" ca="1" si="225"/>
        <v/>
      </c>
      <c r="L3004" s="166"/>
      <c r="M3004" s="166"/>
      <c r="N3004" s="166"/>
      <c r="O3004" s="166"/>
      <c r="P3004" s="166">
        <f t="shared" ca="1" si="220"/>
        <v>0</v>
      </c>
      <c r="Q3004" s="166"/>
    </row>
    <row r="3005" spans="1:17">
      <c r="A3005" s="166" t="b">
        <f t="shared" ca="1" si="221"/>
        <v>0</v>
      </c>
      <c r="B3005" s="172" t="str">
        <f ca="1">IF(COUNTA(G$2368:G3004)=1,"",OFFSET(B3005,-COUNTA(G$2368:G3004)+1,0))</f>
        <v>a1b3p000006eF7rAAE</v>
      </c>
      <c r="C3005" s="177">
        <f ca="1">IF(COUNTA(G$2368:G3004)=1,"",OFFSET(C3005,-COUNTA(G$2368:G3004)+1,0))</f>
        <v>26</v>
      </c>
      <c r="D3005" s="166">
        <f t="shared" si="217"/>
        <v>155</v>
      </c>
      <c r="E3005" s="166">
        <f t="shared" ca="1" si="218"/>
        <v>5</v>
      </c>
      <c r="F3005" s="166">
        <f t="shared" ca="1" si="219"/>
        <v>34</v>
      </c>
      <c r="G3005" s="166"/>
      <c r="H3005" s="171" t="str">
        <f t="shared" ca="1" si="222"/>
        <v/>
      </c>
      <c r="I3005" s="171" t="str">
        <f t="shared" ca="1" si="223"/>
        <v/>
      </c>
      <c r="J3005" s="171" t="str">
        <f t="shared" ca="1" si="224"/>
        <v/>
      </c>
      <c r="K3005" s="171" t="str">
        <f t="shared" ca="1" si="225"/>
        <v/>
      </c>
      <c r="L3005" s="166"/>
      <c r="M3005" s="166"/>
      <c r="N3005" s="166"/>
      <c r="O3005" s="166"/>
      <c r="P3005" s="166">
        <f t="shared" ca="1" si="220"/>
        <v>0</v>
      </c>
      <c r="Q3005" s="166"/>
    </row>
    <row r="3006" spans="1:17">
      <c r="A3006" s="166" t="b">
        <f t="shared" ca="1" si="221"/>
        <v>0</v>
      </c>
      <c r="B3006" s="172" t="str">
        <f ca="1">IF(COUNTA(G$2368:G3005)=1,"",OFFSET(B3006,-COUNTA(G$2368:G3005)+1,0))</f>
        <v>a1b3p000006eF99AAE</v>
      </c>
      <c r="C3006" s="177">
        <f ca="1">IF(COUNTA(G$2368:G3005)=1,"",OFFSET(C3006,-COUNTA(G$2368:G3005)+1,0))</f>
        <v>26</v>
      </c>
      <c r="D3006" s="166">
        <f t="shared" si="217"/>
        <v>156</v>
      </c>
      <c r="E3006" s="166">
        <f t="shared" ca="1" si="218"/>
        <v>6</v>
      </c>
      <c r="F3006" s="166">
        <f t="shared" ca="1" si="219"/>
        <v>34</v>
      </c>
      <c r="G3006" s="166"/>
      <c r="H3006" s="171" t="str">
        <f t="shared" ca="1" si="222"/>
        <v/>
      </c>
      <c r="I3006" s="171" t="str">
        <f t="shared" ca="1" si="223"/>
        <v/>
      </c>
      <c r="J3006" s="171" t="str">
        <f t="shared" ca="1" si="224"/>
        <v/>
      </c>
      <c r="K3006" s="171" t="str">
        <f t="shared" ca="1" si="225"/>
        <v/>
      </c>
      <c r="L3006" s="166"/>
      <c r="M3006" s="166"/>
      <c r="N3006" s="166"/>
      <c r="O3006" s="166"/>
      <c r="P3006" s="166">
        <f t="shared" ca="1" si="220"/>
        <v>0</v>
      </c>
      <c r="Q3006" s="166"/>
    </row>
    <row r="3007" spans="1:17">
      <c r="A3007" s="166" t="b">
        <f t="shared" ca="1" si="221"/>
        <v>0</v>
      </c>
      <c r="B3007" s="172" t="str">
        <f ca="1">IF(COUNTA(G$2368:G3006)=1,"",OFFSET(B3007,-COUNTA(G$2368:G3006)+1,0))</f>
        <v>a1b3p000006eF2iAAE</v>
      </c>
      <c r="C3007" s="177">
        <f ca="1">IF(COUNTA(G$2368:G3006)=1,"",OFFSET(C3007,-COUNTA(G$2368:G3006)+1,0))</f>
        <v>27</v>
      </c>
      <c r="D3007" s="166">
        <f t="shared" si="217"/>
        <v>157</v>
      </c>
      <c r="E3007" s="166">
        <f t="shared" ca="1" si="218"/>
        <v>1</v>
      </c>
      <c r="F3007" s="166">
        <f t="shared" ca="1" si="219"/>
        <v>35</v>
      </c>
      <c r="G3007" s="166"/>
      <c r="H3007" s="171" t="str">
        <f t="shared" ca="1" si="222"/>
        <v/>
      </c>
      <c r="I3007" s="171" t="str">
        <f t="shared" ca="1" si="223"/>
        <v/>
      </c>
      <c r="J3007" s="171" t="str">
        <f t="shared" ca="1" si="224"/>
        <v/>
      </c>
      <c r="K3007" s="171" t="str">
        <f t="shared" ca="1" si="225"/>
        <v/>
      </c>
      <c r="L3007" s="166"/>
      <c r="M3007" s="166"/>
      <c r="N3007" s="166"/>
      <c r="O3007" s="166"/>
      <c r="P3007" s="166">
        <f t="shared" ca="1" si="220"/>
        <v>0</v>
      </c>
      <c r="Q3007" s="166"/>
    </row>
    <row r="3008" spans="1:17">
      <c r="A3008" s="166" t="b">
        <f t="shared" ca="1" si="221"/>
        <v>0</v>
      </c>
      <c r="B3008" s="172" t="str">
        <f ca="1">IF(COUNTA(G$2368:G3007)=1,"",OFFSET(B3008,-COUNTA(G$2368:G3007)+1,0))</f>
        <v>a1b3p000006eF40AAE</v>
      </c>
      <c r="C3008" s="177">
        <f ca="1">IF(COUNTA(G$2368:G3007)=1,"",OFFSET(C3008,-COUNTA(G$2368:G3007)+1,0))</f>
        <v>27</v>
      </c>
      <c r="D3008" s="166">
        <f t="shared" si="217"/>
        <v>158</v>
      </c>
      <c r="E3008" s="166">
        <f t="shared" ca="1" si="218"/>
        <v>2</v>
      </c>
      <c r="F3008" s="166">
        <f t="shared" ca="1" si="219"/>
        <v>35</v>
      </c>
      <c r="G3008" s="166"/>
      <c r="H3008" s="171" t="str">
        <f t="shared" ca="1" si="222"/>
        <v/>
      </c>
      <c r="I3008" s="171" t="str">
        <f t="shared" ca="1" si="223"/>
        <v/>
      </c>
      <c r="J3008" s="171" t="str">
        <f t="shared" ca="1" si="224"/>
        <v/>
      </c>
      <c r="K3008" s="171" t="str">
        <f t="shared" ca="1" si="225"/>
        <v/>
      </c>
      <c r="L3008" s="166"/>
      <c r="M3008" s="166"/>
      <c r="N3008" s="166"/>
      <c r="O3008" s="166"/>
      <c r="P3008" s="166">
        <f t="shared" ca="1" si="220"/>
        <v>0</v>
      </c>
      <c r="Q3008" s="166"/>
    </row>
    <row r="3009" spans="1:17">
      <c r="A3009" s="166" t="b">
        <f t="shared" ca="1" si="221"/>
        <v>0</v>
      </c>
      <c r="B3009" s="172" t="str">
        <f ca="1">IF(COUNTA(G$2368:G3008)=1,"",OFFSET(B3009,-COUNTA(G$2368:G3008)+1,0))</f>
        <v>a1b3p000006eF5IAAU</v>
      </c>
      <c r="C3009" s="177">
        <f ca="1">IF(COUNTA(G$2368:G3008)=1,"",OFFSET(C3009,-COUNTA(G$2368:G3008)+1,0))</f>
        <v>27</v>
      </c>
      <c r="D3009" s="166">
        <f t="shared" si="217"/>
        <v>159</v>
      </c>
      <c r="E3009" s="166">
        <f t="shared" ca="1" si="218"/>
        <v>3</v>
      </c>
      <c r="F3009" s="166">
        <f t="shared" ca="1" si="219"/>
        <v>35</v>
      </c>
      <c r="G3009" s="166"/>
      <c r="H3009" s="171" t="str">
        <f t="shared" ca="1" si="222"/>
        <v/>
      </c>
      <c r="I3009" s="171" t="str">
        <f t="shared" ca="1" si="223"/>
        <v/>
      </c>
      <c r="J3009" s="171" t="str">
        <f t="shared" ca="1" si="224"/>
        <v/>
      </c>
      <c r="K3009" s="171" t="str">
        <f t="shared" ca="1" si="225"/>
        <v/>
      </c>
      <c r="L3009" s="166"/>
      <c r="M3009" s="166"/>
      <c r="N3009" s="166"/>
      <c r="O3009" s="166"/>
      <c r="P3009" s="166">
        <f t="shared" ca="1" si="220"/>
        <v>0</v>
      </c>
      <c r="Q3009" s="166"/>
    </row>
    <row r="3010" spans="1:17">
      <c r="A3010" s="166" t="b">
        <f t="shared" ca="1" si="221"/>
        <v>0</v>
      </c>
      <c r="B3010" s="172" t="str">
        <f ca="1">IF(COUNTA(G$2368:G3009)=1,"",OFFSET(B3010,-COUNTA(G$2368:G3009)+1,0))</f>
        <v>a1b3p000006eF6aAAE</v>
      </c>
      <c r="C3010" s="177">
        <f ca="1">IF(COUNTA(G$2368:G3009)=1,"",OFFSET(C3010,-COUNTA(G$2368:G3009)+1,0))</f>
        <v>27</v>
      </c>
      <c r="D3010" s="166">
        <f t="shared" si="217"/>
        <v>160</v>
      </c>
      <c r="E3010" s="166">
        <f t="shared" ca="1" si="218"/>
        <v>4</v>
      </c>
      <c r="F3010" s="166">
        <f t="shared" ca="1" si="219"/>
        <v>35</v>
      </c>
      <c r="G3010" s="166"/>
      <c r="H3010" s="171" t="str">
        <f t="shared" ca="1" si="222"/>
        <v/>
      </c>
      <c r="I3010" s="171" t="str">
        <f t="shared" ca="1" si="223"/>
        <v/>
      </c>
      <c r="J3010" s="171" t="str">
        <f t="shared" ca="1" si="224"/>
        <v/>
      </c>
      <c r="K3010" s="171" t="str">
        <f t="shared" ca="1" si="225"/>
        <v/>
      </c>
      <c r="L3010" s="166"/>
      <c r="M3010" s="166"/>
      <c r="N3010" s="166"/>
      <c r="O3010" s="166"/>
      <c r="P3010" s="166">
        <f t="shared" ca="1" si="220"/>
        <v>0</v>
      </c>
      <c r="Q3010" s="166"/>
    </row>
    <row r="3011" spans="1:17">
      <c r="A3011" s="166" t="b">
        <f t="shared" ca="1" si="221"/>
        <v>0</v>
      </c>
      <c r="B3011" s="172" t="str">
        <f ca="1">IF(COUNTA(G$2368:G3010)=1,"",OFFSET(B3011,-COUNTA(G$2368:G3010)+1,0))</f>
        <v>a1b3p000006eF7sAAE</v>
      </c>
      <c r="C3011" s="177">
        <f ca="1">IF(COUNTA(G$2368:G3010)=1,"",OFFSET(C3011,-COUNTA(G$2368:G3010)+1,0))</f>
        <v>27</v>
      </c>
      <c r="D3011" s="166">
        <f t="shared" ref="D3011:D3074" si="226">D3010+1</f>
        <v>161</v>
      </c>
      <c r="E3011" s="166">
        <f t="shared" ref="E3011:E3074" ca="1" si="227">COUNTIF(C2841:C3011,C3011)</f>
        <v>5</v>
      </c>
      <c r="F3011" s="166">
        <f t="shared" ref="F3011:F3074" ca="1" si="228">IF(C3011=1,9,IF(E3010=MAX(E3009:E3011),F3009+1,F3010))</f>
        <v>35</v>
      </c>
      <c r="G3011" s="166"/>
      <c r="H3011" s="171" t="str">
        <f t="shared" ca="1" si="222"/>
        <v/>
      </c>
      <c r="I3011" s="171" t="str">
        <f t="shared" ca="1" si="223"/>
        <v/>
      </c>
      <c r="J3011" s="171" t="str">
        <f t="shared" ca="1" si="224"/>
        <v/>
      </c>
      <c r="K3011" s="171" t="str">
        <f t="shared" ca="1" si="225"/>
        <v/>
      </c>
      <c r="L3011" s="166"/>
      <c r="M3011" s="166"/>
      <c r="N3011" s="166"/>
      <c r="O3011" s="166"/>
      <c r="P3011" s="166">
        <f t="shared" ref="P3011:P3074" ca="1" si="229">IF(NOT(_xlfn.ISFORMULA(I3011)),P3010+1,0)</f>
        <v>0</v>
      </c>
      <c r="Q3011" s="166"/>
    </row>
    <row r="3012" spans="1:17">
      <c r="A3012" s="166" t="b">
        <f t="shared" ca="1" si="221"/>
        <v>0</v>
      </c>
      <c r="B3012" s="172" t="str">
        <f ca="1">IF(COUNTA(G$2368:G3011)=1,"",OFFSET(B3012,-COUNTA(G$2368:G3011)+1,0))</f>
        <v>a1b3p000006eF9AAAU</v>
      </c>
      <c r="C3012" s="177">
        <f ca="1">IF(COUNTA(G$2368:G3011)=1,"",OFFSET(C3012,-COUNTA(G$2368:G3011)+1,0))</f>
        <v>27</v>
      </c>
      <c r="D3012" s="166">
        <f t="shared" si="226"/>
        <v>162</v>
      </c>
      <c r="E3012" s="166">
        <f t="shared" ca="1" si="227"/>
        <v>6</v>
      </c>
      <c r="F3012" s="166">
        <f t="shared" ca="1" si="228"/>
        <v>35</v>
      </c>
      <c r="G3012" s="166"/>
      <c r="H3012" s="171" t="str">
        <f t="shared" ca="1" si="222"/>
        <v/>
      </c>
      <c r="I3012" s="171" t="str">
        <f t="shared" ca="1" si="223"/>
        <v/>
      </c>
      <c r="J3012" s="171" t="str">
        <f t="shared" ca="1" si="224"/>
        <v/>
      </c>
      <c r="K3012" s="171" t="str">
        <f t="shared" ca="1" si="225"/>
        <v/>
      </c>
      <c r="L3012" s="166"/>
      <c r="M3012" s="166"/>
      <c r="N3012" s="166"/>
      <c r="O3012" s="166"/>
      <c r="P3012" s="166">
        <f t="shared" ca="1" si="229"/>
        <v>0</v>
      </c>
      <c r="Q3012" s="166"/>
    </row>
    <row r="3013" spans="1:17">
      <c r="A3013" s="166" t="b">
        <f t="shared" ca="1" si="221"/>
        <v>0</v>
      </c>
      <c r="B3013" s="172" t="str">
        <f ca="1">IF(COUNTA(G$2368:G3012)=1,"",OFFSET(B3013,-COUNTA(G$2368:G3012)+1,0))</f>
        <v>a1b3p000006eF2jAAE</v>
      </c>
      <c r="C3013" s="177">
        <f ca="1">IF(COUNTA(G$2368:G3012)=1,"",OFFSET(C3013,-COUNTA(G$2368:G3012)+1,0))</f>
        <v>28</v>
      </c>
      <c r="D3013" s="166">
        <f t="shared" si="226"/>
        <v>163</v>
      </c>
      <c r="E3013" s="166">
        <f t="shared" ca="1" si="227"/>
        <v>1</v>
      </c>
      <c r="F3013" s="166">
        <f t="shared" ca="1" si="228"/>
        <v>36</v>
      </c>
      <c r="G3013" s="166"/>
      <c r="H3013" s="171" t="str">
        <f t="shared" ca="1" si="222"/>
        <v/>
      </c>
      <c r="I3013" s="171" t="str">
        <f t="shared" ca="1" si="223"/>
        <v/>
      </c>
      <c r="J3013" s="171" t="str">
        <f t="shared" ca="1" si="224"/>
        <v/>
      </c>
      <c r="K3013" s="171" t="str">
        <f t="shared" ca="1" si="225"/>
        <v/>
      </c>
      <c r="L3013" s="166"/>
      <c r="M3013" s="166"/>
      <c r="N3013" s="166"/>
      <c r="O3013" s="166"/>
      <c r="P3013" s="166">
        <f t="shared" ca="1" si="229"/>
        <v>0</v>
      </c>
      <c r="Q3013" s="166"/>
    </row>
    <row r="3014" spans="1:17">
      <c r="A3014" s="166" t="b">
        <f t="shared" ca="1" si="221"/>
        <v>0</v>
      </c>
      <c r="B3014" s="172" t="str">
        <f ca="1">IF(COUNTA(G$2368:G3013)=1,"",OFFSET(B3014,-COUNTA(G$2368:G3013)+1,0))</f>
        <v>a1b3p000006eF41AAE</v>
      </c>
      <c r="C3014" s="177">
        <f ca="1">IF(COUNTA(G$2368:G3013)=1,"",OFFSET(C3014,-COUNTA(G$2368:G3013)+1,0))</f>
        <v>28</v>
      </c>
      <c r="D3014" s="166">
        <f t="shared" si="226"/>
        <v>164</v>
      </c>
      <c r="E3014" s="166">
        <f t="shared" ca="1" si="227"/>
        <v>2</v>
      </c>
      <c r="F3014" s="166">
        <f t="shared" ca="1" si="228"/>
        <v>36</v>
      </c>
      <c r="G3014" s="166"/>
      <c r="H3014" s="171" t="str">
        <f t="shared" ca="1" si="222"/>
        <v/>
      </c>
      <c r="I3014" s="171" t="str">
        <f t="shared" ca="1" si="223"/>
        <v/>
      </c>
      <c r="J3014" s="171" t="str">
        <f t="shared" ca="1" si="224"/>
        <v/>
      </c>
      <c r="K3014" s="171" t="str">
        <f t="shared" ca="1" si="225"/>
        <v/>
      </c>
      <c r="L3014" s="166"/>
      <c r="M3014" s="166"/>
      <c r="N3014" s="166"/>
      <c r="O3014" s="166"/>
      <c r="P3014" s="166">
        <f t="shared" ca="1" si="229"/>
        <v>0</v>
      </c>
      <c r="Q3014" s="166"/>
    </row>
    <row r="3015" spans="1:17">
      <c r="A3015" s="166" t="b">
        <f t="shared" ca="1" si="221"/>
        <v>0</v>
      </c>
      <c r="B3015" s="172" t="str">
        <f ca="1">IF(COUNTA(G$2368:G3014)=1,"",OFFSET(B3015,-COUNTA(G$2368:G3014)+1,0))</f>
        <v>a1b3p000006eF5JAAU</v>
      </c>
      <c r="C3015" s="177">
        <f ca="1">IF(COUNTA(G$2368:G3014)=1,"",OFFSET(C3015,-COUNTA(G$2368:G3014)+1,0))</f>
        <v>28</v>
      </c>
      <c r="D3015" s="166">
        <f t="shared" si="226"/>
        <v>165</v>
      </c>
      <c r="E3015" s="166">
        <f t="shared" ca="1" si="227"/>
        <v>3</v>
      </c>
      <c r="F3015" s="166">
        <f t="shared" ca="1" si="228"/>
        <v>36</v>
      </c>
      <c r="G3015" s="166"/>
      <c r="H3015" s="171" t="str">
        <f t="shared" ca="1" si="222"/>
        <v/>
      </c>
      <c r="I3015" s="171" t="str">
        <f t="shared" ca="1" si="223"/>
        <v/>
      </c>
      <c r="J3015" s="171" t="str">
        <f t="shared" ca="1" si="224"/>
        <v/>
      </c>
      <c r="K3015" s="171" t="str">
        <f t="shared" ca="1" si="225"/>
        <v/>
      </c>
      <c r="L3015" s="166"/>
      <c r="M3015" s="166"/>
      <c r="N3015" s="166"/>
      <c r="O3015" s="166"/>
      <c r="P3015" s="166">
        <f t="shared" ca="1" si="229"/>
        <v>0</v>
      </c>
      <c r="Q3015" s="166"/>
    </row>
    <row r="3016" spans="1:17">
      <c r="A3016" s="166" t="b">
        <f t="shared" ca="1" si="221"/>
        <v>0</v>
      </c>
      <c r="B3016" s="172" t="str">
        <f ca="1">IF(COUNTA(G$2368:G3015)=1,"",OFFSET(B3016,-COUNTA(G$2368:G3015)+1,0))</f>
        <v>a1b3p000006eF6bAAE</v>
      </c>
      <c r="C3016" s="177">
        <f ca="1">IF(COUNTA(G$2368:G3015)=1,"",OFFSET(C3016,-COUNTA(G$2368:G3015)+1,0))</f>
        <v>28</v>
      </c>
      <c r="D3016" s="166">
        <f t="shared" si="226"/>
        <v>166</v>
      </c>
      <c r="E3016" s="166">
        <f t="shared" ca="1" si="227"/>
        <v>4</v>
      </c>
      <c r="F3016" s="166">
        <f t="shared" ca="1" si="228"/>
        <v>36</v>
      </c>
      <c r="G3016" s="166"/>
      <c r="H3016" s="171" t="str">
        <f t="shared" ca="1" si="222"/>
        <v/>
      </c>
      <c r="I3016" s="171" t="str">
        <f t="shared" ca="1" si="223"/>
        <v/>
      </c>
      <c r="J3016" s="171" t="str">
        <f t="shared" ca="1" si="224"/>
        <v/>
      </c>
      <c r="K3016" s="171" t="str">
        <f t="shared" ca="1" si="225"/>
        <v/>
      </c>
      <c r="L3016" s="166"/>
      <c r="M3016" s="166"/>
      <c r="N3016" s="166"/>
      <c r="O3016" s="166"/>
      <c r="P3016" s="166">
        <f t="shared" ca="1" si="229"/>
        <v>0</v>
      </c>
      <c r="Q3016" s="166"/>
    </row>
    <row r="3017" spans="1:17">
      <c r="A3017" s="166" t="b">
        <f t="shared" ca="1" si="221"/>
        <v>0</v>
      </c>
      <c r="B3017" s="172" t="str">
        <f ca="1">IF(COUNTA(G$2368:G3016)=1,"",OFFSET(B3017,-COUNTA(G$2368:G3016)+1,0))</f>
        <v>a1b3p000006eF7tAAE</v>
      </c>
      <c r="C3017" s="177">
        <f ca="1">IF(COUNTA(G$2368:G3016)=1,"",OFFSET(C3017,-COUNTA(G$2368:G3016)+1,0))</f>
        <v>28</v>
      </c>
      <c r="D3017" s="166">
        <f t="shared" si="226"/>
        <v>167</v>
      </c>
      <c r="E3017" s="166">
        <f t="shared" ca="1" si="227"/>
        <v>5</v>
      </c>
      <c r="F3017" s="166">
        <f t="shared" ca="1" si="228"/>
        <v>36</v>
      </c>
      <c r="G3017" s="166"/>
      <c r="H3017" s="171" t="str">
        <f t="shared" ca="1" si="222"/>
        <v/>
      </c>
      <c r="I3017" s="171" t="str">
        <f t="shared" ca="1" si="223"/>
        <v/>
      </c>
      <c r="J3017" s="171" t="str">
        <f t="shared" ca="1" si="224"/>
        <v/>
      </c>
      <c r="K3017" s="171" t="str">
        <f t="shared" ca="1" si="225"/>
        <v/>
      </c>
      <c r="L3017" s="166"/>
      <c r="M3017" s="166"/>
      <c r="N3017" s="166"/>
      <c r="O3017" s="166"/>
      <c r="P3017" s="166">
        <f t="shared" ca="1" si="229"/>
        <v>0</v>
      </c>
      <c r="Q3017" s="166"/>
    </row>
    <row r="3018" spans="1:17">
      <c r="A3018" s="166" t="b">
        <f t="shared" ca="1" si="221"/>
        <v>0</v>
      </c>
      <c r="B3018" s="172" t="str">
        <f ca="1">IF(COUNTA(G$2368:G3017)=1,"",OFFSET(B3018,-COUNTA(G$2368:G3017)+1,0))</f>
        <v>a1b3p000006eF9BAAU</v>
      </c>
      <c r="C3018" s="177">
        <f ca="1">IF(COUNTA(G$2368:G3017)=1,"",OFFSET(C3018,-COUNTA(G$2368:G3017)+1,0))</f>
        <v>28</v>
      </c>
      <c r="D3018" s="166">
        <f t="shared" si="226"/>
        <v>168</v>
      </c>
      <c r="E3018" s="166">
        <f t="shared" ca="1" si="227"/>
        <v>6</v>
      </c>
      <c r="F3018" s="166">
        <f t="shared" ca="1" si="228"/>
        <v>36</v>
      </c>
      <c r="G3018" s="166"/>
      <c r="H3018" s="171" t="str">
        <f t="shared" ca="1" si="222"/>
        <v/>
      </c>
      <c r="I3018" s="171" t="str">
        <f t="shared" ca="1" si="223"/>
        <v/>
      </c>
      <c r="J3018" s="171" t="str">
        <f t="shared" ca="1" si="224"/>
        <v/>
      </c>
      <c r="K3018" s="171" t="str">
        <f t="shared" ca="1" si="225"/>
        <v/>
      </c>
      <c r="L3018" s="166"/>
      <c r="M3018" s="166"/>
      <c r="N3018" s="166"/>
      <c r="O3018" s="166"/>
      <c r="P3018" s="166">
        <f t="shared" ca="1" si="229"/>
        <v>0</v>
      </c>
      <c r="Q3018" s="166"/>
    </row>
    <row r="3019" spans="1:17">
      <c r="A3019" s="166" t="b">
        <f t="shared" ca="1" si="221"/>
        <v>0</v>
      </c>
      <c r="B3019" s="172" t="str">
        <f ca="1">IF(COUNTA(G$2368:G3018)=1,"",OFFSET(B3019,-COUNTA(G$2368:G3018)+1,0))</f>
        <v>a1b3p000006eF2kAAE</v>
      </c>
      <c r="C3019" s="177">
        <f ca="1">IF(COUNTA(G$2368:G3018)=1,"",OFFSET(C3019,-COUNTA(G$2368:G3018)+1,0))</f>
        <v>29</v>
      </c>
      <c r="D3019" s="166">
        <f t="shared" si="226"/>
        <v>169</v>
      </c>
      <c r="E3019" s="166">
        <f t="shared" ca="1" si="227"/>
        <v>1</v>
      </c>
      <c r="F3019" s="166">
        <f t="shared" ca="1" si="228"/>
        <v>37</v>
      </c>
      <c r="G3019" s="166"/>
      <c r="H3019" s="171" t="str">
        <f t="shared" ca="1" si="222"/>
        <v/>
      </c>
      <c r="I3019" s="171" t="str">
        <f t="shared" ca="1" si="223"/>
        <v/>
      </c>
      <c r="J3019" s="171" t="str">
        <f t="shared" ca="1" si="224"/>
        <v/>
      </c>
      <c r="K3019" s="171" t="str">
        <f t="shared" ca="1" si="225"/>
        <v/>
      </c>
      <c r="L3019" s="166"/>
      <c r="M3019" s="166"/>
      <c r="N3019" s="166"/>
      <c r="O3019" s="166"/>
      <c r="P3019" s="166">
        <f t="shared" ca="1" si="229"/>
        <v>0</v>
      </c>
      <c r="Q3019" s="166"/>
    </row>
    <row r="3020" spans="1:17">
      <c r="A3020" s="166" t="b">
        <f t="shared" ca="1" si="221"/>
        <v>0</v>
      </c>
      <c r="B3020" s="172" t="str">
        <f ca="1">IF(COUNTA(G$2368:G3019)=1,"",OFFSET(B3020,-COUNTA(G$2368:G3019)+1,0))</f>
        <v>a1b3p000006eF42AAE</v>
      </c>
      <c r="C3020" s="177">
        <f ca="1">IF(COUNTA(G$2368:G3019)=1,"",OFFSET(C3020,-COUNTA(G$2368:G3019)+1,0))</f>
        <v>29</v>
      </c>
      <c r="D3020" s="166">
        <f t="shared" si="226"/>
        <v>170</v>
      </c>
      <c r="E3020" s="166">
        <f t="shared" ca="1" si="227"/>
        <v>2</v>
      </c>
      <c r="F3020" s="166">
        <f t="shared" ca="1" si="228"/>
        <v>37</v>
      </c>
      <c r="G3020" s="166"/>
      <c r="H3020" s="171" t="str">
        <f t="shared" ca="1" si="222"/>
        <v/>
      </c>
      <c r="I3020" s="171" t="str">
        <f t="shared" ca="1" si="223"/>
        <v/>
      </c>
      <c r="J3020" s="171" t="str">
        <f t="shared" ca="1" si="224"/>
        <v/>
      </c>
      <c r="K3020" s="171" t="str">
        <f t="shared" ca="1" si="225"/>
        <v/>
      </c>
      <c r="L3020" s="166"/>
      <c r="M3020" s="166"/>
      <c r="N3020" s="166"/>
      <c r="O3020" s="166"/>
      <c r="P3020" s="166">
        <f t="shared" ca="1" si="229"/>
        <v>0</v>
      </c>
      <c r="Q3020" s="166"/>
    </row>
    <row r="3021" spans="1:17">
      <c r="A3021" s="166" t="b">
        <f t="shared" ca="1" si="221"/>
        <v>0</v>
      </c>
      <c r="B3021" s="172" t="str">
        <f ca="1">IF(COUNTA(G$2368:G3020)=1,"",OFFSET(B3021,-COUNTA(G$2368:G3020)+1,0))</f>
        <v>a1b3p000006eF5KAAU</v>
      </c>
      <c r="C3021" s="177">
        <f ca="1">IF(COUNTA(G$2368:G3020)=1,"",OFFSET(C3021,-COUNTA(G$2368:G3020)+1,0))</f>
        <v>29</v>
      </c>
      <c r="D3021" s="166">
        <f t="shared" si="226"/>
        <v>171</v>
      </c>
      <c r="E3021" s="166">
        <f t="shared" ca="1" si="227"/>
        <v>3</v>
      </c>
      <c r="F3021" s="166">
        <f t="shared" ca="1" si="228"/>
        <v>37</v>
      </c>
      <c r="G3021" s="166"/>
      <c r="H3021" s="171" t="str">
        <f t="shared" ca="1" si="222"/>
        <v/>
      </c>
      <c r="I3021" s="171" t="str">
        <f t="shared" ca="1" si="223"/>
        <v/>
      </c>
      <c r="J3021" s="171" t="str">
        <f t="shared" ca="1" si="224"/>
        <v/>
      </c>
      <c r="K3021" s="171" t="str">
        <f t="shared" ca="1" si="225"/>
        <v/>
      </c>
      <c r="L3021" s="166"/>
      <c r="M3021" s="166"/>
      <c r="N3021" s="166"/>
      <c r="O3021" s="166"/>
      <c r="P3021" s="166">
        <f t="shared" ca="1" si="229"/>
        <v>0</v>
      </c>
      <c r="Q3021" s="166"/>
    </row>
    <row r="3022" spans="1:17">
      <c r="A3022" s="166" t="b">
        <f t="shared" ca="1" si="221"/>
        <v>0</v>
      </c>
      <c r="B3022" s="172" t="str">
        <f ca="1">IF(COUNTA(G$2368:G3021)=1,"",OFFSET(B3022,-COUNTA(G$2368:G3021)+1,0))</f>
        <v>a1b3p000006eF6cAAE</v>
      </c>
      <c r="C3022" s="177">
        <f ca="1">IF(COUNTA(G$2368:G3021)=1,"",OFFSET(C3022,-COUNTA(G$2368:G3021)+1,0))</f>
        <v>29</v>
      </c>
      <c r="D3022" s="166">
        <f t="shared" si="226"/>
        <v>172</v>
      </c>
      <c r="E3022" s="166">
        <f t="shared" ca="1" si="227"/>
        <v>4</v>
      </c>
      <c r="F3022" s="166">
        <f t="shared" ca="1" si="228"/>
        <v>37</v>
      </c>
      <c r="G3022" s="166"/>
      <c r="H3022" s="171" t="str">
        <f t="shared" ca="1" si="222"/>
        <v/>
      </c>
      <c r="I3022" s="171" t="str">
        <f t="shared" ca="1" si="223"/>
        <v/>
      </c>
      <c r="J3022" s="171" t="str">
        <f t="shared" ca="1" si="224"/>
        <v/>
      </c>
      <c r="K3022" s="171" t="str">
        <f t="shared" ca="1" si="225"/>
        <v/>
      </c>
      <c r="L3022" s="166"/>
      <c r="M3022" s="166"/>
      <c r="N3022" s="166"/>
      <c r="O3022" s="166"/>
      <c r="P3022" s="166">
        <f t="shared" ca="1" si="229"/>
        <v>0</v>
      </c>
      <c r="Q3022" s="166"/>
    </row>
    <row r="3023" spans="1:17">
      <c r="A3023" s="166" t="b">
        <f t="shared" ca="1" si="221"/>
        <v>0</v>
      </c>
      <c r="B3023" s="172" t="str">
        <f ca="1">IF(COUNTA(G$2368:G3022)=1,"",OFFSET(B3023,-COUNTA(G$2368:G3022)+1,0))</f>
        <v>a1b3p000006eF7uAAE</v>
      </c>
      <c r="C3023" s="177">
        <f ca="1">IF(COUNTA(G$2368:G3022)=1,"",OFFSET(C3023,-COUNTA(G$2368:G3022)+1,0))</f>
        <v>29</v>
      </c>
      <c r="D3023" s="166">
        <f t="shared" si="226"/>
        <v>173</v>
      </c>
      <c r="E3023" s="166">
        <f t="shared" ca="1" si="227"/>
        <v>5</v>
      </c>
      <c r="F3023" s="166">
        <f t="shared" ca="1" si="228"/>
        <v>37</v>
      </c>
      <c r="G3023" s="166"/>
      <c r="H3023" s="171" t="str">
        <f t="shared" ca="1" si="222"/>
        <v/>
      </c>
      <c r="I3023" s="171" t="str">
        <f t="shared" ca="1" si="223"/>
        <v/>
      </c>
      <c r="J3023" s="171" t="str">
        <f t="shared" ca="1" si="224"/>
        <v/>
      </c>
      <c r="K3023" s="171" t="str">
        <f t="shared" ca="1" si="225"/>
        <v/>
      </c>
      <c r="L3023" s="166"/>
      <c r="M3023" s="166"/>
      <c r="N3023" s="166"/>
      <c r="O3023" s="166"/>
      <c r="P3023" s="166">
        <f t="shared" ca="1" si="229"/>
        <v>0</v>
      </c>
      <c r="Q3023" s="166"/>
    </row>
    <row r="3024" spans="1:17">
      <c r="A3024" s="166" t="b">
        <f t="shared" ca="1" si="221"/>
        <v>0</v>
      </c>
      <c r="B3024" s="172" t="str">
        <f ca="1">IF(COUNTA(G$2368:G3023)=1,"",OFFSET(B3024,-COUNTA(G$2368:G3023)+1,0))</f>
        <v>a1b3p000006eF9CAAU</v>
      </c>
      <c r="C3024" s="177">
        <f ca="1">IF(COUNTA(G$2368:G3023)=1,"",OFFSET(C3024,-COUNTA(G$2368:G3023)+1,0))</f>
        <v>29</v>
      </c>
      <c r="D3024" s="166">
        <f t="shared" si="226"/>
        <v>174</v>
      </c>
      <c r="E3024" s="166">
        <f t="shared" ca="1" si="227"/>
        <v>6</v>
      </c>
      <c r="F3024" s="166">
        <f t="shared" ca="1" si="228"/>
        <v>37</v>
      </c>
      <c r="G3024" s="166"/>
      <c r="H3024" s="171" t="str">
        <f t="shared" ca="1" si="222"/>
        <v/>
      </c>
      <c r="I3024" s="171" t="str">
        <f t="shared" ca="1" si="223"/>
        <v/>
      </c>
      <c r="J3024" s="171" t="str">
        <f t="shared" ca="1" si="224"/>
        <v/>
      </c>
      <c r="K3024" s="171" t="str">
        <f t="shared" ca="1" si="225"/>
        <v/>
      </c>
      <c r="L3024" s="166"/>
      <c r="M3024" s="166"/>
      <c r="N3024" s="166"/>
      <c r="O3024" s="166"/>
      <c r="P3024" s="166">
        <f t="shared" ca="1" si="229"/>
        <v>0</v>
      </c>
      <c r="Q3024" s="166"/>
    </row>
    <row r="3025" spans="1:17">
      <c r="A3025" s="166" t="b">
        <f t="shared" ca="1" si="221"/>
        <v>0</v>
      </c>
      <c r="B3025" s="172" t="str">
        <f ca="1">IF(COUNTA(G$2368:G3024)=1,"",OFFSET(B3025,-COUNTA(G$2368:G3024)+1,0))</f>
        <v>a1b3p000006eF2lAAE</v>
      </c>
      <c r="C3025" s="177">
        <f ca="1">IF(COUNTA(G$2368:G3024)=1,"",OFFSET(C3025,-COUNTA(G$2368:G3024)+1,0))</f>
        <v>30</v>
      </c>
      <c r="D3025" s="166">
        <f t="shared" si="226"/>
        <v>175</v>
      </c>
      <c r="E3025" s="166">
        <f t="shared" ca="1" si="227"/>
        <v>1</v>
      </c>
      <c r="F3025" s="166">
        <f t="shared" ca="1" si="228"/>
        <v>38</v>
      </c>
      <c r="G3025" s="166"/>
      <c r="H3025" s="171" t="str">
        <f t="shared" ca="1" si="222"/>
        <v/>
      </c>
      <c r="I3025" s="171" t="str">
        <f t="shared" ca="1" si="223"/>
        <v/>
      </c>
      <c r="J3025" s="171" t="str">
        <f t="shared" ca="1" si="224"/>
        <v/>
      </c>
      <c r="K3025" s="171" t="str">
        <f t="shared" ca="1" si="225"/>
        <v/>
      </c>
      <c r="L3025" s="166"/>
      <c r="M3025" s="166"/>
      <c r="N3025" s="166"/>
      <c r="O3025" s="166"/>
      <c r="P3025" s="166">
        <f t="shared" ca="1" si="229"/>
        <v>0</v>
      </c>
      <c r="Q3025" s="166"/>
    </row>
    <row r="3026" spans="1:17">
      <c r="A3026" s="166" t="b">
        <f t="shared" ca="1" si="221"/>
        <v>0</v>
      </c>
      <c r="B3026" s="172" t="str">
        <f ca="1">IF(COUNTA(G$2368:G3025)=1,"",OFFSET(B3026,-COUNTA(G$2368:G3025)+1,0))</f>
        <v>a1b3p000006eF43AAE</v>
      </c>
      <c r="C3026" s="177">
        <f ca="1">IF(COUNTA(G$2368:G3025)=1,"",OFFSET(C3026,-COUNTA(G$2368:G3025)+1,0))</f>
        <v>30</v>
      </c>
      <c r="D3026" s="166">
        <f t="shared" si="226"/>
        <v>176</v>
      </c>
      <c r="E3026" s="166">
        <f t="shared" ca="1" si="227"/>
        <v>2</v>
      </c>
      <c r="F3026" s="166">
        <f t="shared" ca="1" si="228"/>
        <v>38</v>
      </c>
      <c r="G3026" s="166"/>
      <c r="H3026" s="171" t="str">
        <f t="shared" ca="1" si="222"/>
        <v/>
      </c>
      <c r="I3026" s="171" t="str">
        <f t="shared" ca="1" si="223"/>
        <v/>
      </c>
      <c r="J3026" s="171" t="str">
        <f t="shared" ca="1" si="224"/>
        <v/>
      </c>
      <c r="K3026" s="171" t="str">
        <f t="shared" ca="1" si="225"/>
        <v/>
      </c>
      <c r="L3026" s="166"/>
      <c r="M3026" s="166"/>
      <c r="N3026" s="166"/>
      <c r="O3026" s="166"/>
      <c r="P3026" s="166">
        <f t="shared" ca="1" si="229"/>
        <v>0</v>
      </c>
      <c r="Q3026" s="166"/>
    </row>
    <row r="3027" spans="1:17">
      <c r="A3027" s="166" t="b">
        <f t="shared" ca="1" si="221"/>
        <v>0</v>
      </c>
      <c r="B3027" s="172" t="str">
        <f ca="1">IF(COUNTA(G$2368:G3026)=1,"",OFFSET(B3027,-COUNTA(G$2368:G3026)+1,0))</f>
        <v>a1b3p000006eF5LAAU</v>
      </c>
      <c r="C3027" s="177">
        <f ca="1">IF(COUNTA(G$2368:G3026)=1,"",OFFSET(C3027,-COUNTA(G$2368:G3026)+1,0))</f>
        <v>30</v>
      </c>
      <c r="D3027" s="166">
        <f t="shared" si="226"/>
        <v>177</v>
      </c>
      <c r="E3027" s="166">
        <f t="shared" ca="1" si="227"/>
        <v>3</v>
      </c>
      <c r="F3027" s="166">
        <f t="shared" ca="1" si="228"/>
        <v>38</v>
      </c>
      <c r="G3027" s="166"/>
      <c r="H3027" s="171" t="str">
        <f t="shared" ca="1" si="222"/>
        <v/>
      </c>
      <c r="I3027" s="171" t="str">
        <f t="shared" ca="1" si="223"/>
        <v/>
      </c>
      <c r="J3027" s="171" t="str">
        <f t="shared" ca="1" si="224"/>
        <v/>
      </c>
      <c r="K3027" s="171" t="str">
        <f t="shared" ca="1" si="225"/>
        <v/>
      </c>
      <c r="L3027" s="166"/>
      <c r="M3027" s="166"/>
      <c r="N3027" s="166"/>
      <c r="O3027" s="166"/>
      <c r="P3027" s="166">
        <f t="shared" ca="1" si="229"/>
        <v>0</v>
      </c>
      <c r="Q3027" s="166"/>
    </row>
    <row r="3028" spans="1:17">
      <c r="A3028" s="166" t="b">
        <f t="shared" ca="1" si="221"/>
        <v>0</v>
      </c>
      <c r="B3028" s="172" t="str">
        <f ca="1">IF(COUNTA(G$2368:G3027)=1,"",OFFSET(B3028,-COUNTA(G$2368:G3027)+1,0))</f>
        <v>a1b3p000006eF6dAAE</v>
      </c>
      <c r="C3028" s="177">
        <f ca="1">IF(COUNTA(G$2368:G3027)=1,"",OFFSET(C3028,-COUNTA(G$2368:G3027)+1,0))</f>
        <v>30</v>
      </c>
      <c r="D3028" s="166">
        <f t="shared" si="226"/>
        <v>178</v>
      </c>
      <c r="E3028" s="166">
        <f t="shared" ca="1" si="227"/>
        <v>4</v>
      </c>
      <c r="F3028" s="166">
        <f t="shared" ca="1" si="228"/>
        <v>38</v>
      </c>
      <c r="G3028" s="166"/>
      <c r="H3028" s="171" t="str">
        <f t="shared" ca="1" si="222"/>
        <v/>
      </c>
      <c r="I3028" s="171" t="str">
        <f t="shared" ca="1" si="223"/>
        <v/>
      </c>
      <c r="J3028" s="171" t="str">
        <f t="shared" ca="1" si="224"/>
        <v/>
      </c>
      <c r="K3028" s="171" t="str">
        <f t="shared" ca="1" si="225"/>
        <v/>
      </c>
      <c r="L3028" s="166"/>
      <c r="M3028" s="166"/>
      <c r="N3028" s="166"/>
      <c r="O3028" s="166"/>
      <c r="P3028" s="166">
        <f t="shared" ca="1" si="229"/>
        <v>0</v>
      </c>
      <c r="Q3028" s="166"/>
    </row>
    <row r="3029" spans="1:17">
      <c r="A3029" s="166" t="b">
        <f t="shared" ca="1" si="221"/>
        <v>0</v>
      </c>
      <c r="B3029" s="172" t="str">
        <f ca="1">IF(COUNTA(G$2368:G3028)=1,"",OFFSET(B3029,-COUNTA(G$2368:G3028)+1,0))</f>
        <v>a1b3p000006eF7vAAE</v>
      </c>
      <c r="C3029" s="177">
        <f ca="1">IF(COUNTA(G$2368:G3028)=1,"",OFFSET(C3029,-COUNTA(G$2368:G3028)+1,0))</f>
        <v>30</v>
      </c>
      <c r="D3029" s="166">
        <f t="shared" si="226"/>
        <v>179</v>
      </c>
      <c r="E3029" s="166">
        <f t="shared" ca="1" si="227"/>
        <v>5</v>
      </c>
      <c r="F3029" s="166">
        <f t="shared" ca="1" si="228"/>
        <v>38</v>
      </c>
      <c r="G3029" s="166"/>
      <c r="H3029" s="171" t="str">
        <f t="shared" ca="1" si="222"/>
        <v/>
      </c>
      <c r="I3029" s="171" t="str">
        <f t="shared" ca="1" si="223"/>
        <v/>
      </c>
      <c r="J3029" s="171" t="str">
        <f t="shared" ca="1" si="224"/>
        <v/>
      </c>
      <c r="K3029" s="171" t="str">
        <f t="shared" ca="1" si="225"/>
        <v/>
      </c>
      <c r="L3029" s="166"/>
      <c r="M3029" s="166"/>
      <c r="N3029" s="166"/>
      <c r="O3029" s="166"/>
      <c r="P3029" s="166">
        <f t="shared" ca="1" si="229"/>
        <v>0</v>
      </c>
      <c r="Q3029" s="166"/>
    </row>
    <row r="3030" spans="1:17">
      <c r="A3030" s="166" t="b">
        <f t="shared" ca="1" si="221"/>
        <v>0</v>
      </c>
      <c r="B3030" s="172" t="str">
        <f ca="1">IF(COUNTA(G$2368:G3029)=1,"",OFFSET(B3030,-COUNTA(G$2368:G3029)+1,0))</f>
        <v>a1b3p000006eF9DAAU</v>
      </c>
      <c r="C3030" s="177">
        <f ca="1">IF(COUNTA(G$2368:G3029)=1,"",OFFSET(C3030,-COUNTA(G$2368:G3029)+1,0))</f>
        <v>30</v>
      </c>
      <c r="D3030" s="166">
        <f t="shared" si="226"/>
        <v>180</v>
      </c>
      <c r="E3030" s="166">
        <f t="shared" ca="1" si="227"/>
        <v>6</v>
      </c>
      <c r="F3030" s="166">
        <f t="shared" ca="1" si="228"/>
        <v>38</v>
      </c>
      <c r="G3030" s="166"/>
      <c r="H3030" s="171" t="str">
        <f t="shared" ca="1" si="222"/>
        <v/>
      </c>
      <c r="I3030" s="171" t="str">
        <f t="shared" ca="1" si="223"/>
        <v/>
      </c>
      <c r="J3030" s="171" t="str">
        <f t="shared" ca="1" si="224"/>
        <v/>
      </c>
      <c r="K3030" s="171" t="str">
        <f t="shared" ca="1" si="225"/>
        <v/>
      </c>
      <c r="L3030" s="166"/>
      <c r="M3030" s="166"/>
      <c r="N3030" s="166"/>
      <c r="O3030" s="166"/>
      <c r="P3030" s="166">
        <f t="shared" ca="1" si="229"/>
        <v>0</v>
      </c>
      <c r="Q3030" s="166"/>
    </row>
    <row r="3031" spans="1:17">
      <c r="A3031" s="166" t="b">
        <f t="shared" ca="1" si="221"/>
        <v>0</v>
      </c>
      <c r="B3031" s="172" t="str">
        <f ca="1">IF(COUNTA(G$2368:G3030)=1,"",OFFSET(B3031,-COUNTA(G$2368:G3030)+1,0))</f>
        <v>a1b3p000006eF2mAAE</v>
      </c>
      <c r="C3031" s="177">
        <f ca="1">IF(COUNTA(G$2368:G3030)=1,"",OFFSET(C3031,-COUNTA(G$2368:G3030)+1,0))</f>
        <v>31</v>
      </c>
      <c r="D3031" s="166">
        <f t="shared" si="226"/>
        <v>181</v>
      </c>
      <c r="E3031" s="166">
        <f t="shared" ca="1" si="227"/>
        <v>1</v>
      </c>
      <c r="F3031" s="166">
        <f t="shared" ca="1" si="228"/>
        <v>39</v>
      </c>
      <c r="G3031" s="166"/>
      <c r="H3031" s="171" t="str">
        <f t="shared" ca="1" si="222"/>
        <v/>
      </c>
      <c r="I3031" s="171" t="str">
        <f t="shared" ca="1" si="223"/>
        <v/>
      </c>
      <c r="J3031" s="171" t="str">
        <f t="shared" ca="1" si="224"/>
        <v/>
      </c>
      <c r="K3031" s="171" t="str">
        <f t="shared" ca="1" si="225"/>
        <v/>
      </c>
      <c r="L3031" s="166"/>
      <c r="M3031" s="166"/>
      <c r="N3031" s="166"/>
      <c r="O3031" s="166"/>
      <c r="P3031" s="166">
        <f t="shared" ca="1" si="229"/>
        <v>0</v>
      </c>
      <c r="Q3031" s="166"/>
    </row>
    <row r="3032" spans="1:17">
      <c r="A3032" s="166" t="b">
        <f t="shared" ca="1" si="221"/>
        <v>0</v>
      </c>
      <c r="B3032" s="172" t="str">
        <f ca="1">IF(COUNTA(G$2368:G3031)=1,"",OFFSET(B3032,-COUNTA(G$2368:G3031)+1,0))</f>
        <v>a1b3p000006eF44AAE</v>
      </c>
      <c r="C3032" s="177">
        <f ca="1">IF(COUNTA(G$2368:G3031)=1,"",OFFSET(C3032,-COUNTA(G$2368:G3031)+1,0))</f>
        <v>31</v>
      </c>
      <c r="D3032" s="166">
        <f t="shared" si="226"/>
        <v>182</v>
      </c>
      <c r="E3032" s="166">
        <f t="shared" ca="1" si="227"/>
        <v>2</v>
      </c>
      <c r="F3032" s="166">
        <f t="shared" ca="1" si="228"/>
        <v>39</v>
      </c>
      <c r="G3032" s="166"/>
      <c r="H3032" s="171" t="str">
        <f t="shared" ca="1" si="222"/>
        <v/>
      </c>
      <c r="I3032" s="171" t="str">
        <f t="shared" ca="1" si="223"/>
        <v/>
      </c>
      <c r="J3032" s="171" t="str">
        <f t="shared" ca="1" si="224"/>
        <v/>
      </c>
      <c r="K3032" s="171" t="str">
        <f t="shared" ca="1" si="225"/>
        <v/>
      </c>
      <c r="L3032" s="166"/>
      <c r="M3032" s="166"/>
      <c r="N3032" s="166"/>
      <c r="O3032" s="166"/>
      <c r="P3032" s="166">
        <f t="shared" ca="1" si="229"/>
        <v>0</v>
      </c>
      <c r="Q3032" s="166"/>
    </row>
    <row r="3033" spans="1:17">
      <c r="A3033" s="166" t="b">
        <f t="shared" ca="1" si="221"/>
        <v>0</v>
      </c>
      <c r="B3033" s="172" t="str">
        <f ca="1">IF(COUNTA(G$2368:G3032)=1,"",OFFSET(B3033,-COUNTA(G$2368:G3032)+1,0))</f>
        <v>a1b3p000006eF5MAAU</v>
      </c>
      <c r="C3033" s="177">
        <f ca="1">IF(COUNTA(G$2368:G3032)=1,"",OFFSET(C3033,-COUNTA(G$2368:G3032)+1,0))</f>
        <v>31</v>
      </c>
      <c r="D3033" s="166">
        <f t="shared" si="226"/>
        <v>183</v>
      </c>
      <c r="E3033" s="166">
        <f t="shared" ca="1" si="227"/>
        <v>3</v>
      </c>
      <c r="F3033" s="166">
        <f t="shared" ca="1" si="228"/>
        <v>39</v>
      </c>
      <c r="G3033" s="166"/>
      <c r="H3033" s="171" t="str">
        <f t="shared" ca="1" si="222"/>
        <v/>
      </c>
      <c r="I3033" s="171" t="str">
        <f t="shared" ca="1" si="223"/>
        <v/>
      </c>
      <c r="J3033" s="171" t="str">
        <f t="shared" ca="1" si="224"/>
        <v/>
      </c>
      <c r="K3033" s="171" t="str">
        <f t="shared" ca="1" si="225"/>
        <v/>
      </c>
      <c r="L3033" s="166"/>
      <c r="M3033" s="166"/>
      <c r="N3033" s="166"/>
      <c r="O3033" s="166"/>
      <c r="P3033" s="166">
        <f t="shared" ca="1" si="229"/>
        <v>0</v>
      </c>
      <c r="Q3033" s="166"/>
    </row>
    <row r="3034" spans="1:17">
      <c r="A3034" s="166" t="b">
        <f t="shared" ca="1" si="221"/>
        <v>0</v>
      </c>
      <c r="B3034" s="172" t="str">
        <f ca="1">IF(COUNTA(G$2368:G3033)=1,"",OFFSET(B3034,-COUNTA(G$2368:G3033)+1,0))</f>
        <v>a1b3p000006eF6eAAE</v>
      </c>
      <c r="C3034" s="177">
        <f ca="1">IF(COUNTA(G$2368:G3033)=1,"",OFFSET(C3034,-COUNTA(G$2368:G3033)+1,0))</f>
        <v>31</v>
      </c>
      <c r="D3034" s="166">
        <f t="shared" si="226"/>
        <v>184</v>
      </c>
      <c r="E3034" s="166">
        <f t="shared" ca="1" si="227"/>
        <v>4</v>
      </c>
      <c r="F3034" s="166">
        <f t="shared" ca="1" si="228"/>
        <v>39</v>
      </c>
      <c r="G3034" s="166"/>
      <c r="H3034" s="171" t="str">
        <f t="shared" ca="1" si="222"/>
        <v/>
      </c>
      <c r="I3034" s="171" t="str">
        <f t="shared" ca="1" si="223"/>
        <v/>
      </c>
      <c r="J3034" s="171" t="str">
        <f t="shared" ca="1" si="224"/>
        <v/>
      </c>
      <c r="K3034" s="171" t="str">
        <f t="shared" ca="1" si="225"/>
        <v/>
      </c>
      <c r="L3034" s="166"/>
      <c r="M3034" s="166"/>
      <c r="N3034" s="166"/>
      <c r="O3034" s="166"/>
      <c r="P3034" s="166">
        <f t="shared" ca="1" si="229"/>
        <v>0</v>
      </c>
      <c r="Q3034" s="166"/>
    </row>
    <row r="3035" spans="1:17">
      <c r="A3035" s="166" t="b">
        <f t="shared" ca="1" si="221"/>
        <v>0</v>
      </c>
      <c r="B3035" s="172" t="str">
        <f ca="1">IF(COUNTA(G$2368:G3034)=1,"",OFFSET(B3035,-COUNTA(G$2368:G3034)+1,0))</f>
        <v>a1b3p000006eF7wAAE</v>
      </c>
      <c r="C3035" s="177">
        <f ca="1">IF(COUNTA(G$2368:G3034)=1,"",OFFSET(C3035,-COUNTA(G$2368:G3034)+1,0))</f>
        <v>31</v>
      </c>
      <c r="D3035" s="166">
        <f t="shared" si="226"/>
        <v>185</v>
      </c>
      <c r="E3035" s="166">
        <f t="shared" ca="1" si="227"/>
        <v>5</v>
      </c>
      <c r="F3035" s="166">
        <f t="shared" ca="1" si="228"/>
        <v>39</v>
      </c>
      <c r="G3035" s="166"/>
      <c r="H3035" s="171" t="str">
        <f t="shared" ca="1" si="222"/>
        <v/>
      </c>
      <c r="I3035" s="171" t="str">
        <f t="shared" ca="1" si="223"/>
        <v/>
      </c>
      <c r="J3035" s="171" t="str">
        <f t="shared" ca="1" si="224"/>
        <v/>
      </c>
      <c r="K3035" s="171" t="str">
        <f t="shared" ca="1" si="225"/>
        <v/>
      </c>
      <c r="L3035" s="166"/>
      <c r="M3035" s="166"/>
      <c r="N3035" s="166"/>
      <c r="O3035" s="166"/>
      <c r="P3035" s="166">
        <f t="shared" ca="1" si="229"/>
        <v>0</v>
      </c>
      <c r="Q3035" s="166"/>
    </row>
    <row r="3036" spans="1:17">
      <c r="A3036" s="166" t="b">
        <f t="shared" ca="1" si="221"/>
        <v>0</v>
      </c>
      <c r="B3036" s="172" t="str">
        <f ca="1">IF(COUNTA(G$2368:G3035)=1,"",OFFSET(B3036,-COUNTA(G$2368:G3035)+1,0))</f>
        <v>a1b3p000006eF9EAAU</v>
      </c>
      <c r="C3036" s="177">
        <f ca="1">IF(COUNTA(G$2368:G3035)=1,"",OFFSET(C3036,-COUNTA(G$2368:G3035)+1,0))</f>
        <v>31</v>
      </c>
      <c r="D3036" s="166">
        <f t="shared" si="226"/>
        <v>186</v>
      </c>
      <c r="E3036" s="166">
        <f t="shared" ca="1" si="227"/>
        <v>6</v>
      </c>
      <c r="F3036" s="166">
        <f t="shared" ca="1" si="228"/>
        <v>39</v>
      </c>
      <c r="G3036" s="166"/>
      <c r="H3036" s="171" t="str">
        <f t="shared" ca="1" si="222"/>
        <v/>
      </c>
      <c r="I3036" s="171" t="str">
        <f t="shared" ca="1" si="223"/>
        <v/>
      </c>
      <c r="J3036" s="171" t="str">
        <f t="shared" ca="1" si="224"/>
        <v/>
      </c>
      <c r="K3036" s="171" t="str">
        <f t="shared" ca="1" si="225"/>
        <v/>
      </c>
      <c r="L3036" s="166"/>
      <c r="M3036" s="166"/>
      <c r="N3036" s="166"/>
      <c r="O3036" s="166"/>
      <c r="P3036" s="166">
        <f t="shared" ca="1" si="229"/>
        <v>0</v>
      </c>
      <c r="Q3036" s="166"/>
    </row>
    <row r="3037" spans="1:17">
      <c r="A3037" s="166" t="b">
        <f t="shared" ca="1" si="221"/>
        <v>0</v>
      </c>
      <c r="B3037" s="172" t="str">
        <f ca="1">IF(COUNTA(G$2368:G3036)=1,"",OFFSET(B3037,-COUNTA(G$2368:G3036)+1,0))</f>
        <v>a1b3p000006eF2nAAE</v>
      </c>
      <c r="C3037" s="177">
        <f ca="1">IF(COUNTA(G$2368:G3036)=1,"",OFFSET(C3037,-COUNTA(G$2368:G3036)+1,0))</f>
        <v>32</v>
      </c>
      <c r="D3037" s="166">
        <f t="shared" si="226"/>
        <v>187</v>
      </c>
      <c r="E3037" s="166">
        <f t="shared" ca="1" si="227"/>
        <v>1</v>
      </c>
      <c r="F3037" s="166">
        <f t="shared" ca="1" si="228"/>
        <v>40</v>
      </c>
      <c r="G3037" s="166"/>
      <c r="H3037" s="171" t="str">
        <f t="shared" ca="1" si="222"/>
        <v/>
      </c>
      <c r="I3037" s="171" t="str">
        <f t="shared" ca="1" si="223"/>
        <v/>
      </c>
      <c r="J3037" s="171" t="str">
        <f t="shared" ca="1" si="224"/>
        <v/>
      </c>
      <c r="K3037" s="171" t="str">
        <f t="shared" ca="1" si="225"/>
        <v/>
      </c>
      <c r="L3037" s="166"/>
      <c r="M3037" s="166"/>
      <c r="N3037" s="166"/>
      <c r="O3037" s="166"/>
      <c r="P3037" s="166">
        <f t="shared" ca="1" si="229"/>
        <v>0</v>
      </c>
      <c r="Q3037" s="166"/>
    </row>
    <row r="3038" spans="1:17">
      <c r="A3038" s="166" t="b">
        <f t="shared" ca="1" si="221"/>
        <v>0</v>
      </c>
      <c r="B3038" s="172" t="str">
        <f ca="1">IF(COUNTA(G$2368:G3037)=1,"",OFFSET(B3038,-COUNTA(G$2368:G3037)+1,0))</f>
        <v>a1b3p000006eF45AAE</v>
      </c>
      <c r="C3038" s="177">
        <f ca="1">IF(COUNTA(G$2368:G3037)=1,"",OFFSET(C3038,-COUNTA(G$2368:G3037)+1,0))</f>
        <v>32</v>
      </c>
      <c r="D3038" s="166">
        <f t="shared" si="226"/>
        <v>188</v>
      </c>
      <c r="E3038" s="166">
        <f t="shared" ca="1" si="227"/>
        <v>2</v>
      </c>
      <c r="F3038" s="166">
        <f t="shared" ca="1" si="228"/>
        <v>40</v>
      </c>
      <c r="G3038" s="166"/>
      <c r="H3038" s="171" t="str">
        <f t="shared" ca="1" si="222"/>
        <v/>
      </c>
      <c r="I3038" s="171" t="str">
        <f t="shared" ca="1" si="223"/>
        <v/>
      </c>
      <c r="J3038" s="171" t="str">
        <f t="shared" ca="1" si="224"/>
        <v/>
      </c>
      <c r="K3038" s="171" t="str">
        <f t="shared" ca="1" si="225"/>
        <v/>
      </c>
      <c r="L3038" s="166"/>
      <c r="M3038" s="166"/>
      <c r="N3038" s="166"/>
      <c r="O3038" s="166"/>
      <c r="P3038" s="166">
        <f t="shared" ca="1" si="229"/>
        <v>0</v>
      </c>
      <c r="Q3038" s="166"/>
    </row>
    <row r="3039" spans="1:17">
      <c r="A3039" s="166" t="b">
        <f t="shared" ca="1" si="221"/>
        <v>0</v>
      </c>
      <c r="B3039" s="172" t="str">
        <f ca="1">IF(COUNTA(G$2368:G3038)=1,"",OFFSET(B3039,-COUNTA(G$2368:G3038)+1,0))</f>
        <v>a1b3p000006eF5NAAU</v>
      </c>
      <c r="C3039" s="177">
        <f ca="1">IF(COUNTA(G$2368:G3038)=1,"",OFFSET(C3039,-COUNTA(G$2368:G3038)+1,0))</f>
        <v>32</v>
      </c>
      <c r="D3039" s="166">
        <f t="shared" si="226"/>
        <v>189</v>
      </c>
      <c r="E3039" s="166">
        <f t="shared" ca="1" si="227"/>
        <v>3</v>
      </c>
      <c r="F3039" s="166">
        <f t="shared" ca="1" si="228"/>
        <v>40</v>
      </c>
      <c r="G3039" s="166"/>
      <c r="H3039" s="171" t="str">
        <f t="shared" ca="1" si="222"/>
        <v/>
      </c>
      <c r="I3039" s="171" t="str">
        <f t="shared" ca="1" si="223"/>
        <v/>
      </c>
      <c r="J3039" s="171" t="str">
        <f t="shared" ca="1" si="224"/>
        <v/>
      </c>
      <c r="K3039" s="171" t="str">
        <f t="shared" ca="1" si="225"/>
        <v/>
      </c>
      <c r="L3039" s="166"/>
      <c r="M3039" s="166"/>
      <c r="N3039" s="166"/>
      <c r="O3039" s="166"/>
      <c r="P3039" s="166">
        <f t="shared" ca="1" si="229"/>
        <v>0</v>
      </c>
      <c r="Q3039" s="166"/>
    </row>
    <row r="3040" spans="1:17">
      <c r="A3040" s="166" t="b">
        <f t="shared" ca="1" si="221"/>
        <v>0</v>
      </c>
      <c r="B3040" s="172" t="str">
        <f ca="1">IF(COUNTA(G$2368:G3039)=1,"",OFFSET(B3040,-COUNTA(G$2368:G3039)+1,0))</f>
        <v>a1b3p000006eF6fAAE</v>
      </c>
      <c r="C3040" s="177">
        <f ca="1">IF(COUNTA(G$2368:G3039)=1,"",OFFSET(C3040,-COUNTA(G$2368:G3039)+1,0))</f>
        <v>32</v>
      </c>
      <c r="D3040" s="166">
        <f t="shared" si="226"/>
        <v>190</v>
      </c>
      <c r="E3040" s="166">
        <f t="shared" ca="1" si="227"/>
        <v>4</v>
      </c>
      <c r="F3040" s="166">
        <f t="shared" ca="1" si="228"/>
        <v>40</v>
      </c>
      <c r="G3040" s="166"/>
      <c r="H3040" s="171" t="str">
        <f t="shared" ca="1" si="222"/>
        <v/>
      </c>
      <c r="I3040" s="171" t="str">
        <f t="shared" ca="1" si="223"/>
        <v/>
      </c>
      <c r="J3040" s="171" t="str">
        <f t="shared" ca="1" si="224"/>
        <v/>
      </c>
      <c r="K3040" s="171" t="str">
        <f t="shared" ca="1" si="225"/>
        <v/>
      </c>
      <c r="L3040" s="166"/>
      <c r="M3040" s="166"/>
      <c r="N3040" s="166"/>
      <c r="O3040" s="166"/>
      <c r="P3040" s="166">
        <f t="shared" ca="1" si="229"/>
        <v>0</v>
      </c>
      <c r="Q3040" s="166"/>
    </row>
    <row r="3041" spans="1:17">
      <c r="A3041" s="166" t="b">
        <f t="shared" ca="1" si="221"/>
        <v>0</v>
      </c>
      <c r="B3041" s="172" t="str">
        <f ca="1">IF(COUNTA(G$2368:G3040)=1,"",OFFSET(B3041,-COUNTA(G$2368:G3040)+1,0))</f>
        <v>a1b3p000006eF7xAAE</v>
      </c>
      <c r="C3041" s="177">
        <f ca="1">IF(COUNTA(G$2368:G3040)=1,"",OFFSET(C3041,-COUNTA(G$2368:G3040)+1,0))</f>
        <v>32</v>
      </c>
      <c r="D3041" s="166">
        <f t="shared" si="226"/>
        <v>191</v>
      </c>
      <c r="E3041" s="166">
        <f t="shared" ca="1" si="227"/>
        <v>5</v>
      </c>
      <c r="F3041" s="166">
        <f t="shared" ca="1" si="228"/>
        <v>40</v>
      </c>
      <c r="G3041" s="166"/>
      <c r="H3041" s="171" t="str">
        <f t="shared" ca="1" si="222"/>
        <v/>
      </c>
      <c r="I3041" s="171" t="str">
        <f t="shared" ca="1" si="223"/>
        <v/>
      </c>
      <c r="J3041" s="171" t="str">
        <f t="shared" ca="1" si="224"/>
        <v/>
      </c>
      <c r="K3041" s="171" t="str">
        <f t="shared" ca="1" si="225"/>
        <v/>
      </c>
      <c r="L3041" s="166"/>
      <c r="M3041" s="166"/>
      <c r="N3041" s="166"/>
      <c r="O3041" s="166"/>
      <c r="P3041" s="166">
        <f t="shared" ca="1" si="229"/>
        <v>0</v>
      </c>
      <c r="Q3041" s="166"/>
    </row>
    <row r="3042" spans="1:17">
      <c r="A3042" s="166" t="b">
        <f t="shared" ca="1" si="221"/>
        <v>0</v>
      </c>
      <c r="B3042" s="172" t="str">
        <f ca="1">IF(COUNTA(G$2368:G3041)=1,"",OFFSET(B3042,-COUNTA(G$2368:G3041)+1,0))</f>
        <v>a1b3p000006eF9FAAU</v>
      </c>
      <c r="C3042" s="177">
        <f ca="1">IF(COUNTA(G$2368:G3041)=1,"",OFFSET(C3042,-COUNTA(G$2368:G3041)+1,0))</f>
        <v>32</v>
      </c>
      <c r="D3042" s="166">
        <f t="shared" si="226"/>
        <v>192</v>
      </c>
      <c r="E3042" s="166">
        <f t="shared" ca="1" si="227"/>
        <v>6</v>
      </c>
      <c r="F3042" s="166">
        <f t="shared" ca="1" si="228"/>
        <v>40</v>
      </c>
      <c r="G3042" s="166"/>
      <c r="H3042" s="171" t="str">
        <f t="shared" ca="1" si="222"/>
        <v/>
      </c>
      <c r="I3042" s="171" t="str">
        <f t="shared" ca="1" si="223"/>
        <v/>
      </c>
      <c r="J3042" s="171" t="str">
        <f t="shared" ca="1" si="224"/>
        <v/>
      </c>
      <c r="K3042" s="171" t="str">
        <f t="shared" ca="1" si="225"/>
        <v/>
      </c>
      <c r="L3042" s="166"/>
      <c r="M3042" s="166"/>
      <c r="N3042" s="166"/>
      <c r="O3042" s="166"/>
      <c r="P3042" s="166">
        <f t="shared" ca="1" si="229"/>
        <v>0</v>
      </c>
      <c r="Q3042" s="166"/>
    </row>
    <row r="3043" spans="1:17">
      <c r="A3043" s="166" t="b">
        <f t="shared" ref="A3043:A3106" ca="1" si="230">IF(OR(AND(J3043&lt;&gt;"",J3043&lt;&gt;0),AND(K3043&lt;&gt;"",K3043&lt;&gt;0)),TRUE,FALSE)</f>
        <v>0</v>
      </c>
      <c r="B3043" s="172" t="str">
        <f ca="1">IF(COUNTA(G$2368:G3042)=1,"",OFFSET(B3043,-COUNTA(G$2368:G3042)+1,0))</f>
        <v>a1b3p000006eF2oAAE</v>
      </c>
      <c r="C3043" s="177">
        <f ca="1">IF(COUNTA(G$2368:G3042)=1,"",OFFSET(C3043,-COUNTA(G$2368:G3042)+1,0))</f>
        <v>33</v>
      </c>
      <c r="D3043" s="166">
        <f t="shared" si="226"/>
        <v>193</v>
      </c>
      <c r="E3043" s="166">
        <f t="shared" ca="1" si="227"/>
        <v>1</v>
      </c>
      <c r="F3043" s="166">
        <f t="shared" ca="1" si="228"/>
        <v>41</v>
      </c>
      <c r="G3043" s="166"/>
      <c r="H3043" s="171" t="str">
        <f t="shared" ref="H3043:H3106" ca="1" si="231">CHOOSE(E3043,IFERROR(IF(INDIRECT("'WPTM - Section F'!K"&amp;F3043)=0,"",INDIRECT("'WPTM - Section F'!K"&amp;$F3043)),""),IFERROR(IF(INDIRECT("'WPTM - Section F'!O"&amp;F3043)=0,"",INDIRECT("'WPTM - Section F'!O"&amp;$F3043)),""),IFERROR(IF(INDIRECT("'WPTM - Section F'!S"&amp;F3043)=0,"",INDIRECT("'WPTM - Section F'!S"&amp;$F3043)),""),IFERROR(IF(INDIRECT("'WPTM - Section F'!W"&amp;F3043)=0,"",INDIRECT("'WPTM - Section F'!W"&amp;$F3043)),""),IFERROR(IF(INDIRECT("'WPTM - Section F'!AA"&amp;F3043)=0,"",INDIRECT("'WPTM - Section F'!AA"&amp;$F3043)),""),IFERROR(IF(INDIRECT("'WPTM - Section F'!AE"&amp;F3043)=0,"",INDIRECT("'WPTM - Section F'!AE"&amp;$F3043)),""),IFERROR(IF(INDIRECT("'WPTM - Section F'!AI"&amp;F3043)=0,"",INDIRECT("'WPTM - Section F'!AI"&amp;$F3043)),""),IFERROR(IF(INDIRECT("'WPTM - Section F'!AM"&amp;F3043)=0,"",INDIRECT("'WPTM - Section F'!AM"&amp;$F3043)),""),)</f>
        <v/>
      </c>
      <c r="I3043" s="171" t="str">
        <f t="shared" ref="I3043:I3106" ca="1" si="232">CHOOSE(E3043,IFERROR(IF(INDIRECT("'WPTM - Section F'!J"&amp;F3043)=0,"",INDIRECT("'WPTM - Section F'!J"&amp;$F3043)),""),IFERROR(IF(INDIRECT("'WPTM - Section F'!N"&amp;F3043)=0,"",INDIRECT("'WPTM - Section F'!N"&amp;$F3043)),""),IFERROR(IF(INDIRECT("'WPTM - Section F'!R"&amp;F3043)=0,"",INDIRECT("'WPTM - Section F'!R"&amp;$F3043)),""),IFERROR(IF(INDIRECT("'WPTM - Section F'!V"&amp;F3043)=0,"",INDIRECT("'WPTM - Section F'!V"&amp;$F3043)),""),IFERROR(IF(INDIRECT("'WPTM - Section F'!Z"&amp;F3043)=0,"",INDIRECT("'WPTM - Section F'!Z"&amp;$F3043)),""),IFERROR(IF(INDIRECT("'WPTM - Section F'!AD"&amp;F3043)=0,"",INDIRECT("'WPTM - Section F'!AD"&amp;$F3043)),""),IFERROR(IF(INDIRECT("'WPTM - Section F'!AH"&amp;F3043)=0,"",INDIRECT("'WPTM - Section F'!AH"&amp;$F3043)),""),IFERROR(IF(INDIRECT("'WPTM - Section F'!AL"&amp;F3043)=0,"",INDIRECT("'WPTM - Section F'!AL"&amp;$F3043)),""),)</f>
        <v/>
      </c>
      <c r="J3043" s="171" t="str">
        <f t="shared" ref="J3043:J3106" ca="1" si="233">CHOOSE(E3043,IFERROR(IF(INDIRECT("'WPTM - Section F'!H"&amp;F3043)=0,"",INDIRECT("'WPTM - Section F'!H"&amp;$F3043)),""),IFERROR(IF(INDIRECT("'WPTM - Section F'!L"&amp;F3043)=0,"",INDIRECT("'WPTM - Section F'!L"&amp;$F3043)),""),IFERROR(IF(INDIRECT("'WPTM - Section F'!P"&amp;F3043)=0,"",INDIRECT("'WPTM - Section F'!P"&amp;$F3043)),""),IFERROR(IF(INDIRECT("'WPTM - Section F'!T"&amp;F3043)=0,"",INDIRECT("'WPTM - Section F'!T"&amp;$F3043)),""),IFERROR(IF(INDIRECT("'WPTM - Section F'!X"&amp;F3043)=0,"",INDIRECT("'WPTM - Section F'!X"&amp;$F3043)),""),IFERROR(IF(INDIRECT("'WPTM - Section F'!AB"&amp;F3043)=0,"",INDIRECT("'WPTM - Section F'!AB"&amp;$F3043)),""),IFERROR(IF(INDIRECT("'WPTM - Section F'!AF"&amp;F3043)=0,"",INDIRECT("'WPTM - Section F'!AF"&amp;$F3043)),""),IFERROR(IF(INDIRECT("'WPTM - Section F'!AJ"&amp;F3043)=0,"",INDIRECT("'WPTM - Section F'!AJ"&amp;$F3043)),""),)</f>
        <v/>
      </c>
      <c r="K3043" s="171" t="str">
        <f t="shared" ref="K3043:K3106" ca="1" si="234">CHOOSE(E3043,IFERROR(IF(INDIRECT("'WPTM - Section F'!I"&amp;F3043)=0,"",INDIRECT("'WPTM - Section F'!I"&amp;$F3043)),""),IFERROR(IF(INDIRECT("'WPTM - Section F'!M"&amp;F3043)=0,"",INDIRECT("'WPTM - Section F'!M"&amp;$F3043)),""),IFERROR(IF(INDIRECT("'WPTM - Section F'!Q"&amp;F3043)=0,"",INDIRECT("'WPTM - Section F'!Q"&amp;$F3043)),""),IFERROR(IF(INDIRECT("'WPTM - Section F'!U"&amp;F3043)=0,"",INDIRECT("'WPTM - Section F'!U"&amp;$F3043)),""),IFERROR(IF(INDIRECT("'WPTM - Section F'!Y"&amp;F3043)=0,"",INDIRECT("'WPTM - Section F'!Y"&amp;$F3043)),""),IFERROR(IF(INDIRECT("'WPTM - Section F'!AC"&amp;F3043)=0,"",INDIRECT("'WPTM - Section F'!AC"&amp;$F3043)),""),IFERROR(IF(INDIRECT("'WPTM - Section F'!AG"&amp;F3043)=0,"",INDIRECT("'WPTM - Section F'!AG"&amp;$F3043)),""),IFERROR(IF(INDIRECT("'WPTM - Section F'!AK"&amp;F3043)=0,"",INDIRECT("'WPTM - Section F'!AK"&amp;$F3043)),""),)</f>
        <v/>
      </c>
      <c r="L3043" s="166"/>
      <c r="M3043" s="166"/>
      <c r="N3043" s="166"/>
      <c r="O3043" s="166"/>
      <c r="P3043" s="166">
        <f t="shared" ca="1" si="229"/>
        <v>0</v>
      </c>
      <c r="Q3043" s="166"/>
    </row>
    <row r="3044" spans="1:17">
      <c r="A3044" s="166" t="b">
        <f t="shared" ca="1" si="230"/>
        <v>0</v>
      </c>
      <c r="B3044" s="172" t="str">
        <f ca="1">IF(COUNTA(G$2368:G3043)=1,"",OFFSET(B3044,-COUNTA(G$2368:G3043)+1,0))</f>
        <v>a1b3p000006eF46AAE</v>
      </c>
      <c r="C3044" s="177">
        <f ca="1">IF(COUNTA(G$2368:G3043)=1,"",OFFSET(C3044,-COUNTA(G$2368:G3043)+1,0))</f>
        <v>33</v>
      </c>
      <c r="D3044" s="166">
        <f t="shared" si="226"/>
        <v>194</v>
      </c>
      <c r="E3044" s="166">
        <f t="shared" ca="1" si="227"/>
        <v>2</v>
      </c>
      <c r="F3044" s="166">
        <f t="shared" ca="1" si="228"/>
        <v>41</v>
      </c>
      <c r="G3044" s="166"/>
      <c r="H3044" s="171" t="str">
        <f t="shared" ca="1" si="231"/>
        <v/>
      </c>
      <c r="I3044" s="171" t="str">
        <f t="shared" ca="1" si="232"/>
        <v/>
      </c>
      <c r="J3044" s="171" t="str">
        <f t="shared" ca="1" si="233"/>
        <v/>
      </c>
      <c r="K3044" s="171" t="str">
        <f t="shared" ca="1" si="234"/>
        <v/>
      </c>
      <c r="L3044" s="166"/>
      <c r="M3044" s="166"/>
      <c r="N3044" s="166"/>
      <c r="O3044" s="166"/>
      <c r="P3044" s="166">
        <f t="shared" ca="1" si="229"/>
        <v>0</v>
      </c>
      <c r="Q3044" s="166"/>
    </row>
    <row r="3045" spans="1:17">
      <c r="A3045" s="166" t="b">
        <f t="shared" ca="1" si="230"/>
        <v>0</v>
      </c>
      <c r="B3045" s="172" t="str">
        <f ca="1">IF(COUNTA(G$2368:G3044)=1,"",OFFSET(B3045,-COUNTA(G$2368:G3044)+1,0))</f>
        <v>a1b3p000006eF5OAAU</v>
      </c>
      <c r="C3045" s="177">
        <f ca="1">IF(COUNTA(G$2368:G3044)=1,"",OFFSET(C3045,-COUNTA(G$2368:G3044)+1,0))</f>
        <v>33</v>
      </c>
      <c r="D3045" s="166">
        <f t="shared" si="226"/>
        <v>195</v>
      </c>
      <c r="E3045" s="166">
        <f t="shared" ca="1" si="227"/>
        <v>3</v>
      </c>
      <c r="F3045" s="166">
        <f t="shared" ca="1" si="228"/>
        <v>41</v>
      </c>
      <c r="G3045" s="166"/>
      <c r="H3045" s="171" t="str">
        <f t="shared" ca="1" si="231"/>
        <v/>
      </c>
      <c r="I3045" s="171" t="str">
        <f t="shared" ca="1" si="232"/>
        <v/>
      </c>
      <c r="J3045" s="171" t="str">
        <f t="shared" ca="1" si="233"/>
        <v/>
      </c>
      <c r="K3045" s="171" t="str">
        <f t="shared" ca="1" si="234"/>
        <v/>
      </c>
      <c r="L3045" s="166"/>
      <c r="M3045" s="166"/>
      <c r="N3045" s="166"/>
      <c r="O3045" s="166"/>
      <c r="P3045" s="166">
        <f t="shared" ca="1" si="229"/>
        <v>0</v>
      </c>
      <c r="Q3045" s="166"/>
    </row>
    <row r="3046" spans="1:17">
      <c r="A3046" s="166" t="b">
        <f t="shared" ca="1" si="230"/>
        <v>0</v>
      </c>
      <c r="B3046" s="172" t="str">
        <f ca="1">IF(COUNTA(G$2368:G3045)=1,"",OFFSET(B3046,-COUNTA(G$2368:G3045)+1,0))</f>
        <v>a1b3p000006eF6gAAE</v>
      </c>
      <c r="C3046" s="177">
        <f ca="1">IF(COUNTA(G$2368:G3045)=1,"",OFFSET(C3046,-COUNTA(G$2368:G3045)+1,0))</f>
        <v>33</v>
      </c>
      <c r="D3046" s="166">
        <f t="shared" si="226"/>
        <v>196</v>
      </c>
      <c r="E3046" s="166">
        <f t="shared" ca="1" si="227"/>
        <v>4</v>
      </c>
      <c r="F3046" s="166">
        <f t="shared" ca="1" si="228"/>
        <v>41</v>
      </c>
      <c r="G3046" s="166"/>
      <c r="H3046" s="171" t="str">
        <f t="shared" ca="1" si="231"/>
        <v/>
      </c>
      <c r="I3046" s="171" t="str">
        <f t="shared" ca="1" si="232"/>
        <v/>
      </c>
      <c r="J3046" s="171" t="str">
        <f t="shared" ca="1" si="233"/>
        <v/>
      </c>
      <c r="K3046" s="171" t="str">
        <f t="shared" ca="1" si="234"/>
        <v/>
      </c>
      <c r="L3046" s="166"/>
      <c r="M3046" s="166"/>
      <c r="N3046" s="166"/>
      <c r="O3046" s="166"/>
      <c r="P3046" s="166">
        <f t="shared" ca="1" si="229"/>
        <v>0</v>
      </c>
      <c r="Q3046" s="166"/>
    </row>
    <row r="3047" spans="1:17">
      <c r="A3047" s="166" t="b">
        <f t="shared" ca="1" si="230"/>
        <v>0</v>
      </c>
      <c r="B3047" s="172" t="str">
        <f ca="1">IF(COUNTA(G$2368:G3046)=1,"",OFFSET(B3047,-COUNTA(G$2368:G3046)+1,0))</f>
        <v>a1b3p000006eF7yAAE</v>
      </c>
      <c r="C3047" s="177">
        <f ca="1">IF(COUNTA(G$2368:G3046)=1,"",OFFSET(C3047,-COUNTA(G$2368:G3046)+1,0))</f>
        <v>33</v>
      </c>
      <c r="D3047" s="166">
        <f t="shared" si="226"/>
        <v>197</v>
      </c>
      <c r="E3047" s="166">
        <f t="shared" ca="1" si="227"/>
        <v>5</v>
      </c>
      <c r="F3047" s="166">
        <f t="shared" ca="1" si="228"/>
        <v>41</v>
      </c>
      <c r="G3047" s="166"/>
      <c r="H3047" s="171" t="str">
        <f t="shared" ca="1" si="231"/>
        <v/>
      </c>
      <c r="I3047" s="171" t="str">
        <f t="shared" ca="1" si="232"/>
        <v/>
      </c>
      <c r="J3047" s="171" t="str">
        <f t="shared" ca="1" si="233"/>
        <v/>
      </c>
      <c r="K3047" s="171" t="str">
        <f t="shared" ca="1" si="234"/>
        <v/>
      </c>
      <c r="L3047" s="166"/>
      <c r="M3047" s="166"/>
      <c r="N3047" s="166"/>
      <c r="O3047" s="166"/>
      <c r="P3047" s="166">
        <f t="shared" ca="1" si="229"/>
        <v>0</v>
      </c>
      <c r="Q3047" s="166"/>
    </row>
    <row r="3048" spans="1:17">
      <c r="A3048" s="166" t="b">
        <f t="shared" ca="1" si="230"/>
        <v>0</v>
      </c>
      <c r="B3048" s="172" t="str">
        <f ca="1">IF(COUNTA(G$2368:G3047)=1,"",OFFSET(B3048,-COUNTA(G$2368:G3047)+1,0))</f>
        <v>a1b3p000006eF9GAAU</v>
      </c>
      <c r="C3048" s="177">
        <f ca="1">IF(COUNTA(G$2368:G3047)=1,"",OFFSET(C3048,-COUNTA(G$2368:G3047)+1,0))</f>
        <v>33</v>
      </c>
      <c r="D3048" s="166">
        <f t="shared" si="226"/>
        <v>198</v>
      </c>
      <c r="E3048" s="166">
        <f t="shared" ca="1" si="227"/>
        <v>6</v>
      </c>
      <c r="F3048" s="166">
        <f t="shared" ca="1" si="228"/>
        <v>41</v>
      </c>
      <c r="G3048" s="166"/>
      <c r="H3048" s="171" t="str">
        <f t="shared" ca="1" si="231"/>
        <v/>
      </c>
      <c r="I3048" s="171" t="str">
        <f t="shared" ca="1" si="232"/>
        <v/>
      </c>
      <c r="J3048" s="171" t="str">
        <f t="shared" ca="1" si="233"/>
        <v/>
      </c>
      <c r="K3048" s="171" t="str">
        <f t="shared" ca="1" si="234"/>
        <v/>
      </c>
      <c r="L3048" s="166"/>
      <c r="M3048" s="166"/>
      <c r="N3048" s="166"/>
      <c r="O3048" s="166"/>
      <c r="P3048" s="166">
        <f t="shared" ca="1" si="229"/>
        <v>0</v>
      </c>
      <c r="Q3048" s="166"/>
    </row>
    <row r="3049" spans="1:17">
      <c r="A3049" s="166" t="b">
        <f t="shared" ca="1" si="230"/>
        <v>0</v>
      </c>
      <c r="B3049" s="172" t="str">
        <f ca="1">IF(COUNTA(G$2368:G3048)=1,"",OFFSET(B3049,-COUNTA(G$2368:G3048)+1,0))</f>
        <v>a1b3p000006eF2pAAE</v>
      </c>
      <c r="C3049" s="177">
        <f ca="1">IF(COUNTA(G$2368:G3048)=1,"",OFFSET(C3049,-COUNTA(G$2368:G3048)+1,0))</f>
        <v>34</v>
      </c>
      <c r="D3049" s="166">
        <f t="shared" si="226"/>
        <v>199</v>
      </c>
      <c r="E3049" s="166">
        <f t="shared" ca="1" si="227"/>
        <v>1</v>
      </c>
      <c r="F3049" s="166">
        <f t="shared" ca="1" si="228"/>
        <v>42</v>
      </c>
      <c r="G3049" s="166"/>
      <c r="H3049" s="171" t="str">
        <f t="shared" ca="1" si="231"/>
        <v/>
      </c>
      <c r="I3049" s="171" t="str">
        <f t="shared" ca="1" si="232"/>
        <v/>
      </c>
      <c r="J3049" s="171" t="str">
        <f t="shared" ca="1" si="233"/>
        <v/>
      </c>
      <c r="K3049" s="171" t="str">
        <f t="shared" ca="1" si="234"/>
        <v/>
      </c>
      <c r="L3049" s="166"/>
      <c r="M3049" s="166"/>
      <c r="N3049" s="166"/>
      <c r="O3049" s="166"/>
      <c r="P3049" s="166">
        <f t="shared" ca="1" si="229"/>
        <v>0</v>
      </c>
      <c r="Q3049" s="166"/>
    </row>
    <row r="3050" spans="1:17">
      <c r="A3050" s="166" t="b">
        <f t="shared" ca="1" si="230"/>
        <v>0</v>
      </c>
      <c r="B3050" s="172" t="str">
        <f ca="1">IF(COUNTA(G$2368:G3049)=1,"",OFFSET(B3050,-COUNTA(G$2368:G3049)+1,0))</f>
        <v>a1b3p000006eF47AAE</v>
      </c>
      <c r="C3050" s="177">
        <f ca="1">IF(COUNTA(G$2368:G3049)=1,"",OFFSET(C3050,-COUNTA(G$2368:G3049)+1,0))</f>
        <v>34</v>
      </c>
      <c r="D3050" s="166">
        <f t="shared" si="226"/>
        <v>200</v>
      </c>
      <c r="E3050" s="166">
        <f t="shared" ca="1" si="227"/>
        <v>2</v>
      </c>
      <c r="F3050" s="166">
        <f t="shared" ca="1" si="228"/>
        <v>42</v>
      </c>
      <c r="G3050" s="166"/>
      <c r="H3050" s="171" t="str">
        <f t="shared" ca="1" si="231"/>
        <v/>
      </c>
      <c r="I3050" s="171" t="str">
        <f t="shared" ca="1" si="232"/>
        <v/>
      </c>
      <c r="J3050" s="171" t="str">
        <f t="shared" ca="1" si="233"/>
        <v/>
      </c>
      <c r="K3050" s="171" t="str">
        <f t="shared" ca="1" si="234"/>
        <v/>
      </c>
      <c r="L3050" s="166"/>
      <c r="M3050" s="166"/>
      <c r="N3050" s="166"/>
      <c r="O3050" s="166"/>
      <c r="P3050" s="166">
        <f t="shared" ca="1" si="229"/>
        <v>0</v>
      </c>
      <c r="Q3050" s="166"/>
    </row>
    <row r="3051" spans="1:17">
      <c r="A3051" s="166" t="b">
        <f t="shared" ca="1" si="230"/>
        <v>0</v>
      </c>
      <c r="B3051" s="172" t="str">
        <f ca="1">IF(COUNTA(G$2368:G3050)=1,"",OFFSET(B3051,-COUNTA(G$2368:G3050)+1,0))</f>
        <v>a1b3p000006eF5PAAU</v>
      </c>
      <c r="C3051" s="177">
        <f ca="1">IF(COUNTA(G$2368:G3050)=1,"",OFFSET(C3051,-COUNTA(G$2368:G3050)+1,0))</f>
        <v>34</v>
      </c>
      <c r="D3051" s="166">
        <f t="shared" si="226"/>
        <v>201</v>
      </c>
      <c r="E3051" s="166">
        <f t="shared" ca="1" si="227"/>
        <v>3</v>
      </c>
      <c r="F3051" s="166">
        <f t="shared" ca="1" si="228"/>
        <v>42</v>
      </c>
      <c r="G3051" s="166"/>
      <c r="H3051" s="171" t="str">
        <f t="shared" ca="1" si="231"/>
        <v/>
      </c>
      <c r="I3051" s="171" t="str">
        <f t="shared" ca="1" si="232"/>
        <v/>
      </c>
      <c r="J3051" s="171" t="str">
        <f t="shared" ca="1" si="233"/>
        <v/>
      </c>
      <c r="K3051" s="171" t="str">
        <f t="shared" ca="1" si="234"/>
        <v/>
      </c>
      <c r="L3051" s="166"/>
      <c r="M3051" s="166"/>
      <c r="N3051" s="166"/>
      <c r="O3051" s="166"/>
      <c r="P3051" s="166">
        <f t="shared" ca="1" si="229"/>
        <v>0</v>
      </c>
      <c r="Q3051" s="166"/>
    </row>
    <row r="3052" spans="1:17">
      <c r="A3052" s="166" t="b">
        <f t="shared" ca="1" si="230"/>
        <v>0</v>
      </c>
      <c r="B3052" s="172" t="str">
        <f ca="1">IF(COUNTA(G$2368:G3051)=1,"",OFFSET(B3052,-COUNTA(G$2368:G3051)+1,0))</f>
        <v>a1b3p000006eF6hAAE</v>
      </c>
      <c r="C3052" s="177">
        <f ca="1">IF(COUNTA(G$2368:G3051)=1,"",OFFSET(C3052,-COUNTA(G$2368:G3051)+1,0))</f>
        <v>34</v>
      </c>
      <c r="D3052" s="166">
        <f t="shared" si="226"/>
        <v>202</v>
      </c>
      <c r="E3052" s="166">
        <f t="shared" ca="1" si="227"/>
        <v>4</v>
      </c>
      <c r="F3052" s="166">
        <f t="shared" ca="1" si="228"/>
        <v>42</v>
      </c>
      <c r="G3052" s="166"/>
      <c r="H3052" s="171" t="str">
        <f t="shared" ca="1" si="231"/>
        <v/>
      </c>
      <c r="I3052" s="171" t="str">
        <f t="shared" ca="1" si="232"/>
        <v/>
      </c>
      <c r="J3052" s="171" t="str">
        <f t="shared" ca="1" si="233"/>
        <v/>
      </c>
      <c r="K3052" s="171" t="str">
        <f t="shared" ca="1" si="234"/>
        <v/>
      </c>
      <c r="L3052" s="166"/>
      <c r="M3052" s="166"/>
      <c r="N3052" s="166"/>
      <c r="O3052" s="166"/>
      <c r="P3052" s="166">
        <f t="shared" ca="1" si="229"/>
        <v>0</v>
      </c>
      <c r="Q3052" s="166"/>
    </row>
    <row r="3053" spans="1:17">
      <c r="A3053" s="166" t="b">
        <f t="shared" ca="1" si="230"/>
        <v>0</v>
      </c>
      <c r="B3053" s="172" t="str">
        <f ca="1">IF(COUNTA(G$2368:G3052)=1,"",OFFSET(B3053,-COUNTA(G$2368:G3052)+1,0))</f>
        <v>a1b3p000006eF7zAAE</v>
      </c>
      <c r="C3053" s="177">
        <f ca="1">IF(COUNTA(G$2368:G3052)=1,"",OFFSET(C3053,-COUNTA(G$2368:G3052)+1,0))</f>
        <v>34</v>
      </c>
      <c r="D3053" s="166">
        <f t="shared" si="226"/>
        <v>203</v>
      </c>
      <c r="E3053" s="166">
        <f t="shared" ca="1" si="227"/>
        <v>5</v>
      </c>
      <c r="F3053" s="166">
        <f t="shared" ca="1" si="228"/>
        <v>42</v>
      </c>
      <c r="G3053" s="166"/>
      <c r="H3053" s="171" t="str">
        <f t="shared" ca="1" si="231"/>
        <v/>
      </c>
      <c r="I3053" s="171" t="str">
        <f t="shared" ca="1" si="232"/>
        <v/>
      </c>
      <c r="J3053" s="171" t="str">
        <f t="shared" ca="1" si="233"/>
        <v/>
      </c>
      <c r="K3053" s="171" t="str">
        <f t="shared" ca="1" si="234"/>
        <v/>
      </c>
      <c r="L3053" s="166"/>
      <c r="M3053" s="166"/>
      <c r="N3053" s="166"/>
      <c r="O3053" s="166"/>
      <c r="P3053" s="166">
        <f t="shared" ca="1" si="229"/>
        <v>0</v>
      </c>
      <c r="Q3053" s="166"/>
    </row>
    <row r="3054" spans="1:17">
      <c r="A3054" s="166" t="b">
        <f t="shared" ca="1" si="230"/>
        <v>0</v>
      </c>
      <c r="B3054" s="172" t="str">
        <f ca="1">IF(COUNTA(G$2368:G3053)=1,"",OFFSET(B3054,-COUNTA(G$2368:G3053)+1,0))</f>
        <v>a1b3p000006eF9HAAU</v>
      </c>
      <c r="C3054" s="177">
        <f ca="1">IF(COUNTA(G$2368:G3053)=1,"",OFFSET(C3054,-COUNTA(G$2368:G3053)+1,0))</f>
        <v>34</v>
      </c>
      <c r="D3054" s="166">
        <f t="shared" si="226"/>
        <v>204</v>
      </c>
      <c r="E3054" s="166">
        <f t="shared" ca="1" si="227"/>
        <v>6</v>
      </c>
      <c r="F3054" s="166">
        <f t="shared" ca="1" si="228"/>
        <v>42</v>
      </c>
      <c r="G3054" s="166"/>
      <c r="H3054" s="171" t="str">
        <f t="shared" ca="1" si="231"/>
        <v/>
      </c>
      <c r="I3054" s="171" t="str">
        <f t="shared" ca="1" si="232"/>
        <v/>
      </c>
      <c r="J3054" s="171" t="str">
        <f t="shared" ca="1" si="233"/>
        <v/>
      </c>
      <c r="K3054" s="171" t="str">
        <f t="shared" ca="1" si="234"/>
        <v/>
      </c>
      <c r="L3054" s="166"/>
      <c r="M3054" s="166"/>
      <c r="N3054" s="166"/>
      <c r="O3054" s="166"/>
      <c r="P3054" s="166">
        <f t="shared" ca="1" si="229"/>
        <v>0</v>
      </c>
      <c r="Q3054" s="166"/>
    </row>
    <row r="3055" spans="1:17">
      <c r="A3055" s="166" t="b">
        <f t="shared" ca="1" si="230"/>
        <v>0</v>
      </c>
      <c r="B3055" s="172" t="str">
        <f ca="1">IF(COUNTA(G$2368:G3054)=1,"",OFFSET(B3055,-COUNTA(G$2368:G3054)+1,0))</f>
        <v>a1b3p000006eF2qAAE</v>
      </c>
      <c r="C3055" s="177">
        <f ca="1">IF(COUNTA(G$2368:G3054)=1,"",OFFSET(C3055,-COUNTA(G$2368:G3054)+1,0))</f>
        <v>35</v>
      </c>
      <c r="D3055" s="166">
        <f t="shared" si="226"/>
        <v>205</v>
      </c>
      <c r="E3055" s="166">
        <f t="shared" ca="1" si="227"/>
        <v>1</v>
      </c>
      <c r="F3055" s="166">
        <f t="shared" ca="1" si="228"/>
        <v>43</v>
      </c>
      <c r="G3055" s="166"/>
      <c r="H3055" s="171" t="str">
        <f t="shared" ca="1" si="231"/>
        <v/>
      </c>
      <c r="I3055" s="171" t="str">
        <f t="shared" ca="1" si="232"/>
        <v/>
      </c>
      <c r="J3055" s="171" t="str">
        <f t="shared" ca="1" si="233"/>
        <v/>
      </c>
      <c r="K3055" s="171" t="str">
        <f t="shared" ca="1" si="234"/>
        <v/>
      </c>
      <c r="L3055" s="166"/>
      <c r="M3055" s="166"/>
      <c r="N3055" s="166"/>
      <c r="O3055" s="166"/>
      <c r="P3055" s="166">
        <f t="shared" ca="1" si="229"/>
        <v>0</v>
      </c>
      <c r="Q3055" s="166"/>
    </row>
    <row r="3056" spans="1:17">
      <c r="A3056" s="166" t="b">
        <f t="shared" ca="1" si="230"/>
        <v>0</v>
      </c>
      <c r="B3056" s="172" t="str">
        <f ca="1">IF(COUNTA(G$2368:G3055)=1,"",OFFSET(B3056,-COUNTA(G$2368:G3055)+1,0))</f>
        <v>a1b3p000006eF48AAE</v>
      </c>
      <c r="C3056" s="177">
        <f ca="1">IF(COUNTA(G$2368:G3055)=1,"",OFFSET(C3056,-COUNTA(G$2368:G3055)+1,0))</f>
        <v>35</v>
      </c>
      <c r="D3056" s="166">
        <f t="shared" si="226"/>
        <v>206</v>
      </c>
      <c r="E3056" s="166">
        <f t="shared" ca="1" si="227"/>
        <v>2</v>
      </c>
      <c r="F3056" s="166">
        <f t="shared" ca="1" si="228"/>
        <v>43</v>
      </c>
      <c r="G3056" s="166"/>
      <c r="H3056" s="171" t="str">
        <f t="shared" ca="1" si="231"/>
        <v/>
      </c>
      <c r="I3056" s="171" t="str">
        <f t="shared" ca="1" si="232"/>
        <v/>
      </c>
      <c r="J3056" s="171" t="str">
        <f t="shared" ca="1" si="233"/>
        <v/>
      </c>
      <c r="K3056" s="171" t="str">
        <f t="shared" ca="1" si="234"/>
        <v/>
      </c>
      <c r="L3056" s="166"/>
      <c r="M3056" s="166"/>
      <c r="N3056" s="166"/>
      <c r="O3056" s="166"/>
      <c r="P3056" s="166">
        <f t="shared" ca="1" si="229"/>
        <v>0</v>
      </c>
      <c r="Q3056" s="166"/>
    </row>
    <row r="3057" spans="1:17">
      <c r="A3057" s="166" t="b">
        <f t="shared" ca="1" si="230"/>
        <v>0</v>
      </c>
      <c r="B3057" s="172" t="str">
        <f ca="1">IF(COUNTA(G$2368:G3056)=1,"",OFFSET(B3057,-COUNTA(G$2368:G3056)+1,0))</f>
        <v>a1b3p000006eF5QAAU</v>
      </c>
      <c r="C3057" s="177">
        <f ca="1">IF(COUNTA(G$2368:G3056)=1,"",OFFSET(C3057,-COUNTA(G$2368:G3056)+1,0))</f>
        <v>35</v>
      </c>
      <c r="D3057" s="166">
        <f t="shared" si="226"/>
        <v>207</v>
      </c>
      <c r="E3057" s="166">
        <f t="shared" ca="1" si="227"/>
        <v>3</v>
      </c>
      <c r="F3057" s="166">
        <f t="shared" ca="1" si="228"/>
        <v>43</v>
      </c>
      <c r="G3057" s="166"/>
      <c r="H3057" s="171" t="str">
        <f t="shared" ca="1" si="231"/>
        <v/>
      </c>
      <c r="I3057" s="171" t="str">
        <f t="shared" ca="1" si="232"/>
        <v/>
      </c>
      <c r="J3057" s="171" t="str">
        <f t="shared" ca="1" si="233"/>
        <v/>
      </c>
      <c r="K3057" s="171" t="str">
        <f t="shared" ca="1" si="234"/>
        <v/>
      </c>
      <c r="L3057" s="166"/>
      <c r="M3057" s="166"/>
      <c r="N3057" s="166"/>
      <c r="O3057" s="166"/>
      <c r="P3057" s="166">
        <f t="shared" ca="1" si="229"/>
        <v>0</v>
      </c>
      <c r="Q3057" s="166"/>
    </row>
    <row r="3058" spans="1:17">
      <c r="A3058" s="166" t="b">
        <f t="shared" ca="1" si="230"/>
        <v>0</v>
      </c>
      <c r="B3058" s="172" t="str">
        <f ca="1">IF(COUNTA(G$2368:G3057)=1,"",OFFSET(B3058,-COUNTA(G$2368:G3057)+1,0))</f>
        <v>a1b3p000006eF6iAAE</v>
      </c>
      <c r="C3058" s="177">
        <f ca="1">IF(COUNTA(G$2368:G3057)=1,"",OFFSET(C3058,-COUNTA(G$2368:G3057)+1,0))</f>
        <v>35</v>
      </c>
      <c r="D3058" s="166">
        <f t="shared" si="226"/>
        <v>208</v>
      </c>
      <c r="E3058" s="166">
        <f t="shared" ca="1" si="227"/>
        <v>4</v>
      </c>
      <c r="F3058" s="166">
        <f t="shared" ca="1" si="228"/>
        <v>43</v>
      </c>
      <c r="G3058" s="166"/>
      <c r="H3058" s="171" t="str">
        <f t="shared" ca="1" si="231"/>
        <v/>
      </c>
      <c r="I3058" s="171" t="str">
        <f t="shared" ca="1" si="232"/>
        <v/>
      </c>
      <c r="J3058" s="171" t="str">
        <f t="shared" ca="1" si="233"/>
        <v/>
      </c>
      <c r="K3058" s="171" t="str">
        <f t="shared" ca="1" si="234"/>
        <v/>
      </c>
      <c r="L3058" s="166"/>
      <c r="M3058" s="166"/>
      <c r="N3058" s="166"/>
      <c r="O3058" s="166"/>
      <c r="P3058" s="166">
        <f t="shared" ca="1" si="229"/>
        <v>0</v>
      </c>
      <c r="Q3058" s="166"/>
    </row>
    <row r="3059" spans="1:17">
      <c r="A3059" s="166" t="b">
        <f t="shared" ca="1" si="230"/>
        <v>0</v>
      </c>
      <c r="B3059" s="172" t="str">
        <f ca="1">IF(COUNTA(G$2368:G3058)=1,"",OFFSET(B3059,-COUNTA(G$2368:G3058)+1,0))</f>
        <v>a1b3p000006eF80AAE</v>
      </c>
      <c r="C3059" s="177">
        <f ca="1">IF(COUNTA(G$2368:G3058)=1,"",OFFSET(C3059,-COUNTA(G$2368:G3058)+1,0))</f>
        <v>35</v>
      </c>
      <c r="D3059" s="166">
        <f t="shared" si="226"/>
        <v>209</v>
      </c>
      <c r="E3059" s="166">
        <f t="shared" ca="1" si="227"/>
        <v>5</v>
      </c>
      <c r="F3059" s="166">
        <f t="shared" ca="1" si="228"/>
        <v>43</v>
      </c>
      <c r="G3059" s="166"/>
      <c r="H3059" s="171" t="str">
        <f t="shared" ca="1" si="231"/>
        <v/>
      </c>
      <c r="I3059" s="171" t="str">
        <f t="shared" ca="1" si="232"/>
        <v/>
      </c>
      <c r="J3059" s="171" t="str">
        <f t="shared" ca="1" si="233"/>
        <v/>
      </c>
      <c r="K3059" s="171" t="str">
        <f t="shared" ca="1" si="234"/>
        <v/>
      </c>
      <c r="L3059" s="166"/>
      <c r="M3059" s="166"/>
      <c r="N3059" s="166"/>
      <c r="O3059" s="166"/>
      <c r="P3059" s="166">
        <f t="shared" ca="1" si="229"/>
        <v>0</v>
      </c>
      <c r="Q3059" s="166"/>
    </row>
    <row r="3060" spans="1:17">
      <c r="A3060" s="166" t="b">
        <f t="shared" ca="1" si="230"/>
        <v>0</v>
      </c>
      <c r="B3060" s="172" t="str">
        <f ca="1">IF(COUNTA(G$2368:G3059)=1,"",OFFSET(B3060,-COUNTA(G$2368:G3059)+1,0))</f>
        <v>a1b3p000006eF9IAAU</v>
      </c>
      <c r="C3060" s="177">
        <f ca="1">IF(COUNTA(G$2368:G3059)=1,"",OFFSET(C3060,-COUNTA(G$2368:G3059)+1,0))</f>
        <v>35</v>
      </c>
      <c r="D3060" s="166">
        <f t="shared" si="226"/>
        <v>210</v>
      </c>
      <c r="E3060" s="166">
        <f t="shared" ca="1" si="227"/>
        <v>6</v>
      </c>
      <c r="F3060" s="166">
        <f t="shared" ca="1" si="228"/>
        <v>43</v>
      </c>
      <c r="G3060" s="166"/>
      <c r="H3060" s="171" t="str">
        <f t="shared" ca="1" si="231"/>
        <v/>
      </c>
      <c r="I3060" s="171" t="str">
        <f t="shared" ca="1" si="232"/>
        <v/>
      </c>
      <c r="J3060" s="171" t="str">
        <f t="shared" ca="1" si="233"/>
        <v/>
      </c>
      <c r="K3060" s="171" t="str">
        <f t="shared" ca="1" si="234"/>
        <v/>
      </c>
      <c r="L3060" s="166"/>
      <c r="M3060" s="166"/>
      <c r="N3060" s="166"/>
      <c r="O3060" s="166"/>
      <c r="P3060" s="166">
        <f t="shared" ca="1" si="229"/>
        <v>0</v>
      </c>
      <c r="Q3060" s="166"/>
    </row>
    <row r="3061" spans="1:17">
      <c r="A3061" s="166" t="b">
        <f t="shared" ca="1" si="230"/>
        <v>0</v>
      </c>
      <c r="B3061" s="172" t="str">
        <f ca="1">IF(COUNTA(G$2368:G3060)=1,"",OFFSET(B3061,-COUNTA(G$2368:G3060)+1,0))</f>
        <v>a1b3p000006eF2rAAE</v>
      </c>
      <c r="C3061" s="177">
        <f ca="1">IF(COUNTA(G$2368:G3060)=1,"",OFFSET(C3061,-COUNTA(G$2368:G3060)+1,0))</f>
        <v>36</v>
      </c>
      <c r="D3061" s="166">
        <f t="shared" si="226"/>
        <v>211</v>
      </c>
      <c r="E3061" s="166">
        <f t="shared" ca="1" si="227"/>
        <v>1</v>
      </c>
      <c r="F3061" s="166">
        <f t="shared" ca="1" si="228"/>
        <v>44</v>
      </c>
      <c r="G3061" s="166"/>
      <c r="H3061" s="171" t="str">
        <f t="shared" ca="1" si="231"/>
        <v/>
      </c>
      <c r="I3061" s="171" t="str">
        <f t="shared" ca="1" si="232"/>
        <v/>
      </c>
      <c r="J3061" s="171" t="str">
        <f t="shared" ca="1" si="233"/>
        <v/>
      </c>
      <c r="K3061" s="171" t="str">
        <f t="shared" ca="1" si="234"/>
        <v/>
      </c>
      <c r="L3061" s="166"/>
      <c r="M3061" s="166"/>
      <c r="N3061" s="166"/>
      <c r="O3061" s="166"/>
      <c r="P3061" s="166">
        <f t="shared" ca="1" si="229"/>
        <v>0</v>
      </c>
      <c r="Q3061" s="166"/>
    </row>
    <row r="3062" spans="1:17">
      <c r="A3062" s="166" t="b">
        <f t="shared" ca="1" si="230"/>
        <v>0</v>
      </c>
      <c r="B3062" s="172" t="str">
        <f ca="1">IF(COUNTA(G$2368:G3061)=1,"",OFFSET(B3062,-COUNTA(G$2368:G3061)+1,0))</f>
        <v>a1b3p000006eF49AAE</v>
      </c>
      <c r="C3062" s="177">
        <f ca="1">IF(COUNTA(G$2368:G3061)=1,"",OFFSET(C3062,-COUNTA(G$2368:G3061)+1,0))</f>
        <v>36</v>
      </c>
      <c r="D3062" s="166">
        <f t="shared" si="226"/>
        <v>212</v>
      </c>
      <c r="E3062" s="166">
        <f t="shared" ca="1" si="227"/>
        <v>2</v>
      </c>
      <c r="F3062" s="166">
        <f t="shared" ca="1" si="228"/>
        <v>44</v>
      </c>
      <c r="G3062" s="166"/>
      <c r="H3062" s="171" t="str">
        <f t="shared" ca="1" si="231"/>
        <v/>
      </c>
      <c r="I3062" s="171" t="str">
        <f t="shared" ca="1" si="232"/>
        <v/>
      </c>
      <c r="J3062" s="171" t="str">
        <f t="shared" ca="1" si="233"/>
        <v/>
      </c>
      <c r="K3062" s="171" t="str">
        <f t="shared" ca="1" si="234"/>
        <v/>
      </c>
      <c r="L3062" s="166"/>
      <c r="M3062" s="166"/>
      <c r="N3062" s="166"/>
      <c r="O3062" s="166"/>
      <c r="P3062" s="166">
        <f t="shared" ca="1" si="229"/>
        <v>0</v>
      </c>
      <c r="Q3062" s="166"/>
    </row>
    <row r="3063" spans="1:17">
      <c r="A3063" s="166" t="b">
        <f t="shared" ca="1" si="230"/>
        <v>0</v>
      </c>
      <c r="B3063" s="172" t="str">
        <f ca="1">IF(COUNTA(G$2368:G3062)=1,"",OFFSET(B3063,-COUNTA(G$2368:G3062)+1,0))</f>
        <v>a1b3p000006eF5RAAU</v>
      </c>
      <c r="C3063" s="177">
        <f ca="1">IF(COUNTA(G$2368:G3062)=1,"",OFFSET(C3063,-COUNTA(G$2368:G3062)+1,0))</f>
        <v>36</v>
      </c>
      <c r="D3063" s="166">
        <f t="shared" si="226"/>
        <v>213</v>
      </c>
      <c r="E3063" s="166">
        <f t="shared" ca="1" si="227"/>
        <v>3</v>
      </c>
      <c r="F3063" s="166">
        <f t="shared" ca="1" si="228"/>
        <v>44</v>
      </c>
      <c r="G3063" s="166"/>
      <c r="H3063" s="171" t="str">
        <f t="shared" ca="1" si="231"/>
        <v/>
      </c>
      <c r="I3063" s="171" t="str">
        <f t="shared" ca="1" si="232"/>
        <v/>
      </c>
      <c r="J3063" s="171" t="str">
        <f t="shared" ca="1" si="233"/>
        <v/>
      </c>
      <c r="K3063" s="171" t="str">
        <f t="shared" ca="1" si="234"/>
        <v/>
      </c>
      <c r="L3063" s="166"/>
      <c r="M3063" s="166"/>
      <c r="N3063" s="166"/>
      <c r="O3063" s="166"/>
      <c r="P3063" s="166">
        <f t="shared" ca="1" si="229"/>
        <v>0</v>
      </c>
      <c r="Q3063" s="166"/>
    </row>
    <row r="3064" spans="1:17">
      <c r="A3064" s="166" t="b">
        <f t="shared" ca="1" si="230"/>
        <v>0</v>
      </c>
      <c r="B3064" s="172" t="str">
        <f ca="1">IF(COUNTA(G$2368:G3063)=1,"",OFFSET(B3064,-COUNTA(G$2368:G3063)+1,0))</f>
        <v>a1b3p000006eF6jAAE</v>
      </c>
      <c r="C3064" s="177">
        <f ca="1">IF(COUNTA(G$2368:G3063)=1,"",OFFSET(C3064,-COUNTA(G$2368:G3063)+1,0))</f>
        <v>36</v>
      </c>
      <c r="D3064" s="166">
        <f t="shared" si="226"/>
        <v>214</v>
      </c>
      <c r="E3064" s="166">
        <f t="shared" ca="1" si="227"/>
        <v>4</v>
      </c>
      <c r="F3064" s="166">
        <f t="shared" ca="1" si="228"/>
        <v>44</v>
      </c>
      <c r="G3064" s="166"/>
      <c r="H3064" s="171" t="str">
        <f t="shared" ca="1" si="231"/>
        <v/>
      </c>
      <c r="I3064" s="171" t="str">
        <f t="shared" ca="1" si="232"/>
        <v/>
      </c>
      <c r="J3064" s="171" t="str">
        <f t="shared" ca="1" si="233"/>
        <v/>
      </c>
      <c r="K3064" s="171" t="str">
        <f t="shared" ca="1" si="234"/>
        <v/>
      </c>
      <c r="L3064" s="166"/>
      <c r="M3064" s="166"/>
      <c r="N3064" s="166"/>
      <c r="O3064" s="166"/>
      <c r="P3064" s="166">
        <f t="shared" ca="1" si="229"/>
        <v>0</v>
      </c>
      <c r="Q3064" s="166"/>
    </row>
    <row r="3065" spans="1:17">
      <c r="A3065" s="166" t="b">
        <f t="shared" ca="1" si="230"/>
        <v>0</v>
      </c>
      <c r="B3065" s="172" t="str">
        <f ca="1">IF(COUNTA(G$2368:G3064)=1,"",OFFSET(B3065,-COUNTA(G$2368:G3064)+1,0))</f>
        <v>a1b3p000006eF81AAE</v>
      </c>
      <c r="C3065" s="177">
        <f ca="1">IF(COUNTA(G$2368:G3064)=1,"",OFFSET(C3065,-COUNTA(G$2368:G3064)+1,0))</f>
        <v>36</v>
      </c>
      <c r="D3065" s="166">
        <f t="shared" si="226"/>
        <v>215</v>
      </c>
      <c r="E3065" s="166">
        <f t="shared" ca="1" si="227"/>
        <v>5</v>
      </c>
      <c r="F3065" s="166">
        <f t="shared" ca="1" si="228"/>
        <v>44</v>
      </c>
      <c r="G3065" s="166"/>
      <c r="H3065" s="171" t="str">
        <f t="shared" ca="1" si="231"/>
        <v/>
      </c>
      <c r="I3065" s="171" t="str">
        <f t="shared" ca="1" si="232"/>
        <v/>
      </c>
      <c r="J3065" s="171" t="str">
        <f t="shared" ca="1" si="233"/>
        <v/>
      </c>
      <c r="K3065" s="171" t="str">
        <f t="shared" ca="1" si="234"/>
        <v/>
      </c>
      <c r="L3065" s="166"/>
      <c r="M3065" s="166"/>
      <c r="N3065" s="166"/>
      <c r="O3065" s="166"/>
      <c r="P3065" s="166">
        <f t="shared" ca="1" si="229"/>
        <v>0</v>
      </c>
      <c r="Q3065" s="166"/>
    </row>
    <row r="3066" spans="1:17">
      <c r="A3066" s="166" t="b">
        <f t="shared" ca="1" si="230"/>
        <v>0</v>
      </c>
      <c r="B3066" s="172" t="str">
        <f ca="1">IF(COUNTA(G$2368:G3065)=1,"",OFFSET(B3066,-COUNTA(G$2368:G3065)+1,0))</f>
        <v>a1b3p000006eF9JAAU</v>
      </c>
      <c r="C3066" s="177">
        <f ca="1">IF(COUNTA(G$2368:G3065)=1,"",OFFSET(C3066,-COUNTA(G$2368:G3065)+1,0))</f>
        <v>36</v>
      </c>
      <c r="D3066" s="166">
        <f t="shared" si="226"/>
        <v>216</v>
      </c>
      <c r="E3066" s="166">
        <f t="shared" ca="1" si="227"/>
        <v>6</v>
      </c>
      <c r="F3066" s="166">
        <f t="shared" ca="1" si="228"/>
        <v>44</v>
      </c>
      <c r="G3066" s="166"/>
      <c r="H3066" s="171" t="str">
        <f t="shared" ca="1" si="231"/>
        <v/>
      </c>
      <c r="I3066" s="171" t="str">
        <f t="shared" ca="1" si="232"/>
        <v/>
      </c>
      <c r="J3066" s="171" t="str">
        <f t="shared" ca="1" si="233"/>
        <v/>
      </c>
      <c r="K3066" s="171" t="str">
        <f t="shared" ca="1" si="234"/>
        <v/>
      </c>
      <c r="L3066" s="166"/>
      <c r="M3066" s="166"/>
      <c r="N3066" s="166"/>
      <c r="O3066" s="166"/>
      <c r="P3066" s="166">
        <f t="shared" ca="1" si="229"/>
        <v>0</v>
      </c>
      <c r="Q3066" s="166"/>
    </row>
    <row r="3067" spans="1:17">
      <c r="A3067" s="166" t="b">
        <f t="shared" ca="1" si="230"/>
        <v>0</v>
      </c>
      <c r="B3067" s="172" t="str">
        <f ca="1">IF(COUNTA(G$2368:G3066)=1,"",OFFSET(B3067,-COUNTA(G$2368:G3066)+1,0))</f>
        <v>a1b3p000006eF2sAAE</v>
      </c>
      <c r="C3067" s="177">
        <f ca="1">IF(COUNTA(G$2368:G3066)=1,"",OFFSET(C3067,-COUNTA(G$2368:G3066)+1,0))</f>
        <v>37</v>
      </c>
      <c r="D3067" s="166">
        <f t="shared" si="226"/>
        <v>217</v>
      </c>
      <c r="E3067" s="166">
        <f t="shared" ca="1" si="227"/>
        <v>1</v>
      </c>
      <c r="F3067" s="166">
        <f t="shared" ca="1" si="228"/>
        <v>45</v>
      </c>
      <c r="G3067" s="166"/>
      <c r="H3067" s="171" t="str">
        <f t="shared" ca="1" si="231"/>
        <v/>
      </c>
      <c r="I3067" s="171" t="str">
        <f t="shared" ca="1" si="232"/>
        <v/>
      </c>
      <c r="J3067" s="171" t="str">
        <f t="shared" ca="1" si="233"/>
        <v/>
      </c>
      <c r="K3067" s="171" t="str">
        <f t="shared" ca="1" si="234"/>
        <v/>
      </c>
      <c r="L3067" s="166"/>
      <c r="M3067" s="166"/>
      <c r="N3067" s="166"/>
      <c r="O3067" s="166"/>
      <c r="P3067" s="166">
        <f t="shared" ca="1" si="229"/>
        <v>0</v>
      </c>
      <c r="Q3067" s="166"/>
    </row>
    <row r="3068" spans="1:17">
      <c r="A3068" s="166" t="b">
        <f t="shared" ca="1" si="230"/>
        <v>0</v>
      </c>
      <c r="B3068" s="172" t="str">
        <f ca="1">IF(COUNTA(G$2368:G3067)=1,"",OFFSET(B3068,-COUNTA(G$2368:G3067)+1,0))</f>
        <v>a1b3p000006eF4AAAU</v>
      </c>
      <c r="C3068" s="177">
        <f ca="1">IF(COUNTA(G$2368:G3067)=1,"",OFFSET(C3068,-COUNTA(G$2368:G3067)+1,0))</f>
        <v>37</v>
      </c>
      <c r="D3068" s="166">
        <f t="shared" si="226"/>
        <v>218</v>
      </c>
      <c r="E3068" s="166">
        <f t="shared" ca="1" si="227"/>
        <v>2</v>
      </c>
      <c r="F3068" s="166">
        <f t="shared" ca="1" si="228"/>
        <v>45</v>
      </c>
      <c r="G3068" s="166"/>
      <c r="H3068" s="171" t="str">
        <f t="shared" ca="1" si="231"/>
        <v/>
      </c>
      <c r="I3068" s="171" t="str">
        <f t="shared" ca="1" si="232"/>
        <v/>
      </c>
      <c r="J3068" s="171" t="str">
        <f t="shared" ca="1" si="233"/>
        <v/>
      </c>
      <c r="K3068" s="171" t="str">
        <f t="shared" ca="1" si="234"/>
        <v/>
      </c>
      <c r="L3068" s="166"/>
      <c r="M3068" s="166"/>
      <c r="N3068" s="166"/>
      <c r="O3068" s="166"/>
      <c r="P3068" s="166">
        <f t="shared" ca="1" si="229"/>
        <v>0</v>
      </c>
      <c r="Q3068" s="166"/>
    </row>
    <row r="3069" spans="1:17">
      <c r="A3069" s="166" t="b">
        <f t="shared" ca="1" si="230"/>
        <v>0</v>
      </c>
      <c r="B3069" s="172" t="str">
        <f ca="1">IF(COUNTA(G$2368:G3068)=1,"",OFFSET(B3069,-COUNTA(G$2368:G3068)+1,0))</f>
        <v>a1b3p000006eF5SAAU</v>
      </c>
      <c r="C3069" s="177">
        <f ca="1">IF(COUNTA(G$2368:G3068)=1,"",OFFSET(C3069,-COUNTA(G$2368:G3068)+1,0))</f>
        <v>37</v>
      </c>
      <c r="D3069" s="166">
        <f t="shared" si="226"/>
        <v>219</v>
      </c>
      <c r="E3069" s="166">
        <f t="shared" ca="1" si="227"/>
        <v>3</v>
      </c>
      <c r="F3069" s="166">
        <f t="shared" ca="1" si="228"/>
        <v>45</v>
      </c>
      <c r="G3069" s="166"/>
      <c r="H3069" s="171" t="str">
        <f t="shared" ca="1" si="231"/>
        <v/>
      </c>
      <c r="I3069" s="171" t="str">
        <f t="shared" ca="1" si="232"/>
        <v/>
      </c>
      <c r="J3069" s="171" t="str">
        <f t="shared" ca="1" si="233"/>
        <v/>
      </c>
      <c r="K3069" s="171" t="str">
        <f t="shared" ca="1" si="234"/>
        <v/>
      </c>
      <c r="L3069" s="166"/>
      <c r="M3069" s="166"/>
      <c r="N3069" s="166"/>
      <c r="O3069" s="166"/>
      <c r="P3069" s="166">
        <f t="shared" ca="1" si="229"/>
        <v>0</v>
      </c>
      <c r="Q3069" s="166"/>
    </row>
    <row r="3070" spans="1:17">
      <c r="A3070" s="166" t="b">
        <f t="shared" ca="1" si="230"/>
        <v>0</v>
      </c>
      <c r="B3070" s="172" t="str">
        <f ca="1">IF(COUNTA(G$2368:G3069)=1,"",OFFSET(B3070,-COUNTA(G$2368:G3069)+1,0))</f>
        <v>a1b3p000006eF6kAAE</v>
      </c>
      <c r="C3070" s="177">
        <f ca="1">IF(COUNTA(G$2368:G3069)=1,"",OFFSET(C3070,-COUNTA(G$2368:G3069)+1,0))</f>
        <v>37</v>
      </c>
      <c r="D3070" s="166">
        <f t="shared" si="226"/>
        <v>220</v>
      </c>
      <c r="E3070" s="166">
        <f t="shared" ca="1" si="227"/>
        <v>4</v>
      </c>
      <c r="F3070" s="166">
        <f t="shared" ca="1" si="228"/>
        <v>45</v>
      </c>
      <c r="G3070" s="166"/>
      <c r="H3070" s="171" t="str">
        <f t="shared" ca="1" si="231"/>
        <v/>
      </c>
      <c r="I3070" s="171" t="str">
        <f t="shared" ca="1" si="232"/>
        <v/>
      </c>
      <c r="J3070" s="171" t="str">
        <f t="shared" ca="1" si="233"/>
        <v/>
      </c>
      <c r="K3070" s="171" t="str">
        <f t="shared" ca="1" si="234"/>
        <v/>
      </c>
      <c r="L3070" s="166"/>
      <c r="M3070" s="166"/>
      <c r="N3070" s="166"/>
      <c r="O3070" s="166"/>
      <c r="P3070" s="166">
        <f t="shared" ca="1" si="229"/>
        <v>0</v>
      </c>
      <c r="Q3070" s="166"/>
    </row>
    <row r="3071" spans="1:17">
      <c r="A3071" s="166" t="b">
        <f t="shared" ca="1" si="230"/>
        <v>0</v>
      </c>
      <c r="B3071" s="172" t="str">
        <f ca="1">IF(COUNTA(G$2368:G3070)=1,"",OFFSET(B3071,-COUNTA(G$2368:G3070)+1,0))</f>
        <v>a1b3p000006eF82AAE</v>
      </c>
      <c r="C3071" s="177">
        <f ca="1">IF(COUNTA(G$2368:G3070)=1,"",OFFSET(C3071,-COUNTA(G$2368:G3070)+1,0))</f>
        <v>37</v>
      </c>
      <c r="D3071" s="166">
        <f t="shared" si="226"/>
        <v>221</v>
      </c>
      <c r="E3071" s="166">
        <f t="shared" ca="1" si="227"/>
        <v>5</v>
      </c>
      <c r="F3071" s="166">
        <f t="shared" ca="1" si="228"/>
        <v>45</v>
      </c>
      <c r="G3071" s="166"/>
      <c r="H3071" s="171" t="str">
        <f t="shared" ca="1" si="231"/>
        <v/>
      </c>
      <c r="I3071" s="171" t="str">
        <f t="shared" ca="1" si="232"/>
        <v/>
      </c>
      <c r="J3071" s="171" t="str">
        <f t="shared" ca="1" si="233"/>
        <v/>
      </c>
      <c r="K3071" s="171" t="str">
        <f t="shared" ca="1" si="234"/>
        <v/>
      </c>
      <c r="L3071" s="166"/>
      <c r="M3071" s="166"/>
      <c r="N3071" s="166"/>
      <c r="O3071" s="166"/>
      <c r="P3071" s="166">
        <f t="shared" ca="1" si="229"/>
        <v>0</v>
      </c>
      <c r="Q3071" s="166"/>
    </row>
    <row r="3072" spans="1:17">
      <c r="A3072" s="166" t="b">
        <f t="shared" ca="1" si="230"/>
        <v>0</v>
      </c>
      <c r="B3072" s="172" t="str">
        <f ca="1">IF(COUNTA(G$2368:G3071)=1,"",OFFSET(B3072,-COUNTA(G$2368:G3071)+1,0))</f>
        <v>a1b3p000006eF9KAAU</v>
      </c>
      <c r="C3072" s="177">
        <f ca="1">IF(COUNTA(G$2368:G3071)=1,"",OFFSET(C3072,-COUNTA(G$2368:G3071)+1,0))</f>
        <v>37</v>
      </c>
      <c r="D3072" s="166">
        <f t="shared" si="226"/>
        <v>222</v>
      </c>
      <c r="E3072" s="166">
        <f t="shared" ca="1" si="227"/>
        <v>6</v>
      </c>
      <c r="F3072" s="166">
        <f t="shared" ca="1" si="228"/>
        <v>45</v>
      </c>
      <c r="G3072" s="166"/>
      <c r="H3072" s="171" t="str">
        <f t="shared" ca="1" si="231"/>
        <v/>
      </c>
      <c r="I3072" s="171" t="str">
        <f t="shared" ca="1" si="232"/>
        <v/>
      </c>
      <c r="J3072" s="171" t="str">
        <f t="shared" ca="1" si="233"/>
        <v/>
      </c>
      <c r="K3072" s="171" t="str">
        <f t="shared" ca="1" si="234"/>
        <v/>
      </c>
      <c r="L3072" s="166"/>
      <c r="M3072" s="166"/>
      <c r="N3072" s="166"/>
      <c r="O3072" s="166"/>
      <c r="P3072" s="166">
        <f t="shared" ca="1" si="229"/>
        <v>0</v>
      </c>
      <c r="Q3072" s="166"/>
    </row>
    <row r="3073" spans="1:17">
      <c r="A3073" s="166" t="b">
        <f t="shared" ca="1" si="230"/>
        <v>0</v>
      </c>
      <c r="B3073" s="172" t="str">
        <f ca="1">IF(COUNTA(G$2368:G3072)=1,"",OFFSET(B3073,-COUNTA(G$2368:G3072)+1,0))</f>
        <v>a1b3p000006eF2tAAE</v>
      </c>
      <c r="C3073" s="177">
        <f ca="1">IF(COUNTA(G$2368:G3072)=1,"",OFFSET(C3073,-COUNTA(G$2368:G3072)+1,0))</f>
        <v>38</v>
      </c>
      <c r="D3073" s="166">
        <f t="shared" si="226"/>
        <v>223</v>
      </c>
      <c r="E3073" s="166">
        <f t="shared" ca="1" si="227"/>
        <v>1</v>
      </c>
      <c r="F3073" s="166">
        <f t="shared" ca="1" si="228"/>
        <v>46</v>
      </c>
      <c r="G3073" s="166"/>
      <c r="H3073" s="171" t="str">
        <f t="shared" ca="1" si="231"/>
        <v/>
      </c>
      <c r="I3073" s="171" t="str">
        <f t="shared" ca="1" si="232"/>
        <v/>
      </c>
      <c r="J3073" s="171" t="str">
        <f t="shared" ca="1" si="233"/>
        <v/>
      </c>
      <c r="K3073" s="171" t="str">
        <f t="shared" ca="1" si="234"/>
        <v/>
      </c>
      <c r="L3073" s="166"/>
      <c r="M3073" s="166"/>
      <c r="N3073" s="166"/>
      <c r="O3073" s="166"/>
      <c r="P3073" s="166">
        <f t="shared" ca="1" si="229"/>
        <v>0</v>
      </c>
      <c r="Q3073" s="166"/>
    </row>
    <row r="3074" spans="1:17">
      <c r="A3074" s="166" t="b">
        <f t="shared" ca="1" si="230"/>
        <v>0</v>
      </c>
      <c r="B3074" s="172" t="str">
        <f ca="1">IF(COUNTA(G$2368:G3073)=1,"",OFFSET(B3074,-COUNTA(G$2368:G3073)+1,0))</f>
        <v>a1b3p000006eF4BAAU</v>
      </c>
      <c r="C3074" s="177">
        <f ca="1">IF(COUNTA(G$2368:G3073)=1,"",OFFSET(C3074,-COUNTA(G$2368:G3073)+1,0))</f>
        <v>38</v>
      </c>
      <c r="D3074" s="166">
        <f t="shared" si="226"/>
        <v>224</v>
      </c>
      <c r="E3074" s="166">
        <f t="shared" ca="1" si="227"/>
        <v>2</v>
      </c>
      <c r="F3074" s="166">
        <f t="shared" ca="1" si="228"/>
        <v>46</v>
      </c>
      <c r="G3074" s="166"/>
      <c r="H3074" s="171" t="str">
        <f t="shared" ca="1" si="231"/>
        <v/>
      </c>
      <c r="I3074" s="171" t="str">
        <f t="shared" ca="1" si="232"/>
        <v/>
      </c>
      <c r="J3074" s="171" t="str">
        <f t="shared" ca="1" si="233"/>
        <v/>
      </c>
      <c r="K3074" s="171" t="str">
        <f t="shared" ca="1" si="234"/>
        <v/>
      </c>
      <c r="L3074" s="166"/>
      <c r="M3074" s="166"/>
      <c r="N3074" s="166"/>
      <c r="O3074" s="166"/>
      <c r="P3074" s="166">
        <f t="shared" ca="1" si="229"/>
        <v>0</v>
      </c>
      <c r="Q3074" s="166"/>
    </row>
    <row r="3075" spans="1:17">
      <c r="A3075" s="166" t="b">
        <f t="shared" ca="1" si="230"/>
        <v>0</v>
      </c>
      <c r="B3075" s="172" t="str">
        <f ca="1">IF(COUNTA(G$2368:G3074)=1,"",OFFSET(B3075,-COUNTA(G$2368:G3074)+1,0))</f>
        <v>a1b3p000006eF5TAAU</v>
      </c>
      <c r="C3075" s="177">
        <f ca="1">IF(COUNTA(G$2368:G3074)=1,"",OFFSET(C3075,-COUNTA(G$2368:G3074)+1,0))</f>
        <v>38</v>
      </c>
      <c r="D3075" s="166">
        <f t="shared" ref="D3075:D3138" si="235">D3074+1</f>
        <v>225</v>
      </c>
      <c r="E3075" s="166">
        <f t="shared" ref="E3075:E3138" ca="1" si="236">COUNTIF(C2905:C3075,C3075)</f>
        <v>3</v>
      </c>
      <c r="F3075" s="166">
        <f t="shared" ref="F3075:F3138" ca="1" si="237">IF(C3075=1,9,IF(E3074=MAX(E3073:E3075),F3073+1,F3074))</f>
        <v>46</v>
      </c>
      <c r="G3075" s="166"/>
      <c r="H3075" s="171" t="str">
        <f t="shared" ca="1" si="231"/>
        <v/>
      </c>
      <c r="I3075" s="171" t="str">
        <f t="shared" ca="1" si="232"/>
        <v/>
      </c>
      <c r="J3075" s="171" t="str">
        <f t="shared" ca="1" si="233"/>
        <v/>
      </c>
      <c r="K3075" s="171" t="str">
        <f t="shared" ca="1" si="234"/>
        <v/>
      </c>
      <c r="L3075" s="166"/>
      <c r="M3075" s="166"/>
      <c r="N3075" s="166"/>
      <c r="O3075" s="166"/>
      <c r="P3075" s="166">
        <f t="shared" ref="P3075:P3138" ca="1" si="238">IF(NOT(_xlfn.ISFORMULA(I3075)),P3074+1,0)</f>
        <v>0</v>
      </c>
      <c r="Q3075" s="166"/>
    </row>
    <row r="3076" spans="1:17">
      <c r="A3076" s="166" t="b">
        <f t="shared" ca="1" si="230"/>
        <v>0</v>
      </c>
      <c r="B3076" s="172" t="str">
        <f ca="1">IF(COUNTA(G$2368:G3075)=1,"",OFFSET(B3076,-COUNTA(G$2368:G3075)+1,0))</f>
        <v>a1b3p000006eF6lAAE</v>
      </c>
      <c r="C3076" s="177">
        <f ca="1">IF(COUNTA(G$2368:G3075)=1,"",OFFSET(C3076,-COUNTA(G$2368:G3075)+1,0))</f>
        <v>38</v>
      </c>
      <c r="D3076" s="166">
        <f t="shared" si="235"/>
        <v>226</v>
      </c>
      <c r="E3076" s="166">
        <f t="shared" ca="1" si="236"/>
        <v>4</v>
      </c>
      <c r="F3076" s="166">
        <f t="shared" ca="1" si="237"/>
        <v>46</v>
      </c>
      <c r="G3076" s="166"/>
      <c r="H3076" s="171" t="str">
        <f t="shared" ca="1" si="231"/>
        <v/>
      </c>
      <c r="I3076" s="171" t="str">
        <f t="shared" ca="1" si="232"/>
        <v/>
      </c>
      <c r="J3076" s="171" t="str">
        <f t="shared" ca="1" si="233"/>
        <v/>
      </c>
      <c r="K3076" s="171" t="str">
        <f t="shared" ca="1" si="234"/>
        <v/>
      </c>
      <c r="L3076" s="166"/>
      <c r="M3076" s="166"/>
      <c r="N3076" s="166"/>
      <c r="O3076" s="166"/>
      <c r="P3076" s="166">
        <f t="shared" ca="1" si="238"/>
        <v>0</v>
      </c>
      <c r="Q3076" s="166"/>
    </row>
    <row r="3077" spans="1:17">
      <c r="A3077" s="166" t="b">
        <f t="shared" ca="1" si="230"/>
        <v>0</v>
      </c>
      <c r="B3077" s="172" t="str">
        <f ca="1">IF(COUNTA(G$2368:G3076)=1,"",OFFSET(B3077,-COUNTA(G$2368:G3076)+1,0))</f>
        <v>a1b3p000006eF83AAE</v>
      </c>
      <c r="C3077" s="177">
        <f ca="1">IF(COUNTA(G$2368:G3076)=1,"",OFFSET(C3077,-COUNTA(G$2368:G3076)+1,0))</f>
        <v>38</v>
      </c>
      <c r="D3077" s="166">
        <f t="shared" si="235"/>
        <v>227</v>
      </c>
      <c r="E3077" s="166">
        <f t="shared" ca="1" si="236"/>
        <v>5</v>
      </c>
      <c r="F3077" s="166">
        <f t="shared" ca="1" si="237"/>
        <v>46</v>
      </c>
      <c r="G3077" s="166"/>
      <c r="H3077" s="171" t="str">
        <f t="shared" ca="1" si="231"/>
        <v/>
      </c>
      <c r="I3077" s="171" t="str">
        <f t="shared" ca="1" si="232"/>
        <v/>
      </c>
      <c r="J3077" s="171" t="str">
        <f t="shared" ca="1" si="233"/>
        <v/>
      </c>
      <c r="K3077" s="171" t="str">
        <f t="shared" ca="1" si="234"/>
        <v/>
      </c>
      <c r="L3077" s="166"/>
      <c r="M3077" s="166"/>
      <c r="N3077" s="166"/>
      <c r="O3077" s="166"/>
      <c r="P3077" s="166">
        <f t="shared" ca="1" si="238"/>
        <v>0</v>
      </c>
      <c r="Q3077" s="166"/>
    </row>
    <row r="3078" spans="1:17">
      <c r="A3078" s="166" t="b">
        <f t="shared" ca="1" si="230"/>
        <v>0</v>
      </c>
      <c r="B3078" s="172" t="str">
        <f ca="1">IF(COUNTA(G$2368:G3077)=1,"",OFFSET(B3078,-COUNTA(G$2368:G3077)+1,0))</f>
        <v>a1b3p000006eF9LAAU</v>
      </c>
      <c r="C3078" s="177">
        <f ca="1">IF(COUNTA(G$2368:G3077)=1,"",OFFSET(C3078,-COUNTA(G$2368:G3077)+1,0))</f>
        <v>38</v>
      </c>
      <c r="D3078" s="166">
        <f t="shared" si="235"/>
        <v>228</v>
      </c>
      <c r="E3078" s="166">
        <f t="shared" ca="1" si="236"/>
        <v>6</v>
      </c>
      <c r="F3078" s="166">
        <f t="shared" ca="1" si="237"/>
        <v>46</v>
      </c>
      <c r="G3078" s="166"/>
      <c r="H3078" s="171" t="str">
        <f t="shared" ca="1" si="231"/>
        <v/>
      </c>
      <c r="I3078" s="171" t="str">
        <f t="shared" ca="1" si="232"/>
        <v/>
      </c>
      <c r="J3078" s="171" t="str">
        <f t="shared" ca="1" si="233"/>
        <v/>
      </c>
      <c r="K3078" s="171" t="str">
        <f t="shared" ca="1" si="234"/>
        <v/>
      </c>
      <c r="L3078" s="166"/>
      <c r="M3078" s="166"/>
      <c r="N3078" s="166"/>
      <c r="O3078" s="166"/>
      <c r="P3078" s="166">
        <f t="shared" ca="1" si="238"/>
        <v>0</v>
      </c>
      <c r="Q3078" s="166"/>
    </row>
    <row r="3079" spans="1:17">
      <c r="A3079" s="166" t="b">
        <f t="shared" ca="1" si="230"/>
        <v>0</v>
      </c>
      <c r="B3079" s="172" t="str">
        <f ca="1">IF(COUNTA(G$2368:G3078)=1,"",OFFSET(B3079,-COUNTA(G$2368:G3078)+1,0))</f>
        <v>a1b3p000006eF2uAAE</v>
      </c>
      <c r="C3079" s="177">
        <f ca="1">IF(COUNTA(G$2368:G3078)=1,"",OFFSET(C3079,-COUNTA(G$2368:G3078)+1,0))</f>
        <v>39</v>
      </c>
      <c r="D3079" s="166">
        <f t="shared" si="235"/>
        <v>229</v>
      </c>
      <c r="E3079" s="166">
        <f t="shared" ca="1" si="236"/>
        <v>1</v>
      </c>
      <c r="F3079" s="166">
        <f t="shared" ca="1" si="237"/>
        <v>47</v>
      </c>
      <c r="G3079" s="166"/>
      <c r="H3079" s="171" t="str">
        <f t="shared" ca="1" si="231"/>
        <v/>
      </c>
      <c r="I3079" s="171" t="str">
        <f t="shared" ca="1" si="232"/>
        <v/>
      </c>
      <c r="J3079" s="171" t="str">
        <f t="shared" ca="1" si="233"/>
        <v/>
      </c>
      <c r="K3079" s="171" t="str">
        <f t="shared" ca="1" si="234"/>
        <v/>
      </c>
      <c r="L3079" s="166"/>
      <c r="M3079" s="166"/>
      <c r="N3079" s="166"/>
      <c r="O3079" s="166"/>
      <c r="P3079" s="166">
        <f t="shared" ca="1" si="238"/>
        <v>0</v>
      </c>
      <c r="Q3079" s="166"/>
    </row>
    <row r="3080" spans="1:17">
      <c r="A3080" s="166" t="b">
        <f t="shared" ca="1" si="230"/>
        <v>0</v>
      </c>
      <c r="B3080" s="172" t="str">
        <f ca="1">IF(COUNTA(G$2368:G3079)=1,"",OFFSET(B3080,-COUNTA(G$2368:G3079)+1,0))</f>
        <v>a1b3p000006eF4CAAU</v>
      </c>
      <c r="C3080" s="177">
        <f ca="1">IF(COUNTA(G$2368:G3079)=1,"",OFFSET(C3080,-COUNTA(G$2368:G3079)+1,0))</f>
        <v>39</v>
      </c>
      <c r="D3080" s="166">
        <f t="shared" si="235"/>
        <v>230</v>
      </c>
      <c r="E3080" s="166">
        <f t="shared" ca="1" si="236"/>
        <v>2</v>
      </c>
      <c r="F3080" s="166">
        <f t="shared" ca="1" si="237"/>
        <v>47</v>
      </c>
      <c r="G3080" s="166"/>
      <c r="H3080" s="171" t="str">
        <f t="shared" ca="1" si="231"/>
        <v/>
      </c>
      <c r="I3080" s="171" t="str">
        <f t="shared" ca="1" si="232"/>
        <v/>
      </c>
      <c r="J3080" s="171" t="str">
        <f t="shared" ca="1" si="233"/>
        <v/>
      </c>
      <c r="K3080" s="171" t="str">
        <f t="shared" ca="1" si="234"/>
        <v/>
      </c>
      <c r="L3080" s="166"/>
      <c r="M3080" s="166"/>
      <c r="N3080" s="166"/>
      <c r="O3080" s="166"/>
      <c r="P3080" s="166">
        <f t="shared" ca="1" si="238"/>
        <v>0</v>
      </c>
      <c r="Q3080" s="166"/>
    </row>
    <row r="3081" spans="1:17">
      <c r="A3081" s="166" t="b">
        <f t="shared" ca="1" si="230"/>
        <v>0</v>
      </c>
      <c r="B3081" s="172" t="str">
        <f ca="1">IF(COUNTA(G$2368:G3080)=1,"",OFFSET(B3081,-COUNTA(G$2368:G3080)+1,0))</f>
        <v>a1b3p000006eF5UAAU</v>
      </c>
      <c r="C3081" s="177">
        <f ca="1">IF(COUNTA(G$2368:G3080)=1,"",OFFSET(C3081,-COUNTA(G$2368:G3080)+1,0))</f>
        <v>39</v>
      </c>
      <c r="D3081" s="166">
        <f t="shared" si="235"/>
        <v>231</v>
      </c>
      <c r="E3081" s="166">
        <f t="shared" ca="1" si="236"/>
        <v>3</v>
      </c>
      <c r="F3081" s="166">
        <f t="shared" ca="1" si="237"/>
        <v>47</v>
      </c>
      <c r="G3081" s="166"/>
      <c r="H3081" s="171" t="str">
        <f t="shared" ca="1" si="231"/>
        <v/>
      </c>
      <c r="I3081" s="171" t="str">
        <f t="shared" ca="1" si="232"/>
        <v/>
      </c>
      <c r="J3081" s="171" t="str">
        <f t="shared" ca="1" si="233"/>
        <v/>
      </c>
      <c r="K3081" s="171" t="str">
        <f t="shared" ca="1" si="234"/>
        <v/>
      </c>
      <c r="L3081" s="166"/>
      <c r="M3081" s="166"/>
      <c r="N3081" s="166"/>
      <c r="O3081" s="166"/>
      <c r="P3081" s="166">
        <f t="shared" ca="1" si="238"/>
        <v>0</v>
      </c>
      <c r="Q3081" s="166"/>
    </row>
    <row r="3082" spans="1:17">
      <c r="A3082" s="166" t="b">
        <f t="shared" ca="1" si="230"/>
        <v>0</v>
      </c>
      <c r="B3082" s="172" t="str">
        <f ca="1">IF(COUNTA(G$2368:G3081)=1,"",OFFSET(B3082,-COUNTA(G$2368:G3081)+1,0))</f>
        <v>a1b3p000006eF6mAAE</v>
      </c>
      <c r="C3082" s="177">
        <f ca="1">IF(COUNTA(G$2368:G3081)=1,"",OFFSET(C3082,-COUNTA(G$2368:G3081)+1,0))</f>
        <v>39</v>
      </c>
      <c r="D3082" s="166">
        <f t="shared" si="235"/>
        <v>232</v>
      </c>
      <c r="E3082" s="166">
        <f t="shared" ca="1" si="236"/>
        <v>4</v>
      </c>
      <c r="F3082" s="166">
        <f t="shared" ca="1" si="237"/>
        <v>47</v>
      </c>
      <c r="G3082" s="166"/>
      <c r="H3082" s="171" t="str">
        <f t="shared" ca="1" si="231"/>
        <v/>
      </c>
      <c r="I3082" s="171" t="str">
        <f t="shared" ca="1" si="232"/>
        <v/>
      </c>
      <c r="J3082" s="171" t="str">
        <f t="shared" ca="1" si="233"/>
        <v/>
      </c>
      <c r="K3082" s="171" t="str">
        <f t="shared" ca="1" si="234"/>
        <v/>
      </c>
      <c r="L3082" s="166"/>
      <c r="M3082" s="166"/>
      <c r="N3082" s="166"/>
      <c r="O3082" s="166"/>
      <c r="P3082" s="166">
        <f t="shared" ca="1" si="238"/>
        <v>0</v>
      </c>
      <c r="Q3082" s="166"/>
    </row>
    <row r="3083" spans="1:17">
      <c r="A3083" s="166" t="b">
        <f t="shared" ca="1" si="230"/>
        <v>0</v>
      </c>
      <c r="B3083" s="172" t="str">
        <f ca="1">IF(COUNTA(G$2368:G3082)=1,"",OFFSET(B3083,-COUNTA(G$2368:G3082)+1,0))</f>
        <v>a1b3p000006eF84AAE</v>
      </c>
      <c r="C3083" s="177">
        <f ca="1">IF(COUNTA(G$2368:G3082)=1,"",OFFSET(C3083,-COUNTA(G$2368:G3082)+1,0))</f>
        <v>39</v>
      </c>
      <c r="D3083" s="166">
        <f t="shared" si="235"/>
        <v>233</v>
      </c>
      <c r="E3083" s="166">
        <f t="shared" ca="1" si="236"/>
        <v>5</v>
      </c>
      <c r="F3083" s="166">
        <f t="shared" ca="1" si="237"/>
        <v>47</v>
      </c>
      <c r="G3083" s="166"/>
      <c r="H3083" s="171" t="str">
        <f t="shared" ca="1" si="231"/>
        <v/>
      </c>
      <c r="I3083" s="171" t="str">
        <f t="shared" ca="1" si="232"/>
        <v/>
      </c>
      <c r="J3083" s="171" t="str">
        <f t="shared" ca="1" si="233"/>
        <v/>
      </c>
      <c r="K3083" s="171" t="str">
        <f t="shared" ca="1" si="234"/>
        <v/>
      </c>
      <c r="L3083" s="166"/>
      <c r="M3083" s="166"/>
      <c r="N3083" s="166"/>
      <c r="O3083" s="166"/>
      <c r="P3083" s="166">
        <f t="shared" ca="1" si="238"/>
        <v>0</v>
      </c>
      <c r="Q3083" s="166"/>
    </row>
    <row r="3084" spans="1:17">
      <c r="A3084" s="166" t="b">
        <f t="shared" ca="1" si="230"/>
        <v>0</v>
      </c>
      <c r="B3084" s="172" t="str">
        <f ca="1">IF(COUNTA(G$2368:G3083)=1,"",OFFSET(B3084,-COUNTA(G$2368:G3083)+1,0))</f>
        <v>a1b3p000006eF9MAAU</v>
      </c>
      <c r="C3084" s="177">
        <f ca="1">IF(COUNTA(G$2368:G3083)=1,"",OFFSET(C3084,-COUNTA(G$2368:G3083)+1,0))</f>
        <v>39</v>
      </c>
      <c r="D3084" s="166">
        <f t="shared" si="235"/>
        <v>234</v>
      </c>
      <c r="E3084" s="166">
        <f t="shared" ca="1" si="236"/>
        <v>6</v>
      </c>
      <c r="F3084" s="166">
        <f t="shared" ca="1" si="237"/>
        <v>47</v>
      </c>
      <c r="G3084" s="166"/>
      <c r="H3084" s="171" t="str">
        <f t="shared" ca="1" si="231"/>
        <v/>
      </c>
      <c r="I3084" s="171" t="str">
        <f t="shared" ca="1" si="232"/>
        <v/>
      </c>
      <c r="J3084" s="171" t="str">
        <f t="shared" ca="1" si="233"/>
        <v/>
      </c>
      <c r="K3084" s="171" t="str">
        <f t="shared" ca="1" si="234"/>
        <v/>
      </c>
      <c r="L3084" s="166"/>
      <c r="M3084" s="166"/>
      <c r="N3084" s="166"/>
      <c r="O3084" s="166"/>
      <c r="P3084" s="166">
        <f t="shared" ca="1" si="238"/>
        <v>0</v>
      </c>
      <c r="Q3084" s="166"/>
    </row>
    <row r="3085" spans="1:17">
      <c r="A3085" s="166" t="b">
        <f t="shared" ca="1" si="230"/>
        <v>0</v>
      </c>
      <c r="B3085" s="172" t="str">
        <f ca="1">IF(COUNTA(G$2368:G3084)=1,"",OFFSET(B3085,-COUNTA(G$2368:G3084)+1,0))</f>
        <v>a1b3p000006eF2vAAE</v>
      </c>
      <c r="C3085" s="177">
        <f ca="1">IF(COUNTA(G$2368:G3084)=1,"",OFFSET(C3085,-COUNTA(G$2368:G3084)+1,0))</f>
        <v>40</v>
      </c>
      <c r="D3085" s="166">
        <f t="shared" si="235"/>
        <v>235</v>
      </c>
      <c r="E3085" s="166">
        <f t="shared" ca="1" si="236"/>
        <v>1</v>
      </c>
      <c r="F3085" s="166">
        <f t="shared" ca="1" si="237"/>
        <v>48</v>
      </c>
      <c r="G3085" s="166"/>
      <c r="H3085" s="171" t="str">
        <f t="shared" ca="1" si="231"/>
        <v/>
      </c>
      <c r="I3085" s="171" t="str">
        <f t="shared" ca="1" si="232"/>
        <v/>
      </c>
      <c r="J3085" s="171" t="str">
        <f t="shared" ca="1" si="233"/>
        <v/>
      </c>
      <c r="K3085" s="171" t="str">
        <f t="shared" ca="1" si="234"/>
        <v/>
      </c>
      <c r="L3085" s="166"/>
      <c r="M3085" s="166"/>
      <c r="N3085" s="166"/>
      <c r="O3085" s="166"/>
      <c r="P3085" s="166">
        <f t="shared" ca="1" si="238"/>
        <v>0</v>
      </c>
      <c r="Q3085" s="166"/>
    </row>
    <row r="3086" spans="1:17">
      <c r="A3086" s="166" t="b">
        <f t="shared" ca="1" si="230"/>
        <v>0</v>
      </c>
      <c r="B3086" s="172" t="str">
        <f ca="1">IF(COUNTA(G$2368:G3085)=1,"",OFFSET(B3086,-COUNTA(G$2368:G3085)+1,0))</f>
        <v>a1b3p000006eF4DAAU</v>
      </c>
      <c r="C3086" s="177">
        <f ca="1">IF(COUNTA(G$2368:G3085)=1,"",OFFSET(C3086,-COUNTA(G$2368:G3085)+1,0))</f>
        <v>40</v>
      </c>
      <c r="D3086" s="166">
        <f t="shared" si="235"/>
        <v>236</v>
      </c>
      <c r="E3086" s="166">
        <f t="shared" ca="1" si="236"/>
        <v>2</v>
      </c>
      <c r="F3086" s="166">
        <f t="shared" ca="1" si="237"/>
        <v>48</v>
      </c>
      <c r="G3086" s="166"/>
      <c r="H3086" s="171" t="str">
        <f t="shared" ca="1" si="231"/>
        <v/>
      </c>
      <c r="I3086" s="171" t="str">
        <f t="shared" ca="1" si="232"/>
        <v/>
      </c>
      <c r="J3086" s="171" t="str">
        <f t="shared" ca="1" si="233"/>
        <v/>
      </c>
      <c r="K3086" s="171" t="str">
        <f t="shared" ca="1" si="234"/>
        <v/>
      </c>
      <c r="L3086" s="166"/>
      <c r="M3086" s="166"/>
      <c r="N3086" s="166"/>
      <c r="O3086" s="166"/>
      <c r="P3086" s="166">
        <f t="shared" ca="1" si="238"/>
        <v>0</v>
      </c>
      <c r="Q3086" s="166"/>
    </row>
    <row r="3087" spans="1:17">
      <c r="A3087" s="166" t="b">
        <f t="shared" ca="1" si="230"/>
        <v>0</v>
      </c>
      <c r="B3087" s="172" t="str">
        <f ca="1">IF(COUNTA(G$2368:G3086)=1,"",OFFSET(B3087,-COUNTA(G$2368:G3086)+1,0))</f>
        <v>a1b3p000006eF5VAAU</v>
      </c>
      <c r="C3087" s="177">
        <f ca="1">IF(COUNTA(G$2368:G3086)=1,"",OFFSET(C3087,-COUNTA(G$2368:G3086)+1,0))</f>
        <v>40</v>
      </c>
      <c r="D3087" s="166">
        <f t="shared" si="235"/>
        <v>237</v>
      </c>
      <c r="E3087" s="166">
        <f t="shared" ca="1" si="236"/>
        <v>3</v>
      </c>
      <c r="F3087" s="166">
        <f t="shared" ca="1" si="237"/>
        <v>48</v>
      </c>
      <c r="G3087" s="166"/>
      <c r="H3087" s="171" t="str">
        <f t="shared" ca="1" si="231"/>
        <v/>
      </c>
      <c r="I3087" s="171" t="str">
        <f t="shared" ca="1" si="232"/>
        <v/>
      </c>
      <c r="J3087" s="171" t="str">
        <f t="shared" ca="1" si="233"/>
        <v/>
      </c>
      <c r="K3087" s="171" t="str">
        <f t="shared" ca="1" si="234"/>
        <v/>
      </c>
      <c r="L3087" s="166"/>
      <c r="M3087" s="166"/>
      <c r="N3087" s="166"/>
      <c r="O3087" s="166"/>
      <c r="P3087" s="166">
        <f t="shared" ca="1" si="238"/>
        <v>0</v>
      </c>
      <c r="Q3087" s="166"/>
    </row>
    <row r="3088" spans="1:17">
      <c r="A3088" s="166" t="b">
        <f t="shared" ca="1" si="230"/>
        <v>0</v>
      </c>
      <c r="B3088" s="172" t="str">
        <f ca="1">IF(COUNTA(G$2368:G3087)=1,"",OFFSET(B3088,-COUNTA(G$2368:G3087)+1,0))</f>
        <v>a1b3p000006eF6nAAE</v>
      </c>
      <c r="C3088" s="177">
        <f ca="1">IF(COUNTA(G$2368:G3087)=1,"",OFFSET(C3088,-COUNTA(G$2368:G3087)+1,0))</f>
        <v>40</v>
      </c>
      <c r="D3088" s="166">
        <f t="shared" si="235"/>
        <v>238</v>
      </c>
      <c r="E3088" s="166">
        <f t="shared" ca="1" si="236"/>
        <v>4</v>
      </c>
      <c r="F3088" s="166">
        <f t="shared" ca="1" si="237"/>
        <v>48</v>
      </c>
      <c r="G3088" s="166"/>
      <c r="H3088" s="171" t="str">
        <f t="shared" ca="1" si="231"/>
        <v/>
      </c>
      <c r="I3088" s="171" t="str">
        <f t="shared" ca="1" si="232"/>
        <v/>
      </c>
      <c r="J3088" s="171" t="str">
        <f t="shared" ca="1" si="233"/>
        <v/>
      </c>
      <c r="K3088" s="171" t="str">
        <f t="shared" ca="1" si="234"/>
        <v/>
      </c>
      <c r="L3088" s="166"/>
      <c r="M3088" s="166"/>
      <c r="N3088" s="166"/>
      <c r="O3088" s="166"/>
      <c r="P3088" s="166">
        <f t="shared" ca="1" si="238"/>
        <v>0</v>
      </c>
      <c r="Q3088" s="166"/>
    </row>
    <row r="3089" spans="1:17">
      <c r="A3089" s="166" t="b">
        <f t="shared" ca="1" si="230"/>
        <v>0</v>
      </c>
      <c r="B3089" s="172" t="str">
        <f ca="1">IF(COUNTA(G$2368:G3088)=1,"",OFFSET(B3089,-COUNTA(G$2368:G3088)+1,0))</f>
        <v>a1b3p000006eF85AAE</v>
      </c>
      <c r="C3089" s="177">
        <f ca="1">IF(COUNTA(G$2368:G3088)=1,"",OFFSET(C3089,-COUNTA(G$2368:G3088)+1,0))</f>
        <v>40</v>
      </c>
      <c r="D3089" s="166">
        <f t="shared" si="235"/>
        <v>239</v>
      </c>
      <c r="E3089" s="166">
        <f t="shared" ca="1" si="236"/>
        <v>5</v>
      </c>
      <c r="F3089" s="166">
        <f t="shared" ca="1" si="237"/>
        <v>48</v>
      </c>
      <c r="G3089" s="166"/>
      <c r="H3089" s="171" t="str">
        <f t="shared" ca="1" si="231"/>
        <v/>
      </c>
      <c r="I3089" s="171" t="str">
        <f t="shared" ca="1" si="232"/>
        <v/>
      </c>
      <c r="J3089" s="171" t="str">
        <f t="shared" ca="1" si="233"/>
        <v/>
      </c>
      <c r="K3089" s="171" t="str">
        <f t="shared" ca="1" si="234"/>
        <v/>
      </c>
      <c r="L3089" s="166"/>
      <c r="M3089" s="166"/>
      <c r="N3089" s="166"/>
      <c r="O3089" s="166"/>
      <c r="P3089" s="166">
        <f t="shared" ca="1" si="238"/>
        <v>0</v>
      </c>
      <c r="Q3089" s="166"/>
    </row>
    <row r="3090" spans="1:17">
      <c r="A3090" s="166" t="b">
        <f t="shared" ca="1" si="230"/>
        <v>0</v>
      </c>
      <c r="B3090" s="172" t="str">
        <f ca="1">IF(COUNTA(G$2368:G3089)=1,"",OFFSET(B3090,-COUNTA(G$2368:G3089)+1,0))</f>
        <v>a1b3p000006eF9NAAU</v>
      </c>
      <c r="C3090" s="177">
        <f ca="1">IF(COUNTA(G$2368:G3089)=1,"",OFFSET(C3090,-COUNTA(G$2368:G3089)+1,0))</f>
        <v>40</v>
      </c>
      <c r="D3090" s="166">
        <f t="shared" si="235"/>
        <v>240</v>
      </c>
      <c r="E3090" s="166">
        <f t="shared" ca="1" si="236"/>
        <v>6</v>
      </c>
      <c r="F3090" s="166">
        <f t="shared" ca="1" si="237"/>
        <v>48</v>
      </c>
      <c r="G3090" s="166"/>
      <c r="H3090" s="171" t="str">
        <f t="shared" ca="1" si="231"/>
        <v/>
      </c>
      <c r="I3090" s="171" t="str">
        <f t="shared" ca="1" si="232"/>
        <v/>
      </c>
      <c r="J3090" s="171" t="str">
        <f t="shared" ca="1" si="233"/>
        <v/>
      </c>
      <c r="K3090" s="171" t="str">
        <f t="shared" ca="1" si="234"/>
        <v/>
      </c>
      <c r="L3090" s="166"/>
      <c r="M3090" s="166"/>
      <c r="N3090" s="166"/>
      <c r="O3090" s="166"/>
      <c r="P3090" s="166">
        <f t="shared" ca="1" si="238"/>
        <v>0</v>
      </c>
      <c r="Q3090" s="166"/>
    </row>
    <row r="3091" spans="1:17">
      <c r="A3091" s="166" t="b">
        <f t="shared" ca="1" si="230"/>
        <v>0</v>
      </c>
      <c r="B3091" s="172" t="str">
        <f ca="1">IF(COUNTA(G$2368:G3090)=1,"",OFFSET(B3091,-COUNTA(G$2368:G3090)+1,0))</f>
        <v>a1b3p000006eF2wAAE</v>
      </c>
      <c r="C3091" s="177">
        <f ca="1">IF(COUNTA(G$2368:G3090)=1,"",OFFSET(C3091,-COUNTA(G$2368:G3090)+1,0))</f>
        <v>41</v>
      </c>
      <c r="D3091" s="166">
        <f t="shared" si="235"/>
        <v>241</v>
      </c>
      <c r="E3091" s="166">
        <f t="shared" ca="1" si="236"/>
        <v>1</v>
      </c>
      <c r="F3091" s="166">
        <f t="shared" ca="1" si="237"/>
        <v>49</v>
      </c>
      <c r="G3091" s="166"/>
      <c r="H3091" s="171" t="str">
        <f t="shared" ca="1" si="231"/>
        <v/>
      </c>
      <c r="I3091" s="171" t="str">
        <f t="shared" ca="1" si="232"/>
        <v/>
      </c>
      <c r="J3091" s="171" t="str">
        <f t="shared" ca="1" si="233"/>
        <v/>
      </c>
      <c r="K3091" s="171" t="str">
        <f t="shared" ca="1" si="234"/>
        <v/>
      </c>
      <c r="L3091" s="166"/>
      <c r="M3091" s="166"/>
      <c r="N3091" s="166"/>
      <c r="O3091" s="166"/>
      <c r="P3091" s="166">
        <f t="shared" ca="1" si="238"/>
        <v>0</v>
      </c>
      <c r="Q3091" s="166"/>
    </row>
    <row r="3092" spans="1:17">
      <c r="A3092" s="166" t="b">
        <f t="shared" ca="1" si="230"/>
        <v>0</v>
      </c>
      <c r="B3092" s="172" t="str">
        <f ca="1">IF(COUNTA(G$2368:G3091)=1,"",OFFSET(B3092,-COUNTA(G$2368:G3091)+1,0))</f>
        <v>a1b3p000006eF4EAAU</v>
      </c>
      <c r="C3092" s="177">
        <f ca="1">IF(COUNTA(G$2368:G3091)=1,"",OFFSET(C3092,-COUNTA(G$2368:G3091)+1,0))</f>
        <v>41</v>
      </c>
      <c r="D3092" s="166">
        <f t="shared" si="235"/>
        <v>242</v>
      </c>
      <c r="E3092" s="166">
        <f t="shared" ca="1" si="236"/>
        <v>2</v>
      </c>
      <c r="F3092" s="166">
        <f t="shared" ca="1" si="237"/>
        <v>49</v>
      </c>
      <c r="G3092" s="166"/>
      <c r="H3092" s="171" t="str">
        <f t="shared" ca="1" si="231"/>
        <v/>
      </c>
      <c r="I3092" s="171" t="str">
        <f t="shared" ca="1" si="232"/>
        <v/>
      </c>
      <c r="J3092" s="171" t="str">
        <f t="shared" ca="1" si="233"/>
        <v/>
      </c>
      <c r="K3092" s="171" t="str">
        <f t="shared" ca="1" si="234"/>
        <v/>
      </c>
      <c r="L3092" s="166"/>
      <c r="M3092" s="166"/>
      <c r="N3092" s="166"/>
      <c r="O3092" s="166"/>
      <c r="P3092" s="166">
        <f t="shared" ca="1" si="238"/>
        <v>0</v>
      </c>
      <c r="Q3092" s="166"/>
    </row>
    <row r="3093" spans="1:17">
      <c r="A3093" s="166" t="b">
        <f t="shared" ca="1" si="230"/>
        <v>0</v>
      </c>
      <c r="B3093" s="172" t="str">
        <f ca="1">IF(COUNTA(G$2368:G3092)=1,"",OFFSET(B3093,-COUNTA(G$2368:G3092)+1,0))</f>
        <v>a1b3p000006eF5WAAU</v>
      </c>
      <c r="C3093" s="177">
        <f ca="1">IF(COUNTA(G$2368:G3092)=1,"",OFFSET(C3093,-COUNTA(G$2368:G3092)+1,0))</f>
        <v>41</v>
      </c>
      <c r="D3093" s="166">
        <f t="shared" si="235"/>
        <v>243</v>
      </c>
      <c r="E3093" s="166">
        <f t="shared" ca="1" si="236"/>
        <v>3</v>
      </c>
      <c r="F3093" s="166">
        <f t="shared" ca="1" si="237"/>
        <v>49</v>
      </c>
      <c r="G3093" s="166"/>
      <c r="H3093" s="171" t="str">
        <f t="shared" ca="1" si="231"/>
        <v/>
      </c>
      <c r="I3093" s="171" t="str">
        <f t="shared" ca="1" si="232"/>
        <v/>
      </c>
      <c r="J3093" s="171" t="str">
        <f t="shared" ca="1" si="233"/>
        <v/>
      </c>
      <c r="K3093" s="171" t="str">
        <f t="shared" ca="1" si="234"/>
        <v/>
      </c>
      <c r="L3093" s="166"/>
      <c r="M3093" s="166"/>
      <c r="N3093" s="166"/>
      <c r="O3093" s="166"/>
      <c r="P3093" s="166">
        <f t="shared" ca="1" si="238"/>
        <v>0</v>
      </c>
      <c r="Q3093" s="166"/>
    </row>
    <row r="3094" spans="1:17">
      <c r="A3094" s="166" t="b">
        <f t="shared" ca="1" si="230"/>
        <v>0</v>
      </c>
      <c r="B3094" s="172" t="str">
        <f ca="1">IF(COUNTA(G$2368:G3093)=1,"",OFFSET(B3094,-COUNTA(G$2368:G3093)+1,0))</f>
        <v>a1b3p000006eF6oAAE</v>
      </c>
      <c r="C3094" s="177">
        <f ca="1">IF(COUNTA(G$2368:G3093)=1,"",OFFSET(C3094,-COUNTA(G$2368:G3093)+1,0))</f>
        <v>41</v>
      </c>
      <c r="D3094" s="166">
        <f t="shared" si="235"/>
        <v>244</v>
      </c>
      <c r="E3094" s="166">
        <f t="shared" ca="1" si="236"/>
        <v>4</v>
      </c>
      <c r="F3094" s="166">
        <f t="shared" ca="1" si="237"/>
        <v>49</v>
      </c>
      <c r="G3094" s="166"/>
      <c r="H3094" s="171" t="str">
        <f t="shared" ca="1" si="231"/>
        <v/>
      </c>
      <c r="I3094" s="171" t="str">
        <f t="shared" ca="1" si="232"/>
        <v/>
      </c>
      <c r="J3094" s="171" t="str">
        <f t="shared" ca="1" si="233"/>
        <v/>
      </c>
      <c r="K3094" s="171" t="str">
        <f t="shared" ca="1" si="234"/>
        <v/>
      </c>
      <c r="L3094" s="166"/>
      <c r="M3094" s="166"/>
      <c r="N3094" s="166"/>
      <c r="O3094" s="166"/>
      <c r="P3094" s="166">
        <f t="shared" ca="1" si="238"/>
        <v>0</v>
      </c>
      <c r="Q3094" s="166"/>
    </row>
    <row r="3095" spans="1:17">
      <c r="A3095" s="166" t="b">
        <f t="shared" ca="1" si="230"/>
        <v>0</v>
      </c>
      <c r="B3095" s="172" t="str">
        <f ca="1">IF(COUNTA(G$2368:G3094)=1,"",OFFSET(B3095,-COUNTA(G$2368:G3094)+1,0))</f>
        <v>a1b3p000006eF86AAE</v>
      </c>
      <c r="C3095" s="177">
        <f ca="1">IF(COUNTA(G$2368:G3094)=1,"",OFFSET(C3095,-COUNTA(G$2368:G3094)+1,0))</f>
        <v>41</v>
      </c>
      <c r="D3095" s="166">
        <f t="shared" si="235"/>
        <v>245</v>
      </c>
      <c r="E3095" s="166">
        <f t="shared" ca="1" si="236"/>
        <v>5</v>
      </c>
      <c r="F3095" s="166">
        <f t="shared" ca="1" si="237"/>
        <v>49</v>
      </c>
      <c r="G3095" s="166"/>
      <c r="H3095" s="171" t="str">
        <f t="shared" ca="1" si="231"/>
        <v/>
      </c>
      <c r="I3095" s="171" t="str">
        <f t="shared" ca="1" si="232"/>
        <v/>
      </c>
      <c r="J3095" s="171" t="str">
        <f t="shared" ca="1" si="233"/>
        <v/>
      </c>
      <c r="K3095" s="171" t="str">
        <f t="shared" ca="1" si="234"/>
        <v/>
      </c>
      <c r="L3095" s="166"/>
      <c r="M3095" s="166"/>
      <c r="N3095" s="166"/>
      <c r="O3095" s="166"/>
      <c r="P3095" s="166">
        <f t="shared" ca="1" si="238"/>
        <v>0</v>
      </c>
      <c r="Q3095" s="166"/>
    </row>
    <row r="3096" spans="1:17">
      <c r="A3096" s="166" t="b">
        <f t="shared" ca="1" si="230"/>
        <v>0</v>
      </c>
      <c r="B3096" s="172" t="str">
        <f ca="1">IF(COUNTA(G$2368:G3095)=1,"",OFFSET(B3096,-COUNTA(G$2368:G3095)+1,0))</f>
        <v>a1b3p000006eF9OAAU</v>
      </c>
      <c r="C3096" s="177">
        <f ca="1">IF(COUNTA(G$2368:G3095)=1,"",OFFSET(C3096,-COUNTA(G$2368:G3095)+1,0))</f>
        <v>41</v>
      </c>
      <c r="D3096" s="166">
        <f t="shared" si="235"/>
        <v>246</v>
      </c>
      <c r="E3096" s="166">
        <f t="shared" ca="1" si="236"/>
        <v>6</v>
      </c>
      <c r="F3096" s="166">
        <f t="shared" ca="1" si="237"/>
        <v>49</v>
      </c>
      <c r="G3096" s="166"/>
      <c r="H3096" s="171" t="str">
        <f t="shared" ca="1" si="231"/>
        <v/>
      </c>
      <c r="I3096" s="171" t="str">
        <f t="shared" ca="1" si="232"/>
        <v/>
      </c>
      <c r="J3096" s="171" t="str">
        <f t="shared" ca="1" si="233"/>
        <v/>
      </c>
      <c r="K3096" s="171" t="str">
        <f t="shared" ca="1" si="234"/>
        <v/>
      </c>
      <c r="L3096" s="166"/>
      <c r="M3096" s="166"/>
      <c r="N3096" s="166"/>
      <c r="O3096" s="166"/>
      <c r="P3096" s="166">
        <f t="shared" ca="1" si="238"/>
        <v>0</v>
      </c>
      <c r="Q3096" s="166"/>
    </row>
    <row r="3097" spans="1:17">
      <c r="A3097" s="166" t="b">
        <f t="shared" ca="1" si="230"/>
        <v>0</v>
      </c>
      <c r="B3097" s="172" t="str">
        <f ca="1">IF(COUNTA(G$2368:G3096)=1,"",OFFSET(B3097,-COUNTA(G$2368:G3096)+1,0))</f>
        <v>a1b3p000006eF2xAAE</v>
      </c>
      <c r="C3097" s="177">
        <f ca="1">IF(COUNTA(G$2368:G3096)=1,"",OFFSET(C3097,-COUNTA(G$2368:G3096)+1,0))</f>
        <v>42</v>
      </c>
      <c r="D3097" s="166">
        <f t="shared" si="235"/>
        <v>247</v>
      </c>
      <c r="E3097" s="166">
        <f t="shared" ca="1" si="236"/>
        <v>1</v>
      </c>
      <c r="F3097" s="166">
        <f t="shared" ca="1" si="237"/>
        <v>50</v>
      </c>
      <c r="G3097" s="166"/>
      <c r="H3097" s="171" t="str">
        <f t="shared" ca="1" si="231"/>
        <v/>
      </c>
      <c r="I3097" s="171" t="str">
        <f t="shared" ca="1" si="232"/>
        <v/>
      </c>
      <c r="J3097" s="171" t="str">
        <f t="shared" ca="1" si="233"/>
        <v/>
      </c>
      <c r="K3097" s="171" t="str">
        <f t="shared" ca="1" si="234"/>
        <v/>
      </c>
      <c r="L3097" s="166"/>
      <c r="M3097" s="166"/>
      <c r="N3097" s="166"/>
      <c r="O3097" s="166"/>
      <c r="P3097" s="166">
        <f t="shared" ca="1" si="238"/>
        <v>0</v>
      </c>
      <c r="Q3097" s="166"/>
    </row>
    <row r="3098" spans="1:17">
      <c r="A3098" s="166" t="b">
        <f t="shared" ca="1" si="230"/>
        <v>0</v>
      </c>
      <c r="B3098" s="172" t="str">
        <f ca="1">IF(COUNTA(G$2368:G3097)=1,"",OFFSET(B3098,-COUNTA(G$2368:G3097)+1,0))</f>
        <v>a1b3p000006eF4FAAU</v>
      </c>
      <c r="C3098" s="177">
        <f ca="1">IF(COUNTA(G$2368:G3097)=1,"",OFFSET(C3098,-COUNTA(G$2368:G3097)+1,0))</f>
        <v>42</v>
      </c>
      <c r="D3098" s="166">
        <f t="shared" si="235"/>
        <v>248</v>
      </c>
      <c r="E3098" s="166">
        <f t="shared" ca="1" si="236"/>
        <v>2</v>
      </c>
      <c r="F3098" s="166">
        <f t="shared" ca="1" si="237"/>
        <v>50</v>
      </c>
      <c r="G3098" s="166"/>
      <c r="H3098" s="171" t="str">
        <f t="shared" ca="1" si="231"/>
        <v/>
      </c>
      <c r="I3098" s="171" t="str">
        <f t="shared" ca="1" si="232"/>
        <v/>
      </c>
      <c r="J3098" s="171" t="str">
        <f t="shared" ca="1" si="233"/>
        <v/>
      </c>
      <c r="K3098" s="171" t="str">
        <f t="shared" ca="1" si="234"/>
        <v/>
      </c>
      <c r="L3098" s="166"/>
      <c r="M3098" s="166"/>
      <c r="N3098" s="166"/>
      <c r="O3098" s="166"/>
      <c r="P3098" s="166">
        <f t="shared" ca="1" si="238"/>
        <v>0</v>
      </c>
      <c r="Q3098" s="166"/>
    </row>
    <row r="3099" spans="1:17">
      <c r="A3099" s="166" t="b">
        <f t="shared" ca="1" si="230"/>
        <v>0</v>
      </c>
      <c r="B3099" s="172" t="str">
        <f ca="1">IF(COUNTA(G$2368:G3098)=1,"",OFFSET(B3099,-COUNTA(G$2368:G3098)+1,0))</f>
        <v>a1b3p000006eF5XAAU</v>
      </c>
      <c r="C3099" s="177">
        <f ca="1">IF(COUNTA(G$2368:G3098)=1,"",OFFSET(C3099,-COUNTA(G$2368:G3098)+1,0))</f>
        <v>42</v>
      </c>
      <c r="D3099" s="166">
        <f t="shared" si="235"/>
        <v>249</v>
      </c>
      <c r="E3099" s="166">
        <f t="shared" ca="1" si="236"/>
        <v>3</v>
      </c>
      <c r="F3099" s="166">
        <f t="shared" ca="1" si="237"/>
        <v>50</v>
      </c>
      <c r="G3099" s="166"/>
      <c r="H3099" s="171" t="str">
        <f t="shared" ca="1" si="231"/>
        <v/>
      </c>
      <c r="I3099" s="171" t="str">
        <f t="shared" ca="1" si="232"/>
        <v/>
      </c>
      <c r="J3099" s="171" t="str">
        <f t="shared" ca="1" si="233"/>
        <v/>
      </c>
      <c r="K3099" s="171" t="str">
        <f t="shared" ca="1" si="234"/>
        <v/>
      </c>
      <c r="L3099" s="166"/>
      <c r="M3099" s="166"/>
      <c r="N3099" s="166"/>
      <c r="O3099" s="166"/>
      <c r="P3099" s="166">
        <f t="shared" ca="1" si="238"/>
        <v>0</v>
      </c>
      <c r="Q3099" s="166"/>
    </row>
    <row r="3100" spans="1:17">
      <c r="A3100" s="166" t="b">
        <f t="shared" ca="1" si="230"/>
        <v>0</v>
      </c>
      <c r="B3100" s="172" t="str">
        <f ca="1">IF(COUNTA(G$2368:G3099)=1,"",OFFSET(B3100,-COUNTA(G$2368:G3099)+1,0))</f>
        <v>a1b3p000006eF6pAAE</v>
      </c>
      <c r="C3100" s="177">
        <f ca="1">IF(COUNTA(G$2368:G3099)=1,"",OFFSET(C3100,-COUNTA(G$2368:G3099)+1,0))</f>
        <v>42</v>
      </c>
      <c r="D3100" s="166">
        <f t="shared" si="235"/>
        <v>250</v>
      </c>
      <c r="E3100" s="166">
        <f t="shared" ca="1" si="236"/>
        <v>4</v>
      </c>
      <c r="F3100" s="166">
        <f t="shared" ca="1" si="237"/>
        <v>50</v>
      </c>
      <c r="G3100" s="166"/>
      <c r="H3100" s="171" t="str">
        <f t="shared" ca="1" si="231"/>
        <v/>
      </c>
      <c r="I3100" s="171" t="str">
        <f t="shared" ca="1" si="232"/>
        <v/>
      </c>
      <c r="J3100" s="171" t="str">
        <f t="shared" ca="1" si="233"/>
        <v/>
      </c>
      <c r="K3100" s="171" t="str">
        <f t="shared" ca="1" si="234"/>
        <v/>
      </c>
      <c r="L3100" s="166"/>
      <c r="M3100" s="166"/>
      <c r="N3100" s="166"/>
      <c r="O3100" s="166"/>
      <c r="P3100" s="166">
        <f t="shared" ca="1" si="238"/>
        <v>0</v>
      </c>
      <c r="Q3100" s="166"/>
    </row>
    <row r="3101" spans="1:17">
      <c r="A3101" s="166" t="b">
        <f t="shared" ca="1" si="230"/>
        <v>0</v>
      </c>
      <c r="B3101" s="172" t="str">
        <f ca="1">IF(COUNTA(G$2368:G3100)=1,"",OFFSET(B3101,-COUNTA(G$2368:G3100)+1,0))</f>
        <v>a1b3p000006eF87AAE</v>
      </c>
      <c r="C3101" s="177">
        <f ca="1">IF(COUNTA(G$2368:G3100)=1,"",OFFSET(C3101,-COUNTA(G$2368:G3100)+1,0))</f>
        <v>42</v>
      </c>
      <c r="D3101" s="166">
        <f t="shared" si="235"/>
        <v>251</v>
      </c>
      <c r="E3101" s="166">
        <f t="shared" ca="1" si="236"/>
        <v>5</v>
      </c>
      <c r="F3101" s="166">
        <f t="shared" ca="1" si="237"/>
        <v>50</v>
      </c>
      <c r="G3101" s="166"/>
      <c r="H3101" s="171" t="str">
        <f t="shared" ca="1" si="231"/>
        <v/>
      </c>
      <c r="I3101" s="171" t="str">
        <f t="shared" ca="1" si="232"/>
        <v/>
      </c>
      <c r="J3101" s="171" t="str">
        <f t="shared" ca="1" si="233"/>
        <v/>
      </c>
      <c r="K3101" s="171" t="str">
        <f t="shared" ca="1" si="234"/>
        <v/>
      </c>
      <c r="L3101" s="166"/>
      <c r="M3101" s="166"/>
      <c r="N3101" s="166"/>
      <c r="O3101" s="166"/>
      <c r="P3101" s="166">
        <f t="shared" ca="1" si="238"/>
        <v>0</v>
      </c>
      <c r="Q3101" s="166"/>
    </row>
    <row r="3102" spans="1:17">
      <c r="A3102" s="166" t="b">
        <f t="shared" ca="1" si="230"/>
        <v>0</v>
      </c>
      <c r="B3102" s="172" t="str">
        <f ca="1">IF(COUNTA(G$2368:G3101)=1,"",OFFSET(B3102,-COUNTA(G$2368:G3101)+1,0))</f>
        <v>a1b3p000006eF9PAAU</v>
      </c>
      <c r="C3102" s="177">
        <f ca="1">IF(COUNTA(G$2368:G3101)=1,"",OFFSET(C3102,-COUNTA(G$2368:G3101)+1,0))</f>
        <v>42</v>
      </c>
      <c r="D3102" s="166">
        <f t="shared" si="235"/>
        <v>252</v>
      </c>
      <c r="E3102" s="166">
        <f t="shared" ca="1" si="236"/>
        <v>6</v>
      </c>
      <c r="F3102" s="166">
        <f t="shared" ca="1" si="237"/>
        <v>50</v>
      </c>
      <c r="G3102" s="166"/>
      <c r="H3102" s="171" t="str">
        <f t="shared" ca="1" si="231"/>
        <v/>
      </c>
      <c r="I3102" s="171" t="str">
        <f t="shared" ca="1" si="232"/>
        <v/>
      </c>
      <c r="J3102" s="171" t="str">
        <f t="shared" ca="1" si="233"/>
        <v/>
      </c>
      <c r="K3102" s="171" t="str">
        <f t="shared" ca="1" si="234"/>
        <v/>
      </c>
      <c r="L3102" s="166"/>
      <c r="M3102" s="166"/>
      <c r="N3102" s="166"/>
      <c r="O3102" s="166"/>
      <c r="P3102" s="166">
        <f t="shared" ca="1" si="238"/>
        <v>0</v>
      </c>
      <c r="Q3102" s="166"/>
    </row>
    <row r="3103" spans="1:17">
      <c r="A3103" s="166" t="b">
        <f t="shared" ca="1" si="230"/>
        <v>0</v>
      </c>
      <c r="B3103" s="172" t="str">
        <f ca="1">IF(COUNTA(G$2368:G3102)=1,"",OFFSET(B3103,-COUNTA(G$2368:G3102)+1,0))</f>
        <v>a1b3p000006eF2yAAE</v>
      </c>
      <c r="C3103" s="177">
        <f ca="1">IF(COUNTA(G$2368:G3102)=1,"",OFFSET(C3103,-COUNTA(G$2368:G3102)+1,0))</f>
        <v>43</v>
      </c>
      <c r="D3103" s="166">
        <f t="shared" si="235"/>
        <v>253</v>
      </c>
      <c r="E3103" s="166">
        <f t="shared" ca="1" si="236"/>
        <v>1</v>
      </c>
      <c r="F3103" s="166">
        <f t="shared" ca="1" si="237"/>
        <v>51</v>
      </c>
      <c r="G3103" s="166"/>
      <c r="H3103" s="171" t="str">
        <f t="shared" ca="1" si="231"/>
        <v/>
      </c>
      <c r="I3103" s="171" t="str">
        <f t="shared" ca="1" si="232"/>
        <v/>
      </c>
      <c r="J3103" s="171" t="str">
        <f t="shared" ca="1" si="233"/>
        <v/>
      </c>
      <c r="K3103" s="171" t="str">
        <f t="shared" ca="1" si="234"/>
        <v/>
      </c>
      <c r="L3103" s="166"/>
      <c r="M3103" s="166"/>
      <c r="N3103" s="166"/>
      <c r="O3103" s="166"/>
      <c r="P3103" s="166">
        <f t="shared" ca="1" si="238"/>
        <v>0</v>
      </c>
      <c r="Q3103" s="166"/>
    </row>
    <row r="3104" spans="1:17">
      <c r="A3104" s="166" t="b">
        <f t="shared" ca="1" si="230"/>
        <v>0</v>
      </c>
      <c r="B3104" s="172" t="str">
        <f ca="1">IF(COUNTA(G$2368:G3103)=1,"",OFFSET(B3104,-COUNTA(G$2368:G3103)+1,0))</f>
        <v>a1b3p000006eF4GAAU</v>
      </c>
      <c r="C3104" s="177">
        <f ca="1">IF(COUNTA(G$2368:G3103)=1,"",OFFSET(C3104,-COUNTA(G$2368:G3103)+1,0))</f>
        <v>43</v>
      </c>
      <c r="D3104" s="166">
        <f t="shared" si="235"/>
        <v>254</v>
      </c>
      <c r="E3104" s="166">
        <f t="shared" ca="1" si="236"/>
        <v>2</v>
      </c>
      <c r="F3104" s="166">
        <f t="shared" ca="1" si="237"/>
        <v>51</v>
      </c>
      <c r="G3104" s="166"/>
      <c r="H3104" s="171" t="str">
        <f t="shared" ca="1" si="231"/>
        <v/>
      </c>
      <c r="I3104" s="171" t="str">
        <f t="shared" ca="1" si="232"/>
        <v/>
      </c>
      <c r="J3104" s="171" t="str">
        <f t="shared" ca="1" si="233"/>
        <v/>
      </c>
      <c r="K3104" s="171" t="str">
        <f t="shared" ca="1" si="234"/>
        <v/>
      </c>
      <c r="L3104" s="166"/>
      <c r="M3104" s="166"/>
      <c r="N3104" s="166"/>
      <c r="O3104" s="166"/>
      <c r="P3104" s="166">
        <f t="shared" ca="1" si="238"/>
        <v>0</v>
      </c>
      <c r="Q3104" s="166"/>
    </row>
    <row r="3105" spans="1:17">
      <c r="A3105" s="166" t="b">
        <f t="shared" ca="1" si="230"/>
        <v>0</v>
      </c>
      <c r="B3105" s="172" t="str">
        <f ca="1">IF(COUNTA(G$2368:G3104)=1,"",OFFSET(B3105,-COUNTA(G$2368:G3104)+1,0))</f>
        <v>a1b3p000006eF5YAAU</v>
      </c>
      <c r="C3105" s="177">
        <f ca="1">IF(COUNTA(G$2368:G3104)=1,"",OFFSET(C3105,-COUNTA(G$2368:G3104)+1,0))</f>
        <v>43</v>
      </c>
      <c r="D3105" s="166">
        <f t="shared" si="235"/>
        <v>255</v>
      </c>
      <c r="E3105" s="166">
        <f t="shared" ca="1" si="236"/>
        <v>3</v>
      </c>
      <c r="F3105" s="166">
        <f t="shared" ca="1" si="237"/>
        <v>51</v>
      </c>
      <c r="G3105" s="166"/>
      <c r="H3105" s="171" t="str">
        <f t="shared" ca="1" si="231"/>
        <v/>
      </c>
      <c r="I3105" s="171" t="str">
        <f t="shared" ca="1" si="232"/>
        <v/>
      </c>
      <c r="J3105" s="171" t="str">
        <f t="shared" ca="1" si="233"/>
        <v/>
      </c>
      <c r="K3105" s="171" t="str">
        <f t="shared" ca="1" si="234"/>
        <v/>
      </c>
      <c r="L3105" s="166"/>
      <c r="M3105" s="166"/>
      <c r="N3105" s="166"/>
      <c r="O3105" s="166"/>
      <c r="P3105" s="166">
        <f t="shared" ca="1" si="238"/>
        <v>0</v>
      </c>
      <c r="Q3105" s="166"/>
    </row>
    <row r="3106" spans="1:17">
      <c r="A3106" s="166" t="b">
        <f t="shared" ca="1" si="230"/>
        <v>0</v>
      </c>
      <c r="B3106" s="172" t="str">
        <f ca="1">IF(COUNTA(G$2368:G3105)=1,"",OFFSET(B3106,-COUNTA(G$2368:G3105)+1,0))</f>
        <v>a1b3p000006eF6qAAE</v>
      </c>
      <c r="C3106" s="177">
        <f ca="1">IF(COUNTA(G$2368:G3105)=1,"",OFFSET(C3106,-COUNTA(G$2368:G3105)+1,0))</f>
        <v>43</v>
      </c>
      <c r="D3106" s="166">
        <f t="shared" si="235"/>
        <v>256</v>
      </c>
      <c r="E3106" s="166">
        <f t="shared" ca="1" si="236"/>
        <v>4</v>
      </c>
      <c r="F3106" s="166">
        <f t="shared" ca="1" si="237"/>
        <v>51</v>
      </c>
      <c r="G3106" s="166"/>
      <c r="H3106" s="171" t="str">
        <f t="shared" ca="1" si="231"/>
        <v/>
      </c>
      <c r="I3106" s="171" t="str">
        <f t="shared" ca="1" si="232"/>
        <v/>
      </c>
      <c r="J3106" s="171" t="str">
        <f t="shared" ca="1" si="233"/>
        <v/>
      </c>
      <c r="K3106" s="171" t="str">
        <f t="shared" ca="1" si="234"/>
        <v/>
      </c>
      <c r="L3106" s="166"/>
      <c r="M3106" s="166"/>
      <c r="N3106" s="166"/>
      <c r="O3106" s="166"/>
      <c r="P3106" s="166">
        <f t="shared" ca="1" si="238"/>
        <v>0</v>
      </c>
      <c r="Q3106" s="166"/>
    </row>
    <row r="3107" spans="1:17">
      <c r="A3107" s="166" t="b">
        <f t="shared" ref="A3107:A3170" ca="1" si="239">IF(OR(AND(J3107&lt;&gt;"",J3107&lt;&gt;0),AND(K3107&lt;&gt;"",K3107&lt;&gt;0)),TRUE,FALSE)</f>
        <v>0</v>
      </c>
      <c r="B3107" s="172" t="str">
        <f ca="1">IF(COUNTA(G$2368:G3106)=1,"",OFFSET(B3107,-COUNTA(G$2368:G3106)+1,0))</f>
        <v>a1b3p000006eF88AAE</v>
      </c>
      <c r="C3107" s="177">
        <f ca="1">IF(COUNTA(G$2368:G3106)=1,"",OFFSET(C3107,-COUNTA(G$2368:G3106)+1,0))</f>
        <v>43</v>
      </c>
      <c r="D3107" s="166">
        <f t="shared" si="235"/>
        <v>257</v>
      </c>
      <c r="E3107" s="166">
        <f t="shared" ca="1" si="236"/>
        <v>5</v>
      </c>
      <c r="F3107" s="166">
        <f t="shared" ca="1" si="237"/>
        <v>51</v>
      </c>
      <c r="G3107" s="166"/>
      <c r="H3107" s="171" t="str">
        <f t="shared" ref="H3107:H3170" ca="1" si="240">CHOOSE(E3107,IFERROR(IF(INDIRECT("'WPTM - Section F'!K"&amp;F3107)=0,"",INDIRECT("'WPTM - Section F'!K"&amp;$F3107)),""),IFERROR(IF(INDIRECT("'WPTM - Section F'!O"&amp;F3107)=0,"",INDIRECT("'WPTM - Section F'!O"&amp;$F3107)),""),IFERROR(IF(INDIRECT("'WPTM - Section F'!S"&amp;F3107)=0,"",INDIRECT("'WPTM - Section F'!S"&amp;$F3107)),""),IFERROR(IF(INDIRECT("'WPTM - Section F'!W"&amp;F3107)=0,"",INDIRECT("'WPTM - Section F'!W"&amp;$F3107)),""),IFERROR(IF(INDIRECT("'WPTM - Section F'!AA"&amp;F3107)=0,"",INDIRECT("'WPTM - Section F'!AA"&amp;$F3107)),""),IFERROR(IF(INDIRECT("'WPTM - Section F'!AE"&amp;F3107)=0,"",INDIRECT("'WPTM - Section F'!AE"&amp;$F3107)),""),IFERROR(IF(INDIRECT("'WPTM - Section F'!AI"&amp;F3107)=0,"",INDIRECT("'WPTM - Section F'!AI"&amp;$F3107)),""),IFERROR(IF(INDIRECT("'WPTM - Section F'!AM"&amp;F3107)=0,"",INDIRECT("'WPTM - Section F'!AM"&amp;$F3107)),""),)</f>
        <v/>
      </c>
      <c r="I3107" s="171" t="str">
        <f t="shared" ref="I3107:I3170" ca="1" si="241">CHOOSE(E3107,IFERROR(IF(INDIRECT("'WPTM - Section F'!J"&amp;F3107)=0,"",INDIRECT("'WPTM - Section F'!J"&amp;$F3107)),""),IFERROR(IF(INDIRECT("'WPTM - Section F'!N"&amp;F3107)=0,"",INDIRECT("'WPTM - Section F'!N"&amp;$F3107)),""),IFERROR(IF(INDIRECT("'WPTM - Section F'!R"&amp;F3107)=0,"",INDIRECT("'WPTM - Section F'!R"&amp;$F3107)),""),IFERROR(IF(INDIRECT("'WPTM - Section F'!V"&amp;F3107)=0,"",INDIRECT("'WPTM - Section F'!V"&amp;$F3107)),""),IFERROR(IF(INDIRECT("'WPTM - Section F'!Z"&amp;F3107)=0,"",INDIRECT("'WPTM - Section F'!Z"&amp;$F3107)),""),IFERROR(IF(INDIRECT("'WPTM - Section F'!AD"&amp;F3107)=0,"",INDIRECT("'WPTM - Section F'!AD"&amp;$F3107)),""),IFERROR(IF(INDIRECT("'WPTM - Section F'!AH"&amp;F3107)=0,"",INDIRECT("'WPTM - Section F'!AH"&amp;$F3107)),""),IFERROR(IF(INDIRECT("'WPTM - Section F'!AL"&amp;F3107)=0,"",INDIRECT("'WPTM - Section F'!AL"&amp;$F3107)),""),)</f>
        <v/>
      </c>
      <c r="J3107" s="171" t="str">
        <f t="shared" ref="J3107:J3170" ca="1" si="242">CHOOSE(E3107,IFERROR(IF(INDIRECT("'WPTM - Section F'!H"&amp;F3107)=0,"",INDIRECT("'WPTM - Section F'!H"&amp;$F3107)),""),IFERROR(IF(INDIRECT("'WPTM - Section F'!L"&amp;F3107)=0,"",INDIRECT("'WPTM - Section F'!L"&amp;$F3107)),""),IFERROR(IF(INDIRECT("'WPTM - Section F'!P"&amp;F3107)=0,"",INDIRECT("'WPTM - Section F'!P"&amp;$F3107)),""),IFERROR(IF(INDIRECT("'WPTM - Section F'!T"&amp;F3107)=0,"",INDIRECT("'WPTM - Section F'!T"&amp;$F3107)),""),IFERROR(IF(INDIRECT("'WPTM - Section F'!X"&amp;F3107)=0,"",INDIRECT("'WPTM - Section F'!X"&amp;$F3107)),""),IFERROR(IF(INDIRECT("'WPTM - Section F'!AB"&amp;F3107)=0,"",INDIRECT("'WPTM - Section F'!AB"&amp;$F3107)),""),IFERROR(IF(INDIRECT("'WPTM - Section F'!AF"&amp;F3107)=0,"",INDIRECT("'WPTM - Section F'!AF"&amp;$F3107)),""),IFERROR(IF(INDIRECT("'WPTM - Section F'!AJ"&amp;F3107)=0,"",INDIRECT("'WPTM - Section F'!AJ"&amp;$F3107)),""),)</f>
        <v/>
      </c>
      <c r="K3107" s="171" t="str">
        <f t="shared" ref="K3107:K3170" ca="1" si="243">CHOOSE(E3107,IFERROR(IF(INDIRECT("'WPTM - Section F'!I"&amp;F3107)=0,"",INDIRECT("'WPTM - Section F'!I"&amp;$F3107)),""),IFERROR(IF(INDIRECT("'WPTM - Section F'!M"&amp;F3107)=0,"",INDIRECT("'WPTM - Section F'!M"&amp;$F3107)),""),IFERROR(IF(INDIRECT("'WPTM - Section F'!Q"&amp;F3107)=0,"",INDIRECT("'WPTM - Section F'!Q"&amp;$F3107)),""),IFERROR(IF(INDIRECT("'WPTM - Section F'!U"&amp;F3107)=0,"",INDIRECT("'WPTM - Section F'!U"&amp;$F3107)),""),IFERROR(IF(INDIRECT("'WPTM - Section F'!Y"&amp;F3107)=0,"",INDIRECT("'WPTM - Section F'!Y"&amp;$F3107)),""),IFERROR(IF(INDIRECT("'WPTM - Section F'!AC"&amp;F3107)=0,"",INDIRECT("'WPTM - Section F'!AC"&amp;$F3107)),""),IFERROR(IF(INDIRECT("'WPTM - Section F'!AG"&amp;F3107)=0,"",INDIRECT("'WPTM - Section F'!AG"&amp;$F3107)),""),IFERROR(IF(INDIRECT("'WPTM - Section F'!AK"&amp;F3107)=0,"",INDIRECT("'WPTM - Section F'!AK"&amp;$F3107)),""),)</f>
        <v/>
      </c>
      <c r="L3107" s="166"/>
      <c r="M3107" s="166"/>
      <c r="N3107" s="166"/>
      <c r="O3107" s="166"/>
      <c r="P3107" s="166">
        <f t="shared" ca="1" si="238"/>
        <v>0</v>
      </c>
      <c r="Q3107" s="166"/>
    </row>
    <row r="3108" spans="1:17">
      <c r="A3108" s="166" t="b">
        <f t="shared" ca="1" si="239"/>
        <v>0</v>
      </c>
      <c r="B3108" s="172" t="str">
        <f ca="1">IF(COUNTA(G$2368:G3107)=1,"",OFFSET(B3108,-COUNTA(G$2368:G3107)+1,0))</f>
        <v>a1b3p000006eF9QAAU</v>
      </c>
      <c r="C3108" s="177">
        <f ca="1">IF(COUNTA(G$2368:G3107)=1,"",OFFSET(C3108,-COUNTA(G$2368:G3107)+1,0))</f>
        <v>43</v>
      </c>
      <c r="D3108" s="166">
        <f t="shared" si="235"/>
        <v>258</v>
      </c>
      <c r="E3108" s="166">
        <f t="shared" ca="1" si="236"/>
        <v>6</v>
      </c>
      <c r="F3108" s="166">
        <f t="shared" ca="1" si="237"/>
        <v>51</v>
      </c>
      <c r="G3108" s="166"/>
      <c r="H3108" s="171" t="str">
        <f t="shared" ca="1" si="240"/>
        <v/>
      </c>
      <c r="I3108" s="171" t="str">
        <f t="shared" ca="1" si="241"/>
        <v/>
      </c>
      <c r="J3108" s="171" t="str">
        <f t="shared" ca="1" si="242"/>
        <v/>
      </c>
      <c r="K3108" s="171" t="str">
        <f t="shared" ca="1" si="243"/>
        <v/>
      </c>
      <c r="L3108" s="166"/>
      <c r="M3108" s="166"/>
      <c r="N3108" s="166"/>
      <c r="O3108" s="166"/>
      <c r="P3108" s="166">
        <f t="shared" ca="1" si="238"/>
        <v>0</v>
      </c>
      <c r="Q3108" s="166"/>
    </row>
    <row r="3109" spans="1:17">
      <c r="A3109" s="166" t="b">
        <f t="shared" ca="1" si="239"/>
        <v>0</v>
      </c>
      <c r="B3109" s="172" t="str">
        <f ca="1">IF(COUNTA(G$2368:G3108)=1,"",OFFSET(B3109,-COUNTA(G$2368:G3108)+1,0))</f>
        <v>a1b3p000006eF2zAAE</v>
      </c>
      <c r="C3109" s="177">
        <f ca="1">IF(COUNTA(G$2368:G3108)=1,"",OFFSET(C3109,-COUNTA(G$2368:G3108)+1,0))</f>
        <v>44</v>
      </c>
      <c r="D3109" s="166">
        <f t="shared" si="235"/>
        <v>259</v>
      </c>
      <c r="E3109" s="166">
        <f t="shared" ca="1" si="236"/>
        <v>1</v>
      </c>
      <c r="F3109" s="166">
        <f t="shared" ca="1" si="237"/>
        <v>52</v>
      </c>
      <c r="G3109" s="166"/>
      <c r="H3109" s="171" t="str">
        <f t="shared" ca="1" si="240"/>
        <v/>
      </c>
      <c r="I3109" s="171" t="str">
        <f t="shared" ca="1" si="241"/>
        <v/>
      </c>
      <c r="J3109" s="171" t="str">
        <f t="shared" ca="1" si="242"/>
        <v/>
      </c>
      <c r="K3109" s="171" t="str">
        <f t="shared" ca="1" si="243"/>
        <v/>
      </c>
      <c r="L3109" s="166"/>
      <c r="M3109" s="166"/>
      <c r="N3109" s="166"/>
      <c r="O3109" s="166"/>
      <c r="P3109" s="166">
        <f t="shared" ca="1" si="238"/>
        <v>0</v>
      </c>
      <c r="Q3109" s="166"/>
    </row>
    <row r="3110" spans="1:17">
      <c r="A3110" s="166" t="b">
        <f t="shared" ca="1" si="239"/>
        <v>0</v>
      </c>
      <c r="B3110" s="172" t="str">
        <f ca="1">IF(COUNTA(G$2368:G3109)=1,"",OFFSET(B3110,-COUNTA(G$2368:G3109)+1,0))</f>
        <v>a1b3p000006eF4HAAU</v>
      </c>
      <c r="C3110" s="177">
        <f ca="1">IF(COUNTA(G$2368:G3109)=1,"",OFFSET(C3110,-COUNTA(G$2368:G3109)+1,0))</f>
        <v>44</v>
      </c>
      <c r="D3110" s="166">
        <f t="shared" si="235"/>
        <v>260</v>
      </c>
      <c r="E3110" s="166">
        <f t="shared" ca="1" si="236"/>
        <v>2</v>
      </c>
      <c r="F3110" s="166">
        <f t="shared" ca="1" si="237"/>
        <v>52</v>
      </c>
      <c r="G3110" s="166"/>
      <c r="H3110" s="171" t="str">
        <f t="shared" ca="1" si="240"/>
        <v/>
      </c>
      <c r="I3110" s="171" t="str">
        <f t="shared" ca="1" si="241"/>
        <v/>
      </c>
      <c r="J3110" s="171" t="str">
        <f t="shared" ca="1" si="242"/>
        <v/>
      </c>
      <c r="K3110" s="171" t="str">
        <f t="shared" ca="1" si="243"/>
        <v/>
      </c>
      <c r="L3110" s="166"/>
      <c r="M3110" s="166"/>
      <c r="N3110" s="166"/>
      <c r="O3110" s="166"/>
      <c r="P3110" s="166">
        <f t="shared" ca="1" si="238"/>
        <v>0</v>
      </c>
      <c r="Q3110" s="166"/>
    </row>
    <row r="3111" spans="1:17">
      <c r="A3111" s="166" t="b">
        <f t="shared" ca="1" si="239"/>
        <v>0</v>
      </c>
      <c r="B3111" s="172" t="str">
        <f ca="1">IF(COUNTA(G$2368:G3110)=1,"",OFFSET(B3111,-COUNTA(G$2368:G3110)+1,0))</f>
        <v>a1b3p000006eF5ZAAU</v>
      </c>
      <c r="C3111" s="177">
        <f ca="1">IF(COUNTA(G$2368:G3110)=1,"",OFFSET(C3111,-COUNTA(G$2368:G3110)+1,0))</f>
        <v>44</v>
      </c>
      <c r="D3111" s="166">
        <f t="shared" si="235"/>
        <v>261</v>
      </c>
      <c r="E3111" s="166">
        <f t="shared" ca="1" si="236"/>
        <v>3</v>
      </c>
      <c r="F3111" s="166">
        <f t="shared" ca="1" si="237"/>
        <v>52</v>
      </c>
      <c r="G3111" s="166"/>
      <c r="H3111" s="171" t="str">
        <f t="shared" ca="1" si="240"/>
        <v/>
      </c>
      <c r="I3111" s="171" t="str">
        <f t="shared" ca="1" si="241"/>
        <v/>
      </c>
      <c r="J3111" s="171" t="str">
        <f t="shared" ca="1" si="242"/>
        <v/>
      </c>
      <c r="K3111" s="171" t="str">
        <f t="shared" ca="1" si="243"/>
        <v/>
      </c>
      <c r="L3111" s="166"/>
      <c r="M3111" s="166"/>
      <c r="N3111" s="166"/>
      <c r="O3111" s="166"/>
      <c r="P3111" s="166">
        <f t="shared" ca="1" si="238"/>
        <v>0</v>
      </c>
      <c r="Q3111" s="166"/>
    </row>
    <row r="3112" spans="1:17">
      <c r="A3112" s="166" t="b">
        <f t="shared" ca="1" si="239"/>
        <v>0</v>
      </c>
      <c r="B3112" s="172" t="str">
        <f ca="1">IF(COUNTA(G$2368:G3111)=1,"",OFFSET(B3112,-COUNTA(G$2368:G3111)+1,0))</f>
        <v>a1b3p000006eF6rAAE</v>
      </c>
      <c r="C3112" s="177">
        <f ca="1">IF(COUNTA(G$2368:G3111)=1,"",OFFSET(C3112,-COUNTA(G$2368:G3111)+1,0))</f>
        <v>44</v>
      </c>
      <c r="D3112" s="166">
        <f t="shared" si="235"/>
        <v>262</v>
      </c>
      <c r="E3112" s="166">
        <f t="shared" ca="1" si="236"/>
        <v>4</v>
      </c>
      <c r="F3112" s="166">
        <f t="shared" ca="1" si="237"/>
        <v>52</v>
      </c>
      <c r="G3112" s="166"/>
      <c r="H3112" s="171" t="str">
        <f t="shared" ca="1" si="240"/>
        <v/>
      </c>
      <c r="I3112" s="171" t="str">
        <f t="shared" ca="1" si="241"/>
        <v/>
      </c>
      <c r="J3112" s="171" t="str">
        <f t="shared" ca="1" si="242"/>
        <v/>
      </c>
      <c r="K3112" s="171" t="str">
        <f t="shared" ca="1" si="243"/>
        <v/>
      </c>
      <c r="L3112" s="166"/>
      <c r="M3112" s="166"/>
      <c r="N3112" s="166"/>
      <c r="O3112" s="166"/>
      <c r="P3112" s="166">
        <f t="shared" ca="1" si="238"/>
        <v>0</v>
      </c>
      <c r="Q3112" s="166"/>
    </row>
    <row r="3113" spans="1:17">
      <c r="A3113" s="166" t="b">
        <f t="shared" ca="1" si="239"/>
        <v>0</v>
      </c>
      <c r="B3113" s="172" t="str">
        <f ca="1">IF(COUNTA(G$2368:G3112)=1,"",OFFSET(B3113,-COUNTA(G$2368:G3112)+1,0))</f>
        <v>a1b3p000006eF89AAE</v>
      </c>
      <c r="C3113" s="177">
        <f ca="1">IF(COUNTA(G$2368:G3112)=1,"",OFFSET(C3113,-COUNTA(G$2368:G3112)+1,0))</f>
        <v>44</v>
      </c>
      <c r="D3113" s="166">
        <f t="shared" si="235"/>
        <v>263</v>
      </c>
      <c r="E3113" s="166">
        <f t="shared" ca="1" si="236"/>
        <v>5</v>
      </c>
      <c r="F3113" s="166">
        <f t="shared" ca="1" si="237"/>
        <v>52</v>
      </c>
      <c r="G3113" s="166"/>
      <c r="H3113" s="171" t="str">
        <f t="shared" ca="1" si="240"/>
        <v/>
      </c>
      <c r="I3113" s="171" t="str">
        <f t="shared" ca="1" si="241"/>
        <v/>
      </c>
      <c r="J3113" s="171" t="str">
        <f t="shared" ca="1" si="242"/>
        <v/>
      </c>
      <c r="K3113" s="171" t="str">
        <f t="shared" ca="1" si="243"/>
        <v/>
      </c>
      <c r="L3113" s="166"/>
      <c r="M3113" s="166"/>
      <c r="N3113" s="166"/>
      <c r="O3113" s="166"/>
      <c r="P3113" s="166">
        <f t="shared" ca="1" si="238"/>
        <v>0</v>
      </c>
      <c r="Q3113" s="166"/>
    </row>
    <row r="3114" spans="1:17">
      <c r="A3114" s="166" t="b">
        <f t="shared" ca="1" si="239"/>
        <v>0</v>
      </c>
      <c r="B3114" s="172" t="str">
        <f ca="1">IF(COUNTA(G$2368:G3113)=1,"",OFFSET(B3114,-COUNTA(G$2368:G3113)+1,0))</f>
        <v>a1b3p000006eF9RAAU</v>
      </c>
      <c r="C3114" s="177">
        <f ca="1">IF(COUNTA(G$2368:G3113)=1,"",OFFSET(C3114,-COUNTA(G$2368:G3113)+1,0))</f>
        <v>44</v>
      </c>
      <c r="D3114" s="166">
        <f t="shared" si="235"/>
        <v>264</v>
      </c>
      <c r="E3114" s="166">
        <f t="shared" ca="1" si="236"/>
        <v>6</v>
      </c>
      <c r="F3114" s="166">
        <f t="shared" ca="1" si="237"/>
        <v>52</v>
      </c>
      <c r="G3114" s="166"/>
      <c r="H3114" s="171" t="str">
        <f t="shared" ca="1" si="240"/>
        <v/>
      </c>
      <c r="I3114" s="171" t="str">
        <f t="shared" ca="1" si="241"/>
        <v/>
      </c>
      <c r="J3114" s="171" t="str">
        <f t="shared" ca="1" si="242"/>
        <v/>
      </c>
      <c r="K3114" s="171" t="str">
        <f t="shared" ca="1" si="243"/>
        <v/>
      </c>
      <c r="L3114" s="166"/>
      <c r="M3114" s="166"/>
      <c r="N3114" s="166"/>
      <c r="O3114" s="166"/>
      <c r="P3114" s="166">
        <f t="shared" ca="1" si="238"/>
        <v>0</v>
      </c>
      <c r="Q3114" s="166"/>
    </row>
    <row r="3115" spans="1:17">
      <c r="A3115" s="166" t="b">
        <f t="shared" ca="1" si="239"/>
        <v>0</v>
      </c>
      <c r="B3115" s="172" t="str">
        <f ca="1">IF(COUNTA(G$2368:G3114)=1,"",OFFSET(B3115,-COUNTA(G$2368:G3114)+1,0))</f>
        <v>a1b3p000006eF30AAE</v>
      </c>
      <c r="C3115" s="177">
        <f ca="1">IF(COUNTA(G$2368:G3114)=1,"",OFFSET(C3115,-COUNTA(G$2368:G3114)+1,0))</f>
        <v>45</v>
      </c>
      <c r="D3115" s="166">
        <f t="shared" si="235"/>
        <v>265</v>
      </c>
      <c r="E3115" s="166">
        <f t="shared" ca="1" si="236"/>
        <v>1</v>
      </c>
      <c r="F3115" s="166">
        <f t="shared" ca="1" si="237"/>
        <v>53</v>
      </c>
      <c r="G3115" s="166"/>
      <c r="H3115" s="171" t="str">
        <f t="shared" ca="1" si="240"/>
        <v/>
      </c>
      <c r="I3115" s="171" t="str">
        <f t="shared" ca="1" si="241"/>
        <v/>
      </c>
      <c r="J3115" s="171" t="str">
        <f t="shared" ca="1" si="242"/>
        <v/>
      </c>
      <c r="K3115" s="171" t="str">
        <f t="shared" ca="1" si="243"/>
        <v/>
      </c>
      <c r="L3115" s="166"/>
      <c r="M3115" s="166"/>
      <c r="N3115" s="166"/>
      <c r="O3115" s="166"/>
      <c r="P3115" s="166">
        <f t="shared" ca="1" si="238"/>
        <v>0</v>
      </c>
      <c r="Q3115" s="166"/>
    </row>
    <row r="3116" spans="1:17">
      <c r="A3116" s="166" t="b">
        <f t="shared" ca="1" si="239"/>
        <v>0</v>
      </c>
      <c r="B3116" s="172" t="str">
        <f ca="1">IF(COUNTA(G$2368:G3115)=1,"",OFFSET(B3116,-COUNTA(G$2368:G3115)+1,0))</f>
        <v>a1b3p000006eF4IAAU</v>
      </c>
      <c r="C3116" s="177">
        <f ca="1">IF(COUNTA(G$2368:G3115)=1,"",OFFSET(C3116,-COUNTA(G$2368:G3115)+1,0))</f>
        <v>45</v>
      </c>
      <c r="D3116" s="166">
        <f t="shared" si="235"/>
        <v>266</v>
      </c>
      <c r="E3116" s="166">
        <f t="shared" ca="1" si="236"/>
        <v>2</v>
      </c>
      <c r="F3116" s="166">
        <f t="shared" ca="1" si="237"/>
        <v>53</v>
      </c>
      <c r="G3116" s="166"/>
      <c r="H3116" s="171" t="str">
        <f t="shared" ca="1" si="240"/>
        <v/>
      </c>
      <c r="I3116" s="171" t="str">
        <f t="shared" ca="1" si="241"/>
        <v/>
      </c>
      <c r="J3116" s="171" t="str">
        <f t="shared" ca="1" si="242"/>
        <v/>
      </c>
      <c r="K3116" s="171" t="str">
        <f t="shared" ca="1" si="243"/>
        <v/>
      </c>
      <c r="L3116" s="166"/>
      <c r="M3116" s="166"/>
      <c r="N3116" s="166"/>
      <c r="O3116" s="166"/>
      <c r="P3116" s="166">
        <f t="shared" ca="1" si="238"/>
        <v>0</v>
      </c>
      <c r="Q3116" s="166"/>
    </row>
    <row r="3117" spans="1:17">
      <c r="A3117" s="166" t="b">
        <f t="shared" ca="1" si="239"/>
        <v>0</v>
      </c>
      <c r="B3117" s="172" t="str">
        <f ca="1">IF(COUNTA(G$2368:G3116)=1,"",OFFSET(B3117,-COUNTA(G$2368:G3116)+1,0))</f>
        <v>a1b3p000006eF5aAAE</v>
      </c>
      <c r="C3117" s="177">
        <f ca="1">IF(COUNTA(G$2368:G3116)=1,"",OFFSET(C3117,-COUNTA(G$2368:G3116)+1,0))</f>
        <v>45</v>
      </c>
      <c r="D3117" s="166">
        <f t="shared" si="235"/>
        <v>267</v>
      </c>
      <c r="E3117" s="166">
        <f t="shared" ca="1" si="236"/>
        <v>3</v>
      </c>
      <c r="F3117" s="166">
        <f t="shared" ca="1" si="237"/>
        <v>53</v>
      </c>
      <c r="G3117" s="166"/>
      <c r="H3117" s="171" t="str">
        <f t="shared" ca="1" si="240"/>
        <v/>
      </c>
      <c r="I3117" s="171" t="str">
        <f t="shared" ca="1" si="241"/>
        <v/>
      </c>
      <c r="J3117" s="171" t="str">
        <f t="shared" ca="1" si="242"/>
        <v/>
      </c>
      <c r="K3117" s="171" t="str">
        <f t="shared" ca="1" si="243"/>
        <v/>
      </c>
      <c r="L3117" s="166"/>
      <c r="M3117" s="166"/>
      <c r="N3117" s="166"/>
      <c r="O3117" s="166"/>
      <c r="P3117" s="166">
        <f t="shared" ca="1" si="238"/>
        <v>0</v>
      </c>
      <c r="Q3117" s="166"/>
    </row>
    <row r="3118" spans="1:17">
      <c r="A3118" s="166" t="b">
        <f t="shared" ca="1" si="239"/>
        <v>0</v>
      </c>
      <c r="B3118" s="172" t="str">
        <f ca="1">IF(COUNTA(G$2368:G3117)=1,"",OFFSET(B3118,-COUNTA(G$2368:G3117)+1,0))</f>
        <v>a1b3p000006eF6sAAE</v>
      </c>
      <c r="C3118" s="177">
        <f ca="1">IF(COUNTA(G$2368:G3117)=1,"",OFFSET(C3118,-COUNTA(G$2368:G3117)+1,0))</f>
        <v>45</v>
      </c>
      <c r="D3118" s="166">
        <f t="shared" si="235"/>
        <v>268</v>
      </c>
      <c r="E3118" s="166">
        <f t="shared" ca="1" si="236"/>
        <v>4</v>
      </c>
      <c r="F3118" s="166">
        <f t="shared" ca="1" si="237"/>
        <v>53</v>
      </c>
      <c r="G3118" s="166"/>
      <c r="H3118" s="171" t="str">
        <f t="shared" ca="1" si="240"/>
        <v/>
      </c>
      <c r="I3118" s="171" t="str">
        <f t="shared" ca="1" si="241"/>
        <v/>
      </c>
      <c r="J3118" s="171" t="str">
        <f t="shared" ca="1" si="242"/>
        <v/>
      </c>
      <c r="K3118" s="171" t="str">
        <f t="shared" ca="1" si="243"/>
        <v/>
      </c>
      <c r="L3118" s="166"/>
      <c r="M3118" s="166"/>
      <c r="N3118" s="166"/>
      <c r="O3118" s="166"/>
      <c r="P3118" s="166">
        <f t="shared" ca="1" si="238"/>
        <v>0</v>
      </c>
      <c r="Q3118" s="166"/>
    </row>
    <row r="3119" spans="1:17">
      <c r="A3119" s="166" t="b">
        <f t="shared" ca="1" si="239"/>
        <v>0</v>
      </c>
      <c r="B3119" s="172" t="str">
        <f ca="1">IF(COUNTA(G$2368:G3118)=1,"",OFFSET(B3119,-COUNTA(G$2368:G3118)+1,0))</f>
        <v>a1b3p000006eF8AAAU</v>
      </c>
      <c r="C3119" s="177">
        <f ca="1">IF(COUNTA(G$2368:G3118)=1,"",OFFSET(C3119,-COUNTA(G$2368:G3118)+1,0))</f>
        <v>45</v>
      </c>
      <c r="D3119" s="166">
        <f t="shared" si="235"/>
        <v>269</v>
      </c>
      <c r="E3119" s="166">
        <f t="shared" ca="1" si="236"/>
        <v>5</v>
      </c>
      <c r="F3119" s="166">
        <f t="shared" ca="1" si="237"/>
        <v>53</v>
      </c>
      <c r="G3119" s="166"/>
      <c r="H3119" s="171" t="str">
        <f t="shared" ca="1" si="240"/>
        <v/>
      </c>
      <c r="I3119" s="171" t="str">
        <f t="shared" ca="1" si="241"/>
        <v/>
      </c>
      <c r="J3119" s="171" t="str">
        <f t="shared" ca="1" si="242"/>
        <v/>
      </c>
      <c r="K3119" s="171" t="str">
        <f t="shared" ca="1" si="243"/>
        <v/>
      </c>
      <c r="L3119" s="166"/>
      <c r="M3119" s="166"/>
      <c r="N3119" s="166"/>
      <c r="O3119" s="166"/>
      <c r="P3119" s="166">
        <f t="shared" ca="1" si="238"/>
        <v>0</v>
      </c>
      <c r="Q3119" s="166"/>
    </row>
    <row r="3120" spans="1:17">
      <c r="A3120" s="166" t="b">
        <f t="shared" ca="1" si="239"/>
        <v>0</v>
      </c>
      <c r="B3120" s="172" t="str">
        <f ca="1">IF(COUNTA(G$2368:G3119)=1,"",OFFSET(B3120,-COUNTA(G$2368:G3119)+1,0))</f>
        <v>a1b3p000006eF9SAAU</v>
      </c>
      <c r="C3120" s="177">
        <f ca="1">IF(COUNTA(G$2368:G3119)=1,"",OFFSET(C3120,-COUNTA(G$2368:G3119)+1,0))</f>
        <v>45</v>
      </c>
      <c r="D3120" s="166">
        <f t="shared" si="235"/>
        <v>270</v>
      </c>
      <c r="E3120" s="166">
        <f t="shared" ca="1" si="236"/>
        <v>6</v>
      </c>
      <c r="F3120" s="166">
        <f t="shared" ca="1" si="237"/>
        <v>53</v>
      </c>
      <c r="G3120" s="166"/>
      <c r="H3120" s="171" t="str">
        <f t="shared" ca="1" si="240"/>
        <v/>
      </c>
      <c r="I3120" s="171" t="str">
        <f t="shared" ca="1" si="241"/>
        <v/>
      </c>
      <c r="J3120" s="171" t="str">
        <f t="shared" ca="1" si="242"/>
        <v/>
      </c>
      <c r="K3120" s="171" t="str">
        <f t="shared" ca="1" si="243"/>
        <v/>
      </c>
      <c r="L3120" s="166"/>
      <c r="M3120" s="166"/>
      <c r="N3120" s="166"/>
      <c r="O3120" s="166"/>
      <c r="P3120" s="166">
        <f t="shared" ca="1" si="238"/>
        <v>0</v>
      </c>
      <c r="Q3120" s="166"/>
    </row>
    <row r="3121" spans="1:17">
      <c r="A3121" s="166" t="b">
        <f t="shared" ca="1" si="239"/>
        <v>0</v>
      </c>
      <c r="B3121" s="172" t="str">
        <f ca="1">IF(COUNTA(G$2368:G3120)=1,"",OFFSET(B3121,-COUNTA(G$2368:G3120)+1,0))</f>
        <v>a1b3p000006eF31AAE</v>
      </c>
      <c r="C3121" s="177">
        <f ca="1">IF(COUNTA(G$2368:G3120)=1,"",OFFSET(C3121,-COUNTA(G$2368:G3120)+1,0))</f>
        <v>46</v>
      </c>
      <c r="D3121" s="166">
        <f t="shared" si="235"/>
        <v>271</v>
      </c>
      <c r="E3121" s="166">
        <f t="shared" ca="1" si="236"/>
        <v>1</v>
      </c>
      <c r="F3121" s="166">
        <f t="shared" ca="1" si="237"/>
        <v>54</v>
      </c>
      <c r="G3121" s="166"/>
      <c r="H3121" s="171" t="str">
        <f t="shared" ca="1" si="240"/>
        <v/>
      </c>
      <c r="I3121" s="171" t="str">
        <f t="shared" ca="1" si="241"/>
        <v/>
      </c>
      <c r="J3121" s="171" t="str">
        <f t="shared" ca="1" si="242"/>
        <v/>
      </c>
      <c r="K3121" s="171" t="str">
        <f t="shared" ca="1" si="243"/>
        <v/>
      </c>
      <c r="L3121" s="166"/>
      <c r="M3121" s="166"/>
      <c r="N3121" s="166"/>
      <c r="O3121" s="166"/>
      <c r="P3121" s="166">
        <f t="shared" ca="1" si="238"/>
        <v>0</v>
      </c>
      <c r="Q3121" s="166"/>
    </row>
    <row r="3122" spans="1:17">
      <c r="A3122" s="166" t="b">
        <f t="shared" ca="1" si="239"/>
        <v>0</v>
      </c>
      <c r="B3122" s="172" t="str">
        <f ca="1">IF(COUNTA(G$2368:G3121)=1,"",OFFSET(B3122,-COUNTA(G$2368:G3121)+1,0))</f>
        <v>a1b3p000006eF4JAAU</v>
      </c>
      <c r="C3122" s="177">
        <f ca="1">IF(COUNTA(G$2368:G3121)=1,"",OFFSET(C3122,-COUNTA(G$2368:G3121)+1,0))</f>
        <v>46</v>
      </c>
      <c r="D3122" s="166">
        <f t="shared" si="235"/>
        <v>272</v>
      </c>
      <c r="E3122" s="166">
        <f t="shared" ca="1" si="236"/>
        <v>2</v>
      </c>
      <c r="F3122" s="166">
        <f t="shared" ca="1" si="237"/>
        <v>54</v>
      </c>
      <c r="G3122" s="166"/>
      <c r="H3122" s="171" t="str">
        <f t="shared" ca="1" si="240"/>
        <v/>
      </c>
      <c r="I3122" s="171" t="str">
        <f t="shared" ca="1" si="241"/>
        <v/>
      </c>
      <c r="J3122" s="171" t="str">
        <f t="shared" ca="1" si="242"/>
        <v/>
      </c>
      <c r="K3122" s="171" t="str">
        <f t="shared" ca="1" si="243"/>
        <v/>
      </c>
      <c r="L3122" s="166"/>
      <c r="M3122" s="166"/>
      <c r="N3122" s="166"/>
      <c r="O3122" s="166"/>
      <c r="P3122" s="166">
        <f t="shared" ca="1" si="238"/>
        <v>0</v>
      </c>
      <c r="Q3122" s="166"/>
    </row>
    <row r="3123" spans="1:17">
      <c r="A3123" s="166" t="b">
        <f t="shared" ca="1" si="239"/>
        <v>0</v>
      </c>
      <c r="B3123" s="172" t="str">
        <f ca="1">IF(COUNTA(G$2368:G3122)=1,"",OFFSET(B3123,-COUNTA(G$2368:G3122)+1,0))</f>
        <v>a1b3p000006eF5bAAE</v>
      </c>
      <c r="C3123" s="177">
        <f ca="1">IF(COUNTA(G$2368:G3122)=1,"",OFFSET(C3123,-COUNTA(G$2368:G3122)+1,0))</f>
        <v>46</v>
      </c>
      <c r="D3123" s="166">
        <f t="shared" si="235"/>
        <v>273</v>
      </c>
      <c r="E3123" s="166">
        <f t="shared" ca="1" si="236"/>
        <v>3</v>
      </c>
      <c r="F3123" s="166">
        <f t="shared" ca="1" si="237"/>
        <v>54</v>
      </c>
      <c r="G3123" s="166"/>
      <c r="H3123" s="171" t="str">
        <f t="shared" ca="1" si="240"/>
        <v/>
      </c>
      <c r="I3123" s="171" t="str">
        <f t="shared" ca="1" si="241"/>
        <v/>
      </c>
      <c r="J3123" s="171" t="str">
        <f t="shared" ca="1" si="242"/>
        <v/>
      </c>
      <c r="K3123" s="171" t="str">
        <f t="shared" ca="1" si="243"/>
        <v/>
      </c>
      <c r="L3123" s="166"/>
      <c r="M3123" s="166"/>
      <c r="N3123" s="166"/>
      <c r="O3123" s="166"/>
      <c r="P3123" s="166">
        <f t="shared" ca="1" si="238"/>
        <v>0</v>
      </c>
      <c r="Q3123" s="166"/>
    </row>
    <row r="3124" spans="1:17">
      <c r="A3124" s="166" t="b">
        <f t="shared" ca="1" si="239"/>
        <v>0</v>
      </c>
      <c r="B3124" s="172" t="str">
        <f ca="1">IF(COUNTA(G$2368:G3123)=1,"",OFFSET(B3124,-COUNTA(G$2368:G3123)+1,0))</f>
        <v>a1b3p000006eF6tAAE</v>
      </c>
      <c r="C3124" s="177">
        <f ca="1">IF(COUNTA(G$2368:G3123)=1,"",OFFSET(C3124,-COUNTA(G$2368:G3123)+1,0))</f>
        <v>46</v>
      </c>
      <c r="D3124" s="166">
        <f t="shared" si="235"/>
        <v>274</v>
      </c>
      <c r="E3124" s="166">
        <f t="shared" ca="1" si="236"/>
        <v>4</v>
      </c>
      <c r="F3124" s="166">
        <f t="shared" ca="1" si="237"/>
        <v>54</v>
      </c>
      <c r="G3124" s="166"/>
      <c r="H3124" s="171" t="str">
        <f t="shared" ca="1" si="240"/>
        <v/>
      </c>
      <c r="I3124" s="171" t="str">
        <f t="shared" ca="1" si="241"/>
        <v/>
      </c>
      <c r="J3124" s="171" t="str">
        <f t="shared" ca="1" si="242"/>
        <v/>
      </c>
      <c r="K3124" s="171" t="str">
        <f t="shared" ca="1" si="243"/>
        <v/>
      </c>
      <c r="L3124" s="166"/>
      <c r="M3124" s="166"/>
      <c r="N3124" s="166"/>
      <c r="O3124" s="166"/>
      <c r="P3124" s="166">
        <f t="shared" ca="1" si="238"/>
        <v>0</v>
      </c>
      <c r="Q3124" s="166"/>
    </row>
    <row r="3125" spans="1:17">
      <c r="A3125" s="166" t="b">
        <f t="shared" ca="1" si="239"/>
        <v>0</v>
      </c>
      <c r="B3125" s="172" t="str">
        <f ca="1">IF(COUNTA(G$2368:G3124)=1,"",OFFSET(B3125,-COUNTA(G$2368:G3124)+1,0))</f>
        <v>a1b3p000006eF8BAAU</v>
      </c>
      <c r="C3125" s="177">
        <f ca="1">IF(COUNTA(G$2368:G3124)=1,"",OFFSET(C3125,-COUNTA(G$2368:G3124)+1,0))</f>
        <v>46</v>
      </c>
      <c r="D3125" s="166">
        <f t="shared" si="235"/>
        <v>275</v>
      </c>
      <c r="E3125" s="166">
        <f t="shared" ca="1" si="236"/>
        <v>5</v>
      </c>
      <c r="F3125" s="166">
        <f t="shared" ca="1" si="237"/>
        <v>54</v>
      </c>
      <c r="G3125" s="166"/>
      <c r="H3125" s="171" t="str">
        <f t="shared" ca="1" si="240"/>
        <v/>
      </c>
      <c r="I3125" s="171" t="str">
        <f t="shared" ca="1" si="241"/>
        <v/>
      </c>
      <c r="J3125" s="171" t="str">
        <f t="shared" ca="1" si="242"/>
        <v/>
      </c>
      <c r="K3125" s="171" t="str">
        <f t="shared" ca="1" si="243"/>
        <v/>
      </c>
      <c r="L3125" s="166"/>
      <c r="M3125" s="166"/>
      <c r="N3125" s="166"/>
      <c r="O3125" s="166"/>
      <c r="P3125" s="166">
        <f t="shared" ca="1" si="238"/>
        <v>0</v>
      </c>
      <c r="Q3125" s="166"/>
    </row>
    <row r="3126" spans="1:17">
      <c r="A3126" s="166" t="b">
        <f t="shared" ca="1" si="239"/>
        <v>0</v>
      </c>
      <c r="B3126" s="172" t="str">
        <f ca="1">IF(COUNTA(G$2368:G3125)=1,"",OFFSET(B3126,-COUNTA(G$2368:G3125)+1,0))</f>
        <v>a1b3p000006eF9TAAU</v>
      </c>
      <c r="C3126" s="177">
        <f ca="1">IF(COUNTA(G$2368:G3125)=1,"",OFFSET(C3126,-COUNTA(G$2368:G3125)+1,0))</f>
        <v>46</v>
      </c>
      <c r="D3126" s="166">
        <f t="shared" si="235"/>
        <v>276</v>
      </c>
      <c r="E3126" s="166">
        <f t="shared" ca="1" si="236"/>
        <v>6</v>
      </c>
      <c r="F3126" s="166">
        <f t="shared" ca="1" si="237"/>
        <v>54</v>
      </c>
      <c r="G3126" s="166"/>
      <c r="H3126" s="171" t="str">
        <f t="shared" ca="1" si="240"/>
        <v/>
      </c>
      <c r="I3126" s="171" t="str">
        <f t="shared" ca="1" si="241"/>
        <v/>
      </c>
      <c r="J3126" s="171" t="str">
        <f t="shared" ca="1" si="242"/>
        <v/>
      </c>
      <c r="K3126" s="171" t="str">
        <f t="shared" ca="1" si="243"/>
        <v/>
      </c>
      <c r="L3126" s="166"/>
      <c r="M3126" s="166"/>
      <c r="N3126" s="166"/>
      <c r="O3126" s="166"/>
      <c r="P3126" s="166">
        <f t="shared" ca="1" si="238"/>
        <v>0</v>
      </c>
      <c r="Q3126" s="166"/>
    </row>
    <row r="3127" spans="1:17">
      <c r="A3127" s="166" t="b">
        <f t="shared" ca="1" si="239"/>
        <v>0</v>
      </c>
      <c r="B3127" s="172" t="str">
        <f ca="1">IF(COUNTA(G$2368:G3126)=1,"",OFFSET(B3127,-COUNTA(G$2368:G3126)+1,0))</f>
        <v>a1b3p000006eF32AAE</v>
      </c>
      <c r="C3127" s="177">
        <f ca="1">IF(COUNTA(G$2368:G3126)=1,"",OFFSET(C3127,-COUNTA(G$2368:G3126)+1,0))</f>
        <v>47</v>
      </c>
      <c r="D3127" s="166">
        <f t="shared" si="235"/>
        <v>277</v>
      </c>
      <c r="E3127" s="166">
        <f t="shared" ca="1" si="236"/>
        <v>1</v>
      </c>
      <c r="F3127" s="166">
        <f t="shared" ca="1" si="237"/>
        <v>55</v>
      </c>
      <c r="G3127" s="166"/>
      <c r="H3127" s="171" t="str">
        <f t="shared" ca="1" si="240"/>
        <v/>
      </c>
      <c r="I3127" s="171" t="str">
        <f t="shared" ca="1" si="241"/>
        <v/>
      </c>
      <c r="J3127" s="171" t="str">
        <f t="shared" ca="1" si="242"/>
        <v/>
      </c>
      <c r="K3127" s="171" t="str">
        <f t="shared" ca="1" si="243"/>
        <v/>
      </c>
      <c r="L3127" s="166"/>
      <c r="M3127" s="166"/>
      <c r="N3127" s="166"/>
      <c r="O3127" s="166"/>
      <c r="P3127" s="166">
        <f t="shared" ca="1" si="238"/>
        <v>0</v>
      </c>
      <c r="Q3127" s="166"/>
    </row>
    <row r="3128" spans="1:17">
      <c r="A3128" s="166" t="b">
        <f t="shared" ca="1" si="239"/>
        <v>0</v>
      </c>
      <c r="B3128" s="172" t="str">
        <f ca="1">IF(COUNTA(G$2368:G3127)=1,"",OFFSET(B3128,-COUNTA(G$2368:G3127)+1,0))</f>
        <v>a1b3p000006eF4KAAU</v>
      </c>
      <c r="C3128" s="177">
        <f ca="1">IF(COUNTA(G$2368:G3127)=1,"",OFFSET(C3128,-COUNTA(G$2368:G3127)+1,0))</f>
        <v>47</v>
      </c>
      <c r="D3128" s="166">
        <f t="shared" si="235"/>
        <v>278</v>
      </c>
      <c r="E3128" s="166">
        <f t="shared" ca="1" si="236"/>
        <v>2</v>
      </c>
      <c r="F3128" s="166">
        <f t="shared" ca="1" si="237"/>
        <v>55</v>
      </c>
      <c r="G3128" s="166"/>
      <c r="H3128" s="171" t="str">
        <f t="shared" ca="1" si="240"/>
        <v/>
      </c>
      <c r="I3128" s="171" t="str">
        <f t="shared" ca="1" si="241"/>
        <v/>
      </c>
      <c r="J3128" s="171" t="str">
        <f t="shared" ca="1" si="242"/>
        <v/>
      </c>
      <c r="K3128" s="171" t="str">
        <f t="shared" ca="1" si="243"/>
        <v/>
      </c>
      <c r="L3128" s="166"/>
      <c r="M3128" s="166"/>
      <c r="N3128" s="166"/>
      <c r="O3128" s="166"/>
      <c r="P3128" s="166">
        <f t="shared" ca="1" si="238"/>
        <v>0</v>
      </c>
      <c r="Q3128" s="166"/>
    </row>
    <row r="3129" spans="1:17">
      <c r="A3129" s="166" t="b">
        <f t="shared" ca="1" si="239"/>
        <v>0</v>
      </c>
      <c r="B3129" s="172" t="str">
        <f ca="1">IF(COUNTA(G$2368:G3128)=1,"",OFFSET(B3129,-COUNTA(G$2368:G3128)+1,0))</f>
        <v>a1b3p000006eF5cAAE</v>
      </c>
      <c r="C3129" s="177">
        <f ca="1">IF(COUNTA(G$2368:G3128)=1,"",OFFSET(C3129,-COUNTA(G$2368:G3128)+1,0))</f>
        <v>47</v>
      </c>
      <c r="D3129" s="166">
        <f t="shared" si="235"/>
        <v>279</v>
      </c>
      <c r="E3129" s="166">
        <f t="shared" ca="1" si="236"/>
        <v>3</v>
      </c>
      <c r="F3129" s="166">
        <f t="shared" ca="1" si="237"/>
        <v>55</v>
      </c>
      <c r="G3129" s="166"/>
      <c r="H3129" s="171" t="str">
        <f t="shared" ca="1" si="240"/>
        <v/>
      </c>
      <c r="I3129" s="171" t="str">
        <f t="shared" ca="1" si="241"/>
        <v/>
      </c>
      <c r="J3129" s="171" t="str">
        <f t="shared" ca="1" si="242"/>
        <v/>
      </c>
      <c r="K3129" s="171" t="str">
        <f t="shared" ca="1" si="243"/>
        <v/>
      </c>
      <c r="L3129" s="166"/>
      <c r="M3129" s="166"/>
      <c r="N3129" s="166"/>
      <c r="O3129" s="166"/>
      <c r="P3129" s="166">
        <f t="shared" ca="1" si="238"/>
        <v>0</v>
      </c>
      <c r="Q3129" s="166"/>
    </row>
    <row r="3130" spans="1:17">
      <c r="A3130" s="166" t="b">
        <f t="shared" ca="1" si="239"/>
        <v>0</v>
      </c>
      <c r="B3130" s="172" t="str">
        <f ca="1">IF(COUNTA(G$2368:G3129)=1,"",OFFSET(B3130,-COUNTA(G$2368:G3129)+1,0))</f>
        <v>a1b3p000006eF6uAAE</v>
      </c>
      <c r="C3130" s="177">
        <f ca="1">IF(COUNTA(G$2368:G3129)=1,"",OFFSET(C3130,-COUNTA(G$2368:G3129)+1,0))</f>
        <v>47</v>
      </c>
      <c r="D3130" s="166">
        <f t="shared" si="235"/>
        <v>280</v>
      </c>
      <c r="E3130" s="166">
        <f t="shared" ca="1" si="236"/>
        <v>4</v>
      </c>
      <c r="F3130" s="166">
        <f t="shared" ca="1" si="237"/>
        <v>55</v>
      </c>
      <c r="G3130" s="166"/>
      <c r="H3130" s="171" t="str">
        <f t="shared" ca="1" si="240"/>
        <v/>
      </c>
      <c r="I3130" s="171" t="str">
        <f t="shared" ca="1" si="241"/>
        <v/>
      </c>
      <c r="J3130" s="171" t="str">
        <f t="shared" ca="1" si="242"/>
        <v/>
      </c>
      <c r="K3130" s="171" t="str">
        <f t="shared" ca="1" si="243"/>
        <v/>
      </c>
      <c r="L3130" s="166"/>
      <c r="M3130" s="166"/>
      <c r="N3130" s="166"/>
      <c r="O3130" s="166"/>
      <c r="P3130" s="166">
        <f t="shared" ca="1" si="238"/>
        <v>0</v>
      </c>
      <c r="Q3130" s="166"/>
    </row>
    <row r="3131" spans="1:17">
      <c r="A3131" s="166" t="b">
        <f t="shared" ca="1" si="239"/>
        <v>0</v>
      </c>
      <c r="B3131" s="172" t="str">
        <f ca="1">IF(COUNTA(G$2368:G3130)=1,"",OFFSET(B3131,-COUNTA(G$2368:G3130)+1,0))</f>
        <v>a1b3p000006eF8CAAU</v>
      </c>
      <c r="C3131" s="177">
        <f ca="1">IF(COUNTA(G$2368:G3130)=1,"",OFFSET(C3131,-COUNTA(G$2368:G3130)+1,0))</f>
        <v>47</v>
      </c>
      <c r="D3131" s="166">
        <f t="shared" si="235"/>
        <v>281</v>
      </c>
      <c r="E3131" s="166">
        <f t="shared" ca="1" si="236"/>
        <v>5</v>
      </c>
      <c r="F3131" s="166">
        <f t="shared" ca="1" si="237"/>
        <v>55</v>
      </c>
      <c r="G3131" s="166"/>
      <c r="H3131" s="171" t="str">
        <f t="shared" ca="1" si="240"/>
        <v/>
      </c>
      <c r="I3131" s="171" t="str">
        <f t="shared" ca="1" si="241"/>
        <v/>
      </c>
      <c r="J3131" s="171" t="str">
        <f t="shared" ca="1" si="242"/>
        <v/>
      </c>
      <c r="K3131" s="171" t="str">
        <f t="shared" ca="1" si="243"/>
        <v/>
      </c>
      <c r="L3131" s="166"/>
      <c r="M3131" s="166"/>
      <c r="N3131" s="166"/>
      <c r="O3131" s="166"/>
      <c r="P3131" s="166">
        <f t="shared" ca="1" si="238"/>
        <v>0</v>
      </c>
      <c r="Q3131" s="166"/>
    </row>
    <row r="3132" spans="1:17">
      <c r="A3132" s="166" t="b">
        <f t="shared" ca="1" si="239"/>
        <v>0</v>
      </c>
      <c r="B3132" s="172" t="str">
        <f ca="1">IF(COUNTA(G$2368:G3131)=1,"",OFFSET(B3132,-COUNTA(G$2368:G3131)+1,0))</f>
        <v>a1b3p000006eF9UAAU</v>
      </c>
      <c r="C3132" s="177">
        <f ca="1">IF(COUNTA(G$2368:G3131)=1,"",OFFSET(C3132,-COUNTA(G$2368:G3131)+1,0))</f>
        <v>47</v>
      </c>
      <c r="D3132" s="166">
        <f t="shared" si="235"/>
        <v>282</v>
      </c>
      <c r="E3132" s="166">
        <f t="shared" ca="1" si="236"/>
        <v>6</v>
      </c>
      <c r="F3132" s="166">
        <f t="shared" ca="1" si="237"/>
        <v>55</v>
      </c>
      <c r="G3132" s="166"/>
      <c r="H3132" s="171" t="str">
        <f t="shared" ca="1" si="240"/>
        <v/>
      </c>
      <c r="I3132" s="171" t="str">
        <f t="shared" ca="1" si="241"/>
        <v/>
      </c>
      <c r="J3132" s="171" t="str">
        <f t="shared" ca="1" si="242"/>
        <v/>
      </c>
      <c r="K3132" s="171" t="str">
        <f t="shared" ca="1" si="243"/>
        <v/>
      </c>
      <c r="L3132" s="166"/>
      <c r="M3132" s="166"/>
      <c r="N3132" s="166"/>
      <c r="O3132" s="166"/>
      <c r="P3132" s="166">
        <f t="shared" ca="1" si="238"/>
        <v>0</v>
      </c>
      <c r="Q3132" s="166"/>
    </row>
    <row r="3133" spans="1:17">
      <c r="A3133" s="166" t="b">
        <f t="shared" ca="1" si="239"/>
        <v>0</v>
      </c>
      <c r="B3133" s="172" t="str">
        <f ca="1">IF(COUNTA(G$2368:G3132)=1,"",OFFSET(B3133,-COUNTA(G$2368:G3132)+1,0))</f>
        <v>a1b3p000006eF33AAE</v>
      </c>
      <c r="C3133" s="177">
        <f ca="1">IF(COUNTA(G$2368:G3132)=1,"",OFFSET(C3133,-COUNTA(G$2368:G3132)+1,0))</f>
        <v>48</v>
      </c>
      <c r="D3133" s="166">
        <f t="shared" si="235"/>
        <v>283</v>
      </c>
      <c r="E3133" s="166">
        <f t="shared" ca="1" si="236"/>
        <v>1</v>
      </c>
      <c r="F3133" s="166">
        <f t="shared" ca="1" si="237"/>
        <v>56</v>
      </c>
      <c r="G3133" s="166"/>
      <c r="H3133" s="171" t="str">
        <f t="shared" ca="1" si="240"/>
        <v/>
      </c>
      <c r="I3133" s="171" t="str">
        <f t="shared" ca="1" si="241"/>
        <v/>
      </c>
      <c r="J3133" s="171" t="str">
        <f t="shared" ca="1" si="242"/>
        <v/>
      </c>
      <c r="K3133" s="171" t="str">
        <f t="shared" ca="1" si="243"/>
        <v/>
      </c>
      <c r="L3133" s="166"/>
      <c r="M3133" s="166"/>
      <c r="N3133" s="166"/>
      <c r="O3133" s="166"/>
      <c r="P3133" s="166">
        <f t="shared" ca="1" si="238"/>
        <v>0</v>
      </c>
      <c r="Q3133" s="166"/>
    </row>
    <row r="3134" spans="1:17">
      <c r="A3134" s="166" t="b">
        <f t="shared" ca="1" si="239"/>
        <v>0</v>
      </c>
      <c r="B3134" s="172" t="str">
        <f ca="1">IF(COUNTA(G$2368:G3133)=1,"",OFFSET(B3134,-COUNTA(G$2368:G3133)+1,0))</f>
        <v>a1b3p000006eF4LAAU</v>
      </c>
      <c r="C3134" s="177">
        <f ca="1">IF(COUNTA(G$2368:G3133)=1,"",OFFSET(C3134,-COUNTA(G$2368:G3133)+1,0))</f>
        <v>48</v>
      </c>
      <c r="D3134" s="166">
        <f t="shared" si="235"/>
        <v>284</v>
      </c>
      <c r="E3134" s="166">
        <f t="shared" ca="1" si="236"/>
        <v>2</v>
      </c>
      <c r="F3134" s="166">
        <f t="shared" ca="1" si="237"/>
        <v>56</v>
      </c>
      <c r="G3134" s="166"/>
      <c r="H3134" s="171" t="str">
        <f t="shared" ca="1" si="240"/>
        <v/>
      </c>
      <c r="I3134" s="171" t="str">
        <f t="shared" ca="1" si="241"/>
        <v/>
      </c>
      <c r="J3134" s="171" t="str">
        <f t="shared" ca="1" si="242"/>
        <v/>
      </c>
      <c r="K3134" s="171" t="str">
        <f t="shared" ca="1" si="243"/>
        <v/>
      </c>
      <c r="L3134" s="166"/>
      <c r="M3134" s="166"/>
      <c r="N3134" s="166"/>
      <c r="O3134" s="166"/>
      <c r="P3134" s="166">
        <f t="shared" ca="1" si="238"/>
        <v>0</v>
      </c>
      <c r="Q3134" s="166"/>
    </row>
    <row r="3135" spans="1:17">
      <c r="A3135" s="166" t="b">
        <f t="shared" ca="1" si="239"/>
        <v>0</v>
      </c>
      <c r="B3135" s="172" t="str">
        <f ca="1">IF(COUNTA(G$2368:G3134)=1,"",OFFSET(B3135,-COUNTA(G$2368:G3134)+1,0))</f>
        <v>a1b3p000006eF5dAAE</v>
      </c>
      <c r="C3135" s="177">
        <f ca="1">IF(COUNTA(G$2368:G3134)=1,"",OFFSET(C3135,-COUNTA(G$2368:G3134)+1,0))</f>
        <v>48</v>
      </c>
      <c r="D3135" s="166">
        <f t="shared" si="235"/>
        <v>285</v>
      </c>
      <c r="E3135" s="166">
        <f t="shared" ca="1" si="236"/>
        <v>3</v>
      </c>
      <c r="F3135" s="166">
        <f t="shared" ca="1" si="237"/>
        <v>56</v>
      </c>
      <c r="G3135" s="166"/>
      <c r="H3135" s="171" t="str">
        <f t="shared" ca="1" si="240"/>
        <v/>
      </c>
      <c r="I3135" s="171" t="str">
        <f t="shared" ca="1" si="241"/>
        <v/>
      </c>
      <c r="J3135" s="171" t="str">
        <f t="shared" ca="1" si="242"/>
        <v/>
      </c>
      <c r="K3135" s="171" t="str">
        <f t="shared" ca="1" si="243"/>
        <v/>
      </c>
      <c r="L3135" s="166"/>
      <c r="M3135" s="166"/>
      <c r="N3135" s="166"/>
      <c r="O3135" s="166"/>
      <c r="P3135" s="166">
        <f t="shared" ca="1" si="238"/>
        <v>0</v>
      </c>
      <c r="Q3135" s="166"/>
    </row>
    <row r="3136" spans="1:17">
      <c r="A3136" s="166" t="b">
        <f t="shared" ca="1" si="239"/>
        <v>0</v>
      </c>
      <c r="B3136" s="172" t="str">
        <f ca="1">IF(COUNTA(G$2368:G3135)=1,"",OFFSET(B3136,-COUNTA(G$2368:G3135)+1,0))</f>
        <v>a1b3p000006eF6vAAE</v>
      </c>
      <c r="C3136" s="177">
        <f ca="1">IF(COUNTA(G$2368:G3135)=1,"",OFFSET(C3136,-COUNTA(G$2368:G3135)+1,0))</f>
        <v>48</v>
      </c>
      <c r="D3136" s="166">
        <f t="shared" si="235"/>
        <v>286</v>
      </c>
      <c r="E3136" s="166">
        <f t="shared" ca="1" si="236"/>
        <v>4</v>
      </c>
      <c r="F3136" s="166">
        <f t="shared" ca="1" si="237"/>
        <v>56</v>
      </c>
      <c r="G3136" s="166"/>
      <c r="H3136" s="171" t="str">
        <f t="shared" ca="1" si="240"/>
        <v/>
      </c>
      <c r="I3136" s="171" t="str">
        <f t="shared" ca="1" si="241"/>
        <v/>
      </c>
      <c r="J3136" s="171" t="str">
        <f t="shared" ca="1" si="242"/>
        <v/>
      </c>
      <c r="K3136" s="171" t="str">
        <f t="shared" ca="1" si="243"/>
        <v/>
      </c>
      <c r="L3136" s="166"/>
      <c r="M3136" s="166"/>
      <c r="N3136" s="166"/>
      <c r="O3136" s="166"/>
      <c r="P3136" s="166">
        <f t="shared" ca="1" si="238"/>
        <v>0</v>
      </c>
      <c r="Q3136" s="166"/>
    </row>
    <row r="3137" spans="1:17">
      <c r="A3137" s="166" t="b">
        <f t="shared" ca="1" si="239"/>
        <v>0</v>
      </c>
      <c r="B3137" s="172" t="str">
        <f ca="1">IF(COUNTA(G$2368:G3136)=1,"",OFFSET(B3137,-COUNTA(G$2368:G3136)+1,0))</f>
        <v>a1b3p000006eF8DAAU</v>
      </c>
      <c r="C3137" s="177">
        <f ca="1">IF(COUNTA(G$2368:G3136)=1,"",OFFSET(C3137,-COUNTA(G$2368:G3136)+1,0))</f>
        <v>48</v>
      </c>
      <c r="D3137" s="166">
        <f t="shared" si="235"/>
        <v>287</v>
      </c>
      <c r="E3137" s="166">
        <f t="shared" ca="1" si="236"/>
        <v>5</v>
      </c>
      <c r="F3137" s="166">
        <f t="shared" ca="1" si="237"/>
        <v>56</v>
      </c>
      <c r="G3137" s="166"/>
      <c r="H3137" s="171" t="str">
        <f t="shared" ca="1" si="240"/>
        <v/>
      </c>
      <c r="I3137" s="171" t="str">
        <f t="shared" ca="1" si="241"/>
        <v/>
      </c>
      <c r="J3137" s="171" t="str">
        <f t="shared" ca="1" si="242"/>
        <v/>
      </c>
      <c r="K3137" s="171" t="str">
        <f t="shared" ca="1" si="243"/>
        <v/>
      </c>
      <c r="L3137" s="166"/>
      <c r="M3137" s="166"/>
      <c r="N3137" s="166"/>
      <c r="O3137" s="166"/>
      <c r="P3137" s="166">
        <f t="shared" ca="1" si="238"/>
        <v>0</v>
      </c>
      <c r="Q3137" s="166"/>
    </row>
    <row r="3138" spans="1:17">
      <c r="A3138" s="166" t="b">
        <f t="shared" ca="1" si="239"/>
        <v>0</v>
      </c>
      <c r="B3138" s="172" t="str">
        <f ca="1">IF(COUNTA(G$2368:G3137)=1,"",OFFSET(B3138,-COUNTA(G$2368:G3137)+1,0))</f>
        <v>a1b3p000006eF9VAAU</v>
      </c>
      <c r="C3138" s="177">
        <f ca="1">IF(COUNTA(G$2368:G3137)=1,"",OFFSET(C3138,-COUNTA(G$2368:G3137)+1,0))</f>
        <v>48</v>
      </c>
      <c r="D3138" s="166">
        <f t="shared" si="235"/>
        <v>288</v>
      </c>
      <c r="E3138" s="166">
        <f t="shared" ca="1" si="236"/>
        <v>6</v>
      </c>
      <c r="F3138" s="166">
        <f t="shared" ca="1" si="237"/>
        <v>56</v>
      </c>
      <c r="G3138" s="166"/>
      <c r="H3138" s="171" t="str">
        <f t="shared" ca="1" si="240"/>
        <v/>
      </c>
      <c r="I3138" s="171" t="str">
        <f t="shared" ca="1" si="241"/>
        <v/>
      </c>
      <c r="J3138" s="171" t="str">
        <f t="shared" ca="1" si="242"/>
        <v/>
      </c>
      <c r="K3138" s="171" t="str">
        <f t="shared" ca="1" si="243"/>
        <v/>
      </c>
      <c r="L3138" s="166"/>
      <c r="M3138" s="166"/>
      <c r="N3138" s="166"/>
      <c r="O3138" s="166"/>
      <c r="P3138" s="166">
        <f t="shared" ca="1" si="238"/>
        <v>0</v>
      </c>
      <c r="Q3138" s="166"/>
    </row>
    <row r="3139" spans="1:17">
      <c r="A3139" s="166" t="b">
        <f t="shared" ca="1" si="239"/>
        <v>0</v>
      </c>
      <c r="B3139" s="172" t="str">
        <f ca="1">IF(COUNTA(G$2368:G3138)=1,"",OFFSET(B3139,-COUNTA(G$2368:G3138)+1,0))</f>
        <v>a1b3p000006eF34AAE</v>
      </c>
      <c r="C3139" s="177">
        <f ca="1">IF(COUNTA(G$2368:G3138)=1,"",OFFSET(C3139,-COUNTA(G$2368:G3138)+1,0))</f>
        <v>49</v>
      </c>
      <c r="D3139" s="166">
        <f t="shared" ref="D3139:D3202" si="244">D3138+1</f>
        <v>289</v>
      </c>
      <c r="E3139" s="166">
        <f t="shared" ref="E3139:E3202" ca="1" si="245">COUNTIF(C2969:C3139,C3139)</f>
        <v>1</v>
      </c>
      <c r="F3139" s="166">
        <f t="shared" ref="F3139:F3202" ca="1" si="246">IF(C3139=1,9,IF(E3138=MAX(E3137:E3139),F3137+1,F3138))</f>
        <v>57</v>
      </c>
      <c r="G3139" s="166"/>
      <c r="H3139" s="171" t="str">
        <f t="shared" ca="1" si="240"/>
        <v/>
      </c>
      <c r="I3139" s="171" t="str">
        <f t="shared" ca="1" si="241"/>
        <v/>
      </c>
      <c r="J3139" s="171" t="str">
        <f t="shared" ca="1" si="242"/>
        <v/>
      </c>
      <c r="K3139" s="171" t="str">
        <f t="shared" ca="1" si="243"/>
        <v/>
      </c>
      <c r="L3139" s="166"/>
      <c r="M3139" s="166"/>
      <c r="N3139" s="166"/>
      <c r="O3139" s="166"/>
      <c r="P3139" s="166">
        <f t="shared" ref="P3139:P3202" ca="1" si="247">IF(NOT(_xlfn.ISFORMULA(I3139)),P3138+1,0)</f>
        <v>0</v>
      </c>
      <c r="Q3139" s="166"/>
    </row>
    <row r="3140" spans="1:17">
      <c r="A3140" s="166" t="b">
        <f t="shared" ca="1" si="239"/>
        <v>0</v>
      </c>
      <c r="B3140" s="172" t="str">
        <f ca="1">IF(COUNTA(G$2368:G3139)=1,"",OFFSET(B3140,-COUNTA(G$2368:G3139)+1,0))</f>
        <v>a1b3p000006eF4MAAU</v>
      </c>
      <c r="C3140" s="177">
        <f ca="1">IF(COUNTA(G$2368:G3139)=1,"",OFFSET(C3140,-COUNTA(G$2368:G3139)+1,0))</f>
        <v>49</v>
      </c>
      <c r="D3140" s="166">
        <f t="shared" si="244"/>
        <v>290</v>
      </c>
      <c r="E3140" s="166">
        <f t="shared" ca="1" si="245"/>
        <v>2</v>
      </c>
      <c r="F3140" s="166">
        <f t="shared" ca="1" si="246"/>
        <v>57</v>
      </c>
      <c r="G3140" s="166"/>
      <c r="H3140" s="171" t="str">
        <f t="shared" ca="1" si="240"/>
        <v/>
      </c>
      <c r="I3140" s="171" t="str">
        <f t="shared" ca="1" si="241"/>
        <v/>
      </c>
      <c r="J3140" s="171" t="str">
        <f t="shared" ca="1" si="242"/>
        <v/>
      </c>
      <c r="K3140" s="171" t="str">
        <f t="shared" ca="1" si="243"/>
        <v/>
      </c>
      <c r="L3140" s="166"/>
      <c r="M3140" s="166"/>
      <c r="N3140" s="166"/>
      <c r="O3140" s="166"/>
      <c r="P3140" s="166">
        <f t="shared" ca="1" si="247"/>
        <v>0</v>
      </c>
      <c r="Q3140" s="166"/>
    </row>
    <row r="3141" spans="1:17">
      <c r="A3141" s="166" t="b">
        <f t="shared" ca="1" si="239"/>
        <v>0</v>
      </c>
      <c r="B3141" s="172" t="str">
        <f ca="1">IF(COUNTA(G$2368:G3140)=1,"",OFFSET(B3141,-COUNTA(G$2368:G3140)+1,0))</f>
        <v>a1b3p000006eF5eAAE</v>
      </c>
      <c r="C3141" s="177">
        <f ca="1">IF(COUNTA(G$2368:G3140)=1,"",OFFSET(C3141,-COUNTA(G$2368:G3140)+1,0))</f>
        <v>49</v>
      </c>
      <c r="D3141" s="166">
        <f t="shared" si="244"/>
        <v>291</v>
      </c>
      <c r="E3141" s="166">
        <f t="shared" ca="1" si="245"/>
        <v>3</v>
      </c>
      <c r="F3141" s="166">
        <f t="shared" ca="1" si="246"/>
        <v>57</v>
      </c>
      <c r="G3141" s="166"/>
      <c r="H3141" s="171" t="str">
        <f t="shared" ca="1" si="240"/>
        <v/>
      </c>
      <c r="I3141" s="171" t="str">
        <f t="shared" ca="1" si="241"/>
        <v/>
      </c>
      <c r="J3141" s="171" t="str">
        <f t="shared" ca="1" si="242"/>
        <v/>
      </c>
      <c r="K3141" s="171" t="str">
        <f t="shared" ca="1" si="243"/>
        <v/>
      </c>
      <c r="L3141" s="166"/>
      <c r="M3141" s="166"/>
      <c r="N3141" s="166"/>
      <c r="O3141" s="166"/>
      <c r="P3141" s="166">
        <f t="shared" ca="1" si="247"/>
        <v>0</v>
      </c>
      <c r="Q3141" s="166"/>
    </row>
    <row r="3142" spans="1:17">
      <c r="A3142" s="166" t="b">
        <f t="shared" ca="1" si="239"/>
        <v>0</v>
      </c>
      <c r="B3142" s="172" t="str">
        <f ca="1">IF(COUNTA(G$2368:G3141)=1,"",OFFSET(B3142,-COUNTA(G$2368:G3141)+1,0))</f>
        <v>a1b3p000006eF6wAAE</v>
      </c>
      <c r="C3142" s="177">
        <f ca="1">IF(COUNTA(G$2368:G3141)=1,"",OFFSET(C3142,-COUNTA(G$2368:G3141)+1,0))</f>
        <v>49</v>
      </c>
      <c r="D3142" s="166">
        <f t="shared" si="244"/>
        <v>292</v>
      </c>
      <c r="E3142" s="166">
        <f t="shared" ca="1" si="245"/>
        <v>4</v>
      </c>
      <c r="F3142" s="166">
        <f t="shared" ca="1" si="246"/>
        <v>57</v>
      </c>
      <c r="G3142" s="166"/>
      <c r="H3142" s="171" t="str">
        <f t="shared" ca="1" si="240"/>
        <v/>
      </c>
      <c r="I3142" s="171" t="str">
        <f t="shared" ca="1" si="241"/>
        <v/>
      </c>
      <c r="J3142" s="171" t="str">
        <f t="shared" ca="1" si="242"/>
        <v/>
      </c>
      <c r="K3142" s="171" t="str">
        <f t="shared" ca="1" si="243"/>
        <v/>
      </c>
      <c r="L3142" s="166"/>
      <c r="M3142" s="166"/>
      <c r="N3142" s="166"/>
      <c r="O3142" s="166"/>
      <c r="P3142" s="166">
        <f t="shared" ca="1" si="247"/>
        <v>0</v>
      </c>
      <c r="Q3142" s="166"/>
    </row>
    <row r="3143" spans="1:17">
      <c r="A3143" s="166" t="b">
        <f t="shared" ca="1" si="239"/>
        <v>0</v>
      </c>
      <c r="B3143" s="172" t="str">
        <f ca="1">IF(COUNTA(G$2368:G3142)=1,"",OFFSET(B3143,-COUNTA(G$2368:G3142)+1,0))</f>
        <v>a1b3p000006eF8EAAU</v>
      </c>
      <c r="C3143" s="177">
        <f ca="1">IF(COUNTA(G$2368:G3142)=1,"",OFFSET(C3143,-COUNTA(G$2368:G3142)+1,0))</f>
        <v>49</v>
      </c>
      <c r="D3143" s="166">
        <f t="shared" si="244"/>
        <v>293</v>
      </c>
      <c r="E3143" s="166">
        <f t="shared" ca="1" si="245"/>
        <v>5</v>
      </c>
      <c r="F3143" s="166">
        <f t="shared" ca="1" si="246"/>
        <v>57</v>
      </c>
      <c r="G3143" s="166"/>
      <c r="H3143" s="171" t="str">
        <f t="shared" ca="1" si="240"/>
        <v/>
      </c>
      <c r="I3143" s="171" t="str">
        <f t="shared" ca="1" si="241"/>
        <v/>
      </c>
      <c r="J3143" s="171" t="str">
        <f t="shared" ca="1" si="242"/>
        <v/>
      </c>
      <c r="K3143" s="171" t="str">
        <f t="shared" ca="1" si="243"/>
        <v/>
      </c>
      <c r="L3143" s="166"/>
      <c r="M3143" s="166"/>
      <c r="N3143" s="166"/>
      <c r="O3143" s="166"/>
      <c r="P3143" s="166">
        <f t="shared" ca="1" si="247"/>
        <v>0</v>
      </c>
      <c r="Q3143" s="166"/>
    </row>
    <row r="3144" spans="1:17">
      <c r="A3144" s="166" t="b">
        <f t="shared" ca="1" si="239"/>
        <v>0</v>
      </c>
      <c r="B3144" s="172" t="str">
        <f ca="1">IF(COUNTA(G$2368:G3143)=1,"",OFFSET(B3144,-COUNTA(G$2368:G3143)+1,0))</f>
        <v>a1b3p000006eF9WAAU</v>
      </c>
      <c r="C3144" s="177">
        <f ca="1">IF(COUNTA(G$2368:G3143)=1,"",OFFSET(C3144,-COUNTA(G$2368:G3143)+1,0))</f>
        <v>49</v>
      </c>
      <c r="D3144" s="166">
        <f t="shared" si="244"/>
        <v>294</v>
      </c>
      <c r="E3144" s="166">
        <f t="shared" ca="1" si="245"/>
        <v>6</v>
      </c>
      <c r="F3144" s="166">
        <f t="shared" ca="1" si="246"/>
        <v>57</v>
      </c>
      <c r="G3144" s="166"/>
      <c r="H3144" s="171" t="str">
        <f t="shared" ca="1" si="240"/>
        <v/>
      </c>
      <c r="I3144" s="171" t="str">
        <f t="shared" ca="1" si="241"/>
        <v/>
      </c>
      <c r="J3144" s="171" t="str">
        <f t="shared" ca="1" si="242"/>
        <v/>
      </c>
      <c r="K3144" s="171" t="str">
        <f t="shared" ca="1" si="243"/>
        <v/>
      </c>
      <c r="L3144" s="166"/>
      <c r="M3144" s="166"/>
      <c r="N3144" s="166"/>
      <c r="O3144" s="166"/>
      <c r="P3144" s="166">
        <f t="shared" ca="1" si="247"/>
        <v>0</v>
      </c>
      <c r="Q3144" s="166"/>
    </row>
    <row r="3145" spans="1:17">
      <c r="A3145" s="166" t="b">
        <f t="shared" ca="1" si="239"/>
        <v>0</v>
      </c>
      <c r="B3145" s="172" t="str">
        <f ca="1">IF(COUNTA(G$2368:G3144)=1,"",OFFSET(B3145,-COUNTA(G$2368:G3144)+1,0))</f>
        <v>a1b3p000006eF35AAE</v>
      </c>
      <c r="C3145" s="177">
        <f ca="1">IF(COUNTA(G$2368:G3144)=1,"",OFFSET(C3145,-COUNTA(G$2368:G3144)+1,0))</f>
        <v>50</v>
      </c>
      <c r="D3145" s="166">
        <f t="shared" si="244"/>
        <v>295</v>
      </c>
      <c r="E3145" s="166">
        <f t="shared" ca="1" si="245"/>
        <v>1</v>
      </c>
      <c r="F3145" s="166">
        <f t="shared" ca="1" si="246"/>
        <v>58</v>
      </c>
      <c r="G3145" s="166"/>
      <c r="H3145" s="171" t="str">
        <f t="shared" ca="1" si="240"/>
        <v/>
      </c>
      <c r="I3145" s="171" t="str">
        <f t="shared" ca="1" si="241"/>
        <v/>
      </c>
      <c r="J3145" s="171" t="str">
        <f t="shared" ca="1" si="242"/>
        <v/>
      </c>
      <c r="K3145" s="171" t="str">
        <f t="shared" ca="1" si="243"/>
        <v/>
      </c>
      <c r="L3145" s="166"/>
      <c r="M3145" s="166"/>
      <c r="N3145" s="166"/>
      <c r="O3145" s="166"/>
      <c r="P3145" s="166">
        <f t="shared" ca="1" si="247"/>
        <v>0</v>
      </c>
      <c r="Q3145" s="166"/>
    </row>
    <row r="3146" spans="1:17">
      <c r="A3146" s="166" t="b">
        <f t="shared" ca="1" si="239"/>
        <v>0</v>
      </c>
      <c r="B3146" s="172" t="str">
        <f ca="1">IF(COUNTA(G$2368:G3145)=1,"",OFFSET(B3146,-COUNTA(G$2368:G3145)+1,0))</f>
        <v>a1b3p000006eF4NAAU</v>
      </c>
      <c r="C3146" s="177">
        <f ca="1">IF(COUNTA(G$2368:G3145)=1,"",OFFSET(C3146,-COUNTA(G$2368:G3145)+1,0))</f>
        <v>50</v>
      </c>
      <c r="D3146" s="166">
        <f t="shared" si="244"/>
        <v>296</v>
      </c>
      <c r="E3146" s="166">
        <f t="shared" ca="1" si="245"/>
        <v>2</v>
      </c>
      <c r="F3146" s="166">
        <f t="shared" ca="1" si="246"/>
        <v>58</v>
      </c>
      <c r="G3146" s="166"/>
      <c r="H3146" s="171" t="str">
        <f t="shared" ca="1" si="240"/>
        <v/>
      </c>
      <c r="I3146" s="171" t="str">
        <f t="shared" ca="1" si="241"/>
        <v/>
      </c>
      <c r="J3146" s="171" t="str">
        <f t="shared" ca="1" si="242"/>
        <v/>
      </c>
      <c r="K3146" s="171" t="str">
        <f t="shared" ca="1" si="243"/>
        <v/>
      </c>
      <c r="L3146" s="166"/>
      <c r="M3146" s="166"/>
      <c r="N3146" s="166"/>
      <c r="O3146" s="166"/>
      <c r="P3146" s="166">
        <f t="shared" ca="1" si="247"/>
        <v>0</v>
      </c>
      <c r="Q3146" s="166"/>
    </row>
    <row r="3147" spans="1:17">
      <c r="A3147" s="166" t="b">
        <f t="shared" ca="1" si="239"/>
        <v>0</v>
      </c>
      <c r="B3147" s="172" t="str">
        <f ca="1">IF(COUNTA(G$2368:G3146)=1,"",OFFSET(B3147,-COUNTA(G$2368:G3146)+1,0))</f>
        <v>a1b3p000006eF5fAAE</v>
      </c>
      <c r="C3147" s="177">
        <f ca="1">IF(COUNTA(G$2368:G3146)=1,"",OFFSET(C3147,-COUNTA(G$2368:G3146)+1,0))</f>
        <v>50</v>
      </c>
      <c r="D3147" s="166">
        <f t="shared" si="244"/>
        <v>297</v>
      </c>
      <c r="E3147" s="166">
        <f t="shared" ca="1" si="245"/>
        <v>3</v>
      </c>
      <c r="F3147" s="166">
        <f t="shared" ca="1" si="246"/>
        <v>58</v>
      </c>
      <c r="G3147" s="166"/>
      <c r="H3147" s="171" t="str">
        <f t="shared" ca="1" si="240"/>
        <v/>
      </c>
      <c r="I3147" s="171" t="str">
        <f t="shared" ca="1" si="241"/>
        <v/>
      </c>
      <c r="J3147" s="171" t="str">
        <f t="shared" ca="1" si="242"/>
        <v/>
      </c>
      <c r="K3147" s="171" t="str">
        <f t="shared" ca="1" si="243"/>
        <v/>
      </c>
      <c r="L3147" s="166"/>
      <c r="M3147" s="166"/>
      <c r="N3147" s="166"/>
      <c r="O3147" s="166"/>
      <c r="P3147" s="166">
        <f t="shared" ca="1" si="247"/>
        <v>0</v>
      </c>
      <c r="Q3147" s="166"/>
    </row>
    <row r="3148" spans="1:17">
      <c r="A3148" s="166" t="b">
        <f t="shared" ca="1" si="239"/>
        <v>0</v>
      </c>
      <c r="B3148" s="172" t="str">
        <f ca="1">IF(COUNTA(G$2368:G3147)=1,"",OFFSET(B3148,-COUNTA(G$2368:G3147)+1,0))</f>
        <v>a1b3p000006eF6xAAE</v>
      </c>
      <c r="C3148" s="177">
        <f ca="1">IF(COUNTA(G$2368:G3147)=1,"",OFFSET(C3148,-COUNTA(G$2368:G3147)+1,0))</f>
        <v>50</v>
      </c>
      <c r="D3148" s="166">
        <f t="shared" si="244"/>
        <v>298</v>
      </c>
      <c r="E3148" s="166">
        <f t="shared" ca="1" si="245"/>
        <v>4</v>
      </c>
      <c r="F3148" s="166">
        <f t="shared" ca="1" si="246"/>
        <v>58</v>
      </c>
      <c r="G3148" s="166"/>
      <c r="H3148" s="171" t="str">
        <f t="shared" ca="1" si="240"/>
        <v/>
      </c>
      <c r="I3148" s="171" t="str">
        <f t="shared" ca="1" si="241"/>
        <v/>
      </c>
      <c r="J3148" s="171" t="str">
        <f t="shared" ca="1" si="242"/>
        <v/>
      </c>
      <c r="K3148" s="171" t="str">
        <f t="shared" ca="1" si="243"/>
        <v/>
      </c>
      <c r="L3148" s="166"/>
      <c r="M3148" s="166"/>
      <c r="N3148" s="166"/>
      <c r="O3148" s="166"/>
      <c r="P3148" s="166">
        <f t="shared" ca="1" si="247"/>
        <v>0</v>
      </c>
      <c r="Q3148" s="166"/>
    </row>
    <row r="3149" spans="1:17">
      <c r="A3149" s="166" t="b">
        <f t="shared" ca="1" si="239"/>
        <v>0</v>
      </c>
      <c r="B3149" s="172" t="str">
        <f ca="1">IF(COUNTA(G$2368:G3148)=1,"",OFFSET(B3149,-COUNTA(G$2368:G3148)+1,0))</f>
        <v>a1b3p000006eF8FAAU</v>
      </c>
      <c r="C3149" s="177">
        <f ca="1">IF(COUNTA(G$2368:G3148)=1,"",OFFSET(C3149,-COUNTA(G$2368:G3148)+1,0))</f>
        <v>50</v>
      </c>
      <c r="D3149" s="166">
        <f t="shared" si="244"/>
        <v>299</v>
      </c>
      <c r="E3149" s="166">
        <f t="shared" ca="1" si="245"/>
        <v>5</v>
      </c>
      <c r="F3149" s="166">
        <f t="shared" ca="1" si="246"/>
        <v>58</v>
      </c>
      <c r="G3149" s="166"/>
      <c r="H3149" s="171" t="str">
        <f t="shared" ca="1" si="240"/>
        <v/>
      </c>
      <c r="I3149" s="171" t="str">
        <f t="shared" ca="1" si="241"/>
        <v/>
      </c>
      <c r="J3149" s="171" t="str">
        <f t="shared" ca="1" si="242"/>
        <v/>
      </c>
      <c r="K3149" s="171" t="str">
        <f t="shared" ca="1" si="243"/>
        <v/>
      </c>
      <c r="L3149" s="166"/>
      <c r="M3149" s="166"/>
      <c r="N3149" s="166"/>
      <c r="O3149" s="166"/>
      <c r="P3149" s="166">
        <f t="shared" ca="1" si="247"/>
        <v>0</v>
      </c>
      <c r="Q3149" s="166"/>
    </row>
    <row r="3150" spans="1:17">
      <c r="A3150" s="166" t="b">
        <f t="shared" ca="1" si="239"/>
        <v>0</v>
      </c>
      <c r="B3150" s="172" t="str">
        <f ca="1">IF(COUNTA(G$2368:G3149)=1,"",OFFSET(B3150,-COUNTA(G$2368:G3149)+1,0))</f>
        <v>a1b3p000006eF9XAAU</v>
      </c>
      <c r="C3150" s="177">
        <f ca="1">IF(COUNTA(G$2368:G3149)=1,"",OFFSET(C3150,-COUNTA(G$2368:G3149)+1,0))</f>
        <v>50</v>
      </c>
      <c r="D3150" s="166">
        <f t="shared" si="244"/>
        <v>300</v>
      </c>
      <c r="E3150" s="166">
        <f t="shared" ca="1" si="245"/>
        <v>6</v>
      </c>
      <c r="F3150" s="166">
        <f t="shared" ca="1" si="246"/>
        <v>58</v>
      </c>
      <c r="G3150" s="166"/>
      <c r="H3150" s="171" t="str">
        <f t="shared" ca="1" si="240"/>
        <v/>
      </c>
      <c r="I3150" s="171" t="str">
        <f t="shared" ca="1" si="241"/>
        <v/>
      </c>
      <c r="J3150" s="171" t="str">
        <f t="shared" ca="1" si="242"/>
        <v/>
      </c>
      <c r="K3150" s="171" t="str">
        <f t="shared" ca="1" si="243"/>
        <v/>
      </c>
      <c r="L3150" s="166"/>
      <c r="M3150" s="166"/>
      <c r="N3150" s="166"/>
      <c r="O3150" s="166"/>
      <c r="P3150" s="166">
        <f t="shared" ca="1" si="247"/>
        <v>0</v>
      </c>
      <c r="Q3150" s="166"/>
    </row>
    <row r="3151" spans="1:17">
      <c r="A3151" s="166" t="b">
        <f t="shared" ca="1" si="239"/>
        <v>0</v>
      </c>
      <c r="B3151" s="172" t="str">
        <f ca="1">IF(COUNTA(G$2368:G3150)=1,"",OFFSET(B3151,-COUNTA(G$2368:G3150)+1,0))</f>
        <v>a1b3p000006eF36AAE</v>
      </c>
      <c r="C3151" s="177">
        <f ca="1">IF(COUNTA(G$2368:G3150)=1,"",OFFSET(C3151,-COUNTA(G$2368:G3150)+1,0))</f>
        <v>51</v>
      </c>
      <c r="D3151" s="166">
        <f t="shared" si="244"/>
        <v>301</v>
      </c>
      <c r="E3151" s="166">
        <f t="shared" ca="1" si="245"/>
        <v>1</v>
      </c>
      <c r="F3151" s="166">
        <f t="shared" ca="1" si="246"/>
        <v>59</v>
      </c>
      <c r="G3151" s="166"/>
      <c r="H3151" s="171" t="str">
        <f t="shared" ca="1" si="240"/>
        <v/>
      </c>
      <c r="I3151" s="171" t="str">
        <f t="shared" ca="1" si="241"/>
        <v/>
      </c>
      <c r="J3151" s="171" t="str">
        <f t="shared" ca="1" si="242"/>
        <v/>
      </c>
      <c r="K3151" s="171" t="str">
        <f t="shared" ca="1" si="243"/>
        <v/>
      </c>
      <c r="L3151" s="166"/>
      <c r="M3151" s="166"/>
      <c r="N3151" s="166"/>
      <c r="O3151" s="166"/>
      <c r="P3151" s="166">
        <f t="shared" ca="1" si="247"/>
        <v>0</v>
      </c>
      <c r="Q3151" s="166"/>
    </row>
    <row r="3152" spans="1:17">
      <c r="A3152" s="166" t="b">
        <f t="shared" ca="1" si="239"/>
        <v>0</v>
      </c>
      <c r="B3152" s="172" t="str">
        <f ca="1">IF(COUNTA(G$2368:G3151)=1,"",OFFSET(B3152,-COUNTA(G$2368:G3151)+1,0))</f>
        <v>a1b3p000006eF4OAAU</v>
      </c>
      <c r="C3152" s="177">
        <f ca="1">IF(COUNTA(G$2368:G3151)=1,"",OFFSET(C3152,-COUNTA(G$2368:G3151)+1,0))</f>
        <v>51</v>
      </c>
      <c r="D3152" s="166">
        <f t="shared" si="244"/>
        <v>302</v>
      </c>
      <c r="E3152" s="166">
        <f t="shared" ca="1" si="245"/>
        <v>2</v>
      </c>
      <c r="F3152" s="166">
        <f t="shared" ca="1" si="246"/>
        <v>59</v>
      </c>
      <c r="G3152" s="166"/>
      <c r="H3152" s="171" t="str">
        <f t="shared" ca="1" si="240"/>
        <v/>
      </c>
      <c r="I3152" s="171" t="str">
        <f t="shared" ca="1" si="241"/>
        <v/>
      </c>
      <c r="J3152" s="171" t="str">
        <f t="shared" ca="1" si="242"/>
        <v/>
      </c>
      <c r="K3152" s="171" t="str">
        <f t="shared" ca="1" si="243"/>
        <v/>
      </c>
      <c r="L3152" s="166"/>
      <c r="M3152" s="166"/>
      <c r="N3152" s="166"/>
      <c r="O3152" s="166"/>
      <c r="P3152" s="166">
        <f t="shared" ca="1" si="247"/>
        <v>0</v>
      </c>
      <c r="Q3152" s="166"/>
    </row>
    <row r="3153" spans="1:17">
      <c r="A3153" s="166" t="b">
        <f t="shared" ca="1" si="239"/>
        <v>0</v>
      </c>
      <c r="B3153" s="172" t="str">
        <f ca="1">IF(COUNTA(G$2368:G3152)=1,"",OFFSET(B3153,-COUNTA(G$2368:G3152)+1,0))</f>
        <v>a1b3p000006eF5gAAE</v>
      </c>
      <c r="C3153" s="177">
        <f ca="1">IF(COUNTA(G$2368:G3152)=1,"",OFFSET(C3153,-COUNTA(G$2368:G3152)+1,0))</f>
        <v>51</v>
      </c>
      <c r="D3153" s="166">
        <f t="shared" si="244"/>
        <v>303</v>
      </c>
      <c r="E3153" s="166">
        <f t="shared" ca="1" si="245"/>
        <v>3</v>
      </c>
      <c r="F3153" s="166">
        <f t="shared" ca="1" si="246"/>
        <v>59</v>
      </c>
      <c r="G3153" s="166"/>
      <c r="H3153" s="171" t="str">
        <f t="shared" ca="1" si="240"/>
        <v/>
      </c>
      <c r="I3153" s="171" t="str">
        <f t="shared" ca="1" si="241"/>
        <v/>
      </c>
      <c r="J3153" s="171" t="str">
        <f t="shared" ca="1" si="242"/>
        <v/>
      </c>
      <c r="K3153" s="171" t="str">
        <f t="shared" ca="1" si="243"/>
        <v/>
      </c>
      <c r="L3153" s="166"/>
      <c r="M3153" s="166"/>
      <c r="N3153" s="166"/>
      <c r="O3153" s="166"/>
      <c r="P3153" s="166">
        <f t="shared" ca="1" si="247"/>
        <v>0</v>
      </c>
      <c r="Q3153" s="166"/>
    </row>
    <row r="3154" spans="1:17">
      <c r="A3154" s="166" t="b">
        <f t="shared" ca="1" si="239"/>
        <v>0</v>
      </c>
      <c r="B3154" s="172" t="str">
        <f ca="1">IF(COUNTA(G$2368:G3153)=1,"",OFFSET(B3154,-COUNTA(G$2368:G3153)+1,0))</f>
        <v>a1b3p000006eF6yAAE</v>
      </c>
      <c r="C3154" s="177">
        <f ca="1">IF(COUNTA(G$2368:G3153)=1,"",OFFSET(C3154,-COUNTA(G$2368:G3153)+1,0))</f>
        <v>51</v>
      </c>
      <c r="D3154" s="166">
        <f t="shared" si="244"/>
        <v>304</v>
      </c>
      <c r="E3154" s="166">
        <f t="shared" ca="1" si="245"/>
        <v>4</v>
      </c>
      <c r="F3154" s="166">
        <f t="shared" ca="1" si="246"/>
        <v>59</v>
      </c>
      <c r="G3154" s="166"/>
      <c r="H3154" s="171" t="str">
        <f t="shared" ca="1" si="240"/>
        <v/>
      </c>
      <c r="I3154" s="171" t="str">
        <f t="shared" ca="1" si="241"/>
        <v/>
      </c>
      <c r="J3154" s="171" t="str">
        <f t="shared" ca="1" si="242"/>
        <v/>
      </c>
      <c r="K3154" s="171" t="str">
        <f t="shared" ca="1" si="243"/>
        <v/>
      </c>
      <c r="L3154" s="166"/>
      <c r="M3154" s="166"/>
      <c r="N3154" s="166"/>
      <c r="O3154" s="166"/>
      <c r="P3154" s="166">
        <f t="shared" ca="1" si="247"/>
        <v>0</v>
      </c>
      <c r="Q3154" s="166"/>
    </row>
    <row r="3155" spans="1:17">
      <c r="A3155" s="166" t="b">
        <f t="shared" ca="1" si="239"/>
        <v>0</v>
      </c>
      <c r="B3155" s="172" t="str">
        <f ca="1">IF(COUNTA(G$2368:G3154)=1,"",OFFSET(B3155,-COUNTA(G$2368:G3154)+1,0))</f>
        <v>a1b3p000006eF8GAAU</v>
      </c>
      <c r="C3155" s="177">
        <f ca="1">IF(COUNTA(G$2368:G3154)=1,"",OFFSET(C3155,-COUNTA(G$2368:G3154)+1,0))</f>
        <v>51</v>
      </c>
      <c r="D3155" s="166">
        <f t="shared" si="244"/>
        <v>305</v>
      </c>
      <c r="E3155" s="166">
        <f t="shared" ca="1" si="245"/>
        <v>5</v>
      </c>
      <c r="F3155" s="166">
        <f t="shared" ca="1" si="246"/>
        <v>59</v>
      </c>
      <c r="G3155" s="166"/>
      <c r="H3155" s="171" t="str">
        <f t="shared" ca="1" si="240"/>
        <v/>
      </c>
      <c r="I3155" s="171" t="str">
        <f t="shared" ca="1" si="241"/>
        <v/>
      </c>
      <c r="J3155" s="171" t="str">
        <f t="shared" ca="1" si="242"/>
        <v/>
      </c>
      <c r="K3155" s="171" t="str">
        <f t="shared" ca="1" si="243"/>
        <v/>
      </c>
      <c r="L3155" s="166"/>
      <c r="M3155" s="166"/>
      <c r="N3155" s="166"/>
      <c r="O3155" s="166"/>
      <c r="P3155" s="166">
        <f t="shared" ca="1" si="247"/>
        <v>0</v>
      </c>
      <c r="Q3155" s="166"/>
    </row>
    <row r="3156" spans="1:17">
      <c r="A3156" s="166" t="b">
        <f t="shared" ca="1" si="239"/>
        <v>0</v>
      </c>
      <c r="B3156" s="172" t="str">
        <f ca="1">IF(COUNTA(G$2368:G3155)=1,"",OFFSET(B3156,-COUNTA(G$2368:G3155)+1,0))</f>
        <v>a1b3p000006eF9YAAU</v>
      </c>
      <c r="C3156" s="177">
        <f ca="1">IF(COUNTA(G$2368:G3155)=1,"",OFFSET(C3156,-COUNTA(G$2368:G3155)+1,0))</f>
        <v>51</v>
      </c>
      <c r="D3156" s="166">
        <f t="shared" si="244"/>
        <v>306</v>
      </c>
      <c r="E3156" s="166">
        <f t="shared" ca="1" si="245"/>
        <v>6</v>
      </c>
      <c r="F3156" s="166">
        <f t="shared" ca="1" si="246"/>
        <v>59</v>
      </c>
      <c r="G3156" s="166"/>
      <c r="H3156" s="171" t="str">
        <f t="shared" ca="1" si="240"/>
        <v/>
      </c>
      <c r="I3156" s="171" t="str">
        <f t="shared" ca="1" si="241"/>
        <v/>
      </c>
      <c r="J3156" s="171" t="str">
        <f t="shared" ca="1" si="242"/>
        <v/>
      </c>
      <c r="K3156" s="171" t="str">
        <f t="shared" ca="1" si="243"/>
        <v/>
      </c>
      <c r="L3156" s="166"/>
      <c r="M3156" s="166"/>
      <c r="N3156" s="166"/>
      <c r="O3156" s="166"/>
      <c r="P3156" s="166">
        <f t="shared" ca="1" si="247"/>
        <v>0</v>
      </c>
      <c r="Q3156" s="166"/>
    </row>
    <row r="3157" spans="1:17">
      <c r="A3157" s="166" t="b">
        <f t="shared" ca="1" si="239"/>
        <v>0</v>
      </c>
      <c r="B3157" s="172" t="str">
        <f ca="1">IF(COUNTA(G$2368:G3156)=1,"",OFFSET(B3157,-COUNTA(G$2368:G3156)+1,0))</f>
        <v>a1b3p000006eF37AAE</v>
      </c>
      <c r="C3157" s="177">
        <f ca="1">IF(COUNTA(G$2368:G3156)=1,"",OFFSET(C3157,-COUNTA(G$2368:G3156)+1,0))</f>
        <v>52</v>
      </c>
      <c r="D3157" s="166">
        <f t="shared" si="244"/>
        <v>307</v>
      </c>
      <c r="E3157" s="166">
        <f t="shared" ca="1" si="245"/>
        <v>1</v>
      </c>
      <c r="F3157" s="166">
        <f t="shared" ca="1" si="246"/>
        <v>60</v>
      </c>
      <c r="G3157" s="166"/>
      <c r="H3157" s="171" t="str">
        <f t="shared" ca="1" si="240"/>
        <v/>
      </c>
      <c r="I3157" s="171" t="str">
        <f t="shared" ca="1" si="241"/>
        <v/>
      </c>
      <c r="J3157" s="171" t="str">
        <f t="shared" ca="1" si="242"/>
        <v/>
      </c>
      <c r="K3157" s="171" t="str">
        <f t="shared" ca="1" si="243"/>
        <v/>
      </c>
      <c r="L3157" s="166"/>
      <c r="M3157" s="166"/>
      <c r="N3157" s="166"/>
      <c r="O3157" s="166"/>
      <c r="P3157" s="166">
        <f t="shared" ca="1" si="247"/>
        <v>0</v>
      </c>
      <c r="Q3157" s="166"/>
    </row>
    <row r="3158" spans="1:17">
      <c r="A3158" s="166" t="b">
        <f t="shared" ca="1" si="239"/>
        <v>0</v>
      </c>
      <c r="B3158" s="172" t="str">
        <f ca="1">IF(COUNTA(G$2368:G3157)=1,"",OFFSET(B3158,-COUNTA(G$2368:G3157)+1,0))</f>
        <v>a1b3p000006eF4PAAU</v>
      </c>
      <c r="C3158" s="177">
        <f ca="1">IF(COUNTA(G$2368:G3157)=1,"",OFFSET(C3158,-COUNTA(G$2368:G3157)+1,0))</f>
        <v>52</v>
      </c>
      <c r="D3158" s="166">
        <f t="shared" si="244"/>
        <v>308</v>
      </c>
      <c r="E3158" s="166">
        <f t="shared" ca="1" si="245"/>
        <v>2</v>
      </c>
      <c r="F3158" s="166">
        <f t="shared" ca="1" si="246"/>
        <v>60</v>
      </c>
      <c r="G3158" s="166"/>
      <c r="H3158" s="171" t="str">
        <f t="shared" ca="1" si="240"/>
        <v/>
      </c>
      <c r="I3158" s="171" t="str">
        <f t="shared" ca="1" si="241"/>
        <v/>
      </c>
      <c r="J3158" s="171" t="str">
        <f t="shared" ca="1" si="242"/>
        <v/>
      </c>
      <c r="K3158" s="171" t="str">
        <f t="shared" ca="1" si="243"/>
        <v/>
      </c>
      <c r="L3158" s="166"/>
      <c r="M3158" s="166"/>
      <c r="N3158" s="166"/>
      <c r="O3158" s="166"/>
      <c r="P3158" s="166">
        <f t="shared" ca="1" si="247"/>
        <v>0</v>
      </c>
      <c r="Q3158" s="166"/>
    </row>
    <row r="3159" spans="1:17">
      <c r="A3159" s="166" t="b">
        <f t="shared" ca="1" si="239"/>
        <v>0</v>
      </c>
      <c r="B3159" s="172" t="str">
        <f ca="1">IF(COUNTA(G$2368:G3158)=1,"",OFFSET(B3159,-COUNTA(G$2368:G3158)+1,0))</f>
        <v>a1b3p000006eF5hAAE</v>
      </c>
      <c r="C3159" s="177">
        <f ca="1">IF(COUNTA(G$2368:G3158)=1,"",OFFSET(C3159,-COUNTA(G$2368:G3158)+1,0))</f>
        <v>52</v>
      </c>
      <c r="D3159" s="166">
        <f t="shared" si="244"/>
        <v>309</v>
      </c>
      <c r="E3159" s="166">
        <f t="shared" ca="1" si="245"/>
        <v>3</v>
      </c>
      <c r="F3159" s="166">
        <f t="shared" ca="1" si="246"/>
        <v>60</v>
      </c>
      <c r="G3159" s="166"/>
      <c r="H3159" s="171" t="str">
        <f t="shared" ca="1" si="240"/>
        <v/>
      </c>
      <c r="I3159" s="171" t="str">
        <f t="shared" ca="1" si="241"/>
        <v/>
      </c>
      <c r="J3159" s="171" t="str">
        <f t="shared" ca="1" si="242"/>
        <v/>
      </c>
      <c r="K3159" s="171" t="str">
        <f t="shared" ca="1" si="243"/>
        <v/>
      </c>
      <c r="L3159" s="166"/>
      <c r="M3159" s="166"/>
      <c r="N3159" s="166"/>
      <c r="O3159" s="166"/>
      <c r="P3159" s="166">
        <f t="shared" ca="1" si="247"/>
        <v>0</v>
      </c>
      <c r="Q3159" s="166"/>
    </row>
    <row r="3160" spans="1:17">
      <c r="A3160" s="166" t="b">
        <f t="shared" ca="1" si="239"/>
        <v>0</v>
      </c>
      <c r="B3160" s="172" t="str">
        <f ca="1">IF(COUNTA(G$2368:G3159)=1,"",OFFSET(B3160,-COUNTA(G$2368:G3159)+1,0))</f>
        <v>a1b3p000006eF6zAAE</v>
      </c>
      <c r="C3160" s="177">
        <f ca="1">IF(COUNTA(G$2368:G3159)=1,"",OFFSET(C3160,-COUNTA(G$2368:G3159)+1,0))</f>
        <v>52</v>
      </c>
      <c r="D3160" s="166">
        <f t="shared" si="244"/>
        <v>310</v>
      </c>
      <c r="E3160" s="166">
        <f t="shared" ca="1" si="245"/>
        <v>4</v>
      </c>
      <c r="F3160" s="166">
        <f t="shared" ca="1" si="246"/>
        <v>60</v>
      </c>
      <c r="G3160" s="166"/>
      <c r="H3160" s="171" t="str">
        <f t="shared" ca="1" si="240"/>
        <v/>
      </c>
      <c r="I3160" s="171" t="str">
        <f t="shared" ca="1" si="241"/>
        <v/>
      </c>
      <c r="J3160" s="171" t="str">
        <f t="shared" ca="1" si="242"/>
        <v/>
      </c>
      <c r="K3160" s="171" t="str">
        <f t="shared" ca="1" si="243"/>
        <v/>
      </c>
      <c r="L3160" s="166"/>
      <c r="M3160" s="166"/>
      <c r="N3160" s="166"/>
      <c r="O3160" s="166"/>
      <c r="P3160" s="166">
        <f t="shared" ca="1" si="247"/>
        <v>0</v>
      </c>
      <c r="Q3160" s="166"/>
    </row>
    <row r="3161" spans="1:17">
      <c r="A3161" s="166" t="b">
        <f t="shared" ca="1" si="239"/>
        <v>0</v>
      </c>
      <c r="B3161" s="172" t="str">
        <f ca="1">IF(COUNTA(G$2368:G3160)=1,"",OFFSET(B3161,-COUNTA(G$2368:G3160)+1,0))</f>
        <v>a1b3p000006eF8HAAU</v>
      </c>
      <c r="C3161" s="177">
        <f ca="1">IF(COUNTA(G$2368:G3160)=1,"",OFFSET(C3161,-COUNTA(G$2368:G3160)+1,0))</f>
        <v>52</v>
      </c>
      <c r="D3161" s="166">
        <f t="shared" si="244"/>
        <v>311</v>
      </c>
      <c r="E3161" s="166">
        <f t="shared" ca="1" si="245"/>
        <v>5</v>
      </c>
      <c r="F3161" s="166">
        <f t="shared" ca="1" si="246"/>
        <v>60</v>
      </c>
      <c r="G3161" s="166"/>
      <c r="H3161" s="171" t="str">
        <f t="shared" ca="1" si="240"/>
        <v/>
      </c>
      <c r="I3161" s="171" t="str">
        <f t="shared" ca="1" si="241"/>
        <v/>
      </c>
      <c r="J3161" s="171" t="str">
        <f t="shared" ca="1" si="242"/>
        <v/>
      </c>
      <c r="K3161" s="171" t="str">
        <f t="shared" ca="1" si="243"/>
        <v/>
      </c>
      <c r="L3161" s="166"/>
      <c r="M3161" s="166"/>
      <c r="N3161" s="166"/>
      <c r="O3161" s="166"/>
      <c r="P3161" s="166">
        <f t="shared" ca="1" si="247"/>
        <v>0</v>
      </c>
      <c r="Q3161" s="166"/>
    </row>
    <row r="3162" spans="1:17">
      <c r="A3162" s="166" t="b">
        <f t="shared" ca="1" si="239"/>
        <v>0</v>
      </c>
      <c r="B3162" s="172" t="str">
        <f ca="1">IF(COUNTA(G$2368:G3161)=1,"",OFFSET(B3162,-COUNTA(G$2368:G3161)+1,0))</f>
        <v>a1b3p000006eF9ZAAU</v>
      </c>
      <c r="C3162" s="177">
        <f ca="1">IF(COUNTA(G$2368:G3161)=1,"",OFFSET(C3162,-COUNTA(G$2368:G3161)+1,0))</f>
        <v>52</v>
      </c>
      <c r="D3162" s="166">
        <f t="shared" si="244"/>
        <v>312</v>
      </c>
      <c r="E3162" s="166">
        <f t="shared" ca="1" si="245"/>
        <v>6</v>
      </c>
      <c r="F3162" s="166">
        <f t="shared" ca="1" si="246"/>
        <v>60</v>
      </c>
      <c r="G3162" s="166"/>
      <c r="H3162" s="171" t="str">
        <f t="shared" ca="1" si="240"/>
        <v/>
      </c>
      <c r="I3162" s="171" t="str">
        <f t="shared" ca="1" si="241"/>
        <v/>
      </c>
      <c r="J3162" s="171" t="str">
        <f t="shared" ca="1" si="242"/>
        <v/>
      </c>
      <c r="K3162" s="171" t="str">
        <f t="shared" ca="1" si="243"/>
        <v/>
      </c>
      <c r="L3162" s="166"/>
      <c r="M3162" s="166"/>
      <c r="N3162" s="166"/>
      <c r="O3162" s="166"/>
      <c r="P3162" s="166">
        <f t="shared" ca="1" si="247"/>
        <v>0</v>
      </c>
      <c r="Q3162" s="166"/>
    </row>
    <row r="3163" spans="1:17">
      <c r="A3163" s="166" t="b">
        <f t="shared" ca="1" si="239"/>
        <v>0</v>
      </c>
      <c r="B3163" s="172" t="str">
        <f ca="1">IF(COUNTA(G$2368:G3162)=1,"",OFFSET(B3163,-COUNTA(G$2368:G3162)+1,0))</f>
        <v>a1b3p000006eF38AAE</v>
      </c>
      <c r="C3163" s="177">
        <f ca="1">IF(COUNTA(G$2368:G3162)=1,"",OFFSET(C3163,-COUNTA(G$2368:G3162)+1,0))</f>
        <v>53</v>
      </c>
      <c r="D3163" s="166">
        <f t="shared" si="244"/>
        <v>313</v>
      </c>
      <c r="E3163" s="166">
        <f t="shared" ca="1" si="245"/>
        <v>1</v>
      </c>
      <c r="F3163" s="166">
        <f t="shared" ca="1" si="246"/>
        <v>61</v>
      </c>
      <c r="G3163" s="166"/>
      <c r="H3163" s="171" t="str">
        <f t="shared" ca="1" si="240"/>
        <v/>
      </c>
      <c r="I3163" s="171" t="str">
        <f t="shared" ca="1" si="241"/>
        <v/>
      </c>
      <c r="J3163" s="171" t="str">
        <f t="shared" ca="1" si="242"/>
        <v/>
      </c>
      <c r="K3163" s="171" t="str">
        <f t="shared" ca="1" si="243"/>
        <v/>
      </c>
      <c r="L3163" s="166"/>
      <c r="M3163" s="166"/>
      <c r="N3163" s="166"/>
      <c r="O3163" s="166"/>
      <c r="P3163" s="166">
        <f t="shared" ca="1" si="247"/>
        <v>0</v>
      </c>
      <c r="Q3163" s="166"/>
    </row>
    <row r="3164" spans="1:17">
      <c r="A3164" s="166" t="b">
        <f t="shared" ca="1" si="239"/>
        <v>0</v>
      </c>
      <c r="B3164" s="172" t="str">
        <f ca="1">IF(COUNTA(G$2368:G3163)=1,"",OFFSET(B3164,-COUNTA(G$2368:G3163)+1,0))</f>
        <v>a1b3p000006eF4QAAU</v>
      </c>
      <c r="C3164" s="177">
        <f ca="1">IF(COUNTA(G$2368:G3163)=1,"",OFFSET(C3164,-COUNTA(G$2368:G3163)+1,0))</f>
        <v>53</v>
      </c>
      <c r="D3164" s="166">
        <f t="shared" si="244"/>
        <v>314</v>
      </c>
      <c r="E3164" s="166">
        <f t="shared" ca="1" si="245"/>
        <v>2</v>
      </c>
      <c r="F3164" s="166">
        <f t="shared" ca="1" si="246"/>
        <v>61</v>
      </c>
      <c r="G3164" s="166"/>
      <c r="H3164" s="171" t="str">
        <f t="shared" ca="1" si="240"/>
        <v/>
      </c>
      <c r="I3164" s="171" t="str">
        <f t="shared" ca="1" si="241"/>
        <v/>
      </c>
      <c r="J3164" s="171" t="str">
        <f t="shared" ca="1" si="242"/>
        <v/>
      </c>
      <c r="K3164" s="171" t="str">
        <f t="shared" ca="1" si="243"/>
        <v/>
      </c>
      <c r="L3164" s="166"/>
      <c r="M3164" s="166"/>
      <c r="N3164" s="166"/>
      <c r="O3164" s="166"/>
      <c r="P3164" s="166">
        <f t="shared" ca="1" si="247"/>
        <v>0</v>
      </c>
      <c r="Q3164" s="166"/>
    </row>
    <row r="3165" spans="1:17">
      <c r="A3165" s="166" t="b">
        <f t="shared" ca="1" si="239"/>
        <v>0</v>
      </c>
      <c r="B3165" s="172" t="str">
        <f ca="1">IF(COUNTA(G$2368:G3164)=1,"",OFFSET(B3165,-COUNTA(G$2368:G3164)+1,0))</f>
        <v>a1b3p000006eF5iAAE</v>
      </c>
      <c r="C3165" s="177">
        <f ca="1">IF(COUNTA(G$2368:G3164)=1,"",OFFSET(C3165,-COUNTA(G$2368:G3164)+1,0))</f>
        <v>53</v>
      </c>
      <c r="D3165" s="166">
        <f t="shared" si="244"/>
        <v>315</v>
      </c>
      <c r="E3165" s="166">
        <f t="shared" ca="1" si="245"/>
        <v>3</v>
      </c>
      <c r="F3165" s="166">
        <f t="shared" ca="1" si="246"/>
        <v>61</v>
      </c>
      <c r="G3165" s="166"/>
      <c r="H3165" s="171" t="str">
        <f t="shared" ca="1" si="240"/>
        <v/>
      </c>
      <c r="I3165" s="171" t="str">
        <f t="shared" ca="1" si="241"/>
        <v/>
      </c>
      <c r="J3165" s="171" t="str">
        <f t="shared" ca="1" si="242"/>
        <v/>
      </c>
      <c r="K3165" s="171" t="str">
        <f t="shared" ca="1" si="243"/>
        <v/>
      </c>
      <c r="L3165" s="166"/>
      <c r="M3165" s="166"/>
      <c r="N3165" s="166"/>
      <c r="O3165" s="166"/>
      <c r="P3165" s="166">
        <f t="shared" ca="1" si="247"/>
        <v>0</v>
      </c>
      <c r="Q3165" s="166"/>
    </row>
    <row r="3166" spans="1:17">
      <c r="A3166" s="166" t="b">
        <f t="shared" ca="1" si="239"/>
        <v>0</v>
      </c>
      <c r="B3166" s="172" t="str">
        <f ca="1">IF(COUNTA(G$2368:G3165)=1,"",OFFSET(B3166,-COUNTA(G$2368:G3165)+1,0))</f>
        <v>a1b3p000006eF70AAE</v>
      </c>
      <c r="C3166" s="177">
        <f ca="1">IF(COUNTA(G$2368:G3165)=1,"",OFFSET(C3166,-COUNTA(G$2368:G3165)+1,0))</f>
        <v>53</v>
      </c>
      <c r="D3166" s="166">
        <f t="shared" si="244"/>
        <v>316</v>
      </c>
      <c r="E3166" s="166">
        <f t="shared" ca="1" si="245"/>
        <v>4</v>
      </c>
      <c r="F3166" s="166">
        <f t="shared" ca="1" si="246"/>
        <v>61</v>
      </c>
      <c r="G3166" s="166"/>
      <c r="H3166" s="171" t="str">
        <f t="shared" ca="1" si="240"/>
        <v/>
      </c>
      <c r="I3166" s="171" t="str">
        <f t="shared" ca="1" si="241"/>
        <v/>
      </c>
      <c r="J3166" s="171" t="str">
        <f t="shared" ca="1" si="242"/>
        <v/>
      </c>
      <c r="K3166" s="171" t="str">
        <f t="shared" ca="1" si="243"/>
        <v/>
      </c>
      <c r="L3166" s="166"/>
      <c r="M3166" s="166"/>
      <c r="N3166" s="166"/>
      <c r="O3166" s="166"/>
      <c r="P3166" s="166">
        <f t="shared" ca="1" si="247"/>
        <v>0</v>
      </c>
      <c r="Q3166" s="166"/>
    </row>
    <row r="3167" spans="1:17">
      <c r="A3167" s="166" t="b">
        <f t="shared" ca="1" si="239"/>
        <v>0</v>
      </c>
      <c r="B3167" s="172" t="str">
        <f ca="1">IF(COUNTA(G$2368:G3166)=1,"",OFFSET(B3167,-COUNTA(G$2368:G3166)+1,0))</f>
        <v>a1b3p000006eF8IAAU</v>
      </c>
      <c r="C3167" s="177">
        <f ca="1">IF(COUNTA(G$2368:G3166)=1,"",OFFSET(C3167,-COUNTA(G$2368:G3166)+1,0))</f>
        <v>53</v>
      </c>
      <c r="D3167" s="166">
        <f t="shared" si="244"/>
        <v>317</v>
      </c>
      <c r="E3167" s="166">
        <f t="shared" ca="1" si="245"/>
        <v>5</v>
      </c>
      <c r="F3167" s="166">
        <f t="shared" ca="1" si="246"/>
        <v>61</v>
      </c>
      <c r="G3167" s="166"/>
      <c r="H3167" s="171" t="str">
        <f t="shared" ca="1" si="240"/>
        <v/>
      </c>
      <c r="I3167" s="171" t="str">
        <f t="shared" ca="1" si="241"/>
        <v/>
      </c>
      <c r="J3167" s="171" t="str">
        <f t="shared" ca="1" si="242"/>
        <v/>
      </c>
      <c r="K3167" s="171" t="str">
        <f t="shared" ca="1" si="243"/>
        <v/>
      </c>
      <c r="L3167" s="166"/>
      <c r="M3167" s="166"/>
      <c r="N3167" s="166"/>
      <c r="O3167" s="166"/>
      <c r="P3167" s="166">
        <f t="shared" ca="1" si="247"/>
        <v>0</v>
      </c>
      <c r="Q3167" s="166"/>
    </row>
    <row r="3168" spans="1:17">
      <c r="A3168" s="166" t="b">
        <f t="shared" ca="1" si="239"/>
        <v>0</v>
      </c>
      <c r="B3168" s="172" t="str">
        <f ca="1">IF(COUNTA(G$2368:G3167)=1,"",OFFSET(B3168,-COUNTA(G$2368:G3167)+1,0))</f>
        <v>a1b3p000006eF9aAAE</v>
      </c>
      <c r="C3168" s="177">
        <f ca="1">IF(COUNTA(G$2368:G3167)=1,"",OFFSET(C3168,-COUNTA(G$2368:G3167)+1,0))</f>
        <v>53</v>
      </c>
      <c r="D3168" s="166">
        <f t="shared" si="244"/>
        <v>318</v>
      </c>
      <c r="E3168" s="166">
        <f t="shared" ca="1" si="245"/>
        <v>6</v>
      </c>
      <c r="F3168" s="166">
        <f t="shared" ca="1" si="246"/>
        <v>61</v>
      </c>
      <c r="G3168" s="166"/>
      <c r="H3168" s="171" t="str">
        <f t="shared" ca="1" si="240"/>
        <v/>
      </c>
      <c r="I3168" s="171" t="str">
        <f t="shared" ca="1" si="241"/>
        <v/>
      </c>
      <c r="J3168" s="171" t="str">
        <f t="shared" ca="1" si="242"/>
        <v/>
      </c>
      <c r="K3168" s="171" t="str">
        <f t="shared" ca="1" si="243"/>
        <v/>
      </c>
      <c r="L3168" s="166"/>
      <c r="M3168" s="166"/>
      <c r="N3168" s="166"/>
      <c r="O3168" s="166"/>
      <c r="P3168" s="166">
        <f t="shared" ca="1" si="247"/>
        <v>0</v>
      </c>
      <c r="Q3168" s="166"/>
    </row>
    <row r="3169" spans="1:17">
      <c r="A3169" s="166" t="b">
        <f t="shared" ca="1" si="239"/>
        <v>0</v>
      </c>
      <c r="B3169" s="172" t="str">
        <f ca="1">IF(COUNTA(G$2368:G3168)=1,"",OFFSET(B3169,-COUNTA(G$2368:G3168)+1,0))</f>
        <v>a1b3p000006eF39AAE</v>
      </c>
      <c r="C3169" s="177">
        <f ca="1">IF(COUNTA(G$2368:G3168)=1,"",OFFSET(C3169,-COUNTA(G$2368:G3168)+1,0))</f>
        <v>54</v>
      </c>
      <c r="D3169" s="166">
        <f t="shared" si="244"/>
        <v>319</v>
      </c>
      <c r="E3169" s="166">
        <f t="shared" ca="1" si="245"/>
        <v>1</v>
      </c>
      <c r="F3169" s="166">
        <f t="shared" ca="1" si="246"/>
        <v>62</v>
      </c>
      <c r="G3169" s="166"/>
      <c r="H3169" s="171" t="str">
        <f t="shared" ca="1" si="240"/>
        <v/>
      </c>
      <c r="I3169" s="171" t="str">
        <f t="shared" ca="1" si="241"/>
        <v/>
      </c>
      <c r="J3169" s="171" t="str">
        <f t="shared" ca="1" si="242"/>
        <v/>
      </c>
      <c r="K3169" s="171" t="str">
        <f t="shared" ca="1" si="243"/>
        <v/>
      </c>
      <c r="L3169" s="166"/>
      <c r="M3169" s="166"/>
      <c r="N3169" s="166"/>
      <c r="O3169" s="166"/>
      <c r="P3169" s="166">
        <f t="shared" ca="1" si="247"/>
        <v>0</v>
      </c>
      <c r="Q3169" s="166"/>
    </row>
    <row r="3170" spans="1:17">
      <c r="A3170" s="166" t="b">
        <f t="shared" ca="1" si="239"/>
        <v>0</v>
      </c>
      <c r="B3170" s="172" t="str">
        <f ca="1">IF(COUNTA(G$2368:G3169)=1,"",OFFSET(B3170,-COUNTA(G$2368:G3169)+1,0))</f>
        <v>a1b3p000006eF4RAAU</v>
      </c>
      <c r="C3170" s="177">
        <f ca="1">IF(COUNTA(G$2368:G3169)=1,"",OFFSET(C3170,-COUNTA(G$2368:G3169)+1,0))</f>
        <v>54</v>
      </c>
      <c r="D3170" s="166">
        <f t="shared" si="244"/>
        <v>320</v>
      </c>
      <c r="E3170" s="166">
        <f t="shared" ca="1" si="245"/>
        <v>2</v>
      </c>
      <c r="F3170" s="166">
        <f t="shared" ca="1" si="246"/>
        <v>62</v>
      </c>
      <c r="G3170" s="166"/>
      <c r="H3170" s="171" t="str">
        <f t="shared" ca="1" si="240"/>
        <v/>
      </c>
      <c r="I3170" s="171" t="str">
        <f t="shared" ca="1" si="241"/>
        <v/>
      </c>
      <c r="J3170" s="171" t="str">
        <f t="shared" ca="1" si="242"/>
        <v/>
      </c>
      <c r="K3170" s="171" t="str">
        <f t="shared" ca="1" si="243"/>
        <v/>
      </c>
      <c r="L3170" s="166"/>
      <c r="M3170" s="166"/>
      <c r="N3170" s="166"/>
      <c r="O3170" s="166"/>
      <c r="P3170" s="166">
        <f t="shared" ca="1" si="247"/>
        <v>0</v>
      </c>
      <c r="Q3170" s="166"/>
    </row>
    <row r="3171" spans="1:17">
      <c r="A3171" s="166" t="b">
        <f t="shared" ref="A3171:A3234" ca="1" si="248">IF(OR(AND(J3171&lt;&gt;"",J3171&lt;&gt;0),AND(K3171&lt;&gt;"",K3171&lt;&gt;0)),TRUE,FALSE)</f>
        <v>0</v>
      </c>
      <c r="B3171" s="172" t="str">
        <f ca="1">IF(COUNTA(G$2368:G3170)=1,"",OFFSET(B3171,-COUNTA(G$2368:G3170)+1,0))</f>
        <v>a1b3p000006eF5jAAE</v>
      </c>
      <c r="C3171" s="177">
        <f ca="1">IF(COUNTA(G$2368:G3170)=1,"",OFFSET(C3171,-COUNTA(G$2368:G3170)+1,0))</f>
        <v>54</v>
      </c>
      <c r="D3171" s="166">
        <f t="shared" si="244"/>
        <v>321</v>
      </c>
      <c r="E3171" s="166">
        <f t="shared" ca="1" si="245"/>
        <v>3</v>
      </c>
      <c r="F3171" s="166">
        <f t="shared" ca="1" si="246"/>
        <v>62</v>
      </c>
      <c r="G3171" s="166"/>
      <c r="H3171" s="171" t="str">
        <f t="shared" ref="H3171:H3234" ca="1" si="249">CHOOSE(E3171,IFERROR(IF(INDIRECT("'WPTM - Section F'!K"&amp;F3171)=0,"",INDIRECT("'WPTM - Section F'!K"&amp;$F3171)),""),IFERROR(IF(INDIRECT("'WPTM - Section F'!O"&amp;F3171)=0,"",INDIRECT("'WPTM - Section F'!O"&amp;$F3171)),""),IFERROR(IF(INDIRECT("'WPTM - Section F'!S"&amp;F3171)=0,"",INDIRECT("'WPTM - Section F'!S"&amp;$F3171)),""),IFERROR(IF(INDIRECT("'WPTM - Section F'!W"&amp;F3171)=0,"",INDIRECT("'WPTM - Section F'!W"&amp;$F3171)),""),IFERROR(IF(INDIRECT("'WPTM - Section F'!AA"&amp;F3171)=0,"",INDIRECT("'WPTM - Section F'!AA"&amp;$F3171)),""),IFERROR(IF(INDIRECT("'WPTM - Section F'!AE"&amp;F3171)=0,"",INDIRECT("'WPTM - Section F'!AE"&amp;$F3171)),""),IFERROR(IF(INDIRECT("'WPTM - Section F'!AI"&amp;F3171)=0,"",INDIRECT("'WPTM - Section F'!AI"&amp;$F3171)),""),IFERROR(IF(INDIRECT("'WPTM - Section F'!AM"&amp;F3171)=0,"",INDIRECT("'WPTM - Section F'!AM"&amp;$F3171)),""),)</f>
        <v/>
      </c>
      <c r="I3171" s="171" t="str">
        <f t="shared" ref="I3171:I3234" ca="1" si="250">CHOOSE(E3171,IFERROR(IF(INDIRECT("'WPTM - Section F'!J"&amp;F3171)=0,"",INDIRECT("'WPTM - Section F'!J"&amp;$F3171)),""),IFERROR(IF(INDIRECT("'WPTM - Section F'!N"&amp;F3171)=0,"",INDIRECT("'WPTM - Section F'!N"&amp;$F3171)),""),IFERROR(IF(INDIRECT("'WPTM - Section F'!R"&amp;F3171)=0,"",INDIRECT("'WPTM - Section F'!R"&amp;$F3171)),""),IFERROR(IF(INDIRECT("'WPTM - Section F'!V"&amp;F3171)=0,"",INDIRECT("'WPTM - Section F'!V"&amp;$F3171)),""),IFERROR(IF(INDIRECT("'WPTM - Section F'!Z"&amp;F3171)=0,"",INDIRECT("'WPTM - Section F'!Z"&amp;$F3171)),""),IFERROR(IF(INDIRECT("'WPTM - Section F'!AD"&amp;F3171)=0,"",INDIRECT("'WPTM - Section F'!AD"&amp;$F3171)),""),IFERROR(IF(INDIRECT("'WPTM - Section F'!AH"&amp;F3171)=0,"",INDIRECT("'WPTM - Section F'!AH"&amp;$F3171)),""),IFERROR(IF(INDIRECT("'WPTM - Section F'!AL"&amp;F3171)=0,"",INDIRECT("'WPTM - Section F'!AL"&amp;$F3171)),""),)</f>
        <v/>
      </c>
      <c r="J3171" s="171" t="str">
        <f t="shared" ref="J3171:J3234" ca="1" si="251">CHOOSE(E3171,IFERROR(IF(INDIRECT("'WPTM - Section F'!H"&amp;F3171)=0,"",INDIRECT("'WPTM - Section F'!H"&amp;$F3171)),""),IFERROR(IF(INDIRECT("'WPTM - Section F'!L"&amp;F3171)=0,"",INDIRECT("'WPTM - Section F'!L"&amp;$F3171)),""),IFERROR(IF(INDIRECT("'WPTM - Section F'!P"&amp;F3171)=0,"",INDIRECT("'WPTM - Section F'!P"&amp;$F3171)),""),IFERROR(IF(INDIRECT("'WPTM - Section F'!T"&amp;F3171)=0,"",INDIRECT("'WPTM - Section F'!T"&amp;$F3171)),""),IFERROR(IF(INDIRECT("'WPTM - Section F'!X"&amp;F3171)=0,"",INDIRECT("'WPTM - Section F'!X"&amp;$F3171)),""),IFERROR(IF(INDIRECT("'WPTM - Section F'!AB"&amp;F3171)=0,"",INDIRECT("'WPTM - Section F'!AB"&amp;$F3171)),""),IFERROR(IF(INDIRECT("'WPTM - Section F'!AF"&amp;F3171)=0,"",INDIRECT("'WPTM - Section F'!AF"&amp;$F3171)),""),IFERROR(IF(INDIRECT("'WPTM - Section F'!AJ"&amp;F3171)=0,"",INDIRECT("'WPTM - Section F'!AJ"&amp;$F3171)),""),)</f>
        <v/>
      </c>
      <c r="K3171" s="171" t="str">
        <f t="shared" ref="K3171:K3234" ca="1" si="252">CHOOSE(E3171,IFERROR(IF(INDIRECT("'WPTM - Section F'!I"&amp;F3171)=0,"",INDIRECT("'WPTM - Section F'!I"&amp;$F3171)),""),IFERROR(IF(INDIRECT("'WPTM - Section F'!M"&amp;F3171)=0,"",INDIRECT("'WPTM - Section F'!M"&amp;$F3171)),""),IFERROR(IF(INDIRECT("'WPTM - Section F'!Q"&amp;F3171)=0,"",INDIRECT("'WPTM - Section F'!Q"&amp;$F3171)),""),IFERROR(IF(INDIRECT("'WPTM - Section F'!U"&amp;F3171)=0,"",INDIRECT("'WPTM - Section F'!U"&amp;$F3171)),""),IFERROR(IF(INDIRECT("'WPTM - Section F'!Y"&amp;F3171)=0,"",INDIRECT("'WPTM - Section F'!Y"&amp;$F3171)),""),IFERROR(IF(INDIRECT("'WPTM - Section F'!AC"&amp;F3171)=0,"",INDIRECT("'WPTM - Section F'!AC"&amp;$F3171)),""),IFERROR(IF(INDIRECT("'WPTM - Section F'!AG"&amp;F3171)=0,"",INDIRECT("'WPTM - Section F'!AG"&amp;$F3171)),""),IFERROR(IF(INDIRECT("'WPTM - Section F'!AK"&amp;F3171)=0,"",INDIRECT("'WPTM - Section F'!AK"&amp;$F3171)),""),)</f>
        <v/>
      </c>
      <c r="L3171" s="166"/>
      <c r="M3171" s="166"/>
      <c r="N3171" s="166"/>
      <c r="O3171" s="166"/>
      <c r="P3171" s="166">
        <f t="shared" ca="1" si="247"/>
        <v>0</v>
      </c>
      <c r="Q3171" s="166"/>
    </row>
    <row r="3172" spans="1:17">
      <c r="A3172" s="166" t="b">
        <f t="shared" ca="1" si="248"/>
        <v>0</v>
      </c>
      <c r="B3172" s="172" t="str">
        <f ca="1">IF(COUNTA(G$2368:G3171)=1,"",OFFSET(B3172,-COUNTA(G$2368:G3171)+1,0))</f>
        <v>a1b3p000006eF71AAE</v>
      </c>
      <c r="C3172" s="177">
        <f ca="1">IF(COUNTA(G$2368:G3171)=1,"",OFFSET(C3172,-COUNTA(G$2368:G3171)+1,0))</f>
        <v>54</v>
      </c>
      <c r="D3172" s="166">
        <f t="shared" si="244"/>
        <v>322</v>
      </c>
      <c r="E3172" s="166">
        <f t="shared" ca="1" si="245"/>
        <v>4</v>
      </c>
      <c r="F3172" s="166">
        <f t="shared" ca="1" si="246"/>
        <v>62</v>
      </c>
      <c r="G3172" s="166"/>
      <c r="H3172" s="171" t="str">
        <f t="shared" ca="1" si="249"/>
        <v/>
      </c>
      <c r="I3172" s="171" t="str">
        <f t="shared" ca="1" si="250"/>
        <v/>
      </c>
      <c r="J3172" s="171" t="str">
        <f t="shared" ca="1" si="251"/>
        <v/>
      </c>
      <c r="K3172" s="171" t="str">
        <f t="shared" ca="1" si="252"/>
        <v/>
      </c>
      <c r="L3172" s="166"/>
      <c r="M3172" s="166"/>
      <c r="N3172" s="166"/>
      <c r="O3172" s="166"/>
      <c r="P3172" s="166">
        <f t="shared" ca="1" si="247"/>
        <v>0</v>
      </c>
      <c r="Q3172" s="166"/>
    </row>
    <row r="3173" spans="1:17">
      <c r="A3173" s="166" t="b">
        <f t="shared" ca="1" si="248"/>
        <v>0</v>
      </c>
      <c r="B3173" s="172" t="str">
        <f ca="1">IF(COUNTA(G$2368:G3172)=1,"",OFFSET(B3173,-COUNTA(G$2368:G3172)+1,0))</f>
        <v>a1b3p000006eF8JAAU</v>
      </c>
      <c r="C3173" s="177">
        <f ca="1">IF(COUNTA(G$2368:G3172)=1,"",OFFSET(C3173,-COUNTA(G$2368:G3172)+1,0))</f>
        <v>54</v>
      </c>
      <c r="D3173" s="166">
        <f t="shared" si="244"/>
        <v>323</v>
      </c>
      <c r="E3173" s="166">
        <f t="shared" ca="1" si="245"/>
        <v>5</v>
      </c>
      <c r="F3173" s="166">
        <f t="shared" ca="1" si="246"/>
        <v>62</v>
      </c>
      <c r="G3173" s="166"/>
      <c r="H3173" s="171" t="str">
        <f t="shared" ca="1" si="249"/>
        <v/>
      </c>
      <c r="I3173" s="171" t="str">
        <f t="shared" ca="1" si="250"/>
        <v/>
      </c>
      <c r="J3173" s="171" t="str">
        <f t="shared" ca="1" si="251"/>
        <v/>
      </c>
      <c r="K3173" s="171" t="str">
        <f t="shared" ca="1" si="252"/>
        <v/>
      </c>
      <c r="L3173" s="166"/>
      <c r="M3173" s="166"/>
      <c r="N3173" s="166"/>
      <c r="O3173" s="166"/>
      <c r="P3173" s="166">
        <f t="shared" ca="1" si="247"/>
        <v>0</v>
      </c>
      <c r="Q3173" s="166"/>
    </row>
    <row r="3174" spans="1:17">
      <c r="A3174" s="166" t="b">
        <f t="shared" ca="1" si="248"/>
        <v>0</v>
      </c>
      <c r="B3174" s="172" t="str">
        <f ca="1">IF(COUNTA(G$2368:G3173)=1,"",OFFSET(B3174,-COUNTA(G$2368:G3173)+1,0))</f>
        <v>a1b3p000006eF9bAAE</v>
      </c>
      <c r="C3174" s="177">
        <f ca="1">IF(COUNTA(G$2368:G3173)=1,"",OFFSET(C3174,-COUNTA(G$2368:G3173)+1,0))</f>
        <v>54</v>
      </c>
      <c r="D3174" s="166">
        <f t="shared" si="244"/>
        <v>324</v>
      </c>
      <c r="E3174" s="166">
        <f t="shared" ca="1" si="245"/>
        <v>6</v>
      </c>
      <c r="F3174" s="166">
        <f t="shared" ca="1" si="246"/>
        <v>62</v>
      </c>
      <c r="G3174" s="166"/>
      <c r="H3174" s="171" t="str">
        <f t="shared" ca="1" si="249"/>
        <v/>
      </c>
      <c r="I3174" s="171" t="str">
        <f t="shared" ca="1" si="250"/>
        <v/>
      </c>
      <c r="J3174" s="171" t="str">
        <f t="shared" ca="1" si="251"/>
        <v/>
      </c>
      <c r="K3174" s="171" t="str">
        <f t="shared" ca="1" si="252"/>
        <v/>
      </c>
      <c r="L3174" s="166"/>
      <c r="M3174" s="166"/>
      <c r="N3174" s="166"/>
      <c r="O3174" s="166"/>
      <c r="P3174" s="166">
        <f t="shared" ca="1" si="247"/>
        <v>0</v>
      </c>
      <c r="Q3174" s="166"/>
    </row>
    <row r="3175" spans="1:17">
      <c r="A3175" s="166" t="b">
        <f t="shared" ca="1" si="248"/>
        <v>0</v>
      </c>
      <c r="B3175" s="172" t="str">
        <f ca="1">IF(COUNTA(G$2368:G3174)=1,"",OFFSET(B3175,-COUNTA(G$2368:G3174)+1,0))</f>
        <v>a1b3p000006eF3AAAU</v>
      </c>
      <c r="C3175" s="177">
        <f ca="1">IF(COUNTA(G$2368:G3174)=1,"",OFFSET(C3175,-COUNTA(G$2368:G3174)+1,0))</f>
        <v>55</v>
      </c>
      <c r="D3175" s="166">
        <f t="shared" si="244"/>
        <v>325</v>
      </c>
      <c r="E3175" s="166">
        <f t="shared" ca="1" si="245"/>
        <v>1</v>
      </c>
      <c r="F3175" s="166">
        <f t="shared" ca="1" si="246"/>
        <v>63</v>
      </c>
      <c r="G3175" s="166"/>
      <c r="H3175" s="171" t="str">
        <f t="shared" ca="1" si="249"/>
        <v/>
      </c>
      <c r="I3175" s="171" t="str">
        <f t="shared" ca="1" si="250"/>
        <v/>
      </c>
      <c r="J3175" s="171" t="str">
        <f t="shared" ca="1" si="251"/>
        <v/>
      </c>
      <c r="K3175" s="171" t="str">
        <f t="shared" ca="1" si="252"/>
        <v/>
      </c>
      <c r="L3175" s="166"/>
      <c r="M3175" s="166"/>
      <c r="N3175" s="166"/>
      <c r="O3175" s="166"/>
      <c r="P3175" s="166">
        <f t="shared" ca="1" si="247"/>
        <v>0</v>
      </c>
      <c r="Q3175" s="166"/>
    </row>
    <row r="3176" spans="1:17">
      <c r="A3176" s="166" t="b">
        <f t="shared" ca="1" si="248"/>
        <v>0</v>
      </c>
      <c r="B3176" s="172" t="str">
        <f ca="1">IF(COUNTA(G$2368:G3175)=1,"",OFFSET(B3176,-COUNTA(G$2368:G3175)+1,0))</f>
        <v>a1b3p000006eF4SAAU</v>
      </c>
      <c r="C3176" s="177">
        <f ca="1">IF(COUNTA(G$2368:G3175)=1,"",OFFSET(C3176,-COUNTA(G$2368:G3175)+1,0))</f>
        <v>55</v>
      </c>
      <c r="D3176" s="166">
        <f t="shared" si="244"/>
        <v>326</v>
      </c>
      <c r="E3176" s="166">
        <f t="shared" ca="1" si="245"/>
        <v>2</v>
      </c>
      <c r="F3176" s="166">
        <f t="shared" ca="1" si="246"/>
        <v>63</v>
      </c>
      <c r="G3176" s="166"/>
      <c r="H3176" s="171" t="str">
        <f t="shared" ca="1" si="249"/>
        <v/>
      </c>
      <c r="I3176" s="171" t="str">
        <f t="shared" ca="1" si="250"/>
        <v/>
      </c>
      <c r="J3176" s="171" t="str">
        <f t="shared" ca="1" si="251"/>
        <v/>
      </c>
      <c r="K3176" s="171" t="str">
        <f t="shared" ca="1" si="252"/>
        <v/>
      </c>
      <c r="L3176" s="166"/>
      <c r="M3176" s="166"/>
      <c r="N3176" s="166"/>
      <c r="O3176" s="166"/>
      <c r="P3176" s="166">
        <f t="shared" ca="1" si="247"/>
        <v>0</v>
      </c>
      <c r="Q3176" s="166"/>
    </row>
    <row r="3177" spans="1:17">
      <c r="A3177" s="166" t="b">
        <f t="shared" ca="1" si="248"/>
        <v>0</v>
      </c>
      <c r="B3177" s="172" t="str">
        <f ca="1">IF(COUNTA(G$2368:G3176)=1,"",OFFSET(B3177,-COUNTA(G$2368:G3176)+1,0))</f>
        <v>a1b3p000006eF5kAAE</v>
      </c>
      <c r="C3177" s="177">
        <f ca="1">IF(COUNTA(G$2368:G3176)=1,"",OFFSET(C3177,-COUNTA(G$2368:G3176)+1,0))</f>
        <v>55</v>
      </c>
      <c r="D3177" s="166">
        <f t="shared" si="244"/>
        <v>327</v>
      </c>
      <c r="E3177" s="166">
        <f t="shared" ca="1" si="245"/>
        <v>3</v>
      </c>
      <c r="F3177" s="166">
        <f t="shared" ca="1" si="246"/>
        <v>63</v>
      </c>
      <c r="G3177" s="166"/>
      <c r="H3177" s="171" t="str">
        <f t="shared" ca="1" si="249"/>
        <v/>
      </c>
      <c r="I3177" s="171" t="str">
        <f t="shared" ca="1" si="250"/>
        <v/>
      </c>
      <c r="J3177" s="171" t="str">
        <f t="shared" ca="1" si="251"/>
        <v/>
      </c>
      <c r="K3177" s="171" t="str">
        <f t="shared" ca="1" si="252"/>
        <v/>
      </c>
      <c r="L3177" s="166"/>
      <c r="M3177" s="166"/>
      <c r="N3177" s="166"/>
      <c r="O3177" s="166"/>
      <c r="P3177" s="166">
        <f t="shared" ca="1" si="247"/>
        <v>0</v>
      </c>
      <c r="Q3177" s="166"/>
    </row>
    <row r="3178" spans="1:17">
      <c r="A3178" s="166" t="b">
        <f t="shared" ca="1" si="248"/>
        <v>0</v>
      </c>
      <c r="B3178" s="172" t="str">
        <f ca="1">IF(COUNTA(G$2368:G3177)=1,"",OFFSET(B3178,-COUNTA(G$2368:G3177)+1,0))</f>
        <v>a1b3p000006eF72AAE</v>
      </c>
      <c r="C3178" s="177">
        <f ca="1">IF(COUNTA(G$2368:G3177)=1,"",OFFSET(C3178,-COUNTA(G$2368:G3177)+1,0))</f>
        <v>55</v>
      </c>
      <c r="D3178" s="166">
        <f t="shared" si="244"/>
        <v>328</v>
      </c>
      <c r="E3178" s="166">
        <f t="shared" ca="1" si="245"/>
        <v>4</v>
      </c>
      <c r="F3178" s="166">
        <f t="shared" ca="1" si="246"/>
        <v>63</v>
      </c>
      <c r="G3178" s="166"/>
      <c r="H3178" s="171" t="str">
        <f t="shared" ca="1" si="249"/>
        <v/>
      </c>
      <c r="I3178" s="171" t="str">
        <f t="shared" ca="1" si="250"/>
        <v/>
      </c>
      <c r="J3178" s="171" t="str">
        <f t="shared" ca="1" si="251"/>
        <v/>
      </c>
      <c r="K3178" s="171" t="str">
        <f t="shared" ca="1" si="252"/>
        <v/>
      </c>
      <c r="L3178" s="166"/>
      <c r="M3178" s="166"/>
      <c r="N3178" s="166"/>
      <c r="O3178" s="166"/>
      <c r="P3178" s="166">
        <f t="shared" ca="1" si="247"/>
        <v>0</v>
      </c>
      <c r="Q3178" s="166"/>
    </row>
    <row r="3179" spans="1:17">
      <c r="A3179" s="166" t="b">
        <f t="shared" ca="1" si="248"/>
        <v>0</v>
      </c>
      <c r="B3179" s="172" t="str">
        <f ca="1">IF(COUNTA(G$2368:G3178)=1,"",OFFSET(B3179,-COUNTA(G$2368:G3178)+1,0))</f>
        <v>a1b3p000006eF8KAAU</v>
      </c>
      <c r="C3179" s="177">
        <f ca="1">IF(COUNTA(G$2368:G3178)=1,"",OFFSET(C3179,-COUNTA(G$2368:G3178)+1,0))</f>
        <v>55</v>
      </c>
      <c r="D3179" s="166">
        <f t="shared" si="244"/>
        <v>329</v>
      </c>
      <c r="E3179" s="166">
        <f t="shared" ca="1" si="245"/>
        <v>5</v>
      </c>
      <c r="F3179" s="166">
        <f t="shared" ca="1" si="246"/>
        <v>63</v>
      </c>
      <c r="G3179" s="166"/>
      <c r="H3179" s="171" t="str">
        <f t="shared" ca="1" si="249"/>
        <v/>
      </c>
      <c r="I3179" s="171" t="str">
        <f t="shared" ca="1" si="250"/>
        <v/>
      </c>
      <c r="J3179" s="171" t="str">
        <f t="shared" ca="1" si="251"/>
        <v/>
      </c>
      <c r="K3179" s="171" t="str">
        <f t="shared" ca="1" si="252"/>
        <v/>
      </c>
      <c r="L3179" s="166"/>
      <c r="M3179" s="166"/>
      <c r="N3179" s="166"/>
      <c r="O3179" s="166"/>
      <c r="P3179" s="166">
        <f t="shared" ca="1" si="247"/>
        <v>0</v>
      </c>
      <c r="Q3179" s="166"/>
    </row>
    <row r="3180" spans="1:17">
      <c r="A3180" s="166" t="b">
        <f t="shared" ca="1" si="248"/>
        <v>0</v>
      </c>
      <c r="B3180" s="172" t="str">
        <f ca="1">IF(COUNTA(G$2368:G3179)=1,"",OFFSET(B3180,-COUNTA(G$2368:G3179)+1,0))</f>
        <v>a1b3p000006eF9cAAE</v>
      </c>
      <c r="C3180" s="177">
        <f ca="1">IF(COUNTA(G$2368:G3179)=1,"",OFFSET(C3180,-COUNTA(G$2368:G3179)+1,0))</f>
        <v>55</v>
      </c>
      <c r="D3180" s="166">
        <f t="shared" si="244"/>
        <v>330</v>
      </c>
      <c r="E3180" s="166">
        <f t="shared" ca="1" si="245"/>
        <v>6</v>
      </c>
      <c r="F3180" s="166">
        <f t="shared" ca="1" si="246"/>
        <v>63</v>
      </c>
      <c r="G3180" s="166"/>
      <c r="H3180" s="171" t="str">
        <f t="shared" ca="1" si="249"/>
        <v/>
      </c>
      <c r="I3180" s="171" t="str">
        <f t="shared" ca="1" si="250"/>
        <v/>
      </c>
      <c r="J3180" s="171" t="str">
        <f t="shared" ca="1" si="251"/>
        <v/>
      </c>
      <c r="K3180" s="171" t="str">
        <f t="shared" ca="1" si="252"/>
        <v/>
      </c>
      <c r="L3180" s="166"/>
      <c r="M3180" s="166"/>
      <c r="N3180" s="166"/>
      <c r="O3180" s="166"/>
      <c r="P3180" s="166">
        <f t="shared" ca="1" si="247"/>
        <v>0</v>
      </c>
      <c r="Q3180" s="166"/>
    </row>
    <row r="3181" spans="1:17">
      <c r="A3181" s="166" t="b">
        <f t="shared" ca="1" si="248"/>
        <v>0</v>
      </c>
      <c r="B3181" s="172" t="str">
        <f ca="1">IF(COUNTA(G$2368:G3180)=1,"",OFFSET(B3181,-COUNTA(G$2368:G3180)+1,0))</f>
        <v>a1b3p000006eF3BAAU</v>
      </c>
      <c r="C3181" s="177">
        <f ca="1">IF(COUNTA(G$2368:G3180)=1,"",OFFSET(C3181,-COUNTA(G$2368:G3180)+1,0))</f>
        <v>56</v>
      </c>
      <c r="D3181" s="166">
        <f t="shared" si="244"/>
        <v>331</v>
      </c>
      <c r="E3181" s="166">
        <f t="shared" ca="1" si="245"/>
        <v>1</v>
      </c>
      <c r="F3181" s="166">
        <f t="shared" ca="1" si="246"/>
        <v>64</v>
      </c>
      <c r="G3181" s="166"/>
      <c r="H3181" s="171" t="str">
        <f t="shared" ca="1" si="249"/>
        <v/>
      </c>
      <c r="I3181" s="171" t="str">
        <f t="shared" ca="1" si="250"/>
        <v/>
      </c>
      <c r="J3181" s="171" t="str">
        <f t="shared" ca="1" si="251"/>
        <v/>
      </c>
      <c r="K3181" s="171" t="str">
        <f t="shared" ca="1" si="252"/>
        <v/>
      </c>
      <c r="L3181" s="166"/>
      <c r="M3181" s="166"/>
      <c r="N3181" s="166"/>
      <c r="O3181" s="166"/>
      <c r="P3181" s="166">
        <f t="shared" ca="1" si="247"/>
        <v>0</v>
      </c>
      <c r="Q3181" s="166"/>
    </row>
    <row r="3182" spans="1:17">
      <c r="A3182" s="166" t="b">
        <f t="shared" ca="1" si="248"/>
        <v>0</v>
      </c>
      <c r="B3182" s="172" t="str">
        <f ca="1">IF(COUNTA(G$2368:G3181)=1,"",OFFSET(B3182,-COUNTA(G$2368:G3181)+1,0))</f>
        <v>a1b3p000006eF4TAAU</v>
      </c>
      <c r="C3182" s="177">
        <f ca="1">IF(COUNTA(G$2368:G3181)=1,"",OFFSET(C3182,-COUNTA(G$2368:G3181)+1,0))</f>
        <v>56</v>
      </c>
      <c r="D3182" s="166">
        <f t="shared" si="244"/>
        <v>332</v>
      </c>
      <c r="E3182" s="166">
        <f t="shared" ca="1" si="245"/>
        <v>2</v>
      </c>
      <c r="F3182" s="166">
        <f t="shared" ca="1" si="246"/>
        <v>64</v>
      </c>
      <c r="G3182" s="166"/>
      <c r="H3182" s="171" t="str">
        <f t="shared" ca="1" si="249"/>
        <v/>
      </c>
      <c r="I3182" s="171" t="str">
        <f t="shared" ca="1" si="250"/>
        <v/>
      </c>
      <c r="J3182" s="171" t="str">
        <f t="shared" ca="1" si="251"/>
        <v/>
      </c>
      <c r="K3182" s="171" t="str">
        <f t="shared" ca="1" si="252"/>
        <v/>
      </c>
      <c r="L3182" s="166"/>
      <c r="M3182" s="166"/>
      <c r="N3182" s="166"/>
      <c r="O3182" s="166"/>
      <c r="P3182" s="166">
        <f t="shared" ca="1" si="247"/>
        <v>0</v>
      </c>
      <c r="Q3182" s="166"/>
    </row>
    <row r="3183" spans="1:17">
      <c r="A3183" s="166" t="b">
        <f t="shared" ca="1" si="248"/>
        <v>0</v>
      </c>
      <c r="B3183" s="172" t="str">
        <f ca="1">IF(COUNTA(G$2368:G3182)=1,"",OFFSET(B3183,-COUNTA(G$2368:G3182)+1,0))</f>
        <v>a1b3p000006eF5lAAE</v>
      </c>
      <c r="C3183" s="177">
        <f ca="1">IF(COUNTA(G$2368:G3182)=1,"",OFFSET(C3183,-COUNTA(G$2368:G3182)+1,0))</f>
        <v>56</v>
      </c>
      <c r="D3183" s="166">
        <f t="shared" si="244"/>
        <v>333</v>
      </c>
      <c r="E3183" s="166">
        <f t="shared" ca="1" si="245"/>
        <v>3</v>
      </c>
      <c r="F3183" s="166">
        <f t="shared" ca="1" si="246"/>
        <v>64</v>
      </c>
      <c r="G3183" s="166"/>
      <c r="H3183" s="171" t="str">
        <f t="shared" ca="1" si="249"/>
        <v/>
      </c>
      <c r="I3183" s="171" t="str">
        <f t="shared" ca="1" si="250"/>
        <v/>
      </c>
      <c r="J3183" s="171" t="str">
        <f t="shared" ca="1" si="251"/>
        <v/>
      </c>
      <c r="K3183" s="171" t="str">
        <f t="shared" ca="1" si="252"/>
        <v/>
      </c>
      <c r="L3183" s="166"/>
      <c r="M3183" s="166"/>
      <c r="N3183" s="166"/>
      <c r="O3183" s="166"/>
      <c r="P3183" s="166">
        <f t="shared" ca="1" si="247"/>
        <v>0</v>
      </c>
      <c r="Q3183" s="166"/>
    </row>
    <row r="3184" spans="1:17">
      <c r="A3184" s="166" t="b">
        <f t="shared" ca="1" si="248"/>
        <v>0</v>
      </c>
      <c r="B3184" s="172" t="str">
        <f ca="1">IF(COUNTA(G$2368:G3183)=1,"",OFFSET(B3184,-COUNTA(G$2368:G3183)+1,0))</f>
        <v>a1b3p000006eF73AAE</v>
      </c>
      <c r="C3184" s="177">
        <f ca="1">IF(COUNTA(G$2368:G3183)=1,"",OFFSET(C3184,-COUNTA(G$2368:G3183)+1,0))</f>
        <v>56</v>
      </c>
      <c r="D3184" s="166">
        <f t="shared" si="244"/>
        <v>334</v>
      </c>
      <c r="E3184" s="166">
        <f t="shared" ca="1" si="245"/>
        <v>4</v>
      </c>
      <c r="F3184" s="166">
        <f t="shared" ca="1" si="246"/>
        <v>64</v>
      </c>
      <c r="G3184" s="166"/>
      <c r="H3184" s="171" t="str">
        <f t="shared" ca="1" si="249"/>
        <v/>
      </c>
      <c r="I3184" s="171" t="str">
        <f t="shared" ca="1" si="250"/>
        <v/>
      </c>
      <c r="J3184" s="171" t="str">
        <f t="shared" ca="1" si="251"/>
        <v/>
      </c>
      <c r="K3184" s="171" t="str">
        <f t="shared" ca="1" si="252"/>
        <v/>
      </c>
      <c r="L3184" s="166"/>
      <c r="M3184" s="166"/>
      <c r="N3184" s="166"/>
      <c r="O3184" s="166"/>
      <c r="P3184" s="166">
        <f t="shared" ca="1" si="247"/>
        <v>0</v>
      </c>
      <c r="Q3184" s="166"/>
    </row>
    <row r="3185" spans="1:17">
      <c r="A3185" s="166" t="b">
        <f t="shared" ca="1" si="248"/>
        <v>0</v>
      </c>
      <c r="B3185" s="172" t="str">
        <f ca="1">IF(COUNTA(G$2368:G3184)=1,"",OFFSET(B3185,-COUNTA(G$2368:G3184)+1,0))</f>
        <v>a1b3p000006eF8LAAU</v>
      </c>
      <c r="C3185" s="177">
        <f ca="1">IF(COUNTA(G$2368:G3184)=1,"",OFFSET(C3185,-COUNTA(G$2368:G3184)+1,0))</f>
        <v>56</v>
      </c>
      <c r="D3185" s="166">
        <f t="shared" si="244"/>
        <v>335</v>
      </c>
      <c r="E3185" s="166">
        <f t="shared" ca="1" si="245"/>
        <v>5</v>
      </c>
      <c r="F3185" s="166">
        <f t="shared" ca="1" si="246"/>
        <v>64</v>
      </c>
      <c r="G3185" s="166"/>
      <c r="H3185" s="171" t="str">
        <f t="shared" ca="1" si="249"/>
        <v/>
      </c>
      <c r="I3185" s="171" t="str">
        <f t="shared" ca="1" si="250"/>
        <v/>
      </c>
      <c r="J3185" s="171" t="str">
        <f t="shared" ca="1" si="251"/>
        <v/>
      </c>
      <c r="K3185" s="171" t="str">
        <f t="shared" ca="1" si="252"/>
        <v/>
      </c>
      <c r="L3185" s="166"/>
      <c r="M3185" s="166"/>
      <c r="N3185" s="166"/>
      <c r="O3185" s="166"/>
      <c r="P3185" s="166">
        <f t="shared" ca="1" si="247"/>
        <v>0</v>
      </c>
      <c r="Q3185" s="166"/>
    </row>
    <row r="3186" spans="1:17">
      <c r="A3186" s="166" t="b">
        <f t="shared" ca="1" si="248"/>
        <v>0</v>
      </c>
      <c r="B3186" s="172" t="str">
        <f ca="1">IF(COUNTA(G$2368:G3185)=1,"",OFFSET(B3186,-COUNTA(G$2368:G3185)+1,0))</f>
        <v>a1b3p000006eF9dAAE</v>
      </c>
      <c r="C3186" s="177">
        <f ca="1">IF(COUNTA(G$2368:G3185)=1,"",OFFSET(C3186,-COUNTA(G$2368:G3185)+1,0))</f>
        <v>56</v>
      </c>
      <c r="D3186" s="166">
        <f t="shared" si="244"/>
        <v>336</v>
      </c>
      <c r="E3186" s="166">
        <f t="shared" ca="1" si="245"/>
        <v>6</v>
      </c>
      <c r="F3186" s="166">
        <f t="shared" ca="1" si="246"/>
        <v>64</v>
      </c>
      <c r="G3186" s="166"/>
      <c r="H3186" s="171" t="str">
        <f t="shared" ca="1" si="249"/>
        <v/>
      </c>
      <c r="I3186" s="171" t="str">
        <f t="shared" ca="1" si="250"/>
        <v/>
      </c>
      <c r="J3186" s="171" t="str">
        <f t="shared" ca="1" si="251"/>
        <v/>
      </c>
      <c r="K3186" s="171" t="str">
        <f t="shared" ca="1" si="252"/>
        <v/>
      </c>
      <c r="L3186" s="166"/>
      <c r="M3186" s="166"/>
      <c r="N3186" s="166"/>
      <c r="O3186" s="166"/>
      <c r="P3186" s="166">
        <f t="shared" ca="1" si="247"/>
        <v>0</v>
      </c>
      <c r="Q3186" s="166"/>
    </row>
    <row r="3187" spans="1:17">
      <c r="A3187" s="166" t="b">
        <f t="shared" ca="1" si="248"/>
        <v>0</v>
      </c>
      <c r="B3187" s="172" t="str">
        <f ca="1">IF(COUNTA(G$2368:G3186)=1,"",OFFSET(B3187,-COUNTA(G$2368:G3186)+1,0))</f>
        <v>a1b3p000006eF3CAAU</v>
      </c>
      <c r="C3187" s="177">
        <f ca="1">IF(COUNTA(G$2368:G3186)=1,"",OFFSET(C3187,-COUNTA(G$2368:G3186)+1,0))</f>
        <v>57</v>
      </c>
      <c r="D3187" s="166">
        <f t="shared" si="244"/>
        <v>337</v>
      </c>
      <c r="E3187" s="166">
        <f t="shared" ca="1" si="245"/>
        <v>1</v>
      </c>
      <c r="F3187" s="166">
        <f t="shared" ca="1" si="246"/>
        <v>65</v>
      </c>
      <c r="G3187" s="166"/>
      <c r="H3187" s="171" t="str">
        <f t="shared" ca="1" si="249"/>
        <v/>
      </c>
      <c r="I3187" s="171" t="str">
        <f t="shared" ca="1" si="250"/>
        <v/>
      </c>
      <c r="J3187" s="171" t="str">
        <f t="shared" ca="1" si="251"/>
        <v/>
      </c>
      <c r="K3187" s="171" t="str">
        <f t="shared" ca="1" si="252"/>
        <v/>
      </c>
      <c r="L3187" s="166"/>
      <c r="M3187" s="166"/>
      <c r="N3187" s="166"/>
      <c r="O3187" s="166"/>
      <c r="P3187" s="166">
        <f t="shared" ca="1" si="247"/>
        <v>0</v>
      </c>
      <c r="Q3187" s="166"/>
    </row>
    <row r="3188" spans="1:17">
      <c r="A3188" s="166" t="b">
        <f t="shared" ca="1" si="248"/>
        <v>0</v>
      </c>
      <c r="B3188" s="172" t="str">
        <f ca="1">IF(COUNTA(G$2368:G3187)=1,"",OFFSET(B3188,-COUNTA(G$2368:G3187)+1,0))</f>
        <v>a1b3p000006eF4UAAU</v>
      </c>
      <c r="C3188" s="177">
        <f ca="1">IF(COUNTA(G$2368:G3187)=1,"",OFFSET(C3188,-COUNTA(G$2368:G3187)+1,0))</f>
        <v>57</v>
      </c>
      <c r="D3188" s="166">
        <f t="shared" si="244"/>
        <v>338</v>
      </c>
      <c r="E3188" s="166">
        <f t="shared" ca="1" si="245"/>
        <v>2</v>
      </c>
      <c r="F3188" s="166">
        <f t="shared" ca="1" si="246"/>
        <v>65</v>
      </c>
      <c r="G3188" s="166"/>
      <c r="H3188" s="171" t="str">
        <f t="shared" ca="1" si="249"/>
        <v/>
      </c>
      <c r="I3188" s="171" t="str">
        <f t="shared" ca="1" si="250"/>
        <v/>
      </c>
      <c r="J3188" s="171" t="str">
        <f t="shared" ca="1" si="251"/>
        <v/>
      </c>
      <c r="K3188" s="171" t="str">
        <f t="shared" ca="1" si="252"/>
        <v/>
      </c>
      <c r="L3188" s="166"/>
      <c r="M3188" s="166"/>
      <c r="N3188" s="166"/>
      <c r="O3188" s="166"/>
      <c r="P3188" s="166">
        <f t="shared" ca="1" si="247"/>
        <v>0</v>
      </c>
      <c r="Q3188" s="166"/>
    </row>
    <row r="3189" spans="1:17">
      <c r="A3189" s="166" t="b">
        <f t="shared" ca="1" si="248"/>
        <v>0</v>
      </c>
      <c r="B3189" s="172" t="str">
        <f ca="1">IF(COUNTA(G$2368:G3188)=1,"",OFFSET(B3189,-COUNTA(G$2368:G3188)+1,0))</f>
        <v>a1b3p000006eF5mAAE</v>
      </c>
      <c r="C3189" s="177">
        <f ca="1">IF(COUNTA(G$2368:G3188)=1,"",OFFSET(C3189,-COUNTA(G$2368:G3188)+1,0))</f>
        <v>57</v>
      </c>
      <c r="D3189" s="166">
        <f t="shared" si="244"/>
        <v>339</v>
      </c>
      <c r="E3189" s="166">
        <f t="shared" ca="1" si="245"/>
        <v>3</v>
      </c>
      <c r="F3189" s="166">
        <f t="shared" ca="1" si="246"/>
        <v>65</v>
      </c>
      <c r="G3189" s="166"/>
      <c r="H3189" s="171" t="str">
        <f t="shared" ca="1" si="249"/>
        <v/>
      </c>
      <c r="I3189" s="171" t="str">
        <f t="shared" ca="1" si="250"/>
        <v/>
      </c>
      <c r="J3189" s="171" t="str">
        <f t="shared" ca="1" si="251"/>
        <v/>
      </c>
      <c r="K3189" s="171" t="str">
        <f t="shared" ca="1" si="252"/>
        <v/>
      </c>
      <c r="L3189" s="166"/>
      <c r="M3189" s="166"/>
      <c r="N3189" s="166"/>
      <c r="O3189" s="166"/>
      <c r="P3189" s="166">
        <f t="shared" ca="1" si="247"/>
        <v>0</v>
      </c>
      <c r="Q3189" s="166"/>
    </row>
    <row r="3190" spans="1:17">
      <c r="A3190" s="166" t="b">
        <f t="shared" ca="1" si="248"/>
        <v>0</v>
      </c>
      <c r="B3190" s="172" t="str">
        <f ca="1">IF(COUNTA(G$2368:G3189)=1,"",OFFSET(B3190,-COUNTA(G$2368:G3189)+1,0))</f>
        <v>a1b3p000006eF74AAE</v>
      </c>
      <c r="C3190" s="177">
        <f ca="1">IF(COUNTA(G$2368:G3189)=1,"",OFFSET(C3190,-COUNTA(G$2368:G3189)+1,0))</f>
        <v>57</v>
      </c>
      <c r="D3190" s="166">
        <f t="shared" si="244"/>
        <v>340</v>
      </c>
      <c r="E3190" s="166">
        <f t="shared" ca="1" si="245"/>
        <v>4</v>
      </c>
      <c r="F3190" s="166">
        <f t="shared" ca="1" si="246"/>
        <v>65</v>
      </c>
      <c r="G3190" s="166"/>
      <c r="H3190" s="171" t="str">
        <f t="shared" ca="1" si="249"/>
        <v/>
      </c>
      <c r="I3190" s="171" t="str">
        <f t="shared" ca="1" si="250"/>
        <v/>
      </c>
      <c r="J3190" s="171" t="str">
        <f t="shared" ca="1" si="251"/>
        <v/>
      </c>
      <c r="K3190" s="171" t="str">
        <f t="shared" ca="1" si="252"/>
        <v/>
      </c>
      <c r="L3190" s="166"/>
      <c r="M3190" s="166"/>
      <c r="N3190" s="166"/>
      <c r="O3190" s="166"/>
      <c r="P3190" s="166">
        <f t="shared" ca="1" si="247"/>
        <v>0</v>
      </c>
      <c r="Q3190" s="166"/>
    </row>
    <row r="3191" spans="1:17">
      <c r="A3191" s="166" t="b">
        <f t="shared" ca="1" si="248"/>
        <v>0</v>
      </c>
      <c r="B3191" s="172" t="str">
        <f ca="1">IF(COUNTA(G$2368:G3190)=1,"",OFFSET(B3191,-COUNTA(G$2368:G3190)+1,0))</f>
        <v>a1b3p000006eF8MAAU</v>
      </c>
      <c r="C3191" s="177">
        <f ca="1">IF(COUNTA(G$2368:G3190)=1,"",OFFSET(C3191,-COUNTA(G$2368:G3190)+1,0))</f>
        <v>57</v>
      </c>
      <c r="D3191" s="166">
        <f t="shared" si="244"/>
        <v>341</v>
      </c>
      <c r="E3191" s="166">
        <f t="shared" ca="1" si="245"/>
        <v>5</v>
      </c>
      <c r="F3191" s="166">
        <f t="shared" ca="1" si="246"/>
        <v>65</v>
      </c>
      <c r="G3191" s="166"/>
      <c r="H3191" s="171" t="str">
        <f t="shared" ca="1" si="249"/>
        <v/>
      </c>
      <c r="I3191" s="171" t="str">
        <f t="shared" ca="1" si="250"/>
        <v/>
      </c>
      <c r="J3191" s="171" t="str">
        <f t="shared" ca="1" si="251"/>
        <v/>
      </c>
      <c r="K3191" s="171" t="str">
        <f t="shared" ca="1" si="252"/>
        <v/>
      </c>
      <c r="L3191" s="166"/>
      <c r="M3191" s="166"/>
      <c r="N3191" s="166"/>
      <c r="O3191" s="166"/>
      <c r="P3191" s="166">
        <f t="shared" ca="1" si="247"/>
        <v>0</v>
      </c>
      <c r="Q3191" s="166"/>
    </row>
    <row r="3192" spans="1:17">
      <c r="A3192" s="166" t="b">
        <f t="shared" ca="1" si="248"/>
        <v>0</v>
      </c>
      <c r="B3192" s="172" t="str">
        <f ca="1">IF(COUNTA(G$2368:G3191)=1,"",OFFSET(B3192,-COUNTA(G$2368:G3191)+1,0))</f>
        <v>a1b3p000006eF9eAAE</v>
      </c>
      <c r="C3192" s="177">
        <f ca="1">IF(COUNTA(G$2368:G3191)=1,"",OFFSET(C3192,-COUNTA(G$2368:G3191)+1,0))</f>
        <v>57</v>
      </c>
      <c r="D3192" s="166">
        <f t="shared" si="244"/>
        <v>342</v>
      </c>
      <c r="E3192" s="166">
        <f t="shared" ca="1" si="245"/>
        <v>6</v>
      </c>
      <c r="F3192" s="166">
        <f t="shared" ca="1" si="246"/>
        <v>65</v>
      </c>
      <c r="G3192" s="166"/>
      <c r="H3192" s="171" t="str">
        <f t="shared" ca="1" si="249"/>
        <v/>
      </c>
      <c r="I3192" s="171" t="str">
        <f t="shared" ca="1" si="250"/>
        <v/>
      </c>
      <c r="J3192" s="171" t="str">
        <f t="shared" ca="1" si="251"/>
        <v/>
      </c>
      <c r="K3192" s="171" t="str">
        <f t="shared" ca="1" si="252"/>
        <v/>
      </c>
      <c r="L3192" s="166"/>
      <c r="M3192" s="166"/>
      <c r="N3192" s="166"/>
      <c r="O3192" s="166"/>
      <c r="P3192" s="166">
        <f t="shared" ca="1" si="247"/>
        <v>0</v>
      </c>
      <c r="Q3192" s="166"/>
    </row>
    <row r="3193" spans="1:17">
      <c r="A3193" s="166" t="b">
        <f t="shared" ca="1" si="248"/>
        <v>0</v>
      </c>
      <c r="B3193" s="172" t="str">
        <f ca="1">IF(COUNTA(G$2368:G3192)=1,"",OFFSET(B3193,-COUNTA(G$2368:G3192)+1,0))</f>
        <v>a1b3p000006eF3DAAU</v>
      </c>
      <c r="C3193" s="177">
        <f ca="1">IF(COUNTA(G$2368:G3192)=1,"",OFFSET(C3193,-COUNTA(G$2368:G3192)+1,0))</f>
        <v>58</v>
      </c>
      <c r="D3193" s="166">
        <f t="shared" si="244"/>
        <v>343</v>
      </c>
      <c r="E3193" s="166">
        <f t="shared" ca="1" si="245"/>
        <v>1</v>
      </c>
      <c r="F3193" s="166">
        <f t="shared" ca="1" si="246"/>
        <v>66</v>
      </c>
      <c r="G3193" s="166"/>
      <c r="H3193" s="171" t="str">
        <f t="shared" ca="1" si="249"/>
        <v/>
      </c>
      <c r="I3193" s="171" t="str">
        <f t="shared" ca="1" si="250"/>
        <v/>
      </c>
      <c r="J3193" s="171" t="str">
        <f t="shared" ca="1" si="251"/>
        <v/>
      </c>
      <c r="K3193" s="171" t="str">
        <f t="shared" ca="1" si="252"/>
        <v/>
      </c>
      <c r="L3193" s="166"/>
      <c r="M3193" s="166"/>
      <c r="N3193" s="166"/>
      <c r="O3193" s="166"/>
      <c r="P3193" s="166">
        <f t="shared" ca="1" si="247"/>
        <v>0</v>
      </c>
      <c r="Q3193" s="166"/>
    </row>
    <row r="3194" spans="1:17">
      <c r="A3194" s="166" t="b">
        <f t="shared" ca="1" si="248"/>
        <v>0</v>
      </c>
      <c r="B3194" s="172" t="str">
        <f ca="1">IF(COUNTA(G$2368:G3193)=1,"",OFFSET(B3194,-COUNTA(G$2368:G3193)+1,0))</f>
        <v>a1b3p000006eF4VAAU</v>
      </c>
      <c r="C3194" s="177">
        <f ca="1">IF(COUNTA(G$2368:G3193)=1,"",OFFSET(C3194,-COUNTA(G$2368:G3193)+1,0))</f>
        <v>58</v>
      </c>
      <c r="D3194" s="166">
        <f t="shared" si="244"/>
        <v>344</v>
      </c>
      <c r="E3194" s="166">
        <f t="shared" ca="1" si="245"/>
        <v>2</v>
      </c>
      <c r="F3194" s="166">
        <f t="shared" ca="1" si="246"/>
        <v>66</v>
      </c>
      <c r="G3194" s="166"/>
      <c r="H3194" s="171" t="str">
        <f t="shared" ca="1" si="249"/>
        <v/>
      </c>
      <c r="I3194" s="171" t="str">
        <f t="shared" ca="1" si="250"/>
        <v/>
      </c>
      <c r="J3194" s="171" t="str">
        <f t="shared" ca="1" si="251"/>
        <v/>
      </c>
      <c r="K3194" s="171" t="str">
        <f t="shared" ca="1" si="252"/>
        <v/>
      </c>
      <c r="L3194" s="166"/>
      <c r="M3194" s="166"/>
      <c r="N3194" s="166"/>
      <c r="O3194" s="166"/>
      <c r="P3194" s="166">
        <f t="shared" ca="1" si="247"/>
        <v>0</v>
      </c>
      <c r="Q3194" s="166"/>
    </row>
    <row r="3195" spans="1:17">
      <c r="A3195" s="166" t="b">
        <f t="shared" ca="1" si="248"/>
        <v>0</v>
      </c>
      <c r="B3195" s="172" t="str">
        <f ca="1">IF(COUNTA(G$2368:G3194)=1,"",OFFSET(B3195,-COUNTA(G$2368:G3194)+1,0))</f>
        <v>a1b3p000006eF5nAAE</v>
      </c>
      <c r="C3195" s="177">
        <f ca="1">IF(COUNTA(G$2368:G3194)=1,"",OFFSET(C3195,-COUNTA(G$2368:G3194)+1,0))</f>
        <v>58</v>
      </c>
      <c r="D3195" s="166">
        <f t="shared" si="244"/>
        <v>345</v>
      </c>
      <c r="E3195" s="166">
        <f t="shared" ca="1" si="245"/>
        <v>3</v>
      </c>
      <c r="F3195" s="166">
        <f t="shared" ca="1" si="246"/>
        <v>66</v>
      </c>
      <c r="G3195" s="166"/>
      <c r="H3195" s="171" t="str">
        <f t="shared" ca="1" si="249"/>
        <v/>
      </c>
      <c r="I3195" s="171" t="str">
        <f t="shared" ca="1" si="250"/>
        <v/>
      </c>
      <c r="J3195" s="171" t="str">
        <f t="shared" ca="1" si="251"/>
        <v/>
      </c>
      <c r="K3195" s="171" t="str">
        <f t="shared" ca="1" si="252"/>
        <v/>
      </c>
      <c r="L3195" s="166"/>
      <c r="M3195" s="166"/>
      <c r="N3195" s="166"/>
      <c r="O3195" s="166"/>
      <c r="P3195" s="166">
        <f t="shared" ca="1" si="247"/>
        <v>0</v>
      </c>
      <c r="Q3195" s="166"/>
    </row>
    <row r="3196" spans="1:17">
      <c r="A3196" s="166" t="b">
        <f t="shared" ca="1" si="248"/>
        <v>0</v>
      </c>
      <c r="B3196" s="172" t="str">
        <f ca="1">IF(COUNTA(G$2368:G3195)=1,"",OFFSET(B3196,-COUNTA(G$2368:G3195)+1,0))</f>
        <v>a1b3p000006eF75AAE</v>
      </c>
      <c r="C3196" s="177">
        <f ca="1">IF(COUNTA(G$2368:G3195)=1,"",OFFSET(C3196,-COUNTA(G$2368:G3195)+1,0))</f>
        <v>58</v>
      </c>
      <c r="D3196" s="166">
        <f t="shared" si="244"/>
        <v>346</v>
      </c>
      <c r="E3196" s="166">
        <f t="shared" ca="1" si="245"/>
        <v>4</v>
      </c>
      <c r="F3196" s="166">
        <f t="shared" ca="1" si="246"/>
        <v>66</v>
      </c>
      <c r="G3196" s="166"/>
      <c r="H3196" s="171" t="str">
        <f t="shared" ca="1" si="249"/>
        <v/>
      </c>
      <c r="I3196" s="171" t="str">
        <f t="shared" ca="1" si="250"/>
        <v/>
      </c>
      <c r="J3196" s="171" t="str">
        <f t="shared" ca="1" si="251"/>
        <v/>
      </c>
      <c r="K3196" s="171" t="str">
        <f t="shared" ca="1" si="252"/>
        <v/>
      </c>
      <c r="L3196" s="166"/>
      <c r="M3196" s="166"/>
      <c r="N3196" s="166"/>
      <c r="O3196" s="166"/>
      <c r="P3196" s="166">
        <f t="shared" ca="1" si="247"/>
        <v>0</v>
      </c>
      <c r="Q3196" s="166"/>
    </row>
    <row r="3197" spans="1:17">
      <c r="A3197" s="166" t="b">
        <f t="shared" ca="1" si="248"/>
        <v>0</v>
      </c>
      <c r="B3197" s="172" t="str">
        <f ca="1">IF(COUNTA(G$2368:G3196)=1,"",OFFSET(B3197,-COUNTA(G$2368:G3196)+1,0))</f>
        <v>a1b3p000006eF8NAAU</v>
      </c>
      <c r="C3197" s="177">
        <f ca="1">IF(COUNTA(G$2368:G3196)=1,"",OFFSET(C3197,-COUNTA(G$2368:G3196)+1,0))</f>
        <v>58</v>
      </c>
      <c r="D3197" s="166">
        <f t="shared" si="244"/>
        <v>347</v>
      </c>
      <c r="E3197" s="166">
        <f t="shared" ca="1" si="245"/>
        <v>5</v>
      </c>
      <c r="F3197" s="166">
        <f t="shared" ca="1" si="246"/>
        <v>66</v>
      </c>
      <c r="G3197" s="166"/>
      <c r="H3197" s="171" t="str">
        <f t="shared" ca="1" si="249"/>
        <v/>
      </c>
      <c r="I3197" s="171" t="str">
        <f t="shared" ca="1" si="250"/>
        <v/>
      </c>
      <c r="J3197" s="171" t="str">
        <f t="shared" ca="1" si="251"/>
        <v/>
      </c>
      <c r="K3197" s="171" t="str">
        <f t="shared" ca="1" si="252"/>
        <v/>
      </c>
      <c r="L3197" s="166"/>
      <c r="M3197" s="166"/>
      <c r="N3197" s="166"/>
      <c r="O3197" s="166"/>
      <c r="P3197" s="166">
        <f t="shared" ca="1" si="247"/>
        <v>0</v>
      </c>
      <c r="Q3197" s="166"/>
    </row>
    <row r="3198" spans="1:17">
      <c r="A3198" s="166" t="b">
        <f t="shared" ca="1" si="248"/>
        <v>0</v>
      </c>
      <c r="B3198" s="172" t="str">
        <f ca="1">IF(COUNTA(G$2368:G3197)=1,"",OFFSET(B3198,-COUNTA(G$2368:G3197)+1,0))</f>
        <v>a1b3p000006eF9fAAE</v>
      </c>
      <c r="C3198" s="177">
        <f ca="1">IF(COUNTA(G$2368:G3197)=1,"",OFFSET(C3198,-COUNTA(G$2368:G3197)+1,0))</f>
        <v>58</v>
      </c>
      <c r="D3198" s="166">
        <f t="shared" si="244"/>
        <v>348</v>
      </c>
      <c r="E3198" s="166">
        <f t="shared" ca="1" si="245"/>
        <v>6</v>
      </c>
      <c r="F3198" s="166">
        <f t="shared" ca="1" si="246"/>
        <v>66</v>
      </c>
      <c r="G3198" s="166"/>
      <c r="H3198" s="171" t="str">
        <f t="shared" ca="1" si="249"/>
        <v/>
      </c>
      <c r="I3198" s="171" t="str">
        <f t="shared" ca="1" si="250"/>
        <v/>
      </c>
      <c r="J3198" s="171" t="str">
        <f t="shared" ca="1" si="251"/>
        <v/>
      </c>
      <c r="K3198" s="171" t="str">
        <f t="shared" ca="1" si="252"/>
        <v/>
      </c>
      <c r="L3198" s="166"/>
      <c r="M3198" s="166"/>
      <c r="N3198" s="166"/>
      <c r="O3198" s="166"/>
      <c r="P3198" s="166">
        <f t="shared" ca="1" si="247"/>
        <v>0</v>
      </c>
      <c r="Q3198" s="166"/>
    </row>
    <row r="3199" spans="1:17">
      <c r="A3199" s="166" t="b">
        <f t="shared" ca="1" si="248"/>
        <v>0</v>
      </c>
      <c r="B3199" s="172" t="str">
        <f ca="1">IF(COUNTA(G$2368:G3198)=1,"",OFFSET(B3199,-COUNTA(G$2368:G3198)+1,0))</f>
        <v>a1b3p000006eF3EAAU</v>
      </c>
      <c r="C3199" s="177">
        <f ca="1">IF(COUNTA(G$2368:G3198)=1,"",OFFSET(C3199,-COUNTA(G$2368:G3198)+1,0))</f>
        <v>59</v>
      </c>
      <c r="D3199" s="166">
        <f t="shared" si="244"/>
        <v>349</v>
      </c>
      <c r="E3199" s="166">
        <f t="shared" ca="1" si="245"/>
        <v>1</v>
      </c>
      <c r="F3199" s="166">
        <f t="shared" ca="1" si="246"/>
        <v>67</v>
      </c>
      <c r="G3199" s="166"/>
      <c r="H3199" s="171" t="str">
        <f t="shared" ca="1" si="249"/>
        <v/>
      </c>
      <c r="I3199" s="171" t="str">
        <f t="shared" ca="1" si="250"/>
        <v/>
      </c>
      <c r="J3199" s="171" t="str">
        <f t="shared" ca="1" si="251"/>
        <v/>
      </c>
      <c r="K3199" s="171" t="str">
        <f t="shared" ca="1" si="252"/>
        <v/>
      </c>
      <c r="L3199" s="166"/>
      <c r="M3199" s="166"/>
      <c r="N3199" s="166"/>
      <c r="O3199" s="166"/>
      <c r="P3199" s="166">
        <f t="shared" ca="1" si="247"/>
        <v>0</v>
      </c>
      <c r="Q3199" s="166"/>
    </row>
    <row r="3200" spans="1:17">
      <c r="A3200" s="166" t="b">
        <f t="shared" ca="1" si="248"/>
        <v>0</v>
      </c>
      <c r="B3200" s="172" t="str">
        <f ca="1">IF(COUNTA(G$2368:G3199)=1,"",OFFSET(B3200,-COUNTA(G$2368:G3199)+1,0))</f>
        <v>a1b3p000006eF4WAAU</v>
      </c>
      <c r="C3200" s="177">
        <f ca="1">IF(COUNTA(G$2368:G3199)=1,"",OFFSET(C3200,-COUNTA(G$2368:G3199)+1,0))</f>
        <v>59</v>
      </c>
      <c r="D3200" s="166">
        <f t="shared" si="244"/>
        <v>350</v>
      </c>
      <c r="E3200" s="166">
        <f t="shared" ca="1" si="245"/>
        <v>2</v>
      </c>
      <c r="F3200" s="166">
        <f t="shared" ca="1" si="246"/>
        <v>67</v>
      </c>
      <c r="G3200" s="166"/>
      <c r="H3200" s="171" t="str">
        <f t="shared" ca="1" si="249"/>
        <v/>
      </c>
      <c r="I3200" s="171" t="str">
        <f t="shared" ca="1" si="250"/>
        <v/>
      </c>
      <c r="J3200" s="171" t="str">
        <f t="shared" ca="1" si="251"/>
        <v/>
      </c>
      <c r="K3200" s="171" t="str">
        <f t="shared" ca="1" si="252"/>
        <v/>
      </c>
      <c r="L3200" s="166"/>
      <c r="M3200" s="166"/>
      <c r="N3200" s="166"/>
      <c r="O3200" s="166"/>
      <c r="P3200" s="166">
        <f t="shared" ca="1" si="247"/>
        <v>0</v>
      </c>
      <c r="Q3200" s="166"/>
    </row>
    <row r="3201" spans="1:17">
      <c r="A3201" s="166" t="b">
        <f t="shared" ca="1" si="248"/>
        <v>0</v>
      </c>
      <c r="B3201" s="172" t="str">
        <f ca="1">IF(COUNTA(G$2368:G3200)=1,"",OFFSET(B3201,-COUNTA(G$2368:G3200)+1,0))</f>
        <v>a1b3p000006eF5oAAE</v>
      </c>
      <c r="C3201" s="177">
        <f ca="1">IF(COUNTA(G$2368:G3200)=1,"",OFFSET(C3201,-COUNTA(G$2368:G3200)+1,0))</f>
        <v>59</v>
      </c>
      <c r="D3201" s="166">
        <f t="shared" si="244"/>
        <v>351</v>
      </c>
      <c r="E3201" s="166">
        <f t="shared" ca="1" si="245"/>
        <v>3</v>
      </c>
      <c r="F3201" s="166">
        <f t="shared" ca="1" si="246"/>
        <v>67</v>
      </c>
      <c r="G3201" s="166"/>
      <c r="H3201" s="171" t="str">
        <f t="shared" ca="1" si="249"/>
        <v/>
      </c>
      <c r="I3201" s="171" t="str">
        <f t="shared" ca="1" si="250"/>
        <v/>
      </c>
      <c r="J3201" s="171" t="str">
        <f t="shared" ca="1" si="251"/>
        <v/>
      </c>
      <c r="K3201" s="171" t="str">
        <f t="shared" ca="1" si="252"/>
        <v/>
      </c>
      <c r="L3201" s="166"/>
      <c r="M3201" s="166"/>
      <c r="N3201" s="166"/>
      <c r="O3201" s="166"/>
      <c r="P3201" s="166">
        <f t="shared" ca="1" si="247"/>
        <v>0</v>
      </c>
      <c r="Q3201" s="166"/>
    </row>
    <row r="3202" spans="1:17">
      <c r="A3202" s="166" t="b">
        <f t="shared" ca="1" si="248"/>
        <v>0</v>
      </c>
      <c r="B3202" s="172" t="str">
        <f ca="1">IF(COUNTA(G$2368:G3201)=1,"",OFFSET(B3202,-COUNTA(G$2368:G3201)+1,0))</f>
        <v>a1b3p000006eF76AAE</v>
      </c>
      <c r="C3202" s="177">
        <f ca="1">IF(COUNTA(G$2368:G3201)=1,"",OFFSET(C3202,-COUNTA(G$2368:G3201)+1,0))</f>
        <v>59</v>
      </c>
      <c r="D3202" s="166">
        <f t="shared" si="244"/>
        <v>352</v>
      </c>
      <c r="E3202" s="166">
        <f t="shared" ca="1" si="245"/>
        <v>4</v>
      </c>
      <c r="F3202" s="166">
        <f t="shared" ca="1" si="246"/>
        <v>67</v>
      </c>
      <c r="G3202" s="166"/>
      <c r="H3202" s="171" t="str">
        <f t="shared" ca="1" si="249"/>
        <v/>
      </c>
      <c r="I3202" s="171" t="str">
        <f t="shared" ca="1" si="250"/>
        <v/>
      </c>
      <c r="J3202" s="171" t="str">
        <f t="shared" ca="1" si="251"/>
        <v/>
      </c>
      <c r="K3202" s="171" t="str">
        <f t="shared" ca="1" si="252"/>
        <v/>
      </c>
      <c r="L3202" s="166"/>
      <c r="M3202" s="166"/>
      <c r="N3202" s="166"/>
      <c r="O3202" s="166"/>
      <c r="P3202" s="166">
        <f t="shared" ca="1" si="247"/>
        <v>0</v>
      </c>
      <c r="Q3202" s="166"/>
    </row>
    <row r="3203" spans="1:17">
      <c r="A3203" s="166" t="b">
        <f t="shared" ca="1" si="248"/>
        <v>0</v>
      </c>
      <c r="B3203" s="172" t="str">
        <f ca="1">IF(COUNTA(G$2368:G3202)=1,"",OFFSET(B3203,-COUNTA(G$2368:G3202)+1,0))</f>
        <v>a1b3p000006eF8OAAU</v>
      </c>
      <c r="C3203" s="177">
        <f ca="1">IF(COUNTA(G$2368:G3202)=1,"",OFFSET(C3203,-COUNTA(G$2368:G3202)+1,0))</f>
        <v>59</v>
      </c>
      <c r="D3203" s="166">
        <f t="shared" ref="D3203:D3266" si="253">D3202+1</f>
        <v>353</v>
      </c>
      <c r="E3203" s="166">
        <f t="shared" ref="E3203:E3266" ca="1" si="254">COUNTIF(C3033:C3203,C3203)</f>
        <v>5</v>
      </c>
      <c r="F3203" s="166">
        <f t="shared" ref="F3203:F3266" ca="1" si="255">IF(C3203=1,9,IF(E3202=MAX(E3201:E3203),F3201+1,F3202))</f>
        <v>67</v>
      </c>
      <c r="G3203" s="166"/>
      <c r="H3203" s="171" t="str">
        <f t="shared" ca="1" si="249"/>
        <v/>
      </c>
      <c r="I3203" s="171" t="str">
        <f t="shared" ca="1" si="250"/>
        <v/>
      </c>
      <c r="J3203" s="171" t="str">
        <f t="shared" ca="1" si="251"/>
        <v/>
      </c>
      <c r="K3203" s="171" t="str">
        <f t="shared" ca="1" si="252"/>
        <v/>
      </c>
      <c r="L3203" s="166"/>
      <c r="M3203" s="166"/>
      <c r="N3203" s="166"/>
      <c r="O3203" s="166"/>
      <c r="P3203" s="166">
        <f t="shared" ref="P3203:P3266" ca="1" si="256">IF(NOT(_xlfn.ISFORMULA(I3203)),P3202+1,0)</f>
        <v>0</v>
      </c>
      <c r="Q3203" s="166"/>
    </row>
    <row r="3204" spans="1:17">
      <c r="A3204" s="166" t="b">
        <f t="shared" ca="1" si="248"/>
        <v>0</v>
      </c>
      <c r="B3204" s="172" t="str">
        <f ca="1">IF(COUNTA(G$2368:G3203)=1,"",OFFSET(B3204,-COUNTA(G$2368:G3203)+1,0))</f>
        <v>a1b3p000006eF9gAAE</v>
      </c>
      <c r="C3204" s="177">
        <f ca="1">IF(COUNTA(G$2368:G3203)=1,"",OFFSET(C3204,-COUNTA(G$2368:G3203)+1,0))</f>
        <v>59</v>
      </c>
      <c r="D3204" s="166">
        <f t="shared" si="253"/>
        <v>354</v>
      </c>
      <c r="E3204" s="166">
        <f t="shared" ca="1" si="254"/>
        <v>6</v>
      </c>
      <c r="F3204" s="166">
        <f t="shared" ca="1" si="255"/>
        <v>67</v>
      </c>
      <c r="G3204" s="166"/>
      <c r="H3204" s="171" t="str">
        <f t="shared" ca="1" si="249"/>
        <v/>
      </c>
      <c r="I3204" s="171" t="str">
        <f t="shared" ca="1" si="250"/>
        <v/>
      </c>
      <c r="J3204" s="171" t="str">
        <f t="shared" ca="1" si="251"/>
        <v/>
      </c>
      <c r="K3204" s="171" t="str">
        <f t="shared" ca="1" si="252"/>
        <v/>
      </c>
      <c r="L3204" s="166"/>
      <c r="M3204" s="166"/>
      <c r="N3204" s="166"/>
      <c r="O3204" s="166"/>
      <c r="P3204" s="166">
        <f t="shared" ca="1" si="256"/>
        <v>0</v>
      </c>
      <c r="Q3204" s="166"/>
    </row>
    <row r="3205" spans="1:17">
      <c r="A3205" s="166" t="b">
        <f t="shared" ca="1" si="248"/>
        <v>0</v>
      </c>
      <c r="B3205" s="172" t="str">
        <f ca="1">IF(COUNTA(G$2368:G3204)=1,"",OFFSET(B3205,-COUNTA(G$2368:G3204)+1,0))</f>
        <v>a1b3p000006eF3FAAU</v>
      </c>
      <c r="C3205" s="177">
        <f ca="1">IF(COUNTA(G$2368:G3204)=1,"",OFFSET(C3205,-COUNTA(G$2368:G3204)+1,0))</f>
        <v>60</v>
      </c>
      <c r="D3205" s="166">
        <f t="shared" si="253"/>
        <v>355</v>
      </c>
      <c r="E3205" s="166">
        <f t="shared" ca="1" si="254"/>
        <v>1</v>
      </c>
      <c r="F3205" s="166">
        <f t="shared" ca="1" si="255"/>
        <v>68</v>
      </c>
      <c r="G3205" s="166"/>
      <c r="H3205" s="171" t="str">
        <f t="shared" ca="1" si="249"/>
        <v/>
      </c>
      <c r="I3205" s="171" t="str">
        <f t="shared" ca="1" si="250"/>
        <v/>
      </c>
      <c r="J3205" s="171" t="str">
        <f t="shared" ca="1" si="251"/>
        <v/>
      </c>
      <c r="K3205" s="171" t="str">
        <f t="shared" ca="1" si="252"/>
        <v/>
      </c>
      <c r="L3205" s="166"/>
      <c r="M3205" s="166"/>
      <c r="N3205" s="166"/>
      <c r="O3205" s="166"/>
      <c r="P3205" s="166">
        <f t="shared" ca="1" si="256"/>
        <v>0</v>
      </c>
      <c r="Q3205" s="166"/>
    </row>
    <row r="3206" spans="1:17">
      <c r="A3206" s="166" t="b">
        <f t="shared" ca="1" si="248"/>
        <v>0</v>
      </c>
      <c r="B3206" s="172" t="str">
        <f ca="1">IF(COUNTA(G$2368:G3205)=1,"",OFFSET(B3206,-COUNTA(G$2368:G3205)+1,0))</f>
        <v>a1b3p000006eF4XAAU</v>
      </c>
      <c r="C3206" s="177">
        <f ca="1">IF(COUNTA(G$2368:G3205)=1,"",OFFSET(C3206,-COUNTA(G$2368:G3205)+1,0))</f>
        <v>60</v>
      </c>
      <c r="D3206" s="166">
        <f t="shared" si="253"/>
        <v>356</v>
      </c>
      <c r="E3206" s="166">
        <f t="shared" ca="1" si="254"/>
        <v>2</v>
      </c>
      <c r="F3206" s="166">
        <f t="shared" ca="1" si="255"/>
        <v>68</v>
      </c>
      <c r="G3206" s="166"/>
      <c r="H3206" s="171" t="str">
        <f t="shared" ca="1" si="249"/>
        <v/>
      </c>
      <c r="I3206" s="171" t="str">
        <f t="shared" ca="1" si="250"/>
        <v/>
      </c>
      <c r="J3206" s="171" t="str">
        <f t="shared" ca="1" si="251"/>
        <v/>
      </c>
      <c r="K3206" s="171" t="str">
        <f t="shared" ca="1" si="252"/>
        <v/>
      </c>
      <c r="L3206" s="166"/>
      <c r="M3206" s="166"/>
      <c r="N3206" s="166"/>
      <c r="O3206" s="166"/>
      <c r="P3206" s="166">
        <f t="shared" ca="1" si="256"/>
        <v>0</v>
      </c>
      <c r="Q3206" s="166"/>
    </row>
    <row r="3207" spans="1:17">
      <c r="A3207" s="166" t="b">
        <f t="shared" ca="1" si="248"/>
        <v>0</v>
      </c>
      <c r="B3207" s="172" t="str">
        <f ca="1">IF(COUNTA(G$2368:G3206)=1,"",OFFSET(B3207,-COUNTA(G$2368:G3206)+1,0))</f>
        <v>a1b3p000006eF5pAAE</v>
      </c>
      <c r="C3207" s="177">
        <f ca="1">IF(COUNTA(G$2368:G3206)=1,"",OFFSET(C3207,-COUNTA(G$2368:G3206)+1,0))</f>
        <v>60</v>
      </c>
      <c r="D3207" s="166">
        <f t="shared" si="253"/>
        <v>357</v>
      </c>
      <c r="E3207" s="166">
        <f t="shared" ca="1" si="254"/>
        <v>3</v>
      </c>
      <c r="F3207" s="166">
        <f t="shared" ca="1" si="255"/>
        <v>68</v>
      </c>
      <c r="G3207" s="166"/>
      <c r="H3207" s="171" t="str">
        <f t="shared" ca="1" si="249"/>
        <v/>
      </c>
      <c r="I3207" s="171" t="str">
        <f t="shared" ca="1" si="250"/>
        <v/>
      </c>
      <c r="J3207" s="171" t="str">
        <f t="shared" ca="1" si="251"/>
        <v/>
      </c>
      <c r="K3207" s="171" t="str">
        <f t="shared" ca="1" si="252"/>
        <v/>
      </c>
      <c r="L3207" s="166"/>
      <c r="M3207" s="166"/>
      <c r="N3207" s="166"/>
      <c r="O3207" s="166"/>
      <c r="P3207" s="166">
        <f t="shared" ca="1" si="256"/>
        <v>0</v>
      </c>
      <c r="Q3207" s="166"/>
    </row>
    <row r="3208" spans="1:17">
      <c r="A3208" s="166" t="b">
        <f t="shared" ca="1" si="248"/>
        <v>0</v>
      </c>
      <c r="B3208" s="172" t="str">
        <f ca="1">IF(COUNTA(G$2368:G3207)=1,"",OFFSET(B3208,-COUNTA(G$2368:G3207)+1,0))</f>
        <v>a1b3p000006eF77AAE</v>
      </c>
      <c r="C3208" s="177">
        <f ca="1">IF(COUNTA(G$2368:G3207)=1,"",OFFSET(C3208,-COUNTA(G$2368:G3207)+1,0))</f>
        <v>60</v>
      </c>
      <c r="D3208" s="166">
        <f t="shared" si="253"/>
        <v>358</v>
      </c>
      <c r="E3208" s="166">
        <f t="shared" ca="1" si="254"/>
        <v>4</v>
      </c>
      <c r="F3208" s="166">
        <f t="shared" ca="1" si="255"/>
        <v>68</v>
      </c>
      <c r="G3208" s="166"/>
      <c r="H3208" s="171" t="str">
        <f t="shared" ca="1" si="249"/>
        <v/>
      </c>
      <c r="I3208" s="171" t="str">
        <f t="shared" ca="1" si="250"/>
        <v/>
      </c>
      <c r="J3208" s="171" t="str">
        <f t="shared" ca="1" si="251"/>
        <v/>
      </c>
      <c r="K3208" s="171" t="str">
        <f t="shared" ca="1" si="252"/>
        <v/>
      </c>
      <c r="L3208" s="166"/>
      <c r="M3208" s="166"/>
      <c r="N3208" s="166"/>
      <c r="O3208" s="166"/>
      <c r="P3208" s="166">
        <f t="shared" ca="1" si="256"/>
        <v>0</v>
      </c>
      <c r="Q3208" s="166"/>
    </row>
    <row r="3209" spans="1:17">
      <c r="A3209" s="166" t="b">
        <f t="shared" ca="1" si="248"/>
        <v>0</v>
      </c>
      <c r="B3209" s="172" t="str">
        <f ca="1">IF(COUNTA(G$2368:G3208)=1,"",OFFSET(B3209,-COUNTA(G$2368:G3208)+1,0))</f>
        <v>a1b3p000006eF8PAAU</v>
      </c>
      <c r="C3209" s="177">
        <f ca="1">IF(COUNTA(G$2368:G3208)=1,"",OFFSET(C3209,-COUNTA(G$2368:G3208)+1,0))</f>
        <v>60</v>
      </c>
      <c r="D3209" s="166">
        <f t="shared" si="253"/>
        <v>359</v>
      </c>
      <c r="E3209" s="166">
        <f t="shared" ca="1" si="254"/>
        <v>5</v>
      </c>
      <c r="F3209" s="166">
        <f t="shared" ca="1" si="255"/>
        <v>68</v>
      </c>
      <c r="G3209" s="166"/>
      <c r="H3209" s="171" t="str">
        <f t="shared" ca="1" si="249"/>
        <v/>
      </c>
      <c r="I3209" s="171" t="str">
        <f t="shared" ca="1" si="250"/>
        <v/>
      </c>
      <c r="J3209" s="171" t="str">
        <f t="shared" ca="1" si="251"/>
        <v/>
      </c>
      <c r="K3209" s="171" t="str">
        <f t="shared" ca="1" si="252"/>
        <v/>
      </c>
      <c r="L3209" s="166"/>
      <c r="M3209" s="166"/>
      <c r="N3209" s="166"/>
      <c r="O3209" s="166"/>
      <c r="P3209" s="166">
        <f t="shared" ca="1" si="256"/>
        <v>0</v>
      </c>
      <c r="Q3209" s="166"/>
    </row>
    <row r="3210" spans="1:17">
      <c r="A3210" s="166" t="b">
        <f t="shared" ca="1" si="248"/>
        <v>0</v>
      </c>
      <c r="B3210" s="172" t="str">
        <f ca="1">IF(COUNTA(G$2368:G3209)=1,"",OFFSET(B3210,-COUNTA(G$2368:G3209)+1,0))</f>
        <v>a1b3p000006eF9hAAE</v>
      </c>
      <c r="C3210" s="177">
        <f ca="1">IF(COUNTA(G$2368:G3209)=1,"",OFFSET(C3210,-COUNTA(G$2368:G3209)+1,0))</f>
        <v>60</v>
      </c>
      <c r="D3210" s="166">
        <f t="shared" si="253"/>
        <v>360</v>
      </c>
      <c r="E3210" s="166">
        <f t="shared" ca="1" si="254"/>
        <v>6</v>
      </c>
      <c r="F3210" s="166">
        <f t="shared" ca="1" si="255"/>
        <v>68</v>
      </c>
      <c r="G3210" s="166"/>
      <c r="H3210" s="171" t="str">
        <f t="shared" ca="1" si="249"/>
        <v/>
      </c>
      <c r="I3210" s="171" t="str">
        <f t="shared" ca="1" si="250"/>
        <v/>
      </c>
      <c r="J3210" s="171" t="str">
        <f t="shared" ca="1" si="251"/>
        <v/>
      </c>
      <c r="K3210" s="171" t="str">
        <f t="shared" ca="1" si="252"/>
        <v/>
      </c>
      <c r="L3210" s="166"/>
      <c r="M3210" s="166"/>
      <c r="N3210" s="166"/>
      <c r="O3210" s="166"/>
      <c r="P3210" s="166">
        <f t="shared" ca="1" si="256"/>
        <v>0</v>
      </c>
      <c r="Q3210" s="166"/>
    </row>
    <row r="3211" spans="1:17">
      <c r="A3211" s="166" t="b">
        <f t="shared" ca="1" si="248"/>
        <v>0</v>
      </c>
      <c r="B3211" s="172" t="str">
        <f ca="1">IF(COUNTA(G$2368:G3210)=1,"",OFFSET(B3211,-COUNTA(G$2368:G3210)+1,0))</f>
        <v>a1b3p000006eF3GAAU</v>
      </c>
      <c r="C3211" s="177">
        <f ca="1">IF(COUNTA(G$2368:G3210)=1,"",OFFSET(C3211,-COUNTA(G$2368:G3210)+1,0))</f>
        <v>61</v>
      </c>
      <c r="D3211" s="166">
        <f t="shared" si="253"/>
        <v>361</v>
      </c>
      <c r="E3211" s="166">
        <f t="shared" ca="1" si="254"/>
        <v>1</v>
      </c>
      <c r="F3211" s="166">
        <f t="shared" ca="1" si="255"/>
        <v>69</v>
      </c>
      <c r="G3211" s="166"/>
      <c r="H3211" s="171" t="str">
        <f t="shared" ca="1" si="249"/>
        <v/>
      </c>
      <c r="I3211" s="171" t="str">
        <f t="shared" ca="1" si="250"/>
        <v/>
      </c>
      <c r="J3211" s="171" t="str">
        <f t="shared" ca="1" si="251"/>
        <v/>
      </c>
      <c r="K3211" s="171" t="str">
        <f t="shared" ca="1" si="252"/>
        <v/>
      </c>
      <c r="L3211" s="166"/>
      <c r="M3211" s="166"/>
      <c r="N3211" s="166"/>
      <c r="O3211" s="166"/>
      <c r="P3211" s="166">
        <f t="shared" ca="1" si="256"/>
        <v>0</v>
      </c>
      <c r="Q3211" s="166"/>
    </row>
    <row r="3212" spans="1:17">
      <c r="A3212" s="166" t="b">
        <f t="shared" ca="1" si="248"/>
        <v>0</v>
      </c>
      <c r="B3212" s="172" t="str">
        <f ca="1">IF(COUNTA(G$2368:G3211)=1,"",OFFSET(B3212,-COUNTA(G$2368:G3211)+1,0))</f>
        <v>a1b3p000006eF4YAAU</v>
      </c>
      <c r="C3212" s="177">
        <f ca="1">IF(COUNTA(G$2368:G3211)=1,"",OFFSET(C3212,-COUNTA(G$2368:G3211)+1,0))</f>
        <v>61</v>
      </c>
      <c r="D3212" s="166">
        <f t="shared" si="253"/>
        <v>362</v>
      </c>
      <c r="E3212" s="166">
        <f t="shared" ca="1" si="254"/>
        <v>2</v>
      </c>
      <c r="F3212" s="166">
        <f t="shared" ca="1" si="255"/>
        <v>69</v>
      </c>
      <c r="G3212" s="166"/>
      <c r="H3212" s="171" t="str">
        <f t="shared" ca="1" si="249"/>
        <v/>
      </c>
      <c r="I3212" s="171" t="str">
        <f t="shared" ca="1" si="250"/>
        <v/>
      </c>
      <c r="J3212" s="171" t="str">
        <f t="shared" ca="1" si="251"/>
        <v/>
      </c>
      <c r="K3212" s="171" t="str">
        <f t="shared" ca="1" si="252"/>
        <v/>
      </c>
      <c r="L3212" s="166"/>
      <c r="M3212" s="166"/>
      <c r="N3212" s="166"/>
      <c r="O3212" s="166"/>
      <c r="P3212" s="166">
        <f t="shared" ca="1" si="256"/>
        <v>0</v>
      </c>
      <c r="Q3212" s="166"/>
    </row>
    <row r="3213" spans="1:17">
      <c r="A3213" s="166" t="b">
        <f t="shared" ca="1" si="248"/>
        <v>0</v>
      </c>
      <c r="B3213" s="172" t="str">
        <f ca="1">IF(COUNTA(G$2368:G3212)=1,"",OFFSET(B3213,-COUNTA(G$2368:G3212)+1,0))</f>
        <v>a1b3p000006eF5qAAE</v>
      </c>
      <c r="C3213" s="177">
        <f ca="1">IF(COUNTA(G$2368:G3212)=1,"",OFFSET(C3213,-COUNTA(G$2368:G3212)+1,0))</f>
        <v>61</v>
      </c>
      <c r="D3213" s="166">
        <f t="shared" si="253"/>
        <v>363</v>
      </c>
      <c r="E3213" s="166">
        <f t="shared" ca="1" si="254"/>
        <v>3</v>
      </c>
      <c r="F3213" s="166">
        <f t="shared" ca="1" si="255"/>
        <v>69</v>
      </c>
      <c r="G3213" s="166"/>
      <c r="H3213" s="171" t="str">
        <f t="shared" ca="1" si="249"/>
        <v/>
      </c>
      <c r="I3213" s="171" t="str">
        <f t="shared" ca="1" si="250"/>
        <v/>
      </c>
      <c r="J3213" s="171" t="str">
        <f t="shared" ca="1" si="251"/>
        <v/>
      </c>
      <c r="K3213" s="171" t="str">
        <f t="shared" ca="1" si="252"/>
        <v/>
      </c>
      <c r="L3213" s="166"/>
      <c r="M3213" s="166"/>
      <c r="N3213" s="166"/>
      <c r="O3213" s="166"/>
      <c r="P3213" s="166">
        <f t="shared" ca="1" si="256"/>
        <v>0</v>
      </c>
      <c r="Q3213" s="166"/>
    </row>
    <row r="3214" spans="1:17">
      <c r="A3214" s="166" t="b">
        <f t="shared" ca="1" si="248"/>
        <v>0</v>
      </c>
      <c r="B3214" s="172" t="str">
        <f ca="1">IF(COUNTA(G$2368:G3213)=1,"",OFFSET(B3214,-COUNTA(G$2368:G3213)+1,0))</f>
        <v>a1b3p000006eF78AAE</v>
      </c>
      <c r="C3214" s="177">
        <f ca="1">IF(COUNTA(G$2368:G3213)=1,"",OFFSET(C3214,-COUNTA(G$2368:G3213)+1,0))</f>
        <v>61</v>
      </c>
      <c r="D3214" s="166">
        <f t="shared" si="253"/>
        <v>364</v>
      </c>
      <c r="E3214" s="166">
        <f t="shared" ca="1" si="254"/>
        <v>4</v>
      </c>
      <c r="F3214" s="166">
        <f t="shared" ca="1" si="255"/>
        <v>69</v>
      </c>
      <c r="G3214" s="166"/>
      <c r="H3214" s="171" t="str">
        <f t="shared" ca="1" si="249"/>
        <v/>
      </c>
      <c r="I3214" s="171" t="str">
        <f t="shared" ca="1" si="250"/>
        <v/>
      </c>
      <c r="J3214" s="171" t="str">
        <f t="shared" ca="1" si="251"/>
        <v/>
      </c>
      <c r="K3214" s="171" t="str">
        <f t="shared" ca="1" si="252"/>
        <v/>
      </c>
      <c r="L3214" s="166"/>
      <c r="M3214" s="166"/>
      <c r="N3214" s="166"/>
      <c r="O3214" s="166"/>
      <c r="P3214" s="166">
        <f t="shared" ca="1" si="256"/>
        <v>0</v>
      </c>
      <c r="Q3214" s="166"/>
    </row>
    <row r="3215" spans="1:17">
      <c r="A3215" s="166" t="b">
        <f t="shared" ca="1" si="248"/>
        <v>0</v>
      </c>
      <c r="B3215" s="172" t="str">
        <f ca="1">IF(COUNTA(G$2368:G3214)=1,"",OFFSET(B3215,-COUNTA(G$2368:G3214)+1,0))</f>
        <v>a1b3p000006eF8QAAU</v>
      </c>
      <c r="C3215" s="177">
        <f ca="1">IF(COUNTA(G$2368:G3214)=1,"",OFFSET(C3215,-COUNTA(G$2368:G3214)+1,0))</f>
        <v>61</v>
      </c>
      <c r="D3215" s="166">
        <f t="shared" si="253"/>
        <v>365</v>
      </c>
      <c r="E3215" s="166">
        <f t="shared" ca="1" si="254"/>
        <v>5</v>
      </c>
      <c r="F3215" s="166">
        <f t="shared" ca="1" si="255"/>
        <v>69</v>
      </c>
      <c r="G3215" s="166"/>
      <c r="H3215" s="171" t="str">
        <f t="shared" ca="1" si="249"/>
        <v/>
      </c>
      <c r="I3215" s="171" t="str">
        <f t="shared" ca="1" si="250"/>
        <v/>
      </c>
      <c r="J3215" s="171" t="str">
        <f t="shared" ca="1" si="251"/>
        <v/>
      </c>
      <c r="K3215" s="171" t="str">
        <f t="shared" ca="1" si="252"/>
        <v/>
      </c>
      <c r="L3215" s="166"/>
      <c r="M3215" s="166"/>
      <c r="N3215" s="166"/>
      <c r="O3215" s="166"/>
      <c r="P3215" s="166">
        <f t="shared" ca="1" si="256"/>
        <v>0</v>
      </c>
      <c r="Q3215" s="166"/>
    </row>
    <row r="3216" spans="1:17">
      <c r="A3216" s="166" t="b">
        <f t="shared" ca="1" si="248"/>
        <v>0</v>
      </c>
      <c r="B3216" s="172" t="str">
        <f ca="1">IF(COUNTA(G$2368:G3215)=1,"",OFFSET(B3216,-COUNTA(G$2368:G3215)+1,0))</f>
        <v>a1b3p000006eF9iAAE</v>
      </c>
      <c r="C3216" s="177">
        <f ca="1">IF(COUNTA(G$2368:G3215)=1,"",OFFSET(C3216,-COUNTA(G$2368:G3215)+1,0))</f>
        <v>61</v>
      </c>
      <c r="D3216" s="166">
        <f t="shared" si="253"/>
        <v>366</v>
      </c>
      <c r="E3216" s="166">
        <f t="shared" ca="1" si="254"/>
        <v>6</v>
      </c>
      <c r="F3216" s="166">
        <f t="shared" ca="1" si="255"/>
        <v>69</v>
      </c>
      <c r="G3216" s="166"/>
      <c r="H3216" s="171" t="str">
        <f t="shared" ca="1" si="249"/>
        <v/>
      </c>
      <c r="I3216" s="171" t="str">
        <f t="shared" ca="1" si="250"/>
        <v/>
      </c>
      <c r="J3216" s="171" t="str">
        <f t="shared" ca="1" si="251"/>
        <v/>
      </c>
      <c r="K3216" s="171" t="str">
        <f t="shared" ca="1" si="252"/>
        <v/>
      </c>
      <c r="L3216" s="166"/>
      <c r="M3216" s="166"/>
      <c r="N3216" s="166"/>
      <c r="O3216" s="166"/>
      <c r="P3216" s="166">
        <f t="shared" ca="1" si="256"/>
        <v>0</v>
      </c>
      <c r="Q3216" s="166"/>
    </row>
    <row r="3217" spans="1:17">
      <c r="A3217" s="166" t="b">
        <f t="shared" ca="1" si="248"/>
        <v>0</v>
      </c>
      <c r="B3217" s="172" t="str">
        <f ca="1">IF(COUNTA(G$2368:G3216)=1,"",OFFSET(B3217,-COUNTA(G$2368:G3216)+1,0))</f>
        <v>a1b3p000006eF3HAAU</v>
      </c>
      <c r="C3217" s="177">
        <f ca="1">IF(COUNTA(G$2368:G3216)=1,"",OFFSET(C3217,-COUNTA(G$2368:G3216)+1,0))</f>
        <v>62</v>
      </c>
      <c r="D3217" s="166">
        <f t="shared" si="253"/>
        <v>367</v>
      </c>
      <c r="E3217" s="166">
        <f t="shared" ca="1" si="254"/>
        <v>1</v>
      </c>
      <c r="F3217" s="166">
        <f t="shared" ca="1" si="255"/>
        <v>70</v>
      </c>
      <c r="G3217" s="166"/>
      <c r="H3217" s="171" t="str">
        <f t="shared" ca="1" si="249"/>
        <v/>
      </c>
      <c r="I3217" s="171" t="str">
        <f t="shared" ca="1" si="250"/>
        <v/>
      </c>
      <c r="J3217" s="171" t="str">
        <f t="shared" ca="1" si="251"/>
        <v/>
      </c>
      <c r="K3217" s="171" t="str">
        <f t="shared" ca="1" si="252"/>
        <v/>
      </c>
      <c r="L3217" s="166"/>
      <c r="M3217" s="166"/>
      <c r="N3217" s="166"/>
      <c r="O3217" s="166"/>
      <c r="P3217" s="166">
        <f t="shared" ca="1" si="256"/>
        <v>0</v>
      </c>
      <c r="Q3217" s="166"/>
    </row>
    <row r="3218" spans="1:17">
      <c r="A3218" s="166" t="b">
        <f t="shared" ca="1" si="248"/>
        <v>0</v>
      </c>
      <c r="B3218" s="172" t="str">
        <f ca="1">IF(COUNTA(G$2368:G3217)=1,"",OFFSET(B3218,-COUNTA(G$2368:G3217)+1,0))</f>
        <v>a1b3p000006eF4ZAAU</v>
      </c>
      <c r="C3218" s="177">
        <f ca="1">IF(COUNTA(G$2368:G3217)=1,"",OFFSET(C3218,-COUNTA(G$2368:G3217)+1,0))</f>
        <v>62</v>
      </c>
      <c r="D3218" s="166">
        <f t="shared" si="253"/>
        <v>368</v>
      </c>
      <c r="E3218" s="166">
        <f t="shared" ca="1" si="254"/>
        <v>2</v>
      </c>
      <c r="F3218" s="166">
        <f t="shared" ca="1" si="255"/>
        <v>70</v>
      </c>
      <c r="G3218" s="166"/>
      <c r="H3218" s="171" t="str">
        <f t="shared" ca="1" si="249"/>
        <v/>
      </c>
      <c r="I3218" s="171" t="str">
        <f t="shared" ca="1" si="250"/>
        <v/>
      </c>
      <c r="J3218" s="171" t="str">
        <f t="shared" ca="1" si="251"/>
        <v/>
      </c>
      <c r="K3218" s="171" t="str">
        <f t="shared" ca="1" si="252"/>
        <v/>
      </c>
      <c r="L3218" s="166"/>
      <c r="M3218" s="166"/>
      <c r="N3218" s="166"/>
      <c r="O3218" s="166"/>
      <c r="P3218" s="166">
        <f t="shared" ca="1" si="256"/>
        <v>0</v>
      </c>
      <c r="Q3218" s="166"/>
    </row>
    <row r="3219" spans="1:17">
      <c r="A3219" s="166" t="b">
        <f t="shared" ca="1" si="248"/>
        <v>0</v>
      </c>
      <c r="B3219" s="172" t="str">
        <f ca="1">IF(COUNTA(G$2368:G3218)=1,"",OFFSET(B3219,-COUNTA(G$2368:G3218)+1,0))</f>
        <v>a1b3p000006eF5rAAE</v>
      </c>
      <c r="C3219" s="177">
        <f ca="1">IF(COUNTA(G$2368:G3218)=1,"",OFFSET(C3219,-COUNTA(G$2368:G3218)+1,0))</f>
        <v>62</v>
      </c>
      <c r="D3219" s="166">
        <f t="shared" si="253"/>
        <v>369</v>
      </c>
      <c r="E3219" s="166">
        <f t="shared" ca="1" si="254"/>
        <v>3</v>
      </c>
      <c r="F3219" s="166">
        <f t="shared" ca="1" si="255"/>
        <v>70</v>
      </c>
      <c r="G3219" s="166"/>
      <c r="H3219" s="171" t="str">
        <f t="shared" ca="1" si="249"/>
        <v/>
      </c>
      <c r="I3219" s="171" t="str">
        <f t="shared" ca="1" si="250"/>
        <v/>
      </c>
      <c r="J3219" s="171" t="str">
        <f t="shared" ca="1" si="251"/>
        <v/>
      </c>
      <c r="K3219" s="171" t="str">
        <f t="shared" ca="1" si="252"/>
        <v/>
      </c>
      <c r="L3219" s="166"/>
      <c r="M3219" s="166"/>
      <c r="N3219" s="166"/>
      <c r="O3219" s="166"/>
      <c r="P3219" s="166">
        <f t="shared" ca="1" si="256"/>
        <v>0</v>
      </c>
      <c r="Q3219" s="166"/>
    </row>
    <row r="3220" spans="1:17">
      <c r="A3220" s="166" t="b">
        <f t="shared" ca="1" si="248"/>
        <v>0</v>
      </c>
      <c r="B3220" s="172" t="str">
        <f ca="1">IF(COUNTA(G$2368:G3219)=1,"",OFFSET(B3220,-COUNTA(G$2368:G3219)+1,0))</f>
        <v>a1b3p000006eF79AAE</v>
      </c>
      <c r="C3220" s="177">
        <f ca="1">IF(COUNTA(G$2368:G3219)=1,"",OFFSET(C3220,-COUNTA(G$2368:G3219)+1,0))</f>
        <v>62</v>
      </c>
      <c r="D3220" s="166">
        <f t="shared" si="253"/>
        <v>370</v>
      </c>
      <c r="E3220" s="166">
        <f t="shared" ca="1" si="254"/>
        <v>4</v>
      </c>
      <c r="F3220" s="166">
        <f t="shared" ca="1" si="255"/>
        <v>70</v>
      </c>
      <c r="G3220" s="166"/>
      <c r="H3220" s="171" t="str">
        <f t="shared" ca="1" si="249"/>
        <v/>
      </c>
      <c r="I3220" s="171" t="str">
        <f t="shared" ca="1" si="250"/>
        <v/>
      </c>
      <c r="J3220" s="171" t="str">
        <f t="shared" ca="1" si="251"/>
        <v/>
      </c>
      <c r="K3220" s="171" t="str">
        <f t="shared" ca="1" si="252"/>
        <v/>
      </c>
      <c r="L3220" s="166"/>
      <c r="M3220" s="166"/>
      <c r="N3220" s="166"/>
      <c r="O3220" s="166"/>
      <c r="P3220" s="166">
        <f t="shared" ca="1" si="256"/>
        <v>0</v>
      </c>
      <c r="Q3220" s="166"/>
    </row>
    <row r="3221" spans="1:17">
      <c r="A3221" s="166" t="b">
        <f t="shared" ca="1" si="248"/>
        <v>0</v>
      </c>
      <c r="B3221" s="172" t="str">
        <f ca="1">IF(COUNTA(G$2368:G3220)=1,"",OFFSET(B3221,-COUNTA(G$2368:G3220)+1,0))</f>
        <v>a1b3p000006eF8RAAU</v>
      </c>
      <c r="C3221" s="177">
        <f ca="1">IF(COUNTA(G$2368:G3220)=1,"",OFFSET(C3221,-COUNTA(G$2368:G3220)+1,0))</f>
        <v>62</v>
      </c>
      <c r="D3221" s="166">
        <f t="shared" si="253"/>
        <v>371</v>
      </c>
      <c r="E3221" s="166">
        <f t="shared" ca="1" si="254"/>
        <v>5</v>
      </c>
      <c r="F3221" s="166">
        <f t="shared" ca="1" si="255"/>
        <v>70</v>
      </c>
      <c r="G3221" s="166"/>
      <c r="H3221" s="171" t="str">
        <f t="shared" ca="1" si="249"/>
        <v/>
      </c>
      <c r="I3221" s="171" t="str">
        <f t="shared" ca="1" si="250"/>
        <v/>
      </c>
      <c r="J3221" s="171" t="str">
        <f t="shared" ca="1" si="251"/>
        <v/>
      </c>
      <c r="K3221" s="171" t="str">
        <f t="shared" ca="1" si="252"/>
        <v/>
      </c>
      <c r="L3221" s="166"/>
      <c r="M3221" s="166"/>
      <c r="N3221" s="166"/>
      <c r="O3221" s="166"/>
      <c r="P3221" s="166">
        <f t="shared" ca="1" si="256"/>
        <v>0</v>
      </c>
      <c r="Q3221" s="166"/>
    </row>
    <row r="3222" spans="1:17">
      <c r="A3222" s="166" t="b">
        <f t="shared" ca="1" si="248"/>
        <v>0</v>
      </c>
      <c r="B3222" s="172" t="str">
        <f ca="1">IF(COUNTA(G$2368:G3221)=1,"",OFFSET(B3222,-COUNTA(G$2368:G3221)+1,0))</f>
        <v>a1b3p000006eF9jAAE</v>
      </c>
      <c r="C3222" s="177">
        <f ca="1">IF(COUNTA(G$2368:G3221)=1,"",OFFSET(C3222,-COUNTA(G$2368:G3221)+1,0))</f>
        <v>62</v>
      </c>
      <c r="D3222" s="166">
        <f t="shared" si="253"/>
        <v>372</v>
      </c>
      <c r="E3222" s="166">
        <f t="shared" ca="1" si="254"/>
        <v>6</v>
      </c>
      <c r="F3222" s="166">
        <f t="shared" ca="1" si="255"/>
        <v>70</v>
      </c>
      <c r="G3222" s="166"/>
      <c r="H3222" s="171" t="str">
        <f t="shared" ca="1" si="249"/>
        <v/>
      </c>
      <c r="I3222" s="171" t="str">
        <f t="shared" ca="1" si="250"/>
        <v/>
      </c>
      <c r="J3222" s="171" t="str">
        <f t="shared" ca="1" si="251"/>
        <v/>
      </c>
      <c r="K3222" s="171" t="str">
        <f t="shared" ca="1" si="252"/>
        <v/>
      </c>
      <c r="L3222" s="166"/>
      <c r="M3222" s="166"/>
      <c r="N3222" s="166"/>
      <c r="O3222" s="166"/>
      <c r="P3222" s="166">
        <f t="shared" ca="1" si="256"/>
        <v>0</v>
      </c>
      <c r="Q3222" s="166"/>
    </row>
    <row r="3223" spans="1:17">
      <c r="A3223" s="166" t="b">
        <f t="shared" ca="1" si="248"/>
        <v>0</v>
      </c>
      <c r="B3223" s="172" t="str">
        <f ca="1">IF(COUNTA(G$2368:G3222)=1,"",OFFSET(B3223,-COUNTA(G$2368:G3222)+1,0))</f>
        <v>a1b3p000006eF3IAAU</v>
      </c>
      <c r="C3223" s="177">
        <f ca="1">IF(COUNTA(G$2368:G3222)=1,"",OFFSET(C3223,-COUNTA(G$2368:G3222)+1,0))</f>
        <v>63</v>
      </c>
      <c r="D3223" s="166">
        <f t="shared" si="253"/>
        <v>373</v>
      </c>
      <c r="E3223" s="166">
        <f t="shared" ca="1" si="254"/>
        <v>1</v>
      </c>
      <c r="F3223" s="166">
        <f t="shared" ca="1" si="255"/>
        <v>71</v>
      </c>
      <c r="G3223" s="166"/>
      <c r="H3223" s="171" t="str">
        <f t="shared" ca="1" si="249"/>
        <v/>
      </c>
      <c r="I3223" s="171" t="str">
        <f t="shared" ca="1" si="250"/>
        <v/>
      </c>
      <c r="J3223" s="171" t="str">
        <f t="shared" ca="1" si="251"/>
        <v/>
      </c>
      <c r="K3223" s="171" t="str">
        <f t="shared" ca="1" si="252"/>
        <v/>
      </c>
      <c r="L3223" s="166"/>
      <c r="M3223" s="166"/>
      <c r="N3223" s="166"/>
      <c r="O3223" s="166"/>
      <c r="P3223" s="166">
        <f t="shared" ca="1" si="256"/>
        <v>0</v>
      </c>
      <c r="Q3223" s="166"/>
    </row>
    <row r="3224" spans="1:17">
      <c r="A3224" s="166" t="b">
        <f t="shared" ca="1" si="248"/>
        <v>0</v>
      </c>
      <c r="B3224" s="172" t="str">
        <f ca="1">IF(COUNTA(G$2368:G3223)=1,"",OFFSET(B3224,-COUNTA(G$2368:G3223)+1,0))</f>
        <v>a1b3p000006eF4aAAE</v>
      </c>
      <c r="C3224" s="177">
        <f ca="1">IF(COUNTA(G$2368:G3223)=1,"",OFFSET(C3224,-COUNTA(G$2368:G3223)+1,0))</f>
        <v>63</v>
      </c>
      <c r="D3224" s="166">
        <f t="shared" si="253"/>
        <v>374</v>
      </c>
      <c r="E3224" s="166">
        <f t="shared" ca="1" si="254"/>
        <v>2</v>
      </c>
      <c r="F3224" s="166">
        <f t="shared" ca="1" si="255"/>
        <v>71</v>
      </c>
      <c r="G3224" s="166"/>
      <c r="H3224" s="171" t="str">
        <f t="shared" ca="1" si="249"/>
        <v/>
      </c>
      <c r="I3224" s="171" t="str">
        <f t="shared" ca="1" si="250"/>
        <v/>
      </c>
      <c r="J3224" s="171" t="str">
        <f t="shared" ca="1" si="251"/>
        <v/>
      </c>
      <c r="K3224" s="171" t="str">
        <f t="shared" ca="1" si="252"/>
        <v/>
      </c>
      <c r="L3224" s="166"/>
      <c r="M3224" s="166"/>
      <c r="N3224" s="166"/>
      <c r="O3224" s="166"/>
      <c r="P3224" s="166">
        <f t="shared" ca="1" si="256"/>
        <v>0</v>
      </c>
      <c r="Q3224" s="166"/>
    </row>
    <row r="3225" spans="1:17">
      <c r="A3225" s="166" t="b">
        <f t="shared" ca="1" si="248"/>
        <v>0</v>
      </c>
      <c r="B3225" s="172" t="str">
        <f ca="1">IF(COUNTA(G$2368:G3224)=1,"",OFFSET(B3225,-COUNTA(G$2368:G3224)+1,0))</f>
        <v>a1b3p000006eF5sAAE</v>
      </c>
      <c r="C3225" s="177">
        <f ca="1">IF(COUNTA(G$2368:G3224)=1,"",OFFSET(C3225,-COUNTA(G$2368:G3224)+1,0))</f>
        <v>63</v>
      </c>
      <c r="D3225" s="166">
        <f t="shared" si="253"/>
        <v>375</v>
      </c>
      <c r="E3225" s="166">
        <f t="shared" ca="1" si="254"/>
        <v>3</v>
      </c>
      <c r="F3225" s="166">
        <f t="shared" ca="1" si="255"/>
        <v>71</v>
      </c>
      <c r="G3225" s="166"/>
      <c r="H3225" s="171" t="str">
        <f t="shared" ca="1" si="249"/>
        <v/>
      </c>
      <c r="I3225" s="171" t="str">
        <f t="shared" ca="1" si="250"/>
        <v/>
      </c>
      <c r="J3225" s="171" t="str">
        <f t="shared" ca="1" si="251"/>
        <v/>
      </c>
      <c r="K3225" s="171" t="str">
        <f t="shared" ca="1" si="252"/>
        <v/>
      </c>
      <c r="L3225" s="166"/>
      <c r="M3225" s="166"/>
      <c r="N3225" s="166"/>
      <c r="O3225" s="166"/>
      <c r="P3225" s="166">
        <f t="shared" ca="1" si="256"/>
        <v>0</v>
      </c>
      <c r="Q3225" s="166"/>
    </row>
    <row r="3226" spans="1:17">
      <c r="A3226" s="166" t="b">
        <f t="shared" ca="1" si="248"/>
        <v>0</v>
      </c>
      <c r="B3226" s="172" t="str">
        <f ca="1">IF(COUNTA(G$2368:G3225)=1,"",OFFSET(B3226,-COUNTA(G$2368:G3225)+1,0))</f>
        <v>a1b3p000006eF7AAAU</v>
      </c>
      <c r="C3226" s="177">
        <f ca="1">IF(COUNTA(G$2368:G3225)=1,"",OFFSET(C3226,-COUNTA(G$2368:G3225)+1,0))</f>
        <v>63</v>
      </c>
      <c r="D3226" s="166">
        <f t="shared" si="253"/>
        <v>376</v>
      </c>
      <c r="E3226" s="166">
        <f t="shared" ca="1" si="254"/>
        <v>4</v>
      </c>
      <c r="F3226" s="166">
        <f t="shared" ca="1" si="255"/>
        <v>71</v>
      </c>
      <c r="G3226" s="166"/>
      <c r="H3226" s="171" t="str">
        <f t="shared" ca="1" si="249"/>
        <v/>
      </c>
      <c r="I3226" s="171" t="str">
        <f t="shared" ca="1" si="250"/>
        <v/>
      </c>
      <c r="J3226" s="171" t="str">
        <f t="shared" ca="1" si="251"/>
        <v/>
      </c>
      <c r="K3226" s="171" t="str">
        <f t="shared" ca="1" si="252"/>
        <v/>
      </c>
      <c r="L3226" s="166"/>
      <c r="M3226" s="166"/>
      <c r="N3226" s="166"/>
      <c r="O3226" s="166"/>
      <c r="P3226" s="166">
        <f t="shared" ca="1" si="256"/>
        <v>0</v>
      </c>
      <c r="Q3226" s="166"/>
    </row>
    <row r="3227" spans="1:17">
      <c r="A3227" s="166" t="b">
        <f t="shared" ca="1" si="248"/>
        <v>0</v>
      </c>
      <c r="B3227" s="172" t="str">
        <f ca="1">IF(COUNTA(G$2368:G3226)=1,"",OFFSET(B3227,-COUNTA(G$2368:G3226)+1,0))</f>
        <v>a1b3p000006eF8SAAU</v>
      </c>
      <c r="C3227" s="177">
        <f ca="1">IF(COUNTA(G$2368:G3226)=1,"",OFFSET(C3227,-COUNTA(G$2368:G3226)+1,0))</f>
        <v>63</v>
      </c>
      <c r="D3227" s="166">
        <f t="shared" si="253"/>
        <v>377</v>
      </c>
      <c r="E3227" s="166">
        <f t="shared" ca="1" si="254"/>
        <v>5</v>
      </c>
      <c r="F3227" s="166">
        <f t="shared" ca="1" si="255"/>
        <v>71</v>
      </c>
      <c r="G3227" s="166"/>
      <c r="H3227" s="171" t="str">
        <f t="shared" ca="1" si="249"/>
        <v/>
      </c>
      <c r="I3227" s="171" t="str">
        <f t="shared" ca="1" si="250"/>
        <v/>
      </c>
      <c r="J3227" s="171" t="str">
        <f t="shared" ca="1" si="251"/>
        <v/>
      </c>
      <c r="K3227" s="171" t="str">
        <f t="shared" ca="1" si="252"/>
        <v/>
      </c>
      <c r="L3227" s="166"/>
      <c r="M3227" s="166"/>
      <c r="N3227" s="166"/>
      <c r="O3227" s="166"/>
      <c r="P3227" s="166">
        <f t="shared" ca="1" si="256"/>
        <v>0</v>
      </c>
      <c r="Q3227" s="166"/>
    </row>
    <row r="3228" spans="1:17">
      <c r="A3228" s="166" t="b">
        <f t="shared" ca="1" si="248"/>
        <v>0</v>
      </c>
      <c r="B3228" s="172" t="str">
        <f ca="1">IF(COUNTA(G$2368:G3227)=1,"",OFFSET(B3228,-COUNTA(G$2368:G3227)+1,0))</f>
        <v>a1b3p000006eF9kAAE</v>
      </c>
      <c r="C3228" s="177">
        <f ca="1">IF(COUNTA(G$2368:G3227)=1,"",OFFSET(C3228,-COUNTA(G$2368:G3227)+1,0))</f>
        <v>63</v>
      </c>
      <c r="D3228" s="166">
        <f t="shared" si="253"/>
        <v>378</v>
      </c>
      <c r="E3228" s="166">
        <f t="shared" ca="1" si="254"/>
        <v>6</v>
      </c>
      <c r="F3228" s="166">
        <f t="shared" ca="1" si="255"/>
        <v>71</v>
      </c>
      <c r="G3228" s="166"/>
      <c r="H3228" s="171" t="str">
        <f t="shared" ca="1" si="249"/>
        <v/>
      </c>
      <c r="I3228" s="171" t="str">
        <f t="shared" ca="1" si="250"/>
        <v/>
      </c>
      <c r="J3228" s="171" t="str">
        <f t="shared" ca="1" si="251"/>
        <v/>
      </c>
      <c r="K3228" s="171" t="str">
        <f t="shared" ca="1" si="252"/>
        <v/>
      </c>
      <c r="L3228" s="166"/>
      <c r="M3228" s="166"/>
      <c r="N3228" s="166"/>
      <c r="O3228" s="166"/>
      <c r="P3228" s="166">
        <f t="shared" ca="1" si="256"/>
        <v>0</v>
      </c>
      <c r="Q3228" s="166"/>
    </row>
    <row r="3229" spans="1:17">
      <c r="A3229" s="166" t="b">
        <f t="shared" ca="1" si="248"/>
        <v>0</v>
      </c>
      <c r="B3229" s="172" t="str">
        <f ca="1">IF(COUNTA(G$2368:G3228)=1,"",OFFSET(B3229,-COUNTA(G$2368:G3228)+1,0))</f>
        <v>a1b3p000006eF3JAAU</v>
      </c>
      <c r="C3229" s="177">
        <f ca="1">IF(COUNTA(G$2368:G3228)=1,"",OFFSET(C3229,-COUNTA(G$2368:G3228)+1,0))</f>
        <v>64</v>
      </c>
      <c r="D3229" s="166">
        <f t="shared" si="253"/>
        <v>379</v>
      </c>
      <c r="E3229" s="166">
        <f t="shared" ca="1" si="254"/>
        <v>1</v>
      </c>
      <c r="F3229" s="166">
        <f t="shared" ca="1" si="255"/>
        <v>72</v>
      </c>
      <c r="G3229" s="166"/>
      <c r="H3229" s="171" t="str">
        <f t="shared" ca="1" si="249"/>
        <v/>
      </c>
      <c r="I3229" s="171" t="str">
        <f t="shared" ca="1" si="250"/>
        <v/>
      </c>
      <c r="J3229" s="171" t="str">
        <f t="shared" ca="1" si="251"/>
        <v/>
      </c>
      <c r="K3229" s="171" t="str">
        <f t="shared" ca="1" si="252"/>
        <v/>
      </c>
      <c r="L3229" s="166"/>
      <c r="M3229" s="166"/>
      <c r="N3229" s="166"/>
      <c r="O3229" s="166"/>
      <c r="P3229" s="166">
        <f t="shared" ca="1" si="256"/>
        <v>0</v>
      </c>
      <c r="Q3229" s="166"/>
    </row>
    <row r="3230" spans="1:17">
      <c r="A3230" s="166" t="b">
        <f t="shared" ca="1" si="248"/>
        <v>0</v>
      </c>
      <c r="B3230" s="172" t="str">
        <f ca="1">IF(COUNTA(G$2368:G3229)=1,"",OFFSET(B3230,-COUNTA(G$2368:G3229)+1,0))</f>
        <v>a1b3p000006eF4bAAE</v>
      </c>
      <c r="C3230" s="177">
        <f ca="1">IF(COUNTA(G$2368:G3229)=1,"",OFFSET(C3230,-COUNTA(G$2368:G3229)+1,0))</f>
        <v>64</v>
      </c>
      <c r="D3230" s="166">
        <f t="shared" si="253"/>
        <v>380</v>
      </c>
      <c r="E3230" s="166">
        <f t="shared" ca="1" si="254"/>
        <v>2</v>
      </c>
      <c r="F3230" s="166">
        <f t="shared" ca="1" si="255"/>
        <v>72</v>
      </c>
      <c r="G3230" s="166"/>
      <c r="H3230" s="171" t="str">
        <f t="shared" ca="1" si="249"/>
        <v/>
      </c>
      <c r="I3230" s="171" t="str">
        <f t="shared" ca="1" si="250"/>
        <v/>
      </c>
      <c r="J3230" s="171" t="str">
        <f t="shared" ca="1" si="251"/>
        <v/>
      </c>
      <c r="K3230" s="171" t="str">
        <f t="shared" ca="1" si="252"/>
        <v/>
      </c>
      <c r="L3230" s="166"/>
      <c r="M3230" s="166"/>
      <c r="N3230" s="166"/>
      <c r="O3230" s="166"/>
      <c r="P3230" s="166">
        <f t="shared" ca="1" si="256"/>
        <v>0</v>
      </c>
      <c r="Q3230" s="166"/>
    </row>
    <row r="3231" spans="1:17">
      <c r="A3231" s="166" t="b">
        <f t="shared" ca="1" si="248"/>
        <v>0</v>
      </c>
      <c r="B3231" s="172" t="str">
        <f ca="1">IF(COUNTA(G$2368:G3230)=1,"",OFFSET(B3231,-COUNTA(G$2368:G3230)+1,0))</f>
        <v>a1b3p000006eF5tAAE</v>
      </c>
      <c r="C3231" s="177">
        <f ca="1">IF(COUNTA(G$2368:G3230)=1,"",OFFSET(C3231,-COUNTA(G$2368:G3230)+1,0))</f>
        <v>64</v>
      </c>
      <c r="D3231" s="166">
        <f t="shared" si="253"/>
        <v>381</v>
      </c>
      <c r="E3231" s="166">
        <f t="shared" ca="1" si="254"/>
        <v>3</v>
      </c>
      <c r="F3231" s="166">
        <f t="shared" ca="1" si="255"/>
        <v>72</v>
      </c>
      <c r="G3231" s="166"/>
      <c r="H3231" s="171" t="str">
        <f t="shared" ca="1" si="249"/>
        <v/>
      </c>
      <c r="I3231" s="171" t="str">
        <f t="shared" ca="1" si="250"/>
        <v/>
      </c>
      <c r="J3231" s="171" t="str">
        <f t="shared" ca="1" si="251"/>
        <v/>
      </c>
      <c r="K3231" s="171" t="str">
        <f t="shared" ca="1" si="252"/>
        <v/>
      </c>
      <c r="L3231" s="166"/>
      <c r="M3231" s="166"/>
      <c r="N3231" s="166"/>
      <c r="O3231" s="166"/>
      <c r="P3231" s="166">
        <f t="shared" ca="1" si="256"/>
        <v>0</v>
      </c>
      <c r="Q3231" s="166"/>
    </row>
    <row r="3232" spans="1:17">
      <c r="A3232" s="166" t="b">
        <f t="shared" ca="1" si="248"/>
        <v>0</v>
      </c>
      <c r="B3232" s="172" t="str">
        <f ca="1">IF(COUNTA(G$2368:G3231)=1,"",OFFSET(B3232,-COUNTA(G$2368:G3231)+1,0))</f>
        <v>a1b3p000006eF7BAAU</v>
      </c>
      <c r="C3232" s="177">
        <f ca="1">IF(COUNTA(G$2368:G3231)=1,"",OFFSET(C3232,-COUNTA(G$2368:G3231)+1,0))</f>
        <v>64</v>
      </c>
      <c r="D3232" s="166">
        <f t="shared" si="253"/>
        <v>382</v>
      </c>
      <c r="E3232" s="166">
        <f t="shared" ca="1" si="254"/>
        <v>4</v>
      </c>
      <c r="F3232" s="166">
        <f t="shared" ca="1" si="255"/>
        <v>72</v>
      </c>
      <c r="G3232" s="166"/>
      <c r="H3232" s="171" t="str">
        <f t="shared" ca="1" si="249"/>
        <v/>
      </c>
      <c r="I3232" s="171" t="str">
        <f t="shared" ca="1" si="250"/>
        <v/>
      </c>
      <c r="J3232" s="171" t="str">
        <f t="shared" ca="1" si="251"/>
        <v/>
      </c>
      <c r="K3232" s="171" t="str">
        <f t="shared" ca="1" si="252"/>
        <v/>
      </c>
      <c r="L3232" s="166"/>
      <c r="M3232" s="166"/>
      <c r="N3232" s="166"/>
      <c r="O3232" s="166"/>
      <c r="P3232" s="166">
        <f t="shared" ca="1" si="256"/>
        <v>0</v>
      </c>
      <c r="Q3232" s="166"/>
    </row>
    <row r="3233" spans="1:17">
      <c r="A3233" s="166" t="b">
        <f t="shared" ca="1" si="248"/>
        <v>0</v>
      </c>
      <c r="B3233" s="172" t="str">
        <f ca="1">IF(COUNTA(G$2368:G3232)=1,"",OFFSET(B3233,-COUNTA(G$2368:G3232)+1,0))</f>
        <v>a1b3p000006eF8TAAU</v>
      </c>
      <c r="C3233" s="177">
        <f ca="1">IF(COUNTA(G$2368:G3232)=1,"",OFFSET(C3233,-COUNTA(G$2368:G3232)+1,0))</f>
        <v>64</v>
      </c>
      <c r="D3233" s="166">
        <f t="shared" si="253"/>
        <v>383</v>
      </c>
      <c r="E3233" s="166">
        <f t="shared" ca="1" si="254"/>
        <v>5</v>
      </c>
      <c r="F3233" s="166">
        <f t="shared" ca="1" si="255"/>
        <v>72</v>
      </c>
      <c r="G3233" s="166"/>
      <c r="H3233" s="171" t="str">
        <f t="shared" ca="1" si="249"/>
        <v/>
      </c>
      <c r="I3233" s="171" t="str">
        <f t="shared" ca="1" si="250"/>
        <v/>
      </c>
      <c r="J3233" s="171" t="str">
        <f t="shared" ca="1" si="251"/>
        <v/>
      </c>
      <c r="K3233" s="171" t="str">
        <f t="shared" ca="1" si="252"/>
        <v/>
      </c>
      <c r="L3233" s="166"/>
      <c r="M3233" s="166"/>
      <c r="N3233" s="166"/>
      <c r="O3233" s="166"/>
      <c r="P3233" s="166">
        <f t="shared" ca="1" si="256"/>
        <v>0</v>
      </c>
      <c r="Q3233" s="166"/>
    </row>
    <row r="3234" spans="1:17">
      <c r="A3234" s="166" t="b">
        <f t="shared" ca="1" si="248"/>
        <v>0</v>
      </c>
      <c r="B3234" s="172" t="str">
        <f ca="1">IF(COUNTA(G$2368:G3233)=1,"",OFFSET(B3234,-COUNTA(G$2368:G3233)+1,0))</f>
        <v>a1b3p000006eF9lAAE</v>
      </c>
      <c r="C3234" s="177">
        <f ca="1">IF(COUNTA(G$2368:G3233)=1,"",OFFSET(C3234,-COUNTA(G$2368:G3233)+1,0))</f>
        <v>64</v>
      </c>
      <c r="D3234" s="166">
        <f t="shared" si="253"/>
        <v>384</v>
      </c>
      <c r="E3234" s="166">
        <f t="shared" ca="1" si="254"/>
        <v>6</v>
      </c>
      <c r="F3234" s="166">
        <f t="shared" ca="1" si="255"/>
        <v>72</v>
      </c>
      <c r="G3234" s="166"/>
      <c r="H3234" s="171" t="str">
        <f t="shared" ca="1" si="249"/>
        <v/>
      </c>
      <c r="I3234" s="171" t="str">
        <f t="shared" ca="1" si="250"/>
        <v/>
      </c>
      <c r="J3234" s="171" t="str">
        <f t="shared" ca="1" si="251"/>
        <v/>
      </c>
      <c r="K3234" s="171" t="str">
        <f t="shared" ca="1" si="252"/>
        <v/>
      </c>
      <c r="L3234" s="166"/>
      <c r="M3234" s="166"/>
      <c r="N3234" s="166"/>
      <c r="O3234" s="166"/>
      <c r="P3234" s="166">
        <f t="shared" ca="1" si="256"/>
        <v>0</v>
      </c>
      <c r="Q3234" s="166"/>
    </row>
    <row r="3235" spans="1:17">
      <c r="A3235" s="166" t="b">
        <f t="shared" ref="A3235:A3298" ca="1" si="257">IF(OR(AND(J3235&lt;&gt;"",J3235&lt;&gt;0),AND(K3235&lt;&gt;"",K3235&lt;&gt;0)),TRUE,FALSE)</f>
        <v>0</v>
      </c>
      <c r="B3235" s="172" t="str">
        <f ca="1">IF(COUNTA(G$2368:G3234)=1,"",OFFSET(B3235,-COUNTA(G$2368:G3234)+1,0))</f>
        <v>a1b3p000006eF3KAAU</v>
      </c>
      <c r="C3235" s="177">
        <f ca="1">IF(COUNTA(G$2368:G3234)=1,"",OFFSET(C3235,-COUNTA(G$2368:G3234)+1,0))</f>
        <v>65</v>
      </c>
      <c r="D3235" s="166">
        <f t="shared" si="253"/>
        <v>385</v>
      </c>
      <c r="E3235" s="166">
        <f t="shared" ca="1" si="254"/>
        <v>1</v>
      </c>
      <c r="F3235" s="166">
        <f t="shared" ca="1" si="255"/>
        <v>73</v>
      </c>
      <c r="G3235" s="166"/>
      <c r="H3235" s="171" t="str">
        <f t="shared" ref="H3235:H3298" ca="1" si="258">CHOOSE(E3235,IFERROR(IF(INDIRECT("'WPTM - Section F'!K"&amp;F3235)=0,"",INDIRECT("'WPTM - Section F'!K"&amp;$F3235)),""),IFERROR(IF(INDIRECT("'WPTM - Section F'!O"&amp;F3235)=0,"",INDIRECT("'WPTM - Section F'!O"&amp;$F3235)),""),IFERROR(IF(INDIRECT("'WPTM - Section F'!S"&amp;F3235)=0,"",INDIRECT("'WPTM - Section F'!S"&amp;$F3235)),""),IFERROR(IF(INDIRECT("'WPTM - Section F'!W"&amp;F3235)=0,"",INDIRECT("'WPTM - Section F'!W"&amp;$F3235)),""),IFERROR(IF(INDIRECT("'WPTM - Section F'!AA"&amp;F3235)=0,"",INDIRECT("'WPTM - Section F'!AA"&amp;$F3235)),""),IFERROR(IF(INDIRECT("'WPTM - Section F'!AE"&amp;F3235)=0,"",INDIRECT("'WPTM - Section F'!AE"&amp;$F3235)),""),IFERROR(IF(INDIRECT("'WPTM - Section F'!AI"&amp;F3235)=0,"",INDIRECT("'WPTM - Section F'!AI"&amp;$F3235)),""),IFERROR(IF(INDIRECT("'WPTM - Section F'!AM"&amp;F3235)=0,"",INDIRECT("'WPTM - Section F'!AM"&amp;$F3235)),""),)</f>
        <v/>
      </c>
      <c r="I3235" s="171" t="str">
        <f t="shared" ref="I3235:I3298" ca="1" si="259">CHOOSE(E3235,IFERROR(IF(INDIRECT("'WPTM - Section F'!J"&amp;F3235)=0,"",INDIRECT("'WPTM - Section F'!J"&amp;$F3235)),""),IFERROR(IF(INDIRECT("'WPTM - Section F'!N"&amp;F3235)=0,"",INDIRECT("'WPTM - Section F'!N"&amp;$F3235)),""),IFERROR(IF(INDIRECT("'WPTM - Section F'!R"&amp;F3235)=0,"",INDIRECT("'WPTM - Section F'!R"&amp;$F3235)),""),IFERROR(IF(INDIRECT("'WPTM - Section F'!V"&amp;F3235)=0,"",INDIRECT("'WPTM - Section F'!V"&amp;$F3235)),""),IFERROR(IF(INDIRECT("'WPTM - Section F'!Z"&amp;F3235)=0,"",INDIRECT("'WPTM - Section F'!Z"&amp;$F3235)),""),IFERROR(IF(INDIRECT("'WPTM - Section F'!AD"&amp;F3235)=0,"",INDIRECT("'WPTM - Section F'!AD"&amp;$F3235)),""),IFERROR(IF(INDIRECT("'WPTM - Section F'!AH"&amp;F3235)=0,"",INDIRECT("'WPTM - Section F'!AH"&amp;$F3235)),""),IFERROR(IF(INDIRECT("'WPTM - Section F'!AL"&amp;F3235)=0,"",INDIRECT("'WPTM - Section F'!AL"&amp;$F3235)),""),)</f>
        <v/>
      </c>
      <c r="J3235" s="171" t="str">
        <f t="shared" ref="J3235:J3298" ca="1" si="260">CHOOSE(E3235,IFERROR(IF(INDIRECT("'WPTM - Section F'!H"&amp;F3235)=0,"",INDIRECT("'WPTM - Section F'!H"&amp;$F3235)),""),IFERROR(IF(INDIRECT("'WPTM - Section F'!L"&amp;F3235)=0,"",INDIRECT("'WPTM - Section F'!L"&amp;$F3235)),""),IFERROR(IF(INDIRECT("'WPTM - Section F'!P"&amp;F3235)=0,"",INDIRECT("'WPTM - Section F'!P"&amp;$F3235)),""),IFERROR(IF(INDIRECT("'WPTM - Section F'!T"&amp;F3235)=0,"",INDIRECT("'WPTM - Section F'!T"&amp;$F3235)),""),IFERROR(IF(INDIRECT("'WPTM - Section F'!X"&amp;F3235)=0,"",INDIRECT("'WPTM - Section F'!X"&amp;$F3235)),""),IFERROR(IF(INDIRECT("'WPTM - Section F'!AB"&amp;F3235)=0,"",INDIRECT("'WPTM - Section F'!AB"&amp;$F3235)),""),IFERROR(IF(INDIRECT("'WPTM - Section F'!AF"&amp;F3235)=0,"",INDIRECT("'WPTM - Section F'!AF"&amp;$F3235)),""),IFERROR(IF(INDIRECT("'WPTM - Section F'!AJ"&amp;F3235)=0,"",INDIRECT("'WPTM - Section F'!AJ"&amp;$F3235)),""),)</f>
        <v/>
      </c>
      <c r="K3235" s="171" t="str">
        <f t="shared" ref="K3235:K3298" ca="1" si="261">CHOOSE(E3235,IFERROR(IF(INDIRECT("'WPTM - Section F'!I"&amp;F3235)=0,"",INDIRECT("'WPTM - Section F'!I"&amp;$F3235)),""),IFERROR(IF(INDIRECT("'WPTM - Section F'!M"&amp;F3235)=0,"",INDIRECT("'WPTM - Section F'!M"&amp;$F3235)),""),IFERROR(IF(INDIRECT("'WPTM - Section F'!Q"&amp;F3235)=0,"",INDIRECT("'WPTM - Section F'!Q"&amp;$F3235)),""),IFERROR(IF(INDIRECT("'WPTM - Section F'!U"&amp;F3235)=0,"",INDIRECT("'WPTM - Section F'!U"&amp;$F3235)),""),IFERROR(IF(INDIRECT("'WPTM - Section F'!Y"&amp;F3235)=0,"",INDIRECT("'WPTM - Section F'!Y"&amp;$F3235)),""),IFERROR(IF(INDIRECT("'WPTM - Section F'!AC"&amp;F3235)=0,"",INDIRECT("'WPTM - Section F'!AC"&amp;$F3235)),""),IFERROR(IF(INDIRECT("'WPTM - Section F'!AG"&amp;F3235)=0,"",INDIRECT("'WPTM - Section F'!AG"&amp;$F3235)),""),IFERROR(IF(INDIRECT("'WPTM - Section F'!AK"&amp;F3235)=0,"",INDIRECT("'WPTM - Section F'!AK"&amp;$F3235)),""),)</f>
        <v/>
      </c>
      <c r="L3235" s="166"/>
      <c r="M3235" s="166"/>
      <c r="N3235" s="166"/>
      <c r="O3235" s="166"/>
      <c r="P3235" s="166">
        <f t="shared" ca="1" si="256"/>
        <v>0</v>
      </c>
      <c r="Q3235" s="166"/>
    </row>
    <row r="3236" spans="1:17">
      <c r="A3236" s="166" t="b">
        <f t="shared" ca="1" si="257"/>
        <v>0</v>
      </c>
      <c r="B3236" s="172" t="str">
        <f ca="1">IF(COUNTA(G$2368:G3235)=1,"",OFFSET(B3236,-COUNTA(G$2368:G3235)+1,0))</f>
        <v>a1b3p000006eF4cAAE</v>
      </c>
      <c r="C3236" s="177">
        <f ca="1">IF(COUNTA(G$2368:G3235)=1,"",OFFSET(C3236,-COUNTA(G$2368:G3235)+1,0))</f>
        <v>65</v>
      </c>
      <c r="D3236" s="166">
        <f t="shared" si="253"/>
        <v>386</v>
      </c>
      <c r="E3236" s="166">
        <f t="shared" ca="1" si="254"/>
        <v>2</v>
      </c>
      <c r="F3236" s="166">
        <f t="shared" ca="1" si="255"/>
        <v>73</v>
      </c>
      <c r="G3236" s="166"/>
      <c r="H3236" s="171" t="str">
        <f t="shared" ca="1" si="258"/>
        <v/>
      </c>
      <c r="I3236" s="171" t="str">
        <f t="shared" ca="1" si="259"/>
        <v/>
      </c>
      <c r="J3236" s="171" t="str">
        <f t="shared" ca="1" si="260"/>
        <v/>
      </c>
      <c r="K3236" s="171" t="str">
        <f t="shared" ca="1" si="261"/>
        <v/>
      </c>
      <c r="L3236" s="166"/>
      <c r="M3236" s="166"/>
      <c r="N3236" s="166"/>
      <c r="O3236" s="166"/>
      <c r="P3236" s="166">
        <f t="shared" ca="1" si="256"/>
        <v>0</v>
      </c>
      <c r="Q3236" s="166"/>
    </row>
    <row r="3237" spans="1:17">
      <c r="A3237" s="166" t="b">
        <f t="shared" ca="1" si="257"/>
        <v>0</v>
      </c>
      <c r="B3237" s="172" t="str">
        <f ca="1">IF(COUNTA(G$2368:G3236)=1,"",OFFSET(B3237,-COUNTA(G$2368:G3236)+1,0))</f>
        <v>a1b3p000006eF5uAAE</v>
      </c>
      <c r="C3237" s="177">
        <f ca="1">IF(COUNTA(G$2368:G3236)=1,"",OFFSET(C3237,-COUNTA(G$2368:G3236)+1,0))</f>
        <v>65</v>
      </c>
      <c r="D3237" s="166">
        <f t="shared" si="253"/>
        <v>387</v>
      </c>
      <c r="E3237" s="166">
        <f t="shared" ca="1" si="254"/>
        <v>3</v>
      </c>
      <c r="F3237" s="166">
        <f t="shared" ca="1" si="255"/>
        <v>73</v>
      </c>
      <c r="G3237" s="166"/>
      <c r="H3237" s="171" t="str">
        <f t="shared" ca="1" si="258"/>
        <v/>
      </c>
      <c r="I3237" s="171" t="str">
        <f t="shared" ca="1" si="259"/>
        <v/>
      </c>
      <c r="J3237" s="171" t="str">
        <f t="shared" ca="1" si="260"/>
        <v/>
      </c>
      <c r="K3237" s="171" t="str">
        <f t="shared" ca="1" si="261"/>
        <v/>
      </c>
      <c r="L3237" s="166"/>
      <c r="M3237" s="166"/>
      <c r="N3237" s="166"/>
      <c r="O3237" s="166"/>
      <c r="P3237" s="166">
        <f t="shared" ca="1" si="256"/>
        <v>0</v>
      </c>
      <c r="Q3237" s="166"/>
    </row>
    <row r="3238" spans="1:17">
      <c r="A3238" s="166" t="b">
        <f t="shared" ca="1" si="257"/>
        <v>0</v>
      </c>
      <c r="B3238" s="172" t="str">
        <f ca="1">IF(COUNTA(G$2368:G3237)=1,"",OFFSET(B3238,-COUNTA(G$2368:G3237)+1,0))</f>
        <v>a1b3p000006eF7CAAU</v>
      </c>
      <c r="C3238" s="177">
        <f ca="1">IF(COUNTA(G$2368:G3237)=1,"",OFFSET(C3238,-COUNTA(G$2368:G3237)+1,0))</f>
        <v>65</v>
      </c>
      <c r="D3238" s="166">
        <f t="shared" si="253"/>
        <v>388</v>
      </c>
      <c r="E3238" s="166">
        <f t="shared" ca="1" si="254"/>
        <v>4</v>
      </c>
      <c r="F3238" s="166">
        <f t="shared" ca="1" si="255"/>
        <v>73</v>
      </c>
      <c r="G3238" s="166"/>
      <c r="H3238" s="171" t="str">
        <f t="shared" ca="1" si="258"/>
        <v/>
      </c>
      <c r="I3238" s="171" t="str">
        <f t="shared" ca="1" si="259"/>
        <v/>
      </c>
      <c r="J3238" s="171" t="str">
        <f t="shared" ca="1" si="260"/>
        <v/>
      </c>
      <c r="K3238" s="171" t="str">
        <f t="shared" ca="1" si="261"/>
        <v/>
      </c>
      <c r="L3238" s="166"/>
      <c r="M3238" s="166"/>
      <c r="N3238" s="166"/>
      <c r="O3238" s="166"/>
      <c r="P3238" s="166">
        <f t="shared" ca="1" si="256"/>
        <v>0</v>
      </c>
      <c r="Q3238" s="166"/>
    </row>
    <row r="3239" spans="1:17">
      <c r="A3239" s="166" t="b">
        <f t="shared" ca="1" si="257"/>
        <v>0</v>
      </c>
      <c r="B3239" s="172" t="str">
        <f ca="1">IF(COUNTA(G$2368:G3238)=1,"",OFFSET(B3239,-COUNTA(G$2368:G3238)+1,0))</f>
        <v>a1b3p000006eF8UAAU</v>
      </c>
      <c r="C3239" s="177">
        <f ca="1">IF(COUNTA(G$2368:G3238)=1,"",OFFSET(C3239,-COUNTA(G$2368:G3238)+1,0))</f>
        <v>65</v>
      </c>
      <c r="D3239" s="166">
        <f t="shared" si="253"/>
        <v>389</v>
      </c>
      <c r="E3239" s="166">
        <f t="shared" ca="1" si="254"/>
        <v>5</v>
      </c>
      <c r="F3239" s="166">
        <f t="shared" ca="1" si="255"/>
        <v>73</v>
      </c>
      <c r="G3239" s="166"/>
      <c r="H3239" s="171" t="str">
        <f t="shared" ca="1" si="258"/>
        <v/>
      </c>
      <c r="I3239" s="171" t="str">
        <f t="shared" ca="1" si="259"/>
        <v/>
      </c>
      <c r="J3239" s="171" t="str">
        <f t="shared" ca="1" si="260"/>
        <v/>
      </c>
      <c r="K3239" s="171" t="str">
        <f t="shared" ca="1" si="261"/>
        <v/>
      </c>
      <c r="L3239" s="166"/>
      <c r="M3239" s="166"/>
      <c r="N3239" s="166"/>
      <c r="O3239" s="166"/>
      <c r="P3239" s="166">
        <f t="shared" ca="1" si="256"/>
        <v>0</v>
      </c>
      <c r="Q3239" s="166"/>
    </row>
    <row r="3240" spans="1:17">
      <c r="A3240" s="166" t="b">
        <f t="shared" ca="1" si="257"/>
        <v>0</v>
      </c>
      <c r="B3240" s="172" t="str">
        <f ca="1">IF(COUNTA(G$2368:G3239)=1,"",OFFSET(B3240,-COUNTA(G$2368:G3239)+1,0))</f>
        <v>a1b3p000006eF9mAAE</v>
      </c>
      <c r="C3240" s="177">
        <f ca="1">IF(COUNTA(G$2368:G3239)=1,"",OFFSET(C3240,-COUNTA(G$2368:G3239)+1,0))</f>
        <v>65</v>
      </c>
      <c r="D3240" s="166">
        <f t="shared" si="253"/>
        <v>390</v>
      </c>
      <c r="E3240" s="166">
        <f t="shared" ca="1" si="254"/>
        <v>6</v>
      </c>
      <c r="F3240" s="166">
        <f t="shared" ca="1" si="255"/>
        <v>73</v>
      </c>
      <c r="G3240" s="166"/>
      <c r="H3240" s="171" t="str">
        <f t="shared" ca="1" si="258"/>
        <v/>
      </c>
      <c r="I3240" s="171" t="str">
        <f t="shared" ca="1" si="259"/>
        <v/>
      </c>
      <c r="J3240" s="171" t="str">
        <f t="shared" ca="1" si="260"/>
        <v/>
      </c>
      <c r="K3240" s="171" t="str">
        <f t="shared" ca="1" si="261"/>
        <v/>
      </c>
      <c r="L3240" s="166"/>
      <c r="M3240" s="166"/>
      <c r="N3240" s="166"/>
      <c r="O3240" s="166"/>
      <c r="P3240" s="166">
        <f t="shared" ca="1" si="256"/>
        <v>0</v>
      </c>
      <c r="Q3240" s="166"/>
    </row>
    <row r="3241" spans="1:17">
      <c r="A3241" s="166" t="b">
        <f t="shared" ca="1" si="257"/>
        <v>0</v>
      </c>
      <c r="B3241" s="172" t="str">
        <f ca="1">IF(COUNTA(G$2368:G3240)=1,"",OFFSET(B3241,-COUNTA(G$2368:G3240)+1,0))</f>
        <v>a1b3p000006eF3LAAU</v>
      </c>
      <c r="C3241" s="177">
        <f ca="1">IF(COUNTA(G$2368:G3240)=1,"",OFFSET(C3241,-COUNTA(G$2368:G3240)+1,0))</f>
        <v>66</v>
      </c>
      <c r="D3241" s="166">
        <f t="shared" si="253"/>
        <v>391</v>
      </c>
      <c r="E3241" s="166">
        <f t="shared" ca="1" si="254"/>
        <v>1</v>
      </c>
      <c r="F3241" s="166">
        <f t="shared" ca="1" si="255"/>
        <v>74</v>
      </c>
      <c r="G3241" s="166"/>
      <c r="H3241" s="171" t="str">
        <f t="shared" ca="1" si="258"/>
        <v/>
      </c>
      <c r="I3241" s="171" t="str">
        <f t="shared" ca="1" si="259"/>
        <v/>
      </c>
      <c r="J3241" s="171" t="str">
        <f t="shared" ca="1" si="260"/>
        <v/>
      </c>
      <c r="K3241" s="171" t="str">
        <f t="shared" ca="1" si="261"/>
        <v/>
      </c>
      <c r="L3241" s="166"/>
      <c r="M3241" s="166"/>
      <c r="N3241" s="166"/>
      <c r="O3241" s="166"/>
      <c r="P3241" s="166">
        <f t="shared" ca="1" si="256"/>
        <v>0</v>
      </c>
      <c r="Q3241" s="166"/>
    </row>
    <row r="3242" spans="1:17">
      <c r="A3242" s="166" t="b">
        <f t="shared" ca="1" si="257"/>
        <v>0</v>
      </c>
      <c r="B3242" s="172" t="str">
        <f ca="1">IF(COUNTA(G$2368:G3241)=1,"",OFFSET(B3242,-COUNTA(G$2368:G3241)+1,0))</f>
        <v>a1b3p000006eF4dAAE</v>
      </c>
      <c r="C3242" s="177">
        <f ca="1">IF(COUNTA(G$2368:G3241)=1,"",OFFSET(C3242,-COUNTA(G$2368:G3241)+1,0))</f>
        <v>66</v>
      </c>
      <c r="D3242" s="166">
        <f t="shared" si="253"/>
        <v>392</v>
      </c>
      <c r="E3242" s="166">
        <f t="shared" ca="1" si="254"/>
        <v>2</v>
      </c>
      <c r="F3242" s="166">
        <f t="shared" ca="1" si="255"/>
        <v>74</v>
      </c>
      <c r="G3242" s="166"/>
      <c r="H3242" s="171" t="str">
        <f t="shared" ca="1" si="258"/>
        <v/>
      </c>
      <c r="I3242" s="171" t="str">
        <f t="shared" ca="1" si="259"/>
        <v/>
      </c>
      <c r="J3242" s="171" t="str">
        <f t="shared" ca="1" si="260"/>
        <v/>
      </c>
      <c r="K3242" s="171" t="str">
        <f t="shared" ca="1" si="261"/>
        <v/>
      </c>
      <c r="L3242" s="166"/>
      <c r="M3242" s="166"/>
      <c r="N3242" s="166"/>
      <c r="O3242" s="166"/>
      <c r="P3242" s="166">
        <f t="shared" ca="1" si="256"/>
        <v>0</v>
      </c>
      <c r="Q3242" s="166"/>
    </row>
    <row r="3243" spans="1:17">
      <c r="A3243" s="166" t="b">
        <f t="shared" ca="1" si="257"/>
        <v>0</v>
      </c>
      <c r="B3243" s="172" t="str">
        <f ca="1">IF(COUNTA(G$2368:G3242)=1,"",OFFSET(B3243,-COUNTA(G$2368:G3242)+1,0))</f>
        <v>a1b3p000006eF5vAAE</v>
      </c>
      <c r="C3243" s="177">
        <f ca="1">IF(COUNTA(G$2368:G3242)=1,"",OFFSET(C3243,-COUNTA(G$2368:G3242)+1,0))</f>
        <v>66</v>
      </c>
      <c r="D3243" s="166">
        <f t="shared" si="253"/>
        <v>393</v>
      </c>
      <c r="E3243" s="166">
        <f t="shared" ca="1" si="254"/>
        <v>3</v>
      </c>
      <c r="F3243" s="166">
        <f t="shared" ca="1" si="255"/>
        <v>74</v>
      </c>
      <c r="G3243" s="166"/>
      <c r="H3243" s="171" t="str">
        <f t="shared" ca="1" si="258"/>
        <v/>
      </c>
      <c r="I3243" s="171" t="str">
        <f t="shared" ca="1" si="259"/>
        <v/>
      </c>
      <c r="J3243" s="171" t="str">
        <f t="shared" ca="1" si="260"/>
        <v/>
      </c>
      <c r="K3243" s="171" t="str">
        <f t="shared" ca="1" si="261"/>
        <v/>
      </c>
      <c r="L3243" s="166"/>
      <c r="M3243" s="166"/>
      <c r="N3243" s="166"/>
      <c r="O3243" s="166"/>
      <c r="P3243" s="166">
        <f t="shared" ca="1" si="256"/>
        <v>0</v>
      </c>
      <c r="Q3243" s="166"/>
    </row>
    <row r="3244" spans="1:17">
      <c r="A3244" s="166" t="b">
        <f t="shared" ca="1" si="257"/>
        <v>0</v>
      </c>
      <c r="B3244" s="172" t="str">
        <f ca="1">IF(COUNTA(G$2368:G3243)=1,"",OFFSET(B3244,-COUNTA(G$2368:G3243)+1,0))</f>
        <v>a1b3p000006eF7DAAU</v>
      </c>
      <c r="C3244" s="177">
        <f ca="1">IF(COUNTA(G$2368:G3243)=1,"",OFFSET(C3244,-COUNTA(G$2368:G3243)+1,0))</f>
        <v>66</v>
      </c>
      <c r="D3244" s="166">
        <f t="shared" si="253"/>
        <v>394</v>
      </c>
      <c r="E3244" s="166">
        <f t="shared" ca="1" si="254"/>
        <v>4</v>
      </c>
      <c r="F3244" s="166">
        <f t="shared" ca="1" si="255"/>
        <v>74</v>
      </c>
      <c r="G3244" s="166"/>
      <c r="H3244" s="171" t="str">
        <f t="shared" ca="1" si="258"/>
        <v/>
      </c>
      <c r="I3244" s="171" t="str">
        <f t="shared" ca="1" si="259"/>
        <v/>
      </c>
      <c r="J3244" s="171" t="str">
        <f t="shared" ca="1" si="260"/>
        <v/>
      </c>
      <c r="K3244" s="171" t="str">
        <f t="shared" ca="1" si="261"/>
        <v/>
      </c>
      <c r="L3244" s="166"/>
      <c r="M3244" s="166"/>
      <c r="N3244" s="166"/>
      <c r="O3244" s="166"/>
      <c r="P3244" s="166">
        <f t="shared" ca="1" si="256"/>
        <v>0</v>
      </c>
      <c r="Q3244" s="166"/>
    </row>
    <row r="3245" spans="1:17">
      <c r="A3245" s="166" t="b">
        <f t="shared" ca="1" si="257"/>
        <v>0</v>
      </c>
      <c r="B3245" s="172" t="str">
        <f ca="1">IF(COUNTA(G$2368:G3244)=1,"",OFFSET(B3245,-COUNTA(G$2368:G3244)+1,0))</f>
        <v>a1b3p000006eF8VAAU</v>
      </c>
      <c r="C3245" s="177">
        <f ca="1">IF(COUNTA(G$2368:G3244)=1,"",OFFSET(C3245,-COUNTA(G$2368:G3244)+1,0))</f>
        <v>66</v>
      </c>
      <c r="D3245" s="166">
        <f t="shared" si="253"/>
        <v>395</v>
      </c>
      <c r="E3245" s="166">
        <f t="shared" ca="1" si="254"/>
        <v>5</v>
      </c>
      <c r="F3245" s="166">
        <f t="shared" ca="1" si="255"/>
        <v>74</v>
      </c>
      <c r="G3245" s="166"/>
      <c r="H3245" s="171" t="str">
        <f t="shared" ca="1" si="258"/>
        <v/>
      </c>
      <c r="I3245" s="171" t="str">
        <f t="shared" ca="1" si="259"/>
        <v/>
      </c>
      <c r="J3245" s="171" t="str">
        <f t="shared" ca="1" si="260"/>
        <v/>
      </c>
      <c r="K3245" s="171" t="str">
        <f t="shared" ca="1" si="261"/>
        <v/>
      </c>
      <c r="L3245" s="166"/>
      <c r="M3245" s="166"/>
      <c r="N3245" s="166"/>
      <c r="O3245" s="166"/>
      <c r="P3245" s="166">
        <f t="shared" ca="1" si="256"/>
        <v>0</v>
      </c>
      <c r="Q3245" s="166"/>
    </row>
    <row r="3246" spans="1:17">
      <c r="A3246" s="166" t="b">
        <f t="shared" ca="1" si="257"/>
        <v>0</v>
      </c>
      <c r="B3246" s="172" t="str">
        <f ca="1">IF(COUNTA(G$2368:G3245)=1,"",OFFSET(B3246,-COUNTA(G$2368:G3245)+1,0))</f>
        <v>a1b3p000006eF9nAAE</v>
      </c>
      <c r="C3246" s="177">
        <f ca="1">IF(COUNTA(G$2368:G3245)=1,"",OFFSET(C3246,-COUNTA(G$2368:G3245)+1,0))</f>
        <v>66</v>
      </c>
      <c r="D3246" s="166">
        <f t="shared" si="253"/>
        <v>396</v>
      </c>
      <c r="E3246" s="166">
        <f t="shared" ca="1" si="254"/>
        <v>6</v>
      </c>
      <c r="F3246" s="166">
        <f t="shared" ca="1" si="255"/>
        <v>74</v>
      </c>
      <c r="G3246" s="166"/>
      <c r="H3246" s="171" t="str">
        <f t="shared" ca="1" si="258"/>
        <v/>
      </c>
      <c r="I3246" s="171" t="str">
        <f t="shared" ca="1" si="259"/>
        <v/>
      </c>
      <c r="J3246" s="171" t="str">
        <f t="shared" ca="1" si="260"/>
        <v/>
      </c>
      <c r="K3246" s="171" t="str">
        <f t="shared" ca="1" si="261"/>
        <v/>
      </c>
      <c r="L3246" s="166"/>
      <c r="M3246" s="166"/>
      <c r="N3246" s="166"/>
      <c r="O3246" s="166"/>
      <c r="P3246" s="166">
        <f t="shared" ca="1" si="256"/>
        <v>0</v>
      </c>
      <c r="Q3246" s="166"/>
    </row>
    <row r="3247" spans="1:17">
      <c r="A3247" s="166" t="b">
        <f t="shared" ca="1" si="257"/>
        <v>0</v>
      </c>
      <c r="B3247" s="172" t="str">
        <f ca="1">IF(COUNTA(G$2368:G3246)=1,"",OFFSET(B3247,-COUNTA(G$2368:G3246)+1,0))</f>
        <v>a1b3p000006eF3MAAU</v>
      </c>
      <c r="C3247" s="177">
        <f ca="1">IF(COUNTA(G$2368:G3246)=1,"",OFFSET(C3247,-COUNTA(G$2368:G3246)+1,0))</f>
        <v>67</v>
      </c>
      <c r="D3247" s="166">
        <f t="shared" si="253"/>
        <v>397</v>
      </c>
      <c r="E3247" s="166">
        <f t="shared" ca="1" si="254"/>
        <v>1</v>
      </c>
      <c r="F3247" s="166">
        <f t="shared" ca="1" si="255"/>
        <v>75</v>
      </c>
      <c r="G3247" s="166"/>
      <c r="H3247" s="171" t="str">
        <f t="shared" ca="1" si="258"/>
        <v/>
      </c>
      <c r="I3247" s="171" t="str">
        <f t="shared" ca="1" si="259"/>
        <v/>
      </c>
      <c r="J3247" s="171" t="str">
        <f t="shared" ca="1" si="260"/>
        <v/>
      </c>
      <c r="K3247" s="171" t="str">
        <f t="shared" ca="1" si="261"/>
        <v/>
      </c>
      <c r="L3247" s="166"/>
      <c r="M3247" s="166"/>
      <c r="N3247" s="166"/>
      <c r="O3247" s="166"/>
      <c r="P3247" s="166">
        <f t="shared" ca="1" si="256"/>
        <v>0</v>
      </c>
      <c r="Q3247" s="166"/>
    </row>
    <row r="3248" spans="1:17">
      <c r="A3248" s="166" t="b">
        <f t="shared" ca="1" si="257"/>
        <v>0</v>
      </c>
      <c r="B3248" s="172" t="str">
        <f ca="1">IF(COUNTA(G$2368:G3247)=1,"",OFFSET(B3248,-COUNTA(G$2368:G3247)+1,0))</f>
        <v>a1b3p000006eF4eAAE</v>
      </c>
      <c r="C3248" s="177">
        <f ca="1">IF(COUNTA(G$2368:G3247)=1,"",OFFSET(C3248,-COUNTA(G$2368:G3247)+1,0))</f>
        <v>67</v>
      </c>
      <c r="D3248" s="166">
        <f t="shared" si="253"/>
        <v>398</v>
      </c>
      <c r="E3248" s="166">
        <f t="shared" ca="1" si="254"/>
        <v>2</v>
      </c>
      <c r="F3248" s="166">
        <f t="shared" ca="1" si="255"/>
        <v>75</v>
      </c>
      <c r="G3248" s="166"/>
      <c r="H3248" s="171" t="str">
        <f t="shared" ca="1" si="258"/>
        <v/>
      </c>
      <c r="I3248" s="171" t="str">
        <f t="shared" ca="1" si="259"/>
        <v/>
      </c>
      <c r="J3248" s="171" t="str">
        <f t="shared" ca="1" si="260"/>
        <v/>
      </c>
      <c r="K3248" s="171" t="str">
        <f t="shared" ca="1" si="261"/>
        <v/>
      </c>
      <c r="L3248" s="166"/>
      <c r="M3248" s="166"/>
      <c r="N3248" s="166"/>
      <c r="O3248" s="166"/>
      <c r="P3248" s="166">
        <f t="shared" ca="1" si="256"/>
        <v>0</v>
      </c>
      <c r="Q3248" s="166"/>
    </row>
    <row r="3249" spans="1:17">
      <c r="A3249" s="166" t="b">
        <f t="shared" ca="1" si="257"/>
        <v>0</v>
      </c>
      <c r="B3249" s="172" t="str">
        <f ca="1">IF(COUNTA(G$2368:G3248)=1,"",OFFSET(B3249,-COUNTA(G$2368:G3248)+1,0))</f>
        <v>a1b3p000006eF5wAAE</v>
      </c>
      <c r="C3249" s="177">
        <f ca="1">IF(COUNTA(G$2368:G3248)=1,"",OFFSET(C3249,-COUNTA(G$2368:G3248)+1,0))</f>
        <v>67</v>
      </c>
      <c r="D3249" s="166">
        <f t="shared" si="253"/>
        <v>399</v>
      </c>
      <c r="E3249" s="166">
        <f t="shared" ca="1" si="254"/>
        <v>3</v>
      </c>
      <c r="F3249" s="166">
        <f t="shared" ca="1" si="255"/>
        <v>75</v>
      </c>
      <c r="G3249" s="166"/>
      <c r="H3249" s="171" t="str">
        <f t="shared" ca="1" si="258"/>
        <v/>
      </c>
      <c r="I3249" s="171" t="str">
        <f t="shared" ca="1" si="259"/>
        <v/>
      </c>
      <c r="J3249" s="171" t="str">
        <f t="shared" ca="1" si="260"/>
        <v/>
      </c>
      <c r="K3249" s="171" t="str">
        <f t="shared" ca="1" si="261"/>
        <v/>
      </c>
      <c r="L3249" s="166"/>
      <c r="M3249" s="166"/>
      <c r="N3249" s="166"/>
      <c r="O3249" s="166"/>
      <c r="P3249" s="166">
        <f t="shared" ca="1" si="256"/>
        <v>0</v>
      </c>
      <c r="Q3249" s="166"/>
    </row>
    <row r="3250" spans="1:17">
      <c r="A3250" s="166" t="b">
        <f t="shared" ca="1" si="257"/>
        <v>0</v>
      </c>
      <c r="B3250" s="172" t="str">
        <f ca="1">IF(COUNTA(G$2368:G3249)=1,"",OFFSET(B3250,-COUNTA(G$2368:G3249)+1,0))</f>
        <v>a1b3p000006eF7EAAU</v>
      </c>
      <c r="C3250" s="177">
        <f ca="1">IF(COUNTA(G$2368:G3249)=1,"",OFFSET(C3250,-COUNTA(G$2368:G3249)+1,0))</f>
        <v>67</v>
      </c>
      <c r="D3250" s="166">
        <f t="shared" si="253"/>
        <v>400</v>
      </c>
      <c r="E3250" s="166">
        <f t="shared" ca="1" si="254"/>
        <v>4</v>
      </c>
      <c r="F3250" s="166">
        <f t="shared" ca="1" si="255"/>
        <v>75</v>
      </c>
      <c r="G3250" s="166"/>
      <c r="H3250" s="171" t="str">
        <f t="shared" ca="1" si="258"/>
        <v/>
      </c>
      <c r="I3250" s="171" t="str">
        <f t="shared" ca="1" si="259"/>
        <v/>
      </c>
      <c r="J3250" s="171" t="str">
        <f t="shared" ca="1" si="260"/>
        <v/>
      </c>
      <c r="K3250" s="171" t="str">
        <f t="shared" ca="1" si="261"/>
        <v/>
      </c>
      <c r="L3250" s="166"/>
      <c r="M3250" s="166"/>
      <c r="N3250" s="166"/>
      <c r="O3250" s="166"/>
      <c r="P3250" s="166">
        <f t="shared" ca="1" si="256"/>
        <v>0</v>
      </c>
      <c r="Q3250" s="166"/>
    </row>
    <row r="3251" spans="1:17">
      <c r="A3251" s="166" t="b">
        <f t="shared" ca="1" si="257"/>
        <v>0</v>
      </c>
      <c r="B3251" s="172" t="str">
        <f ca="1">IF(COUNTA(G$2368:G3250)=1,"",OFFSET(B3251,-COUNTA(G$2368:G3250)+1,0))</f>
        <v>a1b3p000006eF8WAAU</v>
      </c>
      <c r="C3251" s="177">
        <f ca="1">IF(COUNTA(G$2368:G3250)=1,"",OFFSET(C3251,-COUNTA(G$2368:G3250)+1,0))</f>
        <v>67</v>
      </c>
      <c r="D3251" s="166">
        <f t="shared" si="253"/>
        <v>401</v>
      </c>
      <c r="E3251" s="166">
        <f t="shared" ca="1" si="254"/>
        <v>5</v>
      </c>
      <c r="F3251" s="166">
        <f t="shared" ca="1" si="255"/>
        <v>75</v>
      </c>
      <c r="G3251" s="166"/>
      <c r="H3251" s="171" t="str">
        <f t="shared" ca="1" si="258"/>
        <v/>
      </c>
      <c r="I3251" s="171" t="str">
        <f t="shared" ca="1" si="259"/>
        <v/>
      </c>
      <c r="J3251" s="171" t="str">
        <f t="shared" ca="1" si="260"/>
        <v/>
      </c>
      <c r="K3251" s="171" t="str">
        <f t="shared" ca="1" si="261"/>
        <v/>
      </c>
      <c r="L3251" s="166"/>
      <c r="M3251" s="166"/>
      <c r="N3251" s="166"/>
      <c r="O3251" s="166"/>
      <c r="P3251" s="166">
        <f t="shared" ca="1" si="256"/>
        <v>0</v>
      </c>
      <c r="Q3251" s="166"/>
    </row>
    <row r="3252" spans="1:17">
      <c r="A3252" s="166" t="b">
        <f t="shared" ca="1" si="257"/>
        <v>0</v>
      </c>
      <c r="B3252" s="172" t="str">
        <f ca="1">IF(COUNTA(G$2368:G3251)=1,"",OFFSET(B3252,-COUNTA(G$2368:G3251)+1,0))</f>
        <v>a1b3p000006eF9oAAE</v>
      </c>
      <c r="C3252" s="177">
        <f ca="1">IF(COUNTA(G$2368:G3251)=1,"",OFFSET(C3252,-COUNTA(G$2368:G3251)+1,0))</f>
        <v>67</v>
      </c>
      <c r="D3252" s="166">
        <f t="shared" si="253"/>
        <v>402</v>
      </c>
      <c r="E3252" s="166">
        <f t="shared" ca="1" si="254"/>
        <v>6</v>
      </c>
      <c r="F3252" s="166">
        <f t="shared" ca="1" si="255"/>
        <v>75</v>
      </c>
      <c r="G3252" s="166"/>
      <c r="H3252" s="171" t="str">
        <f t="shared" ca="1" si="258"/>
        <v/>
      </c>
      <c r="I3252" s="171" t="str">
        <f t="shared" ca="1" si="259"/>
        <v/>
      </c>
      <c r="J3252" s="171" t="str">
        <f t="shared" ca="1" si="260"/>
        <v/>
      </c>
      <c r="K3252" s="171" t="str">
        <f t="shared" ca="1" si="261"/>
        <v/>
      </c>
      <c r="L3252" s="166"/>
      <c r="M3252" s="166"/>
      <c r="N3252" s="166"/>
      <c r="O3252" s="166"/>
      <c r="P3252" s="166">
        <f t="shared" ca="1" si="256"/>
        <v>0</v>
      </c>
      <c r="Q3252" s="166"/>
    </row>
    <row r="3253" spans="1:17">
      <c r="A3253" s="166" t="b">
        <f t="shared" ca="1" si="257"/>
        <v>0</v>
      </c>
      <c r="B3253" s="172" t="str">
        <f ca="1">IF(COUNTA(G$2368:G3252)=1,"",OFFSET(B3253,-COUNTA(G$2368:G3252)+1,0))</f>
        <v>a1b3p000006eF3NAAU</v>
      </c>
      <c r="C3253" s="177">
        <f ca="1">IF(COUNTA(G$2368:G3252)=1,"",OFFSET(C3253,-COUNTA(G$2368:G3252)+1,0))</f>
        <v>68</v>
      </c>
      <c r="D3253" s="166">
        <f t="shared" si="253"/>
        <v>403</v>
      </c>
      <c r="E3253" s="166">
        <f t="shared" ca="1" si="254"/>
        <v>1</v>
      </c>
      <c r="F3253" s="166">
        <f t="shared" ca="1" si="255"/>
        <v>76</v>
      </c>
      <c r="G3253" s="166"/>
      <c r="H3253" s="171" t="str">
        <f t="shared" ca="1" si="258"/>
        <v/>
      </c>
      <c r="I3253" s="171" t="str">
        <f t="shared" ca="1" si="259"/>
        <v/>
      </c>
      <c r="J3253" s="171" t="str">
        <f t="shared" ca="1" si="260"/>
        <v/>
      </c>
      <c r="K3253" s="171" t="str">
        <f t="shared" ca="1" si="261"/>
        <v/>
      </c>
      <c r="L3253" s="166"/>
      <c r="M3253" s="166"/>
      <c r="N3253" s="166"/>
      <c r="O3253" s="166"/>
      <c r="P3253" s="166">
        <f t="shared" ca="1" si="256"/>
        <v>0</v>
      </c>
      <c r="Q3253" s="166"/>
    </row>
    <row r="3254" spans="1:17">
      <c r="A3254" s="166" t="b">
        <f t="shared" ca="1" si="257"/>
        <v>0</v>
      </c>
      <c r="B3254" s="172" t="str">
        <f ca="1">IF(COUNTA(G$2368:G3253)=1,"",OFFSET(B3254,-COUNTA(G$2368:G3253)+1,0))</f>
        <v>a1b3p000006eF4fAAE</v>
      </c>
      <c r="C3254" s="177">
        <f ca="1">IF(COUNTA(G$2368:G3253)=1,"",OFFSET(C3254,-COUNTA(G$2368:G3253)+1,0))</f>
        <v>68</v>
      </c>
      <c r="D3254" s="166">
        <f t="shared" si="253"/>
        <v>404</v>
      </c>
      <c r="E3254" s="166">
        <f t="shared" ca="1" si="254"/>
        <v>2</v>
      </c>
      <c r="F3254" s="166">
        <f t="shared" ca="1" si="255"/>
        <v>76</v>
      </c>
      <c r="G3254" s="166"/>
      <c r="H3254" s="171" t="str">
        <f t="shared" ca="1" si="258"/>
        <v/>
      </c>
      <c r="I3254" s="171" t="str">
        <f t="shared" ca="1" si="259"/>
        <v/>
      </c>
      <c r="J3254" s="171" t="str">
        <f t="shared" ca="1" si="260"/>
        <v/>
      </c>
      <c r="K3254" s="171" t="str">
        <f t="shared" ca="1" si="261"/>
        <v/>
      </c>
      <c r="L3254" s="166"/>
      <c r="M3254" s="166"/>
      <c r="N3254" s="166"/>
      <c r="O3254" s="166"/>
      <c r="P3254" s="166">
        <f t="shared" ca="1" si="256"/>
        <v>0</v>
      </c>
      <c r="Q3254" s="166"/>
    </row>
    <row r="3255" spans="1:17">
      <c r="A3255" s="166" t="b">
        <f t="shared" ca="1" si="257"/>
        <v>0</v>
      </c>
      <c r="B3255" s="172" t="str">
        <f ca="1">IF(COUNTA(G$2368:G3254)=1,"",OFFSET(B3255,-COUNTA(G$2368:G3254)+1,0))</f>
        <v>a1b3p000006eF5xAAE</v>
      </c>
      <c r="C3255" s="177">
        <f ca="1">IF(COUNTA(G$2368:G3254)=1,"",OFFSET(C3255,-COUNTA(G$2368:G3254)+1,0))</f>
        <v>68</v>
      </c>
      <c r="D3255" s="166">
        <f t="shared" si="253"/>
        <v>405</v>
      </c>
      <c r="E3255" s="166">
        <f t="shared" ca="1" si="254"/>
        <v>3</v>
      </c>
      <c r="F3255" s="166">
        <f t="shared" ca="1" si="255"/>
        <v>76</v>
      </c>
      <c r="G3255" s="166"/>
      <c r="H3255" s="171" t="str">
        <f t="shared" ca="1" si="258"/>
        <v/>
      </c>
      <c r="I3255" s="171" t="str">
        <f t="shared" ca="1" si="259"/>
        <v/>
      </c>
      <c r="J3255" s="171" t="str">
        <f t="shared" ca="1" si="260"/>
        <v/>
      </c>
      <c r="K3255" s="171" t="str">
        <f t="shared" ca="1" si="261"/>
        <v/>
      </c>
      <c r="L3255" s="166"/>
      <c r="M3255" s="166"/>
      <c r="N3255" s="166"/>
      <c r="O3255" s="166"/>
      <c r="P3255" s="166">
        <f t="shared" ca="1" si="256"/>
        <v>0</v>
      </c>
      <c r="Q3255" s="166"/>
    </row>
    <row r="3256" spans="1:17">
      <c r="A3256" s="166" t="b">
        <f t="shared" ca="1" si="257"/>
        <v>0</v>
      </c>
      <c r="B3256" s="172" t="str">
        <f ca="1">IF(COUNTA(G$2368:G3255)=1,"",OFFSET(B3256,-COUNTA(G$2368:G3255)+1,0))</f>
        <v>a1b3p000006eF7FAAU</v>
      </c>
      <c r="C3256" s="177">
        <f ca="1">IF(COUNTA(G$2368:G3255)=1,"",OFFSET(C3256,-COUNTA(G$2368:G3255)+1,0))</f>
        <v>68</v>
      </c>
      <c r="D3256" s="166">
        <f t="shared" si="253"/>
        <v>406</v>
      </c>
      <c r="E3256" s="166">
        <f t="shared" ca="1" si="254"/>
        <v>4</v>
      </c>
      <c r="F3256" s="166">
        <f t="shared" ca="1" si="255"/>
        <v>76</v>
      </c>
      <c r="G3256" s="166"/>
      <c r="H3256" s="171" t="str">
        <f t="shared" ca="1" si="258"/>
        <v/>
      </c>
      <c r="I3256" s="171" t="str">
        <f t="shared" ca="1" si="259"/>
        <v/>
      </c>
      <c r="J3256" s="171" t="str">
        <f t="shared" ca="1" si="260"/>
        <v/>
      </c>
      <c r="K3256" s="171" t="str">
        <f t="shared" ca="1" si="261"/>
        <v/>
      </c>
      <c r="L3256" s="166"/>
      <c r="M3256" s="166"/>
      <c r="N3256" s="166"/>
      <c r="O3256" s="166"/>
      <c r="P3256" s="166">
        <f t="shared" ca="1" si="256"/>
        <v>0</v>
      </c>
      <c r="Q3256" s="166"/>
    </row>
    <row r="3257" spans="1:17">
      <c r="A3257" s="166" t="b">
        <f t="shared" ca="1" si="257"/>
        <v>0</v>
      </c>
      <c r="B3257" s="172" t="str">
        <f ca="1">IF(COUNTA(G$2368:G3256)=1,"",OFFSET(B3257,-COUNTA(G$2368:G3256)+1,0))</f>
        <v>a1b3p000006eF8XAAU</v>
      </c>
      <c r="C3257" s="177">
        <f ca="1">IF(COUNTA(G$2368:G3256)=1,"",OFFSET(C3257,-COUNTA(G$2368:G3256)+1,0))</f>
        <v>68</v>
      </c>
      <c r="D3257" s="166">
        <f t="shared" si="253"/>
        <v>407</v>
      </c>
      <c r="E3257" s="166">
        <f t="shared" ca="1" si="254"/>
        <v>5</v>
      </c>
      <c r="F3257" s="166">
        <f t="shared" ca="1" si="255"/>
        <v>76</v>
      </c>
      <c r="G3257" s="166"/>
      <c r="H3257" s="171" t="str">
        <f t="shared" ca="1" si="258"/>
        <v/>
      </c>
      <c r="I3257" s="171" t="str">
        <f t="shared" ca="1" si="259"/>
        <v/>
      </c>
      <c r="J3257" s="171" t="str">
        <f t="shared" ca="1" si="260"/>
        <v/>
      </c>
      <c r="K3257" s="171" t="str">
        <f t="shared" ca="1" si="261"/>
        <v/>
      </c>
      <c r="L3257" s="166"/>
      <c r="M3257" s="166"/>
      <c r="N3257" s="166"/>
      <c r="O3257" s="166"/>
      <c r="P3257" s="166">
        <f t="shared" ca="1" si="256"/>
        <v>0</v>
      </c>
      <c r="Q3257" s="166"/>
    </row>
    <row r="3258" spans="1:17">
      <c r="A3258" s="166" t="b">
        <f t="shared" ca="1" si="257"/>
        <v>0</v>
      </c>
      <c r="B3258" s="172" t="str">
        <f ca="1">IF(COUNTA(G$2368:G3257)=1,"",OFFSET(B3258,-COUNTA(G$2368:G3257)+1,0))</f>
        <v>a1b3p000006eF9pAAE</v>
      </c>
      <c r="C3258" s="177">
        <f ca="1">IF(COUNTA(G$2368:G3257)=1,"",OFFSET(C3258,-COUNTA(G$2368:G3257)+1,0))</f>
        <v>68</v>
      </c>
      <c r="D3258" s="166">
        <f t="shared" si="253"/>
        <v>408</v>
      </c>
      <c r="E3258" s="166">
        <f t="shared" ca="1" si="254"/>
        <v>6</v>
      </c>
      <c r="F3258" s="166">
        <f t="shared" ca="1" si="255"/>
        <v>76</v>
      </c>
      <c r="G3258" s="166"/>
      <c r="H3258" s="171" t="str">
        <f t="shared" ca="1" si="258"/>
        <v/>
      </c>
      <c r="I3258" s="171" t="str">
        <f t="shared" ca="1" si="259"/>
        <v/>
      </c>
      <c r="J3258" s="171" t="str">
        <f t="shared" ca="1" si="260"/>
        <v/>
      </c>
      <c r="K3258" s="171" t="str">
        <f t="shared" ca="1" si="261"/>
        <v/>
      </c>
      <c r="L3258" s="166"/>
      <c r="M3258" s="166"/>
      <c r="N3258" s="166"/>
      <c r="O3258" s="166"/>
      <c r="P3258" s="166">
        <f t="shared" ca="1" si="256"/>
        <v>0</v>
      </c>
      <c r="Q3258" s="166"/>
    </row>
    <row r="3259" spans="1:17">
      <c r="A3259" s="166" t="b">
        <f t="shared" ca="1" si="257"/>
        <v>0</v>
      </c>
      <c r="B3259" s="172" t="str">
        <f ca="1">IF(COUNTA(G$2368:G3258)=1,"",OFFSET(B3259,-COUNTA(G$2368:G3258)+1,0))</f>
        <v>a1b3p000006eF3OAAU</v>
      </c>
      <c r="C3259" s="177">
        <f ca="1">IF(COUNTA(G$2368:G3258)=1,"",OFFSET(C3259,-COUNTA(G$2368:G3258)+1,0))</f>
        <v>69</v>
      </c>
      <c r="D3259" s="166">
        <f t="shared" si="253"/>
        <v>409</v>
      </c>
      <c r="E3259" s="166">
        <f t="shared" ca="1" si="254"/>
        <v>1</v>
      </c>
      <c r="F3259" s="166">
        <f t="shared" ca="1" si="255"/>
        <v>77</v>
      </c>
      <c r="G3259" s="166"/>
      <c r="H3259" s="171" t="str">
        <f t="shared" ca="1" si="258"/>
        <v/>
      </c>
      <c r="I3259" s="171" t="str">
        <f t="shared" ca="1" si="259"/>
        <v/>
      </c>
      <c r="J3259" s="171" t="str">
        <f t="shared" ca="1" si="260"/>
        <v/>
      </c>
      <c r="K3259" s="171" t="str">
        <f t="shared" ca="1" si="261"/>
        <v/>
      </c>
      <c r="L3259" s="166"/>
      <c r="M3259" s="166"/>
      <c r="N3259" s="166"/>
      <c r="O3259" s="166"/>
      <c r="P3259" s="166">
        <f t="shared" ca="1" si="256"/>
        <v>0</v>
      </c>
      <c r="Q3259" s="166"/>
    </row>
    <row r="3260" spans="1:17">
      <c r="A3260" s="166" t="b">
        <f t="shared" ca="1" si="257"/>
        <v>0</v>
      </c>
      <c r="B3260" s="172" t="str">
        <f ca="1">IF(COUNTA(G$2368:G3259)=1,"",OFFSET(B3260,-COUNTA(G$2368:G3259)+1,0))</f>
        <v>a1b3p000006eF4gAAE</v>
      </c>
      <c r="C3260" s="177">
        <f ca="1">IF(COUNTA(G$2368:G3259)=1,"",OFFSET(C3260,-COUNTA(G$2368:G3259)+1,0))</f>
        <v>69</v>
      </c>
      <c r="D3260" s="166">
        <f t="shared" si="253"/>
        <v>410</v>
      </c>
      <c r="E3260" s="166">
        <f t="shared" ca="1" si="254"/>
        <v>2</v>
      </c>
      <c r="F3260" s="166">
        <f t="shared" ca="1" si="255"/>
        <v>77</v>
      </c>
      <c r="G3260" s="166"/>
      <c r="H3260" s="171" t="str">
        <f t="shared" ca="1" si="258"/>
        <v/>
      </c>
      <c r="I3260" s="171" t="str">
        <f t="shared" ca="1" si="259"/>
        <v/>
      </c>
      <c r="J3260" s="171" t="str">
        <f t="shared" ca="1" si="260"/>
        <v/>
      </c>
      <c r="K3260" s="171" t="str">
        <f t="shared" ca="1" si="261"/>
        <v/>
      </c>
      <c r="L3260" s="166"/>
      <c r="M3260" s="166"/>
      <c r="N3260" s="166"/>
      <c r="O3260" s="166"/>
      <c r="P3260" s="166">
        <f t="shared" ca="1" si="256"/>
        <v>0</v>
      </c>
      <c r="Q3260" s="166"/>
    </row>
    <row r="3261" spans="1:17">
      <c r="A3261" s="166" t="b">
        <f t="shared" ca="1" si="257"/>
        <v>0</v>
      </c>
      <c r="B3261" s="172" t="str">
        <f ca="1">IF(COUNTA(G$2368:G3260)=1,"",OFFSET(B3261,-COUNTA(G$2368:G3260)+1,0))</f>
        <v>a1b3p000006eF5yAAE</v>
      </c>
      <c r="C3261" s="177">
        <f ca="1">IF(COUNTA(G$2368:G3260)=1,"",OFFSET(C3261,-COUNTA(G$2368:G3260)+1,0))</f>
        <v>69</v>
      </c>
      <c r="D3261" s="166">
        <f t="shared" si="253"/>
        <v>411</v>
      </c>
      <c r="E3261" s="166">
        <f t="shared" ca="1" si="254"/>
        <v>3</v>
      </c>
      <c r="F3261" s="166">
        <f t="shared" ca="1" si="255"/>
        <v>77</v>
      </c>
      <c r="G3261" s="166"/>
      <c r="H3261" s="171" t="str">
        <f t="shared" ca="1" si="258"/>
        <v/>
      </c>
      <c r="I3261" s="171" t="str">
        <f t="shared" ca="1" si="259"/>
        <v/>
      </c>
      <c r="J3261" s="171" t="str">
        <f t="shared" ca="1" si="260"/>
        <v/>
      </c>
      <c r="K3261" s="171" t="str">
        <f t="shared" ca="1" si="261"/>
        <v/>
      </c>
      <c r="L3261" s="166"/>
      <c r="M3261" s="166"/>
      <c r="N3261" s="166"/>
      <c r="O3261" s="166"/>
      <c r="P3261" s="166">
        <f t="shared" ca="1" si="256"/>
        <v>0</v>
      </c>
      <c r="Q3261" s="166"/>
    </row>
    <row r="3262" spans="1:17">
      <c r="A3262" s="166" t="b">
        <f t="shared" ca="1" si="257"/>
        <v>0</v>
      </c>
      <c r="B3262" s="172" t="str">
        <f ca="1">IF(COUNTA(G$2368:G3261)=1,"",OFFSET(B3262,-COUNTA(G$2368:G3261)+1,0))</f>
        <v>a1b3p000006eF7GAAU</v>
      </c>
      <c r="C3262" s="177">
        <f ca="1">IF(COUNTA(G$2368:G3261)=1,"",OFFSET(C3262,-COUNTA(G$2368:G3261)+1,0))</f>
        <v>69</v>
      </c>
      <c r="D3262" s="166">
        <f t="shared" si="253"/>
        <v>412</v>
      </c>
      <c r="E3262" s="166">
        <f t="shared" ca="1" si="254"/>
        <v>4</v>
      </c>
      <c r="F3262" s="166">
        <f t="shared" ca="1" si="255"/>
        <v>77</v>
      </c>
      <c r="G3262" s="166"/>
      <c r="H3262" s="171" t="str">
        <f t="shared" ca="1" si="258"/>
        <v/>
      </c>
      <c r="I3262" s="171" t="str">
        <f t="shared" ca="1" si="259"/>
        <v/>
      </c>
      <c r="J3262" s="171" t="str">
        <f t="shared" ca="1" si="260"/>
        <v/>
      </c>
      <c r="K3262" s="171" t="str">
        <f t="shared" ca="1" si="261"/>
        <v/>
      </c>
      <c r="L3262" s="166"/>
      <c r="M3262" s="166"/>
      <c r="N3262" s="166"/>
      <c r="O3262" s="166"/>
      <c r="P3262" s="166">
        <f t="shared" ca="1" si="256"/>
        <v>0</v>
      </c>
      <c r="Q3262" s="166"/>
    </row>
    <row r="3263" spans="1:17">
      <c r="A3263" s="166" t="b">
        <f t="shared" ca="1" si="257"/>
        <v>0</v>
      </c>
      <c r="B3263" s="172" t="str">
        <f ca="1">IF(COUNTA(G$2368:G3262)=1,"",OFFSET(B3263,-COUNTA(G$2368:G3262)+1,0))</f>
        <v>a1b3p000006eF8YAAU</v>
      </c>
      <c r="C3263" s="177">
        <f ca="1">IF(COUNTA(G$2368:G3262)=1,"",OFFSET(C3263,-COUNTA(G$2368:G3262)+1,0))</f>
        <v>69</v>
      </c>
      <c r="D3263" s="166">
        <f t="shared" si="253"/>
        <v>413</v>
      </c>
      <c r="E3263" s="166">
        <f t="shared" ca="1" si="254"/>
        <v>5</v>
      </c>
      <c r="F3263" s="166">
        <f t="shared" ca="1" si="255"/>
        <v>77</v>
      </c>
      <c r="G3263" s="166"/>
      <c r="H3263" s="171" t="str">
        <f t="shared" ca="1" si="258"/>
        <v/>
      </c>
      <c r="I3263" s="171" t="str">
        <f t="shared" ca="1" si="259"/>
        <v/>
      </c>
      <c r="J3263" s="171" t="str">
        <f t="shared" ca="1" si="260"/>
        <v/>
      </c>
      <c r="K3263" s="171" t="str">
        <f t="shared" ca="1" si="261"/>
        <v/>
      </c>
      <c r="L3263" s="166"/>
      <c r="M3263" s="166"/>
      <c r="N3263" s="166"/>
      <c r="O3263" s="166"/>
      <c r="P3263" s="166">
        <f t="shared" ca="1" si="256"/>
        <v>0</v>
      </c>
      <c r="Q3263" s="166"/>
    </row>
    <row r="3264" spans="1:17">
      <c r="A3264" s="166" t="b">
        <f t="shared" ca="1" si="257"/>
        <v>0</v>
      </c>
      <c r="B3264" s="172" t="str">
        <f ca="1">IF(COUNTA(G$2368:G3263)=1,"",OFFSET(B3264,-COUNTA(G$2368:G3263)+1,0))</f>
        <v>a1b3p000006eF9qAAE</v>
      </c>
      <c r="C3264" s="177">
        <f ca="1">IF(COUNTA(G$2368:G3263)=1,"",OFFSET(C3264,-COUNTA(G$2368:G3263)+1,0))</f>
        <v>69</v>
      </c>
      <c r="D3264" s="166">
        <f t="shared" si="253"/>
        <v>414</v>
      </c>
      <c r="E3264" s="166">
        <f t="shared" ca="1" si="254"/>
        <v>6</v>
      </c>
      <c r="F3264" s="166">
        <f t="shared" ca="1" si="255"/>
        <v>77</v>
      </c>
      <c r="G3264" s="166"/>
      <c r="H3264" s="171" t="str">
        <f t="shared" ca="1" si="258"/>
        <v/>
      </c>
      <c r="I3264" s="171" t="str">
        <f t="shared" ca="1" si="259"/>
        <v/>
      </c>
      <c r="J3264" s="171" t="str">
        <f t="shared" ca="1" si="260"/>
        <v/>
      </c>
      <c r="K3264" s="171" t="str">
        <f t="shared" ca="1" si="261"/>
        <v/>
      </c>
      <c r="L3264" s="166"/>
      <c r="M3264" s="166"/>
      <c r="N3264" s="166"/>
      <c r="O3264" s="166"/>
      <c r="P3264" s="166">
        <f t="shared" ca="1" si="256"/>
        <v>0</v>
      </c>
      <c r="Q3264" s="166"/>
    </row>
    <row r="3265" spans="1:17">
      <c r="A3265" s="166" t="b">
        <f t="shared" ca="1" si="257"/>
        <v>0</v>
      </c>
      <c r="B3265" s="172" t="str">
        <f ca="1">IF(COUNTA(G$2368:G3264)=1,"",OFFSET(B3265,-COUNTA(G$2368:G3264)+1,0))</f>
        <v>a1b3p000006eF3PAAU</v>
      </c>
      <c r="C3265" s="177">
        <f ca="1">IF(COUNTA(G$2368:G3264)=1,"",OFFSET(C3265,-COUNTA(G$2368:G3264)+1,0))</f>
        <v>70</v>
      </c>
      <c r="D3265" s="166">
        <f t="shared" si="253"/>
        <v>415</v>
      </c>
      <c r="E3265" s="166">
        <f t="shared" ca="1" si="254"/>
        <v>1</v>
      </c>
      <c r="F3265" s="166">
        <f t="shared" ca="1" si="255"/>
        <v>78</v>
      </c>
      <c r="G3265" s="166"/>
      <c r="H3265" s="171" t="str">
        <f t="shared" ca="1" si="258"/>
        <v/>
      </c>
      <c r="I3265" s="171" t="str">
        <f t="shared" ca="1" si="259"/>
        <v/>
      </c>
      <c r="J3265" s="171" t="str">
        <f t="shared" ca="1" si="260"/>
        <v/>
      </c>
      <c r="K3265" s="171" t="str">
        <f t="shared" ca="1" si="261"/>
        <v/>
      </c>
      <c r="L3265" s="166"/>
      <c r="M3265" s="166"/>
      <c r="N3265" s="166"/>
      <c r="O3265" s="166"/>
      <c r="P3265" s="166">
        <f t="shared" ca="1" si="256"/>
        <v>0</v>
      </c>
      <c r="Q3265" s="166"/>
    </row>
    <row r="3266" spans="1:17">
      <c r="A3266" s="166" t="b">
        <f t="shared" ca="1" si="257"/>
        <v>0</v>
      </c>
      <c r="B3266" s="172" t="str">
        <f ca="1">IF(COUNTA(G$2368:G3265)=1,"",OFFSET(B3266,-COUNTA(G$2368:G3265)+1,0))</f>
        <v>a1b3p000006eF4hAAE</v>
      </c>
      <c r="C3266" s="177">
        <f ca="1">IF(COUNTA(G$2368:G3265)=1,"",OFFSET(C3266,-COUNTA(G$2368:G3265)+1,0))</f>
        <v>70</v>
      </c>
      <c r="D3266" s="166">
        <f t="shared" si="253"/>
        <v>416</v>
      </c>
      <c r="E3266" s="166">
        <f t="shared" ca="1" si="254"/>
        <v>2</v>
      </c>
      <c r="F3266" s="166">
        <f t="shared" ca="1" si="255"/>
        <v>78</v>
      </c>
      <c r="G3266" s="166"/>
      <c r="H3266" s="171" t="str">
        <f t="shared" ca="1" si="258"/>
        <v/>
      </c>
      <c r="I3266" s="171" t="str">
        <f t="shared" ca="1" si="259"/>
        <v/>
      </c>
      <c r="J3266" s="171" t="str">
        <f t="shared" ca="1" si="260"/>
        <v/>
      </c>
      <c r="K3266" s="171" t="str">
        <f t="shared" ca="1" si="261"/>
        <v/>
      </c>
      <c r="L3266" s="166"/>
      <c r="M3266" s="166"/>
      <c r="N3266" s="166"/>
      <c r="O3266" s="166"/>
      <c r="P3266" s="166">
        <f t="shared" ca="1" si="256"/>
        <v>0</v>
      </c>
      <c r="Q3266" s="166"/>
    </row>
    <row r="3267" spans="1:17">
      <c r="A3267" s="166" t="b">
        <f t="shared" ca="1" si="257"/>
        <v>0</v>
      </c>
      <c r="B3267" s="172" t="str">
        <f ca="1">IF(COUNTA(G$2368:G3266)=1,"",OFFSET(B3267,-COUNTA(G$2368:G3266)+1,0))</f>
        <v>a1b3p000006eF5zAAE</v>
      </c>
      <c r="C3267" s="177">
        <f ca="1">IF(COUNTA(G$2368:G3266)=1,"",OFFSET(C3267,-COUNTA(G$2368:G3266)+1,0))</f>
        <v>70</v>
      </c>
      <c r="D3267" s="166">
        <f t="shared" ref="D3267:D3330" si="262">D3266+1</f>
        <v>417</v>
      </c>
      <c r="E3267" s="166">
        <f t="shared" ref="E3267:E3330" ca="1" si="263">COUNTIF(C3097:C3267,C3267)</f>
        <v>3</v>
      </c>
      <c r="F3267" s="166">
        <f t="shared" ref="F3267:F3330" ca="1" si="264">IF(C3267=1,9,IF(E3266=MAX(E3265:E3267),F3265+1,F3266))</f>
        <v>78</v>
      </c>
      <c r="G3267" s="166"/>
      <c r="H3267" s="171" t="str">
        <f t="shared" ca="1" si="258"/>
        <v/>
      </c>
      <c r="I3267" s="171" t="str">
        <f t="shared" ca="1" si="259"/>
        <v/>
      </c>
      <c r="J3267" s="171" t="str">
        <f t="shared" ca="1" si="260"/>
        <v/>
      </c>
      <c r="K3267" s="171" t="str">
        <f t="shared" ca="1" si="261"/>
        <v/>
      </c>
      <c r="L3267" s="166"/>
      <c r="M3267" s="166"/>
      <c r="N3267" s="166"/>
      <c r="O3267" s="166"/>
      <c r="P3267" s="166">
        <f t="shared" ref="P3267:P3330" ca="1" si="265">IF(NOT(_xlfn.ISFORMULA(I3267)),P3266+1,0)</f>
        <v>0</v>
      </c>
      <c r="Q3267" s="166"/>
    </row>
    <row r="3268" spans="1:17">
      <c r="A3268" s="166" t="b">
        <f t="shared" ca="1" si="257"/>
        <v>0</v>
      </c>
      <c r="B3268" s="172" t="str">
        <f ca="1">IF(COUNTA(G$2368:G3267)=1,"",OFFSET(B3268,-COUNTA(G$2368:G3267)+1,0))</f>
        <v>a1b3p000006eF7HAAU</v>
      </c>
      <c r="C3268" s="177">
        <f ca="1">IF(COUNTA(G$2368:G3267)=1,"",OFFSET(C3268,-COUNTA(G$2368:G3267)+1,0))</f>
        <v>70</v>
      </c>
      <c r="D3268" s="166">
        <f t="shared" si="262"/>
        <v>418</v>
      </c>
      <c r="E3268" s="166">
        <f t="shared" ca="1" si="263"/>
        <v>4</v>
      </c>
      <c r="F3268" s="166">
        <f t="shared" ca="1" si="264"/>
        <v>78</v>
      </c>
      <c r="G3268" s="166"/>
      <c r="H3268" s="171" t="str">
        <f t="shared" ca="1" si="258"/>
        <v/>
      </c>
      <c r="I3268" s="171" t="str">
        <f t="shared" ca="1" si="259"/>
        <v/>
      </c>
      <c r="J3268" s="171" t="str">
        <f t="shared" ca="1" si="260"/>
        <v/>
      </c>
      <c r="K3268" s="171" t="str">
        <f t="shared" ca="1" si="261"/>
        <v/>
      </c>
      <c r="L3268" s="166"/>
      <c r="M3268" s="166"/>
      <c r="N3268" s="166"/>
      <c r="O3268" s="166"/>
      <c r="P3268" s="166">
        <f t="shared" ca="1" si="265"/>
        <v>0</v>
      </c>
      <c r="Q3268" s="166"/>
    </row>
    <row r="3269" spans="1:17">
      <c r="A3269" s="166" t="b">
        <f t="shared" ca="1" si="257"/>
        <v>0</v>
      </c>
      <c r="B3269" s="172" t="str">
        <f ca="1">IF(COUNTA(G$2368:G3268)=1,"",OFFSET(B3269,-COUNTA(G$2368:G3268)+1,0))</f>
        <v>a1b3p000006eF8ZAAU</v>
      </c>
      <c r="C3269" s="177">
        <f ca="1">IF(COUNTA(G$2368:G3268)=1,"",OFFSET(C3269,-COUNTA(G$2368:G3268)+1,0))</f>
        <v>70</v>
      </c>
      <c r="D3269" s="166">
        <f t="shared" si="262"/>
        <v>419</v>
      </c>
      <c r="E3269" s="166">
        <f t="shared" ca="1" si="263"/>
        <v>5</v>
      </c>
      <c r="F3269" s="166">
        <f t="shared" ca="1" si="264"/>
        <v>78</v>
      </c>
      <c r="G3269" s="166"/>
      <c r="H3269" s="171" t="str">
        <f t="shared" ca="1" si="258"/>
        <v/>
      </c>
      <c r="I3269" s="171" t="str">
        <f t="shared" ca="1" si="259"/>
        <v/>
      </c>
      <c r="J3269" s="171" t="str">
        <f t="shared" ca="1" si="260"/>
        <v/>
      </c>
      <c r="K3269" s="171" t="str">
        <f t="shared" ca="1" si="261"/>
        <v/>
      </c>
      <c r="L3269" s="166"/>
      <c r="M3269" s="166"/>
      <c r="N3269" s="166"/>
      <c r="O3269" s="166"/>
      <c r="P3269" s="166">
        <f t="shared" ca="1" si="265"/>
        <v>0</v>
      </c>
      <c r="Q3269" s="166"/>
    </row>
    <row r="3270" spans="1:17">
      <c r="A3270" s="166" t="b">
        <f t="shared" ca="1" si="257"/>
        <v>0</v>
      </c>
      <c r="B3270" s="172" t="str">
        <f ca="1">IF(COUNTA(G$2368:G3269)=1,"",OFFSET(B3270,-COUNTA(G$2368:G3269)+1,0))</f>
        <v>a1b3p000006eF9rAAE</v>
      </c>
      <c r="C3270" s="177">
        <f ca="1">IF(COUNTA(G$2368:G3269)=1,"",OFFSET(C3270,-COUNTA(G$2368:G3269)+1,0))</f>
        <v>70</v>
      </c>
      <c r="D3270" s="166">
        <f t="shared" si="262"/>
        <v>420</v>
      </c>
      <c r="E3270" s="166">
        <f t="shared" ca="1" si="263"/>
        <v>6</v>
      </c>
      <c r="F3270" s="166">
        <f t="shared" ca="1" si="264"/>
        <v>78</v>
      </c>
      <c r="G3270" s="166"/>
      <c r="H3270" s="171" t="str">
        <f t="shared" ca="1" si="258"/>
        <v/>
      </c>
      <c r="I3270" s="171" t="str">
        <f t="shared" ca="1" si="259"/>
        <v/>
      </c>
      <c r="J3270" s="171" t="str">
        <f t="shared" ca="1" si="260"/>
        <v/>
      </c>
      <c r="K3270" s="171" t="str">
        <f t="shared" ca="1" si="261"/>
        <v/>
      </c>
      <c r="L3270" s="166"/>
      <c r="M3270" s="166"/>
      <c r="N3270" s="166"/>
      <c r="O3270" s="166"/>
      <c r="P3270" s="166">
        <f t="shared" ca="1" si="265"/>
        <v>0</v>
      </c>
      <c r="Q3270" s="166"/>
    </row>
    <row r="3271" spans="1:17">
      <c r="A3271" s="166" t="b">
        <f t="shared" ca="1" si="257"/>
        <v>0</v>
      </c>
      <c r="B3271" s="172" t="str">
        <f ca="1">IF(COUNTA(G$2368:G3270)=1,"",OFFSET(B3271,-COUNTA(G$2368:G3270)+1,0))</f>
        <v>a1b3p000006eF3QAAU</v>
      </c>
      <c r="C3271" s="177">
        <f ca="1">IF(COUNTA(G$2368:G3270)=1,"",OFFSET(C3271,-COUNTA(G$2368:G3270)+1,0))</f>
        <v>71</v>
      </c>
      <c r="D3271" s="166">
        <f t="shared" si="262"/>
        <v>421</v>
      </c>
      <c r="E3271" s="166">
        <f t="shared" ca="1" si="263"/>
        <v>1</v>
      </c>
      <c r="F3271" s="166">
        <f t="shared" ca="1" si="264"/>
        <v>79</v>
      </c>
      <c r="G3271" s="166"/>
      <c r="H3271" s="171" t="str">
        <f t="shared" ca="1" si="258"/>
        <v/>
      </c>
      <c r="I3271" s="171" t="str">
        <f t="shared" ca="1" si="259"/>
        <v/>
      </c>
      <c r="J3271" s="171" t="str">
        <f t="shared" ca="1" si="260"/>
        <v/>
      </c>
      <c r="K3271" s="171" t="str">
        <f t="shared" ca="1" si="261"/>
        <v/>
      </c>
      <c r="L3271" s="166"/>
      <c r="M3271" s="166"/>
      <c r="N3271" s="166"/>
      <c r="O3271" s="166"/>
      <c r="P3271" s="166">
        <f t="shared" ca="1" si="265"/>
        <v>0</v>
      </c>
      <c r="Q3271" s="166"/>
    </row>
    <row r="3272" spans="1:17">
      <c r="A3272" s="166" t="b">
        <f t="shared" ca="1" si="257"/>
        <v>0</v>
      </c>
      <c r="B3272" s="172" t="str">
        <f ca="1">IF(COUNTA(G$2368:G3271)=1,"",OFFSET(B3272,-COUNTA(G$2368:G3271)+1,0))</f>
        <v>a1b3p000006eF4iAAE</v>
      </c>
      <c r="C3272" s="177">
        <f ca="1">IF(COUNTA(G$2368:G3271)=1,"",OFFSET(C3272,-COUNTA(G$2368:G3271)+1,0))</f>
        <v>71</v>
      </c>
      <c r="D3272" s="166">
        <f t="shared" si="262"/>
        <v>422</v>
      </c>
      <c r="E3272" s="166">
        <f t="shared" ca="1" si="263"/>
        <v>2</v>
      </c>
      <c r="F3272" s="166">
        <f t="shared" ca="1" si="264"/>
        <v>79</v>
      </c>
      <c r="G3272" s="166"/>
      <c r="H3272" s="171" t="str">
        <f t="shared" ca="1" si="258"/>
        <v/>
      </c>
      <c r="I3272" s="171" t="str">
        <f t="shared" ca="1" si="259"/>
        <v/>
      </c>
      <c r="J3272" s="171" t="str">
        <f t="shared" ca="1" si="260"/>
        <v/>
      </c>
      <c r="K3272" s="171" t="str">
        <f t="shared" ca="1" si="261"/>
        <v/>
      </c>
      <c r="L3272" s="166"/>
      <c r="M3272" s="166"/>
      <c r="N3272" s="166"/>
      <c r="O3272" s="166"/>
      <c r="P3272" s="166">
        <f t="shared" ca="1" si="265"/>
        <v>0</v>
      </c>
      <c r="Q3272" s="166"/>
    </row>
    <row r="3273" spans="1:17">
      <c r="A3273" s="166" t="b">
        <f t="shared" ca="1" si="257"/>
        <v>0</v>
      </c>
      <c r="B3273" s="172" t="str">
        <f ca="1">IF(COUNTA(G$2368:G3272)=1,"",OFFSET(B3273,-COUNTA(G$2368:G3272)+1,0))</f>
        <v>a1b3p000006eF60AAE</v>
      </c>
      <c r="C3273" s="177">
        <f ca="1">IF(COUNTA(G$2368:G3272)=1,"",OFFSET(C3273,-COUNTA(G$2368:G3272)+1,0))</f>
        <v>71</v>
      </c>
      <c r="D3273" s="166">
        <f t="shared" si="262"/>
        <v>423</v>
      </c>
      <c r="E3273" s="166">
        <f t="shared" ca="1" si="263"/>
        <v>3</v>
      </c>
      <c r="F3273" s="166">
        <f t="shared" ca="1" si="264"/>
        <v>79</v>
      </c>
      <c r="G3273" s="166"/>
      <c r="H3273" s="171" t="str">
        <f t="shared" ca="1" si="258"/>
        <v/>
      </c>
      <c r="I3273" s="171" t="str">
        <f t="shared" ca="1" si="259"/>
        <v/>
      </c>
      <c r="J3273" s="171" t="str">
        <f t="shared" ca="1" si="260"/>
        <v/>
      </c>
      <c r="K3273" s="171" t="str">
        <f t="shared" ca="1" si="261"/>
        <v/>
      </c>
      <c r="L3273" s="166"/>
      <c r="M3273" s="166"/>
      <c r="N3273" s="166"/>
      <c r="O3273" s="166"/>
      <c r="P3273" s="166">
        <f t="shared" ca="1" si="265"/>
        <v>0</v>
      </c>
      <c r="Q3273" s="166"/>
    </row>
    <row r="3274" spans="1:17">
      <c r="A3274" s="166" t="b">
        <f t="shared" ca="1" si="257"/>
        <v>0</v>
      </c>
      <c r="B3274" s="172" t="str">
        <f ca="1">IF(COUNTA(G$2368:G3273)=1,"",OFFSET(B3274,-COUNTA(G$2368:G3273)+1,0))</f>
        <v>a1b3p000006eF7IAAU</v>
      </c>
      <c r="C3274" s="177">
        <f ca="1">IF(COUNTA(G$2368:G3273)=1,"",OFFSET(C3274,-COUNTA(G$2368:G3273)+1,0))</f>
        <v>71</v>
      </c>
      <c r="D3274" s="166">
        <f t="shared" si="262"/>
        <v>424</v>
      </c>
      <c r="E3274" s="166">
        <f t="shared" ca="1" si="263"/>
        <v>4</v>
      </c>
      <c r="F3274" s="166">
        <f t="shared" ca="1" si="264"/>
        <v>79</v>
      </c>
      <c r="G3274" s="166"/>
      <c r="H3274" s="171" t="str">
        <f t="shared" ca="1" si="258"/>
        <v/>
      </c>
      <c r="I3274" s="171" t="str">
        <f t="shared" ca="1" si="259"/>
        <v/>
      </c>
      <c r="J3274" s="171" t="str">
        <f t="shared" ca="1" si="260"/>
        <v/>
      </c>
      <c r="K3274" s="171" t="str">
        <f t="shared" ca="1" si="261"/>
        <v/>
      </c>
      <c r="L3274" s="166"/>
      <c r="M3274" s="166"/>
      <c r="N3274" s="166"/>
      <c r="O3274" s="166"/>
      <c r="P3274" s="166">
        <f t="shared" ca="1" si="265"/>
        <v>0</v>
      </c>
      <c r="Q3274" s="166"/>
    </row>
    <row r="3275" spans="1:17">
      <c r="A3275" s="166" t="b">
        <f t="shared" ca="1" si="257"/>
        <v>0</v>
      </c>
      <c r="B3275" s="172" t="str">
        <f ca="1">IF(COUNTA(G$2368:G3274)=1,"",OFFSET(B3275,-COUNTA(G$2368:G3274)+1,0))</f>
        <v>a1b3p000006eF8aAAE</v>
      </c>
      <c r="C3275" s="177">
        <f ca="1">IF(COUNTA(G$2368:G3274)=1,"",OFFSET(C3275,-COUNTA(G$2368:G3274)+1,0))</f>
        <v>71</v>
      </c>
      <c r="D3275" s="166">
        <f t="shared" si="262"/>
        <v>425</v>
      </c>
      <c r="E3275" s="166">
        <f t="shared" ca="1" si="263"/>
        <v>5</v>
      </c>
      <c r="F3275" s="166">
        <f t="shared" ca="1" si="264"/>
        <v>79</v>
      </c>
      <c r="G3275" s="166"/>
      <c r="H3275" s="171" t="str">
        <f t="shared" ca="1" si="258"/>
        <v/>
      </c>
      <c r="I3275" s="171" t="str">
        <f t="shared" ca="1" si="259"/>
        <v/>
      </c>
      <c r="J3275" s="171" t="str">
        <f t="shared" ca="1" si="260"/>
        <v/>
      </c>
      <c r="K3275" s="171" t="str">
        <f t="shared" ca="1" si="261"/>
        <v/>
      </c>
      <c r="L3275" s="166"/>
      <c r="M3275" s="166"/>
      <c r="N3275" s="166"/>
      <c r="O3275" s="166"/>
      <c r="P3275" s="166">
        <f t="shared" ca="1" si="265"/>
        <v>0</v>
      </c>
      <c r="Q3275" s="166"/>
    </row>
    <row r="3276" spans="1:17">
      <c r="A3276" s="166" t="b">
        <f t="shared" ca="1" si="257"/>
        <v>0</v>
      </c>
      <c r="B3276" s="172" t="str">
        <f ca="1">IF(COUNTA(G$2368:G3275)=1,"",OFFSET(B3276,-COUNTA(G$2368:G3275)+1,0))</f>
        <v>a1b3p000006eF9sAAE</v>
      </c>
      <c r="C3276" s="177">
        <f ca="1">IF(COUNTA(G$2368:G3275)=1,"",OFFSET(C3276,-COUNTA(G$2368:G3275)+1,0))</f>
        <v>71</v>
      </c>
      <c r="D3276" s="166">
        <f t="shared" si="262"/>
        <v>426</v>
      </c>
      <c r="E3276" s="166">
        <f t="shared" ca="1" si="263"/>
        <v>6</v>
      </c>
      <c r="F3276" s="166">
        <f t="shared" ca="1" si="264"/>
        <v>79</v>
      </c>
      <c r="G3276" s="166"/>
      <c r="H3276" s="171" t="str">
        <f t="shared" ca="1" si="258"/>
        <v/>
      </c>
      <c r="I3276" s="171" t="str">
        <f t="shared" ca="1" si="259"/>
        <v/>
      </c>
      <c r="J3276" s="171" t="str">
        <f t="shared" ca="1" si="260"/>
        <v/>
      </c>
      <c r="K3276" s="171" t="str">
        <f t="shared" ca="1" si="261"/>
        <v/>
      </c>
      <c r="L3276" s="166"/>
      <c r="M3276" s="166"/>
      <c r="N3276" s="166"/>
      <c r="O3276" s="166"/>
      <c r="P3276" s="166">
        <f t="shared" ca="1" si="265"/>
        <v>0</v>
      </c>
      <c r="Q3276" s="166"/>
    </row>
    <row r="3277" spans="1:17">
      <c r="A3277" s="166" t="b">
        <f t="shared" ca="1" si="257"/>
        <v>0</v>
      </c>
      <c r="B3277" s="172" t="str">
        <f ca="1">IF(COUNTA(G$2368:G3276)=1,"",OFFSET(B3277,-COUNTA(G$2368:G3276)+1,0))</f>
        <v>a1b3p000006eF3RAAU</v>
      </c>
      <c r="C3277" s="177">
        <f ca="1">IF(COUNTA(G$2368:G3276)=1,"",OFFSET(C3277,-COUNTA(G$2368:G3276)+1,0))</f>
        <v>72</v>
      </c>
      <c r="D3277" s="166">
        <f t="shared" si="262"/>
        <v>427</v>
      </c>
      <c r="E3277" s="166">
        <f t="shared" ca="1" si="263"/>
        <v>1</v>
      </c>
      <c r="F3277" s="166">
        <f t="shared" ca="1" si="264"/>
        <v>80</v>
      </c>
      <c r="G3277" s="166"/>
      <c r="H3277" s="171" t="str">
        <f t="shared" ca="1" si="258"/>
        <v/>
      </c>
      <c r="I3277" s="171" t="str">
        <f t="shared" ca="1" si="259"/>
        <v/>
      </c>
      <c r="J3277" s="171" t="str">
        <f t="shared" ca="1" si="260"/>
        <v/>
      </c>
      <c r="K3277" s="171" t="str">
        <f t="shared" ca="1" si="261"/>
        <v/>
      </c>
      <c r="L3277" s="166"/>
      <c r="M3277" s="166"/>
      <c r="N3277" s="166"/>
      <c r="O3277" s="166"/>
      <c r="P3277" s="166">
        <f t="shared" ca="1" si="265"/>
        <v>0</v>
      </c>
      <c r="Q3277" s="166"/>
    </row>
    <row r="3278" spans="1:17">
      <c r="A3278" s="166" t="b">
        <f t="shared" ca="1" si="257"/>
        <v>0</v>
      </c>
      <c r="B3278" s="172" t="str">
        <f ca="1">IF(COUNTA(G$2368:G3277)=1,"",OFFSET(B3278,-COUNTA(G$2368:G3277)+1,0))</f>
        <v>a1b3p000006eF4jAAE</v>
      </c>
      <c r="C3278" s="177">
        <f ca="1">IF(COUNTA(G$2368:G3277)=1,"",OFFSET(C3278,-COUNTA(G$2368:G3277)+1,0))</f>
        <v>72</v>
      </c>
      <c r="D3278" s="166">
        <f t="shared" si="262"/>
        <v>428</v>
      </c>
      <c r="E3278" s="166">
        <f t="shared" ca="1" si="263"/>
        <v>2</v>
      </c>
      <c r="F3278" s="166">
        <f t="shared" ca="1" si="264"/>
        <v>80</v>
      </c>
      <c r="G3278" s="166"/>
      <c r="H3278" s="171" t="str">
        <f t="shared" ca="1" si="258"/>
        <v/>
      </c>
      <c r="I3278" s="171" t="str">
        <f t="shared" ca="1" si="259"/>
        <v/>
      </c>
      <c r="J3278" s="171" t="str">
        <f t="shared" ca="1" si="260"/>
        <v/>
      </c>
      <c r="K3278" s="171" t="str">
        <f t="shared" ca="1" si="261"/>
        <v/>
      </c>
      <c r="L3278" s="166"/>
      <c r="M3278" s="166"/>
      <c r="N3278" s="166"/>
      <c r="O3278" s="166"/>
      <c r="P3278" s="166">
        <f t="shared" ca="1" si="265"/>
        <v>0</v>
      </c>
      <c r="Q3278" s="166"/>
    </row>
    <row r="3279" spans="1:17">
      <c r="A3279" s="166" t="b">
        <f t="shared" ca="1" si="257"/>
        <v>0</v>
      </c>
      <c r="B3279" s="172" t="str">
        <f ca="1">IF(COUNTA(G$2368:G3278)=1,"",OFFSET(B3279,-COUNTA(G$2368:G3278)+1,0))</f>
        <v>a1b3p000006eF61AAE</v>
      </c>
      <c r="C3279" s="177">
        <f ca="1">IF(COUNTA(G$2368:G3278)=1,"",OFFSET(C3279,-COUNTA(G$2368:G3278)+1,0))</f>
        <v>72</v>
      </c>
      <c r="D3279" s="166">
        <f t="shared" si="262"/>
        <v>429</v>
      </c>
      <c r="E3279" s="166">
        <f t="shared" ca="1" si="263"/>
        <v>3</v>
      </c>
      <c r="F3279" s="166">
        <f t="shared" ca="1" si="264"/>
        <v>80</v>
      </c>
      <c r="G3279" s="166"/>
      <c r="H3279" s="171" t="str">
        <f t="shared" ca="1" si="258"/>
        <v/>
      </c>
      <c r="I3279" s="171" t="str">
        <f t="shared" ca="1" si="259"/>
        <v/>
      </c>
      <c r="J3279" s="171" t="str">
        <f t="shared" ca="1" si="260"/>
        <v/>
      </c>
      <c r="K3279" s="171" t="str">
        <f t="shared" ca="1" si="261"/>
        <v/>
      </c>
      <c r="L3279" s="166"/>
      <c r="M3279" s="166"/>
      <c r="N3279" s="166"/>
      <c r="O3279" s="166"/>
      <c r="P3279" s="166">
        <f t="shared" ca="1" si="265"/>
        <v>0</v>
      </c>
      <c r="Q3279" s="166"/>
    </row>
    <row r="3280" spans="1:17">
      <c r="A3280" s="166" t="b">
        <f t="shared" ca="1" si="257"/>
        <v>0</v>
      </c>
      <c r="B3280" s="172" t="str">
        <f ca="1">IF(COUNTA(G$2368:G3279)=1,"",OFFSET(B3280,-COUNTA(G$2368:G3279)+1,0))</f>
        <v>a1b3p000006eF7JAAU</v>
      </c>
      <c r="C3280" s="177">
        <f ca="1">IF(COUNTA(G$2368:G3279)=1,"",OFFSET(C3280,-COUNTA(G$2368:G3279)+1,0))</f>
        <v>72</v>
      </c>
      <c r="D3280" s="166">
        <f t="shared" si="262"/>
        <v>430</v>
      </c>
      <c r="E3280" s="166">
        <f t="shared" ca="1" si="263"/>
        <v>4</v>
      </c>
      <c r="F3280" s="166">
        <f t="shared" ca="1" si="264"/>
        <v>80</v>
      </c>
      <c r="G3280" s="166"/>
      <c r="H3280" s="171" t="str">
        <f t="shared" ca="1" si="258"/>
        <v/>
      </c>
      <c r="I3280" s="171" t="str">
        <f t="shared" ca="1" si="259"/>
        <v/>
      </c>
      <c r="J3280" s="171" t="str">
        <f t="shared" ca="1" si="260"/>
        <v/>
      </c>
      <c r="K3280" s="171" t="str">
        <f t="shared" ca="1" si="261"/>
        <v/>
      </c>
      <c r="L3280" s="166"/>
      <c r="M3280" s="166"/>
      <c r="N3280" s="166"/>
      <c r="O3280" s="166"/>
      <c r="P3280" s="166">
        <f t="shared" ca="1" si="265"/>
        <v>0</v>
      </c>
      <c r="Q3280" s="166"/>
    </row>
    <row r="3281" spans="1:17">
      <c r="A3281" s="166" t="b">
        <f t="shared" ca="1" si="257"/>
        <v>0</v>
      </c>
      <c r="B3281" s="172" t="str">
        <f ca="1">IF(COUNTA(G$2368:G3280)=1,"",OFFSET(B3281,-COUNTA(G$2368:G3280)+1,0))</f>
        <v>a1b3p000006eF8bAAE</v>
      </c>
      <c r="C3281" s="177">
        <f ca="1">IF(COUNTA(G$2368:G3280)=1,"",OFFSET(C3281,-COUNTA(G$2368:G3280)+1,0))</f>
        <v>72</v>
      </c>
      <c r="D3281" s="166">
        <f t="shared" si="262"/>
        <v>431</v>
      </c>
      <c r="E3281" s="166">
        <f t="shared" ca="1" si="263"/>
        <v>5</v>
      </c>
      <c r="F3281" s="166">
        <f t="shared" ca="1" si="264"/>
        <v>80</v>
      </c>
      <c r="G3281" s="166"/>
      <c r="H3281" s="171" t="str">
        <f t="shared" ca="1" si="258"/>
        <v/>
      </c>
      <c r="I3281" s="171" t="str">
        <f t="shared" ca="1" si="259"/>
        <v/>
      </c>
      <c r="J3281" s="171" t="str">
        <f t="shared" ca="1" si="260"/>
        <v/>
      </c>
      <c r="K3281" s="171" t="str">
        <f t="shared" ca="1" si="261"/>
        <v/>
      </c>
      <c r="L3281" s="166"/>
      <c r="M3281" s="166"/>
      <c r="N3281" s="166"/>
      <c r="O3281" s="166"/>
      <c r="P3281" s="166">
        <f t="shared" ca="1" si="265"/>
        <v>0</v>
      </c>
      <c r="Q3281" s="166"/>
    </row>
    <row r="3282" spans="1:17">
      <c r="A3282" s="166" t="b">
        <f t="shared" ca="1" si="257"/>
        <v>0</v>
      </c>
      <c r="B3282" s="172" t="str">
        <f ca="1">IF(COUNTA(G$2368:G3281)=1,"",OFFSET(B3282,-COUNTA(G$2368:G3281)+1,0))</f>
        <v>a1b3p000006eF9tAAE</v>
      </c>
      <c r="C3282" s="177">
        <f ca="1">IF(COUNTA(G$2368:G3281)=1,"",OFFSET(C3282,-COUNTA(G$2368:G3281)+1,0))</f>
        <v>72</v>
      </c>
      <c r="D3282" s="166">
        <f t="shared" si="262"/>
        <v>432</v>
      </c>
      <c r="E3282" s="166">
        <f t="shared" ca="1" si="263"/>
        <v>6</v>
      </c>
      <c r="F3282" s="166">
        <f t="shared" ca="1" si="264"/>
        <v>80</v>
      </c>
      <c r="G3282" s="166"/>
      <c r="H3282" s="171" t="str">
        <f t="shared" ca="1" si="258"/>
        <v/>
      </c>
      <c r="I3282" s="171" t="str">
        <f t="shared" ca="1" si="259"/>
        <v/>
      </c>
      <c r="J3282" s="171" t="str">
        <f t="shared" ca="1" si="260"/>
        <v/>
      </c>
      <c r="K3282" s="171" t="str">
        <f t="shared" ca="1" si="261"/>
        <v/>
      </c>
      <c r="L3282" s="166"/>
      <c r="M3282" s="166"/>
      <c r="N3282" s="166"/>
      <c r="O3282" s="166"/>
      <c r="P3282" s="166">
        <f t="shared" ca="1" si="265"/>
        <v>0</v>
      </c>
      <c r="Q3282" s="166"/>
    </row>
    <row r="3283" spans="1:17">
      <c r="A3283" s="166" t="b">
        <f t="shared" ca="1" si="257"/>
        <v>0</v>
      </c>
      <c r="B3283" s="172" t="str">
        <f ca="1">IF(COUNTA(G$2368:G3282)=1,"",OFFSET(B3283,-COUNTA(G$2368:G3282)+1,0))</f>
        <v>a1b3p000006eF3SAAU</v>
      </c>
      <c r="C3283" s="177">
        <f ca="1">IF(COUNTA(G$2368:G3282)=1,"",OFFSET(C3283,-COUNTA(G$2368:G3282)+1,0))</f>
        <v>73</v>
      </c>
      <c r="D3283" s="166">
        <f t="shared" si="262"/>
        <v>433</v>
      </c>
      <c r="E3283" s="166">
        <f t="shared" ca="1" si="263"/>
        <v>1</v>
      </c>
      <c r="F3283" s="166">
        <f t="shared" ca="1" si="264"/>
        <v>81</v>
      </c>
      <c r="G3283" s="166"/>
      <c r="H3283" s="171" t="str">
        <f t="shared" ca="1" si="258"/>
        <v/>
      </c>
      <c r="I3283" s="171" t="str">
        <f t="shared" ca="1" si="259"/>
        <v/>
      </c>
      <c r="J3283" s="171" t="str">
        <f t="shared" ca="1" si="260"/>
        <v/>
      </c>
      <c r="K3283" s="171" t="str">
        <f t="shared" ca="1" si="261"/>
        <v/>
      </c>
      <c r="L3283" s="166"/>
      <c r="M3283" s="166"/>
      <c r="N3283" s="166"/>
      <c r="O3283" s="166"/>
      <c r="P3283" s="166">
        <f t="shared" ca="1" si="265"/>
        <v>0</v>
      </c>
      <c r="Q3283" s="166"/>
    </row>
    <row r="3284" spans="1:17">
      <c r="A3284" s="166" t="b">
        <f t="shared" ca="1" si="257"/>
        <v>0</v>
      </c>
      <c r="B3284" s="172" t="str">
        <f ca="1">IF(COUNTA(G$2368:G3283)=1,"",OFFSET(B3284,-COUNTA(G$2368:G3283)+1,0))</f>
        <v>a1b3p000006eF4kAAE</v>
      </c>
      <c r="C3284" s="177">
        <f ca="1">IF(COUNTA(G$2368:G3283)=1,"",OFFSET(C3284,-COUNTA(G$2368:G3283)+1,0))</f>
        <v>73</v>
      </c>
      <c r="D3284" s="166">
        <f t="shared" si="262"/>
        <v>434</v>
      </c>
      <c r="E3284" s="166">
        <f t="shared" ca="1" si="263"/>
        <v>2</v>
      </c>
      <c r="F3284" s="166">
        <f t="shared" ca="1" si="264"/>
        <v>81</v>
      </c>
      <c r="G3284" s="166"/>
      <c r="H3284" s="171" t="str">
        <f t="shared" ca="1" si="258"/>
        <v/>
      </c>
      <c r="I3284" s="171" t="str">
        <f t="shared" ca="1" si="259"/>
        <v/>
      </c>
      <c r="J3284" s="171" t="str">
        <f t="shared" ca="1" si="260"/>
        <v/>
      </c>
      <c r="K3284" s="171" t="str">
        <f t="shared" ca="1" si="261"/>
        <v/>
      </c>
      <c r="L3284" s="166"/>
      <c r="M3284" s="166"/>
      <c r="N3284" s="166"/>
      <c r="O3284" s="166"/>
      <c r="P3284" s="166">
        <f t="shared" ca="1" si="265"/>
        <v>0</v>
      </c>
      <c r="Q3284" s="166"/>
    </row>
    <row r="3285" spans="1:17">
      <c r="A3285" s="166" t="b">
        <f t="shared" ca="1" si="257"/>
        <v>0</v>
      </c>
      <c r="B3285" s="172" t="str">
        <f ca="1">IF(COUNTA(G$2368:G3284)=1,"",OFFSET(B3285,-COUNTA(G$2368:G3284)+1,0))</f>
        <v>a1b3p000006eF62AAE</v>
      </c>
      <c r="C3285" s="177">
        <f ca="1">IF(COUNTA(G$2368:G3284)=1,"",OFFSET(C3285,-COUNTA(G$2368:G3284)+1,0))</f>
        <v>73</v>
      </c>
      <c r="D3285" s="166">
        <f t="shared" si="262"/>
        <v>435</v>
      </c>
      <c r="E3285" s="166">
        <f t="shared" ca="1" si="263"/>
        <v>3</v>
      </c>
      <c r="F3285" s="166">
        <f t="shared" ca="1" si="264"/>
        <v>81</v>
      </c>
      <c r="G3285" s="166"/>
      <c r="H3285" s="171" t="str">
        <f t="shared" ca="1" si="258"/>
        <v/>
      </c>
      <c r="I3285" s="171" t="str">
        <f t="shared" ca="1" si="259"/>
        <v/>
      </c>
      <c r="J3285" s="171" t="str">
        <f t="shared" ca="1" si="260"/>
        <v/>
      </c>
      <c r="K3285" s="171" t="str">
        <f t="shared" ca="1" si="261"/>
        <v/>
      </c>
      <c r="L3285" s="166"/>
      <c r="M3285" s="166"/>
      <c r="N3285" s="166"/>
      <c r="O3285" s="166"/>
      <c r="P3285" s="166">
        <f t="shared" ca="1" si="265"/>
        <v>0</v>
      </c>
      <c r="Q3285" s="166"/>
    </row>
    <row r="3286" spans="1:17">
      <c r="A3286" s="166" t="b">
        <f t="shared" ca="1" si="257"/>
        <v>0</v>
      </c>
      <c r="B3286" s="172" t="str">
        <f ca="1">IF(COUNTA(G$2368:G3285)=1,"",OFFSET(B3286,-COUNTA(G$2368:G3285)+1,0))</f>
        <v>a1b3p000006eF7KAAU</v>
      </c>
      <c r="C3286" s="177">
        <f ca="1">IF(COUNTA(G$2368:G3285)=1,"",OFFSET(C3286,-COUNTA(G$2368:G3285)+1,0))</f>
        <v>73</v>
      </c>
      <c r="D3286" s="166">
        <f t="shared" si="262"/>
        <v>436</v>
      </c>
      <c r="E3286" s="166">
        <f t="shared" ca="1" si="263"/>
        <v>4</v>
      </c>
      <c r="F3286" s="166">
        <f t="shared" ca="1" si="264"/>
        <v>81</v>
      </c>
      <c r="G3286" s="166"/>
      <c r="H3286" s="171" t="str">
        <f t="shared" ca="1" si="258"/>
        <v/>
      </c>
      <c r="I3286" s="171" t="str">
        <f t="shared" ca="1" si="259"/>
        <v/>
      </c>
      <c r="J3286" s="171" t="str">
        <f t="shared" ca="1" si="260"/>
        <v/>
      </c>
      <c r="K3286" s="171" t="str">
        <f t="shared" ca="1" si="261"/>
        <v/>
      </c>
      <c r="L3286" s="166"/>
      <c r="M3286" s="166"/>
      <c r="N3286" s="166"/>
      <c r="O3286" s="166"/>
      <c r="P3286" s="166">
        <f t="shared" ca="1" si="265"/>
        <v>0</v>
      </c>
      <c r="Q3286" s="166"/>
    </row>
    <row r="3287" spans="1:17">
      <c r="A3287" s="166" t="b">
        <f t="shared" ca="1" si="257"/>
        <v>0</v>
      </c>
      <c r="B3287" s="172" t="str">
        <f ca="1">IF(COUNTA(G$2368:G3286)=1,"",OFFSET(B3287,-COUNTA(G$2368:G3286)+1,0))</f>
        <v>a1b3p000006eF8cAAE</v>
      </c>
      <c r="C3287" s="177">
        <f ca="1">IF(COUNTA(G$2368:G3286)=1,"",OFFSET(C3287,-COUNTA(G$2368:G3286)+1,0))</f>
        <v>73</v>
      </c>
      <c r="D3287" s="166">
        <f t="shared" si="262"/>
        <v>437</v>
      </c>
      <c r="E3287" s="166">
        <f t="shared" ca="1" si="263"/>
        <v>5</v>
      </c>
      <c r="F3287" s="166">
        <f t="shared" ca="1" si="264"/>
        <v>81</v>
      </c>
      <c r="G3287" s="166"/>
      <c r="H3287" s="171" t="str">
        <f t="shared" ca="1" si="258"/>
        <v/>
      </c>
      <c r="I3287" s="171" t="str">
        <f t="shared" ca="1" si="259"/>
        <v/>
      </c>
      <c r="J3287" s="171" t="str">
        <f t="shared" ca="1" si="260"/>
        <v/>
      </c>
      <c r="K3287" s="171" t="str">
        <f t="shared" ca="1" si="261"/>
        <v/>
      </c>
      <c r="L3287" s="166"/>
      <c r="M3287" s="166"/>
      <c r="N3287" s="166"/>
      <c r="O3287" s="166"/>
      <c r="P3287" s="166">
        <f t="shared" ca="1" si="265"/>
        <v>0</v>
      </c>
      <c r="Q3287" s="166"/>
    </row>
    <row r="3288" spans="1:17">
      <c r="A3288" s="166" t="b">
        <f t="shared" ca="1" si="257"/>
        <v>0</v>
      </c>
      <c r="B3288" s="172" t="str">
        <f ca="1">IF(COUNTA(G$2368:G3287)=1,"",OFFSET(B3288,-COUNTA(G$2368:G3287)+1,0))</f>
        <v>a1b3p000006eF9uAAE</v>
      </c>
      <c r="C3288" s="177">
        <f ca="1">IF(COUNTA(G$2368:G3287)=1,"",OFFSET(C3288,-COUNTA(G$2368:G3287)+1,0))</f>
        <v>73</v>
      </c>
      <c r="D3288" s="166">
        <f t="shared" si="262"/>
        <v>438</v>
      </c>
      <c r="E3288" s="166">
        <f t="shared" ca="1" si="263"/>
        <v>6</v>
      </c>
      <c r="F3288" s="166">
        <f t="shared" ca="1" si="264"/>
        <v>81</v>
      </c>
      <c r="G3288" s="166"/>
      <c r="H3288" s="171" t="str">
        <f t="shared" ca="1" si="258"/>
        <v/>
      </c>
      <c r="I3288" s="171" t="str">
        <f t="shared" ca="1" si="259"/>
        <v/>
      </c>
      <c r="J3288" s="171" t="str">
        <f t="shared" ca="1" si="260"/>
        <v/>
      </c>
      <c r="K3288" s="171" t="str">
        <f t="shared" ca="1" si="261"/>
        <v/>
      </c>
      <c r="L3288" s="166"/>
      <c r="M3288" s="166"/>
      <c r="N3288" s="166"/>
      <c r="O3288" s="166"/>
      <c r="P3288" s="166">
        <f t="shared" ca="1" si="265"/>
        <v>0</v>
      </c>
      <c r="Q3288" s="166"/>
    </row>
    <row r="3289" spans="1:17">
      <c r="A3289" s="166" t="b">
        <f t="shared" ca="1" si="257"/>
        <v>0</v>
      </c>
      <c r="B3289" s="172" t="str">
        <f ca="1">IF(COUNTA(G$2368:G3288)=1,"",OFFSET(B3289,-COUNTA(G$2368:G3288)+1,0))</f>
        <v>a1b3p000006eF3TAAU</v>
      </c>
      <c r="C3289" s="177">
        <f ca="1">IF(COUNTA(G$2368:G3288)=1,"",OFFSET(C3289,-COUNTA(G$2368:G3288)+1,0))</f>
        <v>74</v>
      </c>
      <c r="D3289" s="166">
        <f t="shared" si="262"/>
        <v>439</v>
      </c>
      <c r="E3289" s="166">
        <f t="shared" ca="1" si="263"/>
        <v>1</v>
      </c>
      <c r="F3289" s="166">
        <f t="shared" ca="1" si="264"/>
        <v>82</v>
      </c>
      <c r="G3289" s="166"/>
      <c r="H3289" s="171" t="str">
        <f t="shared" ca="1" si="258"/>
        <v/>
      </c>
      <c r="I3289" s="171" t="str">
        <f t="shared" ca="1" si="259"/>
        <v/>
      </c>
      <c r="J3289" s="171" t="str">
        <f t="shared" ca="1" si="260"/>
        <v/>
      </c>
      <c r="K3289" s="171" t="str">
        <f t="shared" ca="1" si="261"/>
        <v/>
      </c>
      <c r="L3289" s="166"/>
      <c r="M3289" s="166"/>
      <c r="N3289" s="166"/>
      <c r="O3289" s="166"/>
      <c r="P3289" s="166">
        <f t="shared" ca="1" si="265"/>
        <v>0</v>
      </c>
      <c r="Q3289" s="166"/>
    </row>
    <row r="3290" spans="1:17">
      <c r="A3290" s="166" t="b">
        <f t="shared" ca="1" si="257"/>
        <v>0</v>
      </c>
      <c r="B3290" s="172" t="str">
        <f ca="1">IF(COUNTA(G$2368:G3289)=1,"",OFFSET(B3290,-COUNTA(G$2368:G3289)+1,0))</f>
        <v>a1b3p000006eF4lAAE</v>
      </c>
      <c r="C3290" s="177">
        <f ca="1">IF(COUNTA(G$2368:G3289)=1,"",OFFSET(C3290,-COUNTA(G$2368:G3289)+1,0))</f>
        <v>74</v>
      </c>
      <c r="D3290" s="166">
        <f t="shared" si="262"/>
        <v>440</v>
      </c>
      <c r="E3290" s="166">
        <f t="shared" ca="1" si="263"/>
        <v>2</v>
      </c>
      <c r="F3290" s="166">
        <f t="shared" ca="1" si="264"/>
        <v>82</v>
      </c>
      <c r="G3290" s="166"/>
      <c r="H3290" s="171" t="str">
        <f t="shared" ca="1" si="258"/>
        <v/>
      </c>
      <c r="I3290" s="171" t="str">
        <f t="shared" ca="1" si="259"/>
        <v/>
      </c>
      <c r="J3290" s="171" t="str">
        <f t="shared" ca="1" si="260"/>
        <v/>
      </c>
      <c r="K3290" s="171" t="str">
        <f t="shared" ca="1" si="261"/>
        <v/>
      </c>
      <c r="L3290" s="166"/>
      <c r="M3290" s="166"/>
      <c r="N3290" s="166"/>
      <c r="O3290" s="166"/>
      <c r="P3290" s="166">
        <f t="shared" ca="1" si="265"/>
        <v>0</v>
      </c>
      <c r="Q3290" s="166"/>
    </row>
    <row r="3291" spans="1:17">
      <c r="A3291" s="166" t="b">
        <f t="shared" ca="1" si="257"/>
        <v>0</v>
      </c>
      <c r="B3291" s="172" t="str">
        <f ca="1">IF(COUNTA(G$2368:G3290)=1,"",OFFSET(B3291,-COUNTA(G$2368:G3290)+1,0))</f>
        <v>a1b3p000006eF63AAE</v>
      </c>
      <c r="C3291" s="177">
        <f ca="1">IF(COUNTA(G$2368:G3290)=1,"",OFFSET(C3291,-COUNTA(G$2368:G3290)+1,0))</f>
        <v>74</v>
      </c>
      <c r="D3291" s="166">
        <f t="shared" si="262"/>
        <v>441</v>
      </c>
      <c r="E3291" s="166">
        <f t="shared" ca="1" si="263"/>
        <v>3</v>
      </c>
      <c r="F3291" s="166">
        <f t="shared" ca="1" si="264"/>
        <v>82</v>
      </c>
      <c r="G3291" s="166"/>
      <c r="H3291" s="171" t="str">
        <f t="shared" ca="1" si="258"/>
        <v/>
      </c>
      <c r="I3291" s="171" t="str">
        <f t="shared" ca="1" si="259"/>
        <v/>
      </c>
      <c r="J3291" s="171" t="str">
        <f t="shared" ca="1" si="260"/>
        <v/>
      </c>
      <c r="K3291" s="171" t="str">
        <f t="shared" ca="1" si="261"/>
        <v/>
      </c>
      <c r="L3291" s="166"/>
      <c r="M3291" s="166"/>
      <c r="N3291" s="166"/>
      <c r="O3291" s="166"/>
      <c r="P3291" s="166">
        <f t="shared" ca="1" si="265"/>
        <v>0</v>
      </c>
      <c r="Q3291" s="166"/>
    </row>
    <row r="3292" spans="1:17">
      <c r="A3292" s="166" t="b">
        <f t="shared" ca="1" si="257"/>
        <v>0</v>
      </c>
      <c r="B3292" s="172" t="str">
        <f ca="1">IF(COUNTA(G$2368:G3291)=1,"",OFFSET(B3292,-COUNTA(G$2368:G3291)+1,0))</f>
        <v>a1b3p000006eF7LAAU</v>
      </c>
      <c r="C3292" s="177">
        <f ca="1">IF(COUNTA(G$2368:G3291)=1,"",OFFSET(C3292,-COUNTA(G$2368:G3291)+1,0))</f>
        <v>74</v>
      </c>
      <c r="D3292" s="166">
        <f t="shared" si="262"/>
        <v>442</v>
      </c>
      <c r="E3292" s="166">
        <f t="shared" ca="1" si="263"/>
        <v>4</v>
      </c>
      <c r="F3292" s="166">
        <f t="shared" ca="1" si="264"/>
        <v>82</v>
      </c>
      <c r="G3292" s="166"/>
      <c r="H3292" s="171" t="str">
        <f t="shared" ca="1" si="258"/>
        <v/>
      </c>
      <c r="I3292" s="171" t="str">
        <f t="shared" ca="1" si="259"/>
        <v/>
      </c>
      <c r="J3292" s="171" t="str">
        <f t="shared" ca="1" si="260"/>
        <v/>
      </c>
      <c r="K3292" s="171" t="str">
        <f t="shared" ca="1" si="261"/>
        <v/>
      </c>
      <c r="L3292" s="166"/>
      <c r="M3292" s="166"/>
      <c r="N3292" s="166"/>
      <c r="O3292" s="166"/>
      <c r="P3292" s="166">
        <f t="shared" ca="1" si="265"/>
        <v>0</v>
      </c>
      <c r="Q3292" s="166"/>
    </row>
    <row r="3293" spans="1:17">
      <c r="A3293" s="166" t="b">
        <f t="shared" ca="1" si="257"/>
        <v>0</v>
      </c>
      <c r="B3293" s="172" t="str">
        <f ca="1">IF(COUNTA(G$2368:G3292)=1,"",OFFSET(B3293,-COUNTA(G$2368:G3292)+1,0))</f>
        <v>a1b3p000006eF8dAAE</v>
      </c>
      <c r="C3293" s="177">
        <f ca="1">IF(COUNTA(G$2368:G3292)=1,"",OFFSET(C3293,-COUNTA(G$2368:G3292)+1,0))</f>
        <v>74</v>
      </c>
      <c r="D3293" s="166">
        <f t="shared" si="262"/>
        <v>443</v>
      </c>
      <c r="E3293" s="166">
        <f t="shared" ca="1" si="263"/>
        <v>5</v>
      </c>
      <c r="F3293" s="166">
        <f t="shared" ca="1" si="264"/>
        <v>82</v>
      </c>
      <c r="G3293" s="166"/>
      <c r="H3293" s="171" t="str">
        <f t="shared" ca="1" si="258"/>
        <v/>
      </c>
      <c r="I3293" s="171" t="str">
        <f t="shared" ca="1" si="259"/>
        <v/>
      </c>
      <c r="J3293" s="171" t="str">
        <f t="shared" ca="1" si="260"/>
        <v/>
      </c>
      <c r="K3293" s="171" t="str">
        <f t="shared" ca="1" si="261"/>
        <v/>
      </c>
      <c r="L3293" s="166"/>
      <c r="M3293" s="166"/>
      <c r="N3293" s="166"/>
      <c r="O3293" s="166"/>
      <c r="P3293" s="166">
        <f t="shared" ca="1" si="265"/>
        <v>0</v>
      </c>
      <c r="Q3293" s="166"/>
    </row>
    <row r="3294" spans="1:17">
      <c r="A3294" s="166" t="b">
        <f t="shared" ca="1" si="257"/>
        <v>0</v>
      </c>
      <c r="B3294" s="172" t="str">
        <f ca="1">IF(COUNTA(G$2368:G3293)=1,"",OFFSET(B3294,-COUNTA(G$2368:G3293)+1,0))</f>
        <v>a1b3p000006eF9vAAE</v>
      </c>
      <c r="C3294" s="177">
        <f ca="1">IF(COUNTA(G$2368:G3293)=1,"",OFFSET(C3294,-COUNTA(G$2368:G3293)+1,0))</f>
        <v>74</v>
      </c>
      <c r="D3294" s="166">
        <f t="shared" si="262"/>
        <v>444</v>
      </c>
      <c r="E3294" s="166">
        <f t="shared" ca="1" si="263"/>
        <v>6</v>
      </c>
      <c r="F3294" s="166">
        <f t="shared" ca="1" si="264"/>
        <v>82</v>
      </c>
      <c r="G3294" s="166"/>
      <c r="H3294" s="171" t="str">
        <f t="shared" ca="1" si="258"/>
        <v/>
      </c>
      <c r="I3294" s="171" t="str">
        <f t="shared" ca="1" si="259"/>
        <v/>
      </c>
      <c r="J3294" s="171" t="str">
        <f t="shared" ca="1" si="260"/>
        <v/>
      </c>
      <c r="K3294" s="171" t="str">
        <f t="shared" ca="1" si="261"/>
        <v/>
      </c>
      <c r="L3294" s="166"/>
      <c r="M3294" s="166"/>
      <c r="N3294" s="166"/>
      <c r="O3294" s="166"/>
      <c r="P3294" s="166">
        <f t="shared" ca="1" si="265"/>
        <v>0</v>
      </c>
      <c r="Q3294" s="166"/>
    </row>
    <row r="3295" spans="1:17">
      <c r="A3295" s="166" t="b">
        <f t="shared" ca="1" si="257"/>
        <v>0</v>
      </c>
      <c r="B3295" s="172" t="str">
        <f ca="1">IF(COUNTA(G$2368:G3294)=1,"",OFFSET(B3295,-COUNTA(G$2368:G3294)+1,0))</f>
        <v>a1b3p000006eF3UAAU</v>
      </c>
      <c r="C3295" s="177">
        <f ca="1">IF(COUNTA(G$2368:G3294)=1,"",OFFSET(C3295,-COUNTA(G$2368:G3294)+1,0))</f>
        <v>75</v>
      </c>
      <c r="D3295" s="166">
        <f t="shared" si="262"/>
        <v>445</v>
      </c>
      <c r="E3295" s="166">
        <f t="shared" ca="1" si="263"/>
        <v>1</v>
      </c>
      <c r="F3295" s="166">
        <f t="shared" ca="1" si="264"/>
        <v>83</v>
      </c>
      <c r="G3295" s="166"/>
      <c r="H3295" s="171" t="str">
        <f t="shared" ca="1" si="258"/>
        <v/>
      </c>
      <c r="I3295" s="171" t="str">
        <f t="shared" ca="1" si="259"/>
        <v/>
      </c>
      <c r="J3295" s="171" t="str">
        <f t="shared" ca="1" si="260"/>
        <v/>
      </c>
      <c r="K3295" s="171" t="str">
        <f t="shared" ca="1" si="261"/>
        <v/>
      </c>
      <c r="L3295" s="166"/>
      <c r="M3295" s="166"/>
      <c r="N3295" s="166"/>
      <c r="O3295" s="166"/>
      <c r="P3295" s="166">
        <f t="shared" ca="1" si="265"/>
        <v>0</v>
      </c>
      <c r="Q3295" s="166"/>
    </row>
    <row r="3296" spans="1:17">
      <c r="A3296" s="166" t="b">
        <f t="shared" ca="1" si="257"/>
        <v>0</v>
      </c>
      <c r="B3296" s="172" t="str">
        <f ca="1">IF(COUNTA(G$2368:G3295)=1,"",OFFSET(B3296,-COUNTA(G$2368:G3295)+1,0))</f>
        <v>a1b3p000006eF4mAAE</v>
      </c>
      <c r="C3296" s="177">
        <f ca="1">IF(COUNTA(G$2368:G3295)=1,"",OFFSET(C3296,-COUNTA(G$2368:G3295)+1,0))</f>
        <v>75</v>
      </c>
      <c r="D3296" s="166">
        <f t="shared" si="262"/>
        <v>446</v>
      </c>
      <c r="E3296" s="166">
        <f t="shared" ca="1" si="263"/>
        <v>2</v>
      </c>
      <c r="F3296" s="166">
        <f t="shared" ca="1" si="264"/>
        <v>83</v>
      </c>
      <c r="G3296" s="166"/>
      <c r="H3296" s="171" t="str">
        <f t="shared" ca="1" si="258"/>
        <v/>
      </c>
      <c r="I3296" s="171" t="str">
        <f t="shared" ca="1" si="259"/>
        <v/>
      </c>
      <c r="J3296" s="171" t="str">
        <f t="shared" ca="1" si="260"/>
        <v/>
      </c>
      <c r="K3296" s="171" t="str">
        <f t="shared" ca="1" si="261"/>
        <v/>
      </c>
      <c r="L3296" s="166"/>
      <c r="M3296" s="166"/>
      <c r="N3296" s="166"/>
      <c r="O3296" s="166"/>
      <c r="P3296" s="166">
        <f t="shared" ca="1" si="265"/>
        <v>0</v>
      </c>
      <c r="Q3296" s="166"/>
    </row>
    <row r="3297" spans="1:17">
      <c r="A3297" s="166" t="b">
        <f t="shared" ca="1" si="257"/>
        <v>0</v>
      </c>
      <c r="B3297" s="172" t="str">
        <f ca="1">IF(COUNTA(G$2368:G3296)=1,"",OFFSET(B3297,-COUNTA(G$2368:G3296)+1,0))</f>
        <v>a1b3p000006eF64AAE</v>
      </c>
      <c r="C3297" s="177">
        <f ca="1">IF(COUNTA(G$2368:G3296)=1,"",OFFSET(C3297,-COUNTA(G$2368:G3296)+1,0))</f>
        <v>75</v>
      </c>
      <c r="D3297" s="166">
        <f t="shared" si="262"/>
        <v>447</v>
      </c>
      <c r="E3297" s="166">
        <f t="shared" ca="1" si="263"/>
        <v>3</v>
      </c>
      <c r="F3297" s="166">
        <f t="shared" ca="1" si="264"/>
        <v>83</v>
      </c>
      <c r="G3297" s="166"/>
      <c r="H3297" s="171" t="str">
        <f t="shared" ca="1" si="258"/>
        <v/>
      </c>
      <c r="I3297" s="171" t="str">
        <f t="shared" ca="1" si="259"/>
        <v/>
      </c>
      <c r="J3297" s="171" t="str">
        <f t="shared" ca="1" si="260"/>
        <v/>
      </c>
      <c r="K3297" s="171" t="str">
        <f t="shared" ca="1" si="261"/>
        <v/>
      </c>
      <c r="L3297" s="166"/>
      <c r="M3297" s="166"/>
      <c r="N3297" s="166"/>
      <c r="O3297" s="166"/>
      <c r="P3297" s="166">
        <f t="shared" ca="1" si="265"/>
        <v>0</v>
      </c>
      <c r="Q3297" s="166"/>
    </row>
    <row r="3298" spans="1:17">
      <c r="A3298" s="166" t="b">
        <f t="shared" ca="1" si="257"/>
        <v>0</v>
      </c>
      <c r="B3298" s="172" t="str">
        <f ca="1">IF(COUNTA(G$2368:G3297)=1,"",OFFSET(B3298,-COUNTA(G$2368:G3297)+1,0))</f>
        <v>a1b3p000006eF7MAAU</v>
      </c>
      <c r="C3298" s="177">
        <f ca="1">IF(COUNTA(G$2368:G3297)=1,"",OFFSET(C3298,-COUNTA(G$2368:G3297)+1,0))</f>
        <v>75</v>
      </c>
      <c r="D3298" s="166">
        <f t="shared" si="262"/>
        <v>448</v>
      </c>
      <c r="E3298" s="166">
        <f t="shared" ca="1" si="263"/>
        <v>4</v>
      </c>
      <c r="F3298" s="166">
        <f t="shared" ca="1" si="264"/>
        <v>83</v>
      </c>
      <c r="G3298" s="166"/>
      <c r="H3298" s="171" t="str">
        <f t="shared" ca="1" si="258"/>
        <v/>
      </c>
      <c r="I3298" s="171" t="str">
        <f t="shared" ca="1" si="259"/>
        <v/>
      </c>
      <c r="J3298" s="171" t="str">
        <f t="shared" ca="1" si="260"/>
        <v/>
      </c>
      <c r="K3298" s="171" t="str">
        <f t="shared" ca="1" si="261"/>
        <v/>
      </c>
      <c r="L3298" s="166"/>
      <c r="M3298" s="166"/>
      <c r="N3298" s="166"/>
      <c r="O3298" s="166"/>
      <c r="P3298" s="166">
        <f t="shared" ca="1" si="265"/>
        <v>0</v>
      </c>
      <c r="Q3298" s="166"/>
    </row>
    <row r="3299" spans="1:17">
      <c r="A3299" s="166" t="b">
        <f t="shared" ref="A3299:A3330" ca="1" si="266">IF(OR(AND(J3299&lt;&gt;"",J3299&lt;&gt;0),AND(K3299&lt;&gt;"",K3299&lt;&gt;0)),TRUE,FALSE)</f>
        <v>0</v>
      </c>
      <c r="B3299" s="172" t="str">
        <f ca="1">IF(COUNTA(G$2368:G3298)=1,"",OFFSET(B3299,-COUNTA(G$2368:G3298)+1,0))</f>
        <v>a1b3p000006eF8eAAE</v>
      </c>
      <c r="C3299" s="177">
        <f ca="1">IF(COUNTA(G$2368:G3298)=1,"",OFFSET(C3299,-COUNTA(G$2368:G3298)+1,0))</f>
        <v>75</v>
      </c>
      <c r="D3299" s="166">
        <f t="shared" si="262"/>
        <v>449</v>
      </c>
      <c r="E3299" s="166">
        <f t="shared" ca="1" si="263"/>
        <v>5</v>
      </c>
      <c r="F3299" s="166">
        <f t="shared" ca="1" si="264"/>
        <v>83</v>
      </c>
      <c r="G3299" s="166"/>
      <c r="H3299" s="171" t="str">
        <f t="shared" ref="H3299:H3330" ca="1" si="267">CHOOSE(E3299,IFERROR(IF(INDIRECT("'WPTM - Section F'!K"&amp;F3299)=0,"",INDIRECT("'WPTM - Section F'!K"&amp;$F3299)),""),IFERROR(IF(INDIRECT("'WPTM - Section F'!O"&amp;F3299)=0,"",INDIRECT("'WPTM - Section F'!O"&amp;$F3299)),""),IFERROR(IF(INDIRECT("'WPTM - Section F'!S"&amp;F3299)=0,"",INDIRECT("'WPTM - Section F'!S"&amp;$F3299)),""),IFERROR(IF(INDIRECT("'WPTM - Section F'!W"&amp;F3299)=0,"",INDIRECT("'WPTM - Section F'!W"&amp;$F3299)),""),IFERROR(IF(INDIRECT("'WPTM - Section F'!AA"&amp;F3299)=0,"",INDIRECT("'WPTM - Section F'!AA"&amp;$F3299)),""),IFERROR(IF(INDIRECT("'WPTM - Section F'!AE"&amp;F3299)=0,"",INDIRECT("'WPTM - Section F'!AE"&amp;$F3299)),""),IFERROR(IF(INDIRECT("'WPTM - Section F'!AI"&amp;F3299)=0,"",INDIRECT("'WPTM - Section F'!AI"&amp;$F3299)),""),IFERROR(IF(INDIRECT("'WPTM - Section F'!AM"&amp;F3299)=0,"",INDIRECT("'WPTM - Section F'!AM"&amp;$F3299)),""),)</f>
        <v/>
      </c>
      <c r="I3299" s="171" t="str">
        <f t="shared" ref="I3299:I3330" ca="1" si="268">CHOOSE(E3299,IFERROR(IF(INDIRECT("'WPTM - Section F'!J"&amp;F3299)=0,"",INDIRECT("'WPTM - Section F'!J"&amp;$F3299)),""),IFERROR(IF(INDIRECT("'WPTM - Section F'!N"&amp;F3299)=0,"",INDIRECT("'WPTM - Section F'!N"&amp;$F3299)),""),IFERROR(IF(INDIRECT("'WPTM - Section F'!R"&amp;F3299)=0,"",INDIRECT("'WPTM - Section F'!R"&amp;$F3299)),""),IFERROR(IF(INDIRECT("'WPTM - Section F'!V"&amp;F3299)=0,"",INDIRECT("'WPTM - Section F'!V"&amp;$F3299)),""),IFERROR(IF(INDIRECT("'WPTM - Section F'!Z"&amp;F3299)=0,"",INDIRECT("'WPTM - Section F'!Z"&amp;$F3299)),""),IFERROR(IF(INDIRECT("'WPTM - Section F'!AD"&amp;F3299)=0,"",INDIRECT("'WPTM - Section F'!AD"&amp;$F3299)),""),IFERROR(IF(INDIRECT("'WPTM - Section F'!AH"&amp;F3299)=0,"",INDIRECT("'WPTM - Section F'!AH"&amp;$F3299)),""),IFERROR(IF(INDIRECT("'WPTM - Section F'!AL"&amp;F3299)=0,"",INDIRECT("'WPTM - Section F'!AL"&amp;$F3299)),""),)</f>
        <v/>
      </c>
      <c r="J3299" s="171" t="str">
        <f t="shared" ref="J3299:J3330" ca="1" si="269">CHOOSE(E3299,IFERROR(IF(INDIRECT("'WPTM - Section F'!H"&amp;F3299)=0,"",INDIRECT("'WPTM - Section F'!H"&amp;$F3299)),""),IFERROR(IF(INDIRECT("'WPTM - Section F'!L"&amp;F3299)=0,"",INDIRECT("'WPTM - Section F'!L"&amp;$F3299)),""),IFERROR(IF(INDIRECT("'WPTM - Section F'!P"&amp;F3299)=0,"",INDIRECT("'WPTM - Section F'!P"&amp;$F3299)),""),IFERROR(IF(INDIRECT("'WPTM - Section F'!T"&amp;F3299)=0,"",INDIRECT("'WPTM - Section F'!T"&amp;$F3299)),""),IFERROR(IF(INDIRECT("'WPTM - Section F'!X"&amp;F3299)=0,"",INDIRECT("'WPTM - Section F'!X"&amp;$F3299)),""),IFERROR(IF(INDIRECT("'WPTM - Section F'!AB"&amp;F3299)=0,"",INDIRECT("'WPTM - Section F'!AB"&amp;$F3299)),""),IFERROR(IF(INDIRECT("'WPTM - Section F'!AF"&amp;F3299)=0,"",INDIRECT("'WPTM - Section F'!AF"&amp;$F3299)),""),IFERROR(IF(INDIRECT("'WPTM - Section F'!AJ"&amp;F3299)=0,"",INDIRECT("'WPTM - Section F'!AJ"&amp;$F3299)),""),)</f>
        <v/>
      </c>
      <c r="K3299" s="171" t="str">
        <f t="shared" ref="K3299:K3330" ca="1" si="270">CHOOSE(E3299,IFERROR(IF(INDIRECT("'WPTM - Section F'!I"&amp;F3299)=0,"",INDIRECT("'WPTM - Section F'!I"&amp;$F3299)),""),IFERROR(IF(INDIRECT("'WPTM - Section F'!M"&amp;F3299)=0,"",INDIRECT("'WPTM - Section F'!M"&amp;$F3299)),""),IFERROR(IF(INDIRECT("'WPTM - Section F'!Q"&amp;F3299)=0,"",INDIRECT("'WPTM - Section F'!Q"&amp;$F3299)),""),IFERROR(IF(INDIRECT("'WPTM - Section F'!U"&amp;F3299)=0,"",INDIRECT("'WPTM - Section F'!U"&amp;$F3299)),""),IFERROR(IF(INDIRECT("'WPTM - Section F'!Y"&amp;F3299)=0,"",INDIRECT("'WPTM - Section F'!Y"&amp;$F3299)),""),IFERROR(IF(INDIRECT("'WPTM - Section F'!AC"&amp;F3299)=0,"",INDIRECT("'WPTM - Section F'!AC"&amp;$F3299)),""),IFERROR(IF(INDIRECT("'WPTM - Section F'!AG"&amp;F3299)=0,"",INDIRECT("'WPTM - Section F'!AG"&amp;$F3299)),""),IFERROR(IF(INDIRECT("'WPTM - Section F'!AK"&amp;F3299)=0,"",INDIRECT("'WPTM - Section F'!AK"&amp;$F3299)),""),)</f>
        <v/>
      </c>
      <c r="L3299" s="166"/>
      <c r="M3299" s="166"/>
      <c r="N3299" s="166"/>
      <c r="O3299" s="166"/>
      <c r="P3299" s="166">
        <f t="shared" ca="1" si="265"/>
        <v>0</v>
      </c>
      <c r="Q3299" s="166"/>
    </row>
    <row r="3300" spans="1:17">
      <c r="A3300" s="166" t="b">
        <f t="shared" ca="1" si="266"/>
        <v>0</v>
      </c>
      <c r="B3300" s="172" t="str">
        <f ca="1">IF(COUNTA(G$2368:G3299)=1,"",OFFSET(B3300,-COUNTA(G$2368:G3299)+1,0))</f>
        <v>a1b3p000006eF9wAAE</v>
      </c>
      <c r="C3300" s="177">
        <f ca="1">IF(COUNTA(G$2368:G3299)=1,"",OFFSET(C3300,-COUNTA(G$2368:G3299)+1,0))</f>
        <v>75</v>
      </c>
      <c r="D3300" s="166">
        <f t="shared" si="262"/>
        <v>450</v>
      </c>
      <c r="E3300" s="166">
        <f t="shared" ca="1" si="263"/>
        <v>6</v>
      </c>
      <c r="F3300" s="166">
        <f t="shared" ca="1" si="264"/>
        <v>83</v>
      </c>
      <c r="G3300" s="166"/>
      <c r="H3300" s="171" t="str">
        <f t="shared" ca="1" si="267"/>
        <v/>
      </c>
      <c r="I3300" s="171" t="str">
        <f t="shared" ca="1" si="268"/>
        <v/>
      </c>
      <c r="J3300" s="171" t="str">
        <f t="shared" ca="1" si="269"/>
        <v/>
      </c>
      <c r="K3300" s="171" t="str">
        <f t="shared" ca="1" si="270"/>
        <v/>
      </c>
      <c r="L3300" s="166"/>
      <c r="M3300" s="166"/>
      <c r="N3300" s="166"/>
      <c r="O3300" s="166"/>
      <c r="P3300" s="166">
        <f t="shared" ca="1" si="265"/>
        <v>0</v>
      </c>
      <c r="Q3300" s="166"/>
    </row>
    <row r="3301" spans="1:17">
      <c r="A3301" s="166" t="b">
        <f t="shared" ca="1" si="266"/>
        <v>0</v>
      </c>
      <c r="B3301" s="172" t="str">
        <f ca="1">IF(COUNTA(G$2368:G3300)=1,"",OFFSET(B3301,-COUNTA(G$2368:G3300)+1,0))</f>
        <v>a1b3p000006eF3VAAU</v>
      </c>
      <c r="C3301" s="177">
        <f ca="1">IF(COUNTA(G$2368:G3300)=1,"",OFFSET(C3301,-COUNTA(G$2368:G3300)+1,0))</f>
        <v>76</v>
      </c>
      <c r="D3301" s="166">
        <f t="shared" si="262"/>
        <v>451</v>
      </c>
      <c r="E3301" s="166">
        <f t="shared" ca="1" si="263"/>
        <v>1</v>
      </c>
      <c r="F3301" s="166">
        <f t="shared" ca="1" si="264"/>
        <v>84</v>
      </c>
      <c r="G3301" s="166"/>
      <c r="H3301" s="171" t="str">
        <f t="shared" ca="1" si="267"/>
        <v/>
      </c>
      <c r="I3301" s="171" t="str">
        <f t="shared" ca="1" si="268"/>
        <v/>
      </c>
      <c r="J3301" s="171" t="str">
        <f t="shared" ca="1" si="269"/>
        <v/>
      </c>
      <c r="K3301" s="171" t="str">
        <f t="shared" ca="1" si="270"/>
        <v/>
      </c>
      <c r="L3301" s="166"/>
      <c r="M3301" s="166"/>
      <c r="N3301" s="166"/>
      <c r="O3301" s="166"/>
      <c r="P3301" s="166">
        <f t="shared" ca="1" si="265"/>
        <v>0</v>
      </c>
      <c r="Q3301" s="166"/>
    </row>
    <row r="3302" spans="1:17">
      <c r="A3302" s="166" t="b">
        <f t="shared" ca="1" si="266"/>
        <v>0</v>
      </c>
      <c r="B3302" s="172" t="str">
        <f ca="1">IF(COUNTA(G$2368:G3301)=1,"",OFFSET(B3302,-COUNTA(G$2368:G3301)+1,0))</f>
        <v>a1b3p000006eF4nAAE</v>
      </c>
      <c r="C3302" s="177">
        <f ca="1">IF(COUNTA(G$2368:G3301)=1,"",OFFSET(C3302,-COUNTA(G$2368:G3301)+1,0))</f>
        <v>76</v>
      </c>
      <c r="D3302" s="166">
        <f t="shared" si="262"/>
        <v>452</v>
      </c>
      <c r="E3302" s="166">
        <f t="shared" ca="1" si="263"/>
        <v>2</v>
      </c>
      <c r="F3302" s="166">
        <f t="shared" ca="1" si="264"/>
        <v>84</v>
      </c>
      <c r="G3302" s="166"/>
      <c r="H3302" s="171" t="str">
        <f t="shared" ca="1" si="267"/>
        <v/>
      </c>
      <c r="I3302" s="171" t="str">
        <f t="shared" ca="1" si="268"/>
        <v/>
      </c>
      <c r="J3302" s="171" t="str">
        <f t="shared" ca="1" si="269"/>
        <v/>
      </c>
      <c r="K3302" s="171" t="str">
        <f t="shared" ca="1" si="270"/>
        <v/>
      </c>
      <c r="L3302" s="166"/>
      <c r="M3302" s="166"/>
      <c r="N3302" s="166"/>
      <c r="O3302" s="166"/>
      <c r="P3302" s="166">
        <f t="shared" ca="1" si="265"/>
        <v>0</v>
      </c>
      <c r="Q3302" s="166"/>
    </row>
    <row r="3303" spans="1:17">
      <c r="A3303" s="166" t="b">
        <f t="shared" ca="1" si="266"/>
        <v>0</v>
      </c>
      <c r="B3303" s="172" t="str">
        <f ca="1">IF(COUNTA(G$2368:G3302)=1,"",OFFSET(B3303,-COUNTA(G$2368:G3302)+1,0))</f>
        <v>a1b3p000006eF65AAE</v>
      </c>
      <c r="C3303" s="177">
        <f ca="1">IF(COUNTA(G$2368:G3302)=1,"",OFFSET(C3303,-COUNTA(G$2368:G3302)+1,0))</f>
        <v>76</v>
      </c>
      <c r="D3303" s="166">
        <f t="shared" si="262"/>
        <v>453</v>
      </c>
      <c r="E3303" s="166">
        <f t="shared" ca="1" si="263"/>
        <v>3</v>
      </c>
      <c r="F3303" s="166">
        <f t="shared" ca="1" si="264"/>
        <v>84</v>
      </c>
      <c r="G3303" s="166"/>
      <c r="H3303" s="171" t="str">
        <f t="shared" ca="1" si="267"/>
        <v/>
      </c>
      <c r="I3303" s="171" t="str">
        <f t="shared" ca="1" si="268"/>
        <v/>
      </c>
      <c r="J3303" s="171" t="str">
        <f t="shared" ca="1" si="269"/>
        <v/>
      </c>
      <c r="K3303" s="171" t="str">
        <f t="shared" ca="1" si="270"/>
        <v/>
      </c>
      <c r="L3303" s="166"/>
      <c r="M3303" s="166"/>
      <c r="N3303" s="166"/>
      <c r="O3303" s="166"/>
      <c r="P3303" s="166">
        <f t="shared" ca="1" si="265"/>
        <v>0</v>
      </c>
      <c r="Q3303" s="166"/>
    </row>
    <row r="3304" spans="1:17">
      <c r="A3304" s="166" t="b">
        <f t="shared" ca="1" si="266"/>
        <v>0</v>
      </c>
      <c r="B3304" s="172" t="str">
        <f ca="1">IF(COUNTA(G$2368:G3303)=1,"",OFFSET(B3304,-COUNTA(G$2368:G3303)+1,0))</f>
        <v>a1b3p000006eF7NAAU</v>
      </c>
      <c r="C3304" s="177">
        <f ca="1">IF(COUNTA(G$2368:G3303)=1,"",OFFSET(C3304,-COUNTA(G$2368:G3303)+1,0))</f>
        <v>76</v>
      </c>
      <c r="D3304" s="166">
        <f t="shared" si="262"/>
        <v>454</v>
      </c>
      <c r="E3304" s="166">
        <f t="shared" ca="1" si="263"/>
        <v>4</v>
      </c>
      <c r="F3304" s="166">
        <f t="shared" ca="1" si="264"/>
        <v>84</v>
      </c>
      <c r="G3304" s="166"/>
      <c r="H3304" s="171" t="str">
        <f t="shared" ca="1" si="267"/>
        <v/>
      </c>
      <c r="I3304" s="171" t="str">
        <f t="shared" ca="1" si="268"/>
        <v/>
      </c>
      <c r="J3304" s="171" t="str">
        <f t="shared" ca="1" si="269"/>
        <v/>
      </c>
      <c r="K3304" s="171" t="str">
        <f t="shared" ca="1" si="270"/>
        <v/>
      </c>
      <c r="L3304" s="166"/>
      <c r="M3304" s="166"/>
      <c r="N3304" s="166"/>
      <c r="O3304" s="166"/>
      <c r="P3304" s="166">
        <f t="shared" ca="1" si="265"/>
        <v>0</v>
      </c>
      <c r="Q3304" s="166"/>
    </row>
    <row r="3305" spans="1:17">
      <c r="A3305" s="166" t="b">
        <f t="shared" ca="1" si="266"/>
        <v>0</v>
      </c>
      <c r="B3305" s="172" t="str">
        <f ca="1">IF(COUNTA(G$2368:G3304)=1,"",OFFSET(B3305,-COUNTA(G$2368:G3304)+1,0))</f>
        <v>a1b3p000006eF8fAAE</v>
      </c>
      <c r="C3305" s="177">
        <f ca="1">IF(COUNTA(G$2368:G3304)=1,"",OFFSET(C3305,-COUNTA(G$2368:G3304)+1,0))</f>
        <v>76</v>
      </c>
      <c r="D3305" s="166">
        <f t="shared" si="262"/>
        <v>455</v>
      </c>
      <c r="E3305" s="166">
        <f t="shared" ca="1" si="263"/>
        <v>5</v>
      </c>
      <c r="F3305" s="166">
        <f t="shared" ca="1" si="264"/>
        <v>84</v>
      </c>
      <c r="G3305" s="166"/>
      <c r="H3305" s="171" t="str">
        <f t="shared" ca="1" si="267"/>
        <v/>
      </c>
      <c r="I3305" s="171" t="str">
        <f t="shared" ca="1" si="268"/>
        <v/>
      </c>
      <c r="J3305" s="171" t="str">
        <f t="shared" ca="1" si="269"/>
        <v/>
      </c>
      <c r="K3305" s="171" t="str">
        <f t="shared" ca="1" si="270"/>
        <v/>
      </c>
      <c r="L3305" s="166"/>
      <c r="M3305" s="166"/>
      <c r="N3305" s="166"/>
      <c r="O3305" s="166"/>
      <c r="P3305" s="166">
        <f t="shared" ca="1" si="265"/>
        <v>0</v>
      </c>
      <c r="Q3305" s="166"/>
    </row>
    <row r="3306" spans="1:17">
      <c r="A3306" s="166" t="b">
        <f t="shared" ca="1" si="266"/>
        <v>0</v>
      </c>
      <c r="B3306" s="172" t="str">
        <f ca="1">IF(COUNTA(G$2368:G3305)=1,"",OFFSET(B3306,-COUNTA(G$2368:G3305)+1,0))</f>
        <v>a1b3p000006eF9xAAE</v>
      </c>
      <c r="C3306" s="177">
        <f ca="1">IF(COUNTA(G$2368:G3305)=1,"",OFFSET(C3306,-COUNTA(G$2368:G3305)+1,0))</f>
        <v>76</v>
      </c>
      <c r="D3306" s="166">
        <f t="shared" si="262"/>
        <v>456</v>
      </c>
      <c r="E3306" s="166">
        <f t="shared" ca="1" si="263"/>
        <v>6</v>
      </c>
      <c r="F3306" s="166">
        <f t="shared" ca="1" si="264"/>
        <v>84</v>
      </c>
      <c r="G3306" s="166"/>
      <c r="H3306" s="171" t="str">
        <f t="shared" ca="1" si="267"/>
        <v/>
      </c>
      <c r="I3306" s="171" t="str">
        <f t="shared" ca="1" si="268"/>
        <v/>
      </c>
      <c r="J3306" s="171" t="str">
        <f t="shared" ca="1" si="269"/>
        <v/>
      </c>
      <c r="K3306" s="171" t="str">
        <f t="shared" ca="1" si="270"/>
        <v/>
      </c>
      <c r="L3306" s="166"/>
      <c r="M3306" s="166"/>
      <c r="N3306" s="166"/>
      <c r="O3306" s="166"/>
      <c r="P3306" s="166">
        <f t="shared" ca="1" si="265"/>
        <v>0</v>
      </c>
      <c r="Q3306" s="166"/>
    </row>
    <row r="3307" spans="1:17">
      <c r="A3307" s="166" t="b">
        <f t="shared" ca="1" si="266"/>
        <v>0</v>
      </c>
      <c r="B3307" s="172" t="str">
        <f ca="1">IF(COUNTA(G$2368:G3306)=1,"",OFFSET(B3307,-COUNTA(G$2368:G3306)+1,0))</f>
        <v>a1b3p000006eF3WAAU</v>
      </c>
      <c r="C3307" s="177">
        <f ca="1">IF(COUNTA(G$2368:G3306)=1,"",OFFSET(C3307,-COUNTA(G$2368:G3306)+1,0))</f>
        <v>77</v>
      </c>
      <c r="D3307" s="166">
        <f t="shared" si="262"/>
        <v>457</v>
      </c>
      <c r="E3307" s="166">
        <f t="shared" ca="1" si="263"/>
        <v>1</v>
      </c>
      <c r="F3307" s="166">
        <f t="shared" ca="1" si="264"/>
        <v>85</v>
      </c>
      <c r="G3307" s="166"/>
      <c r="H3307" s="171" t="str">
        <f t="shared" ca="1" si="267"/>
        <v/>
      </c>
      <c r="I3307" s="171" t="str">
        <f t="shared" ca="1" si="268"/>
        <v/>
      </c>
      <c r="J3307" s="171" t="str">
        <f t="shared" ca="1" si="269"/>
        <v/>
      </c>
      <c r="K3307" s="171" t="str">
        <f t="shared" ca="1" si="270"/>
        <v/>
      </c>
      <c r="L3307" s="166"/>
      <c r="M3307" s="166"/>
      <c r="N3307" s="166"/>
      <c r="O3307" s="166"/>
      <c r="P3307" s="166">
        <f t="shared" ca="1" si="265"/>
        <v>0</v>
      </c>
      <c r="Q3307" s="166"/>
    </row>
    <row r="3308" spans="1:17">
      <c r="A3308" s="166" t="b">
        <f t="shared" ca="1" si="266"/>
        <v>0</v>
      </c>
      <c r="B3308" s="172" t="str">
        <f ca="1">IF(COUNTA(G$2368:G3307)=1,"",OFFSET(B3308,-COUNTA(G$2368:G3307)+1,0))</f>
        <v>a1b3p000006eF4oAAE</v>
      </c>
      <c r="C3308" s="177">
        <f ca="1">IF(COUNTA(G$2368:G3307)=1,"",OFFSET(C3308,-COUNTA(G$2368:G3307)+1,0))</f>
        <v>77</v>
      </c>
      <c r="D3308" s="166">
        <f t="shared" si="262"/>
        <v>458</v>
      </c>
      <c r="E3308" s="166">
        <f t="shared" ca="1" si="263"/>
        <v>2</v>
      </c>
      <c r="F3308" s="166">
        <f t="shared" ca="1" si="264"/>
        <v>85</v>
      </c>
      <c r="G3308" s="166"/>
      <c r="H3308" s="171" t="str">
        <f t="shared" ca="1" si="267"/>
        <v/>
      </c>
      <c r="I3308" s="171" t="str">
        <f t="shared" ca="1" si="268"/>
        <v/>
      </c>
      <c r="J3308" s="171" t="str">
        <f t="shared" ca="1" si="269"/>
        <v/>
      </c>
      <c r="K3308" s="171" t="str">
        <f t="shared" ca="1" si="270"/>
        <v/>
      </c>
      <c r="L3308" s="166"/>
      <c r="M3308" s="166"/>
      <c r="N3308" s="166"/>
      <c r="O3308" s="166"/>
      <c r="P3308" s="166">
        <f t="shared" ca="1" si="265"/>
        <v>0</v>
      </c>
      <c r="Q3308" s="166"/>
    </row>
    <row r="3309" spans="1:17">
      <c r="A3309" s="166" t="b">
        <f t="shared" ca="1" si="266"/>
        <v>0</v>
      </c>
      <c r="B3309" s="172" t="str">
        <f ca="1">IF(COUNTA(G$2368:G3308)=1,"",OFFSET(B3309,-COUNTA(G$2368:G3308)+1,0))</f>
        <v>a1b3p000006eF66AAE</v>
      </c>
      <c r="C3309" s="177">
        <f ca="1">IF(COUNTA(G$2368:G3308)=1,"",OFFSET(C3309,-COUNTA(G$2368:G3308)+1,0))</f>
        <v>77</v>
      </c>
      <c r="D3309" s="166">
        <f t="shared" si="262"/>
        <v>459</v>
      </c>
      <c r="E3309" s="166">
        <f t="shared" ca="1" si="263"/>
        <v>3</v>
      </c>
      <c r="F3309" s="166">
        <f t="shared" ca="1" si="264"/>
        <v>85</v>
      </c>
      <c r="G3309" s="166"/>
      <c r="H3309" s="171" t="str">
        <f t="shared" ca="1" si="267"/>
        <v/>
      </c>
      <c r="I3309" s="171" t="str">
        <f t="shared" ca="1" si="268"/>
        <v/>
      </c>
      <c r="J3309" s="171" t="str">
        <f t="shared" ca="1" si="269"/>
        <v/>
      </c>
      <c r="K3309" s="171" t="str">
        <f t="shared" ca="1" si="270"/>
        <v/>
      </c>
      <c r="L3309" s="166"/>
      <c r="M3309" s="166"/>
      <c r="N3309" s="166"/>
      <c r="O3309" s="166"/>
      <c r="P3309" s="166">
        <f t="shared" ca="1" si="265"/>
        <v>0</v>
      </c>
      <c r="Q3309" s="166"/>
    </row>
    <row r="3310" spans="1:17">
      <c r="A3310" s="166" t="b">
        <f t="shared" ca="1" si="266"/>
        <v>0</v>
      </c>
      <c r="B3310" s="172" t="str">
        <f ca="1">IF(COUNTA(G$2368:G3309)=1,"",OFFSET(B3310,-COUNTA(G$2368:G3309)+1,0))</f>
        <v>a1b3p000006eF7OAAU</v>
      </c>
      <c r="C3310" s="177">
        <f ca="1">IF(COUNTA(G$2368:G3309)=1,"",OFFSET(C3310,-COUNTA(G$2368:G3309)+1,0))</f>
        <v>77</v>
      </c>
      <c r="D3310" s="166">
        <f t="shared" si="262"/>
        <v>460</v>
      </c>
      <c r="E3310" s="166">
        <f t="shared" ca="1" si="263"/>
        <v>4</v>
      </c>
      <c r="F3310" s="166">
        <f t="shared" ca="1" si="264"/>
        <v>85</v>
      </c>
      <c r="G3310" s="166"/>
      <c r="H3310" s="171" t="str">
        <f t="shared" ca="1" si="267"/>
        <v/>
      </c>
      <c r="I3310" s="171" t="str">
        <f t="shared" ca="1" si="268"/>
        <v/>
      </c>
      <c r="J3310" s="171" t="str">
        <f t="shared" ca="1" si="269"/>
        <v/>
      </c>
      <c r="K3310" s="171" t="str">
        <f t="shared" ca="1" si="270"/>
        <v/>
      </c>
      <c r="L3310" s="166"/>
      <c r="M3310" s="166"/>
      <c r="N3310" s="166"/>
      <c r="O3310" s="166"/>
      <c r="P3310" s="166">
        <f t="shared" ca="1" si="265"/>
        <v>0</v>
      </c>
      <c r="Q3310" s="166"/>
    </row>
    <row r="3311" spans="1:17">
      <c r="A3311" s="166" t="b">
        <f t="shared" ca="1" si="266"/>
        <v>0</v>
      </c>
      <c r="B3311" s="172" t="str">
        <f ca="1">IF(COUNTA(G$2368:G3310)=1,"",OFFSET(B3311,-COUNTA(G$2368:G3310)+1,0))</f>
        <v>a1b3p000006eF8gAAE</v>
      </c>
      <c r="C3311" s="177">
        <f ca="1">IF(COUNTA(G$2368:G3310)=1,"",OFFSET(C3311,-COUNTA(G$2368:G3310)+1,0))</f>
        <v>77</v>
      </c>
      <c r="D3311" s="166">
        <f t="shared" si="262"/>
        <v>461</v>
      </c>
      <c r="E3311" s="166">
        <f t="shared" ca="1" si="263"/>
        <v>5</v>
      </c>
      <c r="F3311" s="166">
        <f t="shared" ca="1" si="264"/>
        <v>85</v>
      </c>
      <c r="G3311" s="166"/>
      <c r="H3311" s="171" t="str">
        <f t="shared" ca="1" si="267"/>
        <v/>
      </c>
      <c r="I3311" s="171" t="str">
        <f t="shared" ca="1" si="268"/>
        <v/>
      </c>
      <c r="J3311" s="171" t="str">
        <f t="shared" ca="1" si="269"/>
        <v/>
      </c>
      <c r="K3311" s="171" t="str">
        <f t="shared" ca="1" si="270"/>
        <v/>
      </c>
      <c r="L3311" s="166"/>
      <c r="M3311" s="166"/>
      <c r="N3311" s="166"/>
      <c r="O3311" s="166"/>
      <c r="P3311" s="166">
        <f t="shared" ca="1" si="265"/>
        <v>0</v>
      </c>
      <c r="Q3311" s="166"/>
    </row>
    <row r="3312" spans="1:17">
      <c r="A3312" s="166" t="b">
        <f t="shared" ca="1" si="266"/>
        <v>0</v>
      </c>
      <c r="B3312" s="172" t="str">
        <f ca="1">IF(COUNTA(G$2368:G3311)=1,"",OFFSET(B3312,-COUNTA(G$2368:G3311)+1,0))</f>
        <v>a1b3p000006eF9yAAE</v>
      </c>
      <c r="C3312" s="177">
        <f ca="1">IF(COUNTA(G$2368:G3311)=1,"",OFFSET(C3312,-COUNTA(G$2368:G3311)+1,0))</f>
        <v>77</v>
      </c>
      <c r="D3312" s="166">
        <f t="shared" si="262"/>
        <v>462</v>
      </c>
      <c r="E3312" s="166">
        <f t="shared" ca="1" si="263"/>
        <v>6</v>
      </c>
      <c r="F3312" s="166">
        <f t="shared" ca="1" si="264"/>
        <v>85</v>
      </c>
      <c r="G3312" s="166"/>
      <c r="H3312" s="171" t="str">
        <f t="shared" ca="1" si="267"/>
        <v/>
      </c>
      <c r="I3312" s="171" t="str">
        <f t="shared" ca="1" si="268"/>
        <v/>
      </c>
      <c r="J3312" s="171" t="str">
        <f t="shared" ca="1" si="269"/>
        <v/>
      </c>
      <c r="K3312" s="171" t="str">
        <f t="shared" ca="1" si="270"/>
        <v/>
      </c>
      <c r="L3312" s="166"/>
      <c r="M3312" s="166"/>
      <c r="N3312" s="166"/>
      <c r="O3312" s="166"/>
      <c r="P3312" s="166">
        <f t="shared" ca="1" si="265"/>
        <v>0</v>
      </c>
      <c r="Q3312" s="166"/>
    </row>
    <row r="3313" spans="1:17">
      <c r="A3313" s="166" t="b">
        <f t="shared" ca="1" si="266"/>
        <v>0</v>
      </c>
      <c r="B3313" s="172" t="str">
        <f ca="1">IF(COUNTA(G$2368:G3312)=1,"",OFFSET(B3313,-COUNTA(G$2368:G3312)+1,0))</f>
        <v>a1b3p000006eF3XAAU</v>
      </c>
      <c r="C3313" s="177">
        <f ca="1">IF(COUNTA(G$2368:G3312)=1,"",OFFSET(C3313,-COUNTA(G$2368:G3312)+1,0))</f>
        <v>78</v>
      </c>
      <c r="D3313" s="166">
        <f t="shared" si="262"/>
        <v>463</v>
      </c>
      <c r="E3313" s="166">
        <f t="shared" ca="1" si="263"/>
        <v>1</v>
      </c>
      <c r="F3313" s="166">
        <f t="shared" ca="1" si="264"/>
        <v>86</v>
      </c>
      <c r="G3313" s="166"/>
      <c r="H3313" s="171" t="str">
        <f t="shared" ca="1" si="267"/>
        <v/>
      </c>
      <c r="I3313" s="171" t="str">
        <f t="shared" ca="1" si="268"/>
        <v/>
      </c>
      <c r="J3313" s="171" t="str">
        <f t="shared" ca="1" si="269"/>
        <v/>
      </c>
      <c r="K3313" s="171" t="str">
        <f t="shared" ca="1" si="270"/>
        <v/>
      </c>
      <c r="L3313" s="166"/>
      <c r="M3313" s="166"/>
      <c r="N3313" s="166"/>
      <c r="O3313" s="166"/>
      <c r="P3313" s="166">
        <f t="shared" ca="1" si="265"/>
        <v>0</v>
      </c>
      <c r="Q3313" s="166"/>
    </row>
    <row r="3314" spans="1:17">
      <c r="A3314" s="166" t="b">
        <f t="shared" ca="1" si="266"/>
        <v>0</v>
      </c>
      <c r="B3314" s="172" t="str">
        <f ca="1">IF(COUNTA(G$2368:G3313)=1,"",OFFSET(B3314,-COUNTA(G$2368:G3313)+1,0))</f>
        <v>a1b3p000006eF4pAAE</v>
      </c>
      <c r="C3314" s="177">
        <f ca="1">IF(COUNTA(G$2368:G3313)=1,"",OFFSET(C3314,-COUNTA(G$2368:G3313)+1,0))</f>
        <v>78</v>
      </c>
      <c r="D3314" s="166">
        <f t="shared" si="262"/>
        <v>464</v>
      </c>
      <c r="E3314" s="166">
        <f t="shared" ca="1" si="263"/>
        <v>2</v>
      </c>
      <c r="F3314" s="166">
        <f t="shared" ca="1" si="264"/>
        <v>86</v>
      </c>
      <c r="G3314" s="166"/>
      <c r="H3314" s="171" t="str">
        <f t="shared" ca="1" si="267"/>
        <v/>
      </c>
      <c r="I3314" s="171" t="str">
        <f t="shared" ca="1" si="268"/>
        <v/>
      </c>
      <c r="J3314" s="171" t="str">
        <f t="shared" ca="1" si="269"/>
        <v/>
      </c>
      <c r="K3314" s="171" t="str">
        <f t="shared" ca="1" si="270"/>
        <v/>
      </c>
      <c r="L3314" s="166"/>
      <c r="M3314" s="166"/>
      <c r="N3314" s="166"/>
      <c r="O3314" s="166"/>
      <c r="P3314" s="166">
        <f t="shared" ca="1" si="265"/>
        <v>0</v>
      </c>
      <c r="Q3314" s="166"/>
    </row>
    <row r="3315" spans="1:17">
      <c r="A3315" s="166" t="b">
        <f t="shared" ca="1" si="266"/>
        <v>0</v>
      </c>
      <c r="B3315" s="172" t="str">
        <f ca="1">IF(COUNTA(G$2368:G3314)=1,"",OFFSET(B3315,-COUNTA(G$2368:G3314)+1,0))</f>
        <v>a1b3p000006eF67AAE</v>
      </c>
      <c r="C3315" s="177">
        <f ca="1">IF(COUNTA(G$2368:G3314)=1,"",OFFSET(C3315,-COUNTA(G$2368:G3314)+1,0))</f>
        <v>78</v>
      </c>
      <c r="D3315" s="166">
        <f t="shared" si="262"/>
        <v>465</v>
      </c>
      <c r="E3315" s="166">
        <f t="shared" ca="1" si="263"/>
        <v>3</v>
      </c>
      <c r="F3315" s="166">
        <f t="shared" ca="1" si="264"/>
        <v>86</v>
      </c>
      <c r="G3315" s="166"/>
      <c r="H3315" s="171" t="str">
        <f t="shared" ca="1" si="267"/>
        <v/>
      </c>
      <c r="I3315" s="171" t="str">
        <f t="shared" ca="1" si="268"/>
        <v/>
      </c>
      <c r="J3315" s="171" t="str">
        <f t="shared" ca="1" si="269"/>
        <v/>
      </c>
      <c r="K3315" s="171" t="str">
        <f t="shared" ca="1" si="270"/>
        <v/>
      </c>
      <c r="L3315" s="166"/>
      <c r="M3315" s="166"/>
      <c r="N3315" s="166"/>
      <c r="O3315" s="166"/>
      <c r="P3315" s="166">
        <f t="shared" ca="1" si="265"/>
        <v>0</v>
      </c>
      <c r="Q3315" s="166"/>
    </row>
    <row r="3316" spans="1:17">
      <c r="A3316" s="166" t="b">
        <f t="shared" ca="1" si="266"/>
        <v>0</v>
      </c>
      <c r="B3316" s="172" t="str">
        <f ca="1">IF(COUNTA(G$2368:G3315)=1,"",OFFSET(B3316,-COUNTA(G$2368:G3315)+1,0))</f>
        <v>a1b3p000006eF7PAAU</v>
      </c>
      <c r="C3316" s="177">
        <f ca="1">IF(COUNTA(G$2368:G3315)=1,"",OFFSET(C3316,-COUNTA(G$2368:G3315)+1,0))</f>
        <v>78</v>
      </c>
      <c r="D3316" s="166">
        <f t="shared" si="262"/>
        <v>466</v>
      </c>
      <c r="E3316" s="166">
        <f t="shared" ca="1" si="263"/>
        <v>4</v>
      </c>
      <c r="F3316" s="166">
        <f t="shared" ca="1" si="264"/>
        <v>86</v>
      </c>
      <c r="G3316" s="166"/>
      <c r="H3316" s="171" t="str">
        <f t="shared" ca="1" si="267"/>
        <v/>
      </c>
      <c r="I3316" s="171" t="str">
        <f t="shared" ca="1" si="268"/>
        <v/>
      </c>
      <c r="J3316" s="171" t="str">
        <f t="shared" ca="1" si="269"/>
        <v/>
      </c>
      <c r="K3316" s="171" t="str">
        <f t="shared" ca="1" si="270"/>
        <v/>
      </c>
      <c r="L3316" s="166"/>
      <c r="M3316" s="166"/>
      <c r="N3316" s="166"/>
      <c r="O3316" s="166"/>
      <c r="P3316" s="166">
        <f t="shared" ca="1" si="265"/>
        <v>0</v>
      </c>
      <c r="Q3316" s="166"/>
    </row>
    <row r="3317" spans="1:17">
      <c r="A3317" s="166" t="b">
        <f t="shared" ca="1" si="266"/>
        <v>0</v>
      </c>
      <c r="B3317" s="172" t="str">
        <f ca="1">IF(COUNTA(G$2368:G3316)=1,"",OFFSET(B3317,-COUNTA(G$2368:G3316)+1,0))</f>
        <v>a1b3p000006eF8hAAE</v>
      </c>
      <c r="C3317" s="177">
        <f ca="1">IF(COUNTA(G$2368:G3316)=1,"",OFFSET(C3317,-COUNTA(G$2368:G3316)+1,0))</f>
        <v>78</v>
      </c>
      <c r="D3317" s="166">
        <f t="shared" si="262"/>
        <v>467</v>
      </c>
      <c r="E3317" s="166">
        <f t="shared" ca="1" si="263"/>
        <v>5</v>
      </c>
      <c r="F3317" s="166">
        <f t="shared" ca="1" si="264"/>
        <v>86</v>
      </c>
      <c r="G3317" s="166"/>
      <c r="H3317" s="171" t="str">
        <f t="shared" ca="1" si="267"/>
        <v/>
      </c>
      <c r="I3317" s="171" t="str">
        <f t="shared" ca="1" si="268"/>
        <v/>
      </c>
      <c r="J3317" s="171" t="str">
        <f t="shared" ca="1" si="269"/>
        <v/>
      </c>
      <c r="K3317" s="171" t="str">
        <f t="shared" ca="1" si="270"/>
        <v/>
      </c>
      <c r="L3317" s="166"/>
      <c r="M3317" s="166"/>
      <c r="N3317" s="166"/>
      <c r="O3317" s="166"/>
      <c r="P3317" s="166">
        <f t="shared" ca="1" si="265"/>
        <v>0</v>
      </c>
      <c r="Q3317" s="166"/>
    </row>
    <row r="3318" spans="1:17">
      <c r="A3318" s="166" t="b">
        <f t="shared" ca="1" si="266"/>
        <v>0</v>
      </c>
      <c r="B3318" s="172" t="str">
        <f ca="1">IF(COUNTA(G$2368:G3317)=1,"",OFFSET(B3318,-COUNTA(G$2368:G3317)+1,0))</f>
        <v>a1b3p000006eF9zAAE</v>
      </c>
      <c r="C3318" s="177">
        <f ca="1">IF(COUNTA(G$2368:G3317)=1,"",OFFSET(C3318,-COUNTA(G$2368:G3317)+1,0))</f>
        <v>78</v>
      </c>
      <c r="D3318" s="166">
        <f t="shared" si="262"/>
        <v>468</v>
      </c>
      <c r="E3318" s="166">
        <f t="shared" ca="1" si="263"/>
        <v>6</v>
      </c>
      <c r="F3318" s="166">
        <f t="shared" ca="1" si="264"/>
        <v>86</v>
      </c>
      <c r="G3318" s="166"/>
      <c r="H3318" s="171" t="str">
        <f t="shared" ca="1" si="267"/>
        <v/>
      </c>
      <c r="I3318" s="171" t="str">
        <f t="shared" ca="1" si="268"/>
        <v/>
      </c>
      <c r="J3318" s="171" t="str">
        <f t="shared" ca="1" si="269"/>
        <v/>
      </c>
      <c r="K3318" s="171" t="str">
        <f t="shared" ca="1" si="270"/>
        <v/>
      </c>
      <c r="L3318" s="166"/>
      <c r="M3318" s="166"/>
      <c r="N3318" s="166"/>
      <c r="O3318" s="166"/>
      <c r="P3318" s="166">
        <f t="shared" ca="1" si="265"/>
        <v>0</v>
      </c>
      <c r="Q3318" s="166"/>
    </row>
    <row r="3319" spans="1:17">
      <c r="A3319" s="166" t="b">
        <f t="shared" ca="1" si="266"/>
        <v>0</v>
      </c>
      <c r="B3319" s="172" t="str">
        <f ca="1">IF(COUNTA(G$2368:G3318)=1,"",OFFSET(B3319,-COUNTA(G$2368:G3318)+1,0))</f>
        <v>a1b3p000006eF3YAAU</v>
      </c>
      <c r="C3319" s="177">
        <f ca="1">IF(COUNTA(G$2368:G3318)=1,"",OFFSET(C3319,-COUNTA(G$2368:G3318)+1,0))</f>
        <v>79</v>
      </c>
      <c r="D3319" s="166">
        <f t="shared" si="262"/>
        <v>469</v>
      </c>
      <c r="E3319" s="166">
        <f t="shared" ca="1" si="263"/>
        <v>1</v>
      </c>
      <c r="F3319" s="166">
        <f t="shared" ca="1" si="264"/>
        <v>87</v>
      </c>
      <c r="G3319" s="166"/>
      <c r="H3319" s="171" t="str">
        <f t="shared" ca="1" si="267"/>
        <v/>
      </c>
      <c r="I3319" s="171" t="str">
        <f t="shared" ca="1" si="268"/>
        <v/>
      </c>
      <c r="J3319" s="171" t="str">
        <f t="shared" ca="1" si="269"/>
        <v/>
      </c>
      <c r="K3319" s="171" t="str">
        <f t="shared" ca="1" si="270"/>
        <v/>
      </c>
      <c r="L3319" s="166"/>
      <c r="M3319" s="166"/>
      <c r="N3319" s="166"/>
      <c r="O3319" s="166"/>
      <c r="P3319" s="166">
        <f t="shared" ca="1" si="265"/>
        <v>0</v>
      </c>
      <c r="Q3319" s="166"/>
    </row>
    <row r="3320" spans="1:17">
      <c r="A3320" s="166" t="b">
        <f t="shared" ca="1" si="266"/>
        <v>0</v>
      </c>
      <c r="B3320" s="172" t="str">
        <f ca="1">IF(COUNTA(G$2368:G3319)=1,"",OFFSET(B3320,-COUNTA(G$2368:G3319)+1,0))</f>
        <v>a1b3p000006eF4qAAE</v>
      </c>
      <c r="C3320" s="177">
        <f ca="1">IF(COUNTA(G$2368:G3319)=1,"",OFFSET(C3320,-COUNTA(G$2368:G3319)+1,0))</f>
        <v>79</v>
      </c>
      <c r="D3320" s="166">
        <f t="shared" si="262"/>
        <v>470</v>
      </c>
      <c r="E3320" s="166">
        <f t="shared" ca="1" si="263"/>
        <v>2</v>
      </c>
      <c r="F3320" s="166">
        <f t="shared" ca="1" si="264"/>
        <v>87</v>
      </c>
      <c r="G3320" s="166"/>
      <c r="H3320" s="171" t="str">
        <f t="shared" ca="1" si="267"/>
        <v/>
      </c>
      <c r="I3320" s="171" t="str">
        <f t="shared" ca="1" si="268"/>
        <v/>
      </c>
      <c r="J3320" s="171" t="str">
        <f t="shared" ca="1" si="269"/>
        <v/>
      </c>
      <c r="K3320" s="171" t="str">
        <f t="shared" ca="1" si="270"/>
        <v/>
      </c>
      <c r="L3320" s="166"/>
      <c r="M3320" s="166"/>
      <c r="N3320" s="166"/>
      <c r="O3320" s="166"/>
      <c r="P3320" s="166">
        <f t="shared" ca="1" si="265"/>
        <v>0</v>
      </c>
      <c r="Q3320" s="166"/>
    </row>
    <row r="3321" spans="1:17">
      <c r="A3321" s="166" t="b">
        <f t="shared" ca="1" si="266"/>
        <v>0</v>
      </c>
      <c r="B3321" s="172" t="str">
        <f ca="1">IF(COUNTA(G$2368:G3320)=1,"",OFFSET(B3321,-COUNTA(G$2368:G3320)+1,0))</f>
        <v>a1b3p000006eF68AAE</v>
      </c>
      <c r="C3321" s="177">
        <f ca="1">IF(COUNTA(G$2368:G3320)=1,"",OFFSET(C3321,-COUNTA(G$2368:G3320)+1,0))</f>
        <v>79</v>
      </c>
      <c r="D3321" s="166">
        <f t="shared" si="262"/>
        <v>471</v>
      </c>
      <c r="E3321" s="166">
        <f t="shared" ca="1" si="263"/>
        <v>3</v>
      </c>
      <c r="F3321" s="166">
        <f t="shared" ca="1" si="264"/>
        <v>87</v>
      </c>
      <c r="G3321" s="166"/>
      <c r="H3321" s="171" t="str">
        <f t="shared" ca="1" si="267"/>
        <v/>
      </c>
      <c r="I3321" s="171" t="str">
        <f t="shared" ca="1" si="268"/>
        <v/>
      </c>
      <c r="J3321" s="171" t="str">
        <f t="shared" ca="1" si="269"/>
        <v/>
      </c>
      <c r="K3321" s="171" t="str">
        <f t="shared" ca="1" si="270"/>
        <v/>
      </c>
      <c r="L3321" s="166"/>
      <c r="M3321" s="166"/>
      <c r="N3321" s="166"/>
      <c r="O3321" s="166"/>
      <c r="P3321" s="166">
        <f t="shared" ca="1" si="265"/>
        <v>0</v>
      </c>
      <c r="Q3321" s="166"/>
    </row>
    <row r="3322" spans="1:17">
      <c r="A3322" s="166" t="b">
        <f t="shared" ca="1" si="266"/>
        <v>0</v>
      </c>
      <c r="B3322" s="172" t="str">
        <f ca="1">IF(COUNTA(G$2368:G3321)=1,"",OFFSET(B3322,-COUNTA(G$2368:G3321)+1,0))</f>
        <v>a1b3p000006eF7QAAU</v>
      </c>
      <c r="C3322" s="177">
        <f ca="1">IF(COUNTA(G$2368:G3321)=1,"",OFFSET(C3322,-COUNTA(G$2368:G3321)+1,0))</f>
        <v>79</v>
      </c>
      <c r="D3322" s="166">
        <f t="shared" si="262"/>
        <v>472</v>
      </c>
      <c r="E3322" s="166">
        <f t="shared" ca="1" si="263"/>
        <v>4</v>
      </c>
      <c r="F3322" s="166">
        <f t="shared" ca="1" si="264"/>
        <v>87</v>
      </c>
      <c r="G3322" s="166"/>
      <c r="H3322" s="171" t="str">
        <f t="shared" ca="1" si="267"/>
        <v/>
      </c>
      <c r="I3322" s="171" t="str">
        <f t="shared" ca="1" si="268"/>
        <v/>
      </c>
      <c r="J3322" s="171" t="str">
        <f t="shared" ca="1" si="269"/>
        <v/>
      </c>
      <c r="K3322" s="171" t="str">
        <f t="shared" ca="1" si="270"/>
        <v/>
      </c>
      <c r="L3322" s="166"/>
      <c r="M3322" s="166"/>
      <c r="N3322" s="166"/>
      <c r="O3322" s="166"/>
      <c r="P3322" s="166">
        <f t="shared" ca="1" si="265"/>
        <v>0</v>
      </c>
      <c r="Q3322" s="166"/>
    </row>
    <row r="3323" spans="1:17">
      <c r="A3323" s="166" t="b">
        <f t="shared" ca="1" si="266"/>
        <v>0</v>
      </c>
      <c r="B3323" s="172" t="str">
        <f ca="1">IF(COUNTA(G$2368:G3322)=1,"",OFFSET(B3323,-COUNTA(G$2368:G3322)+1,0))</f>
        <v>a1b3p000006eF8iAAE</v>
      </c>
      <c r="C3323" s="177">
        <f ca="1">IF(COUNTA(G$2368:G3322)=1,"",OFFSET(C3323,-COUNTA(G$2368:G3322)+1,0))</f>
        <v>79</v>
      </c>
      <c r="D3323" s="166">
        <f t="shared" si="262"/>
        <v>473</v>
      </c>
      <c r="E3323" s="166">
        <f t="shared" ca="1" si="263"/>
        <v>5</v>
      </c>
      <c r="F3323" s="166">
        <f t="shared" ca="1" si="264"/>
        <v>87</v>
      </c>
      <c r="G3323" s="166"/>
      <c r="H3323" s="171" t="str">
        <f t="shared" ca="1" si="267"/>
        <v/>
      </c>
      <c r="I3323" s="171" t="str">
        <f t="shared" ca="1" si="268"/>
        <v/>
      </c>
      <c r="J3323" s="171" t="str">
        <f t="shared" ca="1" si="269"/>
        <v/>
      </c>
      <c r="K3323" s="171" t="str">
        <f t="shared" ca="1" si="270"/>
        <v/>
      </c>
      <c r="L3323" s="166"/>
      <c r="M3323" s="166"/>
      <c r="N3323" s="166"/>
      <c r="O3323" s="166"/>
      <c r="P3323" s="166">
        <f t="shared" ca="1" si="265"/>
        <v>0</v>
      </c>
      <c r="Q3323" s="166"/>
    </row>
    <row r="3324" spans="1:17">
      <c r="A3324" s="166" t="b">
        <f t="shared" ca="1" si="266"/>
        <v>0</v>
      </c>
      <c r="B3324" s="172" t="str">
        <f ca="1">IF(COUNTA(G$2368:G3323)=1,"",OFFSET(B3324,-COUNTA(G$2368:G3323)+1,0))</f>
        <v>a1b3p000006eFA0AAM</v>
      </c>
      <c r="C3324" s="177">
        <f ca="1">IF(COUNTA(G$2368:G3323)=1,"",OFFSET(C3324,-COUNTA(G$2368:G3323)+1,0))</f>
        <v>79</v>
      </c>
      <c r="D3324" s="166">
        <f t="shared" si="262"/>
        <v>474</v>
      </c>
      <c r="E3324" s="166">
        <f t="shared" ca="1" si="263"/>
        <v>6</v>
      </c>
      <c r="F3324" s="166">
        <f t="shared" ca="1" si="264"/>
        <v>87</v>
      </c>
      <c r="G3324" s="166"/>
      <c r="H3324" s="171" t="str">
        <f t="shared" ca="1" si="267"/>
        <v/>
      </c>
      <c r="I3324" s="171" t="str">
        <f t="shared" ca="1" si="268"/>
        <v/>
      </c>
      <c r="J3324" s="171" t="str">
        <f t="shared" ca="1" si="269"/>
        <v/>
      </c>
      <c r="K3324" s="171" t="str">
        <f t="shared" ca="1" si="270"/>
        <v/>
      </c>
      <c r="L3324" s="166"/>
      <c r="M3324" s="166"/>
      <c r="N3324" s="166"/>
      <c r="O3324" s="166"/>
      <c r="P3324" s="166">
        <f t="shared" ca="1" si="265"/>
        <v>0</v>
      </c>
      <c r="Q3324" s="166"/>
    </row>
    <row r="3325" spans="1:17">
      <c r="A3325" s="166" t="b">
        <f t="shared" ca="1" si="266"/>
        <v>0</v>
      </c>
      <c r="B3325" s="172" t="str">
        <f ca="1">IF(COUNTA(G$2368:G3324)=1,"",OFFSET(B3325,-COUNTA(G$2368:G3324)+1,0))</f>
        <v>a1b3p000006eF3ZAAU</v>
      </c>
      <c r="C3325" s="177">
        <f ca="1">IF(COUNTA(G$2368:G3324)=1,"",OFFSET(C3325,-COUNTA(G$2368:G3324)+1,0))</f>
        <v>80</v>
      </c>
      <c r="D3325" s="166">
        <f t="shared" si="262"/>
        <v>475</v>
      </c>
      <c r="E3325" s="166">
        <f t="shared" ca="1" si="263"/>
        <v>1</v>
      </c>
      <c r="F3325" s="166">
        <f t="shared" ca="1" si="264"/>
        <v>88</v>
      </c>
      <c r="G3325" s="166"/>
      <c r="H3325" s="171" t="str">
        <f t="shared" ca="1" si="267"/>
        <v/>
      </c>
      <c r="I3325" s="171" t="str">
        <f t="shared" ca="1" si="268"/>
        <v/>
      </c>
      <c r="J3325" s="171" t="str">
        <f t="shared" ca="1" si="269"/>
        <v/>
      </c>
      <c r="K3325" s="171" t="str">
        <f t="shared" ca="1" si="270"/>
        <v/>
      </c>
      <c r="L3325" s="166"/>
      <c r="M3325" s="166"/>
      <c r="N3325" s="166"/>
      <c r="O3325" s="166"/>
      <c r="P3325" s="166">
        <f t="shared" ca="1" si="265"/>
        <v>0</v>
      </c>
      <c r="Q3325" s="166"/>
    </row>
    <row r="3326" spans="1:17">
      <c r="A3326" s="166" t="b">
        <f t="shared" ca="1" si="266"/>
        <v>0</v>
      </c>
      <c r="B3326" s="172" t="str">
        <f ca="1">IF(COUNTA(G$2368:G3325)=1,"",OFFSET(B3326,-COUNTA(G$2368:G3325)+1,0))</f>
        <v>a1b3p000006eF4rAAE</v>
      </c>
      <c r="C3326" s="177">
        <f ca="1">IF(COUNTA(G$2368:G3325)=1,"",OFFSET(C3326,-COUNTA(G$2368:G3325)+1,0))</f>
        <v>80</v>
      </c>
      <c r="D3326" s="166">
        <f t="shared" si="262"/>
        <v>476</v>
      </c>
      <c r="E3326" s="166">
        <f t="shared" ca="1" si="263"/>
        <v>2</v>
      </c>
      <c r="F3326" s="166">
        <f t="shared" ca="1" si="264"/>
        <v>88</v>
      </c>
      <c r="G3326" s="166"/>
      <c r="H3326" s="171" t="str">
        <f t="shared" ca="1" si="267"/>
        <v/>
      </c>
      <c r="I3326" s="171" t="str">
        <f t="shared" ca="1" si="268"/>
        <v/>
      </c>
      <c r="J3326" s="171" t="str">
        <f t="shared" ca="1" si="269"/>
        <v/>
      </c>
      <c r="K3326" s="171" t="str">
        <f t="shared" ca="1" si="270"/>
        <v/>
      </c>
      <c r="L3326" s="166"/>
      <c r="M3326" s="166"/>
      <c r="N3326" s="166"/>
      <c r="O3326" s="166"/>
      <c r="P3326" s="166">
        <f t="shared" ca="1" si="265"/>
        <v>0</v>
      </c>
      <c r="Q3326" s="166"/>
    </row>
    <row r="3327" spans="1:17">
      <c r="A3327" s="166" t="b">
        <f t="shared" ca="1" si="266"/>
        <v>0</v>
      </c>
      <c r="B3327" s="172" t="str">
        <f ca="1">IF(COUNTA(G$2368:G3326)=1,"",OFFSET(B3327,-COUNTA(G$2368:G3326)+1,0))</f>
        <v>a1b3p000006eF69AAE</v>
      </c>
      <c r="C3327" s="177">
        <f ca="1">IF(COUNTA(G$2368:G3326)=1,"",OFFSET(C3327,-COUNTA(G$2368:G3326)+1,0))</f>
        <v>80</v>
      </c>
      <c r="D3327" s="166">
        <f t="shared" si="262"/>
        <v>477</v>
      </c>
      <c r="E3327" s="166">
        <f t="shared" ca="1" si="263"/>
        <v>3</v>
      </c>
      <c r="F3327" s="166">
        <f t="shared" ca="1" si="264"/>
        <v>88</v>
      </c>
      <c r="G3327" s="166"/>
      <c r="H3327" s="171" t="str">
        <f t="shared" ca="1" si="267"/>
        <v/>
      </c>
      <c r="I3327" s="171" t="str">
        <f t="shared" ca="1" si="268"/>
        <v/>
      </c>
      <c r="J3327" s="171" t="str">
        <f t="shared" ca="1" si="269"/>
        <v/>
      </c>
      <c r="K3327" s="171" t="str">
        <f t="shared" ca="1" si="270"/>
        <v/>
      </c>
      <c r="L3327" s="166"/>
      <c r="M3327" s="166"/>
      <c r="N3327" s="166"/>
      <c r="O3327" s="166"/>
      <c r="P3327" s="166">
        <f t="shared" ca="1" si="265"/>
        <v>0</v>
      </c>
      <c r="Q3327" s="166"/>
    </row>
    <row r="3328" spans="1:17">
      <c r="A3328" s="166" t="b">
        <f t="shared" ca="1" si="266"/>
        <v>0</v>
      </c>
      <c r="B3328" s="172" t="str">
        <f ca="1">IF(COUNTA(G$2368:G3327)=1,"",OFFSET(B3328,-COUNTA(G$2368:G3327)+1,0))</f>
        <v>a1b3p000006eF7RAAU</v>
      </c>
      <c r="C3328" s="177">
        <f ca="1">IF(COUNTA(G$2368:G3327)=1,"",OFFSET(C3328,-COUNTA(G$2368:G3327)+1,0))</f>
        <v>80</v>
      </c>
      <c r="D3328" s="166">
        <f t="shared" si="262"/>
        <v>478</v>
      </c>
      <c r="E3328" s="166">
        <f t="shared" ca="1" si="263"/>
        <v>4</v>
      </c>
      <c r="F3328" s="166">
        <f t="shared" ca="1" si="264"/>
        <v>88</v>
      </c>
      <c r="G3328" s="166"/>
      <c r="H3328" s="171" t="str">
        <f t="shared" ca="1" si="267"/>
        <v/>
      </c>
      <c r="I3328" s="171" t="str">
        <f t="shared" ca="1" si="268"/>
        <v/>
      </c>
      <c r="J3328" s="171" t="str">
        <f t="shared" ca="1" si="269"/>
        <v/>
      </c>
      <c r="K3328" s="171" t="str">
        <f t="shared" ca="1" si="270"/>
        <v/>
      </c>
      <c r="L3328" s="166"/>
      <c r="M3328" s="166"/>
      <c r="N3328" s="166"/>
      <c r="O3328" s="166"/>
      <c r="P3328" s="166">
        <f t="shared" ca="1" si="265"/>
        <v>0</v>
      </c>
      <c r="Q3328" s="166"/>
    </row>
    <row r="3329" spans="1:17">
      <c r="A3329" s="166" t="b">
        <f t="shared" ca="1" si="266"/>
        <v>0</v>
      </c>
      <c r="B3329" s="172" t="str">
        <f ca="1">IF(COUNTA(G$2368:G3328)=1,"",OFFSET(B3329,-COUNTA(G$2368:G3328)+1,0))</f>
        <v>a1b3p000006eF8jAAE</v>
      </c>
      <c r="C3329" s="177">
        <f ca="1">IF(COUNTA(G$2368:G3328)=1,"",OFFSET(C3329,-COUNTA(G$2368:G3328)+1,0))</f>
        <v>80</v>
      </c>
      <c r="D3329" s="166">
        <f t="shared" si="262"/>
        <v>479</v>
      </c>
      <c r="E3329" s="166">
        <f t="shared" ca="1" si="263"/>
        <v>5</v>
      </c>
      <c r="F3329" s="166">
        <f t="shared" ca="1" si="264"/>
        <v>88</v>
      </c>
      <c r="G3329" s="166"/>
      <c r="H3329" s="171" t="str">
        <f t="shared" ca="1" si="267"/>
        <v/>
      </c>
      <c r="I3329" s="171" t="str">
        <f t="shared" ca="1" si="268"/>
        <v/>
      </c>
      <c r="J3329" s="171" t="str">
        <f t="shared" ca="1" si="269"/>
        <v/>
      </c>
      <c r="K3329" s="171" t="str">
        <f t="shared" ca="1" si="270"/>
        <v/>
      </c>
      <c r="L3329" s="166"/>
      <c r="M3329" s="166"/>
      <c r="N3329" s="166"/>
      <c r="O3329" s="166"/>
      <c r="P3329" s="166">
        <f t="shared" ca="1" si="265"/>
        <v>0</v>
      </c>
      <c r="Q3329" s="166"/>
    </row>
    <row r="3330" spans="1:17">
      <c r="A3330" s="166" t="b">
        <f t="shared" ca="1" si="266"/>
        <v>0</v>
      </c>
      <c r="B3330" s="172" t="str">
        <f ca="1">IF(COUNTA(G$2368:G3329)=1,"",OFFSET(B3330,-COUNTA(G$2368:G3329)+1,0))</f>
        <v>a1b3p000006eFA1AAM</v>
      </c>
      <c r="C3330" s="177">
        <f ca="1">IF(COUNTA(G$2368:G3329)=1,"",OFFSET(C3330,-COUNTA(G$2368:G3329)+1,0))</f>
        <v>80</v>
      </c>
      <c r="D3330" s="166">
        <f t="shared" si="262"/>
        <v>480</v>
      </c>
      <c r="E3330" s="166">
        <f t="shared" ca="1" si="263"/>
        <v>6</v>
      </c>
      <c r="F3330" s="166">
        <f t="shared" ca="1" si="264"/>
        <v>88</v>
      </c>
      <c r="G3330" s="166"/>
      <c r="H3330" s="171" t="str">
        <f t="shared" ca="1" si="267"/>
        <v/>
      </c>
      <c r="I3330" s="171" t="str">
        <f t="shared" ca="1" si="268"/>
        <v/>
      </c>
      <c r="J3330" s="171" t="str">
        <f t="shared" ca="1" si="269"/>
        <v/>
      </c>
      <c r="K3330" s="171" t="str">
        <f t="shared" ca="1" si="270"/>
        <v/>
      </c>
      <c r="L3330" s="166"/>
      <c r="M3330" s="166"/>
      <c r="N3330" s="166"/>
      <c r="O3330" s="166"/>
      <c r="P3330" s="166">
        <f t="shared" ca="1" si="265"/>
        <v>0</v>
      </c>
      <c r="Q3330" s="166"/>
    </row>
    <row r="3331" spans="1:17">
      <c r="J3331" s="164" t="str">
        <f ca="1">IF(ROW()&gt;'Impact Indicator Target Update'!A30,"",INDIRECT("'Impact Indicators - Section B'!A"&amp;'Impact Indicator Target Update'!D30))</f>
        <v/>
      </c>
    </row>
    <row r="3332" spans="1:17">
      <c r="J3332" s="164" t="str">
        <f ca="1">IF(ROW()&gt;'Impact Indicator Target Update'!A31,"",INDIRECT("'Impact Indicators - Section B'!A"&amp;'Impact Indicator Target Update'!D31))</f>
        <v/>
      </c>
    </row>
    <row r="3333" spans="1:17">
      <c r="J3333" s="164" t="str">
        <f ca="1">IF(ROW()&gt;'Impact Indicator Target Update'!A32,"",INDIRECT("'Impact Indicators - Section B'!A"&amp;'Impact Indicator Target Update'!D32))</f>
        <v/>
      </c>
    </row>
    <row r="3334" spans="1:17">
      <c r="J3334" s="164" t="str">
        <f ca="1">IF(ROW()&gt;'Impact Indicator Target Update'!A33,"",INDIRECT("'Impact Indicators - Section B'!A"&amp;'Impact Indicator Target Update'!D33))</f>
        <v/>
      </c>
    </row>
    <row r="3335" spans="1:17">
      <c r="J3335" s="164" t="str">
        <f ca="1">IF(ROW()&gt;'Impact Indicator Target Update'!A34,"",INDIRECT("'Impact Indicators - Section B'!A"&amp;'Impact Indicator Target Update'!D34))</f>
        <v/>
      </c>
    </row>
    <row r="3336" spans="1:17">
      <c r="J3336" s="164" t="str">
        <f ca="1">IF(ROW()&gt;'Impact Indicator Target Update'!A35,"",INDIRECT("'Impact Indicators - Section B'!A"&amp;'Impact Indicator Target Update'!D35))</f>
        <v/>
      </c>
    </row>
    <row r="3337" spans="1:17">
      <c r="J3337" s="164" t="str">
        <f ca="1">IF(ROW()&gt;'Impact Indicator Target Update'!A36,"",INDIRECT("'Impact Indicators - Section B'!A"&amp;'Impact Indicator Target Update'!D36))</f>
        <v/>
      </c>
    </row>
    <row r="3338" spans="1:17">
      <c r="J3338" s="164" t="str">
        <f ca="1">IF(ROW()&gt;'Impact Indicator Target Update'!A37,"",INDIRECT("'Impact Indicators - Section B'!A"&amp;'Impact Indicator Target Update'!D37))</f>
        <v/>
      </c>
    </row>
    <row r="3339" spans="1:17">
      <c r="J3339" s="164" t="str">
        <f ca="1">IF(ROW()&gt;'Impact Indicator Target Update'!A38,"",INDIRECT("'Impact Indicators - Section B'!A"&amp;'Impact Indicator Target Update'!D38))</f>
        <v/>
      </c>
    </row>
    <row r="3340" spans="1:17">
      <c r="J3340" s="164" t="str">
        <f ca="1">IF(ROW()&gt;'Impact Indicator Target Update'!A39,"",INDIRECT("'Impact Indicators - Section B'!A"&amp;'Impact Indicator Target Update'!D39))</f>
        <v/>
      </c>
    </row>
    <row r="3341" spans="1:17">
      <c r="J3341" s="164" t="str">
        <f ca="1">IF(ROW()&gt;'Impact Indicator Target Update'!A40,"",INDIRECT("'Impact Indicators - Section B'!A"&amp;'Impact Indicator Target Update'!D40))</f>
        <v/>
      </c>
    </row>
    <row r="3342" spans="1:17">
      <c r="J3342" s="164" t="str">
        <f ca="1">IF(ROW()&gt;'Impact Indicator Target Update'!A41,"",INDIRECT("'Impact Indicators - Section B'!A"&amp;'Impact Indicator Target Update'!D41))</f>
        <v/>
      </c>
    </row>
    <row r="3343" spans="1:17">
      <c r="J3343" s="164" t="str">
        <f ca="1">IF(ROW()&gt;'Impact Indicator Target Update'!A42,"",INDIRECT("'Impact Indicators - Section B'!A"&amp;'Impact Indicator Target Update'!D42))</f>
        <v/>
      </c>
    </row>
    <row r="3344" spans="1:17">
      <c r="J3344" s="164" t="str">
        <f ca="1">IF(ROW()&gt;'Impact Indicator Target Update'!A43,"",INDIRECT("'Impact Indicators - Section B'!A"&amp;'Impact Indicator Target Update'!D43))</f>
        <v/>
      </c>
    </row>
    <row r="3345" spans="10:10">
      <c r="J3345" s="164" t="str">
        <f ca="1">IF(ROW()&gt;'Impact Indicator Target Update'!A44,"",INDIRECT("'Impact Indicators - Section B'!A"&amp;'Impact Indicator Target Update'!D44))</f>
        <v/>
      </c>
    </row>
    <row r="3346" spans="10:10">
      <c r="J3346" s="164" t="str">
        <f ca="1">IF(ROW()&gt;'Impact Indicator Target Update'!A45,"",INDIRECT("'Impact Indicators - Section B'!A"&amp;'Impact Indicator Target Update'!D45))</f>
        <v/>
      </c>
    </row>
    <row r="3347" spans="10:10">
      <c r="J3347" s="164" t="str">
        <f ca="1">IF(ROW()&gt;'Impact Indicator Target Update'!A46,"",INDIRECT("'Impact Indicators - Section B'!A"&amp;'Impact Indicator Target Update'!D46))</f>
        <v/>
      </c>
    </row>
    <row r="3348" spans="10:10">
      <c r="J3348" s="164" t="str">
        <f ca="1">IF(ROW()&gt;'Impact Indicator Target Update'!A47,"",INDIRECT("'Impact Indicators - Section B'!A"&amp;'Impact Indicator Target Update'!D47))</f>
        <v/>
      </c>
    </row>
    <row r="3349" spans="10:10">
      <c r="J3349" s="164" t="str">
        <f ca="1">IF(ROW()&gt;'Impact Indicator Target Update'!A48,"",INDIRECT("'Impact Indicators - Section B'!A"&amp;'Impact Indicator Target Update'!D48))</f>
        <v/>
      </c>
    </row>
    <row r="3350" spans="10:10">
      <c r="J3350" s="164" t="str">
        <f ca="1">IF(ROW()&gt;'Impact Indicator Target Update'!A49,"",INDIRECT("'Impact Indicators - Section B'!A"&amp;'Impact Indicator Target Update'!D49))</f>
        <v/>
      </c>
    </row>
    <row r="3351" spans="10:10">
      <c r="J3351" s="164" t="str">
        <f ca="1">IF(ROW()&gt;'Impact Indicator Target Update'!A50,"",INDIRECT("'Impact Indicators - Section B'!A"&amp;'Impact Indicator Target Update'!D50))</f>
        <v/>
      </c>
    </row>
    <row r="3352" spans="10:10">
      <c r="J3352" s="164" t="str">
        <f ca="1">IF(ROW()&gt;'Impact Indicator Target Update'!A51,"",INDIRECT("'Impact Indicators - Section B'!A"&amp;'Impact Indicator Target Update'!D51))</f>
        <v/>
      </c>
    </row>
    <row r="3353" spans="10:10">
      <c r="J3353" s="164" t="str">
        <f ca="1">IF(ROW()&gt;'Impact Indicator Target Update'!A52,"",INDIRECT("'Impact Indicators - Section B'!A"&amp;'Impact Indicator Target Update'!D52))</f>
        <v/>
      </c>
    </row>
    <row r="3354" spans="10:10">
      <c r="J3354" s="164" t="str">
        <f ca="1">IF(ROW()&gt;'Impact Indicator Target Update'!A53,"",INDIRECT("'Impact Indicators - Section B'!A"&amp;'Impact Indicator Target Update'!D53))</f>
        <v/>
      </c>
    </row>
    <row r="3355" spans="10:10">
      <c r="J3355" s="164" t="str">
        <f ca="1">IF(ROW()&gt;'Impact Indicator Target Update'!A54,"",INDIRECT("'Impact Indicators - Section B'!A"&amp;'Impact Indicator Target Update'!D54))</f>
        <v/>
      </c>
    </row>
    <row r="3356" spans="10:10">
      <c r="J3356" s="164" t="str">
        <f ca="1">IF(ROW()&gt;'Impact Indicator Target Update'!A55,"",INDIRECT("'Impact Indicators - Section B'!A"&amp;'Impact Indicator Target Update'!D55))</f>
        <v/>
      </c>
    </row>
    <row r="3357" spans="10:10">
      <c r="J3357" s="164" t="str">
        <f ca="1">IF(ROW()&gt;'Impact Indicator Target Update'!A56,"",INDIRECT("'Impact Indicators - Section B'!A"&amp;'Impact Indicator Target Update'!D56))</f>
        <v/>
      </c>
    </row>
    <row r="3358" spans="10:10">
      <c r="J3358" s="164" t="str">
        <f ca="1">IF(ROW()&gt;'Impact Indicator Target Update'!A57,"",INDIRECT("'Impact Indicators - Section B'!A"&amp;'Impact Indicator Target Update'!D57))</f>
        <v/>
      </c>
    </row>
    <row r="3359" spans="10:10">
      <c r="J3359" s="164" t="str">
        <f ca="1">IF(ROW()&gt;'Impact Indicator Target Update'!A58,"",INDIRECT("'Impact Indicators - Section B'!A"&amp;'Impact Indicator Target Update'!D58))</f>
        <v/>
      </c>
    </row>
    <row r="3360" spans="10:10">
      <c r="J3360" s="164" t="str">
        <f ca="1">IF(ROW()&gt;'Impact Indicator Target Update'!A59,"",INDIRECT("'Impact Indicators - Section B'!A"&amp;'Impact Indicator Target Update'!D59))</f>
        <v/>
      </c>
    </row>
    <row r="3361" spans="10:10">
      <c r="J3361" s="164" t="str">
        <f ca="1">IF(ROW()&gt;'Impact Indicator Target Update'!A60,"",INDIRECT("'Impact Indicators - Section B'!A"&amp;'Impact Indicator Target Update'!D60))</f>
        <v/>
      </c>
    </row>
    <row r="3362" spans="10:10">
      <c r="J3362" s="164" t="str">
        <f ca="1">IF(ROW()&gt;'Impact Indicator Target Update'!A61,"",INDIRECT("'Impact Indicators - Section B'!A"&amp;'Impact Indicator Target Update'!D61))</f>
        <v/>
      </c>
    </row>
    <row r="3363" spans="10:10">
      <c r="J3363" s="164" t="str">
        <f ca="1">IF(ROW()&gt;'Impact Indicator Target Update'!A62,"",INDIRECT("'Impact Indicators - Section B'!A"&amp;'Impact Indicator Target Update'!D62))</f>
        <v/>
      </c>
    </row>
    <row r="3364" spans="10:10">
      <c r="J3364" s="164" t="str">
        <f ca="1">IF(ROW()&gt;'Impact Indicator Target Update'!A63,"",INDIRECT("'Impact Indicators - Section B'!A"&amp;'Impact Indicator Target Update'!D63))</f>
        <v/>
      </c>
    </row>
    <row r="3365" spans="10:10">
      <c r="J3365" s="164" t="str">
        <f ca="1">IF(ROW()&gt;'Impact Indicator Target Update'!A64,"",INDIRECT("'Impact Indicators - Section B'!A"&amp;'Impact Indicator Target Update'!D64))</f>
        <v/>
      </c>
    </row>
    <row r="3366" spans="10:10">
      <c r="J3366" s="164" t="str">
        <f ca="1">IF(ROW()&gt;'Impact Indicator Target Update'!A65,"",INDIRECT("'Impact Indicators - Section B'!A"&amp;'Impact Indicator Target Update'!D65))</f>
        <v/>
      </c>
    </row>
    <row r="3367" spans="10:10">
      <c r="J3367" s="164" t="str">
        <f ca="1">IF(ROW()&gt;'Impact Indicator Target Update'!A66,"",INDIRECT("'Impact Indicators - Section B'!A"&amp;'Impact Indicator Target Update'!D66))</f>
        <v/>
      </c>
    </row>
    <row r="3368" spans="10:10">
      <c r="J3368" s="164" t="str">
        <f ca="1">IF(ROW()&gt;'Impact Indicator Target Update'!A67,"",INDIRECT("'Impact Indicators - Section B'!A"&amp;'Impact Indicator Target Update'!D67))</f>
        <v/>
      </c>
    </row>
    <row r="3369" spans="10:10">
      <c r="J3369" s="164" t="str">
        <f ca="1">IF(ROW()&gt;'Impact Indicator Target Update'!A68,"",INDIRECT("'Impact Indicators - Section B'!A"&amp;'Impact Indicator Target Update'!D68))</f>
        <v/>
      </c>
    </row>
    <row r="3370" spans="10:10">
      <c r="J3370" s="164" t="str">
        <f ca="1">IF(ROW()&gt;'Impact Indicator Target Update'!A69,"",INDIRECT("'Impact Indicators - Section B'!A"&amp;'Impact Indicator Target Update'!D69))</f>
        <v/>
      </c>
    </row>
    <row r="3371" spans="10:10">
      <c r="J3371" s="164" t="str">
        <f ca="1">IF(ROW()&gt;'Impact Indicator Target Update'!A70,"",INDIRECT("'Impact Indicators - Section B'!A"&amp;'Impact Indicator Target Update'!D70))</f>
        <v/>
      </c>
    </row>
    <row r="3372" spans="10:10">
      <c r="J3372" s="164" t="str">
        <f ca="1">IF(ROW()&gt;'Impact Indicator Target Update'!A71,"",INDIRECT("'Impact Indicators - Section B'!A"&amp;'Impact Indicator Target Update'!D71))</f>
        <v/>
      </c>
    </row>
    <row r="3373" spans="10:10">
      <c r="J3373" s="164" t="str">
        <f ca="1">IF(ROW()&gt;'Impact Indicator Target Update'!A72,"",INDIRECT("'Impact Indicators - Section B'!A"&amp;'Impact Indicator Target Update'!D72))</f>
        <v/>
      </c>
    </row>
    <row r="3374" spans="10:10">
      <c r="J3374" s="164" t="str">
        <f ca="1">IF(ROW()&gt;'Impact Indicator Target Update'!A73,"",INDIRECT("'Impact Indicators - Section B'!A"&amp;'Impact Indicator Target Update'!D73))</f>
        <v/>
      </c>
    </row>
    <row r="3375" spans="10:10">
      <c r="J3375" s="164" t="str">
        <f ca="1">IF(ROW()&gt;'Impact Indicator Target Update'!A74,"",INDIRECT("'Impact Indicators - Section B'!A"&amp;'Impact Indicator Target Update'!D74))</f>
        <v/>
      </c>
    </row>
    <row r="3376" spans="10:10">
      <c r="J3376" s="164" t="str">
        <f ca="1">IF(ROW()&gt;'Impact Indicator Target Update'!A75,"",INDIRECT("'Impact Indicators - Section B'!A"&amp;'Impact Indicator Target Update'!D75))</f>
        <v/>
      </c>
    </row>
    <row r="3377" spans="10:10">
      <c r="J3377" s="164" t="str">
        <f ca="1">IF(ROW()&gt;'Impact Indicator Target Update'!A76,"",INDIRECT("'Impact Indicators - Section B'!A"&amp;'Impact Indicator Target Update'!D76))</f>
        <v/>
      </c>
    </row>
    <row r="3378" spans="10:10">
      <c r="J3378" s="164" t="str">
        <f ca="1">IF(ROW()&gt;'Impact Indicator Target Update'!A77,"",INDIRECT("'Impact Indicators - Section B'!A"&amp;'Impact Indicator Target Update'!D77))</f>
        <v/>
      </c>
    </row>
    <row r="3379" spans="10:10">
      <c r="J3379" s="164" t="str">
        <f ca="1">IF(ROW()&gt;'Impact Indicator Target Update'!A78,"",INDIRECT("'Impact Indicators - Section B'!A"&amp;'Impact Indicator Target Update'!D78))</f>
        <v/>
      </c>
    </row>
    <row r="3380" spans="10:10">
      <c r="J3380" s="164" t="str">
        <f ca="1">IF(ROW()&gt;'Impact Indicator Target Update'!A79,"",INDIRECT("'Impact Indicators - Section B'!A"&amp;'Impact Indicator Target Update'!D79))</f>
        <v/>
      </c>
    </row>
    <row r="3381" spans="10:10">
      <c r="J3381" s="164" t="str">
        <f ca="1">IF(ROW()&gt;'Impact Indicator Target Update'!A80,"",INDIRECT("'Impact Indicators - Section B'!A"&amp;'Impact Indicator Target Update'!D80))</f>
        <v/>
      </c>
    </row>
    <row r="3382" spans="10:10">
      <c r="J3382" s="164" t="str">
        <f ca="1">IF(ROW()&gt;'Impact Indicator Target Update'!A81,"",INDIRECT("'Impact Indicators - Section B'!A"&amp;'Impact Indicator Target Update'!D81))</f>
        <v/>
      </c>
    </row>
    <row r="3383" spans="10:10">
      <c r="J3383" s="164" t="str">
        <f ca="1">IF(ROW()&gt;'Impact Indicator Target Update'!A82,"",INDIRECT("'Impact Indicators - Section B'!A"&amp;'Impact Indicator Target Update'!D82))</f>
        <v/>
      </c>
    </row>
    <row r="3384" spans="10:10">
      <c r="J3384" s="164" t="str">
        <f ca="1">IF(ROW()&gt;'Impact Indicator Target Update'!A83,"",INDIRECT("'Impact Indicators - Section B'!A"&amp;'Impact Indicator Target Update'!D83))</f>
        <v/>
      </c>
    </row>
    <row r="3385" spans="10:10">
      <c r="J3385" s="164" t="str">
        <f ca="1">IF(ROW()&gt;'Impact Indicator Target Update'!A84,"",INDIRECT("'Impact Indicators - Section B'!A"&amp;'Impact Indicator Target Update'!D84))</f>
        <v/>
      </c>
    </row>
    <row r="3386" spans="10:10">
      <c r="J3386" s="164" t="str">
        <f ca="1">IF(ROW()&gt;'Impact Indicator Target Update'!A85,"",INDIRECT("'Impact Indicators - Section B'!A"&amp;'Impact Indicator Target Update'!D85))</f>
        <v/>
      </c>
    </row>
    <row r="3387" spans="10:10">
      <c r="J3387" s="164" t="str">
        <f ca="1">IF(ROW()&gt;'Impact Indicator Target Update'!A86,"",INDIRECT("'Impact Indicators - Section B'!A"&amp;'Impact Indicator Target Update'!D86))</f>
        <v/>
      </c>
    </row>
    <row r="3388" spans="10:10">
      <c r="J3388" s="164" t="str">
        <f ca="1">IF(ROW()&gt;'Impact Indicator Target Update'!A87,"",INDIRECT("'Impact Indicators - Section B'!A"&amp;'Impact Indicator Target Update'!D87))</f>
        <v/>
      </c>
    </row>
    <row r="3389" spans="10:10">
      <c r="J3389" s="164" t="str">
        <f ca="1">IF(ROW()&gt;'Impact Indicator Target Update'!A88,"",INDIRECT("'Impact Indicators - Section B'!A"&amp;'Impact Indicator Target Update'!D88))</f>
        <v/>
      </c>
    </row>
    <row r="3390" spans="10:10">
      <c r="J3390" s="164" t="str">
        <f ca="1">IF(ROW()&gt;'Impact Indicator Target Update'!A89,"",INDIRECT("'Impact Indicators - Section B'!A"&amp;'Impact Indicator Target Update'!D89))</f>
        <v/>
      </c>
    </row>
    <row r="3391" spans="10:10">
      <c r="J3391" s="164" t="str">
        <f ca="1">IF(ROW()&gt;'Impact Indicator Target Update'!A90,"",INDIRECT("'Impact Indicators - Section B'!A"&amp;'Impact Indicator Target Update'!D90))</f>
        <v/>
      </c>
    </row>
    <row r="3392" spans="10:10">
      <c r="J3392" s="164" t="str">
        <f ca="1">IF(ROW()&gt;'Impact Indicator Target Update'!A91,"",INDIRECT("'Impact Indicators - Section B'!A"&amp;'Impact Indicator Target Update'!D91))</f>
        <v/>
      </c>
    </row>
    <row r="3393" spans="10:10">
      <c r="J3393" s="164" t="str">
        <f ca="1">IF(ROW()&gt;'Impact Indicator Target Update'!A92,"",INDIRECT("'Impact Indicators - Section B'!A"&amp;'Impact Indicator Target Update'!D92))</f>
        <v/>
      </c>
    </row>
    <row r="3394" spans="10:10">
      <c r="J3394" s="164" t="str">
        <f ca="1">IF(ROW()&gt;'Impact Indicator Target Update'!A93,"",INDIRECT("'Impact Indicators - Section B'!A"&amp;'Impact Indicator Target Update'!D93))</f>
        <v/>
      </c>
    </row>
    <row r="3395" spans="10:10">
      <c r="J3395" s="164" t="str">
        <f ca="1">IF(ROW()&gt;'Impact Indicator Target Update'!A94,"",INDIRECT("'Impact Indicators - Section B'!A"&amp;'Impact Indicator Target Update'!D94))</f>
        <v/>
      </c>
    </row>
    <row r="3396" spans="10:10">
      <c r="J3396" s="164" t="str">
        <f ca="1">IF(ROW()&gt;'Impact Indicator Target Update'!A95,"",INDIRECT("'Impact Indicators - Section B'!A"&amp;'Impact Indicator Target Update'!D95))</f>
        <v/>
      </c>
    </row>
    <row r="3397" spans="10:10">
      <c r="J3397" s="164" t="str">
        <f ca="1">IF(ROW()&gt;'Impact Indicator Target Update'!A96,"",INDIRECT("'Impact Indicators - Section B'!A"&amp;'Impact Indicator Target Update'!D96))</f>
        <v/>
      </c>
    </row>
    <row r="3398" spans="10:10">
      <c r="J3398" s="164" t="str">
        <f ca="1">IF(ROW()&gt;'Impact Indicator Target Update'!A97,"",INDIRECT("'Impact Indicators - Section B'!A"&amp;'Impact Indicator Target Update'!D97))</f>
        <v/>
      </c>
    </row>
    <row r="3399" spans="10:10">
      <c r="J3399" s="164" t="str">
        <f ca="1">IF(ROW()&gt;'Impact Indicator Target Update'!A98,"",INDIRECT("'Impact Indicators - Section B'!A"&amp;'Impact Indicator Target Update'!D98))</f>
        <v/>
      </c>
    </row>
    <row r="3400" spans="10:10">
      <c r="J3400" s="164" t="str">
        <f ca="1">IF(ROW()&gt;'Impact Indicator Target Update'!A99,"",INDIRECT("'Impact Indicators - Section B'!A"&amp;'Impact Indicator Target Update'!D99))</f>
        <v/>
      </c>
    </row>
    <row r="3401" spans="10:10">
      <c r="J3401" s="164" t="str">
        <f ca="1">IF(ROW()&gt;'Impact Indicator Target Update'!A100,"",INDIRECT("'Impact Indicators - Section B'!A"&amp;'Impact Indicator Target Update'!D100))</f>
        <v/>
      </c>
    </row>
    <row r="3402" spans="10:10">
      <c r="J3402" s="164" t="str">
        <f ca="1">IF(ROW()&gt;'Impact Indicator Target Update'!A101,"",INDIRECT("'Impact Indicators - Section B'!A"&amp;'Impact Indicator Target Update'!D101))</f>
        <v/>
      </c>
    </row>
    <row r="3403" spans="10:10">
      <c r="J3403" s="164" t="str">
        <f ca="1">IF(ROW()&gt;'Impact Indicator Target Update'!A102,"",INDIRECT("'Impact Indicators - Section B'!A"&amp;'Impact Indicator Target Update'!D102))</f>
        <v/>
      </c>
    </row>
    <row r="3404" spans="10:10">
      <c r="J3404" s="164" t="str">
        <f ca="1">IF(ROW()&gt;'Impact Indicator Target Update'!A103,"",INDIRECT("'Impact Indicators - Section B'!A"&amp;'Impact Indicator Target Update'!D103))</f>
        <v/>
      </c>
    </row>
    <row r="3405" spans="10:10">
      <c r="J3405" s="164" t="str">
        <f ca="1">IF(ROW()&gt;'Impact Indicator Target Update'!A104,"",INDIRECT("'Impact Indicators - Section B'!A"&amp;'Impact Indicator Target Update'!D104))</f>
        <v/>
      </c>
    </row>
    <row r="3406" spans="10:10">
      <c r="J3406" s="164" t="str">
        <f ca="1">IF(ROW()&gt;'Impact Indicator Target Update'!A105,"",INDIRECT("'Impact Indicators - Section B'!A"&amp;'Impact Indicator Target Update'!D105))</f>
        <v/>
      </c>
    </row>
    <row r="3407" spans="10:10">
      <c r="J3407" s="164" t="str">
        <f ca="1">IF(ROW()&gt;'Impact Indicator Target Update'!A106,"",INDIRECT("'Impact Indicators - Section B'!A"&amp;'Impact Indicator Target Update'!D106))</f>
        <v/>
      </c>
    </row>
    <row r="3408" spans="10:10">
      <c r="J3408" s="164" t="str">
        <f ca="1">IF(ROW()&gt;'Impact Indicator Target Update'!A107,"",INDIRECT("'Impact Indicators - Section B'!A"&amp;'Impact Indicator Target Update'!D107))</f>
        <v/>
      </c>
    </row>
    <row r="3409" spans="10:10">
      <c r="J3409" s="164" t="str">
        <f ca="1">IF(ROW()&gt;'Impact Indicator Target Update'!A108,"",INDIRECT("'Impact Indicators - Section B'!A"&amp;'Impact Indicator Target Update'!D108))</f>
        <v/>
      </c>
    </row>
    <row r="3410" spans="10:10">
      <c r="J3410" s="164" t="str">
        <f ca="1">IF(ROW()&gt;'Impact Indicator Target Update'!A109,"",INDIRECT("'Impact Indicators - Section B'!A"&amp;'Impact Indicator Target Update'!D109))</f>
        <v/>
      </c>
    </row>
    <row r="3411" spans="10:10">
      <c r="J3411" s="164" t="str">
        <f ca="1">IF(ROW()&gt;'Impact Indicator Target Update'!A110,"",INDIRECT("'Impact Indicators - Section B'!A"&amp;'Impact Indicator Target Update'!D110))</f>
        <v/>
      </c>
    </row>
    <row r="3412" spans="10:10">
      <c r="J3412" s="164" t="str">
        <f ca="1">IF(ROW()&gt;'Impact Indicator Target Update'!A111,"",INDIRECT("'Impact Indicators - Section B'!A"&amp;'Impact Indicator Target Update'!D111))</f>
        <v/>
      </c>
    </row>
    <row r="3413" spans="10:10">
      <c r="J3413" s="164" t="str">
        <f ca="1">IF(ROW()&gt;'Impact Indicator Target Update'!A112,"",INDIRECT("'Impact Indicators - Section B'!A"&amp;'Impact Indicator Target Update'!D112))</f>
        <v/>
      </c>
    </row>
    <row r="3414" spans="10:10">
      <c r="J3414" s="164" t="str">
        <f ca="1">IF(ROW()&gt;'Impact Indicator Target Update'!A113,"",INDIRECT("'Impact Indicators - Section B'!A"&amp;'Impact Indicator Target Update'!D113))</f>
        <v/>
      </c>
    </row>
    <row r="3415" spans="10:10">
      <c r="J3415" s="164" t="str">
        <f ca="1">IF(ROW()&gt;'Impact Indicator Target Update'!A114,"",INDIRECT("'Impact Indicators - Section B'!A"&amp;'Impact Indicator Target Update'!D114))</f>
        <v/>
      </c>
    </row>
    <row r="3416" spans="10:10">
      <c r="J3416" s="164" t="str">
        <f ca="1">IF(ROW()&gt;'Impact Indicator Target Update'!A115,"",INDIRECT("'Impact Indicators - Section B'!A"&amp;'Impact Indicator Target Update'!D115))</f>
        <v/>
      </c>
    </row>
    <row r="3417" spans="10:10">
      <c r="J3417" s="164" t="str">
        <f ca="1">IF(ROW()&gt;'Impact Indicator Target Update'!A116,"",INDIRECT("'Impact Indicators - Section B'!A"&amp;'Impact Indicator Target Update'!D116))</f>
        <v/>
      </c>
    </row>
    <row r="3418" spans="10:10">
      <c r="J3418" s="164" t="str">
        <f ca="1">IF(ROW()&gt;'Impact Indicator Target Update'!A117,"",INDIRECT("'Impact Indicators - Section B'!A"&amp;'Impact Indicator Target Update'!D117))</f>
        <v/>
      </c>
    </row>
    <row r="3419" spans="10:10">
      <c r="J3419" s="164" t="str">
        <f ca="1">IF(ROW()&gt;'Impact Indicator Target Update'!A118,"",INDIRECT("'Impact Indicators - Section B'!A"&amp;'Impact Indicator Target Update'!D118))</f>
        <v/>
      </c>
    </row>
    <row r="3420" spans="10:10">
      <c r="J3420" s="164" t="str">
        <f ca="1">IF(ROW()&gt;'Impact Indicator Target Update'!A119,"",INDIRECT("'Impact Indicators - Section B'!A"&amp;'Impact Indicator Target Update'!D119))</f>
        <v/>
      </c>
    </row>
    <row r="3421" spans="10:10">
      <c r="J3421" s="164" t="str">
        <f ca="1">IF(ROW()&gt;'Impact Indicator Target Update'!A120,"",INDIRECT("'Impact Indicators - Section B'!A"&amp;'Impact Indicator Target Update'!D120))</f>
        <v/>
      </c>
    </row>
    <row r="3422" spans="10:10">
      <c r="J3422" s="164" t="str">
        <f ca="1">IF(ROW()&gt;'Impact Indicator Target Update'!A121,"",INDIRECT("'Impact Indicators - Section B'!A"&amp;'Impact Indicator Target Update'!D121))</f>
        <v/>
      </c>
    </row>
    <row r="3423" spans="10:10">
      <c r="J3423" s="164" t="str">
        <f ca="1">IF(ROW()&gt;'Impact Indicator Target Update'!A122,"",INDIRECT("'Impact Indicators - Section B'!A"&amp;'Impact Indicator Target Update'!D122))</f>
        <v/>
      </c>
    </row>
    <row r="3424" spans="10:10">
      <c r="J3424" s="164" t="str">
        <f ca="1">IF(ROW()&gt;'Impact Indicator Target Update'!A123,"",INDIRECT("'Impact Indicators - Section B'!A"&amp;'Impact Indicator Target Update'!D123))</f>
        <v/>
      </c>
    </row>
    <row r="3425" spans="10:10">
      <c r="J3425" s="164" t="str">
        <f ca="1">IF(ROW()&gt;'Impact Indicator Target Update'!A124,"",INDIRECT("'Impact Indicators - Section B'!A"&amp;'Impact Indicator Target Update'!D124))</f>
        <v/>
      </c>
    </row>
    <row r="3426" spans="10:10">
      <c r="J3426" s="164" t="str">
        <f ca="1">IF(ROW()&gt;'Impact Indicator Target Update'!A125,"",INDIRECT("'Impact Indicators - Section B'!A"&amp;'Impact Indicator Target Update'!D125))</f>
        <v/>
      </c>
    </row>
    <row r="3427" spans="10:10">
      <c r="J3427" s="164" t="str">
        <f ca="1">IF(ROW()&gt;'Impact Indicator Target Update'!A126,"",INDIRECT("'Impact Indicators - Section B'!A"&amp;'Impact Indicator Target Update'!D126))</f>
        <v/>
      </c>
    </row>
    <row r="3428" spans="10:10">
      <c r="J3428" s="164" t="str">
        <f ca="1">IF(ROW()&gt;'Impact Indicator Target Update'!A127,"",INDIRECT("'Impact Indicators - Section B'!A"&amp;'Impact Indicator Target Update'!D127))</f>
        <v/>
      </c>
    </row>
    <row r="3429" spans="10:10">
      <c r="J3429" s="164" t="str">
        <f ca="1">IF(ROW()&gt;'Impact Indicator Target Update'!A128,"",INDIRECT("'Impact Indicators - Section B'!A"&amp;'Impact Indicator Target Update'!D128))</f>
        <v/>
      </c>
    </row>
    <row r="3430" spans="10:10">
      <c r="J3430" s="164" t="str">
        <f ca="1">IF(ROW()&gt;'Impact Indicator Target Update'!A129,"",INDIRECT("'Impact Indicators - Section B'!A"&amp;'Impact Indicator Target Update'!D129))</f>
        <v/>
      </c>
    </row>
    <row r="3431" spans="10:10">
      <c r="J3431" s="164" t="str">
        <f ca="1">IF(ROW()&gt;'Impact Indicator Target Update'!A130,"",INDIRECT("'Impact Indicators - Section B'!A"&amp;'Impact Indicator Target Update'!D130))</f>
        <v/>
      </c>
    </row>
    <row r="3432" spans="10:10">
      <c r="J3432" s="164" t="str">
        <f ca="1">IF(ROW()&gt;'Impact Indicator Target Update'!A131,"",INDIRECT("'Impact Indicators - Section B'!A"&amp;'Impact Indicator Target Update'!D131))</f>
        <v/>
      </c>
    </row>
    <row r="3433" spans="10:10">
      <c r="J3433" s="164" t="str">
        <f ca="1">IF(ROW()&gt;'Impact Indicator Target Update'!A132,"",INDIRECT("'Impact Indicators - Section B'!A"&amp;'Impact Indicator Target Update'!D132))</f>
        <v/>
      </c>
    </row>
    <row r="3434" spans="10:10">
      <c r="J3434" s="164" t="str">
        <f ca="1">IF(ROW()&gt;'Impact Indicator Target Update'!A133,"",INDIRECT("'Impact Indicators - Section B'!A"&amp;'Impact Indicator Target Update'!D133))</f>
        <v/>
      </c>
    </row>
    <row r="3435" spans="10:10">
      <c r="J3435" s="164" t="str">
        <f ca="1">IF(ROW()&gt;'Impact Indicator Target Update'!A134,"",INDIRECT("'Impact Indicators - Section B'!A"&amp;'Impact Indicator Target Update'!D134))</f>
        <v/>
      </c>
    </row>
    <row r="3436" spans="10:10">
      <c r="J3436" s="164" t="str">
        <f ca="1">IF(ROW()&gt;'Impact Indicator Target Update'!A135,"",INDIRECT("'Impact Indicators - Section B'!A"&amp;'Impact Indicator Target Update'!D135))</f>
        <v/>
      </c>
    </row>
    <row r="3437" spans="10:10">
      <c r="J3437" s="164" t="str">
        <f ca="1">IF(ROW()&gt;'Impact Indicator Target Update'!A136,"",INDIRECT("'Impact Indicators - Section B'!A"&amp;'Impact Indicator Target Update'!D136))</f>
        <v/>
      </c>
    </row>
    <row r="3438" spans="10:10">
      <c r="J3438" s="164" t="str">
        <f ca="1">IF(ROW()&gt;'Impact Indicator Target Update'!A137,"",INDIRECT("'Impact Indicators - Section B'!A"&amp;'Impact Indicator Target Update'!D137))</f>
        <v/>
      </c>
    </row>
    <row r="3439" spans="10:10">
      <c r="J3439" s="164" t="str">
        <f ca="1">IF(ROW()&gt;'Impact Indicator Target Update'!A138,"",INDIRECT("'Impact Indicators - Section B'!A"&amp;'Impact Indicator Target Update'!D138))</f>
        <v/>
      </c>
    </row>
    <row r="3440" spans="10:10">
      <c r="J3440" s="164" t="str">
        <f ca="1">IF(ROW()&gt;'Impact Indicator Target Update'!A139,"",INDIRECT("'Impact Indicators - Section B'!A"&amp;'Impact Indicator Target Update'!D139))</f>
        <v/>
      </c>
    </row>
    <row r="3441" spans="10:10">
      <c r="J3441" s="164" t="str">
        <f ca="1">IF(ROW()&gt;'Impact Indicator Target Update'!A140,"",INDIRECT("'Impact Indicators - Section B'!A"&amp;'Impact Indicator Target Update'!D140))</f>
        <v/>
      </c>
    </row>
    <row r="3442" spans="10:10">
      <c r="J3442" s="164" t="str">
        <f ca="1">IF(ROW()&gt;'Impact Indicator Target Update'!A141,"",INDIRECT("'Impact Indicators - Section B'!A"&amp;'Impact Indicator Target Update'!D141))</f>
        <v/>
      </c>
    </row>
    <row r="3443" spans="10:10">
      <c r="J3443" s="164" t="str">
        <f ca="1">IF(ROW()&gt;'Impact Indicator Target Update'!A142,"",INDIRECT("'Impact Indicators - Section B'!A"&amp;'Impact Indicator Target Update'!D142))</f>
        <v/>
      </c>
    </row>
    <row r="3444" spans="10:10">
      <c r="J3444" s="164" t="str">
        <f ca="1">IF(ROW()&gt;'Impact Indicator Target Update'!A143,"",INDIRECT("'Impact Indicators - Section B'!A"&amp;'Impact Indicator Target Update'!D143))</f>
        <v/>
      </c>
    </row>
    <row r="3445" spans="10:10">
      <c r="J3445" s="164" t="str">
        <f ca="1">IF(ROW()&gt;'Impact Indicator Target Update'!A144,"",INDIRECT("'Impact Indicators - Section B'!A"&amp;'Impact Indicator Target Update'!D144))</f>
        <v/>
      </c>
    </row>
    <row r="3446" spans="10:10">
      <c r="J3446" s="164" t="str">
        <f ca="1">IF(ROW()&gt;'Impact Indicator Target Update'!A145,"",INDIRECT("'Impact Indicators - Section B'!A"&amp;'Impact Indicator Target Update'!D145))</f>
        <v/>
      </c>
    </row>
    <row r="3447" spans="10:10">
      <c r="J3447" s="164" t="str">
        <f ca="1">IF(ROW()&gt;'Impact Indicator Target Update'!A146,"",INDIRECT("'Impact Indicators - Section B'!A"&amp;'Impact Indicator Target Update'!D146))</f>
        <v/>
      </c>
    </row>
    <row r="3448" spans="10:10">
      <c r="J3448" s="164" t="str">
        <f ca="1">IF(ROW()&gt;'Impact Indicator Target Update'!A147,"",INDIRECT("'Impact Indicators - Section B'!A"&amp;'Impact Indicator Target Update'!D147))</f>
        <v/>
      </c>
    </row>
    <row r="3449" spans="10:10">
      <c r="J3449" s="164" t="str">
        <f ca="1">IF(ROW()&gt;'Impact Indicator Target Update'!A148,"",INDIRECT("'Impact Indicators - Section B'!A"&amp;'Impact Indicator Target Update'!D148))</f>
        <v/>
      </c>
    </row>
    <row r="3450" spans="10:10">
      <c r="J3450" s="164" t="str">
        <f ca="1">IF(ROW()&gt;'Impact Indicator Target Update'!A149,"",INDIRECT("'Impact Indicators - Section B'!A"&amp;'Impact Indicator Target Update'!D149))</f>
        <v/>
      </c>
    </row>
    <row r="3451" spans="10:10">
      <c r="J3451" s="164" t="str">
        <f ca="1">IF(ROW()&gt;'Impact Indicator Target Update'!A150,"",INDIRECT("'Impact Indicators - Section B'!A"&amp;'Impact Indicator Target Update'!D150))</f>
        <v/>
      </c>
    </row>
    <row r="3452" spans="10:10">
      <c r="J3452" s="164" t="str">
        <f ca="1">IF(ROW()&gt;'Impact Indicator Target Update'!A151,"",INDIRECT("'Impact Indicators - Section B'!A"&amp;'Impact Indicator Target Update'!D151))</f>
        <v/>
      </c>
    </row>
    <row r="3453" spans="10:10">
      <c r="J3453" s="164" t="str">
        <f ca="1">IF(ROW()&gt;'Impact Indicator Target Update'!A152,"",INDIRECT("'Impact Indicators - Section B'!A"&amp;'Impact Indicator Target Update'!D152))</f>
        <v/>
      </c>
    </row>
    <row r="3454" spans="10:10">
      <c r="J3454" s="164" t="str">
        <f ca="1">IF(ROW()&gt;'Impact Indicator Target Update'!A153,"",INDIRECT("'Impact Indicators - Section B'!A"&amp;'Impact Indicator Target Update'!D153))</f>
        <v/>
      </c>
    </row>
    <row r="3455" spans="10:10">
      <c r="J3455" s="164" t="str">
        <f ca="1">IF(ROW()&gt;'Impact Indicator Target Update'!A154,"",INDIRECT("'Impact Indicators - Section B'!A"&amp;'Impact Indicator Target Update'!D154))</f>
        <v/>
      </c>
    </row>
    <row r="3456" spans="10:10">
      <c r="J3456" s="164" t="str">
        <f ca="1">IF(ROW()&gt;'Impact Indicator Target Update'!A155,"",INDIRECT("'Impact Indicators - Section B'!A"&amp;'Impact Indicator Target Update'!D155))</f>
        <v/>
      </c>
    </row>
    <row r="3457" spans="10:10">
      <c r="J3457" s="164" t="str">
        <f ca="1">IF(ROW()&gt;'Impact Indicator Target Update'!A156,"",INDIRECT("'Impact Indicators - Section B'!A"&amp;'Impact Indicator Target Update'!D156))</f>
        <v/>
      </c>
    </row>
    <row r="3458" spans="10:10">
      <c r="J3458" s="164" t="str">
        <f ca="1">IF(ROW()&gt;'Impact Indicator Target Update'!A157,"",INDIRECT("'Impact Indicators - Section B'!A"&amp;'Impact Indicator Target Update'!D157))</f>
        <v/>
      </c>
    </row>
    <row r="3459" spans="10:10">
      <c r="J3459" s="164" t="str">
        <f ca="1">IF(ROW()&gt;'Impact Indicator Target Update'!A158,"",INDIRECT("'Impact Indicators - Section B'!A"&amp;'Impact Indicator Target Update'!D158))</f>
        <v/>
      </c>
    </row>
    <row r="3460" spans="10:10">
      <c r="J3460" s="164" t="str">
        <f ca="1">IF(ROW()&gt;'Impact Indicator Target Update'!A159,"",INDIRECT("'Impact Indicators - Section B'!A"&amp;'Impact Indicator Target Update'!D159))</f>
        <v/>
      </c>
    </row>
    <row r="3461" spans="10:10">
      <c r="J3461" s="164" t="str">
        <f ca="1">IF(ROW()&gt;'Impact Indicator Target Update'!A160,"",INDIRECT("'Impact Indicators - Section B'!A"&amp;'Impact Indicator Target Update'!D160))</f>
        <v/>
      </c>
    </row>
    <row r="3462" spans="10:10">
      <c r="J3462" s="164" t="str">
        <f ca="1">IF(ROW()&gt;'Impact Indicator Target Update'!A161,"",INDIRECT("'Impact Indicators - Section B'!A"&amp;'Impact Indicator Target Update'!D161))</f>
        <v/>
      </c>
    </row>
    <row r="3463" spans="10:10">
      <c r="J3463" s="164" t="str">
        <f ca="1">IF(ROW()&gt;'Impact Indicator Target Update'!A162,"",INDIRECT("'Impact Indicators - Section B'!A"&amp;'Impact Indicator Target Update'!D162))</f>
        <v/>
      </c>
    </row>
    <row r="3464" spans="10:10">
      <c r="J3464" s="164" t="str">
        <f ca="1">IF(ROW()&gt;'Impact Indicator Target Update'!A163,"",INDIRECT("'Impact Indicators - Section B'!A"&amp;'Impact Indicator Target Update'!D163))</f>
        <v/>
      </c>
    </row>
    <row r="3465" spans="10:10">
      <c r="J3465" s="164" t="str">
        <f ca="1">IF(ROW()&gt;'Impact Indicator Target Update'!A164,"",INDIRECT("'Impact Indicators - Section B'!A"&amp;'Impact Indicator Target Update'!D164))</f>
        <v/>
      </c>
    </row>
    <row r="3466" spans="10:10">
      <c r="J3466" s="164" t="str">
        <f ca="1">IF(ROW()&gt;'Impact Indicator Target Update'!A165,"",INDIRECT("'Impact Indicators - Section B'!A"&amp;'Impact Indicator Target Update'!D165))</f>
        <v/>
      </c>
    </row>
    <row r="3467" spans="10:10">
      <c r="J3467" s="164" t="str">
        <f ca="1">IF(ROW()&gt;'Impact Indicator Target Update'!A166,"",INDIRECT("'Impact Indicators - Section B'!A"&amp;'Impact Indicator Target Update'!D166))</f>
        <v/>
      </c>
    </row>
    <row r="3468" spans="10:10">
      <c r="J3468" s="164" t="str">
        <f ca="1">IF(ROW()&gt;'Impact Indicator Target Update'!A167,"",INDIRECT("'Impact Indicators - Section B'!A"&amp;'Impact Indicator Target Update'!D167))</f>
        <v/>
      </c>
    </row>
    <row r="3469" spans="10:10">
      <c r="J3469" s="164" t="str">
        <f ca="1">IF(ROW()&gt;'Impact Indicator Target Update'!A168,"",INDIRECT("'Impact Indicators - Section B'!A"&amp;'Impact Indicator Target Update'!D168))</f>
        <v/>
      </c>
    </row>
    <row r="3470" spans="10:10">
      <c r="J3470" s="164" t="str">
        <f ca="1">IF(ROW()&gt;'Impact Indicator Target Update'!A169,"",INDIRECT("'Impact Indicators - Section B'!A"&amp;'Impact Indicator Target Update'!D169))</f>
        <v/>
      </c>
    </row>
    <row r="3471" spans="10:10">
      <c r="J3471" s="164" t="str">
        <f ca="1">IF(ROW()&gt;'Impact Indicator Target Update'!A170,"",INDIRECT("'Impact Indicators - Section B'!A"&amp;'Impact Indicator Target Update'!D170))</f>
        <v/>
      </c>
    </row>
    <row r="3472" spans="10:10">
      <c r="J3472" s="164" t="str">
        <f ca="1">IF(ROW()&gt;'Impact Indicator Target Update'!A171,"",INDIRECT("'Impact Indicators - Section B'!A"&amp;'Impact Indicator Target Update'!D171))</f>
        <v/>
      </c>
    </row>
    <row r="3473" spans="10:10">
      <c r="J3473" s="164" t="str">
        <f ca="1">IF(ROW()&gt;'Impact Indicator Target Update'!A172,"",INDIRECT("'Impact Indicators - Section B'!A"&amp;'Impact Indicator Target Update'!D172))</f>
        <v/>
      </c>
    </row>
    <row r="3474" spans="10:10">
      <c r="J3474" s="164" t="str">
        <f ca="1">IF(ROW()&gt;'Impact Indicator Target Update'!A173,"",INDIRECT("'Impact Indicators - Section B'!A"&amp;'Impact Indicator Target Update'!D173))</f>
        <v/>
      </c>
    </row>
    <row r="3475" spans="10:10">
      <c r="J3475" s="164" t="str">
        <f ca="1">IF(ROW()&gt;'Impact Indicator Target Update'!A174,"",INDIRECT("'Impact Indicators - Section B'!A"&amp;'Impact Indicator Target Update'!D174))</f>
        <v/>
      </c>
    </row>
    <row r="3476" spans="10:10">
      <c r="J3476" s="164" t="str">
        <f ca="1">IF(ROW()&gt;'Impact Indicator Target Update'!A175,"",INDIRECT("'Impact Indicators - Section B'!A"&amp;'Impact Indicator Target Update'!D175))</f>
        <v/>
      </c>
    </row>
    <row r="3477" spans="10:10">
      <c r="J3477" s="164" t="str">
        <f ca="1">IF(ROW()&gt;'Impact Indicator Target Update'!A176,"",INDIRECT("'Impact Indicators - Section B'!A"&amp;'Impact Indicator Target Update'!D176))</f>
        <v/>
      </c>
    </row>
    <row r="3478" spans="10:10">
      <c r="J3478" s="164" t="str">
        <f ca="1">IF(ROW()&gt;'Impact Indicator Target Update'!A177,"",INDIRECT("'Impact Indicators - Section B'!A"&amp;'Impact Indicator Target Update'!D177))</f>
        <v/>
      </c>
    </row>
    <row r="3479" spans="10:10">
      <c r="J3479" s="164" t="str">
        <f ca="1">IF(ROW()&gt;'Impact Indicator Target Update'!A178,"",INDIRECT("'Impact Indicators - Section B'!A"&amp;'Impact Indicator Target Update'!D178))</f>
        <v/>
      </c>
    </row>
    <row r="3480" spans="10:10">
      <c r="J3480" s="164" t="str">
        <f ca="1">IF(ROW()&gt;'Impact Indicator Target Update'!A179,"",INDIRECT("'Impact Indicators - Section B'!A"&amp;'Impact Indicator Target Update'!D179))</f>
        <v/>
      </c>
    </row>
    <row r="3481" spans="10:10">
      <c r="J3481" s="164" t="str">
        <f ca="1">IF(ROW()&gt;'Impact Indicator Target Update'!A180,"",INDIRECT("'Impact Indicators - Section B'!A"&amp;'Impact Indicator Target Update'!D180))</f>
        <v/>
      </c>
    </row>
    <row r="3482" spans="10:10">
      <c r="J3482" s="164" t="str">
        <f ca="1">IF(ROW()&gt;'Impact Indicator Target Update'!A181,"",INDIRECT("'Impact Indicators - Section B'!A"&amp;'Impact Indicator Target Update'!D181))</f>
        <v/>
      </c>
    </row>
    <row r="3483" spans="10:10">
      <c r="J3483" s="164" t="str">
        <f ca="1">IF(ROW()&gt;'Impact Indicator Target Update'!A182,"",INDIRECT("'Impact Indicators - Section B'!A"&amp;'Impact Indicator Target Update'!D182))</f>
        <v/>
      </c>
    </row>
    <row r="3484" spans="10:10">
      <c r="J3484" s="164" t="str">
        <f ca="1">IF(ROW()&gt;'Impact Indicator Target Update'!A183,"",INDIRECT("'Impact Indicators - Section B'!A"&amp;'Impact Indicator Target Update'!D183))</f>
        <v/>
      </c>
    </row>
    <row r="3485" spans="10:10">
      <c r="J3485" s="164" t="str">
        <f ca="1">IF(ROW()&gt;'Impact Indicator Target Update'!A184,"",INDIRECT("'Impact Indicators - Section B'!A"&amp;'Impact Indicator Target Update'!D184))</f>
        <v/>
      </c>
    </row>
    <row r="3486" spans="10:10">
      <c r="J3486" s="164" t="str">
        <f ca="1">IF(ROW()&gt;'Impact Indicator Target Update'!A185,"",INDIRECT("'Impact Indicators - Section B'!A"&amp;'Impact Indicator Target Update'!D185))</f>
        <v/>
      </c>
    </row>
    <row r="3487" spans="10:10">
      <c r="J3487" s="164" t="str">
        <f ca="1">IF(ROW()&gt;'Impact Indicator Target Update'!A186,"",INDIRECT("'Impact Indicators - Section B'!A"&amp;'Impact Indicator Target Update'!D186))</f>
        <v/>
      </c>
    </row>
    <row r="3488" spans="10:10">
      <c r="J3488" s="164" t="str">
        <f ca="1">IF(ROW()&gt;'Impact Indicator Target Update'!A187,"",INDIRECT("'Impact Indicators - Section B'!A"&amp;'Impact Indicator Target Update'!D187))</f>
        <v/>
      </c>
    </row>
    <row r="3489" spans="10:10">
      <c r="J3489" s="164" t="str">
        <f ca="1">IF(ROW()&gt;'Impact Indicator Target Update'!A188,"",INDIRECT("'Impact Indicators - Section B'!A"&amp;'Impact Indicator Target Update'!D188))</f>
        <v/>
      </c>
    </row>
    <row r="3490" spans="10:10">
      <c r="J3490" s="164" t="str">
        <f ca="1">IF(ROW()&gt;'Impact Indicator Target Update'!A189,"",INDIRECT("'Impact Indicators - Section B'!A"&amp;'Impact Indicator Target Update'!D189))</f>
        <v/>
      </c>
    </row>
    <row r="3491" spans="10:10">
      <c r="J3491" s="164" t="str">
        <f ca="1">IF(ROW()&gt;'Impact Indicator Target Update'!A190,"",INDIRECT("'Impact Indicators - Section B'!A"&amp;'Impact Indicator Target Update'!D190))</f>
        <v/>
      </c>
    </row>
    <row r="3492" spans="10:10">
      <c r="J3492" s="164" t="str">
        <f ca="1">IF(ROW()&gt;'Impact Indicator Target Update'!A191,"",INDIRECT("'Impact Indicators - Section B'!A"&amp;'Impact Indicator Target Update'!D191))</f>
        <v/>
      </c>
    </row>
    <row r="3493" spans="10:10">
      <c r="J3493" s="164" t="str">
        <f ca="1">IF(ROW()&gt;'Impact Indicator Target Update'!A192,"",INDIRECT("'Impact Indicators - Section B'!A"&amp;'Impact Indicator Target Update'!D192))</f>
        <v/>
      </c>
    </row>
    <row r="3494" spans="10:10">
      <c r="J3494" s="164" t="str">
        <f ca="1">IF(ROW()&gt;'Impact Indicator Target Update'!A193,"",INDIRECT("'Impact Indicators - Section B'!A"&amp;'Impact Indicator Target Update'!D193))</f>
        <v/>
      </c>
    </row>
    <row r="3495" spans="10:10">
      <c r="J3495" s="164" t="str">
        <f ca="1">IF(ROW()&gt;'Impact Indicator Target Update'!A194,"",INDIRECT("'Impact Indicators - Section B'!A"&amp;'Impact Indicator Target Update'!D194))</f>
        <v/>
      </c>
    </row>
    <row r="3496" spans="10:10">
      <c r="J3496" s="164" t="str">
        <f ca="1">IF(ROW()&gt;'Impact Indicator Target Update'!A195,"",INDIRECT("'Impact Indicators - Section B'!A"&amp;'Impact Indicator Target Update'!D195))</f>
        <v/>
      </c>
    </row>
    <row r="3497" spans="10:10">
      <c r="J3497" s="164" t="str">
        <f ca="1">IF(ROW()&gt;'Impact Indicator Target Update'!A196,"",INDIRECT("'Impact Indicators - Section B'!A"&amp;'Impact Indicator Target Update'!D196))</f>
        <v/>
      </c>
    </row>
    <row r="3498" spans="10:10">
      <c r="J3498" s="164" t="str">
        <f ca="1">IF(ROW()&gt;'Impact Indicator Target Update'!A197,"",INDIRECT("'Impact Indicators - Section B'!A"&amp;'Impact Indicator Target Update'!D197))</f>
        <v/>
      </c>
    </row>
    <row r="3499" spans="10:10">
      <c r="J3499" s="164" t="str">
        <f ca="1">IF(ROW()&gt;'Impact Indicator Target Update'!A198,"",INDIRECT("'Impact Indicators - Section B'!A"&amp;'Impact Indicator Target Update'!D198))</f>
        <v/>
      </c>
    </row>
    <row r="3500" spans="10:10">
      <c r="J3500" s="164" t="str">
        <f ca="1">IF(ROW()&gt;'Impact Indicator Target Update'!A199,"",INDIRECT("'Impact Indicators - Section B'!A"&amp;'Impact Indicator Target Update'!D199))</f>
        <v/>
      </c>
    </row>
    <row r="3501" spans="10:10">
      <c r="J3501" s="164" t="str">
        <f ca="1">IF(ROW()&gt;'Impact Indicator Target Update'!A200,"",INDIRECT("'Impact Indicators - Section B'!A"&amp;'Impact Indicator Target Update'!D200))</f>
        <v/>
      </c>
    </row>
    <row r="3502" spans="10:10">
      <c r="J3502" s="164" t="str">
        <f ca="1">IF(ROW()&gt;'Impact Indicator Target Update'!A201,"",INDIRECT("'Impact Indicators - Section B'!A"&amp;'Impact Indicator Target Update'!D201))</f>
        <v/>
      </c>
    </row>
    <row r="3503" spans="10:10">
      <c r="J3503" s="164" t="str">
        <f ca="1">IF(ROW()&gt;'Impact Indicator Target Update'!A202,"",INDIRECT("'Impact Indicators - Section B'!A"&amp;'Impact Indicator Target Update'!D202))</f>
        <v/>
      </c>
    </row>
    <row r="3504" spans="10:10">
      <c r="J3504" s="164" t="str">
        <f ca="1">IF(ROW()&gt;'Impact Indicator Target Update'!A203,"",INDIRECT("'Impact Indicators - Section B'!A"&amp;'Impact Indicator Target Update'!D203))</f>
        <v/>
      </c>
    </row>
    <row r="3505" spans="10:10">
      <c r="J3505" s="164" t="str">
        <f ca="1">IF(ROW()&gt;'Impact Indicator Target Update'!A204,"",INDIRECT("'Impact Indicators - Section B'!A"&amp;'Impact Indicator Target Update'!D204))</f>
        <v/>
      </c>
    </row>
    <row r="3506" spans="10:10">
      <c r="J3506" s="164" t="str">
        <f ca="1">IF(ROW()&gt;'Impact Indicator Target Update'!A205,"",INDIRECT("'Impact Indicators - Section B'!A"&amp;'Impact Indicator Target Update'!D205))</f>
        <v/>
      </c>
    </row>
    <row r="3507" spans="10:10">
      <c r="J3507" s="164" t="str">
        <f ca="1">IF(ROW()&gt;'Impact Indicator Target Update'!A206,"",INDIRECT("'Impact Indicators - Section B'!A"&amp;'Impact Indicator Target Update'!D206))</f>
        <v/>
      </c>
    </row>
    <row r="3508" spans="10:10">
      <c r="J3508" s="164" t="str">
        <f ca="1">IF(ROW()&gt;'Impact Indicator Target Update'!A207,"",INDIRECT("'Impact Indicators - Section B'!A"&amp;'Impact Indicator Target Update'!D207))</f>
        <v/>
      </c>
    </row>
    <row r="3509" spans="10:10">
      <c r="J3509" s="164" t="str">
        <f ca="1">IF(ROW()&gt;'Impact Indicator Target Update'!A208,"",INDIRECT("'Impact Indicators - Section B'!A"&amp;'Impact Indicator Target Update'!D208))</f>
        <v/>
      </c>
    </row>
    <row r="3510" spans="10:10">
      <c r="J3510" s="164" t="str">
        <f ca="1">IF(ROW()&gt;'Impact Indicator Target Update'!A209,"",INDIRECT("'Impact Indicators - Section B'!A"&amp;'Impact Indicator Target Update'!D209))</f>
        <v/>
      </c>
    </row>
    <row r="3511" spans="10:10">
      <c r="J3511" s="164" t="str">
        <f ca="1">IF(ROW()&gt;'Impact Indicator Target Update'!A210,"",INDIRECT("'Impact Indicators - Section B'!A"&amp;'Impact Indicator Target Update'!D210))</f>
        <v/>
      </c>
    </row>
    <row r="3512" spans="10:10">
      <c r="J3512" s="164" t="str">
        <f ca="1">IF(ROW()&gt;'Impact Indicator Target Update'!A211,"",INDIRECT("'Impact Indicators - Section B'!A"&amp;'Impact Indicator Target Update'!D211))</f>
        <v/>
      </c>
    </row>
    <row r="3513" spans="10:10">
      <c r="J3513" s="164" t="str">
        <f ca="1">IF(ROW()&gt;'Impact Indicator Target Update'!A212,"",INDIRECT("'Impact Indicators - Section B'!A"&amp;'Impact Indicator Target Update'!D212))</f>
        <v/>
      </c>
    </row>
    <row r="3514" spans="10:10">
      <c r="J3514" s="164" t="str">
        <f ca="1">IF(ROW()&gt;'Impact Indicator Target Update'!A213,"",INDIRECT("'Impact Indicators - Section B'!A"&amp;'Impact Indicator Target Update'!D213))</f>
        <v/>
      </c>
    </row>
    <row r="3515" spans="10:10">
      <c r="J3515" s="164" t="str">
        <f ca="1">IF(ROW()&gt;'Impact Indicator Target Update'!A214,"",INDIRECT("'Impact Indicators - Section B'!A"&amp;'Impact Indicator Target Update'!D214))</f>
        <v/>
      </c>
    </row>
    <row r="3516" spans="10:10">
      <c r="J3516" s="164" t="str">
        <f ca="1">IF(ROW()&gt;'Impact Indicator Target Update'!A215,"",INDIRECT("'Impact Indicators - Section B'!A"&amp;'Impact Indicator Target Update'!D215))</f>
        <v/>
      </c>
    </row>
    <row r="3517" spans="10:10">
      <c r="J3517" s="164" t="str">
        <f ca="1">IF(ROW()&gt;'Impact Indicator Target Update'!A216,"",INDIRECT("'Impact Indicators - Section B'!A"&amp;'Impact Indicator Target Update'!D216))</f>
        <v/>
      </c>
    </row>
    <row r="3518" spans="10:10">
      <c r="J3518" s="164" t="str">
        <f ca="1">IF(ROW()&gt;'Impact Indicator Target Update'!A217,"",INDIRECT("'Impact Indicators - Section B'!A"&amp;'Impact Indicator Target Update'!D217))</f>
        <v/>
      </c>
    </row>
    <row r="3519" spans="10:10">
      <c r="J3519" s="164" t="str">
        <f ca="1">IF(ROW()&gt;'Impact Indicator Target Update'!A218,"",INDIRECT("'Impact Indicators - Section B'!A"&amp;'Impact Indicator Target Update'!D218))</f>
        <v/>
      </c>
    </row>
    <row r="3520" spans="10:10">
      <c r="J3520" s="164" t="str">
        <f ca="1">IF(ROW()&gt;'Impact Indicator Target Update'!A219,"",INDIRECT("'Impact Indicators - Section B'!A"&amp;'Impact Indicator Target Update'!D219))</f>
        <v/>
      </c>
    </row>
    <row r="3521" spans="10:10">
      <c r="J3521" s="164" t="str">
        <f ca="1">IF(ROW()&gt;'Impact Indicator Target Update'!A220,"",INDIRECT("'Impact Indicators - Section B'!A"&amp;'Impact Indicator Target Update'!D220))</f>
        <v/>
      </c>
    </row>
    <row r="3522" spans="10:10">
      <c r="J3522" s="164" t="str">
        <f ca="1">IF(ROW()&gt;'Impact Indicator Target Update'!A221,"",INDIRECT("'Impact Indicators - Section B'!A"&amp;'Impact Indicator Target Update'!D221))</f>
        <v/>
      </c>
    </row>
    <row r="3523" spans="10:10">
      <c r="J3523" s="164" t="str">
        <f ca="1">IF(ROW()&gt;'Impact Indicator Target Update'!A222,"",INDIRECT("'Impact Indicators - Section B'!A"&amp;'Impact Indicator Target Update'!D222))</f>
        <v/>
      </c>
    </row>
    <row r="3524" spans="10:10">
      <c r="J3524" s="164" t="str">
        <f ca="1">IF(ROW()&gt;'Impact Indicator Target Update'!A223,"",INDIRECT("'Impact Indicators - Section B'!A"&amp;'Impact Indicator Target Update'!D223))</f>
        <v/>
      </c>
    </row>
    <row r="3525" spans="10:10">
      <c r="J3525" s="164" t="str">
        <f ca="1">IF(ROW()&gt;'Impact Indicator Target Update'!A224,"",INDIRECT("'Impact Indicators - Section B'!A"&amp;'Impact Indicator Target Update'!D224))</f>
        <v/>
      </c>
    </row>
    <row r="3526" spans="10:10">
      <c r="J3526" s="164" t="str">
        <f ca="1">IF(ROW()&gt;'Impact Indicator Target Update'!A225,"",INDIRECT("'Impact Indicators - Section B'!A"&amp;'Impact Indicator Target Update'!D225))</f>
        <v/>
      </c>
    </row>
    <row r="3527" spans="10:10">
      <c r="J3527" s="164" t="str">
        <f ca="1">IF(ROW()&gt;'Impact Indicator Target Update'!A226,"",INDIRECT("'Impact Indicators - Section B'!A"&amp;'Impact Indicator Target Update'!D226))</f>
        <v/>
      </c>
    </row>
    <row r="3528" spans="10:10">
      <c r="J3528" s="164" t="str">
        <f ca="1">IF(ROW()&gt;'Impact Indicator Target Update'!A227,"",INDIRECT("'Impact Indicators - Section B'!A"&amp;'Impact Indicator Target Update'!D227))</f>
        <v/>
      </c>
    </row>
    <row r="3529" spans="10:10">
      <c r="J3529" s="164" t="str">
        <f ca="1">IF(ROW()&gt;'Impact Indicator Target Update'!A228,"",INDIRECT("'Impact Indicators - Section B'!A"&amp;'Impact Indicator Target Update'!D228))</f>
        <v/>
      </c>
    </row>
    <row r="3530" spans="10:10">
      <c r="J3530" s="164" t="str">
        <f ca="1">IF(ROW()&gt;'Impact Indicator Target Update'!A229,"",INDIRECT("'Impact Indicators - Section B'!A"&amp;'Impact Indicator Target Update'!D229))</f>
        <v/>
      </c>
    </row>
    <row r="3531" spans="10:10">
      <c r="J3531" s="164" t="str">
        <f ca="1">IF(ROW()&gt;'Impact Indicator Target Update'!A230,"",INDIRECT("'Impact Indicators - Section B'!A"&amp;'Impact Indicator Target Update'!D230))</f>
        <v/>
      </c>
    </row>
    <row r="3532" spans="10:10">
      <c r="J3532" s="164" t="str">
        <f ca="1">IF(ROW()&gt;'Impact Indicator Target Update'!A231,"",INDIRECT("'Impact Indicators - Section B'!A"&amp;'Impact Indicator Target Update'!D231))</f>
        <v/>
      </c>
    </row>
    <row r="3533" spans="10:10">
      <c r="J3533" s="164" t="str">
        <f ca="1">IF(ROW()&gt;'Impact Indicator Target Update'!A232,"",INDIRECT("'Impact Indicators - Section B'!A"&amp;'Impact Indicator Target Update'!D232))</f>
        <v/>
      </c>
    </row>
    <row r="3534" spans="10:10">
      <c r="J3534" s="164" t="str">
        <f ca="1">IF(ROW()&gt;'Impact Indicator Target Update'!A233,"",INDIRECT("'Impact Indicators - Section B'!A"&amp;'Impact Indicator Target Update'!D233))</f>
        <v/>
      </c>
    </row>
    <row r="3535" spans="10:10">
      <c r="J3535" s="164" t="str">
        <f ca="1">IF(ROW()&gt;'Impact Indicator Target Update'!A234,"",INDIRECT("'Impact Indicators - Section B'!A"&amp;'Impact Indicator Target Update'!D234))</f>
        <v/>
      </c>
    </row>
    <row r="3536" spans="10:10">
      <c r="J3536" s="164" t="str">
        <f ca="1">IF(ROW()&gt;'Impact Indicator Target Update'!A235,"",INDIRECT("'Impact Indicators - Section B'!A"&amp;'Impact Indicator Target Update'!D235))</f>
        <v/>
      </c>
    </row>
    <row r="3537" spans="10:10">
      <c r="J3537" s="164" t="str">
        <f ca="1">IF(ROW()&gt;'Impact Indicator Target Update'!A236,"",INDIRECT("'Impact Indicators - Section B'!A"&amp;'Impact Indicator Target Update'!D236))</f>
        <v/>
      </c>
    </row>
    <row r="3538" spans="10:10">
      <c r="J3538" s="164" t="str">
        <f ca="1">IF(ROW()&gt;'Impact Indicator Target Update'!A237,"",INDIRECT("'Impact Indicators - Section B'!A"&amp;'Impact Indicator Target Update'!D237))</f>
        <v/>
      </c>
    </row>
    <row r="3539" spans="10:10">
      <c r="J3539" s="164" t="str">
        <f ca="1">IF(ROW()&gt;'Impact Indicator Target Update'!A238,"",INDIRECT("'Impact Indicators - Section B'!A"&amp;'Impact Indicator Target Update'!D238))</f>
        <v/>
      </c>
    </row>
    <row r="3540" spans="10:10">
      <c r="J3540" s="164" t="str">
        <f ca="1">IF(ROW()&gt;'Impact Indicator Target Update'!A239,"",INDIRECT("'Impact Indicators - Section B'!A"&amp;'Impact Indicator Target Update'!D239))</f>
        <v/>
      </c>
    </row>
    <row r="3541" spans="10:10">
      <c r="J3541" s="164" t="str">
        <f ca="1">IF(ROW()&gt;'Impact Indicator Target Update'!A240,"",INDIRECT("'Impact Indicators - Section B'!A"&amp;'Impact Indicator Target Update'!D240))</f>
        <v/>
      </c>
    </row>
    <row r="3542" spans="10:10">
      <c r="J3542" s="164" t="str">
        <f ca="1">IF(ROW()&gt;'Impact Indicator Target Update'!A241,"",INDIRECT("'Impact Indicators - Section B'!A"&amp;'Impact Indicator Target Update'!D241))</f>
        <v/>
      </c>
    </row>
    <row r="3543" spans="10:10">
      <c r="J3543" s="164" t="str">
        <f ca="1">IF(ROW()&gt;'Impact Indicator Target Update'!A242,"",INDIRECT("'Impact Indicators - Section B'!A"&amp;'Impact Indicator Target Update'!D242))</f>
        <v/>
      </c>
    </row>
    <row r="3544" spans="10:10">
      <c r="J3544" s="164" t="str">
        <f ca="1">IF(ROW()&gt;'Impact Indicator Target Update'!A243,"",INDIRECT("'Impact Indicators - Section B'!A"&amp;'Impact Indicator Target Update'!D243))</f>
        <v/>
      </c>
    </row>
    <row r="3545" spans="10:10">
      <c r="J3545" s="164" t="str">
        <f ca="1">IF(ROW()&gt;'Impact Indicator Target Update'!A244,"",INDIRECT("'Impact Indicators - Section B'!A"&amp;'Impact Indicator Target Update'!D244))</f>
        <v/>
      </c>
    </row>
    <row r="3546" spans="10:10">
      <c r="J3546" s="164" t="str">
        <f ca="1">IF(ROW()&gt;'Impact Indicator Target Update'!A245,"",INDIRECT("'Impact Indicators - Section B'!A"&amp;'Impact Indicator Target Update'!D245))</f>
        <v/>
      </c>
    </row>
    <row r="3547" spans="10:10">
      <c r="J3547" s="164" t="str">
        <f ca="1">IF(ROW()&gt;'Impact Indicator Target Update'!A246,"",INDIRECT("'Impact Indicators - Section B'!A"&amp;'Impact Indicator Target Update'!D246))</f>
        <v/>
      </c>
    </row>
    <row r="3548" spans="10:10">
      <c r="J3548" s="164" t="str">
        <f ca="1">IF(ROW()&gt;'Impact Indicator Target Update'!A247,"",INDIRECT("'Impact Indicators - Section B'!A"&amp;'Impact Indicator Target Update'!D247))</f>
        <v/>
      </c>
    </row>
    <row r="3549" spans="10:10">
      <c r="J3549" s="164" t="str">
        <f ca="1">IF(ROW()&gt;'Impact Indicator Target Update'!A248,"",INDIRECT("'Impact Indicators - Section B'!A"&amp;'Impact Indicator Target Update'!D248))</f>
        <v/>
      </c>
    </row>
    <row r="3550" spans="10:10">
      <c r="J3550" s="164" t="str">
        <f ca="1">IF(ROW()&gt;'Impact Indicator Target Update'!A249,"",INDIRECT("'Impact Indicators - Section B'!A"&amp;'Impact Indicator Target Update'!D249))</f>
        <v/>
      </c>
    </row>
    <row r="3551" spans="10:10">
      <c r="J3551" s="164" t="str">
        <f ca="1">IF(ROW()&gt;'Impact Indicator Target Update'!A250,"",INDIRECT("'Impact Indicators - Section B'!A"&amp;'Impact Indicator Target Update'!D250))</f>
        <v/>
      </c>
    </row>
    <row r="3552" spans="10:10">
      <c r="J3552" s="164" t="str">
        <f ca="1">IF(ROW()&gt;'Impact Indicator Target Update'!A251,"",INDIRECT("'Impact Indicators - Section B'!A"&amp;'Impact Indicator Target Update'!D251))</f>
        <v/>
      </c>
    </row>
    <row r="3553" spans="10:10">
      <c r="J3553" s="164" t="str">
        <f ca="1">IF(ROW()&gt;'Impact Indicator Target Update'!A252,"",INDIRECT("'Impact Indicators - Section B'!A"&amp;'Impact Indicator Target Update'!D252))</f>
        <v/>
      </c>
    </row>
    <row r="3554" spans="10:10">
      <c r="J3554" s="164" t="str">
        <f ca="1">IF(ROW()&gt;'Impact Indicator Target Update'!A253,"",INDIRECT("'Impact Indicators - Section B'!A"&amp;'Impact Indicator Target Update'!D253))</f>
        <v/>
      </c>
    </row>
    <row r="3555" spans="10:10">
      <c r="J3555" s="164" t="str">
        <f ca="1">IF(ROW()&gt;'Impact Indicator Target Update'!A254,"",INDIRECT("'Impact Indicators - Section B'!A"&amp;'Impact Indicator Target Update'!D254))</f>
        <v/>
      </c>
    </row>
    <row r="3556" spans="10:10">
      <c r="J3556" s="164" t="str">
        <f ca="1">IF(ROW()&gt;'Impact Indicator Target Update'!A255,"",INDIRECT("'Impact Indicators - Section B'!A"&amp;'Impact Indicator Target Update'!D255))</f>
        <v/>
      </c>
    </row>
    <row r="3557" spans="10:10">
      <c r="J3557" s="164" t="str">
        <f ca="1">IF(ROW()&gt;'Impact Indicator Target Update'!A256,"",INDIRECT("'Impact Indicators - Section B'!A"&amp;'Impact Indicator Target Update'!D256))</f>
        <v/>
      </c>
    </row>
    <row r="3558" spans="10:10">
      <c r="J3558" s="164" t="str">
        <f ca="1">IF(ROW()&gt;'Impact Indicator Target Update'!A257,"",INDIRECT("'Impact Indicators - Section B'!A"&amp;'Impact Indicator Target Update'!D257))</f>
        <v/>
      </c>
    </row>
    <row r="3559" spans="10:10">
      <c r="J3559" s="164" t="str">
        <f ca="1">IF(ROW()&gt;'Impact Indicator Target Update'!A258,"",INDIRECT("'Impact Indicators - Section B'!A"&amp;'Impact Indicator Target Update'!D258))</f>
        <v/>
      </c>
    </row>
    <row r="3560" spans="10:10">
      <c r="J3560" s="164" t="str">
        <f ca="1">IF(ROW()&gt;'Impact Indicator Target Update'!A259,"",INDIRECT("'Impact Indicators - Section B'!A"&amp;'Impact Indicator Target Update'!D259))</f>
        <v/>
      </c>
    </row>
    <row r="3561" spans="10:10">
      <c r="J3561" s="164" t="str">
        <f ca="1">IF(ROW()&gt;'Impact Indicator Target Update'!A260,"",INDIRECT("'Impact Indicators - Section B'!A"&amp;'Impact Indicator Target Update'!D260))</f>
        <v/>
      </c>
    </row>
    <row r="3562" spans="10:10">
      <c r="J3562" s="164" t="str">
        <f ca="1">IF(ROW()&gt;'Impact Indicator Target Update'!A261,"",INDIRECT("'Impact Indicators - Section B'!A"&amp;'Impact Indicator Target Update'!D261))</f>
        <v/>
      </c>
    </row>
    <row r="3563" spans="10:10">
      <c r="J3563" s="164" t="str">
        <f ca="1">IF(ROW()&gt;'Impact Indicator Target Update'!A262,"",INDIRECT("'Impact Indicators - Section B'!A"&amp;'Impact Indicator Target Update'!D262))</f>
        <v/>
      </c>
    </row>
    <row r="3564" spans="10:10">
      <c r="J3564" s="164" t="str">
        <f ca="1">IF(ROW()&gt;'Impact Indicator Target Update'!A263,"",INDIRECT("'Impact Indicators - Section B'!A"&amp;'Impact Indicator Target Update'!D263))</f>
        <v/>
      </c>
    </row>
    <row r="3565" spans="10:10">
      <c r="J3565" s="164" t="str">
        <f ca="1">IF(ROW()&gt;'Impact Indicator Target Update'!A264,"",INDIRECT("'Impact Indicators - Section B'!A"&amp;'Impact Indicator Target Update'!D264))</f>
        <v/>
      </c>
    </row>
    <row r="3566" spans="10:10">
      <c r="J3566" s="164" t="str">
        <f ca="1">IF(ROW()&gt;'Impact Indicator Target Update'!A265,"",INDIRECT("'Impact Indicators - Section B'!A"&amp;'Impact Indicator Target Update'!D265))</f>
        <v/>
      </c>
    </row>
    <row r="3567" spans="10:10">
      <c r="J3567" s="164" t="str">
        <f ca="1">IF(ROW()&gt;'Impact Indicator Target Update'!A266,"",INDIRECT("'Impact Indicators - Section B'!A"&amp;'Impact Indicator Target Update'!D266))</f>
        <v/>
      </c>
    </row>
    <row r="3568" spans="10:10">
      <c r="J3568" s="164" t="str">
        <f ca="1">IF(ROW()&gt;'Impact Indicator Target Update'!A267,"",INDIRECT("'Impact Indicators - Section B'!A"&amp;'Impact Indicator Target Update'!D267))</f>
        <v/>
      </c>
    </row>
    <row r="3569" spans="10:10">
      <c r="J3569" s="164" t="str">
        <f ca="1">IF(ROW()&gt;'Impact Indicator Target Update'!A268,"",INDIRECT("'Impact Indicators - Section B'!A"&amp;'Impact Indicator Target Update'!D268))</f>
        <v/>
      </c>
    </row>
    <row r="3570" spans="10:10">
      <c r="J3570" s="164" t="str">
        <f ca="1">IF(ROW()&gt;'Impact Indicator Target Update'!A269,"",INDIRECT("'Impact Indicators - Section B'!A"&amp;'Impact Indicator Target Update'!D269))</f>
        <v/>
      </c>
    </row>
    <row r="3571" spans="10:10">
      <c r="J3571" s="164" t="str">
        <f ca="1">IF(ROW()&gt;'Impact Indicator Target Update'!A270,"",INDIRECT("'Impact Indicators - Section B'!A"&amp;'Impact Indicator Target Update'!D270))</f>
        <v/>
      </c>
    </row>
    <row r="3572" spans="10:10">
      <c r="J3572" s="164" t="str">
        <f ca="1">IF(ROW()&gt;'Impact Indicator Target Update'!A271,"",INDIRECT("'Impact Indicators - Section B'!A"&amp;'Impact Indicator Target Update'!D271))</f>
        <v/>
      </c>
    </row>
    <row r="3573" spans="10:10">
      <c r="J3573" s="164" t="str">
        <f ca="1">IF(ROW()&gt;'Impact Indicator Target Update'!A272,"",INDIRECT("'Impact Indicators - Section B'!A"&amp;'Impact Indicator Target Update'!D272))</f>
        <v/>
      </c>
    </row>
    <row r="3574" spans="10:10">
      <c r="J3574" s="164" t="str">
        <f ca="1">IF(ROW()&gt;'Impact Indicator Target Update'!A273,"",INDIRECT("'Impact Indicators - Section B'!A"&amp;'Impact Indicator Target Update'!D273))</f>
        <v/>
      </c>
    </row>
    <row r="3575" spans="10:10">
      <c r="J3575" s="164" t="str">
        <f ca="1">IF(ROW()&gt;'Impact Indicator Target Update'!A274,"",INDIRECT("'Impact Indicators - Section B'!A"&amp;'Impact Indicator Target Update'!D274))</f>
        <v/>
      </c>
    </row>
    <row r="3576" spans="10:10">
      <c r="J3576" s="164" t="str">
        <f ca="1">IF(ROW()&gt;'Impact Indicator Target Update'!A275,"",INDIRECT("'Impact Indicators - Section B'!A"&amp;'Impact Indicator Target Update'!D275))</f>
        <v/>
      </c>
    </row>
    <row r="3577" spans="10:10">
      <c r="J3577" s="164" t="str">
        <f ca="1">IF(ROW()&gt;'Impact Indicator Target Update'!A276,"",INDIRECT("'Impact Indicators - Section B'!A"&amp;'Impact Indicator Target Update'!D276))</f>
        <v/>
      </c>
    </row>
    <row r="3578" spans="10:10">
      <c r="J3578" s="164" t="str">
        <f ca="1">IF(ROW()&gt;'Impact Indicator Target Update'!A277,"",INDIRECT("'Impact Indicators - Section B'!A"&amp;'Impact Indicator Target Update'!D277))</f>
        <v/>
      </c>
    </row>
    <row r="3579" spans="10:10">
      <c r="J3579" s="164" t="str">
        <f ca="1">IF(ROW()&gt;'Impact Indicator Target Update'!A278,"",INDIRECT("'Impact Indicators - Section B'!A"&amp;'Impact Indicator Target Update'!D278))</f>
        <v/>
      </c>
    </row>
    <row r="3580" spans="10:10">
      <c r="J3580" s="164" t="str">
        <f ca="1">IF(ROW()&gt;'Impact Indicator Target Update'!A279,"",INDIRECT("'Impact Indicators - Section B'!A"&amp;'Impact Indicator Target Update'!D279))</f>
        <v/>
      </c>
    </row>
    <row r="3581" spans="10:10">
      <c r="J3581" s="164" t="str">
        <f ca="1">IF(ROW()&gt;'Impact Indicator Target Update'!A280,"",INDIRECT("'Impact Indicators - Section B'!A"&amp;'Impact Indicator Target Update'!D280))</f>
        <v/>
      </c>
    </row>
    <row r="3582" spans="10:10">
      <c r="J3582" s="164" t="str">
        <f ca="1">IF(ROW()&gt;'Impact Indicator Target Update'!A281,"",INDIRECT("'Impact Indicators - Section B'!A"&amp;'Impact Indicator Target Update'!D281))</f>
        <v/>
      </c>
    </row>
    <row r="3583" spans="10:10">
      <c r="J3583" s="164" t="str">
        <f ca="1">IF(ROW()&gt;'Impact Indicator Target Update'!A282,"",INDIRECT("'Impact Indicators - Section B'!A"&amp;'Impact Indicator Target Update'!D282))</f>
        <v/>
      </c>
    </row>
    <row r="3584" spans="10:10">
      <c r="J3584" s="164" t="str">
        <f ca="1">IF(ROW()&gt;'Impact Indicator Target Update'!A283,"",INDIRECT("'Impact Indicators - Section B'!A"&amp;'Impact Indicator Target Update'!D283))</f>
        <v/>
      </c>
    </row>
    <row r="3585" spans="10:10">
      <c r="J3585" s="164" t="str">
        <f ca="1">IF(ROW()&gt;'Impact Indicator Target Update'!A284,"",INDIRECT("'Impact Indicators - Section B'!A"&amp;'Impact Indicator Target Update'!D284))</f>
        <v/>
      </c>
    </row>
    <row r="3586" spans="10:10">
      <c r="J3586" s="164" t="str">
        <f ca="1">IF(ROW()&gt;'Impact Indicator Target Update'!A285,"",INDIRECT("'Impact Indicators - Section B'!A"&amp;'Impact Indicator Target Update'!D285))</f>
        <v/>
      </c>
    </row>
    <row r="3587" spans="10:10">
      <c r="J3587" s="164" t="str">
        <f ca="1">IF(ROW()&gt;'Impact Indicator Target Update'!A286,"",INDIRECT("'Impact Indicators - Section B'!A"&amp;'Impact Indicator Target Update'!D286))</f>
        <v/>
      </c>
    </row>
    <row r="3588" spans="10:10">
      <c r="J3588" s="164" t="str">
        <f ca="1">IF(ROW()&gt;'Impact Indicator Target Update'!A287,"",INDIRECT("'Impact Indicators - Section B'!A"&amp;'Impact Indicator Target Update'!D287))</f>
        <v/>
      </c>
    </row>
    <row r="3589" spans="10:10">
      <c r="J3589" s="164" t="str">
        <f ca="1">IF(ROW()&gt;'Impact Indicator Target Update'!A288,"",INDIRECT("'Impact Indicators - Section B'!A"&amp;'Impact Indicator Target Update'!D288))</f>
        <v/>
      </c>
    </row>
    <row r="3590" spans="10:10">
      <c r="J3590" s="164" t="str">
        <f ca="1">IF(ROW()&gt;'Impact Indicator Target Update'!A289,"",INDIRECT("'Impact Indicators - Section B'!A"&amp;'Impact Indicator Target Update'!D289))</f>
        <v/>
      </c>
    </row>
    <row r="3591" spans="10:10">
      <c r="J3591" s="164" t="str">
        <f ca="1">IF(ROW()&gt;'Impact Indicator Target Update'!A290,"",INDIRECT("'Impact Indicators - Section B'!A"&amp;'Impact Indicator Target Update'!D290))</f>
        <v/>
      </c>
    </row>
    <row r="3592" spans="10:10">
      <c r="J3592" s="164" t="str">
        <f ca="1">IF(ROW()&gt;'Impact Indicator Target Update'!A291,"",INDIRECT("'Impact Indicators - Section B'!A"&amp;'Impact Indicator Target Update'!D291))</f>
        <v/>
      </c>
    </row>
    <row r="3593" spans="10:10">
      <c r="J3593" s="164" t="str">
        <f ca="1">IF(ROW()&gt;'Impact Indicator Target Update'!A292,"",INDIRECT("'Impact Indicators - Section B'!A"&amp;'Impact Indicator Target Update'!D292))</f>
        <v/>
      </c>
    </row>
    <row r="3594" spans="10:10">
      <c r="J3594" s="164" t="str">
        <f ca="1">IF(ROW()&gt;'Impact Indicator Target Update'!A293,"",INDIRECT("'Impact Indicators - Section B'!A"&amp;'Impact Indicator Target Update'!D293))</f>
        <v/>
      </c>
    </row>
    <row r="3595" spans="10:10">
      <c r="J3595" s="164" t="str">
        <f ca="1">IF(ROW()&gt;'Impact Indicator Target Update'!A294,"",INDIRECT("'Impact Indicators - Section B'!A"&amp;'Impact Indicator Target Update'!D294))</f>
        <v/>
      </c>
    </row>
    <row r="3596" spans="10:10">
      <c r="J3596" s="164" t="str">
        <f ca="1">IF(ROW()&gt;'Impact Indicator Target Update'!A295,"",INDIRECT("'Impact Indicators - Section B'!A"&amp;'Impact Indicator Target Update'!D295))</f>
        <v/>
      </c>
    </row>
    <row r="3597" spans="10:10">
      <c r="J3597" s="164" t="str">
        <f ca="1">IF(ROW()&gt;'Impact Indicator Target Update'!A296,"",INDIRECT("'Impact Indicators - Section B'!A"&amp;'Impact Indicator Target Update'!D296))</f>
        <v/>
      </c>
    </row>
    <row r="3598" spans="10:10">
      <c r="J3598" s="164" t="str">
        <f ca="1">IF(ROW()&gt;'Impact Indicator Target Update'!A297,"",INDIRECT("'Impact Indicators - Section B'!A"&amp;'Impact Indicator Target Update'!D297))</f>
        <v/>
      </c>
    </row>
    <row r="3599" spans="10:10">
      <c r="J3599" s="164" t="str">
        <f ca="1">IF(ROW()&gt;'Impact Indicator Target Update'!A298,"",INDIRECT("'Impact Indicators - Section B'!A"&amp;'Impact Indicator Target Update'!D298))</f>
        <v/>
      </c>
    </row>
    <row r="3600" spans="10:10">
      <c r="J3600" s="164" t="str">
        <f ca="1">IF(ROW()&gt;'Impact Indicator Target Update'!A299,"",INDIRECT("'Impact Indicators - Section B'!A"&amp;'Impact Indicator Target Update'!D299))</f>
        <v/>
      </c>
    </row>
    <row r="3601" spans="10:10">
      <c r="J3601" s="164" t="str">
        <f ca="1">IF(ROW()&gt;'Impact Indicator Target Update'!A300,"",INDIRECT("'Impact Indicators - Section B'!A"&amp;'Impact Indicator Target Update'!D300))</f>
        <v/>
      </c>
    </row>
    <row r="3602" spans="10:10">
      <c r="J3602" s="164" t="str">
        <f ca="1">IF(ROW()&gt;'Impact Indicator Target Update'!A301,"",INDIRECT("'Impact Indicators - Section B'!A"&amp;'Impact Indicator Target Update'!D301))</f>
        <v/>
      </c>
    </row>
    <row r="3603" spans="10:10">
      <c r="J3603" s="164" t="str">
        <f ca="1">IF(ROW()&gt;'Impact Indicator Target Update'!A302,"",INDIRECT("'Impact Indicators - Section B'!A"&amp;'Impact Indicator Target Update'!D302))</f>
        <v/>
      </c>
    </row>
    <row r="3604" spans="10:10">
      <c r="J3604" s="164" t="str">
        <f ca="1">IF(ROW()&gt;'Impact Indicator Target Update'!A303,"",INDIRECT("'Impact Indicators - Section B'!A"&amp;'Impact Indicator Target Update'!D303))</f>
        <v/>
      </c>
    </row>
    <row r="3605" spans="10:10">
      <c r="J3605" s="164" t="str">
        <f ca="1">IF(ROW()&gt;'Impact Indicator Target Update'!A304,"",INDIRECT("'Impact Indicators - Section B'!A"&amp;'Impact Indicator Target Update'!D304))</f>
        <v/>
      </c>
    </row>
    <row r="3606" spans="10:10">
      <c r="J3606" s="164" t="str">
        <f ca="1">IF(ROW()&gt;'Impact Indicator Target Update'!A305,"",INDIRECT("'Impact Indicators - Section B'!A"&amp;'Impact Indicator Target Update'!D305))</f>
        <v/>
      </c>
    </row>
    <row r="3607" spans="10:10">
      <c r="J3607" s="164" t="str">
        <f ca="1">IF(ROW()&gt;'Impact Indicator Target Update'!A306,"",INDIRECT("'Impact Indicators - Section B'!A"&amp;'Impact Indicator Target Update'!D306))</f>
        <v/>
      </c>
    </row>
    <row r="3608" spans="10:10">
      <c r="J3608" s="164" t="str">
        <f ca="1">IF(ROW()&gt;'Impact Indicator Target Update'!A307,"",INDIRECT("'Impact Indicators - Section B'!A"&amp;'Impact Indicator Target Update'!D307))</f>
        <v/>
      </c>
    </row>
    <row r="3609" spans="10:10">
      <c r="J3609" s="164" t="str">
        <f ca="1">IF(ROW()&gt;'Impact Indicator Target Update'!A308,"",INDIRECT("'Impact Indicators - Section B'!A"&amp;'Impact Indicator Target Update'!D308))</f>
        <v/>
      </c>
    </row>
    <row r="3610" spans="10:10">
      <c r="J3610" s="164" t="str">
        <f ca="1">IF(ROW()&gt;'Impact Indicator Target Update'!A309,"",INDIRECT("'Impact Indicators - Section B'!A"&amp;'Impact Indicator Target Update'!D309))</f>
        <v/>
      </c>
    </row>
    <row r="3611" spans="10:10">
      <c r="J3611" s="164" t="str">
        <f ca="1">IF(ROW()&gt;'Impact Indicator Target Update'!A310,"",INDIRECT("'Impact Indicators - Section B'!A"&amp;'Impact Indicator Target Update'!D310))</f>
        <v/>
      </c>
    </row>
    <row r="3612" spans="10:10">
      <c r="J3612" s="164" t="str">
        <f ca="1">IF(ROW()&gt;'Impact Indicator Target Update'!A311,"",INDIRECT("'Impact Indicators - Section B'!A"&amp;'Impact Indicator Target Update'!D311))</f>
        <v/>
      </c>
    </row>
    <row r="3613" spans="10:10">
      <c r="J3613" s="164" t="str">
        <f ca="1">IF(ROW()&gt;'Impact Indicator Target Update'!A312,"",INDIRECT("'Impact Indicators - Section B'!A"&amp;'Impact Indicator Target Update'!D312))</f>
        <v/>
      </c>
    </row>
    <row r="3614" spans="10:10">
      <c r="J3614" s="164" t="str">
        <f ca="1">IF(ROW()&gt;'Impact Indicator Target Update'!A313,"",INDIRECT("'Impact Indicators - Section B'!A"&amp;'Impact Indicator Target Update'!D313))</f>
        <v/>
      </c>
    </row>
    <row r="3615" spans="10:10">
      <c r="J3615" s="164" t="str">
        <f ca="1">IF(ROW()&gt;'Impact Indicator Target Update'!A314,"",INDIRECT("'Impact Indicators - Section B'!A"&amp;'Impact Indicator Target Update'!D314))</f>
        <v/>
      </c>
    </row>
    <row r="3616" spans="10:10">
      <c r="J3616" s="164" t="str">
        <f ca="1">IF(ROW()&gt;'Impact Indicator Target Update'!A315,"",INDIRECT("'Impact Indicators - Section B'!A"&amp;'Impact Indicator Target Update'!D315))</f>
        <v/>
      </c>
    </row>
    <row r="3617" spans="10:10">
      <c r="J3617" s="164" t="str">
        <f ca="1">IF(ROW()&gt;'Impact Indicator Target Update'!A316,"",INDIRECT("'Impact Indicators - Section B'!A"&amp;'Impact Indicator Target Update'!D316))</f>
        <v/>
      </c>
    </row>
    <row r="3618" spans="10:10">
      <c r="J3618" s="164" t="str">
        <f ca="1">IF(ROW()&gt;'Impact Indicator Target Update'!A317,"",INDIRECT("'Impact Indicators - Section B'!A"&amp;'Impact Indicator Target Update'!D317))</f>
        <v/>
      </c>
    </row>
    <row r="3619" spans="10:10">
      <c r="J3619" s="164" t="str">
        <f ca="1">IF(ROW()&gt;'Impact Indicator Target Update'!A318,"",INDIRECT("'Impact Indicators - Section B'!A"&amp;'Impact Indicator Target Update'!D318))</f>
        <v/>
      </c>
    </row>
    <row r="3620" spans="10:10">
      <c r="J3620" s="164" t="str">
        <f ca="1">IF(ROW()&gt;'Impact Indicator Target Update'!A319,"",INDIRECT("'Impact Indicators - Section B'!A"&amp;'Impact Indicator Target Update'!D319))</f>
        <v/>
      </c>
    </row>
    <row r="3621" spans="10:10">
      <c r="J3621" s="164" t="str">
        <f ca="1">IF(ROW()&gt;'Impact Indicator Target Update'!A320,"",INDIRECT("'Impact Indicators - Section B'!A"&amp;'Impact Indicator Target Update'!D320))</f>
        <v/>
      </c>
    </row>
    <row r="3622" spans="10:10">
      <c r="J3622" s="164" t="str">
        <f ca="1">IF(ROW()&gt;'Impact Indicator Target Update'!A321,"",INDIRECT("'Impact Indicators - Section B'!A"&amp;'Impact Indicator Target Update'!D321))</f>
        <v/>
      </c>
    </row>
    <row r="3623" spans="10:10">
      <c r="J3623" s="164" t="str">
        <f ca="1">IF(ROW()&gt;'Impact Indicator Target Update'!A322,"",INDIRECT("'Impact Indicators - Section B'!A"&amp;'Impact Indicator Target Update'!D322))</f>
        <v/>
      </c>
    </row>
    <row r="3624" spans="10:10">
      <c r="J3624" s="164" t="str">
        <f ca="1">IF(ROW()&gt;'Impact Indicator Target Update'!A323,"",INDIRECT("'Impact Indicators - Section B'!A"&amp;'Impact Indicator Target Update'!D323))</f>
        <v/>
      </c>
    </row>
    <row r="3625" spans="10:10">
      <c r="J3625" s="164" t="str">
        <f ca="1">IF(ROW()&gt;'Impact Indicator Target Update'!A324,"",INDIRECT("'Impact Indicators - Section B'!A"&amp;'Impact Indicator Target Update'!D324))</f>
        <v/>
      </c>
    </row>
    <row r="3626" spans="10:10">
      <c r="J3626" s="164" t="str">
        <f ca="1">IF(ROW()&gt;'Impact Indicator Target Update'!A325,"",INDIRECT("'Impact Indicators - Section B'!A"&amp;'Impact Indicator Target Update'!D325))</f>
        <v/>
      </c>
    </row>
    <row r="3627" spans="10:10">
      <c r="J3627" s="164" t="str">
        <f ca="1">IF(ROW()&gt;'Impact Indicator Target Update'!A326,"",INDIRECT("'Impact Indicators - Section B'!A"&amp;'Impact Indicator Target Update'!D326))</f>
        <v/>
      </c>
    </row>
    <row r="3628" spans="10:10">
      <c r="J3628" s="164" t="str">
        <f ca="1">IF(ROW()&gt;'Impact Indicator Target Update'!A327,"",INDIRECT("'Impact Indicators - Section B'!A"&amp;'Impact Indicator Target Update'!D327))</f>
        <v/>
      </c>
    </row>
    <row r="3629" spans="10:10">
      <c r="J3629" s="164" t="str">
        <f ca="1">IF(ROW()&gt;'Impact Indicator Target Update'!A328,"",INDIRECT("'Impact Indicators - Section B'!A"&amp;'Impact Indicator Target Update'!D328))</f>
        <v/>
      </c>
    </row>
    <row r="3630" spans="10:10">
      <c r="J3630" s="164" t="str">
        <f ca="1">IF(ROW()&gt;'Impact Indicator Target Update'!A329,"",INDIRECT("'Impact Indicators - Section B'!A"&amp;'Impact Indicator Target Update'!D329))</f>
        <v/>
      </c>
    </row>
    <row r="3631" spans="10:10">
      <c r="J3631" s="164" t="str">
        <f ca="1">IF(ROW()&gt;'Impact Indicator Target Update'!A330,"",INDIRECT("'Impact Indicators - Section B'!A"&amp;'Impact Indicator Target Update'!D330))</f>
        <v/>
      </c>
    </row>
    <row r="3632" spans="10:10">
      <c r="J3632" s="164" t="str">
        <f ca="1">IF(ROW()&gt;'Impact Indicator Target Update'!A331,"",INDIRECT("'Impact Indicators - Section B'!A"&amp;'Impact Indicator Target Update'!D331))</f>
        <v/>
      </c>
    </row>
    <row r="3633" spans="10:10">
      <c r="J3633" s="164" t="str">
        <f ca="1">IF(ROW()&gt;'Impact Indicator Target Update'!A332,"",INDIRECT("'Impact Indicators - Section B'!A"&amp;'Impact Indicator Target Update'!D332))</f>
        <v/>
      </c>
    </row>
    <row r="3634" spans="10:10">
      <c r="J3634" s="164" t="str">
        <f ca="1">IF(ROW()&gt;'Impact Indicator Target Update'!A333,"",INDIRECT("'Impact Indicators - Section B'!A"&amp;'Impact Indicator Target Update'!D333))</f>
        <v/>
      </c>
    </row>
    <row r="3635" spans="10:10">
      <c r="J3635" s="164" t="str">
        <f ca="1">IF(ROW()&gt;'Impact Indicator Target Update'!A334,"",INDIRECT("'Impact Indicators - Section B'!A"&amp;'Impact Indicator Target Update'!D334))</f>
        <v/>
      </c>
    </row>
    <row r="3636" spans="10:10">
      <c r="J3636" s="164" t="str">
        <f ca="1">IF(ROW()&gt;'Impact Indicator Target Update'!A335,"",INDIRECT("'Impact Indicators - Section B'!A"&amp;'Impact Indicator Target Update'!D335))</f>
        <v/>
      </c>
    </row>
    <row r="3637" spans="10:10">
      <c r="J3637" s="164" t="str">
        <f ca="1">IF(ROW()&gt;'Impact Indicator Target Update'!A336,"",INDIRECT("'Impact Indicators - Section B'!A"&amp;'Impact Indicator Target Update'!D336))</f>
        <v/>
      </c>
    </row>
    <row r="3638" spans="10:10">
      <c r="J3638" s="164" t="str">
        <f ca="1">IF(ROW()&gt;'Impact Indicator Target Update'!A337,"",INDIRECT("'Impact Indicators - Section B'!A"&amp;'Impact Indicator Target Update'!D337))</f>
        <v/>
      </c>
    </row>
    <row r="3639" spans="10:10">
      <c r="J3639" s="164" t="str">
        <f ca="1">IF(ROW()&gt;'Impact Indicator Target Update'!A338,"",INDIRECT("'Impact Indicators - Section B'!A"&amp;'Impact Indicator Target Update'!D338))</f>
        <v/>
      </c>
    </row>
    <row r="3640" spans="10:10">
      <c r="J3640" s="164" t="str">
        <f ca="1">IF(ROW()&gt;'Impact Indicator Target Update'!A339,"",INDIRECT("'Impact Indicators - Section B'!A"&amp;'Impact Indicator Target Update'!D339))</f>
        <v/>
      </c>
    </row>
    <row r="3641" spans="10:10">
      <c r="J3641" s="164" t="str">
        <f ca="1">IF(ROW()&gt;'Impact Indicator Target Update'!A340,"",INDIRECT("'Impact Indicators - Section B'!A"&amp;'Impact Indicator Target Update'!D340))</f>
        <v/>
      </c>
    </row>
    <row r="3642" spans="10:10">
      <c r="J3642" s="164" t="str">
        <f ca="1">IF(ROW()&gt;'Impact Indicator Target Update'!A341,"",INDIRECT("'Impact Indicators - Section B'!A"&amp;'Impact Indicator Target Update'!D341))</f>
        <v/>
      </c>
    </row>
    <row r="3643" spans="10:10">
      <c r="J3643" s="164" t="str">
        <f ca="1">IF(ROW()&gt;'Impact Indicator Target Update'!A342,"",INDIRECT("'Impact Indicators - Section B'!A"&amp;'Impact Indicator Target Update'!D342))</f>
        <v/>
      </c>
    </row>
    <row r="3644" spans="10:10">
      <c r="J3644" s="164" t="str">
        <f ca="1">IF(ROW()&gt;'Impact Indicator Target Update'!A343,"",INDIRECT("'Impact Indicators - Section B'!A"&amp;'Impact Indicator Target Update'!D343))</f>
        <v/>
      </c>
    </row>
    <row r="3645" spans="10:10">
      <c r="J3645" s="164" t="str">
        <f ca="1">IF(ROW()&gt;'Impact Indicator Target Update'!A344,"",INDIRECT("'Impact Indicators - Section B'!A"&amp;'Impact Indicator Target Update'!D344))</f>
        <v/>
      </c>
    </row>
    <row r="3646" spans="10:10">
      <c r="J3646" s="164" t="str">
        <f ca="1">IF(ROW()&gt;'Impact Indicator Target Update'!A345,"",INDIRECT("'Impact Indicators - Section B'!A"&amp;'Impact Indicator Target Update'!D345))</f>
        <v/>
      </c>
    </row>
    <row r="3647" spans="10:10">
      <c r="J3647" s="164" t="str">
        <f ca="1">IF(ROW()&gt;'Impact Indicator Target Update'!A346,"",INDIRECT("'Impact Indicators - Section B'!A"&amp;'Impact Indicator Target Update'!D346))</f>
        <v/>
      </c>
    </row>
    <row r="3648" spans="10:10">
      <c r="J3648" s="164" t="str">
        <f ca="1">IF(ROW()&gt;'Impact Indicator Target Update'!A347,"",INDIRECT("'Impact Indicators - Section B'!A"&amp;'Impact Indicator Target Update'!D347))</f>
        <v/>
      </c>
    </row>
    <row r="3649" spans="10:10">
      <c r="J3649" s="164" t="str">
        <f ca="1">IF(ROW()&gt;'Impact Indicator Target Update'!A348,"",INDIRECT("'Impact Indicators - Section B'!A"&amp;'Impact Indicator Target Update'!D348))</f>
        <v/>
      </c>
    </row>
    <row r="3650" spans="10:10">
      <c r="J3650" s="164" t="str">
        <f ca="1">IF(ROW()&gt;'Impact Indicator Target Update'!A349,"",INDIRECT("'Impact Indicators - Section B'!A"&amp;'Impact Indicator Target Update'!D349))</f>
        <v/>
      </c>
    </row>
    <row r="3651" spans="10:10">
      <c r="J3651" s="164" t="str">
        <f ca="1">IF(ROW()&gt;'Impact Indicator Target Update'!A350,"",INDIRECT("'Impact Indicators - Section B'!A"&amp;'Impact Indicator Target Update'!D350))</f>
        <v/>
      </c>
    </row>
    <row r="3652" spans="10:10">
      <c r="J3652" s="164" t="str">
        <f ca="1">IF(ROW()&gt;'Impact Indicator Target Update'!A351,"",INDIRECT("'Impact Indicators - Section B'!A"&amp;'Impact Indicator Target Update'!D351))</f>
        <v/>
      </c>
    </row>
    <row r="3653" spans="10:10">
      <c r="J3653" s="164" t="str">
        <f ca="1">IF(ROW()&gt;'Impact Indicator Target Update'!A352,"",INDIRECT("'Impact Indicators - Section B'!A"&amp;'Impact Indicator Target Update'!D352))</f>
        <v/>
      </c>
    </row>
    <row r="3654" spans="10:10">
      <c r="J3654" s="164" t="str">
        <f ca="1">IF(ROW()&gt;'Impact Indicator Target Update'!A353,"",INDIRECT("'Impact Indicators - Section B'!A"&amp;'Impact Indicator Target Update'!D353))</f>
        <v/>
      </c>
    </row>
    <row r="3655" spans="10:10">
      <c r="J3655" s="164" t="str">
        <f ca="1">IF(ROW()&gt;'Impact Indicator Target Update'!A354,"",INDIRECT("'Impact Indicators - Section B'!A"&amp;'Impact Indicator Target Update'!D354))</f>
        <v/>
      </c>
    </row>
    <row r="3656" spans="10:10">
      <c r="J3656" s="164" t="str">
        <f ca="1">IF(ROW()&gt;'Impact Indicator Target Update'!A355,"",INDIRECT("'Impact Indicators - Section B'!A"&amp;'Impact Indicator Target Update'!D355))</f>
        <v/>
      </c>
    </row>
    <row r="3657" spans="10:10">
      <c r="J3657" s="164" t="str">
        <f ca="1">IF(ROW()&gt;'Impact Indicator Target Update'!A356,"",INDIRECT("'Impact Indicators - Section B'!A"&amp;'Impact Indicator Target Update'!D356))</f>
        <v/>
      </c>
    </row>
    <row r="3658" spans="10:10">
      <c r="J3658" s="164" t="str">
        <f ca="1">IF(ROW()&gt;'Impact Indicator Target Update'!A357,"",INDIRECT("'Impact Indicators - Section B'!A"&amp;'Impact Indicator Target Update'!D357))</f>
        <v/>
      </c>
    </row>
    <row r="3659" spans="10:10">
      <c r="J3659" s="164" t="str">
        <f ca="1">IF(ROW()&gt;'Impact Indicator Target Update'!A358,"",INDIRECT("'Impact Indicators - Section B'!A"&amp;'Impact Indicator Target Update'!D358))</f>
        <v/>
      </c>
    </row>
    <row r="3660" spans="10:10">
      <c r="J3660" s="164" t="str">
        <f ca="1">IF(ROW()&gt;'Impact Indicator Target Update'!A359,"",INDIRECT("'Impact Indicators - Section B'!A"&amp;'Impact Indicator Target Update'!D359))</f>
        <v/>
      </c>
    </row>
    <row r="3661" spans="10:10">
      <c r="J3661" s="164" t="str">
        <f ca="1">IF(ROW()&gt;'Impact Indicator Target Update'!A360,"",INDIRECT("'Impact Indicators - Section B'!A"&amp;'Impact Indicator Target Update'!D360))</f>
        <v/>
      </c>
    </row>
    <row r="3662" spans="10:10">
      <c r="J3662" s="164" t="str">
        <f ca="1">IF(ROW()&gt;'Impact Indicator Target Update'!A361,"",INDIRECT("'Impact Indicators - Section B'!A"&amp;'Impact Indicator Target Update'!D361))</f>
        <v/>
      </c>
    </row>
    <row r="3663" spans="10:10">
      <c r="J3663" s="164" t="str">
        <f ca="1">IF(ROW()&gt;'Impact Indicator Target Update'!A362,"",INDIRECT("'Impact Indicators - Section B'!A"&amp;'Impact Indicator Target Update'!D362))</f>
        <v/>
      </c>
    </row>
    <row r="3664" spans="10:10">
      <c r="J3664" s="164" t="str">
        <f ca="1">IF(ROW()&gt;'Impact Indicator Target Update'!A363,"",INDIRECT("'Impact Indicators - Section B'!A"&amp;'Impact Indicator Target Update'!D363))</f>
        <v/>
      </c>
    </row>
    <row r="3665" spans="10:10">
      <c r="J3665" s="164" t="str">
        <f ca="1">IF(ROW()&gt;'Impact Indicator Target Update'!A364,"",INDIRECT("'Impact Indicators - Section B'!A"&amp;'Impact Indicator Target Update'!D364))</f>
        <v/>
      </c>
    </row>
    <row r="3666" spans="10:10">
      <c r="J3666" s="164" t="str">
        <f ca="1">IF(ROW()&gt;'Impact Indicator Target Update'!A365,"",INDIRECT("'Impact Indicators - Section B'!A"&amp;'Impact Indicator Target Update'!D365))</f>
        <v/>
      </c>
    </row>
    <row r="3667" spans="10:10">
      <c r="J3667" s="164" t="str">
        <f ca="1">IF(ROW()&gt;'Impact Indicator Target Update'!A366,"",INDIRECT("'Impact Indicators - Section B'!A"&amp;'Impact Indicator Target Update'!D366))</f>
        <v/>
      </c>
    </row>
    <row r="3668" spans="10:10">
      <c r="J3668" s="164" t="str">
        <f ca="1">IF(ROW()&gt;'Impact Indicator Target Update'!A367,"",INDIRECT("'Impact Indicators - Section B'!A"&amp;'Impact Indicator Target Update'!D367))</f>
        <v/>
      </c>
    </row>
    <row r="3669" spans="10:10">
      <c r="J3669" s="164" t="str">
        <f ca="1">IF(ROW()&gt;'Impact Indicator Target Update'!A368,"",INDIRECT("'Impact Indicators - Section B'!A"&amp;'Impact Indicator Target Update'!D368))</f>
        <v/>
      </c>
    </row>
    <row r="3670" spans="10:10">
      <c r="J3670" s="164" t="str">
        <f ca="1">IF(ROW()&gt;'Impact Indicator Target Update'!A369,"",INDIRECT("'Impact Indicators - Section B'!A"&amp;'Impact Indicator Target Update'!D369))</f>
        <v/>
      </c>
    </row>
    <row r="3671" spans="10:10">
      <c r="J3671" s="164" t="str">
        <f ca="1">IF(ROW()&gt;'Impact Indicator Target Update'!A370,"",INDIRECT("'Impact Indicators - Section B'!A"&amp;'Impact Indicator Target Update'!D370))</f>
        <v/>
      </c>
    </row>
    <row r="3672" spans="10:10">
      <c r="J3672" s="164" t="str">
        <f ca="1">IF(ROW()&gt;'Impact Indicator Target Update'!A371,"",INDIRECT("'Impact Indicators - Section B'!A"&amp;'Impact Indicator Target Update'!D371))</f>
        <v/>
      </c>
    </row>
    <row r="3673" spans="10:10">
      <c r="J3673" s="164" t="str">
        <f ca="1">IF(ROW()&gt;'Impact Indicator Target Update'!A372,"",INDIRECT("'Impact Indicators - Section B'!A"&amp;'Impact Indicator Target Update'!D372))</f>
        <v/>
      </c>
    </row>
    <row r="3674" spans="10:10">
      <c r="J3674" s="164" t="str">
        <f ca="1">IF(ROW()&gt;'Impact Indicator Target Update'!A373,"",INDIRECT("'Impact Indicators - Section B'!A"&amp;'Impact Indicator Target Update'!D373))</f>
        <v/>
      </c>
    </row>
    <row r="3675" spans="10:10">
      <c r="J3675" s="164" t="str">
        <f ca="1">IF(ROW()&gt;'Impact Indicator Target Update'!A374,"",INDIRECT("'Impact Indicators - Section B'!A"&amp;'Impact Indicator Target Update'!D374))</f>
        <v/>
      </c>
    </row>
    <row r="3676" spans="10:10">
      <c r="J3676" s="164" t="str">
        <f ca="1">IF(ROW()&gt;'Impact Indicator Target Update'!A375,"",INDIRECT("'Impact Indicators - Section B'!A"&amp;'Impact Indicator Target Update'!D375))</f>
        <v/>
      </c>
    </row>
    <row r="3677" spans="10:10">
      <c r="J3677" s="164" t="str">
        <f ca="1">IF(ROW()&gt;'Impact Indicator Target Update'!A376,"",INDIRECT("'Impact Indicators - Section B'!A"&amp;'Impact Indicator Target Update'!D376))</f>
        <v/>
      </c>
    </row>
    <row r="3678" spans="10:10">
      <c r="J3678" s="164" t="str">
        <f ca="1">IF(ROW()&gt;'Impact Indicator Target Update'!A377,"",INDIRECT("'Impact Indicators - Section B'!A"&amp;'Impact Indicator Target Update'!D377))</f>
        <v/>
      </c>
    </row>
    <row r="3679" spans="10:10">
      <c r="J3679" s="164" t="str">
        <f ca="1">IF(ROW()&gt;'Impact Indicator Target Update'!A378,"",INDIRECT("'Impact Indicators - Section B'!A"&amp;'Impact Indicator Target Update'!D378))</f>
        <v/>
      </c>
    </row>
    <row r="3680" spans="10:10">
      <c r="J3680" s="164" t="str">
        <f ca="1">IF(ROW()&gt;'Impact Indicator Target Update'!A379,"",INDIRECT("'Impact Indicators - Section B'!A"&amp;'Impact Indicator Target Update'!D379))</f>
        <v/>
      </c>
    </row>
    <row r="3681" spans="10:10">
      <c r="J3681" s="164" t="str">
        <f ca="1">IF(ROW()&gt;'Impact Indicator Target Update'!A380,"",INDIRECT("'Impact Indicators - Section B'!A"&amp;'Impact Indicator Target Update'!D380))</f>
        <v/>
      </c>
    </row>
    <row r="3682" spans="10:10">
      <c r="J3682" s="164" t="str">
        <f ca="1">IF(ROW()&gt;'Impact Indicator Target Update'!A381,"",INDIRECT("'Impact Indicators - Section B'!A"&amp;'Impact Indicator Target Update'!D381))</f>
        <v/>
      </c>
    </row>
    <row r="3683" spans="10:10">
      <c r="J3683" s="164" t="str">
        <f ca="1">IF(ROW()&gt;'Impact Indicator Target Update'!A382,"",INDIRECT("'Impact Indicators - Section B'!A"&amp;'Impact Indicator Target Update'!D382))</f>
        <v/>
      </c>
    </row>
    <row r="3684" spans="10:10">
      <c r="J3684" s="164" t="str">
        <f ca="1">IF(ROW()&gt;'Impact Indicator Target Update'!A383,"",INDIRECT("'Impact Indicators - Section B'!A"&amp;'Impact Indicator Target Update'!D383))</f>
        <v/>
      </c>
    </row>
    <row r="3685" spans="10:10">
      <c r="J3685" s="164" t="str">
        <f ca="1">IF(ROW()&gt;'Impact Indicator Target Update'!A384,"",INDIRECT("'Impact Indicators - Section B'!A"&amp;'Impact Indicator Target Update'!D384))</f>
        <v/>
      </c>
    </row>
    <row r="3686" spans="10:10">
      <c r="J3686" s="164" t="str">
        <f ca="1">IF(ROW()&gt;'Impact Indicator Target Update'!A385,"",INDIRECT("'Impact Indicators - Section B'!A"&amp;'Impact Indicator Target Update'!D385))</f>
        <v/>
      </c>
    </row>
    <row r="3687" spans="10:10">
      <c r="J3687" s="164" t="str">
        <f ca="1">IF(ROW()&gt;'Impact Indicator Target Update'!A386,"",INDIRECT("'Impact Indicators - Section B'!A"&amp;'Impact Indicator Target Update'!D386))</f>
        <v/>
      </c>
    </row>
    <row r="3688" spans="10:10">
      <c r="J3688" s="164" t="str">
        <f ca="1">IF(ROW()&gt;'Impact Indicator Target Update'!A387,"",INDIRECT("'Impact Indicators - Section B'!A"&amp;'Impact Indicator Target Update'!D387))</f>
        <v/>
      </c>
    </row>
    <row r="3689" spans="10:10">
      <c r="J3689" s="164" t="str">
        <f ca="1">IF(ROW()&gt;'Impact Indicator Target Update'!A388,"",INDIRECT("'Impact Indicators - Section B'!A"&amp;'Impact Indicator Target Update'!D388))</f>
        <v/>
      </c>
    </row>
    <row r="3690" spans="10:10">
      <c r="J3690" s="164" t="str">
        <f ca="1">IF(ROW()&gt;'Impact Indicator Target Update'!A389,"",INDIRECT("'Impact Indicators - Section B'!A"&amp;'Impact Indicator Target Update'!D389))</f>
        <v/>
      </c>
    </row>
    <row r="3691" spans="10:10">
      <c r="J3691" s="164" t="str">
        <f ca="1">IF(ROW()&gt;'Impact Indicator Target Update'!A390,"",INDIRECT("'Impact Indicators - Section B'!A"&amp;'Impact Indicator Target Update'!D390))</f>
        <v/>
      </c>
    </row>
    <row r="3692" spans="10:10">
      <c r="J3692" s="164" t="str">
        <f ca="1">IF(ROW()&gt;'Impact Indicator Target Update'!A391,"",INDIRECT("'Impact Indicators - Section B'!A"&amp;'Impact Indicator Target Update'!D391))</f>
        <v/>
      </c>
    </row>
    <row r="3693" spans="10:10">
      <c r="J3693" s="164" t="str">
        <f ca="1">IF(ROW()&gt;'Impact Indicator Target Update'!A392,"",INDIRECT("'Impact Indicators - Section B'!A"&amp;'Impact Indicator Target Update'!D392))</f>
        <v/>
      </c>
    </row>
    <row r="3694" spans="10:10">
      <c r="J3694" s="164" t="str">
        <f ca="1">IF(ROW()&gt;'Impact Indicator Target Update'!A393,"",INDIRECT("'Impact Indicators - Section B'!A"&amp;'Impact Indicator Target Update'!D393))</f>
        <v/>
      </c>
    </row>
    <row r="3695" spans="10:10">
      <c r="J3695" s="164" t="str">
        <f ca="1">IF(ROW()&gt;'Impact Indicator Target Update'!A394,"",INDIRECT("'Impact Indicators - Section B'!A"&amp;'Impact Indicator Target Update'!D394))</f>
        <v/>
      </c>
    </row>
    <row r="3696" spans="10:10">
      <c r="J3696" s="164" t="str">
        <f ca="1">IF(ROW()&gt;'Impact Indicator Target Update'!A395,"",INDIRECT("'Impact Indicators - Section B'!A"&amp;'Impact Indicator Target Update'!D395))</f>
        <v/>
      </c>
    </row>
    <row r="3697" spans="10:10">
      <c r="J3697" s="164" t="str">
        <f ca="1">IF(ROW()&gt;'Impact Indicator Target Update'!A396,"",INDIRECT("'Impact Indicators - Section B'!A"&amp;'Impact Indicator Target Update'!D396))</f>
        <v/>
      </c>
    </row>
    <row r="3698" spans="10:10">
      <c r="J3698" s="164" t="str">
        <f ca="1">IF(ROW()&gt;'Impact Indicator Target Update'!A397,"",INDIRECT("'Impact Indicators - Section B'!A"&amp;'Impact Indicator Target Update'!D397))</f>
        <v/>
      </c>
    </row>
    <row r="3699" spans="10:10">
      <c r="J3699" s="164" t="str">
        <f ca="1">IF(ROW()&gt;'Impact Indicator Target Update'!A398,"",INDIRECT("'Impact Indicators - Section B'!A"&amp;'Impact Indicator Target Update'!D398))</f>
        <v/>
      </c>
    </row>
    <row r="3700" spans="10:10">
      <c r="J3700" s="164" t="str">
        <f ca="1">IF(ROW()&gt;'Impact Indicator Target Update'!A399,"",INDIRECT("'Impact Indicators - Section B'!A"&amp;'Impact Indicator Target Update'!D399))</f>
        <v/>
      </c>
    </row>
    <row r="3701" spans="10:10">
      <c r="J3701" s="164" t="str">
        <f ca="1">IF(ROW()&gt;'Impact Indicator Target Update'!A400,"",INDIRECT("'Impact Indicators - Section B'!A"&amp;'Impact Indicator Target Update'!D400))</f>
        <v/>
      </c>
    </row>
    <row r="3702" spans="10:10">
      <c r="J3702" s="164" t="str">
        <f ca="1">IF(ROW()&gt;'Impact Indicator Target Update'!A401,"",INDIRECT("'Impact Indicators - Section B'!A"&amp;'Impact Indicator Target Update'!D401))</f>
        <v/>
      </c>
    </row>
    <row r="3703" spans="10:10">
      <c r="J3703" s="164" t="str">
        <f ca="1">IF(ROW()&gt;'Impact Indicator Target Update'!A402,"",INDIRECT("'Impact Indicators - Section B'!A"&amp;'Impact Indicator Target Update'!D402))</f>
        <v/>
      </c>
    </row>
    <row r="3704" spans="10:10">
      <c r="J3704" s="164" t="str">
        <f ca="1">IF(ROW()&gt;'Impact Indicator Target Update'!A403,"",INDIRECT("'Impact Indicators - Section B'!A"&amp;'Impact Indicator Target Update'!D403))</f>
        <v/>
      </c>
    </row>
    <row r="3705" spans="10:10">
      <c r="J3705" s="164" t="str">
        <f ca="1">IF(ROW()&gt;'Impact Indicator Target Update'!A404,"",INDIRECT("'Impact Indicators - Section B'!A"&amp;'Impact Indicator Target Update'!D404))</f>
        <v/>
      </c>
    </row>
    <row r="3706" spans="10:10">
      <c r="J3706" s="164" t="str">
        <f ca="1">IF(ROW()&gt;'Impact Indicator Target Update'!A405,"",INDIRECT("'Impact Indicators - Section B'!A"&amp;'Impact Indicator Target Update'!D405))</f>
        <v/>
      </c>
    </row>
    <row r="3707" spans="10:10">
      <c r="J3707" s="164" t="str">
        <f ca="1">IF(ROW()&gt;'Impact Indicator Target Update'!A406,"",INDIRECT("'Impact Indicators - Section B'!A"&amp;'Impact Indicator Target Update'!D406))</f>
        <v/>
      </c>
    </row>
    <row r="3708" spans="10:10">
      <c r="J3708" s="164" t="str">
        <f ca="1">IF(ROW()&gt;'Impact Indicator Target Update'!A407,"",INDIRECT("'Impact Indicators - Section B'!A"&amp;'Impact Indicator Target Update'!D407))</f>
        <v/>
      </c>
    </row>
    <row r="3709" spans="10:10">
      <c r="J3709" s="164" t="str">
        <f ca="1">IF(ROW()&gt;'Impact Indicator Target Update'!A408,"",INDIRECT("'Impact Indicators - Section B'!A"&amp;'Impact Indicator Target Update'!D408))</f>
        <v/>
      </c>
    </row>
    <row r="3710" spans="10:10">
      <c r="J3710" s="164" t="str">
        <f ca="1">IF(ROW()&gt;'Impact Indicator Target Update'!A409,"",INDIRECT("'Impact Indicators - Section B'!A"&amp;'Impact Indicator Target Update'!D409))</f>
        <v/>
      </c>
    </row>
    <row r="3711" spans="10:10">
      <c r="J3711" s="164" t="str">
        <f ca="1">IF(ROW()&gt;'Impact Indicator Target Update'!A410,"",INDIRECT("'Impact Indicators - Section B'!A"&amp;'Impact Indicator Target Update'!D410))</f>
        <v/>
      </c>
    </row>
    <row r="3712" spans="10:10">
      <c r="J3712" s="164" t="str">
        <f ca="1">IF(ROW()&gt;'Impact Indicator Target Update'!A411,"",INDIRECT("'Impact Indicators - Section B'!A"&amp;'Impact Indicator Target Update'!D411))</f>
        <v/>
      </c>
    </row>
    <row r="3713" spans="10:10">
      <c r="J3713" s="164" t="str">
        <f ca="1">IF(ROW()&gt;'Impact Indicator Target Update'!A412,"",INDIRECT("'Impact Indicators - Section B'!A"&amp;'Impact Indicator Target Update'!D412))</f>
        <v/>
      </c>
    </row>
    <row r="3714" spans="10:10">
      <c r="J3714" s="164" t="str">
        <f ca="1">IF(ROW()&gt;'Impact Indicator Target Update'!A413,"",INDIRECT("'Impact Indicators - Section B'!A"&amp;'Impact Indicator Target Update'!D413))</f>
        <v/>
      </c>
    </row>
    <row r="3715" spans="10:10">
      <c r="J3715" s="164" t="str">
        <f ca="1">IF(ROW()&gt;'Impact Indicator Target Update'!A414,"",INDIRECT("'Impact Indicators - Section B'!A"&amp;'Impact Indicator Target Update'!D414))</f>
        <v/>
      </c>
    </row>
    <row r="3716" spans="10:10">
      <c r="J3716" s="164" t="str">
        <f ca="1">IF(ROW()&gt;'Impact Indicator Target Update'!A415,"",INDIRECT("'Impact Indicators - Section B'!A"&amp;'Impact Indicator Target Update'!D415))</f>
        <v/>
      </c>
    </row>
    <row r="3717" spans="10:10">
      <c r="J3717" s="164" t="str">
        <f ca="1">IF(ROW()&gt;'Impact Indicator Target Update'!A416,"",INDIRECT("'Impact Indicators - Section B'!A"&amp;'Impact Indicator Target Update'!D416))</f>
        <v/>
      </c>
    </row>
    <row r="3718" spans="10:10">
      <c r="J3718" s="164" t="str">
        <f ca="1">IF(ROW()&gt;'Impact Indicator Target Update'!A417,"",INDIRECT("'Impact Indicators - Section B'!A"&amp;'Impact Indicator Target Update'!D417))</f>
        <v/>
      </c>
    </row>
    <row r="3719" spans="10:10">
      <c r="J3719" s="164" t="str">
        <f ca="1">IF(ROW()&gt;'Impact Indicator Target Update'!A418,"",INDIRECT("'Impact Indicators - Section B'!A"&amp;'Impact Indicator Target Update'!D418))</f>
        <v/>
      </c>
    </row>
    <row r="3720" spans="10:10">
      <c r="J3720" s="164" t="str">
        <f ca="1">IF(ROW()&gt;'Impact Indicator Target Update'!A419,"",INDIRECT("'Impact Indicators - Section B'!A"&amp;'Impact Indicator Target Update'!D419))</f>
        <v/>
      </c>
    </row>
    <row r="3721" spans="10:10">
      <c r="J3721" s="164" t="str">
        <f ca="1">IF(ROW()&gt;'Impact Indicator Target Update'!A420,"",INDIRECT("'Impact Indicators - Section B'!A"&amp;'Impact Indicator Target Update'!D420))</f>
        <v/>
      </c>
    </row>
    <row r="3722" spans="10:10">
      <c r="J3722" s="164" t="str">
        <f ca="1">IF(ROW()&gt;'Impact Indicator Target Update'!A421,"",INDIRECT("'Impact Indicators - Section B'!A"&amp;'Impact Indicator Target Update'!D421))</f>
        <v/>
      </c>
    </row>
    <row r="3723" spans="10:10">
      <c r="J3723" s="164" t="str">
        <f ca="1">IF(ROW()&gt;'Impact Indicator Target Update'!A422,"",INDIRECT("'Impact Indicators - Section B'!A"&amp;'Impact Indicator Target Update'!D422))</f>
        <v/>
      </c>
    </row>
    <row r="3724" spans="10:10">
      <c r="J3724" s="164" t="str">
        <f ca="1">IF(ROW()&gt;'Impact Indicator Target Update'!A423,"",INDIRECT("'Impact Indicators - Section B'!A"&amp;'Impact Indicator Target Update'!D423))</f>
        <v/>
      </c>
    </row>
    <row r="3725" spans="10:10">
      <c r="J3725" s="164" t="str">
        <f ca="1">IF(ROW()&gt;'Impact Indicator Target Update'!A424,"",INDIRECT("'Impact Indicators - Section B'!A"&amp;'Impact Indicator Target Update'!D424))</f>
        <v/>
      </c>
    </row>
    <row r="3726" spans="10:10">
      <c r="J3726" s="164" t="str">
        <f ca="1">IF(ROW()&gt;'Impact Indicator Target Update'!A425,"",INDIRECT("'Impact Indicators - Section B'!A"&amp;'Impact Indicator Target Update'!D425))</f>
        <v/>
      </c>
    </row>
    <row r="3727" spans="10:10">
      <c r="J3727" s="164" t="str">
        <f ca="1">IF(ROW()&gt;'Impact Indicator Target Update'!A426,"",INDIRECT("'Impact Indicators - Section B'!A"&amp;'Impact Indicator Target Update'!D426))</f>
        <v/>
      </c>
    </row>
    <row r="3728" spans="10:10">
      <c r="J3728" s="164" t="str">
        <f ca="1">IF(ROW()&gt;'Impact Indicator Target Update'!A427,"",INDIRECT("'Impact Indicators - Section B'!A"&amp;'Impact Indicator Target Update'!D427))</f>
        <v/>
      </c>
    </row>
    <row r="3729" spans="10:10">
      <c r="J3729" s="164" t="str">
        <f ca="1">IF(ROW()&gt;'Impact Indicator Target Update'!A428,"",INDIRECT("'Impact Indicators - Section B'!A"&amp;'Impact Indicator Target Update'!D428))</f>
        <v/>
      </c>
    </row>
    <row r="3730" spans="10:10">
      <c r="J3730" s="164" t="str">
        <f ca="1">IF(ROW()&gt;'Impact Indicator Target Update'!A429,"",INDIRECT("'Impact Indicators - Section B'!A"&amp;'Impact Indicator Target Update'!D429))</f>
        <v/>
      </c>
    </row>
    <row r="3731" spans="10:10">
      <c r="J3731" s="164" t="str">
        <f ca="1">IF(ROW()&gt;'Impact Indicator Target Update'!A430,"",INDIRECT("'Impact Indicators - Section B'!A"&amp;'Impact Indicator Target Update'!D430))</f>
        <v/>
      </c>
    </row>
    <row r="3732" spans="10:10">
      <c r="J3732" s="164" t="str">
        <f ca="1">IF(ROW()&gt;'Impact Indicator Target Update'!A431,"",INDIRECT("'Impact Indicators - Section B'!A"&amp;'Impact Indicator Target Update'!D431))</f>
        <v/>
      </c>
    </row>
    <row r="3733" spans="10:10">
      <c r="J3733" s="164" t="str">
        <f ca="1">IF(ROW()&gt;'Impact Indicator Target Update'!A432,"",INDIRECT("'Impact Indicators - Section B'!A"&amp;'Impact Indicator Target Update'!D432))</f>
        <v/>
      </c>
    </row>
    <row r="3734" spans="10:10">
      <c r="J3734" s="164" t="str">
        <f ca="1">IF(ROW()&gt;'Impact Indicator Target Update'!A433,"",INDIRECT("'Impact Indicators - Section B'!A"&amp;'Impact Indicator Target Update'!D433))</f>
        <v/>
      </c>
    </row>
    <row r="3735" spans="10:10">
      <c r="J3735" s="164" t="str">
        <f ca="1">IF(ROW()&gt;'Impact Indicator Target Update'!A434,"",INDIRECT("'Impact Indicators - Section B'!A"&amp;'Impact Indicator Target Update'!D434))</f>
        <v/>
      </c>
    </row>
    <row r="3736" spans="10:10">
      <c r="J3736" s="164" t="str">
        <f ca="1">IF(ROW()&gt;'Impact Indicator Target Update'!A435,"",INDIRECT("'Impact Indicators - Section B'!A"&amp;'Impact Indicator Target Update'!D435))</f>
        <v/>
      </c>
    </row>
    <row r="3737" spans="10:10">
      <c r="J3737" s="164" t="str">
        <f ca="1">IF(ROW()&gt;'Impact Indicator Target Update'!A436,"",INDIRECT("'Impact Indicators - Section B'!A"&amp;'Impact Indicator Target Update'!D436))</f>
        <v/>
      </c>
    </row>
    <row r="3738" spans="10:10">
      <c r="J3738" s="164" t="str">
        <f ca="1">IF(ROW()&gt;'Impact Indicator Target Update'!A437,"",INDIRECT("'Impact Indicators - Section B'!A"&amp;'Impact Indicator Target Update'!D437))</f>
        <v/>
      </c>
    </row>
    <row r="3739" spans="10:10">
      <c r="J3739" s="164" t="str">
        <f ca="1">IF(ROW()&gt;'Impact Indicator Target Update'!A438,"",INDIRECT("'Impact Indicators - Section B'!A"&amp;'Impact Indicator Target Update'!D438))</f>
        <v/>
      </c>
    </row>
    <row r="3740" spans="10:10">
      <c r="J3740" s="164" t="str">
        <f ca="1">IF(ROW()&gt;'Impact Indicator Target Update'!A439,"",INDIRECT("'Impact Indicators - Section B'!A"&amp;'Impact Indicator Target Update'!D439))</f>
        <v/>
      </c>
    </row>
    <row r="3741" spans="10:10">
      <c r="J3741" s="164" t="str">
        <f ca="1">IF(ROW()&gt;'Impact Indicator Target Update'!A440,"",INDIRECT("'Impact Indicators - Section B'!A"&amp;'Impact Indicator Target Update'!D440))</f>
        <v/>
      </c>
    </row>
    <row r="3742" spans="10:10">
      <c r="J3742" s="164" t="str">
        <f ca="1">IF(ROW()&gt;'Impact Indicator Target Update'!A441,"",INDIRECT("'Impact Indicators - Section B'!A"&amp;'Impact Indicator Target Update'!D441))</f>
        <v/>
      </c>
    </row>
    <row r="3743" spans="10:10">
      <c r="J3743" s="164" t="str">
        <f ca="1">IF(ROW()&gt;'Impact Indicator Target Update'!A442,"",INDIRECT("'Impact Indicators - Section B'!A"&amp;'Impact Indicator Target Update'!D442))</f>
        <v/>
      </c>
    </row>
    <row r="3744" spans="10:10">
      <c r="J3744" s="164" t="str">
        <f ca="1">IF(ROW()&gt;'Impact Indicator Target Update'!A443,"",INDIRECT("'Impact Indicators - Section B'!A"&amp;'Impact Indicator Target Update'!D443))</f>
        <v/>
      </c>
    </row>
    <row r="3745" spans="10:10">
      <c r="J3745" s="164" t="str">
        <f ca="1">IF(ROW()&gt;'Impact Indicator Target Update'!A444,"",INDIRECT("'Impact Indicators - Section B'!A"&amp;'Impact Indicator Target Update'!D444))</f>
        <v/>
      </c>
    </row>
    <row r="3746" spans="10:10">
      <c r="J3746" s="164" t="str">
        <f ca="1">IF(ROW()&gt;'Impact Indicator Target Update'!A445,"",INDIRECT("'Impact Indicators - Section B'!A"&amp;'Impact Indicator Target Update'!D445))</f>
        <v/>
      </c>
    </row>
    <row r="3747" spans="10:10">
      <c r="J3747" s="164" t="str">
        <f ca="1">IF(ROW()&gt;'Impact Indicator Target Update'!A446,"",INDIRECT("'Impact Indicators - Section B'!A"&amp;'Impact Indicator Target Update'!D446))</f>
        <v/>
      </c>
    </row>
    <row r="3748" spans="10:10">
      <c r="J3748" s="164" t="str">
        <f ca="1">IF(ROW()&gt;'Impact Indicator Target Update'!A447,"",INDIRECT("'Impact Indicators - Section B'!A"&amp;'Impact Indicator Target Update'!D447))</f>
        <v/>
      </c>
    </row>
    <row r="3749" spans="10:10">
      <c r="J3749" s="164" t="str">
        <f ca="1">IF(ROW()&gt;'Impact Indicator Target Update'!A448,"",INDIRECT("'Impact Indicators - Section B'!A"&amp;'Impact Indicator Target Update'!D448))</f>
        <v/>
      </c>
    </row>
    <row r="3750" spans="10:10">
      <c r="J3750" s="164" t="str">
        <f ca="1">IF(ROW()&gt;'Impact Indicator Target Update'!A449,"",INDIRECT("'Impact Indicators - Section B'!A"&amp;'Impact Indicator Target Update'!D449))</f>
        <v/>
      </c>
    </row>
    <row r="3751" spans="10:10">
      <c r="J3751" s="164" t="str">
        <f ca="1">IF(ROW()&gt;'Impact Indicator Target Update'!A450,"",INDIRECT("'Impact Indicators - Section B'!A"&amp;'Impact Indicator Target Update'!D450))</f>
        <v/>
      </c>
    </row>
    <row r="3752" spans="10:10">
      <c r="J3752" s="164" t="str">
        <f ca="1">IF(ROW()&gt;'Impact Indicator Target Update'!A451,"",INDIRECT("'Impact Indicators - Section B'!A"&amp;'Impact Indicator Target Update'!D451))</f>
        <v/>
      </c>
    </row>
    <row r="3753" spans="10:10">
      <c r="J3753" s="164" t="str">
        <f ca="1">IF(ROW()&gt;'Impact Indicator Target Update'!A452,"",INDIRECT("'Impact Indicators - Section B'!A"&amp;'Impact Indicator Target Update'!D452))</f>
        <v/>
      </c>
    </row>
    <row r="3754" spans="10:10">
      <c r="J3754" s="164" t="str">
        <f ca="1">IF(ROW()&gt;'Impact Indicator Target Update'!A453,"",INDIRECT("'Impact Indicators - Section B'!A"&amp;'Impact Indicator Target Update'!D453))</f>
        <v/>
      </c>
    </row>
    <row r="3755" spans="10:10">
      <c r="J3755" s="164" t="str">
        <f ca="1">IF(ROW()&gt;'Impact Indicator Target Update'!A454,"",INDIRECT("'Impact Indicators - Section B'!A"&amp;'Impact Indicator Target Update'!D454))</f>
        <v/>
      </c>
    </row>
    <row r="3756" spans="10:10">
      <c r="J3756" s="164" t="str">
        <f ca="1">IF(ROW()&gt;'Impact Indicator Target Update'!A455,"",INDIRECT("'Impact Indicators - Section B'!A"&amp;'Impact Indicator Target Update'!D455))</f>
        <v/>
      </c>
    </row>
    <row r="3757" spans="10:10">
      <c r="J3757" s="164" t="str">
        <f ca="1">IF(ROW()&gt;'Impact Indicator Target Update'!A456,"",INDIRECT("'Impact Indicators - Section B'!A"&amp;'Impact Indicator Target Update'!D456))</f>
        <v/>
      </c>
    </row>
    <row r="3758" spans="10:10">
      <c r="J3758" s="164" t="str">
        <f ca="1">IF(ROW()&gt;'Impact Indicator Target Update'!A457,"",INDIRECT("'Impact Indicators - Section B'!A"&amp;'Impact Indicator Target Update'!D457))</f>
        <v/>
      </c>
    </row>
    <row r="3759" spans="10:10">
      <c r="J3759" s="164" t="str">
        <f ca="1">IF(ROW()&gt;'Impact Indicator Target Update'!A458,"",INDIRECT("'Impact Indicators - Section B'!A"&amp;'Impact Indicator Target Update'!D458))</f>
        <v/>
      </c>
    </row>
    <row r="3760" spans="10:10">
      <c r="J3760" s="164" t="str">
        <f ca="1">IF(ROW()&gt;'Impact Indicator Target Update'!A459,"",INDIRECT("'Impact Indicators - Section B'!A"&amp;'Impact Indicator Target Update'!D459))</f>
        <v/>
      </c>
    </row>
    <row r="3761" spans="10:10">
      <c r="J3761" s="164" t="str">
        <f ca="1">IF(ROW()&gt;'Impact Indicator Target Update'!A460,"",INDIRECT("'Impact Indicators - Section B'!A"&amp;'Impact Indicator Target Update'!D460))</f>
        <v/>
      </c>
    </row>
    <row r="3762" spans="10:10">
      <c r="J3762" s="164" t="str">
        <f ca="1">IF(ROW()&gt;'Impact Indicator Target Update'!A461,"",INDIRECT("'Impact Indicators - Section B'!A"&amp;'Impact Indicator Target Update'!D461))</f>
        <v/>
      </c>
    </row>
    <row r="3763" spans="10:10">
      <c r="J3763" s="164" t="str">
        <f ca="1">IF(ROW()&gt;'Impact Indicator Target Update'!A462,"",INDIRECT("'Impact Indicators - Section B'!A"&amp;'Impact Indicator Target Update'!D462))</f>
        <v/>
      </c>
    </row>
    <row r="3764" spans="10:10">
      <c r="J3764" s="164" t="str">
        <f ca="1">IF(ROW()&gt;'Impact Indicator Target Update'!A463,"",INDIRECT("'Impact Indicators - Section B'!A"&amp;'Impact Indicator Target Update'!D463))</f>
        <v/>
      </c>
    </row>
    <row r="3765" spans="10:10">
      <c r="J3765" s="164" t="str">
        <f ca="1">IF(ROW()&gt;'Impact Indicator Target Update'!A464,"",INDIRECT("'Impact Indicators - Section B'!A"&amp;'Impact Indicator Target Update'!D464))</f>
        <v/>
      </c>
    </row>
    <row r="3766" spans="10:10">
      <c r="J3766" s="164" t="str">
        <f ca="1">IF(ROW()&gt;'Impact Indicator Target Update'!A465,"",INDIRECT("'Impact Indicators - Section B'!A"&amp;'Impact Indicator Target Update'!D465))</f>
        <v/>
      </c>
    </row>
    <row r="3767" spans="10:10">
      <c r="J3767" s="164" t="str">
        <f ca="1">IF(ROW()&gt;'Impact Indicator Target Update'!A466,"",INDIRECT("'Impact Indicators - Section B'!A"&amp;'Impact Indicator Target Update'!D466))</f>
        <v/>
      </c>
    </row>
    <row r="3768" spans="10:10">
      <c r="J3768" s="164" t="str">
        <f ca="1">IF(ROW()&gt;'Impact Indicator Target Update'!A467,"",INDIRECT("'Impact Indicators - Section B'!A"&amp;'Impact Indicator Target Update'!D467))</f>
        <v/>
      </c>
    </row>
    <row r="3769" spans="10:10">
      <c r="J3769" s="164" t="str">
        <f ca="1">IF(ROW()&gt;'Impact Indicator Target Update'!A468,"",INDIRECT("'Impact Indicators - Section B'!A"&amp;'Impact Indicator Target Update'!D468))</f>
        <v/>
      </c>
    </row>
    <row r="3770" spans="10:10">
      <c r="J3770" s="164" t="str">
        <f ca="1">IF(ROW()&gt;'Impact Indicator Target Update'!A469,"",INDIRECT("'Impact Indicators - Section B'!A"&amp;'Impact Indicator Target Update'!D469))</f>
        <v/>
      </c>
    </row>
    <row r="3771" spans="10:10">
      <c r="J3771" s="164" t="str">
        <f ca="1">IF(ROW()&gt;'Impact Indicator Target Update'!A470,"",INDIRECT("'Impact Indicators - Section B'!A"&amp;'Impact Indicator Target Update'!D470))</f>
        <v/>
      </c>
    </row>
    <row r="3772" spans="10:10">
      <c r="J3772" s="164" t="str">
        <f ca="1">IF(ROW()&gt;'Impact Indicator Target Update'!A471,"",INDIRECT("'Impact Indicators - Section B'!A"&amp;'Impact Indicator Target Update'!D471))</f>
        <v/>
      </c>
    </row>
    <row r="3773" spans="10:10">
      <c r="J3773" s="164" t="str">
        <f ca="1">IF(ROW()&gt;'Impact Indicator Target Update'!A472,"",INDIRECT("'Impact Indicators - Section B'!A"&amp;'Impact Indicator Target Update'!D472))</f>
        <v/>
      </c>
    </row>
    <row r="3774" spans="10:10">
      <c r="J3774" s="164" t="str">
        <f ca="1">IF(ROW()&gt;'Impact Indicator Target Update'!A473,"",INDIRECT("'Impact Indicators - Section B'!A"&amp;'Impact Indicator Target Update'!D473))</f>
        <v/>
      </c>
    </row>
    <row r="3775" spans="10:10">
      <c r="J3775" s="164" t="str">
        <f ca="1">IF(ROW()&gt;'Impact Indicator Target Update'!A474,"",INDIRECT("'Impact Indicators - Section B'!A"&amp;'Impact Indicator Target Update'!D474))</f>
        <v/>
      </c>
    </row>
    <row r="3776" spans="10:10">
      <c r="J3776" s="164" t="str">
        <f ca="1">IF(ROW()&gt;'Impact Indicator Target Update'!A475,"",INDIRECT("'Impact Indicators - Section B'!A"&amp;'Impact Indicator Target Update'!D475))</f>
        <v/>
      </c>
    </row>
    <row r="3777" spans="10:10">
      <c r="J3777" s="164" t="str">
        <f ca="1">IF(ROW()&gt;'Impact Indicator Target Update'!A476,"",INDIRECT("'Impact Indicators - Section B'!A"&amp;'Impact Indicator Target Update'!D476))</f>
        <v/>
      </c>
    </row>
    <row r="3778" spans="10:10">
      <c r="J3778" s="164" t="str">
        <f ca="1">IF(ROW()&gt;'Impact Indicator Target Update'!A477,"",INDIRECT("'Impact Indicators - Section B'!A"&amp;'Impact Indicator Target Update'!D477))</f>
        <v/>
      </c>
    </row>
    <row r="3779" spans="10:10">
      <c r="J3779" s="164" t="str">
        <f ca="1">IF(ROW()&gt;'Impact Indicator Target Update'!A478,"",INDIRECT("'Impact Indicators - Section B'!A"&amp;'Impact Indicator Target Update'!D478))</f>
        <v/>
      </c>
    </row>
    <row r="3780" spans="10:10">
      <c r="J3780" s="164" t="str">
        <f ca="1">IF(ROW()&gt;'Impact Indicator Target Update'!A479,"",INDIRECT("'Impact Indicators - Section B'!A"&amp;'Impact Indicator Target Update'!D479))</f>
        <v/>
      </c>
    </row>
    <row r="3781" spans="10:10">
      <c r="J3781" s="164" t="str">
        <f ca="1">IF(ROW()&gt;'Impact Indicator Target Update'!A480,"",INDIRECT("'Impact Indicators - Section B'!A"&amp;'Impact Indicator Target Update'!D480))</f>
        <v/>
      </c>
    </row>
    <row r="3782" spans="10:10">
      <c r="J3782" s="164" t="str">
        <f ca="1">IF(ROW()&gt;'Impact Indicator Target Update'!A481,"",INDIRECT("'Impact Indicators - Section B'!A"&amp;'Impact Indicator Target Update'!D481))</f>
        <v/>
      </c>
    </row>
    <row r="3783" spans="10:10">
      <c r="J3783" s="164" t="str">
        <f ca="1">IF(ROW()&gt;'Impact Indicator Target Update'!A482,"",INDIRECT("'Impact Indicators - Section B'!A"&amp;'Impact Indicator Target Update'!D482))</f>
        <v/>
      </c>
    </row>
    <row r="3784" spans="10:10">
      <c r="J3784" s="164" t="str">
        <f ca="1">IF(ROW()&gt;'Impact Indicator Target Update'!A483,"",INDIRECT("'Impact Indicators - Section B'!A"&amp;'Impact Indicator Target Update'!D483))</f>
        <v/>
      </c>
    </row>
    <row r="3785" spans="10:10">
      <c r="J3785" s="164" t="str">
        <f ca="1">IF(ROW()&gt;'Impact Indicator Target Update'!A484,"",INDIRECT("'Impact Indicators - Section B'!A"&amp;'Impact Indicator Target Update'!D484))</f>
        <v/>
      </c>
    </row>
    <row r="3786" spans="10:10">
      <c r="J3786" s="164" t="str">
        <f ca="1">IF(ROW()&gt;'Impact Indicator Target Update'!A485,"",INDIRECT("'Impact Indicators - Section B'!A"&amp;'Impact Indicator Target Update'!D485))</f>
        <v/>
      </c>
    </row>
    <row r="3787" spans="10:10">
      <c r="J3787" s="164" t="str">
        <f ca="1">IF(ROW()&gt;'Impact Indicator Target Update'!A486,"",INDIRECT("'Impact Indicators - Section B'!A"&amp;'Impact Indicator Target Update'!D486))</f>
        <v/>
      </c>
    </row>
    <row r="3788" spans="10:10">
      <c r="J3788" s="164" t="str">
        <f ca="1">IF(ROW()&gt;'Impact Indicator Target Update'!A487,"",INDIRECT("'Impact Indicators - Section B'!A"&amp;'Impact Indicator Target Update'!D487))</f>
        <v/>
      </c>
    </row>
    <row r="3789" spans="10:10">
      <c r="J3789" s="164" t="str">
        <f ca="1">IF(ROW()&gt;'Impact Indicator Target Update'!A488,"",INDIRECT("'Impact Indicators - Section B'!A"&amp;'Impact Indicator Target Update'!D488))</f>
        <v/>
      </c>
    </row>
    <row r="3790" spans="10:10">
      <c r="J3790" s="164" t="str">
        <f ca="1">IF(ROW()&gt;'Impact Indicator Target Update'!A489,"",INDIRECT("'Impact Indicators - Section B'!A"&amp;'Impact Indicator Target Update'!D489))</f>
        <v/>
      </c>
    </row>
    <row r="3791" spans="10:10">
      <c r="J3791" s="164" t="str">
        <f ca="1">IF(ROW()&gt;'Impact Indicator Target Update'!A490,"",INDIRECT("'Impact Indicators - Section B'!A"&amp;'Impact Indicator Target Update'!D490))</f>
        <v/>
      </c>
    </row>
    <row r="3792" spans="10:10">
      <c r="J3792" s="164" t="str">
        <f ca="1">IF(ROW()&gt;'Impact Indicator Target Update'!A491,"",INDIRECT("'Impact Indicators - Section B'!A"&amp;'Impact Indicator Target Update'!D491))</f>
        <v/>
      </c>
    </row>
    <row r="3793" spans="10:10">
      <c r="J3793" s="164" t="str">
        <f ca="1">IF(ROW()&gt;'Impact Indicator Target Update'!A492,"",INDIRECT("'Impact Indicators - Section B'!A"&amp;'Impact Indicator Target Update'!D492))</f>
        <v/>
      </c>
    </row>
    <row r="3794" spans="10:10">
      <c r="J3794" s="164" t="str">
        <f ca="1">IF(ROW()&gt;'Impact Indicator Target Update'!A493,"",INDIRECT("'Impact Indicators - Section B'!A"&amp;'Impact Indicator Target Update'!D493))</f>
        <v/>
      </c>
    </row>
    <row r="3795" spans="10:10">
      <c r="J3795" s="164" t="str">
        <f ca="1">IF(ROW()&gt;'Impact Indicator Target Update'!A494,"",INDIRECT("'Impact Indicators - Section B'!A"&amp;'Impact Indicator Target Update'!D494))</f>
        <v/>
      </c>
    </row>
    <row r="3796" spans="10:10">
      <c r="J3796" s="164" t="str">
        <f ca="1">IF(ROW()&gt;'Impact Indicator Target Update'!A495,"",INDIRECT("'Impact Indicators - Section B'!A"&amp;'Impact Indicator Target Update'!D495))</f>
        <v/>
      </c>
    </row>
    <row r="3797" spans="10:10">
      <c r="J3797" s="164" t="str">
        <f ca="1">IF(ROW()&gt;'Impact Indicator Target Update'!A496,"",INDIRECT("'Impact Indicators - Section B'!A"&amp;'Impact Indicator Target Update'!D496))</f>
        <v/>
      </c>
    </row>
    <row r="3798" spans="10:10">
      <c r="J3798" s="164" t="str">
        <f ca="1">IF(ROW()&gt;'Impact Indicator Target Update'!A497,"",INDIRECT("'Impact Indicators - Section B'!A"&amp;'Impact Indicator Target Update'!D497))</f>
        <v/>
      </c>
    </row>
    <row r="3799" spans="10:10">
      <c r="J3799" s="164" t="str">
        <f ca="1">IF(ROW()&gt;'Impact Indicator Target Update'!A498,"",INDIRECT("'Impact Indicators - Section B'!A"&amp;'Impact Indicator Target Update'!D498))</f>
        <v/>
      </c>
    </row>
    <row r="3800" spans="10:10">
      <c r="J3800" s="164" t="str">
        <f ca="1">IF(ROW()&gt;'Impact Indicator Target Update'!A499,"",INDIRECT("'Impact Indicators - Section B'!A"&amp;'Impact Indicator Target Update'!D499))</f>
        <v/>
      </c>
    </row>
    <row r="3801" spans="10:10">
      <c r="J3801" s="164" t="str">
        <f ca="1">IF(ROW()&gt;'Impact Indicator Target Update'!A500,"",INDIRECT("'Impact Indicators - Section B'!A"&amp;'Impact Indicator Target Update'!D500))</f>
        <v/>
      </c>
    </row>
    <row r="3802" spans="10:10">
      <c r="J3802" s="164" t="str">
        <f ca="1">IF(ROW()&gt;'Impact Indicator Target Update'!A501,"",INDIRECT("'Impact Indicators - Section B'!A"&amp;'Impact Indicator Target Update'!D501))</f>
        <v/>
      </c>
    </row>
    <row r="3803" spans="10:10">
      <c r="J3803" s="164" t="str">
        <f ca="1">IF(ROW()&gt;'Impact Indicator Target Update'!A502,"",INDIRECT("'Impact Indicators - Section B'!A"&amp;'Impact Indicator Target Update'!D502))</f>
        <v/>
      </c>
    </row>
    <row r="3804" spans="10:10">
      <c r="J3804" s="164" t="str">
        <f ca="1">IF(ROW()&gt;'Impact Indicator Target Update'!A503,"",INDIRECT("'Impact Indicators - Section B'!A"&amp;'Impact Indicator Target Update'!D503))</f>
        <v/>
      </c>
    </row>
    <row r="3805" spans="10:10">
      <c r="J3805" s="164" t="str">
        <f ca="1">IF(ROW()&gt;'Impact Indicator Target Update'!A504,"",INDIRECT("'Impact Indicators - Section B'!A"&amp;'Impact Indicator Target Update'!D504))</f>
        <v/>
      </c>
    </row>
    <row r="3806" spans="10:10">
      <c r="J3806" s="164" t="str">
        <f ca="1">IF(ROW()&gt;'Impact Indicator Target Update'!A505,"",INDIRECT("'Impact Indicators - Section B'!A"&amp;'Impact Indicator Target Update'!D505))</f>
        <v/>
      </c>
    </row>
    <row r="3807" spans="10:10">
      <c r="J3807" s="164" t="str">
        <f ca="1">IF(ROW()&gt;'Impact Indicator Target Update'!A506,"",INDIRECT("'Impact Indicators - Section B'!A"&amp;'Impact Indicator Target Update'!D506))</f>
        <v/>
      </c>
    </row>
    <row r="3808" spans="10:10">
      <c r="J3808" s="164" t="str">
        <f ca="1">IF(ROW()&gt;'Impact Indicator Target Update'!A507,"",INDIRECT("'Impact Indicators - Section B'!A"&amp;'Impact Indicator Target Update'!D507))</f>
        <v/>
      </c>
    </row>
    <row r="3809" spans="10:10">
      <c r="J3809" s="164" t="str">
        <f ca="1">IF(ROW()&gt;'Impact Indicator Target Update'!A508,"",INDIRECT("'Impact Indicators - Section B'!A"&amp;'Impact Indicator Target Update'!D508))</f>
        <v/>
      </c>
    </row>
    <row r="3810" spans="10:10">
      <c r="J3810" s="164" t="str">
        <f ca="1">IF(ROW()&gt;'Impact Indicator Target Update'!A509,"",INDIRECT("'Impact Indicators - Section B'!A"&amp;'Impact Indicator Target Update'!D509))</f>
        <v/>
      </c>
    </row>
    <row r="3811" spans="10:10">
      <c r="J3811" s="164" t="str">
        <f ca="1">IF(ROW()&gt;'Impact Indicator Target Update'!A510,"",INDIRECT("'Impact Indicators - Section B'!A"&amp;'Impact Indicator Target Update'!D510))</f>
        <v/>
      </c>
    </row>
    <row r="3812" spans="10:10">
      <c r="J3812" s="164" t="str">
        <f ca="1">IF(ROW()&gt;'Impact Indicator Target Update'!A511,"",INDIRECT("'Impact Indicators - Section B'!A"&amp;'Impact Indicator Target Update'!D511))</f>
        <v/>
      </c>
    </row>
    <row r="3813" spans="10:10">
      <c r="J3813" s="164" t="str">
        <f ca="1">IF(ROW()&gt;'Impact Indicator Target Update'!A512,"",INDIRECT("'Impact Indicators - Section B'!A"&amp;'Impact Indicator Target Update'!D512))</f>
        <v/>
      </c>
    </row>
    <row r="3814" spans="10:10">
      <c r="J3814" s="164" t="str">
        <f ca="1">IF(ROW()&gt;'Impact Indicator Target Update'!A513,"",INDIRECT("'Impact Indicators - Section B'!A"&amp;'Impact Indicator Target Update'!D513))</f>
        <v/>
      </c>
    </row>
    <row r="3815" spans="10:10">
      <c r="J3815" s="164" t="str">
        <f ca="1">IF(ROW()&gt;'Impact Indicator Target Update'!A514,"",INDIRECT("'Impact Indicators - Section B'!A"&amp;'Impact Indicator Target Update'!D514))</f>
        <v/>
      </c>
    </row>
    <row r="3816" spans="10:10">
      <c r="J3816" s="164" t="str">
        <f ca="1">IF(ROW()&gt;'Impact Indicator Target Update'!A515,"",INDIRECT("'Impact Indicators - Section B'!A"&amp;'Impact Indicator Target Update'!D515))</f>
        <v/>
      </c>
    </row>
    <row r="3817" spans="10:10">
      <c r="J3817" s="164" t="str">
        <f ca="1">IF(ROW()&gt;'Impact Indicator Target Update'!A516,"",INDIRECT("'Impact Indicators - Section B'!A"&amp;'Impact Indicator Target Update'!D516))</f>
        <v/>
      </c>
    </row>
    <row r="3818" spans="10:10">
      <c r="J3818" s="164" t="str">
        <f ca="1">IF(ROW()&gt;'Impact Indicator Target Update'!A517,"",INDIRECT("'Impact Indicators - Section B'!A"&amp;'Impact Indicator Target Update'!D517))</f>
        <v/>
      </c>
    </row>
    <row r="3819" spans="10:10">
      <c r="J3819" s="164" t="str">
        <f ca="1">IF(ROW()&gt;'Impact Indicator Target Update'!A518,"",INDIRECT("'Impact Indicators - Section B'!A"&amp;'Impact Indicator Target Update'!D518))</f>
        <v/>
      </c>
    </row>
    <row r="3820" spans="10:10">
      <c r="J3820" s="164" t="str">
        <f ca="1">IF(ROW()&gt;'Impact Indicator Target Update'!A519,"",INDIRECT("'Impact Indicators - Section B'!A"&amp;'Impact Indicator Target Update'!D519))</f>
        <v/>
      </c>
    </row>
    <row r="3821" spans="10:10">
      <c r="J3821" s="164" t="str">
        <f ca="1">IF(ROW()&gt;'Impact Indicator Target Update'!A520,"",INDIRECT("'Impact Indicators - Section B'!A"&amp;'Impact Indicator Target Update'!D520))</f>
        <v/>
      </c>
    </row>
    <row r="3822" spans="10:10">
      <c r="J3822" s="164" t="str">
        <f ca="1">IF(ROW()&gt;'Impact Indicator Target Update'!A521,"",INDIRECT("'Impact Indicators - Section B'!A"&amp;'Impact Indicator Target Update'!D521))</f>
        <v/>
      </c>
    </row>
    <row r="3823" spans="10:10">
      <c r="J3823" s="164" t="str">
        <f ca="1">IF(ROW()&gt;'Impact Indicator Target Update'!A522,"",INDIRECT("'Impact Indicators - Section B'!A"&amp;'Impact Indicator Target Update'!D522))</f>
        <v/>
      </c>
    </row>
    <row r="3824" spans="10:10">
      <c r="J3824" s="164" t="str">
        <f ca="1">IF(ROW()&gt;'Impact Indicator Target Update'!A523,"",INDIRECT("'Impact Indicators - Section B'!A"&amp;'Impact Indicator Target Update'!D523))</f>
        <v/>
      </c>
    </row>
    <row r="3825" spans="10:10">
      <c r="J3825" s="164" t="str">
        <f ca="1">IF(ROW()&gt;'Impact Indicator Target Update'!A524,"",INDIRECT("'Impact Indicators - Section B'!A"&amp;'Impact Indicator Target Update'!D524))</f>
        <v/>
      </c>
    </row>
    <row r="3826" spans="10:10">
      <c r="J3826" s="164" t="str">
        <f ca="1">IF(ROW()&gt;'Impact Indicator Target Update'!A525,"",INDIRECT("'Impact Indicators - Section B'!A"&amp;'Impact Indicator Target Update'!D525))</f>
        <v/>
      </c>
    </row>
    <row r="3827" spans="10:10">
      <c r="J3827" s="164" t="str">
        <f ca="1">IF(ROW()&gt;'Impact Indicator Target Update'!A526,"",INDIRECT("'Impact Indicators - Section B'!A"&amp;'Impact Indicator Target Update'!D526))</f>
        <v/>
      </c>
    </row>
    <row r="3828" spans="10:10">
      <c r="J3828" s="164" t="str">
        <f ca="1">IF(ROW()&gt;'Impact Indicator Target Update'!A527,"",INDIRECT("'Impact Indicators - Section B'!A"&amp;'Impact Indicator Target Update'!D527))</f>
        <v/>
      </c>
    </row>
    <row r="3829" spans="10:10">
      <c r="J3829" s="164" t="str">
        <f ca="1">IF(ROW()&gt;'Impact Indicator Target Update'!A528,"",INDIRECT("'Impact Indicators - Section B'!A"&amp;'Impact Indicator Target Update'!D528))</f>
        <v/>
      </c>
    </row>
    <row r="3830" spans="10:10">
      <c r="J3830" s="164" t="str">
        <f ca="1">IF(ROW()&gt;'Impact Indicator Target Update'!A529,"",INDIRECT("'Impact Indicators - Section B'!A"&amp;'Impact Indicator Target Update'!D529))</f>
        <v/>
      </c>
    </row>
    <row r="3831" spans="10:10">
      <c r="J3831" s="164" t="str">
        <f ca="1">IF(ROW()&gt;'Impact Indicator Target Update'!A530,"",INDIRECT("'Impact Indicators - Section B'!A"&amp;'Impact Indicator Target Update'!D530))</f>
        <v/>
      </c>
    </row>
    <row r="3832" spans="10:10">
      <c r="J3832" s="164" t="str">
        <f ca="1">IF(ROW()&gt;'Impact Indicator Target Update'!A531,"",INDIRECT("'Impact Indicators - Section B'!A"&amp;'Impact Indicator Target Update'!D531))</f>
        <v/>
      </c>
    </row>
    <row r="3833" spans="10:10">
      <c r="J3833" s="164" t="str">
        <f ca="1">IF(ROW()&gt;'Impact Indicator Target Update'!A532,"",INDIRECT("'Impact Indicators - Section B'!A"&amp;'Impact Indicator Target Update'!D532))</f>
        <v/>
      </c>
    </row>
    <row r="3834" spans="10:10">
      <c r="J3834" s="164" t="str">
        <f ca="1">IF(ROW()&gt;'Impact Indicator Target Update'!A533,"",INDIRECT("'Impact Indicators - Section B'!A"&amp;'Impact Indicator Target Update'!D533))</f>
        <v/>
      </c>
    </row>
    <row r="3835" spans="10:10">
      <c r="J3835" s="164" t="str">
        <f ca="1">IF(ROW()&gt;'Impact Indicator Target Update'!A534,"",INDIRECT("'Impact Indicators - Section B'!A"&amp;'Impact Indicator Target Update'!D534))</f>
        <v/>
      </c>
    </row>
    <row r="3836" spans="10:10">
      <c r="J3836" s="164" t="str">
        <f ca="1">IF(ROW()&gt;'Impact Indicator Target Update'!A535,"",INDIRECT("'Impact Indicators - Section B'!A"&amp;'Impact Indicator Target Update'!D535))</f>
        <v/>
      </c>
    </row>
    <row r="3837" spans="10:10">
      <c r="J3837" s="164" t="str">
        <f ca="1">IF(ROW()&gt;'Impact Indicator Target Update'!A536,"",INDIRECT("'Impact Indicators - Section B'!A"&amp;'Impact Indicator Target Update'!D536))</f>
        <v/>
      </c>
    </row>
    <row r="3838" spans="10:10">
      <c r="J3838" s="164" t="str">
        <f ca="1">IF(ROW()&gt;'Impact Indicator Target Update'!A537,"",INDIRECT("'Impact Indicators - Section B'!A"&amp;'Impact Indicator Target Update'!D537))</f>
        <v/>
      </c>
    </row>
    <row r="3839" spans="10:10">
      <c r="J3839" s="164" t="str">
        <f ca="1">IF(ROW()&gt;'Impact Indicator Target Update'!A538,"",INDIRECT("'Impact Indicators - Section B'!A"&amp;'Impact Indicator Target Update'!D538))</f>
        <v/>
      </c>
    </row>
    <row r="3840" spans="10:10">
      <c r="J3840" s="164" t="str">
        <f ca="1">IF(ROW()&gt;'Impact Indicator Target Update'!A539,"",INDIRECT("'Impact Indicators - Section B'!A"&amp;'Impact Indicator Target Update'!D539))</f>
        <v/>
      </c>
    </row>
    <row r="3841" spans="10:10">
      <c r="J3841" s="164" t="str">
        <f ca="1">IF(ROW()&gt;'Impact Indicator Target Update'!A540,"",INDIRECT("'Impact Indicators - Section B'!A"&amp;'Impact Indicator Target Update'!D540))</f>
        <v/>
      </c>
    </row>
    <row r="3842" spans="10:10">
      <c r="J3842" s="164" t="str">
        <f ca="1">IF(ROW()&gt;'Impact Indicator Target Update'!A541,"",INDIRECT("'Impact Indicators - Section B'!A"&amp;'Impact Indicator Target Update'!D541))</f>
        <v/>
      </c>
    </row>
    <row r="3843" spans="10:10">
      <c r="J3843" s="164" t="str">
        <f ca="1">IF(ROW()&gt;'Impact Indicator Target Update'!A542,"",INDIRECT("'Impact Indicators - Section B'!A"&amp;'Impact Indicator Target Update'!D542))</f>
        <v/>
      </c>
    </row>
    <row r="3844" spans="10:10">
      <c r="J3844" s="164" t="str">
        <f ca="1">IF(ROW()&gt;'Impact Indicator Target Update'!A543,"",INDIRECT("'Impact Indicators - Section B'!A"&amp;'Impact Indicator Target Update'!D543))</f>
        <v/>
      </c>
    </row>
    <row r="3845" spans="10:10">
      <c r="J3845" s="164" t="str">
        <f ca="1">IF(ROW()&gt;'Impact Indicator Target Update'!A544,"",INDIRECT("'Impact Indicators - Section B'!A"&amp;'Impact Indicator Target Update'!D544))</f>
        <v/>
      </c>
    </row>
    <row r="3846" spans="10:10">
      <c r="J3846" s="164" t="str">
        <f ca="1">IF(ROW()&gt;'Impact Indicator Target Update'!A545,"",INDIRECT("'Impact Indicators - Section B'!A"&amp;'Impact Indicator Target Update'!D545))</f>
        <v/>
      </c>
    </row>
    <row r="3847" spans="10:10">
      <c r="J3847" s="164" t="str">
        <f ca="1">IF(ROW()&gt;'Impact Indicator Target Update'!A546,"",INDIRECT("'Impact Indicators - Section B'!A"&amp;'Impact Indicator Target Update'!D546))</f>
        <v/>
      </c>
    </row>
    <row r="3848" spans="10:10">
      <c r="J3848" s="164" t="str">
        <f ca="1">IF(ROW()&gt;'Impact Indicator Target Update'!A547,"",INDIRECT("'Impact Indicators - Section B'!A"&amp;'Impact Indicator Target Update'!D547))</f>
        <v/>
      </c>
    </row>
    <row r="3849" spans="10:10">
      <c r="J3849" s="164" t="str">
        <f ca="1">IF(ROW()&gt;'Impact Indicator Target Update'!A548,"",INDIRECT("'Impact Indicators - Section B'!A"&amp;'Impact Indicator Target Update'!D548))</f>
        <v/>
      </c>
    </row>
    <row r="3850" spans="10:10">
      <c r="J3850" s="164" t="str">
        <f ca="1">IF(ROW()&gt;'Impact Indicator Target Update'!A549,"",INDIRECT("'Impact Indicators - Section B'!A"&amp;'Impact Indicator Target Update'!D549))</f>
        <v/>
      </c>
    </row>
    <row r="3851" spans="10:10">
      <c r="J3851" s="164" t="str">
        <f ca="1">IF(ROW()&gt;'Impact Indicator Target Update'!A550,"",INDIRECT("'Impact Indicators - Section B'!A"&amp;'Impact Indicator Target Update'!D550))</f>
        <v/>
      </c>
    </row>
    <row r="3852" spans="10:10">
      <c r="J3852" s="164" t="str">
        <f ca="1">IF(ROW()&gt;'Impact Indicator Target Update'!A551,"",INDIRECT("'Impact Indicators - Section B'!A"&amp;'Impact Indicator Target Update'!D551))</f>
        <v/>
      </c>
    </row>
    <row r="3853" spans="10:10">
      <c r="J3853" s="164" t="str">
        <f ca="1">IF(ROW()&gt;'Impact Indicator Target Update'!A552,"",INDIRECT("'Impact Indicators - Section B'!A"&amp;'Impact Indicator Target Update'!D552))</f>
        <v/>
      </c>
    </row>
    <row r="3854" spans="10:10">
      <c r="J3854" s="164" t="str">
        <f ca="1">IF(ROW()&gt;'Impact Indicator Target Update'!A553,"",INDIRECT("'Impact Indicators - Section B'!A"&amp;'Impact Indicator Target Update'!D553))</f>
        <v/>
      </c>
    </row>
    <row r="3855" spans="10:10">
      <c r="J3855" s="164" t="str">
        <f ca="1">IF(ROW()&gt;'Impact Indicator Target Update'!A554,"",INDIRECT("'Impact Indicators - Section B'!A"&amp;'Impact Indicator Target Update'!D554))</f>
        <v/>
      </c>
    </row>
    <row r="3856" spans="10:10">
      <c r="J3856" s="164" t="str">
        <f ca="1">IF(ROW()&gt;'Impact Indicator Target Update'!A555,"",INDIRECT("'Impact Indicators - Section B'!A"&amp;'Impact Indicator Target Update'!D555))</f>
        <v/>
      </c>
    </row>
    <row r="3857" spans="10:10">
      <c r="J3857" s="164" t="str">
        <f ca="1">IF(ROW()&gt;'Impact Indicator Target Update'!A556,"",INDIRECT("'Impact Indicators - Section B'!A"&amp;'Impact Indicator Target Update'!D556))</f>
        <v/>
      </c>
    </row>
    <row r="3858" spans="10:10">
      <c r="J3858" s="164" t="str">
        <f ca="1">IF(ROW()&gt;'Impact Indicator Target Update'!A557,"",INDIRECT("'Impact Indicators - Section B'!A"&amp;'Impact Indicator Target Update'!D557))</f>
        <v/>
      </c>
    </row>
    <row r="3859" spans="10:10">
      <c r="J3859" s="164" t="str">
        <f ca="1">IF(ROW()&gt;'Impact Indicator Target Update'!A558,"",INDIRECT("'Impact Indicators - Section B'!A"&amp;'Impact Indicator Target Update'!D558))</f>
        <v/>
      </c>
    </row>
    <row r="3860" spans="10:10">
      <c r="J3860" s="164" t="str">
        <f ca="1">IF(ROW()&gt;'Impact Indicator Target Update'!A559,"",INDIRECT("'Impact Indicators - Section B'!A"&amp;'Impact Indicator Target Update'!D559))</f>
        <v/>
      </c>
    </row>
    <row r="3861" spans="10:10">
      <c r="J3861" s="164" t="str">
        <f ca="1">IF(ROW()&gt;'Impact Indicator Target Update'!A560,"",INDIRECT("'Impact Indicators - Section B'!A"&amp;'Impact Indicator Target Update'!D560))</f>
        <v/>
      </c>
    </row>
    <row r="3862" spans="10:10">
      <c r="J3862" s="164" t="str">
        <f ca="1">IF(ROW()&gt;'Impact Indicator Target Update'!A561,"",INDIRECT("'Impact Indicators - Section B'!A"&amp;'Impact Indicator Target Update'!D561))</f>
        <v/>
      </c>
    </row>
    <row r="3863" spans="10:10">
      <c r="J3863" s="164" t="str">
        <f ca="1">IF(ROW()&gt;'Impact Indicator Target Update'!A562,"",INDIRECT("'Impact Indicators - Section B'!A"&amp;'Impact Indicator Target Update'!D562))</f>
        <v/>
      </c>
    </row>
    <row r="3864" spans="10:10">
      <c r="J3864" s="164" t="str">
        <f ca="1">IF(ROW()&gt;'Impact Indicator Target Update'!A563,"",INDIRECT("'Impact Indicators - Section B'!A"&amp;'Impact Indicator Target Update'!D563))</f>
        <v/>
      </c>
    </row>
    <row r="3865" spans="10:10">
      <c r="J3865" s="164" t="str">
        <f ca="1">IF(ROW()&gt;'Impact Indicator Target Update'!A564,"",INDIRECT("'Impact Indicators - Section B'!A"&amp;'Impact Indicator Target Update'!D564))</f>
        <v/>
      </c>
    </row>
    <row r="3866" spans="10:10">
      <c r="J3866" s="164" t="str">
        <f ca="1">IF(ROW()&gt;'Impact Indicator Target Update'!A565,"",INDIRECT("'Impact Indicators - Section B'!A"&amp;'Impact Indicator Target Update'!D565))</f>
        <v/>
      </c>
    </row>
    <row r="3867" spans="10:10">
      <c r="J3867" s="164" t="str">
        <f ca="1">IF(ROW()&gt;'Impact Indicator Target Update'!A566,"",INDIRECT("'Impact Indicators - Section B'!A"&amp;'Impact Indicator Target Update'!D566))</f>
        <v/>
      </c>
    </row>
    <row r="3868" spans="10:10">
      <c r="J3868" s="164" t="str">
        <f ca="1">IF(ROW()&gt;'Impact Indicator Target Update'!A567,"",INDIRECT("'Impact Indicators - Section B'!A"&amp;'Impact Indicator Target Update'!D567))</f>
        <v/>
      </c>
    </row>
    <row r="3869" spans="10:10">
      <c r="J3869" s="164" t="str">
        <f ca="1">IF(ROW()&gt;'Impact Indicator Target Update'!A568,"",INDIRECT("'Impact Indicators - Section B'!A"&amp;'Impact Indicator Target Update'!D568))</f>
        <v/>
      </c>
    </row>
    <row r="3870" spans="10:10">
      <c r="J3870" s="164" t="str">
        <f ca="1">IF(ROW()&gt;'Impact Indicator Target Update'!A569,"",INDIRECT("'Impact Indicators - Section B'!A"&amp;'Impact Indicator Target Update'!D569))</f>
        <v/>
      </c>
    </row>
    <row r="3871" spans="10:10">
      <c r="J3871" s="164" t="str">
        <f ca="1">IF(ROW()&gt;'Impact Indicator Target Update'!A570,"",INDIRECT("'Impact Indicators - Section B'!A"&amp;'Impact Indicator Target Update'!D570))</f>
        <v/>
      </c>
    </row>
    <row r="3872" spans="10:10">
      <c r="J3872" s="164" t="str">
        <f ca="1">IF(ROW()&gt;'Impact Indicator Target Update'!A571,"",INDIRECT("'Impact Indicators - Section B'!A"&amp;'Impact Indicator Target Update'!D571))</f>
        <v/>
      </c>
    </row>
    <row r="3873" spans="10:10">
      <c r="J3873" s="164" t="str">
        <f ca="1">IF(ROW()&gt;'Impact Indicator Target Update'!A572,"",INDIRECT("'Impact Indicators - Section B'!A"&amp;'Impact Indicator Target Update'!D572))</f>
        <v/>
      </c>
    </row>
    <row r="3874" spans="10:10">
      <c r="J3874" s="164" t="str">
        <f ca="1">IF(ROW()&gt;'Impact Indicator Target Update'!A573,"",INDIRECT("'Impact Indicators - Section B'!A"&amp;'Impact Indicator Target Update'!D573))</f>
        <v/>
      </c>
    </row>
    <row r="3875" spans="10:10">
      <c r="J3875" s="164" t="str">
        <f ca="1">IF(ROW()&gt;'Impact Indicator Target Update'!A574,"",INDIRECT("'Impact Indicators - Section B'!A"&amp;'Impact Indicator Target Update'!D574))</f>
        <v/>
      </c>
    </row>
    <row r="3876" spans="10:10">
      <c r="J3876" s="164" t="str">
        <f ca="1">IF(ROW()&gt;'Impact Indicator Target Update'!A575,"",INDIRECT("'Impact Indicators - Section B'!A"&amp;'Impact Indicator Target Update'!D575))</f>
        <v/>
      </c>
    </row>
    <row r="3877" spans="10:10">
      <c r="J3877" s="164" t="str">
        <f ca="1">IF(ROW()&gt;'Impact Indicator Target Update'!A576,"",INDIRECT("'Impact Indicators - Section B'!A"&amp;'Impact Indicator Target Update'!D576))</f>
        <v/>
      </c>
    </row>
    <row r="3878" spans="10:10">
      <c r="J3878" s="164" t="str">
        <f ca="1">IF(ROW()&gt;'Impact Indicator Target Update'!A577,"",INDIRECT("'Impact Indicators - Section B'!A"&amp;'Impact Indicator Target Update'!D577))</f>
        <v/>
      </c>
    </row>
    <row r="3879" spans="10:10">
      <c r="J3879" s="164" t="str">
        <f ca="1">IF(ROW()&gt;'Impact Indicator Target Update'!A578,"",INDIRECT("'Impact Indicators - Section B'!A"&amp;'Impact Indicator Target Update'!D578))</f>
        <v/>
      </c>
    </row>
    <row r="3880" spans="10:10">
      <c r="J3880" s="164" t="str">
        <f ca="1">IF(ROW()&gt;'Impact Indicator Target Update'!A579,"",INDIRECT("'Impact Indicators - Section B'!A"&amp;'Impact Indicator Target Update'!D579))</f>
        <v/>
      </c>
    </row>
    <row r="3881" spans="10:10">
      <c r="J3881" s="164" t="str">
        <f ca="1">IF(ROW()&gt;'Impact Indicator Target Update'!A580,"",INDIRECT("'Impact Indicators - Section B'!A"&amp;'Impact Indicator Target Update'!D580))</f>
        <v/>
      </c>
    </row>
    <row r="3882" spans="10:10">
      <c r="J3882" s="164" t="str">
        <f ca="1">IF(ROW()&gt;'Impact Indicator Target Update'!A581,"",INDIRECT("'Impact Indicators - Section B'!A"&amp;'Impact Indicator Target Update'!D581))</f>
        <v/>
      </c>
    </row>
    <row r="3883" spans="10:10">
      <c r="J3883" s="164" t="str">
        <f ca="1">IF(ROW()&gt;'Impact Indicator Target Update'!A582,"",INDIRECT("'Impact Indicators - Section B'!A"&amp;'Impact Indicator Target Update'!D582))</f>
        <v/>
      </c>
    </row>
    <row r="3884" spans="10:10">
      <c r="J3884" s="164" t="str">
        <f ca="1">IF(ROW()&gt;'Impact Indicator Target Update'!A583,"",INDIRECT("'Impact Indicators - Section B'!A"&amp;'Impact Indicator Target Update'!D583))</f>
        <v/>
      </c>
    </row>
    <row r="3885" spans="10:10">
      <c r="J3885" s="164" t="str">
        <f ca="1">IF(ROW()&gt;'Impact Indicator Target Update'!A584,"",INDIRECT("'Impact Indicators - Section B'!A"&amp;'Impact Indicator Target Update'!D584))</f>
        <v/>
      </c>
    </row>
    <row r="3886" spans="10:10">
      <c r="J3886" s="164" t="str">
        <f ca="1">IF(ROW()&gt;'Impact Indicator Target Update'!A585,"",INDIRECT("'Impact Indicators - Section B'!A"&amp;'Impact Indicator Target Update'!D585))</f>
        <v/>
      </c>
    </row>
    <row r="3887" spans="10:10">
      <c r="J3887" s="164" t="str">
        <f ca="1">IF(ROW()&gt;'Impact Indicator Target Update'!A586,"",INDIRECT("'Impact Indicators - Section B'!A"&amp;'Impact Indicator Target Update'!D586))</f>
        <v/>
      </c>
    </row>
    <row r="3888" spans="10:10">
      <c r="J3888" s="164" t="str">
        <f ca="1">IF(ROW()&gt;'Impact Indicator Target Update'!A587,"",INDIRECT("'Impact Indicators - Section B'!A"&amp;'Impact Indicator Target Update'!D587))</f>
        <v/>
      </c>
    </row>
    <row r="3889" spans="10:10">
      <c r="J3889" s="164" t="str">
        <f ca="1">IF(ROW()&gt;'Impact Indicator Target Update'!A588,"",INDIRECT("'Impact Indicators - Section B'!A"&amp;'Impact Indicator Target Update'!D588))</f>
        <v/>
      </c>
    </row>
    <row r="3890" spans="10:10">
      <c r="J3890" s="164" t="str">
        <f ca="1">IF(ROW()&gt;'Impact Indicator Target Update'!A589,"",INDIRECT("'Impact Indicators - Section B'!A"&amp;'Impact Indicator Target Update'!D589))</f>
        <v/>
      </c>
    </row>
    <row r="3891" spans="10:10">
      <c r="J3891" s="164" t="str">
        <f ca="1">IF(ROW()&gt;'Impact Indicator Target Update'!A590,"",INDIRECT("'Impact Indicators - Section B'!A"&amp;'Impact Indicator Target Update'!D590))</f>
        <v/>
      </c>
    </row>
    <row r="3892" spans="10:10">
      <c r="J3892" s="164" t="str">
        <f ca="1">IF(ROW()&gt;'Impact Indicator Target Update'!A591,"",INDIRECT("'Impact Indicators - Section B'!A"&amp;'Impact Indicator Target Update'!D591))</f>
        <v/>
      </c>
    </row>
    <row r="3893" spans="10:10">
      <c r="J3893" s="164" t="str">
        <f ca="1">IF(ROW()&gt;'Impact Indicator Target Update'!A592,"",INDIRECT("'Impact Indicators - Section B'!A"&amp;'Impact Indicator Target Update'!D592))</f>
        <v/>
      </c>
    </row>
    <row r="3894" spans="10:10">
      <c r="J3894" s="164" t="str">
        <f ca="1">IF(ROW()&gt;'Impact Indicator Target Update'!A593,"",INDIRECT("'Impact Indicators - Section B'!A"&amp;'Impact Indicator Target Update'!D593))</f>
        <v/>
      </c>
    </row>
    <row r="3895" spans="10:10">
      <c r="J3895" s="164" t="str">
        <f ca="1">IF(ROW()&gt;'Impact Indicator Target Update'!A594,"",INDIRECT("'Impact Indicators - Section B'!A"&amp;'Impact Indicator Target Update'!D594))</f>
        <v/>
      </c>
    </row>
    <row r="3896" spans="10:10">
      <c r="J3896" s="164" t="str">
        <f ca="1">IF(ROW()&gt;'Impact Indicator Target Update'!A595,"",INDIRECT("'Impact Indicators - Section B'!A"&amp;'Impact Indicator Target Update'!D595))</f>
        <v/>
      </c>
    </row>
    <row r="3897" spans="10:10">
      <c r="J3897" s="164" t="str">
        <f ca="1">IF(ROW()&gt;'Impact Indicator Target Update'!A596,"",INDIRECT("'Impact Indicators - Section B'!A"&amp;'Impact Indicator Target Update'!D596))</f>
        <v/>
      </c>
    </row>
    <row r="3898" spans="10:10">
      <c r="J3898" s="164" t="str">
        <f ca="1">IF(ROW()&gt;'Impact Indicator Target Update'!A597,"",INDIRECT("'Impact Indicators - Section B'!A"&amp;'Impact Indicator Target Update'!D597))</f>
        <v/>
      </c>
    </row>
    <row r="3899" spans="10:10">
      <c r="J3899" s="164" t="str">
        <f ca="1">IF(ROW()&gt;'Impact Indicator Target Update'!A598,"",INDIRECT("'Impact Indicators - Section B'!A"&amp;'Impact Indicator Target Update'!D598))</f>
        <v/>
      </c>
    </row>
    <row r="3900" spans="10:10">
      <c r="J3900" s="164" t="str">
        <f ca="1">IF(ROW()&gt;'Impact Indicator Target Update'!A599,"",INDIRECT("'Impact Indicators - Section B'!A"&amp;'Impact Indicator Target Update'!D599))</f>
        <v/>
      </c>
    </row>
    <row r="3901" spans="10:10">
      <c r="J3901" s="164" t="str">
        <f ca="1">IF(ROW()&gt;'Impact Indicator Target Update'!A600,"",INDIRECT("'Impact Indicators - Section B'!A"&amp;'Impact Indicator Target Update'!D600))</f>
        <v/>
      </c>
    </row>
    <row r="3902" spans="10:10">
      <c r="J3902" s="164" t="str">
        <f ca="1">IF(ROW()&gt;'Impact Indicator Target Update'!A601,"",INDIRECT("'Impact Indicators - Section B'!A"&amp;'Impact Indicator Target Update'!D601))</f>
        <v/>
      </c>
    </row>
    <row r="3903" spans="10:10">
      <c r="J3903" s="164" t="str">
        <f ca="1">IF(ROW()&gt;'Impact Indicator Target Update'!A602,"",INDIRECT("'Impact Indicators - Section B'!A"&amp;'Impact Indicator Target Update'!D602))</f>
        <v/>
      </c>
    </row>
    <row r="3904" spans="10:10">
      <c r="J3904" s="164" t="str">
        <f ca="1">IF(ROW()&gt;'Impact Indicator Target Update'!A603,"",INDIRECT("'Impact Indicators - Section B'!A"&amp;'Impact Indicator Target Update'!D603))</f>
        <v/>
      </c>
    </row>
    <row r="3905" spans="10:10">
      <c r="J3905" s="164" t="str">
        <f ca="1">IF(ROW()&gt;'Impact Indicator Target Update'!A604,"",INDIRECT("'Impact Indicators - Section B'!A"&amp;'Impact Indicator Target Update'!D604))</f>
        <v/>
      </c>
    </row>
    <row r="3906" spans="10:10">
      <c r="J3906" s="164" t="str">
        <f ca="1">IF(ROW()&gt;'Impact Indicator Target Update'!A605,"",INDIRECT("'Impact Indicators - Section B'!A"&amp;'Impact Indicator Target Update'!D605))</f>
        <v/>
      </c>
    </row>
    <row r="3907" spans="10:10">
      <c r="J3907" s="164" t="str">
        <f ca="1">IF(ROW()&gt;'Impact Indicator Target Update'!A606,"",INDIRECT("'Impact Indicators - Section B'!A"&amp;'Impact Indicator Target Update'!D606))</f>
        <v/>
      </c>
    </row>
    <row r="3908" spans="10:10">
      <c r="J3908" s="164" t="str">
        <f ca="1">IF(ROW()&gt;'Impact Indicator Target Update'!A607,"",INDIRECT("'Impact Indicators - Section B'!A"&amp;'Impact Indicator Target Update'!D607))</f>
        <v/>
      </c>
    </row>
    <row r="3909" spans="10:10">
      <c r="J3909" s="164" t="str">
        <f ca="1">IF(ROW()&gt;'Impact Indicator Target Update'!A608,"",INDIRECT("'Impact Indicators - Section B'!A"&amp;'Impact Indicator Target Update'!D608))</f>
        <v/>
      </c>
    </row>
    <row r="3910" spans="10:10">
      <c r="J3910" s="164" t="str">
        <f ca="1">IF(ROW()&gt;'Impact Indicator Target Update'!A609,"",INDIRECT("'Impact Indicators - Section B'!A"&amp;'Impact Indicator Target Update'!D609))</f>
        <v/>
      </c>
    </row>
    <row r="3911" spans="10:10">
      <c r="J3911" s="164" t="str">
        <f ca="1">IF(ROW()&gt;'Impact Indicator Target Update'!A610,"",INDIRECT("'Impact Indicators - Section B'!A"&amp;'Impact Indicator Target Update'!D610))</f>
        <v/>
      </c>
    </row>
    <row r="3912" spans="10:10">
      <c r="J3912" s="164" t="str">
        <f ca="1">IF(ROW()&gt;'Impact Indicator Target Update'!A611,"",INDIRECT("'Impact Indicators - Section B'!A"&amp;'Impact Indicator Target Update'!D611))</f>
        <v/>
      </c>
    </row>
    <row r="3913" spans="10:10">
      <c r="J3913" s="164" t="str">
        <f ca="1">IF(ROW()&gt;'Impact Indicator Target Update'!A612,"",INDIRECT("'Impact Indicators - Section B'!A"&amp;'Impact Indicator Target Update'!D612))</f>
        <v/>
      </c>
    </row>
    <row r="3914" spans="10:10">
      <c r="J3914" s="164" t="str">
        <f ca="1">IF(ROW()&gt;'Impact Indicator Target Update'!A613,"",INDIRECT("'Impact Indicators - Section B'!A"&amp;'Impact Indicator Target Update'!D613))</f>
        <v/>
      </c>
    </row>
    <row r="3915" spans="10:10">
      <c r="J3915" s="164" t="str">
        <f ca="1">IF(ROW()&gt;'Impact Indicator Target Update'!A614,"",INDIRECT("'Impact Indicators - Section B'!A"&amp;'Impact Indicator Target Update'!D614))</f>
        <v/>
      </c>
    </row>
    <row r="3916" spans="10:10">
      <c r="J3916" s="164" t="str">
        <f ca="1">IF(ROW()&gt;'Impact Indicator Target Update'!A615,"",INDIRECT("'Impact Indicators - Section B'!A"&amp;'Impact Indicator Target Update'!D615))</f>
        <v/>
      </c>
    </row>
    <row r="3917" spans="10:10">
      <c r="J3917" s="164" t="str">
        <f ca="1">IF(ROW()&gt;'Impact Indicator Target Update'!A616,"",INDIRECT("'Impact Indicators - Section B'!A"&amp;'Impact Indicator Target Update'!D616))</f>
        <v/>
      </c>
    </row>
    <row r="3918" spans="10:10">
      <c r="J3918" s="164" t="str">
        <f ca="1">IF(ROW()&gt;'Impact Indicator Target Update'!A617,"",INDIRECT("'Impact Indicators - Section B'!A"&amp;'Impact Indicator Target Update'!D617))</f>
        <v/>
      </c>
    </row>
    <row r="3919" spans="10:10">
      <c r="J3919" s="164" t="str">
        <f ca="1">IF(ROW()&gt;'Impact Indicator Target Update'!A618,"",INDIRECT("'Impact Indicators - Section B'!A"&amp;'Impact Indicator Target Update'!D618))</f>
        <v/>
      </c>
    </row>
    <row r="3920" spans="10:10">
      <c r="J3920" s="164" t="str">
        <f ca="1">IF(ROW()&gt;'Impact Indicator Target Update'!A619,"",INDIRECT("'Impact Indicators - Section B'!A"&amp;'Impact Indicator Target Update'!D619))</f>
        <v/>
      </c>
    </row>
  </sheetData>
  <sheetProtection sheet="1" objects="1" scenarios="1"/>
  <dataValidations count="30">
    <dataValidation type="list" allowBlank="1" showInputMessage="1" showErrorMessage="1" errorTitle="X-Author for Excel" error="Please select either TRUE or FALSE from the dropdown." promptTitle="X-Author for Excel" sqref="A3:A33 A43:A223 A227:A257 A267:A447 A453:A513 A519:A879 A886:A1186 A1190:A1415 A1419:A2199 A2204:A2364 A2370:A3330 Q2370:Q3330 R453:R513 T43:T223" xr:uid="{00000000-0002-0000-0500-000000000000}">
      <formula1>"TRUE,FALSE"</formula1>
    </dataValidation>
    <dataValidation type="decimal" allowBlank="1" showInputMessage="1" showErrorMessage="1" errorTitle="X-Author for Excel" error="Please enter a valid numeric value. Valid range for Baseline D# is -1E+16 to 1E+16." promptTitle="X-Author for Excel" sqref="E3:E33 E227:E257 E453:E513 H886:H1186 H1190:H1415 H1419:H2199" xr:uid="{00000000-0002-0000-0500-000001000000}">
      <formula1>-10000000000000000</formula1>
      <formula2>10000000000000000</formula2>
    </dataValidation>
    <dataValidation type="custom" allowBlank="1" showInputMessage="1" showErrorMessage="1" errorTitle="X-Author for Excel" error="Id and Lookup fields are not editable." promptTitle="X-Author for Excel" sqref="B2370:B3330 C3:C33 C43:C223 C227:C257 C267:C447 C453:C513 C519:C879 C886:C1186 C1190:C1415 C1419:C2199 C2204:C2364" xr:uid="{00000000-0002-0000-0500-000002000000}">
      <formula1>""</formula1>
    </dataValidation>
    <dataValidation type="decimal" allowBlank="1" showInputMessage="1" showErrorMessage="1" errorTitle="X-Author for Excel" error="Please enter a valid numeric value. Valid range for Coverage Indicator Number is -1E+18 to 1E+18." promptTitle="X-Author for Excel" sqref="D1419:D2199 F519:F879 AF453:AF513" xr:uid="{00000000-0002-0000-0500-000003000000}">
      <formula1>-1000000000000000000</formula1>
      <formula2>1000000000000000000</formula2>
    </dataValidation>
    <dataValidation type="decimal" allowBlank="1" showInputMessage="1" showErrorMessage="1" errorTitle="X-Author for Excel" error="Please enter a valid numeric value. Valid range for Baseline % is -999.99 to 999.99." promptTitle="X-Author for Excel" sqref="D3:D33 D227:D257 D453:D513 E886:E1186 E1190:E1415 E1419:E2199" xr:uid="{00000000-0002-0000-0500-000004000000}">
      <formula1>-999.99</formula1>
      <formula2>999.99</formula2>
    </dataValidation>
    <dataValidation type="list" allowBlank="1" showInputMessage="1" showErrorMessage="1" errorTitle="X-Author for Excel" error="Please select a value from the drop-down." promptTitle="X-Author for Excel" sqref="Q267:Q447" xr:uid="{00000000-0002-0000-0500-000005000000}">
      <formula1>IF(IFERROR(ROWS(INDIRECT(SUBSTITUTE("AIM_Outcome_Indicator_Targets_Result__c.AIM_Due_for_Reporting__c"," ","_"))),-1)&lt;0,XAuthorInvalidPicklistData,INDIRECT(SUBSTITUTE("AIM_Outcome_Indicator_Targets_Result__c.AIM_Due_for_Reporting__c"," ","_")))</formula1>
    </dataValidation>
    <dataValidation type="decimal" allowBlank="1" showInputMessage="1" showErrorMessage="1" errorTitle="X-Author for Excel" error="Please enter a valid numeric value. Valid range for Key Activity Milestone Number is -1E+18 to 1E+18." promptTitle="X-Author for Excel" sqref="C2370:C3330 R2204:R2364" xr:uid="{00000000-0002-0000-0500-000006000000}">
      <formula1>-1000000000000000000</formula1>
      <formula2>1000000000000000000</formula2>
    </dataValidation>
    <dataValidation type="decimal" allowBlank="1" showInputMessage="1" showErrorMessage="1" errorTitle="X-Author for Excel" error="Please enter a valid numeric value. Valid range for Outcome Indicator Number is -1E+18 to 1E+18." promptTitle="X-Author for Excel" sqref="D886:D1186 F267:F447" xr:uid="{00000000-0002-0000-0500-000007000000}">
      <formula1>-1000000000000000000</formula1>
      <formula2>1000000000000000000</formula2>
    </dataValidation>
    <dataValidation type="list" allowBlank="1" showInputMessage="1" showErrorMessage="1" errorTitle="X-Author for Excel" error="Please select a value from the drop-down." promptTitle="X-Author for Excel" sqref="T519:T879" xr:uid="{00000000-0002-0000-0500-000008000000}">
      <formula1>IF(IFERROR(ROWS(INDIRECT(SUBSTITUTE("AIM_Coverage_Indicator_Targets_Results__c.AIM_Due_for_Reporting__c"," ","_"))),-1)&lt;0,XAuthorInvalidPicklistData,INDIRECT(SUBSTITUTE("AIM_Coverage_Indicator_Targets_Results__c.AIM_Due_for_Reporting__c"," ","_")))</formula1>
    </dataValidation>
    <dataValidation type="decimal" allowBlank="1" showInputMessage="1" showErrorMessage="1" errorTitle="X-Author for Excel" error="Please enter a valid numeric value. Valid range for Impact Indicator Number is -1E+18 to 1E+18." promptTitle="X-Author for Excel" sqref="D1190:D1415 F43:F223" xr:uid="{00000000-0002-0000-0500-000009000000}">
      <formula1>-1000000000000000000</formula1>
      <formula2>1000000000000000000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F3:F33 F227:F257 G886:G1186 G1190:G1415 G1419:G2199" xr:uid="{00000000-0002-0000-0500-00000A000000}">
      <formula1>-100000000000000</formula1>
      <formula2>100000000000000</formula2>
    </dataValidation>
    <dataValidation type="decimal" allowBlank="1" showInputMessage="1" showErrorMessage="1" errorTitle="X-Author for Excel" error="Please enter a valid numeric value. Valid range for Baseline N# is -1E+16 to 1E+16." promptTitle="X-Author for Excel" sqref="F453:F513" xr:uid="{00000000-0002-0000-0500-00000B000000}">
      <formula1>-10000000000000000</formula1>
      <formula2>10000000000000000</formula2>
    </dataValidation>
    <dataValidation type="list" allowBlank="1" showInputMessage="1" showErrorMessage="1" errorTitle="X-Author for Excel" error="Please select a value from the drop-down." promptTitle="X-Author for Excel" sqref="G227:G257" xr:uid="{00000000-0002-0000-0500-00000C000000}">
      <formula1>IF(IFERROR(ROWS(INDIRECT(SUBSTITUTE("AIM_Outcome_Indicator__c.AIM_Baseline_Year__c"," ","_"))),-1)&lt;0,XAuthorInvalidPicklistData,INDIRECT(SUBSTITUTE("AIM_Outcome_Indicator__c.AIM_Baseline_Year__c","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H3:H33" xr:uid="{00000000-0002-0000-0500-00000D000000}">
      <formula1>IF(IFERROR(ROWS(INDIRECT(SUBSTITUTE("AIM_Impact_Indicator__c.AIM_Baseline_Year__c"," ","_"))),-1)&lt;0,XAuthorInvalidPicklistData,INDIRECT(SUBSTITUTE("AIM_Impact_Indicator__c.AIM_Baseline_Year__c"," ","_")))</formula1>
    </dataValidation>
    <dataValidation type="decimal" allowBlank="1" showInputMessage="1" showErrorMessage="1" errorTitle="X-Author for Excel" error="Please enter a valid numeric value. Valid range for Target D# is -1E+16 to 1E+16." promptTitle="X-Author for Excel" sqref="I43:I223 I267:I447 J519:J879" xr:uid="{00000000-0002-0000-0500-00000E000000}">
      <formula1>-10000000000000000</formula1>
      <formula2>10000000000000000</formula2>
    </dataValidation>
    <dataValidation type="list" allowBlank="1" showInputMessage="1" showErrorMessage="1" errorTitle="X-Author for Excel" error="Please select a value from the drop-down." promptTitle="X-Author for Excel" sqref="I1419:I2199" xr:uid="{00000000-0002-0000-0500-00000F000000}">
      <formula1>IF(IFERROR(ROWS(INDIRECT(SUBSTITUTE("AIM_Coverage_Disaggregation__c.AIM_Year__c"," ","_"))),-1)&lt;0,XAuthorInvalidPicklistData,INDIRECT(SUBSTITUTE("AIM_Coverage_Disaggregation__c.AIM_Year__c"," ","_")))</formula1>
    </dataValidation>
    <dataValidation type="decimal" allowBlank="1" showInputMessage="1" showErrorMessage="1" errorTitle="X-Author for Excel" error="Please enter a valid numeric value. Valid range for Target % is -999.99 to 999.99." promptTitle="X-Author for Excel" sqref="I519:I879 K43:K223 K267:K447" xr:uid="{00000000-0002-0000-0500-000010000000}">
      <formula1>-999.99</formula1>
      <formula2>999.99</formula2>
    </dataValidation>
    <dataValidation type="list" allowBlank="1" showInputMessage="1" showErrorMessage="1" errorTitle="X-Author for Excel" error="Please select a value from the drop-down." promptTitle="X-Author for Excel" sqref="I886:I1186" xr:uid="{00000000-0002-0000-0500-000011000000}">
      <formula1>IF(IFERROR(ROWS(INDIRECT(SUBSTITUTE("AIM_Outcome_Disaggregation__c.AIM_Baseline_Year__c"," ","_"))),-1)&lt;0,XAuthorInvalidPicklistData,INDIRECT(SUBSTITUTE("AIM_Outcome_Disaggregation__c.AIM_Baseline_Year__c"," ","_")))</formula1>
    </dataValidation>
    <dataValidation type="list" allowBlank="1" showInputMessage="1" showErrorMessage="1" errorTitle="X-Author for Excel" error="Please select a value from the drop-down." promptTitle="X-Author for Excel" sqref="I1190:I1415" xr:uid="{00000000-0002-0000-0500-000012000000}">
      <formula1>IF(IFERROR(ROWS(INDIRECT(SUBSTITUTE("AIM_Impact_Disaggregation__c.AIM_Baseline_Year__c"," ","_"))),-1)&lt;0,XAuthorInvalidPicklistData,INDIRECT(SUBSTITUTE("AIM_Impact_Disaggregation__c.AIM_Baseline_Year__c"," ","_")))</formula1>
    </dataValidation>
    <dataValidation type="decimal" allowBlank="1" showInputMessage="1" showErrorMessage="1" errorTitle="X-Author for Excel" error="Please enter a valid numeric value. Valid range for Target N# is -100000000000000 to 100000000000000." promptTitle="X-Author for Excel" sqref="J43:J223 J267:J447" xr:uid="{00000000-0002-0000-0500-000013000000}">
      <formula1>-100000000000000</formula1>
      <formula2>100000000000000</formula2>
    </dataValidation>
    <dataValidation type="decimal" allowBlank="1" showInputMessage="1" showErrorMessage="1" errorTitle="X-Author for Excel" error="Please enter a valid numeric value. Valid range for Target N# is -1E+16 to 1E+16." promptTitle="X-Author for Excel" sqref="K519:K879" xr:uid="{00000000-0002-0000-0500-000014000000}">
      <formula1>-10000000000000000</formula1>
      <formula2>10000000000000000</formula2>
    </dataValidation>
    <dataValidation type="list" allowBlank="1" showInputMessage="1" showErrorMessage="1" errorTitle="X-Author for Excel" error="Please select a value from the drop-down." promptTitle="X-Author for Excel" sqref="L43:L223" xr:uid="{00000000-0002-0000-0500-000015000000}">
      <formula1>IF(IFERROR(ROWS(INDIRECT(SUBSTITUTE("AIM_Impact_Indicator_Targets_Results__c.AIM_Year_of_Target__c"," ","_"))),-1)&lt;0,XAuthorInvalidPicklistData,INDIRECT(SUBSTITUTE("AIM_Impact_Indicator_Targets_Results__c.AIM_Year_of_Target__c"," ","_")))</formula1>
    </dataValidation>
    <dataValidation type="list" allowBlank="1" showInputMessage="1" showErrorMessage="1" errorTitle="X-Author for Excel" error="Please select a value from the drop-down." promptTitle="X-Author for Excel" sqref="L267:L447" xr:uid="{00000000-0002-0000-0500-000016000000}">
      <formula1>IF(IFERROR(ROWS(INDIRECT(SUBSTITUTE("AIM_Outcome_Indicator_Targets_Result__c.AIM_Year_of_Target__c"," ","_"))),-1)&lt;0,XAuthorInvalidPicklistData,INDIRECT(SUBSTITUTE("AIM_Outcome_Indicator_Targets_Result__c.AIM_Year_of_Target__c"," ","_")))</formula1>
    </dataValidation>
    <dataValidation type="list" allowBlank="1" showInputMessage="1" showErrorMessage="1" errorTitle="X-Author for Excel" error="Please select a value from the drop-down." promptTitle="X-Author for Excel" sqref="L453:L513" xr:uid="{00000000-0002-0000-0500-000017000000}">
      <formula1>IF(IFERROR(ROWS(INDIRECT(SUBSTITUTE("AIM_Coverage_Indicator__c.AIM_Year__c"," ","_"))),-1)&lt;0,XAuthorInvalidPicklistData,INDIRECT(SUBSTITUTE("AIM_Coverage_Indicator__c.AIM_Year__c","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L519:L879" xr:uid="{00000000-0002-0000-0500-000018000000}">
      <formula1>IF(IFERROR(ROWS(INDIRECT(SUBSTITUTE("AIM_Coverage_Indicator_Targets_Results__c.AIM_Mark_if_target_is_TBD__c"," ","_"))),-1)&lt;0,XAuthorInvalidPicklistData,INDIRECT(SUBSTITUTE("AIM_Coverage_Indicator_Targets_Results__c.AIM_Mark_if_target_is_TBD__c"," ","_")))</formula1>
    </dataValidation>
    <dataValidation type="date" allowBlank="1" showInputMessage="1" showErrorMessage="1" errorTitle="X-Author for Excel" error="Please enter a valid date." promptTitle="X-Author for Excel" sqref="M43:M223 M267:M447" xr:uid="{00000000-0002-0000-0500-000019000000}">
      <formula1>1</formula1>
      <formula2>767376</formula2>
    </dataValidation>
    <dataValidation type="list" allowBlank="1" showInputMessage="1" showErrorMessage="1" errorTitle="X-Author for Excel" error="Please select a value from the drop-down." promptTitle="X-Author for Excel" sqref="N43:N223" xr:uid="{00000000-0002-0000-0500-00001A000000}">
      <formula1>IF(IFERROR(ROWS(INDIRECT(SUBSTITUTE("AIM_Impact_Indicator_Targets_Results__c.AIM_Mark_if_target_is_TBD__c"," ","_"))),-1)&lt;0,XAuthorInvalidPicklistData,INDIRECT(SUBSTITUTE("AIM_Impact_Indicator_Targets_Results__c.AIM_Mark_if_target_is_TBD__c","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N267:N447" xr:uid="{00000000-0002-0000-0500-00001B000000}">
      <formula1>IF(IFERROR(ROWS(INDIRECT(SUBSTITUTE("AIM_Outcome_Indicator_Targets_Result__c.AIM_Mark_if_target_is_TBD__c"," ","_"))),-1)&lt;0,XAuthorInvalidPicklistData,INDIRECT(SUBSTITUTE("AIM_Outcome_Indicator_Targets_Result__c.AIM_Mark_if_target_is_TBD__c"," ","_")))</formula1>
    </dataValidation>
    <dataValidation type="list" allowBlank="1" showInputMessage="1" showErrorMessage="1" errorTitle="X-Author for Excel" error="Please select a value from the drop-down." promptTitle="X-Author for Excel" sqref="P453:P513" xr:uid="{00000000-0002-0000-0500-00001C000000}">
      <formula1>IF(IFERROR(ROWS(INDIRECT(SUBSTITUTE("AIM_Coverage_Indicator__c.AIM_Geographic_Coverage__c"," ","_"))),-1)&lt;0,XAuthorInvalidPicklistData,INDIRECT(SUBSTITUTE("AIM_Coverage_Indicator__c.AIM_Geographic_Coverage__c","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Q453:Q513" xr:uid="{00000000-0002-0000-0500-00001D000000}">
      <formula1>IF(IFERROR(ROWS(INDIRECT(SUBSTITUTE("AIM_Coverage_Indicator__c.AIM_Rating_Cumulation_Type__c"," ","_"))),-1)&lt;0,XAuthorInvalidPicklistData,INDIRECT(SUBSTITUTE("AIM_Coverage_Indicator__c.AIM_Rating_Cumulation_Type__c"," ","_")))</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61"/>
  <sheetViews>
    <sheetView topLeftCell="A10" zoomScaleSheetLayoutView="100" workbookViewId="0">
      <selection activeCell="B27" sqref="B27"/>
    </sheetView>
  </sheetViews>
  <sheetFormatPr defaultColWidth="8.75" defaultRowHeight="15.75"/>
  <cols>
    <col min="1" max="1" width="25.625" customWidth="1"/>
    <col min="4" max="4" width="17.125" customWidth="1"/>
    <col min="5" max="5" width="13.625" customWidth="1"/>
    <col min="6" max="6" width="16.125" customWidth="1"/>
    <col min="7" max="7" width="22.75" customWidth="1"/>
    <col min="9" max="9" width="21.125" customWidth="1"/>
    <col min="12" max="12" width="27.75" customWidth="1"/>
  </cols>
  <sheetData>
    <row r="1" spans="1:17">
      <c r="A1" t="s">
        <v>5161</v>
      </c>
      <c r="B1" t="s">
        <v>5162</v>
      </c>
      <c r="C1" t="s">
        <v>5163</v>
      </c>
      <c r="D1" t="s">
        <v>5164</v>
      </c>
      <c r="E1" t="s">
        <v>5165</v>
      </c>
      <c r="F1" t="s">
        <v>5166</v>
      </c>
      <c r="G1" t="s">
        <v>5167</v>
      </c>
      <c r="H1" t="s">
        <v>5168</v>
      </c>
      <c r="L1" t="s">
        <v>5169</v>
      </c>
      <c r="P1" t="s">
        <v>5169</v>
      </c>
    </row>
    <row r="2" spans="1:17">
      <c r="B2">
        <f>COUNTA(#REF!)-2</f>
        <v>-1</v>
      </c>
      <c r="C2">
        <f>COUNTA(#REF!)-2</f>
        <v>-1</v>
      </c>
      <c r="D2" s="2">
        <f>COUNTA(#REF!)-1</f>
        <v>0</v>
      </c>
      <c r="E2" s="2">
        <f>COUNTA(#REF!)-2</f>
        <v>-1</v>
      </c>
      <c r="F2" s="2">
        <f>COUNTA(#REF!)-1</f>
        <v>0</v>
      </c>
      <c r="G2" s="2">
        <f>COUNTA(#REF!)-1</f>
        <v>0</v>
      </c>
      <c r="H2">
        <f>COUNTA(#REF!)-2</f>
        <v>-1</v>
      </c>
      <c r="L2" t="str">
        <f t="array" ref="L2">IFERROR(INDEX(SectionAPopulation,MATCH(0,COUNTIF($L$1:L1,SectionAPopulation&amp;"")+IF(SectionAPopulation="",1,0),0)),"")</f>
        <v>[Intervention ES]</v>
      </c>
      <c r="O2" t="str">
        <f ca="1">OFFSET('Overview - Section A'!$AK$124,MATCH(P2,'Overview - Section A'!$AN$124:$AN$175,0)-1,0,IF(COUNTIF('Overview - Section A'!$AN$124:$AN$175,P2)&gt;1,1,COUNTIF('Overview - Section A'!$AN$124:$AN$175,P2)),1)</f>
        <v>Prevención</v>
      </c>
      <c r="P2" t="str">
        <f t="array" ref="P2">IFERROR(INDEX('Overview - Section A'!$AN$124:$AN$175,MATCH(0,COUNTIF($P$1:P1,'Overview - Section A'!$AN$124:$AN$175&amp;"")+IF('Overview - Section A'!$AN$124:$AN$175="",1,0),0)),"")</f>
        <v>PrevenciónPrEP</v>
      </c>
      <c r="Q2" t="str">
        <f ca="1">OFFSET('Overview - Section A'!$AK$124,MATCH(P2,'Overview - Section A'!$AN$124:$AN$175,0)-1,1,IF(COUNTIF('Overview - Section A'!$AN$124:$AN$175,P2)&gt;1,1,COUNTIF('Overview - Section A'!$AN$124:$AN$175,P2)),1)</f>
        <v>PrEP</v>
      </c>
    </row>
    <row r="3" spans="1:17">
      <c r="A3" t="s">
        <v>5170</v>
      </c>
      <c r="B3">
        <f t="shared" ref="B3:G3" si="0">B2*2</f>
        <v>-2</v>
      </c>
      <c r="C3">
        <f t="shared" si="0"/>
        <v>-2</v>
      </c>
      <c r="D3">
        <f t="shared" si="0"/>
        <v>0</v>
      </c>
      <c r="E3">
        <f t="shared" si="0"/>
        <v>-2</v>
      </c>
      <c r="F3">
        <f t="shared" si="0"/>
        <v>0</v>
      </c>
      <c r="G3">
        <f t="shared" si="0"/>
        <v>0</v>
      </c>
      <c r="L3" t="str">
        <f t="array" ref="L3">IFERROR(INDEX(SectionAPopulation,MATCH(0,COUNTIF($L$1:L2,SectionAPopulation&amp;"")+IF(SectionAPopulation="",1,0),0)),"")</f>
        <v>HSH</v>
      </c>
      <c r="O3" t="str">
        <f ca="1">OFFSET('Overview - Section A'!$AK$124,MATCH(P3,'Overview - Section A'!$AN$124:$AN$175,0)-1,0,IF(COUNTIF('Overview - Section A'!$AN$124:$AN$175,P3)&gt;1,1,COUNTIF('Overview - Section A'!$AN$124:$AN$175,P3)),1)</f>
        <v>Servicios diferenciados de diagnóstico del VIH</v>
      </c>
      <c r="P3" t="str">
        <f t="array" ref="P3">IFERROR(INDEX('Overview - Section A'!$AN$124:$AN$175,MATCH(0,COUNTIF($P$1:P2,'Overview - Section A'!$AN$124:$AN$175&amp;"")+IF('Overview - Section A'!$AN$124:$AN$175="",1,0),0)),"")</f>
        <v>Servicios diferenciados de diagnóstico del VIHPruebas a nivel comunitario</v>
      </c>
      <c r="Q3" t="str">
        <f ca="1">OFFSET('Overview - Section A'!$AK$124,MATCH(P3,'Overview - Section A'!$AN$124:$AN$175,0)-1,1,IF(COUNTIF('Overview - Section A'!$AN$124:$AN$175,P3)&gt;1,1,COUNTIF('Overview - Section A'!$AN$124:$AN$175,P3)),1)</f>
        <v>Pruebas a nivel comunitario</v>
      </c>
    </row>
    <row r="4" spans="1:17">
      <c r="L4" t="str">
        <f t="array" ref="L4">IFERROR(INDEX(SectionAPopulation,MATCH(0,COUNTIF($L$1:L3,SectionAPopulation&amp;"")+IF(SectionAPopulation="",1,0),0)),"")</f>
        <v>No aplicable</v>
      </c>
      <c r="O4" t="str">
        <f ca="1">OFFSET('Overview - Section A'!$AK$124,MATCH(P4,'Overview - Section A'!$AN$124:$AN$175,0)-1,0,IF(COUNTIF('Overview - Section A'!$AN$124:$AN$175,P4)&gt;1,1,COUNTIF('Overview - Section A'!$AN$124:$AN$175,P4)),1)</f>
        <v>Atención y prevención de la tuberculosis</v>
      </c>
      <c r="P4" t="str">
        <f t="array" ref="P4">IFERROR(INDEX('Overview - Section A'!$AN$124:$AN$175,MATCH(0,COUNTIF($P$1:P3,'Overview - Section A'!$AN$124:$AN$175&amp;"")+IF('Overview - Section A'!$AN$124:$AN$175="",1,0),0)),"")</f>
        <v>Atención y prevención de la tuberculosisDetección y diagnóstico de casos (Atención y prevención de la tuberculosis)</v>
      </c>
      <c r="Q4" t="str">
        <f ca="1">OFFSET('Overview - Section A'!$AK$124,MATCH(P4,'Overview - Section A'!$AN$124:$AN$175,0)-1,1,IF(COUNTIF('Overview - Section A'!$AN$124:$AN$175,P4)&gt;1,1,COUNTIF('Overview - Section A'!$AN$124:$AN$175,P4)),1)</f>
        <v>Detección y diagnóstico de casos (Atención y prevención de la tuberculosis)</v>
      </c>
    </row>
    <row r="5" spans="1:17">
      <c r="A5" t="s">
        <v>5171</v>
      </c>
      <c r="B5">
        <v>9</v>
      </c>
      <c r="L5" t="str">
        <f t="array" ref="L5">IFERROR(INDEX(SectionAPopulation,MATCH(0,COUNTIF($L$1:L4,SectionAPopulation&amp;"")+IF(SectionAPopulation="",1,0),0)),"")</f>
        <v/>
      </c>
      <c r="O5" t="str">
        <f ca="1">OFFSET('Overview - Section A'!$AK$124,MATCH(P5,'Overview - Section A'!$AN$124:$AN$175,0)-1,0,IF(COUNTIF('Overview - Section A'!$AN$124:$AN$175,P5)&gt;1,1,COUNTIF('Overview - Section A'!$AN$124:$AN$175,P5)),1)</f>
        <v>Tuberculosis multirresistente</v>
      </c>
      <c r="P5" t="str">
        <f t="array" ref="P5">IFERROR(INDEX('Overview - Section A'!$AN$124:$AN$175,MATCH(0,COUNTIF($P$1:P4,'Overview - Section A'!$AN$124:$AN$175&amp;"")+IF('Overview - Section A'!$AN$124:$AN$175="",1,0),0)),"")</f>
        <v>Tuberculosis multirresistenteTratamiento (Tuberculosis multirresistente)</v>
      </c>
      <c r="Q5" t="str">
        <f ca="1">OFFSET('Overview - Section A'!$AK$124,MATCH(P5,'Overview - Section A'!$AN$124:$AN$175,0)-1,1,IF(COUNTIF('Overview - Section A'!$AN$124:$AN$175,P5)&gt;1,1,COUNTIF('Overview - Section A'!$AN$124:$AN$175,P5)),1)</f>
        <v>Tratamiento (Tuberculosis multirresistente)</v>
      </c>
    </row>
    <row r="6" spans="1:17">
      <c r="A6" t="s">
        <v>5172</v>
      </c>
      <c r="B6">
        <v>9</v>
      </c>
      <c r="L6" t="str">
        <f t="array" ref="L6">IFERROR(INDEX(SectionAPopulation,MATCH(0,COUNTIF($L$1:L5,SectionAPopulation&amp;"")+IF(SectionAPopulation="",1,0),0)),"")</f>
        <v/>
      </c>
      <c r="O6" t="str">
        <f ca="1">OFFSET('Overview - Section A'!$AK$124,MATCH(P6,'Overview - Section A'!$AN$124:$AN$175,0)-1,0,IF(COUNTIF('Overview - Section A'!$AN$124:$AN$175,P6)&gt;1,1,COUNTIF('Overview - Section A'!$AN$124:$AN$175,P6)),1)</f>
        <v/>
      </c>
      <c r="P6" t="str">
        <f t="array" ref="P6">IFERROR(INDEX('Overview - Section A'!$AN$124:$AN$175,MATCH(0,COUNTIF($P$1:P5,'Overview - Section A'!$AN$124:$AN$175&amp;"")+IF('Overview - Section A'!$AN$124:$AN$175="",1,0),0)),"")</f>
        <v/>
      </c>
      <c r="Q6" t="str">
        <f ca="1">OFFSET('Overview - Section A'!$AK$124,MATCH(P6,'Overview - Section A'!$AN$124:$AN$175,0)-1,1,IF(COUNTIF('Overview - Section A'!$AN$124:$AN$175,P6)&gt;1,1,COUNTIF('Overview - Section A'!$AN$124:$AN$175,P6)),1)</f>
        <v/>
      </c>
    </row>
    <row r="7" spans="1:17">
      <c r="A7" t="s">
        <v>5173</v>
      </c>
      <c r="B7">
        <v>7</v>
      </c>
      <c r="L7" t="str">
        <f t="array" ref="L7">IFERROR(INDEX(SectionAPopulation,MATCH(0,COUNTIF($L$1:L6,SectionAPopulation&amp;"")+IF(SectionAPopulation="",1,0),0)),"")</f>
        <v/>
      </c>
      <c r="O7" t="str">
        <f ca="1">OFFSET('Overview - Section A'!$AK$124,MATCH(P7,'Overview - Section A'!$AN$124:$AN$175,0)-1,0,IF(COUNTIF('Overview - Section A'!$AN$124:$AN$175,P7)&gt;1,1,COUNTIF('Overview - Section A'!$AN$124:$AN$175,P7)),1)</f>
        <v/>
      </c>
      <c r="P7" t="str">
        <f t="array" ref="P7">IFERROR(INDEX('Overview - Section A'!$AN$124:$AN$175,MATCH(0,COUNTIF($P$1:P6,'Overview - Section A'!$AN$124:$AN$175&amp;"")+IF('Overview - Section A'!$AN$124:$AN$175="",1,0),0)),"")</f>
        <v/>
      </c>
      <c r="Q7" t="str">
        <f ca="1">OFFSET('Overview - Section A'!$AK$124,MATCH(P7,'Overview - Section A'!$AN$124:$AN$175,0)-1,1,IF(COUNTIF('Overview - Section A'!$AN$124:$AN$175,P7)&gt;1,1,COUNTIF('Overview - Section A'!$AN$124:$AN$175,P7)),1)</f>
        <v/>
      </c>
    </row>
    <row r="8" spans="1:17">
      <c r="A8" t="s">
        <v>5174</v>
      </c>
      <c r="B8">
        <v>9</v>
      </c>
      <c r="L8" t="str">
        <f t="array" ref="L8">IFERROR(INDEX(SectionAPopulation,MATCH(0,COUNTIF($L$1:L7,SectionAPopulation&amp;"")+IF(SectionAPopulation="",1,0),0)),"")</f>
        <v/>
      </c>
      <c r="O8" t="str">
        <f ca="1">OFFSET('Overview - Section A'!$AK$124,MATCH(P8,'Overview - Section A'!$AN$124:$AN$175,0)-1,0,IF(COUNTIF('Overview - Section A'!$AN$124:$AN$175,P8)&gt;1,1,COUNTIF('Overview - Section A'!$AN$124:$AN$175,P8)),1)</f>
        <v/>
      </c>
      <c r="P8" t="str">
        <f t="array" ref="P8">IFERROR(INDEX('Overview - Section A'!$AN$124:$AN$175,MATCH(0,COUNTIF($P$1:P7,'Overview - Section A'!$AN$124:$AN$175&amp;"")+IF('Overview - Section A'!$AN$124:$AN$175="",1,0),0)),"")</f>
        <v/>
      </c>
      <c r="Q8" t="str">
        <f ca="1">OFFSET('Overview - Section A'!$AK$124,MATCH(P8,'Overview - Section A'!$AN$124:$AN$175,0)-1,1,IF(COUNTIF('Overview - Section A'!$AN$124:$AN$175,P8)&gt;1,1,COUNTIF('Overview - Section A'!$AN$124:$AN$175,P8)),1)</f>
        <v/>
      </c>
    </row>
    <row r="9" spans="1:17">
      <c r="A9" t="s">
        <v>5175</v>
      </c>
      <c r="B9" s="2">
        <f>E2+B8+10</f>
        <v>18</v>
      </c>
      <c r="C9">
        <f>(B9-12)*2</f>
        <v>12</v>
      </c>
      <c r="L9" t="str">
        <f t="array" ref="L9">IFERROR(INDEX(SectionAPopulation,MATCH(0,COUNTIF($L$1:L8,SectionAPopulation&amp;"")+IF(SectionAPopulation="",1,0),0)),"")</f>
        <v/>
      </c>
      <c r="O9" t="str">
        <f ca="1">OFFSET('Overview - Section A'!$AK$124,MATCH(P9,'Overview - Section A'!$AN$124:$AN$175,0)-1,0,IF(COUNTIF('Overview - Section A'!$AN$124:$AN$175,P9)&gt;1,1,COUNTIF('Overview - Section A'!$AN$124:$AN$175,P9)),1)</f>
        <v/>
      </c>
      <c r="P9" t="str">
        <f t="array" ref="P9">IFERROR(INDEX('Overview - Section A'!$AN$124:$AN$175,MATCH(0,COUNTIF($P$1:P8,'Overview - Section A'!$AN$124:$AN$175&amp;"")+IF('Overview - Section A'!$AN$124:$AN$175="",1,0),0)),"")</f>
        <v/>
      </c>
      <c r="Q9" t="str">
        <f ca="1">OFFSET('Overview - Section A'!$AK$124,MATCH(P9,'Overview - Section A'!$AN$124:$AN$175,0)-1,1,IF(COUNTIF('Overview - Section A'!$AN$124:$AN$175,P9)&gt;1,1,COUNTIF('Overview - Section A'!$AN$124:$AN$175,P9)),1)</f>
        <v/>
      </c>
    </row>
    <row r="10" spans="1:17">
      <c r="A10" t="s">
        <v>5176</v>
      </c>
      <c r="B10" s="2">
        <f>F2+B9+9</f>
        <v>27</v>
      </c>
      <c r="C10">
        <f>(B10-19)*2</f>
        <v>16</v>
      </c>
      <c r="L10" t="str">
        <f t="array" ref="L10">IFERROR(INDEX(SectionAPopulation,MATCH(0,COUNTIF($L$1:L9,SectionAPopulation&amp;"")+IF(SectionAPopulation="",1,0),0)),"")</f>
        <v/>
      </c>
      <c r="O10" t="str">
        <f ca="1">OFFSET('Overview - Section A'!$AK$124,MATCH(P10,'Overview - Section A'!$AN$124:$AN$175,0)-1,0,IF(COUNTIF('Overview - Section A'!$AN$124:$AN$175,P10)&gt;1,1,COUNTIF('Overview - Section A'!$AN$124:$AN$175,P10)),1)</f>
        <v/>
      </c>
      <c r="P10" t="str">
        <f t="array" ref="P10">IFERROR(INDEX('Overview - Section A'!$AN$124:$AN$175,MATCH(0,COUNTIF($P$1:P9,'Overview - Section A'!$AN$124:$AN$175&amp;"")+IF('Overview - Section A'!$AN$124:$AN$175="",1,0),0)),"")</f>
        <v/>
      </c>
      <c r="Q10" t="str">
        <f ca="1">OFFSET('Overview - Section A'!$AK$124,MATCH(P10,'Overview - Section A'!$AN$124:$AN$175,0)-1,1,IF(COUNTIF('Overview - Section A'!$AN$124:$AN$175,P10)&gt;1,1,COUNTIF('Overview - Section A'!$AN$124:$AN$175,P10)),1)</f>
        <v/>
      </c>
    </row>
    <row r="11" spans="1:17">
      <c r="A11" t="s">
        <v>5177</v>
      </c>
      <c r="B11">
        <v>9</v>
      </c>
      <c r="L11" t="str">
        <f t="array" ref="L11">IFERROR(INDEX(SectionAPopulation,MATCH(0,COUNTIF($L$1:L10,SectionAPopulation&amp;"")+IF(SectionAPopulation="",1,0),0)),"")</f>
        <v/>
      </c>
      <c r="O11" t="str">
        <f ca="1">OFFSET('Overview - Section A'!$AK$124,MATCH(P11,'Overview - Section A'!$AN$124:$AN$175,0)-1,0,IF(COUNTIF('Overview - Section A'!$AN$124:$AN$175,P11)&gt;1,1,COUNTIF('Overview - Section A'!$AN$124:$AN$175,P11)),1)</f>
        <v/>
      </c>
      <c r="P11" t="str">
        <f t="array" ref="P11">IFERROR(INDEX('Overview - Section A'!$AN$124:$AN$175,MATCH(0,COUNTIF($P$1:P10,'Overview - Section A'!$AN$124:$AN$175&amp;"")+IF('Overview - Section A'!$AN$124:$AN$175="",1,0),0)),"")</f>
        <v/>
      </c>
      <c r="Q11" t="str">
        <f ca="1">OFFSET('Overview - Section A'!$AK$124,MATCH(P11,'Overview - Section A'!$AN$124:$AN$175,0)-1,1,IF(COUNTIF('Overview - Section A'!$AN$124:$AN$175,P11)&gt;1,1,COUNTIF('Overview - Section A'!$AN$124:$AN$175,P11)),1)</f>
        <v/>
      </c>
    </row>
    <row r="12" spans="1:17">
      <c r="L12" t="str">
        <f t="array" ref="L12">IFERROR(INDEX(SectionAPopulation,MATCH(0,COUNTIF($L$1:L11,SectionAPopulation&amp;"")+IF(SectionAPopulation="",1,0),0)),"")</f>
        <v/>
      </c>
      <c r="O12" t="str">
        <f ca="1">OFFSET('Overview - Section A'!$AK$124,MATCH(P12,'Overview - Section A'!$AN$124:$AN$175,0)-1,0,IF(COUNTIF('Overview - Section A'!$AN$124:$AN$175,P12)&gt;1,1,COUNTIF('Overview - Section A'!$AN$124:$AN$175,P12)),1)</f>
        <v/>
      </c>
      <c r="P12" t="str">
        <f t="array" ref="P12">IFERROR(INDEX('Overview - Section A'!$AN$124:$AN$175,MATCH(0,COUNTIF($P$1:P11,'Overview - Section A'!$AN$124:$AN$175&amp;"")+IF('Overview - Section A'!$AN$124:$AN$175="",1,0),0)),"")</f>
        <v/>
      </c>
      <c r="Q12" t="str">
        <f ca="1">OFFSET('Overview - Section A'!$AK$124,MATCH(P12,'Overview - Section A'!$AN$124:$AN$175,0)-1,1,IF(COUNTIF('Overview - Section A'!$AN$124:$AN$175,P12)&gt;1,1,COUNTIF('Overview - Section A'!$AN$124:$AN$175,P12)),1)</f>
        <v/>
      </c>
    </row>
    <row r="13" spans="1:17">
      <c r="L13" t="str">
        <f t="array" ref="L13">IFERROR(INDEX(SectionAPopulation,MATCH(0,COUNTIF($L$1:L12,SectionAPopulation&amp;"")+IF(SectionAPopulation="",1,0),0)),"")</f>
        <v/>
      </c>
      <c r="O13" t="str">
        <f ca="1">OFFSET('Overview - Section A'!$AK$124,MATCH(P13,'Overview - Section A'!$AN$124:$AN$175,0)-1,0,IF(COUNTIF('Overview - Section A'!$AN$124:$AN$175,P13)&gt;1,1,COUNTIF('Overview - Section A'!$AN$124:$AN$175,P13)),1)</f>
        <v/>
      </c>
      <c r="P13" t="str">
        <f t="array" ref="P13">IFERROR(INDEX('Overview - Section A'!$AN$124:$AN$175,MATCH(0,COUNTIF($P$1:P12,'Overview - Section A'!$AN$124:$AN$175&amp;"")+IF('Overview - Section A'!$AN$124:$AN$175="",1,0),0)),"")</f>
        <v/>
      </c>
      <c r="Q13" t="str">
        <f ca="1">OFFSET('Overview - Section A'!$AK$124,MATCH(P13,'Overview - Section A'!$AN$124:$AN$175,0)-1,1,IF(COUNTIF('Overview - Section A'!$AN$124:$AN$175,P13)&gt;1,1,COUNTIF('Overview - Section A'!$AN$124:$AN$175,P13)),1)</f>
        <v/>
      </c>
    </row>
    <row r="14" spans="1:17">
      <c r="A14" s="163" t="s">
        <v>5178</v>
      </c>
      <c r="E14" t="s">
        <v>5179</v>
      </c>
      <c r="G14" t="s">
        <v>5180</v>
      </c>
      <c r="I14" t="s">
        <v>5181</v>
      </c>
      <c r="L14" t="str">
        <f t="array" ref="L14">IFERROR(INDEX(SectionAPopulation,MATCH(0,COUNTIF($L$1:L13,SectionAPopulation&amp;"")+IF(SectionAPopulation="",1,0),0)),"")</f>
        <v/>
      </c>
      <c r="O14" t="str">
        <f ca="1">OFFSET('Overview - Section A'!$AK$124,MATCH(P14,'Overview - Section A'!$AN$124:$AN$175,0)-1,0,IF(COUNTIF('Overview - Section A'!$AN$124:$AN$175,P14)&gt;1,1,COUNTIF('Overview - Section A'!$AN$124:$AN$175,P14)),1)</f>
        <v/>
      </c>
      <c r="P14" t="str">
        <f t="array" ref="P14">IFERROR(INDEX('Overview - Section A'!$AN$124:$AN$175,MATCH(0,COUNTIF($P$1:P13,'Overview - Section A'!$AN$124:$AN$175&amp;"")+IF('Overview - Section A'!$AN$124:$AN$175="",1,0),0)),"")</f>
        <v/>
      </c>
      <c r="Q14" t="str">
        <f ca="1">OFFSET('Overview - Section A'!$AK$124,MATCH(P14,'Overview - Section A'!$AN$124:$AN$175,0)-1,1,IF(COUNTIF('Overview - Section A'!$AN$124:$AN$175,P14)&gt;1,1,COUNTIF('Overview - Section A'!$AN$124:$AN$175,P14)),1)</f>
        <v/>
      </c>
    </row>
    <row r="15" spans="1:17">
      <c r="E15" s="163" t="s">
        <v>1041</v>
      </c>
      <c r="G15" s="163" t="str">
        <f ca="1">IF(OFFSET('Overview - Section A'!I$27,H15,0)&lt;&gt;"",OFFSET('Overview - Section A'!E$27,H15,0),"")</f>
        <v/>
      </c>
      <c r="H15">
        <v>1</v>
      </c>
      <c r="I15" t="str">
        <f ca="1">IFERROR(LOOKUP(2,1/((COUNTIF(I$14:I14,$G$15:$G$41)=0)*($G$15:$G$41&lt;&gt;"")),$G$15:$G$41),"")</f>
        <v>United Nations Development Programme</v>
      </c>
      <c r="L15" t="str">
        <f t="array" ref="L15">IFERROR(INDEX(SectionAPopulation,MATCH(0,COUNTIF($L$1:L14,SectionAPopulation&amp;"")+IF(SectionAPopulation="",1,0),0)),"")</f>
        <v/>
      </c>
      <c r="O15" t="str">
        <f ca="1">OFFSET('Overview - Section A'!$AK$124,MATCH(P15,'Overview - Section A'!$AN$124:$AN$175,0)-1,0,IF(COUNTIF('Overview - Section A'!$AN$124:$AN$175,P15)&gt;1,1,COUNTIF('Overview - Section A'!$AN$124:$AN$175,P15)),1)</f>
        <v/>
      </c>
      <c r="P15" t="str">
        <f t="array" ref="P15">IFERROR(INDEX('Overview - Section A'!$AN$124:$AN$175,MATCH(0,COUNTIF($P$1:P14,'Overview - Section A'!$AN$124:$AN$175&amp;"")+IF('Overview - Section A'!$AN$124:$AN$175="",1,0),0)),"")</f>
        <v/>
      </c>
      <c r="Q15" t="str">
        <f ca="1">OFFSET('Overview - Section A'!$AK$124,MATCH(P15,'Overview - Section A'!$AN$124:$AN$175,0)-1,1,IF(COUNTIF('Overview - Section A'!$AN$124:$AN$175,P15)&gt;1,1,COUNTIF('Overview - Section A'!$AN$124:$AN$175,P15)),1)</f>
        <v/>
      </c>
    </row>
    <row r="16" spans="1:17">
      <c r="A16" s="163" t="s">
        <v>5182</v>
      </c>
      <c r="E16" s="163" t="s">
        <v>1035</v>
      </c>
      <c r="G16" s="163" t="str">
        <f ca="1">IF(OFFSET('Overview - Section A'!I$27,H16,0)&lt;&gt;"",OFFSET('Overview - Section A'!E$27,H16,0),"")</f>
        <v/>
      </c>
      <c r="H16">
        <v>2</v>
      </c>
      <c r="I16" t="str">
        <f ca="1">IFERROR(LOOKUP(2,1/((COUNTIF(I$14:I15,$G$15:$G$41)=0)*($G$15:$G$41&lt;&gt;"")),$G$15:$G$41),"")</f>
        <v/>
      </c>
      <c r="L16" t="str">
        <f t="array" ref="L16">IFERROR(INDEX(SectionAPopulation,MATCH(0,COUNTIF($L$1:L15,SectionAPopulation&amp;"")+IF(SectionAPopulation="",1,0),0)),"")</f>
        <v/>
      </c>
      <c r="O16" t="str">
        <f ca="1">OFFSET('Overview - Section A'!$AK$124,MATCH(P16,'Overview - Section A'!$AN$124:$AN$175,0)-1,0,IF(COUNTIF('Overview - Section A'!$AN$124:$AN$175,P16)&gt;1,1,COUNTIF('Overview - Section A'!$AN$124:$AN$175,P16)),1)</f>
        <v/>
      </c>
      <c r="P16" t="str">
        <f t="array" ref="P16">IFERROR(INDEX('Overview - Section A'!$AN$124:$AN$175,MATCH(0,COUNTIF($P$1:P15,'Overview - Section A'!$AN$124:$AN$175&amp;"")+IF('Overview - Section A'!$AN$124:$AN$175="",1,0),0)),"")</f>
        <v/>
      </c>
      <c r="Q16" t="str">
        <f ca="1">OFFSET('Overview - Section A'!$AK$124,MATCH(P16,'Overview - Section A'!$AN$124:$AN$175,0)-1,1,IF(COUNTIF('Overview - Section A'!$AN$124:$AN$175,P16)&gt;1,1,COUNTIF('Overview - Section A'!$AN$124:$AN$175,P16)),1)</f>
        <v/>
      </c>
    </row>
    <row r="17" spans="1:17">
      <c r="A17" s="163" t="s">
        <v>5183</v>
      </c>
      <c r="E17" s="163" t="s">
        <v>1088</v>
      </c>
      <c r="G17" s="163" t="str">
        <f ca="1">IF(OFFSET('Overview - Section A'!I$27,H17,0)&lt;&gt;"",OFFSET('Overview - Section A'!E$27,H17,0),"")</f>
        <v/>
      </c>
      <c r="H17">
        <v>3</v>
      </c>
      <c r="I17" t="str">
        <f ca="1">IFERROR(LOOKUP(2,1/((COUNTIF(I$14:I16,$G$15:$G$41)=0)*($G$15:$G$41&lt;&gt;"")),$G$15:$G$41),"")</f>
        <v/>
      </c>
      <c r="L17" t="str">
        <f t="array" ref="L17">IFERROR(INDEX(SectionAPopulation,MATCH(0,COUNTIF($L$1:L16,SectionAPopulation&amp;"")+IF(SectionAPopulation="",1,0),0)),"")</f>
        <v/>
      </c>
      <c r="O17" t="str">
        <f ca="1">OFFSET('Overview - Section A'!$AK$124,MATCH(P17,'Overview - Section A'!$AN$124:$AN$175,0)-1,0,IF(COUNTIF('Overview - Section A'!$AN$124:$AN$175,P17)&gt;1,1,COUNTIF('Overview - Section A'!$AN$124:$AN$175,P17)),1)</f>
        <v/>
      </c>
      <c r="P17" t="str">
        <f t="array" ref="P17">IFERROR(INDEX('Overview - Section A'!$AN$124:$AN$175,MATCH(0,COUNTIF($P$1:P16,'Overview - Section A'!$AN$124:$AN$175&amp;"")+IF('Overview - Section A'!$AN$124:$AN$175="",1,0),0)),"")</f>
        <v/>
      </c>
      <c r="Q17" t="str">
        <f ca="1">OFFSET('Overview - Section A'!$AK$124,MATCH(P17,'Overview - Section A'!$AN$124:$AN$175,0)-1,1,IF(COUNTIF('Overview - Section A'!$AN$124:$AN$175,P17)&gt;1,1,COUNTIF('Overview - Section A'!$AN$124:$AN$175,P17)),1)</f>
        <v/>
      </c>
    </row>
    <row r="18" spans="1:17">
      <c r="A18" s="163" t="s">
        <v>5184</v>
      </c>
      <c r="E18" s="163"/>
      <c r="G18" s="163" t="str">
        <f ca="1">IF(OFFSET('Overview - Section A'!I$27,H18,0)&lt;&gt;"",OFFSET('Overview - Section A'!E$27,H18,0),"")</f>
        <v/>
      </c>
      <c r="H18">
        <v>4</v>
      </c>
      <c r="I18" t="str">
        <f ca="1">IFERROR(LOOKUP(2,1/((COUNTIF(I$14:I17,$G$15:$G$41)=0)*($G$15:$G$41&lt;&gt;"")),$G$15:$G$41),"")</f>
        <v/>
      </c>
      <c r="L18" t="str">
        <f t="array" ref="L18">IFERROR(INDEX(SectionAPopulation,MATCH(0,COUNTIF($L$1:L17,SectionAPopulation&amp;"")+IF(SectionAPopulation="",1,0),0)),"")</f>
        <v/>
      </c>
      <c r="O18" t="str">
        <f ca="1">OFFSET('Overview - Section A'!$AK$124,MATCH(P18,'Overview - Section A'!$AN$124:$AN$175,0)-1,0,IF(COUNTIF('Overview - Section A'!$AN$124:$AN$175,P18)&gt;1,1,COUNTIF('Overview - Section A'!$AN$124:$AN$175,P18)),1)</f>
        <v/>
      </c>
      <c r="P18" t="str">
        <f t="array" ref="P18">IFERROR(INDEX('Overview - Section A'!$AN$124:$AN$175,MATCH(0,COUNTIF($P$1:P17,'Overview - Section A'!$AN$124:$AN$175&amp;"")+IF('Overview - Section A'!$AN$124:$AN$175="",1,0),0)),"")</f>
        <v/>
      </c>
      <c r="Q18" t="str">
        <f ca="1">OFFSET('Overview - Section A'!$AK$124,MATCH(P18,'Overview - Section A'!$AN$124:$AN$175,0)-1,1,IF(COUNTIF('Overview - Section A'!$AN$124:$AN$175,P18)&gt;1,1,COUNTIF('Overview - Section A'!$AN$124:$AN$175,P18)),1)</f>
        <v/>
      </c>
    </row>
    <row r="19" spans="1:17">
      <c r="G19" s="163" t="str">
        <f ca="1">IF(OFFSET('Overview - Section A'!I$27,H19,0)&lt;&gt;"",OFFSET('Overview - Section A'!E$27,H19,0),"")</f>
        <v/>
      </c>
      <c r="H19">
        <v>5</v>
      </c>
      <c r="I19" t="str">
        <f ca="1">IFERROR(LOOKUP(2,1/((COUNTIF(I$14:I18,$G$15:$G$41)=0)*($G$15:$G$41&lt;&gt;"")),$G$15:$G$41),"")</f>
        <v/>
      </c>
      <c r="L19" t="str">
        <f t="array" ref="L19">IFERROR(INDEX(SectionAPopulation,MATCH(0,COUNTIF($L$1:L18,SectionAPopulation&amp;"")+IF(SectionAPopulation="",1,0),0)),"")</f>
        <v/>
      </c>
      <c r="O19" t="str">
        <f ca="1">OFFSET('Overview - Section A'!$AK$124,MATCH(P19,'Overview - Section A'!$AN$124:$AN$175,0)-1,0,IF(COUNTIF('Overview - Section A'!$AN$124:$AN$175,P19)&gt;1,1,COUNTIF('Overview - Section A'!$AN$124:$AN$175,P19)),1)</f>
        <v/>
      </c>
      <c r="P19" t="str">
        <f t="array" ref="P19">IFERROR(INDEX('Overview - Section A'!$AN$124:$AN$175,MATCH(0,COUNTIF($P$1:P18,'Overview - Section A'!$AN$124:$AN$175&amp;"")+IF('Overview - Section A'!$AN$124:$AN$175="",1,0),0)),"")</f>
        <v/>
      </c>
      <c r="Q19" t="str">
        <f ca="1">OFFSET('Overview - Section A'!$AK$124,MATCH(P19,'Overview - Section A'!$AN$124:$AN$175,0)-1,1,IF(COUNTIF('Overview - Section A'!$AN$124:$AN$175,P19)&gt;1,1,COUNTIF('Overview - Section A'!$AN$124:$AN$175,P19)),1)</f>
        <v/>
      </c>
    </row>
    <row r="20" spans="1:17">
      <c r="G20" s="163" t="str">
        <f ca="1">IF(OFFSET('Overview - Section A'!I$27,H20,0)&lt;&gt;"",OFFSET('Overview - Section A'!E$27,H20,0),"")</f>
        <v/>
      </c>
      <c r="H20">
        <v>6</v>
      </c>
      <c r="I20" t="str">
        <f ca="1">IFERROR(LOOKUP(2,1/((COUNTIF(I$14:I19,$G$15:$G$41)=0)*($G$15:$G$41&lt;&gt;"")),$G$15:$G$41),"")</f>
        <v/>
      </c>
      <c r="L20" t="str">
        <f t="array" ref="L20">IFERROR(INDEX(SectionAPopulation,MATCH(0,COUNTIF($L$1:L19,SectionAPopulation&amp;"")+IF(SectionAPopulation="",1,0),0)),"")</f>
        <v/>
      </c>
      <c r="O20" t="str">
        <f ca="1">OFFSET('Overview - Section A'!$AK$124,MATCH(P20,'Overview - Section A'!$AN$124:$AN$175,0)-1,0,IF(COUNTIF('Overview - Section A'!$AN$124:$AN$175,P20)&gt;1,1,COUNTIF('Overview - Section A'!$AN$124:$AN$175,P20)),1)</f>
        <v/>
      </c>
      <c r="P20" t="str">
        <f t="array" ref="P20">IFERROR(INDEX('Overview - Section A'!$AN$124:$AN$175,MATCH(0,COUNTIF($P$1:P19,'Overview - Section A'!$AN$124:$AN$175&amp;"")+IF('Overview - Section A'!$AN$124:$AN$175="",1,0),0)),"")</f>
        <v/>
      </c>
      <c r="Q20" t="str">
        <f ca="1">OFFSET('Overview - Section A'!$AK$124,MATCH(P20,'Overview - Section A'!$AN$124:$AN$175,0)-1,1,IF(COUNTIF('Overview - Section A'!$AN$124:$AN$175,P20)&gt;1,1,COUNTIF('Overview - Section A'!$AN$124:$AN$175,P20)),1)</f>
        <v/>
      </c>
    </row>
    <row r="21" spans="1:17">
      <c r="A21" s="163" t="s">
        <v>5185</v>
      </c>
      <c r="B21">
        <f>COUNTA('Impact Indicators - Section B '!A9:A82)</f>
        <v>15</v>
      </c>
      <c r="G21" s="163" t="str">
        <f ca="1">IF(OFFSET('Overview - Section A'!I$27,H21,0)&lt;&gt;"",OFFSET('Overview - Section A'!E$27,H21,0),"")</f>
        <v/>
      </c>
      <c r="H21">
        <v>7</v>
      </c>
      <c r="I21" t="str">
        <f ca="1">IFERROR(LOOKUP(2,1/((COUNTIF(I$14:I20,$G$15:$G$41)=0)*($G$15:$G$41&lt;&gt;"")),$G$15:$G$41),"")</f>
        <v/>
      </c>
      <c r="L21" t="str">
        <f t="array" ref="L21">IFERROR(INDEX(SectionAPopulation,MATCH(0,COUNTIF($L$1:L20,SectionAPopulation&amp;"")+IF(SectionAPopulation="",1,0),0)),"")</f>
        <v/>
      </c>
      <c r="O21" t="str">
        <f ca="1">OFFSET('Overview - Section A'!$AK$124,MATCH(P21,'Overview - Section A'!$AN$124:$AN$175,0)-1,0,IF(COUNTIF('Overview - Section A'!$AN$124:$AN$175,P21)&gt;1,1,COUNTIF('Overview - Section A'!$AN$124:$AN$175,P21)),1)</f>
        <v/>
      </c>
      <c r="P21" t="str">
        <f t="array" ref="P21">IFERROR(INDEX('Overview - Section A'!$AN$124:$AN$175,MATCH(0,COUNTIF($P$1:P20,'Overview - Section A'!$AN$124:$AN$175&amp;"")+IF('Overview - Section A'!$AN$124:$AN$175="",1,0),0)),"")</f>
        <v/>
      </c>
      <c r="Q21" t="str">
        <f ca="1">OFFSET('Overview - Section A'!$AK$124,MATCH(P21,'Overview - Section A'!$AN$124:$AN$175,0)-1,1,IF(COUNTIF('Overview - Section A'!$AN$124:$AN$175,P21)&gt;1,1,COUNTIF('Overview - Section A'!$AN$124:$AN$175,P21)),1)</f>
        <v/>
      </c>
    </row>
    <row r="22" spans="1:17">
      <c r="A22" t="s">
        <v>5186</v>
      </c>
      <c r="B22">
        <f ca="1">MAX('update Helper'!P42:P224)</f>
        <v>90</v>
      </c>
      <c r="G22" s="163" t="str">
        <f ca="1">IF(OFFSET('Overview - Section A'!I$27,H22,0)&lt;&gt;"",OFFSET('Overview - Section A'!E$27,H22,0),"")</f>
        <v/>
      </c>
      <c r="H22">
        <v>8</v>
      </c>
      <c r="I22" t="str">
        <f ca="1">IFERROR(LOOKUP(2,1/((COUNTIF(I$14:I21,$G$15:$G$41)=0)*($G$15:$G$41&lt;&gt;"")),$G$15:$G$41),"")</f>
        <v/>
      </c>
      <c r="L22" t="str">
        <f t="array" ref="L22">IFERROR(INDEX(SectionAPopulation,MATCH(0,COUNTIF($L$1:L21,SectionAPopulation&amp;"")+IF(SectionAPopulation="",1,0),0)),"")</f>
        <v/>
      </c>
      <c r="O22" t="str">
        <f ca="1">OFFSET('Overview - Section A'!$AK$124,MATCH(P22,'Overview - Section A'!$AN$124:$AN$175,0)-1,0,IF(COUNTIF('Overview - Section A'!$AN$124:$AN$175,P22)&gt;1,1,COUNTIF('Overview - Section A'!$AN$124:$AN$175,P22)),1)</f>
        <v/>
      </c>
      <c r="P22" t="str">
        <f t="array" ref="P22">IFERROR(INDEX('Overview - Section A'!$AN$124:$AN$175,MATCH(0,COUNTIF($P$1:P21,'Overview - Section A'!$AN$124:$AN$175&amp;"")+IF('Overview - Section A'!$AN$124:$AN$175="",1,0),0)),"")</f>
        <v/>
      </c>
      <c r="Q22" t="str">
        <f ca="1">OFFSET('Overview - Section A'!$AK$124,MATCH(P22,'Overview - Section A'!$AN$124:$AN$175,0)-1,1,IF(COUNTIF('Overview - Section A'!$AN$124:$AN$175,P22)&gt;1,1,COUNTIF('Overview - Section A'!$AN$124:$AN$175,P22)),1)</f>
        <v/>
      </c>
    </row>
    <row r="23" spans="1:17">
      <c r="A23" t="s">
        <v>5187</v>
      </c>
      <c r="B23">
        <f>COUNTA('Outcome Indicators - Section C '!A9:A98)</f>
        <v>14</v>
      </c>
      <c r="G23" s="163" t="str">
        <f ca="1">IF(OFFSET('Overview - Section A'!I$27,H23,0)&lt;&gt;"",OFFSET('Overview - Section A'!E$27,H23,0),"")</f>
        <v/>
      </c>
      <c r="H23">
        <v>9</v>
      </c>
      <c r="I23" t="str">
        <f ca="1">IFERROR(LOOKUP(2,1/((COUNTIF(I$14:I22,$G$15:$G$41)=0)*($G$15:$G$41&lt;&gt;"")),$G$15:$G$41),"")</f>
        <v/>
      </c>
      <c r="L23" t="str">
        <f t="array" ref="L23">IFERROR(INDEX(SectionAPopulation,MATCH(0,COUNTIF($L$1:L22,SectionAPopulation&amp;"")+IF(SectionAPopulation="",1,0),0)),"")</f>
        <v/>
      </c>
      <c r="O23" t="str">
        <f ca="1">OFFSET('Overview - Section A'!$AK$124,MATCH(P23,'Overview - Section A'!$AN$124:$AN$175,0)-1,0,IF(COUNTIF('Overview - Section A'!$AN$124:$AN$175,P23)&gt;1,1,COUNTIF('Overview - Section A'!$AN$124:$AN$175,P23)),1)</f>
        <v/>
      </c>
      <c r="P23" t="str">
        <f t="array" ref="P23">IFERROR(INDEX('Overview - Section A'!$AN$124:$AN$175,MATCH(0,COUNTIF($P$1:P22,'Overview - Section A'!$AN$124:$AN$175&amp;"")+IF('Overview - Section A'!$AN$124:$AN$175="",1,0),0)),"")</f>
        <v/>
      </c>
      <c r="Q23" t="str">
        <f ca="1">OFFSET('Overview - Section A'!$AK$124,MATCH(P23,'Overview - Section A'!$AN$124:$AN$175,0)-1,1,IF(COUNTIF('Overview - Section A'!$AN$124:$AN$175,P23)&gt;1,1,COUNTIF('Overview - Section A'!$AN$124:$AN$175,P23)),1)</f>
        <v/>
      </c>
    </row>
    <row r="24" spans="1:17">
      <c r="A24" t="s">
        <v>5188</v>
      </c>
      <c r="B24">
        <f>'update Helper'!AA2</f>
        <v>90</v>
      </c>
      <c r="G24" t="str">
        <f ca="1">IF(OFFSET('Overview - Section A'!J$31,H24,0)&lt;&gt;0,OFFSET('Overview - Section A'!E$31,H24,0),"")</f>
        <v>United Nations Development Programme</v>
      </c>
      <c r="H24">
        <v>1</v>
      </c>
      <c r="I24" t="str">
        <f ca="1">IFERROR(LOOKUP(2,1/((COUNTIF(I$14:I23,$G$15:$G$41)=0)*($G$15:$G$41&lt;&gt;"")),$G$15:$G$41),"")</f>
        <v/>
      </c>
      <c r="L24" t="str">
        <f t="array" ref="L24">IFERROR(INDEX(SectionAPopulation,MATCH(0,COUNTIF($L$1:L23,SectionAPopulation&amp;"")+IF(SectionAPopulation="",1,0),0)),"")</f>
        <v/>
      </c>
      <c r="O24" t="str">
        <f ca="1">OFFSET('Overview - Section A'!$AK$124,MATCH(P24,'Overview - Section A'!$AN$124:$AN$175,0)-1,0,IF(COUNTIF('Overview - Section A'!$AN$124:$AN$175,P24)&gt;1,1,COUNTIF('Overview - Section A'!$AN$124:$AN$175,P24)),1)</f>
        <v/>
      </c>
      <c r="P24" t="str">
        <f t="array" ref="P24">IFERROR(INDEX('Overview - Section A'!$AN$124:$AN$175,MATCH(0,COUNTIF($P$1:P23,'Overview - Section A'!$AN$124:$AN$175&amp;"")+IF('Overview - Section A'!$AN$124:$AN$175="",1,0),0)),"")</f>
        <v/>
      </c>
      <c r="Q24" t="str">
        <f ca="1">OFFSET('Overview - Section A'!$AK$124,MATCH(P24,'Overview - Section A'!$AN$124:$AN$175,0)-1,1,IF(COUNTIF('Overview - Section A'!$AN$124:$AN$175,P24)&gt;1,1,COUNTIF('Overview - Section A'!$AN$124:$AN$175,P24)),1)</f>
        <v/>
      </c>
    </row>
    <row r="25" spans="1:17">
      <c r="A25" t="s">
        <v>5189</v>
      </c>
      <c r="B25">
        <f>COUNTA('Coverage Indicators - Section D'!A9:A100)</f>
        <v>30</v>
      </c>
      <c r="G25" t="str">
        <f ca="1">IF(OFFSET('Overview - Section A'!J$31,H25,0)&lt;&gt;0,OFFSET('Overview - Section A'!E$31,H25,0),"")</f>
        <v/>
      </c>
      <c r="H25">
        <v>2</v>
      </c>
      <c r="I25" t="str">
        <f ca="1">IFERROR(LOOKUP(2,1/((COUNTIF(I$14:I24,$G$15:$G$41)=0)*($G$15:$G$41&lt;&gt;"")),$G$15:$G$41),"")</f>
        <v/>
      </c>
      <c r="L25" t="str">
        <f t="array" ref="L25">IFERROR(INDEX(SectionAPopulation,MATCH(0,COUNTIF($L$1:L24,SectionAPopulation&amp;"")+IF(SectionAPopulation="",1,0),0)),"")</f>
        <v/>
      </c>
      <c r="O25" t="str">
        <f ca="1">OFFSET('Overview - Section A'!$AK$124,MATCH(P25,'Overview - Section A'!$AN$124:$AN$175,0)-1,0,IF(COUNTIF('Overview - Section A'!$AN$124:$AN$175,P25)&gt;1,1,COUNTIF('Overview - Section A'!$AN$124:$AN$175,P25)),1)</f>
        <v/>
      </c>
      <c r="P25" t="str">
        <f t="array" ref="P25">IFERROR(INDEX('Overview - Section A'!$AN$124:$AN$175,MATCH(0,COUNTIF($P$1:P24,'Overview - Section A'!$AN$124:$AN$175&amp;"")+IF('Overview - Section A'!$AN$124:$AN$175="",1,0),0)),"")</f>
        <v/>
      </c>
      <c r="Q25" t="str">
        <f ca="1">OFFSET('Overview - Section A'!$AK$124,MATCH(P25,'Overview - Section A'!$AN$124:$AN$175,0)-1,1,IF(COUNTIF('Overview - Section A'!$AN$124:$AN$175,P25)&gt;1,1,COUNTIF('Overview - Section A'!$AN$124:$AN$175,P25)),1)</f>
        <v/>
      </c>
    </row>
    <row r="26" spans="1:17">
      <c r="A26" t="s">
        <v>5190</v>
      </c>
      <c r="B26">
        <f ca="1">MAX('update Helper'!P519:P880)</f>
        <v>180</v>
      </c>
      <c r="G26" t="str">
        <f ca="1">IF(OFFSET('Overview - Section A'!J$31,H26,0)&lt;&gt;0,OFFSET('Overview - Section A'!E$31,H26,0),"")</f>
        <v/>
      </c>
      <c r="H26">
        <v>3</v>
      </c>
      <c r="I26" t="str">
        <f ca="1">IFERROR(LOOKUP(2,1/((COUNTIF(I$14:I25,$G$15:$G$41)=0)*($G$15:$G$41&lt;&gt;"")),$G$15:$G$41),"")</f>
        <v/>
      </c>
      <c r="L26" t="str">
        <f t="array" ref="L26">IFERROR(INDEX(SectionAPopulation,MATCH(0,COUNTIF($L$1:L25,SectionAPopulation&amp;"")+IF(SectionAPopulation="",1,0),0)),"")</f>
        <v/>
      </c>
      <c r="O26" t="str">
        <f ca="1">OFFSET('Overview - Section A'!$AK$124,MATCH(P26,'Overview - Section A'!$AN$124:$AN$175,0)-1,0,IF(COUNTIF('Overview - Section A'!$AN$124:$AN$175,P26)&gt;1,1,COUNTIF('Overview - Section A'!$AN$124:$AN$175,P26)),1)</f>
        <v/>
      </c>
      <c r="P26" t="str">
        <f t="array" ref="P26">IFERROR(INDEX('Overview - Section A'!$AN$124:$AN$175,MATCH(0,COUNTIF($P$1:P25,'Overview - Section A'!$AN$124:$AN$175&amp;"")+IF('Overview - Section A'!$AN$124:$AN$175="",1,0),0)),"")</f>
        <v/>
      </c>
      <c r="Q26" t="str">
        <f ca="1">OFFSET('Overview - Section A'!$AK$124,MATCH(P26,'Overview - Section A'!$AN$124:$AN$175,0)-1,1,IF(COUNTIF('Overview - Section A'!$AN$124:$AN$175,P26)&gt;1,1,COUNTIF('Overview - Section A'!$AN$124:$AN$175,P26)),1)</f>
        <v/>
      </c>
    </row>
    <row r="27" spans="1:17">
      <c r="A27" t="s">
        <v>5191</v>
      </c>
      <c r="B27">
        <f ca="1">MAX('update Helper'!P519:P880)</f>
        <v>180</v>
      </c>
      <c r="G27" t="str">
        <f ca="1">IF(OFFSET('Overview - Section A'!J$31,H27,0)&lt;&gt;0,OFFSET('Overview - Section A'!E$31,H27,0),"")</f>
        <v/>
      </c>
      <c r="H27">
        <v>4</v>
      </c>
      <c r="I27" t="str">
        <f ca="1">IFERROR(LOOKUP(2,1/((COUNTIF(I$14:I26,$G$15:$G$41)=0)*($G$15:$G$41&lt;&gt;"")),$G$15:$G$41),"")</f>
        <v/>
      </c>
      <c r="L27" t="str">
        <f t="array" ref="L27">IFERROR(INDEX(SectionAPopulation,MATCH(0,COUNTIF($L$1:L26,SectionAPopulation&amp;"")+IF(SectionAPopulation="",1,0),0)),"")</f>
        <v/>
      </c>
      <c r="O27" t="str">
        <f ca="1">OFFSET('Overview - Section A'!$AK$124,MATCH(P27,'Overview - Section A'!$AN$124:$AN$175,0)-1,0,IF(COUNTIF('Overview - Section A'!$AN$124:$AN$175,P27)&gt;1,1,COUNTIF('Overview - Section A'!$AN$124:$AN$175,P27)),1)</f>
        <v/>
      </c>
      <c r="P27" t="str">
        <f t="array" ref="P27">IFERROR(INDEX('Overview - Section A'!$AN$124:$AN$175,MATCH(0,COUNTIF($P$1:P26,'Overview - Section A'!$AN$124:$AN$175&amp;"")+IF('Overview - Section A'!$AN$124:$AN$175="",1,0),0)),"")</f>
        <v/>
      </c>
      <c r="Q27" t="str">
        <f ca="1">OFFSET('Overview - Section A'!$AK$124,MATCH(P27,'Overview - Section A'!$AN$124:$AN$175,0)-1,1,IF(COUNTIF('Overview - Section A'!$AN$124:$AN$175,P27)&gt;1,1,COUNTIF('Overview - Section A'!$AN$124:$AN$175,P27)),1)</f>
        <v/>
      </c>
    </row>
    <row r="28" spans="1:17">
      <c r="G28" t="str">
        <f ca="1">IF(OFFSET('Overview - Section A'!J$31,H28,0)&lt;&gt;0,OFFSET('Overview - Section A'!E$31,H28,0),"")</f>
        <v/>
      </c>
      <c r="H28">
        <v>5</v>
      </c>
      <c r="I28" t="str">
        <f ca="1">IFERROR(LOOKUP(2,1/((COUNTIF(I$14:I27,$G$15:$G$41)=0)*($G$15:$G$41&lt;&gt;"")),$G$15:$G$41),"")</f>
        <v/>
      </c>
      <c r="L28" t="str">
        <f t="array" ref="L28">IFERROR(INDEX(SectionAPopulation,MATCH(0,COUNTIF($L$1:L27,SectionAPopulation&amp;"")+IF(SectionAPopulation="",1,0),0)),"")</f>
        <v/>
      </c>
      <c r="O28" t="str">
        <f ca="1">OFFSET('Overview - Section A'!$AK$124,MATCH(P28,'Overview - Section A'!$AN$124:$AN$175,0)-1,0,IF(COUNTIF('Overview - Section A'!$AN$124:$AN$175,P28)&gt;1,1,COUNTIF('Overview - Section A'!$AN$124:$AN$175,P28)),1)</f>
        <v/>
      </c>
      <c r="P28" t="str">
        <f t="array" ref="P28">IFERROR(INDEX('Overview - Section A'!$AN$124:$AN$175,MATCH(0,COUNTIF($P$1:P27,'Overview - Section A'!$AN$124:$AN$175&amp;"")+IF('Overview - Section A'!$AN$124:$AN$175="",1,0),0)),"")</f>
        <v/>
      </c>
      <c r="Q28" t="str">
        <f ca="1">OFFSET('Overview - Section A'!$AK$124,MATCH(P28,'Overview - Section A'!$AN$124:$AN$175,0)-1,1,IF(COUNTIF('Overview - Section A'!$AN$124:$AN$175,P28)&gt;1,1,COUNTIF('Overview - Section A'!$AN$124:$AN$175,P28)),1)</f>
        <v/>
      </c>
    </row>
    <row r="29" spans="1:17">
      <c r="A29" t="s">
        <v>3013</v>
      </c>
      <c r="G29" t="str">
        <f ca="1">IF(OFFSET('Overview - Section A'!J$31,H29,0)&lt;&gt;0,OFFSET('Overview - Section A'!E$31,H29,0),"")</f>
        <v/>
      </c>
      <c r="H29">
        <v>6</v>
      </c>
      <c r="I29" t="str">
        <f ca="1">IFERROR(LOOKUP(2,1/((COUNTIF(I$14:I28,$G$15:$G$41)=0)*($G$15:$G$41&lt;&gt;"")),$G$15:$G$41),"")</f>
        <v/>
      </c>
      <c r="L29" t="str">
        <f t="array" ref="L29">IFERROR(INDEX(SectionAPopulation,MATCH(0,COUNTIF($L$1:L28,SectionAPopulation&amp;"")+IF(SectionAPopulation="",1,0),0)),"")</f>
        <v/>
      </c>
      <c r="O29" t="str">
        <f ca="1">OFFSET('Overview - Section A'!$AK$124,MATCH(P29,'Overview - Section A'!$AN$124:$AN$175,0)-1,0,IF(COUNTIF('Overview - Section A'!$AN$124:$AN$175,P29)&gt;1,1,COUNTIF('Overview - Section A'!$AN$124:$AN$175,P29)),1)</f>
        <v/>
      </c>
      <c r="P29" t="str">
        <f t="array" ref="P29">IFERROR(INDEX('Overview - Section A'!$AN$124:$AN$175,MATCH(0,COUNTIF($P$1:P28,'Overview - Section A'!$AN$124:$AN$175&amp;"")+IF('Overview - Section A'!$AN$124:$AN$175="",1,0),0)),"")</f>
        <v/>
      </c>
      <c r="Q29" t="str">
        <f ca="1">OFFSET('Overview - Section A'!$AK$124,MATCH(P29,'Overview - Section A'!$AN$124:$AN$175,0)-1,1,IF(COUNTIF('Overview - Section A'!$AN$124:$AN$175,P29)&gt;1,1,COUNTIF('Overview - Section A'!$AN$124:$AN$175,P29)),1)</f>
        <v/>
      </c>
    </row>
    <row r="30" spans="1:17">
      <c r="G30" t="str">
        <f ca="1">IF(OFFSET('Overview - Section A'!J$31,H30,0)&lt;&gt;0,OFFSET('Overview - Section A'!E$31,H30,0),"")</f>
        <v/>
      </c>
      <c r="H30">
        <v>7</v>
      </c>
      <c r="I30" t="str">
        <f ca="1">IFERROR(LOOKUP(2,1/((COUNTIF(I$14:I29,$G$15:$G$41)=0)*($G$15:$G$41&lt;&gt;"")),$G$15:$G$41),"")</f>
        <v/>
      </c>
      <c r="L30" t="str">
        <f t="array" ref="L30">IFERROR(INDEX(SectionAPopulation,MATCH(0,COUNTIF($L$1:L29,SectionAPopulation&amp;"")+IF(SectionAPopulation="",1,0),0)),"")</f>
        <v/>
      </c>
      <c r="O30" t="str">
        <f ca="1">OFFSET('Overview - Section A'!$AK$124,MATCH(P30,'Overview - Section A'!$AN$124:$AN$175,0)-1,0,IF(COUNTIF('Overview - Section A'!$AN$124:$AN$175,P30)&gt;1,1,COUNTIF('Overview - Section A'!$AN$124:$AN$175,P30)),1)</f>
        <v/>
      </c>
      <c r="P30" t="str">
        <f t="array" ref="P30">IFERROR(INDEX('Overview - Section A'!$AN$124:$AN$175,MATCH(0,COUNTIF($P$1:P29,'Overview - Section A'!$AN$124:$AN$175&amp;"")+IF('Overview - Section A'!$AN$124:$AN$175="",1,0),0)),"")</f>
        <v/>
      </c>
      <c r="Q30" t="str">
        <f ca="1">OFFSET('Overview - Section A'!$AK$124,MATCH(P30,'Overview - Section A'!$AN$124:$AN$175,0)-1,1,IF(COUNTIF('Overview - Section A'!$AN$124:$AN$175,P30)&gt;1,1,COUNTIF('Overview - Section A'!$AN$124:$AN$175,P30)),1)</f>
        <v/>
      </c>
    </row>
    <row r="31" spans="1:17">
      <c r="C31">
        <v>2002</v>
      </c>
      <c r="G31" t="str">
        <f ca="1">IF(OFFSET('Overview - Section A'!J$31,H31,0)&lt;&gt;0,OFFSET('Overview - Section A'!E$31,H31,0),"")</f>
        <v/>
      </c>
      <c r="H31">
        <v>8</v>
      </c>
      <c r="I31" t="str">
        <f ca="1">IFERROR(LOOKUP(2,1/((COUNTIF(I$14:I30,$G$15:$G$41)=0)*($G$15:$G$41&lt;&gt;"")),$G$15:$G$41),"")</f>
        <v/>
      </c>
      <c r="L31" t="str">
        <f t="array" ref="L31">IFERROR(INDEX(SectionAPopulation,MATCH(0,COUNTIF($L$1:L30,SectionAPopulation&amp;"")+IF(SectionAPopulation="",1,0),0)),"")</f>
        <v/>
      </c>
      <c r="O31" t="str">
        <f ca="1">OFFSET('Overview - Section A'!$AK$124,MATCH(P31,'Overview - Section A'!$AN$124:$AN$175,0)-1,0,IF(COUNTIF('Overview - Section A'!$AN$124:$AN$175,P31)&gt;1,1,COUNTIF('Overview - Section A'!$AN$124:$AN$175,P31)),1)</f>
        <v/>
      </c>
      <c r="P31" t="str">
        <f t="array" ref="P31">IFERROR(INDEX('Overview - Section A'!$AN$124:$AN$175,MATCH(0,COUNTIF($P$1:P30,'Overview - Section A'!$AN$124:$AN$175&amp;"")+IF('Overview - Section A'!$AN$124:$AN$175="",1,0),0)),"")</f>
        <v/>
      </c>
      <c r="Q31" t="str">
        <f ca="1">OFFSET('Overview - Section A'!$AK$124,MATCH(P31,'Overview - Section A'!$AN$124:$AN$175,0)-1,1,IF(COUNTIF('Overview - Section A'!$AN$124:$AN$175,P31)&gt;1,1,COUNTIF('Overview - Section A'!$AN$124:$AN$175,P31)),1)</f>
        <v/>
      </c>
    </row>
    <row r="32" spans="1:17">
      <c r="A32" t="s">
        <v>5192</v>
      </c>
      <c r="C32">
        <v>2003</v>
      </c>
      <c r="G32" t="str">
        <f ca="1">IF(OFFSET('Overview - Section A'!J$31,H32,0)&lt;&gt;0,OFFSET('Overview - Section A'!E$31,H32,0),"")</f>
        <v/>
      </c>
      <c r="H32">
        <v>9</v>
      </c>
      <c r="I32" t="str">
        <f ca="1">IFERROR(LOOKUP(2,1/((COUNTIF(I$14:I31,$G$15:$G$41)=0)*($G$15:$G$41&lt;&gt;"")),$G$15:$G$41),"")</f>
        <v/>
      </c>
      <c r="L32" t="str">
        <f t="array" ref="L32">IFERROR(INDEX(SectionAPopulation,MATCH(0,COUNTIF($L$1:L31,SectionAPopulation&amp;"")+IF(SectionAPopulation="",1,0),0)),"")</f>
        <v/>
      </c>
      <c r="O32" t="str">
        <f ca="1">OFFSET('Overview - Section A'!$AK$124,MATCH(P32,'Overview - Section A'!$AN$124:$AN$175,0)-1,0,IF(COUNTIF('Overview - Section A'!$AN$124:$AN$175,P32)&gt;1,1,COUNTIF('Overview - Section A'!$AN$124:$AN$175,P32)),1)</f>
        <v/>
      </c>
      <c r="P32" t="str">
        <f t="array" ref="P32">IFERROR(INDEX('Overview - Section A'!$AN$124:$AN$175,MATCH(0,COUNTIF($P$1:P31,'Overview - Section A'!$AN$124:$AN$175&amp;"")+IF('Overview - Section A'!$AN$124:$AN$175="",1,0),0)),"")</f>
        <v/>
      </c>
      <c r="Q32" t="str">
        <f ca="1">OFFSET('Overview - Section A'!$AK$124,MATCH(P32,'Overview - Section A'!$AN$124:$AN$175,0)-1,1,IF(COUNTIF('Overview - Section A'!$AN$124:$AN$175,P32)&gt;1,1,COUNTIF('Overview - Section A'!$AN$124:$AN$175,P32)),1)</f>
        <v/>
      </c>
    </row>
    <row r="33" spans="1:17">
      <c r="A33" t="str">
        <f ca="1">IF(ISNUMBER(DATEVALUE(TEXT(TODAY(),"a-mmm-jj"))),"j-mmm-aa","[$-en-GB]d-mmm-yy")</f>
        <v>[$-en-GB]d-mmm-yy</v>
      </c>
      <c r="C33">
        <v>2004</v>
      </c>
      <c r="G33" t="str">
        <f ca="1">IF(AND(OFFSET('Overview - Section A'!K$31,H33,0)&lt;&gt;0,OFFSET('Overview - Section A'!D$31,H33,0)&lt;&gt;0),OFFSET('Overview - Section A'!D$31,H33,0),"")</f>
        <v/>
      </c>
      <c r="H33">
        <v>1</v>
      </c>
      <c r="I33" t="str">
        <f ca="1">IFERROR(LOOKUP(2,1/((COUNTIF(I$14:I32,$G$15:$G$41)=0)*($G$15:$G$41&lt;&gt;"")),$G$15:$G$41),"")</f>
        <v/>
      </c>
      <c r="L33" t="str">
        <f t="array" ref="L33">IFERROR(INDEX(SectionAPopulation,MATCH(0,COUNTIF($L$1:L32,SectionAPopulation&amp;"")+IF(SectionAPopulation="",1,0),0)),"")</f>
        <v/>
      </c>
      <c r="O33" t="str">
        <f ca="1">OFFSET('Overview - Section A'!$AK$124,MATCH(P33,'Overview - Section A'!$AN$124:$AN$175,0)-1,0,IF(COUNTIF('Overview - Section A'!$AN$124:$AN$175,P33)&gt;1,1,COUNTIF('Overview - Section A'!$AN$124:$AN$175,P33)),1)</f>
        <v/>
      </c>
      <c r="P33" t="str">
        <f t="array" ref="P33">IFERROR(INDEX('Overview - Section A'!$AN$124:$AN$175,MATCH(0,COUNTIF($P$1:P32,'Overview - Section A'!$AN$124:$AN$175&amp;"")+IF('Overview - Section A'!$AN$124:$AN$175="",1,0),0)),"")</f>
        <v/>
      </c>
      <c r="Q33" t="str">
        <f ca="1">OFFSET('Overview - Section A'!$AK$124,MATCH(P33,'Overview - Section A'!$AN$124:$AN$175,0)-1,1,IF(COUNTIF('Overview - Section A'!$AN$124:$AN$175,P33)&gt;1,1,COUNTIF('Overview - Section A'!$AN$124:$AN$175,P33)),1)</f>
        <v/>
      </c>
    </row>
    <row r="34" spans="1:17">
      <c r="C34">
        <v>2005</v>
      </c>
      <c r="G34" t="str">
        <f ca="1">IF(AND(OFFSET('Overview - Section A'!K$31,H34,0)&lt;&gt;0,OFFSET('Overview - Section A'!D$31,H34,0)&lt;&gt;0),OFFSET('Overview - Section A'!D$31,H34,0),"")</f>
        <v/>
      </c>
      <c r="H34">
        <v>2</v>
      </c>
      <c r="I34" t="str">
        <f ca="1">IFERROR(LOOKUP(2,1/((COUNTIF(I$14:I33,$G$15:$G$41)=0)*($G$15:$G$41&lt;&gt;"")),$G$15:$G$41),"")</f>
        <v/>
      </c>
      <c r="L34" t="str">
        <f t="array" ref="L34">IFERROR(INDEX(SectionAPopulation,MATCH(0,COUNTIF($L$1:L33,SectionAPopulation&amp;"")+IF(SectionAPopulation="",1,0),0)),"")</f>
        <v/>
      </c>
      <c r="O34" t="str">
        <f ca="1">OFFSET('Overview - Section A'!$AK$124,MATCH(P34,'Overview - Section A'!$AN$124:$AN$175,0)-1,0,IF(COUNTIF('Overview - Section A'!$AN$124:$AN$175,P34)&gt;1,1,COUNTIF('Overview - Section A'!$AN$124:$AN$175,P34)),1)</f>
        <v/>
      </c>
      <c r="P34" t="str">
        <f t="array" ref="P34">IFERROR(INDEX('Overview - Section A'!$AN$124:$AN$175,MATCH(0,COUNTIF($P$1:P33,'Overview - Section A'!$AN$124:$AN$175&amp;"")+IF('Overview - Section A'!$AN$124:$AN$175="",1,0),0)),"")</f>
        <v/>
      </c>
      <c r="Q34" t="str">
        <f ca="1">OFFSET('Overview - Section A'!$AK$124,MATCH(P34,'Overview - Section A'!$AN$124:$AN$175,0)-1,1,IF(COUNTIF('Overview - Section A'!$AN$124:$AN$175,P34)&gt;1,1,COUNTIF('Overview - Section A'!$AN$124:$AN$175,P34)),1)</f>
        <v/>
      </c>
    </row>
    <row r="35" spans="1:17">
      <c r="C35">
        <v>2006</v>
      </c>
      <c r="G35" t="str">
        <f ca="1">IF(AND(OFFSET('Overview - Section A'!K$31,H35,0)&lt;&gt;0,OFFSET('Overview - Section A'!D$31,H35,0)&lt;&gt;0),OFFSET('Overview - Section A'!D$31,H35,0),"")</f>
        <v/>
      </c>
      <c r="H35">
        <v>3</v>
      </c>
      <c r="I35" t="str">
        <f ca="1">IFERROR(LOOKUP(2,1/((COUNTIF(I$14:I34,$G$15:$G$41)=0)*($G$15:$G$41&lt;&gt;"")),$G$15:$G$41),"")</f>
        <v/>
      </c>
      <c r="L35" t="str">
        <f t="array" ref="L35">IFERROR(INDEX(SectionAPopulation,MATCH(0,COUNTIF($L$1:L34,SectionAPopulation&amp;"")+IF(SectionAPopulation="",1,0),0)),"")</f>
        <v/>
      </c>
      <c r="O35" t="str">
        <f ca="1">OFFSET('Overview - Section A'!$AK$124,MATCH(P35,'Overview - Section A'!$AN$124:$AN$175,0)-1,0,IF(COUNTIF('Overview - Section A'!$AN$124:$AN$175,P35)&gt;1,1,COUNTIF('Overview - Section A'!$AN$124:$AN$175,P35)),1)</f>
        <v/>
      </c>
      <c r="P35" t="str">
        <f t="array" ref="P35">IFERROR(INDEX('Overview - Section A'!$AN$124:$AN$175,MATCH(0,COUNTIF($P$1:P34,'Overview - Section A'!$AN$124:$AN$175&amp;"")+IF('Overview - Section A'!$AN$124:$AN$175="",1,0),0)),"")</f>
        <v/>
      </c>
      <c r="Q35" t="str">
        <f ca="1">OFFSET('Overview - Section A'!$AK$124,MATCH(P35,'Overview - Section A'!$AN$124:$AN$175,0)-1,1,IF(COUNTIF('Overview - Section A'!$AN$124:$AN$175,P35)&gt;1,1,COUNTIF('Overview - Section A'!$AN$124:$AN$175,P35)),1)</f>
        <v/>
      </c>
    </row>
    <row r="36" spans="1:17">
      <c r="C36">
        <v>2007</v>
      </c>
      <c r="G36" t="str">
        <f ca="1">IF(AND(OFFSET('Overview - Section A'!K$31,H36,0)&lt;&gt;0,OFFSET('Overview - Section A'!D$31,H36,0)&lt;&gt;0),OFFSET('Overview - Section A'!D$31,H36,0),"")</f>
        <v/>
      </c>
      <c r="H36">
        <v>4</v>
      </c>
      <c r="I36" t="str">
        <f ca="1">IFERROR(LOOKUP(2,1/((COUNTIF(I$14:I35,$G$15:$G$41)=0)*($G$15:$G$41&lt;&gt;"")),$G$15:$G$41),"")</f>
        <v/>
      </c>
      <c r="L36" t="str">
        <f t="array" ref="L36">IFERROR(INDEX(SectionAPopulation,MATCH(0,COUNTIF($L$1:L35,SectionAPopulation&amp;"")+IF(SectionAPopulation="",1,0),0)),"")</f>
        <v/>
      </c>
      <c r="O36" t="str">
        <f ca="1">OFFSET('Overview - Section A'!$AK$124,MATCH(P36,'Overview - Section A'!$AN$124:$AN$175,0)-1,0,IF(COUNTIF('Overview - Section A'!$AN$124:$AN$175,P36)&gt;1,1,COUNTIF('Overview - Section A'!$AN$124:$AN$175,P36)),1)</f>
        <v/>
      </c>
      <c r="P36" t="str">
        <f t="array" ref="P36">IFERROR(INDEX('Overview - Section A'!$AN$124:$AN$175,MATCH(0,COUNTIF($P$1:P35,'Overview - Section A'!$AN$124:$AN$175&amp;"")+IF('Overview - Section A'!$AN$124:$AN$175="",1,0),0)),"")</f>
        <v/>
      </c>
      <c r="Q36" t="str">
        <f ca="1">OFFSET('Overview - Section A'!$AK$124,MATCH(P36,'Overview - Section A'!$AN$124:$AN$175,0)-1,1,IF(COUNTIF('Overview - Section A'!$AN$124:$AN$175,P36)&gt;1,1,COUNTIF('Overview - Section A'!$AN$124:$AN$175,P36)),1)</f>
        <v/>
      </c>
    </row>
    <row r="37" spans="1:17">
      <c r="C37">
        <v>2008</v>
      </c>
      <c r="G37" t="str">
        <f ca="1">IF(AND(OFFSET('Overview - Section A'!K$31,H37,0)&lt;&gt;0,OFFSET('Overview - Section A'!D$31,H37,0)&lt;&gt;0),OFFSET('Overview - Section A'!D$31,H37,0),"")</f>
        <v/>
      </c>
      <c r="H37">
        <v>5</v>
      </c>
      <c r="I37" t="str">
        <f ca="1">IFERROR(LOOKUP(2,1/((COUNTIF(I$14:I36,$G$15:$G$41)=0)*($G$15:$G$41&lt;&gt;"")),$G$15:$G$41),"")</f>
        <v/>
      </c>
      <c r="L37" t="str">
        <f t="array" ref="L37">IFERROR(INDEX(SectionAPopulation,MATCH(0,COUNTIF($L$1:L36,SectionAPopulation&amp;"")+IF(SectionAPopulation="",1,0),0)),"")</f>
        <v/>
      </c>
      <c r="O37" t="str">
        <f ca="1">OFFSET('Overview - Section A'!$AK$124,MATCH(P37,'Overview - Section A'!$AN$124:$AN$175,0)-1,0,IF(COUNTIF('Overview - Section A'!$AN$124:$AN$175,P37)&gt;1,1,COUNTIF('Overview - Section A'!$AN$124:$AN$175,P37)),1)</f>
        <v/>
      </c>
      <c r="P37" t="str">
        <f t="array" ref="P37">IFERROR(INDEX('Overview - Section A'!$AN$124:$AN$175,MATCH(0,COUNTIF($P$1:P36,'Overview - Section A'!$AN$124:$AN$175&amp;"")+IF('Overview - Section A'!$AN$124:$AN$175="",1,0),0)),"")</f>
        <v/>
      </c>
      <c r="Q37" t="str">
        <f ca="1">OFFSET('Overview - Section A'!$AK$124,MATCH(P37,'Overview - Section A'!$AN$124:$AN$175,0)-1,1,IF(COUNTIF('Overview - Section A'!$AN$124:$AN$175,P37)&gt;1,1,COUNTIF('Overview - Section A'!$AN$124:$AN$175,P37)),1)</f>
        <v/>
      </c>
    </row>
    <row r="38" spans="1:17">
      <c r="C38">
        <v>2009</v>
      </c>
      <c r="G38" t="str">
        <f ca="1">IF(AND(OFFSET('Overview - Section A'!K$31,H38,0)&lt;&gt;0,OFFSET('Overview - Section A'!D$31,H38,0)&lt;&gt;0),OFFSET('Overview - Section A'!D$31,H38,0),"")</f>
        <v/>
      </c>
      <c r="H38">
        <v>6</v>
      </c>
      <c r="I38" t="str">
        <f ca="1">IFERROR(LOOKUP(2,1/((COUNTIF(I$14:I37,$G$15:$G$41)=0)*($G$15:$G$41&lt;&gt;"")),$G$15:$G$41),"")</f>
        <v/>
      </c>
      <c r="L38" t="str">
        <f t="array" ref="L38">IFERROR(INDEX(SectionAPopulation,MATCH(0,COUNTIF($L$1:L37,SectionAPopulation&amp;"")+IF(SectionAPopulation="",1,0),0)),"")</f>
        <v/>
      </c>
      <c r="O38" t="str">
        <f ca="1">OFFSET('Overview - Section A'!$AK$124,MATCH(P38,'Overview - Section A'!$AN$124:$AN$175,0)-1,0,IF(COUNTIF('Overview - Section A'!$AN$124:$AN$175,P38)&gt;1,1,COUNTIF('Overview - Section A'!$AN$124:$AN$175,P38)),1)</f>
        <v/>
      </c>
      <c r="P38" t="str">
        <f t="array" ref="P38">IFERROR(INDEX('Overview - Section A'!$AN$124:$AN$175,MATCH(0,COUNTIF($P$1:P37,'Overview - Section A'!$AN$124:$AN$175&amp;"")+IF('Overview - Section A'!$AN$124:$AN$175="",1,0),0)),"")</f>
        <v/>
      </c>
      <c r="Q38" t="str">
        <f ca="1">OFFSET('Overview - Section A'!$AK$124,MATCH(P38,'Overview - Section A'!$AN$124:$AN$175,0)-1,1,IF(COUNTIF('Overview - Section A'!$AN$124:$AN$175,P38)&gt;1,1,COUNTIF('Overview - Section A'!$AN$124:$AN$175,P38)),1)</f>
        <v/>
      </c>
    </row>
    <row r="39" spans="1:17">
      <c r="C39">
        <v>2010</v>
      </c>
      <c r="G39" t="str">
        <f ca="1">IF(AND(OFFSET('Overview - Section A'!K$31,H39,0)&lt;&gt;0,OFFSET('Overview - Section A'!D$31,H39,0)&lt;&gt;0),OFFSET('Overview - Section A'!D$31,H39,0),"")</f>
        <v/>
      </c>
      <c r="H39">
        <v>7</v>
      </c>
      <c r="I39" t="str">
        <f ca="1">IFERROR(LOOKUP(2,1/((COUNTIF(I$14:I38,$G$15:$G$41)=0)*($G$15:$G$41&lt;&gt;"")),$G$15:$G$41),"")</f>
        <v/>
      </c>
      <c r="L39" t="str">
        <f t="array" ref="L39">IFERROR(INDEX(SectionAPopulation,MATCH(0,COUNTIF($L$1:L38,SectionAPopulation&amp;"")+IF(SectionAPopulation="",1,0),0)),"")</f>
        <v/>
      </c>
      <c r="O39" t="str">
        <f ca="1">OFFSET('Overview - Section A'!$AK$124,MATCH(P39,'Overview - Section A'!$AN$124:$AN$175,0)-1,0,IF(COUNTIF('Overview - Section A'!$AN$124:$AN$175,P39)&gt;1,1,COUNTIF('Overview - Section A'!$AN$124:$AN$175,P39)),1)</f>
        <v/>
      </c>
      <c r="P39" t="str">
        <f t="array" ref="P39">IFERROR(INDEX('Overview - Section A'!$AN$124:$AN$175,MATCH(0,COUNTIF($P$1:P38,'Overview - Section A'!$AN$124:$AN$175&amp;"")+IF('Overview - Section A'!$AN$124:$AN$175="",1,0),0)),"")</f>
        <v/>
      </c>
      <c r="Q39" t="str">
        <f ca="1">OFFSET('Overview - Section A'!$AK$124,MATCH(P39,'Overview - Section A'!$AN$124:$AN$175,0)-1,1,IF(COUNTIF('Overview - Section A'!$AN$124:$AN$175,P39)&gt;1,1,COUNTIF('Overview - Section A'!$AN$124:$AN$175,P39)),1)</f>
        <v/>
      </c>
    </row>
    <row r="40" spans="1:17">
      <c r="C40">
        <v>2011</v>
      </c>
      <c r="G40" t="str">
        <f ca="1">IF(AND(OFFSET('Overview - Section A'!K$31,H40,0)&lt;&gt;0,OFFSET('Overview - Section A'!D$31,H40,0)&lt;&gt;0),OFFSET('Overview - Section A'!D$31,H40,0),"")</f>
        <v/>
      </c>
      <c r="H40">
        <v>8</v>
      </c>
      <c r="I40" t="str">
        <f ca="1">IFERROR(LOOKUP(2,1/((COUNTIF(I$14:I39,$G$15:$G$41)=0)*($G$15:$G$41&lt;&gt;"")),$G$15:$G$41),"")</f>
        <v/>
      </c>
      <c r="L40" t="str">
        <f t="array" ref="L40">IFERROR(INDEX(SectionAPopulation,MATCH(0,COUNTIF($L$1:L39,SectionAPopulation&amp;"")+IF(SectionAPopulation="",1,0),0)),"")</f>
        <v/>
      </c>
      <c r="O40" t="str">
        <f ca="1">OFFSET('Overview - Section A'!$AK$124,MATCH(P40,'Overview - Section A'!$AN$124:$AN$175,0)-1,0,IF(COUNTIF('Overview - Section A'!$AN$124:$AN$175,P40)&gt;1,1,COUNTIF('Overview - Section A'!$AN$124:$AN$175,P40)),1)</f>
        <v/>
      </c>
      <c r="P40" t="str">
        <f t="array" ref="P40">IFERROR(INDEX('Overview - Section A'!$AN$124:$AN$175,MATCH(0,COUNTIF($P$1:P39,'Overview - Section A'!$AN$124:$AN$175&amp;"")+IF('Overview - Section A'!$AN$124:$AN$175="",1,0),0)),"")</f>
        <v/>
      </c>
      <c r="Q40" t="str">
        <f ca="1">OFFSET('Overview - Section A'!$AK$124,MATCH(P40,'Overview - Section A'!$AN$124:$AN$175,0)-1,1,IF(COUNTIF('Overview - Section A'!$AN$124:$AN$175,P40)&gt;1,1,COUNTIF('Overview - Section A'!$AN$124:$AN$175,P40)),1)</f>
        <v/>
      </c>
    </row>
    <row r="41" spans="1:17">
      <c r="C41">
        <v>2012</v>
      </c>
      <c r="G41" t="str">
        <f ca="1">IF(AND(OFFSET('Overview - Section A'!K$31,H41,0)&lt;&gt;0,OFFSET('Overview - Section A'!D$31,H41,0)&lt;&gt;0),OFFSET('Overview - Section A'!D$31,H41,0),"")</f>
        <v/>
      </c>
      <c r="H41">
        <v>9</v>
      </c>
      <c r="I41" t="str">
        <f ca="1">IFERROR(LOOKUP(2,1/((COUNTIF(I$14:I40,$G$15:$G$41)=0)*($G$15:$G$41&lt;&gt;"")),$G$15:$G$41),"")</f>
        <v/>
      </c>
      <c r="L41" t="str">
        <f t="array" ref="L41">IFERROR(INDEX(SectionAPopulation,MATCH(0,COUNTIF($L$1:L40,SectionAPopulation&amp;"")+IF(SectionAPopulation="",1,0),0)),"")</f>
        <v/>
      </c>
      <c r="O41" t="str">
        <f ca="1">OFFSET('Overview - Section A'!$AK$124,MATCH(P41,'Overview - Section A'!$AN$124:$AN$175,0)-1,0,IF(COUNTIF('Overview - Section A'!$AN$124:$AN$175,P41)&gt;1,1,COUNTIF('Overview - Section A'!$AN$124:$AN$175,P41)),1)</f>
        <v/>
      </c>
      <c r="P41" t="str">
        <f t="array" ref="P41">IFERROR(INDEX('Overview - Section A'!$AN$124:$AN$175,MATCH(0,COUNTIF($P$1:P40,'Overview - Section A'!$AN$124:$AN$175&amp;"")+IF('Overview - Section A'!$AN$124:$AN$175="",1,0),0)),"")</f>
        <v/>
      </c>
      <c r="Q41" t="str">
        <f ca="1">OFFSET('Overview - Section A'!$AK$124,MATCH(P41,'Overview - Section A'!$AN$124:$AN$175,0)-1,1,IF(COUNTIF('Overview - Section A'!$AN$124:$AN$175,P41)&gt;1,1,COUNTIF('Overview - Section A'!$AN$124:$AN$175,P41)),1)</f>
        <v/>
      </c>
    </row>
    <row r="42" spans="1:17">
      <c r="C42">
        <v>2013</v>
      </c>
      <c r="L42" t="str">
        <f t="array" ref="L42">IFERROR(INDEX(SectionAPopulation,MATCH(0,COUNTIF($L$1:L41,SectionAPopulation&amp;"")+IF(SectionAPopulation="",1,0),0)),"")</f>
        <v/>
      </c>
      <c r="O42" t="str">
        <f ca="1">OFFSET('Overview - Section A'!$AK$124,MATCH(P42,'Overview - Section A'!$AN$124:$AN$175,0)-1,0,IF(COUNTIF('Overview - Section A'!$AN$124:$AN$175,P42)&gt;1,1,COUNTIF('Overview - Section A'!$AN$124:$AN$175,P42)),1)</f>
        <v/>
      </c>
      <c r="P42" t="str">
        <f t="array" ref="P42">IFERROR(INDEX('Overview - Section A'!$AN$124:$AN$175,MATCH(0,COUNTIF($P$1:P41,'Overview - Section A'!$AN$124:$AN$175&amp;"")+IF('Overview - Section A'!$AN$124:$AN$175="",1,0),0)),"")</f>
        <v/>
      </c>
      <c r="Q42" t="str">
        <f ca="1">OFFSET('Overview - Section A'!$AK$124,MATCH(P42,'Overview - Section A'!$AN$124:$AN$175,0)-1,1,IF(COUNTIF('Overview - Section A'!$AN$124:$AN$175,P42)&gt;1,1,COUNTIF('Overview - Section A'!$AN$124:$AN$175,P42)),1)</f>
        <v/>
      </c>
    </row>
    <row r="43" spans="1:17">
      <c r="C43">
        <v>2014</v>
      </c>
      <c r="L43" t="str">
        <f t="array" ref="L43">IFERROR(INDEX(SectionAPopulation,MATCH(0,COUNTIF($L$1:L42,SectionAPopulation&amp;"")+IF(SectionAPopulation="",1,0),0)),"")</f>
        <v/>
      </c>
      <c r="O43" t="str">
        <f ca="1">OFFSET('Overview - Section A'!$AK$124,MATCH(P43,'Overview - Section A'!$AN$124:$AN$175,0)-1,0,IF(COUNTIF('Overview - Section A'!$AN$124:$AN$175,P43)&gt;1,1,COUNTIF('Overview - Section A'!$AN$124:$AN$175,P43)),1)</f>
        <v/>
      </c>
      <c r="P43" t="str">
        <f t="array" ref="P43">IFERROR(INDEX('Overview - Section A'!$AN$124:$AN$175,MATCH(0,COUNTIF($P$1:P42,'Overview - Section A'!$AN$124:$AN$175&amp;"")+IF('Overview - Section A'!$AN$124:$AN$175="",1,0),0)),"")</f>
        <v/>
      </c>
      <c r="Q43" t="str">
        <f ca="1">OFFSET('Overview - Section A'!$AK$124,MATCH(P43,'Overview - Section A'!$AN$124:$AN$175,0)-1,1,IF(COUNTIF('Overview - Section A'!$AN$124:$AN$175,P43)&gt;1,1,COUNTIF('Overview - Section A'!$AN$124:$AN$175,P43)),1)</f>
        <v/>
      </c>
    </row>
    <row r="44" spans="1:17">
      <c r="C44">
        <v>2015</v>
      </c>
      <c r="L44" t="str">
        <f t="array" ref="L44">IFERROR(INDEX(SectionAPopulation,MATCH(0,COUNTIF($L$1:L43,SectionAPopulation&amp;"")+IF(SectionAPopulation="",1,0),0)),"")</f>
        <v/>
      </c>
      <c r="O44" t="str">
        <f ca="1">OFFSET('Overview - Section A'!$AK$124,MATCH(P44,'Overview - Section A'!$AN$124:$AN$175,0)-1,0,IF(COUNTIF('Overview - Section A'!$AN$124:$AN$175,P44)&gt;1,1,COUNTIF('Overview - Section A'!$AN$124:$AN$175,P44)),1)</f>
        <v/>
      </c>
      <c r="P44" t="str">
        <f t="array" ref="P44">IFERROR(INDEX('Overview - Section A'!$AN$124:$AN$175,MATCH(0,COUNTIF($P$1:P43,'Overview - Section A'!$AN$124:$AN$175&amp;"")+IF('Overview - Section A'!$AN$124:$AN$175="",1,0),0)),"")</f>
        <v/>
      </c>
      <c r="Q44" t="str">
        <f ca="1">OFFSET('Overview - Section A'!$AK$124,MATCH(P44,'Overview - Section A'!$AN$124:$AN$175,0)-1,1,IF(COUNTIF('Overview - Section A'!$AN$124:$AN$175,P44)&gt;1,1,COUNTIF('Overview - Section A'!$AN$124:$AN$175,P44)),1)</f>
        <v/>
      </c>
    </row>
    <row r="45" spans="1:17">
      <c r="C45">
        <v>2016</v>
      </c>
      <c r="L45" t="str">
        <f t="array" ref="L45">IFERROR(INDEX(SectionAPopulation,MATCH(0,COUNTIF($L$1:L44,SectionAPopulation&amp;"")+IF(SectionAPopulation="",1,0),0)),"")</f>
        <v/>
      </c>
      <c r="O45" t="str">
        <f ca="1">OFFSET('Overview - Section A'!$AK$124,MATCH(P45,'Overview - Section A'!$AN$124:$AN$175,0)-1,0,IF(COUNTIF('Overview - Section A'!$AN$124:$AN$175,P45)&gt;1,1,COUNTIF('Overview - Section A'!$AN$124:$AN$175,P45)),1)</f>
        <v/>
      </c>
      <c r="P45" t="str">
        <f t="array" ref="P45">IFERROR(INDEX('Overview - Section A'!$AN$124:$AN$175,MATCH(0,COUNTIF($P$1:P44,'Overview - Section A'!$AN$124:$AN$175&amp;"")+IF('Overview - Section A'!$AN$124:$AN$175="",1,0),0)),"")</f>
        <v/>
      </c>
      <c r="Q45" t="str">
        <f ca="1">OFFSET('Overview - Section A'!$AK$124,MATCH(P45,'Overview - Section A'!$AN$124:$AN$175,0)-1,1,IF(COUNTIF('Overview - Section A'!$AN$124:$AN$175,P45)&gt;1,1,COUNTIF('Overview - Section A'!$AN$124:$AN$175,P45)),1)</f>
        <v/>
      </c>
    </row>
    <row r="46" spans="1:17">
      <c r="C46">
        <v>2017</v>
      </c>
      <c r="L46" t="str">
        <f t="array" ref="L46">IFERROR(INDEX(SectionAPopulation,MATCH(0,COUNTIF($L$1:L45,SectionAPopulation&amp;"")+IF(SectionAPopulation="",1,0),0)),"")</f>
        <v/>
      </c>
      <c r="O46" t="str">
        <f ca="1">OFFSET('Overview - Section A'!$AK$124,MATCH(P46,'Overview - Section A'!$AN$124:$AN$175,0)-1,0,IF(COUNTIF('Overview - Section A'!$AN$124:$AN$175,P46)&gt;1,1,COUNTIF('Overview - Section A'!$AN$124:$AN$175,P46)),1)</f>
        <v/>
      </c>
      <c r="P46" t="str">
        <f t="array" ref="P46">IFERROR(INDEX('Overview - Section A'!$AN$124:$AN$175,MATCH(0,COUNTIF($P$1:P45,'Overview - Section A'!$AN$124:$AN$175&amp;"")+IF('Overview - Section A'!$AN$124:$AN$175="",1,0),0)),"")</f>
        <v/>
      </c>
      <c r="Q46" t="str">
        <f ca="1">OFFSET('Overview - Section A'!$AK$124,MATCH(P46,'Overview - Section A'!$AN$124:$AN$175,0)-1,1,IF(COUNTIF('Overview - Section A'!$AN$124:$AN$175,P46)&gt;1,1,COUNTIF('Overview - Section A'!$AN$124:$AN$175,P46)),1)</f>
        <v/>
      </c>
    </row>
    <row r="47" spans="1:17">
      <c r="C47">
        <v>2018</v>
      </c>
      <c r="L47" t="str">
        <f t="array" ref="L47">IFERROR(INDEX(SectionAPopulation,MATCH(0,COUNTIF($L$1:L46,SectionAPopulation&amp;"")+IF(SectionAPopulation="",1,0),0)),"")</f>
        <v/>
      </c>
      <c r="O47" t="str">
        <f ca="1">OFFSET('Overview - Section A'!$AK$124,MATCH(P47,'Overview - Section A'!$AN$124:$AN$175,0)-1,0,IF(COUNTIF('Overview - Section A'!$AN$124:$AN$175,P47)&gt;1,1,COUNTIF('Overview - Section A'!$AN$124:$AN$175,P47)),1)</f>
        <v/>
      </c>
      <c r="P47" t="str">
        <f t="array" ref="P47">IFERROR(INDEX('Overview - Section A'!$AN$124:$AN$175,MATCH(0,COUNTIF($P$1:P46,'Overview - Section A'!$AN$124:$AN$175&amp;"")+IF('Overview - Section A'!$AN$124:$AN$175="",1,0),0)),"")</f>
        <v/>
      </c>
      <c r="Q47" t="str">
        <f ca="1">OFFSET('Overview - Section A'!$AK$124,MATCH(P47,'Overview - Section A'!$AN$124:$AN$175,0)-1,1,IF(COUNTIF('Overview - Section A'!$AN$124:$AN$175,P47)&gt;1,1,COUNTIF('Overview - Section A'!$AN$124:$AN$175,P47)),1)</f>
        <v/>
      </c>
    </row>
    <row r="48" spans="1:17">
      <c r="C48">
        <v>2019</v>
      </c>
      <c r="L48" t="str">
        <f t="array" ref="L48">IFERROR(INDEX(SectionAPopulation,MATCH(0,COUNTIF($L$1:L47,SectionAPopulation&amp;"")+IF(SectionAPopulation="",1,0),0)),"")</f>
        <v/>
      </c>
      <c r="O48" t="str">
        <f ca="1">OFFSET('Overview - Section A'!$AK$124,MATCH(P48,'Overview - Section A'!$AN$124:$AN$175,0)-1,0,IF(COUNTIF('Overview - Section A'!$AN$124:$AN$175,P48)&gt;1,1,COUNTIF('Overview - Section A'!$AN$124:$AN$175,P48)),1)</f>
        <v/>
      </c>
      <c r="P48" t="str">
        <f t="array" ref="P48">IFERROR(INDEX('Overview - Section A'!$AN$124:$AN$175,MATCH(0,COUNTIF($P$1:P47,'Overview - Section A'!$AN$124:$AN$175&amp;"")+IF('Overview - Section A'!$AN$124:$AN$175="",1,0),0)),"")</f>
        <v/>
      </c>
      <c r="Q48" t="str">
        <f ca="1">OFFSET('Overview - Section A'!$AK$124,MATCH(P48,'Overview - Section A'!$AN$124:$AN$175,0)-1,1,IF(COUNTIF('Overview - Section A'!$AN$124:$AN$175,P48)&gt;1,1,COUNTIF('Overview - Section A'!$AN$124:$AN$175,P48)),1)</f>
        <v/>
      </c>
    </row>
    <row r="49" spans="3:17">
      <c r="C49">
        <v>2020</v>
      </c>
      <c r="L49" t="str">
        <f t="array" ref="L49">IFERROR(INDEX(SectionAPopulation,MATCH(0,COUNTIF($L$1:L48,SectionAPopulation&amp;"")+IF(SectionAPopulation="",1,0),0)),"")</f>
        <v/>
      </c>
      <c r="O49" t="str">
        <f ca="1">OFFSET('Overview - Section A'!$AK$124,MATCH(P49,'Overview - Section A'!$AN$124:$AN$175,0)-1,0,IF(COUNTIF('Overview - Section A'!$AN$124:$AN$175,P49)&gt;1,1,COUNTIF('Overview - Section A'!$AN$124:$AN$175,P49)),1)</f>
        <v/>
      </c>
      <c r="P49" t="str">
        <f t="array" ref="P49">IFERROR(INDEX('Overview - Section A'!$AN$124:$AN$175,MATCH(0,COUNTIF($P$1:P48,'Overview - Section A'!$AN$124:$AN$175&amp;"")+IF('Overview - Section A'!$AN$124:$AN$175="",1,0),0)),"")</f>
        <v/>
      </c>
      <c r="Q49" t="str">
        <f ca="1">OFFSET('Overview - Section A'!$AK$124,MATCH(P49,'Overview - Section A'!$AN$124:$AN$175,0)-1,1,IF(COUNTIF('Overview - Section A'!$AN$124:$AN$175,P49)&gt;1,1,COUNTIF('Overview - Section A'!$AN$124:$AN$175,P49)),1)</f>
        <v/>
      </c>
    </row>
    <row r="50" spans="3:17">
      <c r="C50">
        <v>2021</v>
      </c>
      <c r="O50" t="str">
        <f ca="1">OFFSET('Overview - Section A'!$AK$124,MATCH(P50,'Overview - Section A'!$AN$124:$AN$175,0)-1,0,IF(COUNTIF('Overview - Section A'!$AN$124:$AN$175,P50)&gt;1,1,COUNTIF('Overview - Section A'!$AN$124:$AN$175,P50)),1)</f>
        <v/>
      </c>
      <c r="P50" t="str">
        <f t="array" ref="P50">IFERROR(INDEX('Overview - Section A'!$AN$124:$AN$175,MATCH(0,COUNTIF($P$1:P49,'Overview - Section A'!$AN$124:$AN$175&amp;"")+IF('Overview - Section A'!$AN$124:$AN$175="",1,0),0)),"")</f>
        <v/>
      </c>
      <c r="Q50" t="str">
        <f ca="1">OFFSET('Overview - Section A'!$AK$124,MATCH(P50,'Overview - Section A'!$AN$124:$AN$175,0)-1,1,IF(COUNTIF('Overview - Section A'!$AN$124:$AN$175,P50)&gt;1,1,COUNTIF('Overview - Section A'!$AN$124:$AN$175,P50)),1)</f>
        <v/>
      </c>
    </row>
    <row r="51" spans="3:17">
      <c r="C51">
        <v>2022</v>
      </c>
      <c r="O51" t="str">
        <f ca="1">OFFSET('Overview - Section A'!$AK$124,MATCH(P51,'Overview - Section A'!$AN$124:$AN$175,0)-1,0,IF(COUNTIF('Overview - Section A'!$AN$124:$AN$175,P51)&gt;1,1,COUNTIF('Overview - Section A'!$AN$124:$AN$175,P51)),1)</f>
        <v/>
      </c>
      <c r="P51" t="str">
        <f t="array" ref="P51">IFERROR(INDEX('Overview - Section A'!$AN$124:$AN$175,MATCH(0,COUNTIF($P$1:P50,'Overview - Section A'!$AN$124:$AN$175&amp;"")+IF('Overview - Section A'!$AN$124:$AN$175="",1,0),0)),"")</f>
        <v/>
      </c>
      <c r="Q51" t="str">
        <f ca="1">OFFSET('Overview - Section A'!$AK$124,MATCH(P51,'Overview - Section A'!$AN$124:$AN$175,0)-1,1,IF(COUNTIF('Overview - Section A'!$AN$124:$AN$175,P51)&gt;1,1,COUNTIF('Overview - Section A'!$AN$124:$AN$175,P51)),1)</f>
        <v/>
      </c>
    </row>
    <row r="52" spans="3:17">
      <c r="C52">
        <v>2023</v>
      </c>
      <c r="O52" t="str">
        <f ca="1">OFFSET('Overview - Section A'!$AK$124,MATCH(P52,'Overview - Section A'!$AN$124:$AN$175,0)-1,0,IF(COUNTIF('Overview - Section A'!$AN$124:$AN$175,P52)&gt;1,1,COUNTIF('Overview - Section A'!$AN$124:$AN$175,P52)),1)</f>
        <v/>
      </c>
      <c r="P52" t="str">
        <f t="array" ref="P52">IFERROR(INDEX('Overview - Section A'!$AN$124:$AN$175,MATCH(0,COUNTIF($P$1:P51,'Overview - Section A'!$AN$124:$AN$175&amp;"")+IF('Overview - Section A'!$AN$124:$AN$175="",1,0),0)),"")</f>
        <v/>
      </c>
      <c r="Q52" t="str">
        <f ca="1">OFFSET('Overview - Section A'!$AK$124,MATCH(P52,'Overview - Section A'!$AN$124:$AN$175,0)-1,1,IF(COUNTIF('Overview - Section A'!$AN$124:$AN$175,P52)&gt;1,1,COUNTIF('Overview - Section A'!$AN$124:$AN$175,P52)),1)</f>
        <v/>
      </c>
    </row>
    <row r="53" spans="3:17">
      <c r="C53">
        <v>2024</v>
      </c>
      <c r="O53" t="str">
        <f ca="1">OFFSET('Overview - Section A'!$AK$124,MATCH(P53,'Overview - Section A'!$AN$124:$AN$175,0)-1,0,IF(COUNTIF('Overview - Section A'!$AN$124:$AN$175,P53)&gt;1,1,COUNTIF('Overview - Section A'!$AN$124:$AN$175,P53)),1)</f>
        <v/>
      </c>
      <c r="P53" t="str">
        <f t="array" ref="P53">IFERROR(INDEX('Overview - Section A'!$AN$124:$AN$175,MATCH(0,COUNTIF($P$1:P52,'Overview - Section A'!$AN$124:$AN$175&amp;"")+IF('Overview - Section A'!$AN$124:$AN$175="",1,0),0)),"")</f>
        <v/>
      </c>
      <c r="Q53" t="str">
        <f ca="1">OFFSET('Overview - Section A'!$AK$124,MATCH(P53,'Overview - Section A'!$AN$124:$AN$175,0)-1,1,IF(COUNTIF('Overview - Section A'!$AN$124:$AN$175,P53)&gt;1,1,COUNTIF('Overview - Section A'!$AN$124:$AN$175,P53)),1)</f>
        <v/>
      </c>
    </row>
    <row r="54" spans="3:17">
      <c r="C54">
        <v>2025</v>
      </c>
      <c r="O54" t="str">
        <f ca="1">OFFSET('Overview - Section A'!$AK$124,MATCH(P54,'Overview - Section A'!$AN$124:$AN$175,0)-1,0,IF(COUNTIF('Overview - Section A'!$AN$124:$AN$175,P54)&gt;1,1,COUNTIF('Overview - Section A'!$AN$124:$AN$175,P54)),1)</f>
        <v/>
      </c>
      <c r="P54" t="str">
        <f t="array" ref="P54">IFERROR(INDEX('Overview - Section A'!$AN$124:$AN$175,MATCH(0,COUNTIF($P$1:P53,'Overview - Section A'!$AN$124:$AN$175&amp;"")+IF('Overview - Section A'!$AN$124:$AN$175="",1,0),0)),"")</f>
        <v/>
      </c>
      <c r="Q54" t="str">
        <f ca="1">OFFSET('Overview - Section A'!$AK$124,MATCH(P54,'Overview - Section A'!$AN$124:$AN$175,0)-1,1,IF(COUNTIF('Overview - Section A'!$AN$124:$AN$175,P54)&gt;1,1,COUNTIF('Overview - Section A'!$AN$124:$AN$175,P54)),1)</f>
        <v/>
      </c>
    </row>
    <row r="55" spans="3:17">
      <c r="O55" t="str">
        <f ca="1">OFFSET('Overview - Section A'!$AK$124,MATCH(P55,'Overview - Section A'!$AN$124:$AN$175,0)-1,0,IF(COUNTIF('Overview - Section A'!$AN$124:$AN$175,P55)&gt;1,1,COUNTIF('Overview - Section A'!$AN$124:$AN$175,P55)),1)</f>
        <v/>
      </c>
      <c r="P55" t="str">
        <f t="array" ref="P55">IFERROR(INDEX('Overview - Section A'!$AN$124:$AN$175,MATCH(0,COUNTIF($P$1:P54,'Overview - Section A'!$AN$124:$AN$175&amp;"")+IF('Overview - Section A'!$AN$124:$AN$175="",1,0),0)),"")</f>
        <v/>
      </c>
      <c r="Q55" t="str">
        <f ca="1">OFFSET('Overview - Section A'!$AK$124,MATCH(P55,'Overview - Section A'!$AN$124:$AN$175,0)-1,1,IF(COUNTIF('Overview - Section A'!$AN$124:$AN$175,P55)&gt;1,1,COUNTIF('Overview - Section A'!$AN$124:$AN$175,P55)),1)</f>
        <v/>
      </c>
    </row>
    <row r="56" spans="3:17">
      <c r="O56" t="str">
        <f ca="1">OFFSET('Overview - Section A'!$AK$124,MATCH(P56,'Overview - Section A'!$AN$124:$AN$175,0)-1,0,IF(COUNTIF('Overview - Section A'!$AN$124:$AN$175,P56)&gt;1,1,COUNTIF('Overview - Section A'!$AN$124:$AN$175,P56)),1)</f>
        <v/>
      </c>
      <c r="P56" t="str">
        <f t="array" ref="P56">IFERROR(INDEX('Overview - Section A'!$AN$124:$AN$175,MATCH(0,COUNTIF($P$1:P55,'Overview - Section A'!$AN$124:$AN$175&amp;"")+IF('Overview - Section A'!$AN$124:$AN$175="",1,0),0)),"")</f>
        <v/>
      </c>
      <c r="Q56" t="str">
        <f ca="1">OFFSET('Overview - Section A'!$AK$124,MATCH(P56,'Overview - Section A'!$AN$124:$AN$175,0)-1,1,IF(COUNTIF('Overview - Section A'!$AN$124:$AN$175,P56)&gt;1,1,COUNTIF('Overview - Section A'!$AN$124:$AN$175,P56)),1)</f>
        <v/>
      </c>
    </row>
    <row r="57" spans="3:17">
      <c r="O57" t="str">
        <f ca="1">OFFSET('Overview - Section A'!$AK$124,MATCH(P57,'Overview - Section A'!$AN$124:$AN$175,0)-1,0,IF(COUNTIF('Overview - Section A'!$AN$124:$AN$175,P57)&gt;1,1,COUNTIF('Overview - Section A'!$AN$124:$AN$175,P57)),1)</f>
        <v/>
      </c>
      <c r="P57" t="str">
        <f t="array" ref="P57">IFERROR(INDEX('Overview - Section A'!$AN$124:$AN$175,MATCH(0,COUNTIF($P$1:P56,'Overview - Section A'!$AN$124:$AN$175&amp;"")+IF('Overview - Section A'!$AN$124:$AN$175="",1,0),0)),"")</f>
        <v/>
      </c>
      <c r="Q57" t="str">
        <f ca="1">OFFSET('Overview - Section A'!$AK$124,MATCH(P57,'Overview - Section A'!$AN$124:$AN$175,0)-1,1,IF(COUNTIF('Overview - Section A'!$AN$124:$AN$175,P57)&gt;1,1,COUNTIF('Overview - Section A'!$AN$124:$AN$175,P57)),1)</f>
        <v/>
      </c>
    </row>
    <row r="58" spans="3:17">
      <c r="O58" t="str">
        <f ca="1">OFFSET('Overview - Section A'!$AK$124,MATCH(P58,'Overview - Section A'!$AN$124:$AN$175,0)-1,0,IF(COUNTIF('Overview - Section A'!$AN$124:$AN$175,P58)&gt;1,1,COUNTIF('Overview - Section A'!$AN$124:$AN$175,P58)),1)</f>
        <v/>
      </c>
      <c r="P58" t="str">
        <f t="array" ref="P58">IFERROR(INDEX('Overview - Section A'!$AN$124:$AN$175,MATCH(0,COUNTIF($P$1:P57,'Overview - Section A'!$AN$124:$AN$175&amp;"")+IF('Overview - Section A'!$AN$124:$AN$175="",1,0),0)),"")</f>
        <v/>
      </c>
      <c r="Q58" t="str">
        <f ca="1">OFFSET('Overview - Section A'!$AK$124,MATCH(P58,'Overview - Section A'!$AN$124:$AN$175,0)-1,1,IF(COUNTIF('Overview - Section A'!$AN$124:$AN$175,P58)&gt;1,1,COUNTIF('Overview - Section A'!$AN$124:$AN$175,P58)),1)</f>
        <v/>
      </c>
    </row>
    <row r="59" spans="3:17">
      <c r="O59" t="str">
        <f ca="1">OFFSET('Overview - Section A'!$AK$124,MATCH(P59,'Overview - Section A'!$AN$124:$AN$175,0)-1,0,IF(COUNTIF('Overview - Section A'!$AN$124:$AN$175,P59)&gt;1,1,COUNTIF('Overview - Section A'!$AN$124:$AN$175,P59)),1)</f>
        <v/>
      </c>
      <c r="P59" t="str">
        <f t="array" ref="P59">IFERROR(INDEX('Overview - Section A'!$AN$124:$AN$175,MATCH(0,COUNTIF($P$1:P58,'Overview - Section A'!$AN$124:$AN$175&amp;"")+IF('Overview - Section A'!$AN$124:$AN$175="",1,0),0)),"")</f>
        <v/>
      </c>
      <c r="Q59" t="str">
        <f ca="1">OFFSET('Overview - Section A'!$AK$124,MATCH(P59,'Overview - Section A'!$AN$124:$AN$175,0)-1,1,IF(COUNTIF('Overview - Section A'!$AN$124:$AN$175,P59)&gt;1,1,COUNTIF('Overview - Section A'!$AN$124:$AN$175,P59)),1)</f>
        <v/>
      </c>
    </row>
    <row r="60" spans="3:17">
      <c r="O60" t="str">
        <f ca="1">OFFSET('Overview - Section A'!$AK$124,MATCH(P60,'Overview - Section A'!$AN$124:$AN$175,0)-1,0,IF(COUNTIF('Overview - Section A'!$AN$124:$AN$175,P60)&gt;1,1,COUNTIF('Overview - Section A'!$AN$124:$AN$175,P60)),1)</f>
        <v/>
      </c>
      <c r="P60" t="str">
        <f t="array" ref="P60">IFERROR(INDEX('Overview - Section A'!$AN$124:$AN$175,MATCH(0,COUNTIF($P$1:P59,'Overview - Section A'!$AN$124:$AN$175&amp;"")+IF('Overview - Section A'!$AN$124:$AN$175="",1,0),0)),"")</f>
        <v/>
      </c>
      <c r="Q60" t="str">
        <f ca="1">OFFSET('Overview - Section A'!$AK$124,MATCH(P60,'Overview - Section A'!$AN$124:$AN$175,0)-1,1,IF(COUNTIF('Overview - Section A'!$AN$124:$AN$175,P60)&gt;1,1,COUNTIF('Overview - Section A'!$AN$124:$AN$175,P60)),1)</f>
        <v/>
      </c>
    </row>
    <row r="61" spans="3:17">
      <c r="O61" t="str">
        <f ca="1">OFFSET('Overview - Section A'!$AK$124,MATCH(P61,'Overview - Section A'!$AN$124:$AN$175,0)-1,0,IF(COUNTIF('Overview - Section A'!$AN$124:$AN$175,P61)&gt;1,1,COUNTIF('Overview - Section A'!$AN$124:$AN$175,P61)),1)</f>
        <v/>
      </c>
      <c r="P61" t="str">
        <f t="array" ref="P61">IFERROR(INDEX('Overview - Section A'!$AN$124:$AN$175,MATCH(0,COUNTIF($P$1:P60,'Overview - Section A'!$AN$124:$AN$175&amp;"")+IF('Overview - Section A'!$AN$124:$AN$175="",1,0),0)),"")</f>
        <v/>
      </c>
      <c r="Q61" t="str">
        <f ca="1">OFFSET('Overview - Section A'!$AK$124,MATCH(P61,'Overview - Section A'!$AN$124:$AN$175,0)-1,1,IF(COUNTIF('Overview - Section A'!$AN$124:$AN$175,P61)&gt;1,1,COUNTIF('Overview - Section A'!$AN$124:$AN$175,P61)),1)</f>
        <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616"/>
  <sheetViews>
    <sheetView topLeftCell="G1" zoomScaleSheetLayoutView="100" workbookViewId="0">
      <selection activeCell="T2" sqref="T2"/>
    </sheetView>
  </sheetViews>
  <sheetFormatPr defaultColWidth="8.75" defaultRowHeight="15.75"/>
  <cols>
    <col min="2" max="2" width="17.125" customWidth="1"/>
    <col min="4" max="5" width="14.125" customWidth="1"/>
    <col min="6" max="6" width="20.625" customWidth="1"/>
    <col min="7" max="7" width="13.125" customWidth="1"/>
    <col min="8" max="8" width="15.125" customWidth="1"/>
    <col min="9" max="9" width="17.5" customWidth="1"/>
    <col min="10" max="10" width="21.625" customWidth="1"/>
    <col min="12" max="12" width="11.625" customWidth="1"/>
    <col min="13" max="13" width="14.125" customWidth="1"/>
    <col min="14" max="14" width="12.125" customWidth="1"/>
  </cols>
  <sheetData>
    <row r="1" spans="1:21" ht="54" customHeight="1">
      <c r="A1" s="159" t="s">
        <v>5193</v>
      </c>
      <c r="B1" t="s">
        <v>3086</v>
      </c>
      <c r="C1" t="s">
        <v>5194</v>
      </c>
      <c r="D1" t="s">
        <v>5195</v>
      </c>
      <c r="E1" t="s">
        <v>3084</v>
      </c>
      <c r="F1" t="s">
        <v>5196</v>
      </c>
      <c r="H1" t="s">
        <v>3085</v>
      </c>
      <c r="I1" s="160" t="s">
        <v>3087</v>
      </c>
      <c r="J1" s="160" t="s">
        <v>3089</v>
      </c>
      <c r="K1" s="160" t="s">
        <v>3090</v>
      </c>
      <c r="L1" s="161" t="s">
        <v>5197</v>
      </c>
      <c r="M1" s="161" t="s">
        <v>5198</v>
      </c>
      <c r="N1" s="159" t="s">
        <v>3088</v>
      </c>
      <c r="P1" t="s">
        <v>341</v>
      </c>
      <c r="Q1" t="s">
        <v>341</v>
      </c>
      <c r="R1" s="159" t="s">
        <v>5199</v>
      </c>
      <c r="T1" s="159" t="s">
        <v>348</v>
      </c>
    </row>
    <row r="2" spans="1:21" hidden="1">
      <c r="A2">
        <f ca="1">IF(COUNTA(N:N)&gt;R2,0,(COUNTA(#REF!)-2)*5)</f>
        <v>-5</v>
      </c>
      <c r="B2" t="str">
        <f ca="1">IFERROR(CHOOSE(C2,INDIRECT("'Impact Indicators - Section B '! "&amp;"S"&amp;E2-1),INDIRECT("'Impact Indicators - Section B '! "&amp;"W"&amp;E2-1),INDIRECT("'Impact Indicators - Section B '! "&amp;"AA"&amp;E2-1),INDIRECT("'Impact Indicators - Section B '! "&amp;"AE"&amp;E2-1),INDIRECT("'Impact Indicators - Section B '! "&amp;"AI"&amp;E2-1)),"")</f>
        <v/>
      </c>
      <c r="C2" t="str">
        <f ca="1">IF(ROW()&lt;$R$2,"",IF(ISNUMBER(OFFSET(INDIRECT(ADDRESS(ROW(),COLUMN())),-1,0)),IF(OFFSET(INDIRECT(ADDRESS(ROW(),COLUMN())),-1,0)&lt;5,OFFSET(INDIRECT(ADDRESS(ROW(),COLUMN())),-1,0)+1,1),1))</f>
        <v/>
      </c>
      <c r="D2" t="str">
        <f ca="1">IF(ROW()&lt;$R$2,"",F2&amp;"|"&amp;CHOOSE(C2,#REF!,#REF!,#REF!,#REF!,#REF!))</f>
        <v/>
      </c>
      <c r="E2" t="str">
        <f ca="1">IF(ROW()&lt;$R$2,"",IF(NOT(ISNUMBER(OFFSET(INDIRECT(ADDRESS(ROW(),COLUMN())),-1,0))),9,IF(C2=1,OFFSET(INDIRECT(ADDRESS(ROW(),COLUMN())),-1,0)+2,OFFSET(INDIRECT(ADDRESS(ROW(),COLUMN())),-1,0))))</f>
        <v/>
      </c>
      <c r="F2" t="str">
        <f ca="1">IF(ROW()&lt;$R$2,"",INDIRECT("'Impact Indicators - Section B'!A"&amp;E2))</f>
        <v/>
      </c>
      <c r="H2" t="str">
        <f ca="1">IFERROR(CHOOSE(C2,INDIRECT("'Impact Indicators - Section B '! "&amp;"S"&amp;E2),INDIRECT("'Impact Indicators - Section B '! "&amp;"W"&amp;E2),INDIRECT("'Impact Indicators - Section B '! "&amp;"AA"&amp;E2),INDIRECT("'Impact Indicators - Section B '! "&amp;"AE"&amp;E2),INDIRECT("'Impact Indicators - Section B '! "&amp;"AI"&amp;E2)),"")</f>
        <v/>
      </c>
      <c r="I2" t="str">
        <f ca="1">IFERROR(CHOOSE(C2,INDIRECT("'Impact Indicators - Section B '! "&amp;"T"&amp;E2-1),INDIRECT("'Impact Indicators - Section B '! "&amp;"X"&amp;E2-1),INDIRECT("'Impact Indicators - Section B '! "&amp;"AB"&amp;E2-1),INDIRECT("'Impact Indicators - Section B '! "&amp;"AF"&amp;E2-1),INDIRECT("'Impact Indicators - Section B '! "&amp;"AJ"&amp;E2-1)),"")</f>
        <v/>
      </c>
      <c r="J2" s="162" t="str">
        <f ca="1">IFERROR(CHOOSE(C2,INDIRECT("'Impact Indicators - Section B '! "&amp;"U"&amp;E2-1),INDIRECT("'Impact Indicators - Section B '! "&amp;"Y"&amp;E2-1),INDIRECT("'Impact Indicators - Section B '! "&amp;"AC"&amp;E2-1),INDIRECT("'Impact Indicators - Section B '! "&amp;"AG"&amp;E2-1),INDIRECT("'Impact Indicators - Section B '! "&amp;"AK"&amp;E2-1)),"")</f>
        <v/>
      </c>
      <c r="K2" t="str">
        <f ca="1">IFERROR(CHOOSE(C2,INDIRECT("'Impact Indicators - Section B '! "&amp;"V"&amp;E2-1),INDIRECT("'Impact Indicators - Section B '! "&amp;"Z"&amp;E2-1),INDIRECT("'Impact Indicators - Section B '! "&amp;"AD"&amp;E2-1),INDIRECT("'Impact Indicators - Section B '! "&amp;"AH"&amp;E2-1),INDIRECT("'Impact Indicators - Section B '! "&amp;"AL"&amp;E2-1)),"")</f>
        <v/>
      </c>
      <c r="L2" t="str">
        <f ca="1">IFERROR(VLOOKUP(D2,#REF!,6,0),"")</f>
        <v/>
      </c>
      <c r="M2" t="e">
        <f ca="1">INDIRECT("'Impact Indicators - Section B'!AR"&amp;E2)</f>
        <v>#REF!</v>
      </c>
      <c r="N2" t="str">
        <f ca="1">IFERROR(CHOOSE(C2,#REF!,#REF!,#REF!,#REF!,#REF!),"")</f>
        <v/>
      </c>
      <c r="P2" t="str">
        <f ca="1">L2</f>
        <v/>
      </c>
      <c r="Q2" t="e">
        <f ca="1">M2</f>
        <v>#REF!</v>
      </c>
      <c r="R2" s="2">
        <f>COUNTA(#REF!)+2</f>
        <v>3</v>
      </c>
      <c r="T2" t="b">
        <v>1</v>
      </c>
      <c r="U2" t="str">
        <f ca="1">IF(ROW()&gt;$A$2,"",IF(ISNUMBER(OFFSET(INDIRECT(ADDRESS(ROW(),COLUMN())),-1,0)),IF(OFFSET(INDIRECT(ADDRESS(ROW(),COLUMN())),-1,0)&lt;5,OFFSET(INDIRECT(ADDRESS(ROW(),COLUMN())),-1,0)+1,1),1))</f>
        <v/>
      </c>
    </row>
    <row r="3" spans="1:21">
      <c r="G3" s="159"/>
      <c r="H3" s="159"/>
      <c r="I3" s="159"/>
      <c r="J3" s="162"/>
      <c r="L3" s="159"/>
      <c r="M3" s="159"/>
      <c r="N3" s="159"/>
      <c r="O3" s="159"/>
    </row>
    <row r="4" spans="1:21">
      <c r="J4" s="162"/>
    </row>
    <row r="5" spans="1:21">
      <c r="J5" s="162"/>
    </row>
    <row r="6" spans="1:21">
      <c r="J6" s="162"/>
    </row>
    <row r="7" spans="1:21">
      <c r="J7" s="162"/>
    </row>
    <row r="8" spans="1:21">
      <c r="J8" s="162"/>
    </row>
    <row r="9" spans="1:21">
      <c r="J9" s="162"/>
    </row>
    <row r="10" spans="1:21">
      <c r="J10" s="162"/>
    </row>
    <row r="11" spans="1:21">
      <c r="J11" s="162"/>
    </row>
    <row r="12" spans="1:21">
      <c r="J12" s="162"/>
    </row>
    <row r="13" spans="1:21">
      <c r="J13" s="162"/>
    </row>
    <row r="14" spans="1:21">
      <c r="J14" s="162"/>
    </row>
    <row r="15" spans="1:21">
      <c r="J15" s="162"/>
    </row>
    <row r="16" spans="1:21">
      <c r="J16" s="162"/>
    </row>
    <row r="17" spans="10:10">
      <c r="J17" s="162"/>
    </row>
    <row r="18" spans="10:10">
      <c r="J18" s="162"/>
    </row>
    <row r="19" spans="10:10">
      <c r="J19" s="162"/>
    </row>
    <row r="20" spans="10:10">
      <c r="J20" s="162"/>
    </row>
    <row r="21" spans="10:10">
      <c r="J21" s="162"/>
    </row>
    <row r="22" spans="10:10">
      <c r="J22" s="162"/>
    </row>
    <row r="23" spans="10:10">
      <c r="J23" s="162"/>
    </row>
    <row r="24" spans="10:10">
      <c r="J24" s="162"/>
    </row>
    <row r="25" spans="10:10">
      <c r="J25" s="162"/>
    </row>
    <row r="26" spans="10:10">
      <c r="J26" s="162"/>
    </row>
    <row r="27" spans="10:10">
      <c r="J27" s="162"/>
    </row>
    <row r="28" spans="10:10">
      <c r="J28" s="162"/>
    </row>
    <row r="29" spans="10:10">
      <c r="J29" s="162"/>
    </row>
    <row r="30" spans="10:10">
      <c r="J30" s="162"/>
    </row>
    <row r="31" spans="10:10">
      <c r="J31" s="162"/>
    </row>
    <row r="32" spans="10:10">
      <c r="J32" s="162"/>
    </row>
    <row r="33" spans="10:10">
      <c r="J33" s="162"/>
    </row>
    <row r="34" spans="10:10">
      <c r="J34" s="162"/>
    </row>
    <row r="35" spans="10:10">
      <c r="J35" s="162"/>
    </row>
    <row r="36" spans="10:10">
      <c r="J36" s="162"/>
    </row>
    <row r="37" spans="10:10">
      <c r="J37" s="162"/>
    </row>
    <row r="38" spans="10:10">
      <c r="J38" s="162"/>
    </row>
    <row r="39" spans="10:10">
      <c r="J39" s="162"/>
    </row>
    <row r="40" spans="10:10">
      <c r="J40" s="162"/>
    </row>
    <row r="41" spans="10:10">
      <c r="J41" s="162"/>
    </row>
    <row r="42" spans="10:10">
      <c r="J42" s="162"/>
    </row>
    <row r="43" spans="10:10">
      <c r="J43" s="162"/>
    </row>
    <row r="44" spans="10:10">
      <c r="J44" s="162"/>
    </row>
    <row r="45" spans="10:10">
      <c r="J45" s="162"/>
    </row>
    <row r="46" spans="10:10">
      <c r="J46" s="162"/>
    </row>
    <row r="47" spans="10:10">
      <c r="J47" s="162"/>
    </row>
    <row r="48" spans="10:10">
      <c r="J48" s="162"/>
    </row>
    <row r="49" spans="10:10">
      <c r="J49" s="162"/>
    </row>
    <row r="50" spans="10:10">
      <c r="J50" s="162"/>
    </row>
    <row r="51" spans="10:10">
      <c r="J51" s="162"/>
    </row>
    <row r="52" spans="10:10">
      <c r="J52" s="162"/>
    </row>
    <row r="53" spans="10:10">
      <c r="J53" s="162"/>
    </row>
    <row r="54" spans="10:10">
      <c r="J54" s="162"/>
    </row>
    <row r="55" spans="10:10">
      <c r="J55" s="162"/>
    </row>
    <row r="56" spans="10:10">
      <c r="J56" s="162"/>
    </row>
    <row r="57" spans="10:10">
      <c r="J57" s="162"/>
    </row>
    <row r="58" spans="10:10">
      <c r="J58" s="162"/>
    </row>
    <row r="59" spans="10:10">
      <c r="J59" s="162"/>
    </row>
    <row r="60" spans="10:10">
      <c r="J60" s="162"/>
    </row>
    <row r="61" spans="10:10">
      <c r="J61" s="162"/>
    </row>
    <row r="62" spans="10:10">
      <c r="J62" s="162"/>
    </row>
    <row r="63" spans="10:10">
      <c r="J63" s="162"/>
    </row>
    <row r="64" spans="10:10">
      <c r="J64" s="162"/>
    </row>
    <row r="65" spans="10:10">
      <c r="J65" s="162"/>
    </row>
    <row r="66" spans="10:10">
      <c r="J66" s="162"/>
    </row>
    <row r="67" spans="10:10">
      <c r="J67" s="162"/>
    </row>
    <row r="68" spans="10:10">
      <c r="J68" s="162"/>
    </row>
    <row r="69" spans="10:10">
      <c r="J69" s="162"/>
    </row>
    <row r="70" spans="10:10">
      <c r="J70" s="162"/>
    </row>
    <row r="71" spans="10:10">
      <c r="J71" s="162"/>
    </row>
    <row r="72" spans="10:10">
      <c r="J72" s="162"/>
    </row>
    <row r="73" spans="10:10">
      <c r="J73" s="162"/>
    </row>
    <row r="74" spans="10:10">
      <c r="J74" s="162"/>
    </row>
    <row r="75" spans="10:10">
      <c r="J75" s="162"/>
    </row>
    <row r="76" spans="10:10">
      <c r="J76" s="162"/>
    </row>
    <row r="77" spans="10:10">
      <c r="J77" s="162"/>
    </row>
    <row r="78" spans="10:10">
      <c r="J78" s="162"/>
    </row>
    <row r="79" spans="10:10">
      <c r="J79" s="162"/>
    </row>
    <row r="80" spans="10:10">
      <c r="J80" s="162"/>
    </row>
    <row r="81" spans="10:10">
      <c r="J81" s="162"/>
    </row>
    <row r="82" spans="10:10">
      <c r="J82" s="162"/>
    </row>
    <row r="83" spans="10:10">
      <c r="J83" s="162"/>
    </row>
    <row r="84" spans="10:10">
      <c r="J84" s="162"/>
    </row>
    <row r="85" spans="10:10">
      <c r="J85" s="162"/>
    </row>
    <row r="86" spans="10:10">
      <c r="J86" s="162"/>
    </row>
    <row r="87" spans="10:10">
      <c r="J87" s="162"/>
    </row>
    <row r="88" spans="10:10">
      <c r="J88" s="162"/>
    </row>
    <row r="89" spans="10:10">
      <c r="J89" s="162"/>
    </row>
    <row r="90" spans="10:10">
      <c r="J90" s="162"/>
    </row>
    <row r="91" spans="10:10">
      <c r="J91" s="162"/>
    </row>
    <row r="92" spans="10:10">
      <c r="J92" s="162"/>
    </row>
    <row r="93" spans="10:10">
      <c r="J93" s="162"/>
    </row>
    <row r="94" spans="10:10">
      <c r="J94" s="162"/>
    </row>
    <row r="95" spans="10:10">
      <c r="J95" s="162"/>
    </row>
    <row r="96" spans="10:10">
      <c r="J96" s="162"/>
    </row>
    <row r="97" spans="10:10">
      <c r="J97" s="162"/>
    </row>
    <row r="98" spans="10:10">
      <c r="J98" s="162"/>
    </row>
    <row r="99" spans="10:10">
      <c r="J99" s="162"/>
    </row>
    <row r="100" spans="10:10">
      <c r="J100" s="162"/>
    </row>
    <row r="101" spans="10:10">
      <c r="J101" s="162"/>
    </row>
    <row r="102" spans="10:10">
      <c r="J102" s="162"/>
    </row>
    <row r="103" spans="10:10">
      <c r="J103" s="162"/>
    </row>
    <row r="104" spans="10:10">
      <c r="J104" s="162"/>
    </row>
    <row r="105" spans="10:10">
      <c r="J105" s="162"/>
    </row>
    <row r="106" spans="10:10">
      <c r="J106" s="162"/>
    </row>
    <row r="107" spans="10:10">
      <c r="J107" s="162"/>
    </row>
    <row r="108" spans="10:10">
      <c r="J108" s="162"/>
    </row>
    <row r="109" spans="10:10">
      <c r="J109" s="162"/>
    </row>
    <row r="110" spans="10:10">
      <c r="J110" s="162"/>
    </row>
    <row r="111" spans="10:10">
      <c r="J111" s="162"/>
    </row>
    <row r="112" spans="10:10">
      <c r="J112" s="162"/>
    </row>
    <row r="113" spans="10:10">
      <c r="J113" s="162"/>
    </row>
    <row r="114" spans="10:10">
      <c r="J114" s="162"/>
    </row>
    <row r="115" spans="10:10">
      <c r="J115" s="162"/>
    </row>
    <row r="116" spans="10:10">
      <c r="J116" s="162"/>
    </row>
    <row r="117" spans="10:10">
      <c r="J117" s="162"/>
    </row>
    <row r="118" spans="10:10">
      <c r="J118" s="162"/>
    </row>
    <row r="119" spans="10:10">
      <c r="J119" s="162"/>
    </row>
    <row r="120" spans="10:10">
      <c r="J120" s="162"/>
    </row>
    <row r="121" spans="10:10">
      <c r="J121" s="162"/>
    </row>
    <row r="122" spans="10:10">
      <c r="J122" s="162"/>
    </row>
    <row r="123" spans="10:10">
      <c r="J123" s="162"/>
    </row>
    <row r="124" spans="10:10">
      <c r="J124" s="162"/>
    </row>
    <row r="125" spans="10:10">
      <c r="J125" s="162"/>
    </row>
    <row r="126" spans="10:10">
      <c r="J126" s="162"/>
    </row>
    <row r="127" spans="10:10">
      <c r="J127" s="162"/>
    </row>
    <row r="128" spans="10:10">
      <c r="J128" s="162"/>
    </row>
    <row r="129" spans="10:10">
      <c r="J129" s="162"/>
    </row>
    <row r="130" spans="10:10">
      <c r="J130" s="162"/>
    </row>
    <row r="131" spans="10:10">
      <c r="J131" s="162"/>
    </row>
    <row r="132" spans="10:10">
      <c r="J132" s="162"/>
    </row>
    <row r="133" spans="10:10">
      <c r="J133" s="162"/>
    </row>
    <row r="134" spans="10:10">
      <c r="J134" s="162"/>
    </row>
    <row r="135" spans="10:10">
      <c r="J135" s="162"/>
    </row>
    <row r="136" spans="10:10">
      <c r="J136" s="162"/>
    </row>
    <row r="137" spans="10:10">
      <c r="J137" s="162"/>
    </row>
    <row r="138" spans="10:10">
      <c r="J138" s="162"/>
    </row>
    <row r="139" spans="10:10">
      <c r="J139" s="162"/>
    </row>
    <row r="140" spans="10:10">
      <c r="J140" s="162"/>
    </row>
    <row r="141" spans="10:10">
      <c r="J141" s="162"/>
    </row>
    <row r="142" spans="10:10">
      <c r="J142" s="162"/>
    </row>
    <row r="143" spans="10:10">
      <c r="J143" s="162"/>
    </row>
    <row r="144" spans="10:10">
      <c r="J144" s="162"/>
    </row>
    <row r="145" spans="10:10">
      <c r="J145" s="162"/>
    </row>
    <row r="146" spans="10:10">
      <c r="J146" s="162"/>
    </row>
    <row r="147" spans="10:10">
      <c r="J147" s="162"/>
    </row>
    <row r="148" spans="10:10">
      <c r="J148" s="162"/>
    </row>
    <row r="149" spans="10:10">
      <c r="J149" s="162"/>
    </row>
    <row r="150" spans="10:10">
      <c r="J150" s="162"/>
    </row>
    <row r="151" spans="10:10">
      <c r="J151" s="162"/>
    </row>
    <row r="152" spans="10:10">
      <c r="J152" s="162"/>
    </row>
    <row r="153" spans="10:10">
      <c r="J153" s="162"/>
    </row>
    <row r="154" spans="10:10">
      <c r="J154" s="162"/>
    </row>
    <row r="155" spans="10:10">
      <c r="J155" s="162"/>
    </row>
    <row r="156" spans="10:10">
      <c r="J156" s="162"/>
    </row>
    <row r="157" spans="10:10">
      <c r="J157" s="162"/>
    </row>
    <row r="158" spans="10:10">
      <c r="J158" s="162"/>
    </row>
    <row r="159" spans="10:10">
      <c r="J159" s="162"/>
    </row>
    <row r="160" spans="10:10">
      <c r="J160" s="162"/>
    </row>
    <row r="161" spans="10:10">
      <c r="J161" s="162"/>
    </row>
    <row r="162" spans="10:10">
      <c r="J162" s="162"/>
    </row>
    <row r="163" spans="10:10">
      <c r="J163" s="162"/>
    </row>
    <row r="164" spans="10:10">
      <c r="J164" s="162"/>
    </row>
    <row r="165" spans="10:10">
      <c r="J165" s="162"/>
    </row>
    <row r="166" spans="10:10">
      <c r="J166" s="162"/>
    </row>
    <row r="167" spans="10:10">
      <c r="J167" s="162"/>
    </row>
    <row r="168" spans="10:10">
      <c r="J168" s="162"/>
    </row>
    <row r="169" spans="10:10">
      <c r="J169" s="162"/>
    </row>
    <row r="170" spans="10:10">
      <c r="J170" s="162"/>
    </row>
    <row r="171" spans="10:10">
      <c r="J171" s="162"/>
    </row>
    <row r="172" spans="10:10">
      <c r="J172" s="162"/>
    </row>
    <row r="173" spans="10:10">
      <c r="J173" s="162"/>
    </row>
    <row r="174" spans="10:10">
      <c r="J174" s="162"/>
    </row>
    <row r="175" spans="10:10">
      <c r="J175" s="162"/>
    </row>
    <row r="176" spans="10:10">
      <c r="J176" s="162"/>
    </row>
    <row r="177" spans="10:10">
      <c r="J177" s="162"/>
    </row>
    <row r="178" spans="10:10">
      <c r="J178" s="162"/>
    </row>
    <row r="179" spans="10:10">
      <c r="J179" s="162"/>
    </row>
    <row r="180" spans="10:10">
      <c r="J180" s="162"/>
    </row>
    <row r="181" spans="10:10">
      <c r="J181" s="162"/>
    </row>
    <row r="182" spans="10:10">
      <c r="J182" s="162"/>
    </row>
    <row r="183" spans="10:10">
      <c r="J183" s="162"/>
    </row>
    <row r="184" spans="10:10">
      <c r="J184" s="162"/>
    </row>
    <row r="185" spans="10:10">
      <c r="J185" s="162"/>
    </row>
    <row r="186" spans="10:10">
      <c r="J186" s="162"/>
    </row>
    <row r="187" spans="10:10">
      <c r="J187" s="162"/>
    </row>
    <row r="188" spans="10:10">
      <c r="J188" s="162"/>
    </row>
    <row r="189" spans="10:10">
      <c r="J189" s="162"/>
    </row>
    <row r="190" spans="10:10">
      <c r="J190" s="162"/>
    </row>
    <row r="191" spans="10:10">
      <c r="J191" s="162"/>
    </row>
    <row r="192" spans="10:10">
      <c r="J192" s="162"/>
    </row>
    <row r="193" spans="10:10">
      <c r="J193" s="162"/>
    </row>
    <row r="194" spans="10:10">
      <c r="J194" s="162"/>
    </row>
    <row r="195" spans="10:10">
      <c r="J195" s="162"/>
    </row>
    <row r="196" spans="10:10">
      <c r="J196" s="162"/>
    </row>
    <row r="197" spans="10:10">
      <c r="J197" s="162"/>
    </row>
    <row r="198" spans="10:10">
      <c r="J198" s="162"/>
    </row>
    <row r="199" spans="10:10">
      <c r="J199" s="162"/>
    </row>
    <row r="200" spans="10:10">
      <c r="J200" s="162"/>
    </row>
    <row r="201" spans="10:10">
      <c r="J201" s="162"/>
    </row>
    <row r="202" spans="10:10">
      <c r="J202" s="162"/>
    </row>
    <row r="203" spans="10:10">
      <c r="J203" s="162"/>
    </row>
    <row r="204" spans="10:10">
      <c r="J204" s="162"/>
    </row>
    <row r="205" spans="10:10">
      <c r="J205" s="162"/>
    </row>
    <row r="206" spans="10:10">
      <c r="J206" s="162"/>
    </row>
    <row r="207" spans="10:10">
      <c r="J207" s="162"/>
    </row>
    <row r="208" spans="10:10">
      <c r="J208" s="162"/>
    </row>
    <row r="209" spans="10:10">
      <c r="J209" s="162"/>
    </row>
    <row r="210" spans="10:10">
      <c r="J210" s="162"/>
    </row>
    <row r="211" spans="10:10">
      <c r="J211" s="162"/>
    </row>
    <row r="212" spans="10:10">
      <c r="J212" s="162"/>
    </row>
    <row r="213" spans="10:10">
      <c r="J213" s="162"/>
    </row>
    <row r="214" spans="10:10">
      <c r="J214" s="162"/>
    </row>
    <row r="215" spans="10:10">
      <c r="J215" s="162"/>
    </row>
    <row r="216" spans="10:10">
      <c r="J216" s="162"/>
    </row>
    <row r="217" spans="10:10">
      <c r="J217" s="162"/>
    </row>
    <row r="218" spans="10:10">
      <c r="J218" s="162"/>
    </row>
    <row r="219" spans="10:10">
      <c r="J219" s="162"/>
    </row>
    <row r="220" spans="10:10">
      <c r="J220" s="162"/>
    </row>
    <row r="221" spans="10:10">
      <c r="J221" s="162"/>
    </row>
    <row r="222" spans="10:10">
      <c r="J222" s="162"/>
    </row>
    <row r="223" spans="10:10">
      <c r="J223" s="162"/>
    </row>
    <row r="224" spans="10:10">
      <c r="J224" s="162"/>
    </row>
    <row r="225" spans="10:10">
      <c r="J225" s="162"/>
    </row>
    <row r="226" spans="10:10">
      <c r="J226" s="162"/>
    </row>
    <row r="227" spans="10:10">
      <c r="J227" s="162"/>
    </row>
    <row r="228" spans="10:10">
      <c r="J228" s="162"/>
    </row>
    <row r="229" spans="10:10">
      <c r="J229" s="162"/>
    </row>
    <row r="230" spans="10:10">
      <c r="J230" s="162"/>
    </row>
    <row r="231" spans="10:10">
      <c r="J231" s="162"/>
    </row>
    <row r="232" spans="10:10">
      <c r="J232" s="162"/>
    </row>
    <row r="233" spans="10:10">
      <c r="J233" s="162"/>
    </row>
    <row r="234" spans="10:10">
      <c r="J234" s="162"/>
    </row>
    <row r="235" spans="10:10">
      <c r="J235" s="162"/>
    </row>
    <row r="236" spans="10:10">
      <c r="J236" s="162"/>
    </row>
    <row r="237" spans="10:10">
      <c r="J237" s="162"/>
    </row>
    <row r="238" spans="10:10">
      <c r="J238" s="162"/>
    </row>
    <row r="239" spans="10:10">
      <c r="J239" s="162"/>
    </row>
    <row r="240" spans="10:10">
      <c r="J240" s="162"/>
    </row>
    <row r="241" spans="10:10">
      <c r="J241" s="162"/>
    </row>
    <row r="242" spans="10:10">
      <c r="J242" s="162"/>
    </row>
    <row r="243" spans="10:10">
      <c r="J243" s="162"/>
    </row>
    <row r="244" spans="10:10">
      <c r="J244" s="162"/>
    </row>
    <row r="245" spans="10:10">
      <c r="J245" s="162"/>
    </row>
    <row r="246" spans="10:10">
      <c r="J246" s="162"/>
    </row>
    <row r="247" spans="10:10">
      <c r="J247" s="162"/>
    </row>
    <row r="248" spans="10:10">
      <c r="J248" s="162"/>
    </row>
    <row r="249" spans="10:10">
      <c r="J249" s="162"/>
    </row>
    <row r="250" spans="10:10">
      <c r="J250" s="162"/>
    </row>
    <row r="251" spans="10:10">
      <c r="J251" s="162"/>
    </row>
    <row r="252" spans="10:10">
      <c r="J252" s="162"/>
    </row>
    <row r="253" spans="10:10">
      <c r="J253" s="162"/>
    </row>
    <row r="254" spans="10:10">
      <c r="J254" s="162"/>
    </row>
    <row r="255" spans="10:10">
      <c r="J255" s="162"/>
    </row>
    <row r="256" spans="10:10">
      <c r="J256" s="162"/>
    </row>
    <row r="257" spans="10:10">
      <c r="J257" s="162"/>
    </row>
    <row r="258" spans="10:10">
      <c r="J258" s="162"/>
    </row>
    <row r="259" spans="10:10">
      <c r="J259" s="162"/>
    </row>
    <row r="260" spans="10:10">
      <c r="J260" s="162"/>
    </row>
    <row r="261" spans="10:10">
      <c r="J261" s="162"/>
    </row>
    <row r="262" spans="10:10">
      <c r="J262" s="162"/>
    </row>
    <row r="263" spans="10:10">
      <c r="J263" s="162"/>
    </row>
    <row r="264" spans="10:10">
      <c r="J264" s="162"/>
    </row>
    <row r="265" spans="10:10">
      <c r="J265" s="162"/>
    </row>
    <row r="266" spans="10:10">
      <c r="J266" s="162"/>
    </row>
    <row r="267" spans="10:10">
      <c r="J267" s="162"/>
    </row>
    <row r="268" spans="10:10">
      <c r="J268" s="162"/>
    </row>
    <row r="269" spans="10:10">
      <c r="J269" s="162"/>
    </row>
    <row r="270" spans="10:10">
      <c r="J270" s="162"/>
    </row>
    <row r="271" spans="10:10">
      <c r="J271" s="162"/>
    </row>
    <row r="272" spans="10:10">
      <c r="J272" s="162"/>
    </row>
    <row r="273" spans="10:10">
      <c r="J273" s="162"/>
    </row>
    <row r="274" spans="10:10">
      <c r="J274" s="162"/>
    </row>
    <row r="275" spans="10:10">
      <c r="J275" s="162"/>
    </row>
    <row r="276" spans="10:10">
      <c r="J276" s="162"/>
    </row>
    <row r="277" spans="10:10">
      <c r="J277" s="162"/>
    </row>
    <row r="278" spans="10:10">
      <c r="J278" s="162"/>
    </row>
    <row r="279" spans="10:10">
      <c r="J279" s="162"/>
    </row>
    <row r="280" spans="10:10">
      <c r="J280" s="162"/>
    </row>
    <row r="281" spans="10:10">
      <c r="J281" s="162"/>
    </row>
    <row r="282" spans="10:10">
      <c r="J282" s="162"/>
    </row>
    <row r="283" spans="10:10">
      <c r="J283" s="162"/>
    </row>
    <row r="284" spans="10:10">
      <c r="J284" s="162"/>
    </row>
    <row r="285" spans="10:10">
      <c r="J285" s="162"/>
    </row>
    <row r="286" spans="10:10">
      <c r="J286" s="162"/>
    </row>
    <row r="287" spans="10:10">
      <c r="J287" s="162"/>
    </row>
    <row r="288" spans="10:10">
      <c r="J288" s="162"/>
    </row>
    <row r="289" spans="10:10">
      <c r="J289" s="162"/>
    </row>
    <row r="290" spans="10:10">
      <c r="J290" s="162"/>
    </row>
    <row r="291" spans="10:10">
      <c r="J291" s="162"/>
    </row>
    <row r="292" spans="10:10">
      <c r="J292" s="162"/>
    </row>
    <row r="293" spans="10:10">
      <c r="J293" s="162"/>
    </row>
    <row r="294" spans="10:10">
      <c r="J294" s="162"/>
    </row>
    <row r="295" spans="10:10">
      <c r="J295" s="162"/>
    </row>
    <row r="296" spans="10:10">
      <c r="J296" s="162"/>
    </row>
    <row r="297" spans="10:10">
      <c r="J297" s="162"/>
    </row>
    <row r="298" spans="10:10">
      <c r="J298" s="162"/>
    </row>
    <row r="299" spans="10:10">
      <c r="J299" s="162"/>
    </row>
    <row r="300" spans="10:10">
      <c r="J300" s="162"/>
    </row>
    <row r="301" spans="10:10">
      <c r="J301" s="162"/>
    </row>
    <row r="302" spans="10:10">
      <c r="J302" s="162"/>
    </row>
    <row r="303" spans="10:10">
      <c r="J303" s="162"/>
    </row>
    <row r="304" spans="10:10">
      <c r="J304" s="162"/>
    </row>
    <row r="305" spans="10:10">
      <c r="J305" s="162"/>
    </row>
    <row r="306" spans="10:10">
      <c r="J306" s="162"/>
    </row>
    <row r="307" spans="10:10">
      <c r="J307" s="162"/>
    </row>
    <row r="308" spans="10:10">
      <c r="J308" s="162"/>
    </row>
    <row r="309" spans="10:10">
      <c r="J309" s="162"/>
    </row>
    <row r="310" spans="10:10">
      <c r="J310" s="162"/>
    </row>
    <row r="311" spans="10:10">
      <c r="J311" s="162"/>
    </row>
    <row r="312" spans="10:10">
      <c r="J312" s="162"/>
    </row>
    <row r="313" spans="10:10">
      <c r="J313" s="162"/>
    </row>
    <row r="314" spans="10:10">
      <c r="J314" s="162"/>
    </row>
    <row r="315" spans="10:10">
      <c r="J315" s="162"/>
    </row>
    <row r="316" spans="10:10">
      <c r="J316" s="162"/>
    </row>
    <row r="317" spans="10:10">
      <c r="J317" s="162"/>
    </row>
    <row r="318" spans="10:10">
      <c r="J318" s="162"/>
    </row>
    <row r="319" spans="10:10">
      <c r="J319" s="162"/>
    </row>
    <row r="320" spans="10:10">
      <c r="J320" s="162"/>
    </row>
    <row r="321" spans="10:10">
      <c r="J321" s="162"/>
    </row>
    <row r="322" spans="10:10">
      <c r="J322" s="162"/>
    </row>
    <row r="323" spans="10:10">
      <c r="J323" s="162"/>
    </row>
    <row r="324" spans="10:10">
      <c r="J324" s="162"/>
    </row>
    <row r="325" spans="10:10">
      <c r="J325" s="162"/>
    </row>
    <row r="326" spans="10:10">
      <c r="J326" s="162"/>
    </row>
    <row r="327" spans="10:10">
      <c r="J327" s="162"/>
    </row>
    <row r="328" spans="10:10">
      <c r="J328" s="162"/>
    </row>
    <row r="329" spans="10:10">
      <c r="J329" s="162"/>
    </row>
    <row r="330" spans="10:10">
      <c r="J330" s="162"/>
    </row>
    <row r="331" spans="10:10">
      <c r="J331" s="162"/>
    </row>
    <row r="332" spans="10:10">
      <c r="J332" s="162"/>
    </row>
    <row r="333" spans="10:10">
      <c r="J333" s="162"/>
    </row>
    <row r="334" spans="10:10">
      <c r="J334" s="162"/>
    </row>
    <row r="335" spans="10:10">
      <c r="J335" s="162"/>
    </row>
    <row r="336" spans="10:10">
      <c r="J336" s="162"/>
    </row>
    <row r="337" spans="10:10">
      <c r="J337" s="162"/>
    </row>
    <row r="338" spans="10:10">
      <c r="J338" s="162"/>
    </row>
    <row r="339" spans="10:10">
      <c r="J339" s="162"/>
    </row>
    <row r="340" spans="10:10">
      <c r="J340" s="162"/>
    </row>
    <row r="341" spans="10:10">
      <c r="J341" s="162"/>
    </row>
    <row r="342" spans="10:10">
      <c r="J342" s="162"/>
    </row>
    <row r="343" spans="10:10">
      <c r="J343" s="162"/>
    </row>
    <row r="344" spans="10:10">
      <c r="J344" s="162"/>
    </row>
    <row r="345" spans="10:10">
      <c r="J345" s="162"/>
    </row>
    <row r="346" spans="10:10">
      <c r="J346" s="162"/>
    </row>
    <row r="347" spans="10:10">
      <c r="J347" s="162"/>
    </row>
    <row r="348" spans="10:10">
      <c r="J348" s="162"/>
    </row>
    <row r="349" spans="10:10">
      <c r="J349" s="162"/>
    </row>
    <row r="350" spans="10:10">
      <c r="J350" s="162"/>
    </row>
    <row r="351" spans="10:10">
      <c r="J351" s="162"/>
    </row>
    <row r="352" spans="10:10">
      <c r="J352" s="162"/>
    </row>
    <row r="353" spans="10:10">
      <c r="J353" s="162"/>
    </row>
    <row r="354" spans="10:10">
      <c r="J354" s="162"/>
    </row>
    <row r="355" spans="10:10">
      <c r="J355" s="162"/>
    </row>
    <row r="356" spans="10:10">
      <c r="J356" s="162"/>
    </row>
    <row r="357" spans="10:10">
      <c r="J357" s="162"/>
    </row>
    <row r="358" spans="10:10">
      <c r="J358" s="162"/>
    </row>
    <row r="359" spans="10:10">
      <c r="J359" s="162"/>
    </row>
    <row r="360" spans="10:10">
      <c r="J360" s="162"/>
    </row>
    <row r="361" spans="10:10">
      <c r="J361" s="162"/>
    </row>
    <row r="362" spans="10:10">
      <c r="J362" s="162"/>
    </row>
    <row r="363" spans="10:10">
      <c r="J363" s="162"/>
    </row>
    <row r="364" spans="10:10">
      <c r="J364" s="162"/>
    </row>
    <row r="365" spans="10:10">
      <c r="J365" s="162"/>
    </row>
    <row r="366" spans="10:10">
      <c r="J366" s="162"/>
    </row>
    <row r="367" spans="10:10">
      <c r="J367" s="162"/>
    </row>
    <row r="368" spans="10:10">
      <c r="J368" s="162"/>
    </row>
    <row r="369" spans="10:10">
      <c r="J369" s="162"/>
    </row>
    <row r="370" spans="10:10">
      <c r="J370" s="162"/>
    </row>
    <row r="371" spans="10:10">
      <c r="J371" s="162"/>
    </row>
    <row r="372" spans="10:10">
      <c r="J372" s="162"/>
    </row>
    <row r="373" spans="10:10">
      <c r="J373" s="162"/>
    </row>
    <row r="374" spans="10:10">
      <c r="J374" s="162"/>
    </row>
    <row r="375" spans="10:10">
      <c r="J375" s="162"/>
    </row>
    <row r="376" spans="10:10">
      <c r="J376" s="162"/>
    </row>
    <row r="377" spans="10:10">
      <c r="J377" s="162"/>
    </row>
    <row r="378" spans="10:10">
      <c r="J378" s="162"/>
    </row>
    <row r="379" spans="10:10">
      <c r="J379" s="162"/>
    </row>
    <row r="380" spans="10:10">
      <c r="J380" s="162"/>
    </row>
    <row r="381" spans="10:10">
      <c r="J381" s="162"/>
    </row>
    <row r="382" spans="10:10">
      <c r="J382" s="162"/>
    </row>
    <row r="383" spans="10:10">
      <c r="J383" s="162"/>
    </row>
    <row r="384" spans="10:10">
      <c r="J384" s="162"/>
    </row>
    <row r="385" spans="10:10">
      <c r="J385" s="162"/>
    </row>
    <row r="386" spans="10:10">
      <c r="J386" s="162"/>
    </row>
    <row r="387" spans="10:10">
      <c r="J387" s="162"/>
    </row>
    <row r="388" spans="10:10">
      <c r="J388" s="162"/>
    </row>
    <row r="389" spans="10:10">
      <c r="J389" s="162"/>
    </row>
    <row r="390" spans="10:10">
      <c r="J390" s="162"/>
    </row>
    <row r="391" spans="10:10">
      <c r="J391" s="162"/>
    </row>
    <row r="392" spans="10:10">
      <c r="J392" s="162"/>
    </row>
    <row r="393" spans="10:10">
      <c r="J393" s="162"/>
    </row>
    <row r="394" spans="10:10">
      <c r="J394" s="162"/>
    </row>
    <row r="395" spans="10:10">
      <c r="J395" s="162"/>
    </row>
    <row r="396" spans="10:10">
      <c r="J396" s="162"/>
    </row>
    <row r="397" spans="10:10">
      <c r="J397" s="162"/>
    </row>
    <row r="398" spans="10:10">
      <c r="J398" s="162"/>
    </row>
    <row r="399" spans="10:10">
      <c r="J399" s="162"/>
    </row>
    <row r="400" spans="10:10">
      <c r="J400" s="162"/>
    </row>
    <row r="401" spans="10:10">
      <c r="J401" s="162"/>
    </row>
    <row r="402" spans="10:10">
      <c r="J402" s="162"/>
    </row>
    <row r="403" spans="10:10">
      <c r="J403" s="162"/>
    </row>
    <row r="404" spans="10:10">
      <c r="J404" s="162"/>
    </row>
    <row r="405" spans="10:10">
      <c r="J405" s="162"/>
    </row>
    <row r="406" spans="10:10">
      <c r="J406" s="162"/>
    </row>
    <row r="407" spans="10:10">
      <c r="J407" s="162"/>
    </row>
    <row r="408" spans="10:10">
      <c r="J408" s="162"/>
    </row>
    <row r="409" spans="10:10">
      <c r="J409" s="162"/>
    </row>
    <row r="410" spans="10:10">
      <c r="J410" s="162"/>
    </row>
    <row r="411" spans="10:10">
      <c r="J411" s="162"/>
    </row>
    <row r="412" spans="10:10">
      <c r="J412" s="162"/>
    </row>
    <row r="413" spans="10:10">
      <c r="J413" s="162"/>
    </row>
    <row r="414" spans="10:10">
      <c r="J414" s="162"/>
    </row>
    <row r="415" spans="10:10">
      <c r="J415" s="162"/>
    </row>
    <row r="416" spans="10:10">
      <c r="J416" s="162"/>
    </row>
    <row r="417" spans="10:10">
      <c r="J417" s="162"/>
    </row>
    <row r="418" spans="10:10">
      <c r="J418" s="162"/>
    </row>
    <row r="419" spans="10:10">
      <c r="J419" s="162"/>
    </row>
    <row r="420" spans="10:10">
      <c r="J420" s="162"/>
    </row>
    <row r="421" spans="10:10">
      <c r="J421" s="162"/>
    </row>
    <row r="422" spans="10:10">
      <c r="J422" s="162"/>
    </row>
    <row r="423" spans="10:10">
      <c r="J423" s="162"/>
    </row>
    <row r="424" spans="10:10">
      <c r="J424" s="162"/>
    </row>
    <row r="425" spans="10:10">
      <c r="J425" s="162"/>
    </row>
    <row r="426" spans="10:10">
      <c r="J426" s="162"/>
    </row>
    <row r="427" spans="10:10">
      <c r="J427" s="162"/>
    </row>
    <row r="428" spans="10:10">
      <c r="J428" s="162"/>
    </row>
    <row r="429" spans="10:10">
      <c r="J429" s="162"/>
    </row>
    <row r="430" spans="10:10">
      <c r="J430" s="162"/>
    </row>
    <row r="431" spans="10:10">
      <c r="J431" s="162"/>
    </row>
    <row r="432" spans="10:10">
      <c r="J432" s="162"/>
    </row>
    <row r="433" spans="10:10">
      <c r="J433" s="162"/>
    </row>
    <row r="434" spans="10:10">
      <c r="J434" s="162"/>
    </row>
    <row r="435" spans="10:10">
      <c r="J435" s="162"/>
    </row>
    <row r="436" spans="10:10">
      <c r="J436" s="162"/>
    </row>
    <row r="437" spans="10:10">
      <c r="J437" s="162"/>
    </row>
    <row r="438" spans="10:10">
      <c r="J438" s="162"/>
    </row>
    <row r="439" spans="10:10">
      <c r="J439" s="162"/>
    </row>
    <row r="440" spans="10:10">
      <c r="J440" s="162"/>
    </row>
    <row r="441" spans="10:10">
      <c r="J441" s="162"/>
    </row>
    <row r="442" spans="10:10">
      <c r="J442" s="162"/>
    </row>
    <row r="443" spans="10:10">
      <c r="J443" s="162"/>
    </row>
    <row r="444" spans="10:10">
      <c r="J444" s="162"/>
    </row>
    <row r="445" spans="10:10">
      <c r="J445" s="162"/>
    </row>
    <row r="446" spans="10:10">
      <c r="J446" s="162"/>
    </row>
    <row r="447" spans="10:10">
      <c r="J447" s="162"/>
    </row>
    <row r="448" spans="10:10">
      <c r="J448" s="162"/>
    </row>
    <row r="449" spans="10:10">
      <c r="J449" s="162"/>
    </row>
    <row r="450" spans="10:10">
      <c r="J450" s="162"/>
    </row>
    <row r="451" spans="10:10">
      <c r="J451" s="162"/>
    </row>
    <row r="452" spans="10:10">
      <c r="J452" s="162"/>
    </row>
    <row r="453" spans="10:10">
      <c r="J453" s="162"/>
    </row>
    <row r="454" spans="10:10">
      <c r="J454" s="162"/>
    </row>
    <row r="455" spans="10:10">
      <c r="J455" s="162"/>
    </row>
    <row r="456" spans="10:10">
      <c r="J456" s="162"/>
    </row>
    <row r="457" spans="10:10">
      <c r="J457" s="162"/>
    </row>
    <row r="458" spans="10:10">
      <c r="J458" s="162"/>
    </row>
    <row r="459" spans="10:10">
      <c r="J459" s="162"/>
    </row>
    <row r="460" spans="10:10">
      <c r="J460" s="162"/>
    </row>
    <row r="461" spans="10:10">
      <c r="J461" s="162"/>
    </row>
    <row r="462" spans="10:10">
      <c r="J462" s="162"/>
    </row>
    <row r="463" spans="10:10">
      <c r="J463" s="162"/>
    </row>
    <row r="464" spans="10:10">
      <c r="J464" s="162"/>
    </row>
    <row r="465" spans="10:10">
      <c r="J465" s="162"/>
    </row>
    <row r="466" spans="10:10">
      <c r="J466" s="162"/>
    </row>
    <row r="467" spans="10:10">
      <c r="J467" s="162"/>
    </row>
    <row r="468" spans="10:10">
      <c r="J468" s="162"/>
    </row>
    <row r="469" spans="10:10">
      <c r="J469" s="162"/>
    </row>
    <row r="470" spans="10:10">
      <c r="J470" s="162"/>
    </row>
    <row r="471" spans="10:10">
      <c r="J471" s="162"/>
    </row>
    <row r="472" spans="10:10">
      <c r="J472" s="162"/>
    </row>
    <row r="473" spans="10:10">
      <c r="J473" s="162"/>
    </row>
    <row r="474" spans="10:10">
      <c r="J474" s="162"/>
    </row>
    <row r="475" spans="10:10">
      <c r="J475" s="162"/>
    </row>
    <row r="476" spans="10:10">
      <c r="J476" s="162"/>
    </row>
    <row r="477" spans="10:10">
      <c r="J477" s="162"/>
    </row>
    <row r="478" spans="10:10">
      <c r="J478" s="162"/>
    </row>
    <row r="479" spans="10:10">
      <c r="J479" s="162"/>
    </row>
    <row r="480" spans="10:10">
      <c r="J480" s="162"/>
    </row>
    <row r="481" spans="10:10">
      <c r="J481" s="162"/>
    </row>
    <row r="482" spans="10:10">
      <c r="J482" s="162"/>
    </row>
    <row r="483" spans="10:10">
      <c r="J483" s="162"/>
    </row>
    <row r="484" spans="10:10">
      <c r="J484" s="162"/>
    </row>
    <row r="485" spans="10:10">
      <c r="J485" s="162"/>
    </row>
    <row r="486" spans="10:10">
      <c r="J486" s="162"/>
    </row>
    <row r="487" spans="10:10">
      <c r="J487" s="162"/>
    </row>
    <row r="488" spans="10:10">
      <c r="J488" s="162"/>
    </row>
    <row r="489" spans="10:10">
      <c r="J489" s="162"/>
    </row>
    <row r="490" spans="10:10">
      <c r="J490" s="162"/>
    </row>
    <row r="491" spans="10:10">
      <c r="J491" s="162"/>
    </row>
    <row r="492" spans="10:10">
      <c r="J492" s="162"/>
    </row>
    <row r="493" spans="10:10">
      <c r="J493" s="162"/>
    </row>
    <row r="494" spans="10:10">
      <c r="J494" s="162"/>
    </row>
    <row r="495" spans="10:10">
      <c r="J495" s="162"/>
    </row>
    <row r="496" spans="10:10">
      <c r="J496" s="162"/>
    </row>
    <row r="497" spans="10:10">
      <c r="J497" s="162"/>
    </row>
    <row r="498" spans="10:10">
      <c r="J498" s="162"/>
    </row>
    <row r="499" spans="10:10">
      <c r="J499" s="162"/>
    </row>
    <row r="500" spans="10:10">
      <c r="J500" s="162"/>
    </row>
    <row r="501" spans="10:10">
      <c r="J501" s="162"/>
    </row>
    <row r="502" spans="10:10">
      <c r="J502" s="162"/>
    </row>
    <row r="503" spans="10:10">
      <c r="J503" s="162"/>
    </row>
    <row r="504" spans="10:10">
      <c r="J504" s="162"/>
    </row>
    <row r="505" spans="10:10">
      <c r="J505" s="162"/>
    </row>
    <row r="506" spans="10:10">
      <c r="J506" s="162"/>
    </row>
    <row r="507" spans="10:10">
      <c r="J507" s="162"/>
    </row>
    <row r="508" spans="10:10">
      <c r="J508" s="162"/>
    </row>
    <row r="509" spans="10:10">
      <c r="J509" s="162"/>
    </row>
    <row r="510" spans="10:10">
      <c r="J510" s="162"/>
    </row>
    <row r="511" spans="10:10">
      <c r="J511" s="162"/>
    </row>
    <row r="512" spans="10:10">
      <c r="J512" s="162"/>
    </row>
    <row r="513" spans="10:10">
      <c r="J513" s="162"/>
    </row>
    <row r="514" spans="10:10">
      <c r="J514" s="162"/>
    </row>
    <row r="515" spans="10:10">
      <c r="J515" s="162"/>
    </row>
    <row r="516" spans="10:10">
      <c r="J516" s="162"/>
    </row>
    <row r="517" spans="10:10">
      <c r="J517" s="162"/>
    </row>
    <row r="518" spans="10:10">
      <c r="J518" s="162"/>
    </row>
    <row r="519" spans="10:10">
      <c r="J519" s="162"/>
    </row>
    <row r="520" spans="10:10">
      <c r="J520" s="162"/>
    </row>
    <row r="521" spans="10:10">
      <c r="J521" s="162"/>
    </row>
    <row r="522" spans="10:10">
      <c r="J522" s="162"/>
    </row>
    <row r="523" spans="10:10">
      <c r="J523" s="162"/>
    </row>
    <row r="524" spans="10:10">
      <c r="J524" s="162"/>
    </row>
    <row r="525" spans="10:10">
      <c r="J525" s="162"/>
    </row>
    <row r="526" spans="10:10">
      <c r="J526" s="162"/>
    </row>
    <row r="527" spans="10:10">
      <c r="J527" s="162"/>
    </row>
    <row r="528" spans="10:10">
      <c r="J528" s="162"/>
    </row>
    <row r="529" spans="10:10">
      <c r="J529" s="162"/>
    </row>
    <row r="530" spans="10:10">
      <c r="J530" s="162"/>
    </row>
    <row r="531" spans="10:10">
      <c r="J531" s="162"/>
    </row>
    <row r="532" spans="10:10">
      <c r="J532" s="162"/>
    </row>
    <row r="533" spans="10:10">
      <c r="J533" s="162"/>
    </row>
    <row r="534" spans="10:10">
      <c r="J534" s="162"/>
    </row>
    <row r="535" spans="10:10">
      <c r="J535" s="162"/>
    </row>
    <row r="536" spans="10:10">
      <c r="J536" s="162"/>
    </row>
    <row r="537" spans="10:10">
      <c r="J537" s="162"/>
    </row>
    <row r="538" spans="10:10">
      <c r="J538" s="162"/>
    </row>
    <row r="539" spans="10:10">
      <c r="J539" s="162"/>
    </row>
    <row r="540" spans="10:10">
      <c r="J540" s="162"/>
    </row>
    <row r="541" spans="10:10">
      <c r="J541" s="162"/>
    </row>
    <row r="542" spans="10:10">
      <c r="J542" s="162"/>
    </row>
    <row r="543" spans="10:10">
      <c r="J543" s="162"/>
    </row>
    <row r="544" spans="10:10">
      <c r="J544" s="162"/>
    </row>
    <row r="545" spans="10:10">
      <c r="J545" s="162"/>
    </row>
    <row r="546" spans="10:10">
      <c r="J546" s="162"/>
    </row>
    <row r="547" spans="10:10">
      <c r="J547" s="162"/>
    </row>
    <row r="548" spans="10:10">
      <c r="J548" s="162"/>
    </row>
    <row r="549" spans="10:10">
      <c r="J549" s="162"/>
    </row>
    <row r="550" spans="10:10">
      <c r="J550" s="162"/>
    </row>
    <row r="551" spans="10:10">
      <c r="J551" s="162"/>
    </row>
    <row r="552" spans="10:10">
      <c r="J552" s="162"/>
    </row>
    <row r="553" spans="10:10">
      <c r="J553" s="162"/>
    </row>
    <row r="554" spans="10:10">
      <c r="J554" s="162"/>
    </row>
    <row r="555" spans="10:10">
      <c r="J555" s="162"/>
    </row>
    <row r="556" spans="10:10">
      <c r="J556" s="162"/>
    </row>
    <row r="557" spans="10:10">
      <c r="J557" s="162"/>
    </row>
    <row r="558" spans="10:10">
      <c r="J558" s="162"/>
    </row>
    <row r="559" spans="10:10">
      <c r="J559" s="162"/>
    </row>
    <row r="560" spans="10:10">
      <c r="J560" s="162"/>
    </row>
    <row r="561" spans="10:10">
      <c r="J561" s="162"/>
    </row>
    <row r="562" spans="10:10">
      <c r="J562" s="162"/>
    </row>
    <row r="563" spans="10:10">
      <c r="J563" s="162"/>
    </row>
    <row r="564" spans="10:10">
      <c r="J564" s="162"/>
    </row>
    <row r="565" spans="10:10">
      <c r="J565" s="162"/>
    </row>
    <row r="566" spans="10:10">
      <c r="J566" s="162"/>
    </row>
    <row r="567" spans="10:10">
      <c r="J567" s="162"/>
    </row>
    <row r="568" spans="10:10">
      <c r="J568" s="162"/>
    </row>
    <row r="569" spans="10:10">
      <c r="J569" s="162"/>
    </row>
    <row r="570" spans="10:10">
      <c r="J570" s="162"/>
    </row>
    <row r="571" spans="10:10">
      <c r="J571" s="162"/>
    </row>
    <row r="572" spans="10:10">
      <c r="J572" s="162"/>
    </row>
    <row r="573" spans="10:10">
      <c r="J573" s="162"/>
    </row>
    <row r="574" spans="10:10">
      <c r="J574" s="162"/>
    </row>
    <row r="575" spans="10:10">
      <c r="J575" s="162"/>
    </row>
    <row r="576" spans="10:10">
      <c r="J576" s="162"/>
    </row>
    <row r="577" spans="10:10">
      <c r="J577" s="162"/>
    </row>
    <row r="578" spans="10:10">
      <c r="J578" s="162"/>
    </row>
    <row r="579" spans="10:10">
      <c r="J579" s="162"/>
    </row>
    <row r="580" spans="10:10">
      <c r="J580" s="162"/>
    </row>
    <row r="581" spans="10:10">
      <c r="J581" s="162"/>
    </row>
    <row r="582" spans="10:10">
      <c r="J582" s="162"/>
    </row>
    <row r="583" spans="10:10">
      <c r="J583" s="162"/>
    </row>
    <row r="584" spans="10:10">
      <c r="J584" s="162"/>
    </row>
    <row r="585" spans="10:10">
      <c r="J585" s="162"/>
    </row>
    <row r="586" spans="10:10">
      <c r="J586" s="162"/>
    </row>
    <row r="587" spans="10:10">
      <c r="J587" s="162"/>
    </row>
    <row r="588" spans="10:10">
      <c r="J588" s="162"/>
    </row>
    <row r="589" spans="10:10">
      <c r="J589" s="162"/>
    </row>
    <row r="590" spans="10:10">
      <c r="J590" s="162"/>
    </row>
    <row r="591" spans="10:10">
      <c r="J591" s="162"/>
    </row>
    <row r="592" spans="10:10">
      <c r="J592" s="162"/>
    </row>
    <row r="593" spans="10:10">
      <c r="J593" s="162"/>
    </row>
    <row r="594" spans="10:10">
      <c r="J594" s="162"/>
    </row>
    <row r="595" spans="10:10">
      <c r="J595" s="162"/>
    </row>
    <row r="596" spans="10:10">
      <c r="J596" s="162"/>
    </row>
    <row r="597" spans="10:10">
      <c r="J597" s="162"/>
    </row>
    <row r="598" spans="10:10">
      <c r="J598" s="162"/>
    </row>
    <row r="599" spans="10:10">
      <c r="J599" s="162"/>
    </row>
    <row r="600" spans="10:10">
      <c r="J600" s="162"/>
    </row>
    <row r="601" spans="10:10">
      <c r="J601" s="162"/>
    </row>
    <row r="602" spans="10:10">
      <c r="J602" s="162"/>
    </row>
    <row r="603" spans="10:10">
      <c r="J603" s="162"/>
    </row>
    <row r="604" spans="10:10">
      <c r="J604" s="162"/>
    </row>
    <row r="605" spans="10:10">
      <c r="J605" s="162"/>
    </row>
    <row r="606" spans="10:10">
      <c r="J606" s="162"/>
    </row>
    <row r="607" spans="10:10">
      <c r="J607" s="162"/>
    </row>
    <row r="608" spans="10:10">
      <c r="J608" s="162"/>
    </row>
    <row r="609" spans="10:10">
      <c r="J609" s="162"/>
    </row>
    <row r="610" spans="10:10">
      <c r="J610" s="162"/>
    </row>
    <row r="611" spans="10:10">
      <c r="J611" s="162"/>
    </row>
    <row r="612" spans="10:10">
      <c r="J612" s="162"/>
    </row>
    <row r="613" spans="10:10">
      <c r="J613" s="162"/>
    </row>
    <row r="614" spans="10:10">
      <c r="J614" s="162"/>
    </row>
    <row r="615" spans="10:10">
      <c r="J615" s="162"/>
    </row>
    <row r="616" spans="10:10">
      <c r="J616" s="162"/>
    </row>
  </sheetData>
  <pageMargins left="0.7" right="0.7" top="0.75" bottom="0.75" header="0.3" footer="0.3"/>
  <pageSetup paperSize="9" orientation="portrait" r:id="rId1"/>
  <ignoredErrors>
    <ignoredError sqref="Q2 M2"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4"/>
  <sheetViews>
    <sheetView topLeftCell="A74" zoomScaleSheetLayoutView="100" workbookViewId="0">
      <selection activeCell="B87" sqref="A1:D104"/>
    </sheetView>
  </sheetViews>
  <sheetFormatPr defaultColWidth="8.75" defaultRowHeight="15.75"/>
  <cols>
    <col min="1" max="1" width="67.75" customWidth="1"/>
    <col min="2" max="2" width="89.125" customWidth="1"/>
    <col min="3" max="3" width="76.625" customWidth="1"/>
    <col min="4" max="4" width="82.25" customWidth="1"/>
  </cols>
  <sheetData>
    <row r="1" spans="1:4">
      <c r="A1" s="148" t="s">
        <v>5200</v>
      </c>
      <c r="B1" s="149"/>
      <c r="C1" s="149">
        <f>IF(Language="English",0,IF(Language="French",1,IF(Language="Spanish",2,IF(Language="Russian",3))))</f>
        <v>2</v>
      </c>
      <c r="D1" s="149"/>
    </row>
    <row r="2" spans="1:4">
      <c r="A2" s="148" t="s">
        <v>5201</v>
      </c>
      <c r="B2" s="150" t="s">
        <v>5202</v>
      </c>
      <c r="C2" s="150" t="s">
        <v>5203</v>
      </c>
      <c r="D2" s="150" t="s">
        <v>323</v>
      </c>
    </row>
    <row r="3" spans="1:4">
      <c r="A3" t="str">
        <f ca="1">OFFSET($B3,0,LangOffset,1,1)</f>
        <v>Langue :</v>
      </c>
      <c r="B3" t="s">
        <v>5204</v>
      </c>
      <c r="C3" t="s">
        <v>5205</v>
      </c>
      <c r="D3" t="s">
        <v>5205</v>
      </c>
    </row>
    <row r="4" spans="1:4">
      <c r="A4" t="str">
        <f ca="1">OFFSET($B4,0,LangOffset,1,1)</f>
        <v>Marco de desempeño  - Descripción General - Sección A</v>
      </c>
      <c r="B4" s="151" t="s">
        <v>5206</v>
      </c>
      <c r="C4" s="151" t="s">
        <v>5207</v>
      </c>
      <c r="D4" s="151" t="s">
        <v>5208</v>
      </c>
    </row>
    <row r="5" spans="1:4">
      <c r="A5" t="str">
        <f t="shared" ref="A5:A65" ca="1" si="0">OFFSET($B5,0,LangOffset,1,1)</f>
        <v>País / Solicitante:</v>
      </c>
      <c r="B5" s="151" t="s">
        <v>5209</v>
      </c>
      <c r="C5" s="151" t="s">
        <v>5210</v>
      </c>
      <c r="D5" s="151" t="s">
        <v>5211</v>
      </c>
    </row>
    <row r="6" spans="1:4">
      <c r="A6" t="str">
        <f t="shared" ca="1" si="0"/>
        <v>Nombre de la Subvención/Nombre de la solicitud de financiamiento</v>
      </c>
      <c r="B6" s="151" t="s">
        <v>5212</v>
      </c>
      <c r="C6" s="152" t="s">
        <v>5213</v>
      </c>
      <c r="D6" s="151" t="s">
        <v>5214</v>
      </c>
    </row>
    <row r="7" spans="1:4">
      <c r="A7" t="str">
        <f t="shared" ca="1" si="0"/>
        <v>Fecha de inicio del programa</v>
      </c>
      <c r="B7" s="151" t="s">
        <v>5215</v>
      </c>
      <c r="C7" s="151" t="s">
        <v>5216</v>
      </c>
      <c r="D7" s="151" t="s">
        <v>5217</v>
      </c>
    </row>
    <row r="8" spans="1:4">
      <c r="A8" t="str">
        <f t="shared" ca="1" si="0"/>
        <v>Fecha final del programa</v>
      </c>
      <c r="B8" s="151" t="s">
        <v>5218</v>
      </c>
      <c r="C8" s="151" t="s">
        <v>5219</v>
      </c>
      <c r="D8" s="151" t="s">
        <v>5220</v>
      </c>
    </row>
    <row r="9" spans="1:4">
      <c r="A9" t="str">
        <f t="shared" ca="1" si="0"/>
        <v>Frecuencia del período de reporte programático</v>
      </c>
      <c r="B9" s="151" t="s">
        <v>5221</v>
      </c>
      <c r="C9" s="152" t="s">
        <v>5222</v>
      </c>
      <c r="D9" s="151" t="s">
        <v>5223</v>
      </c>
    </row>
    <row r="10" spans="1:4">
      <c r="A10" t="str">
        <f t="shared" ca="1" si="0"/>
        <v>Fecha de inicio del período de uso de la asignación</v>
      </c>
      <c r="B10" s="151" t="s">
        <v>5224</v>
      </c>
      <c r="C10" s="152" t="s">
        <v>5225</v>
      </c>
      <c r="D10" s="151" t="s">
        <v>5226</v>
      </c>
    </row>
    <row r="11" spans="1:4">
      <c r="A11" t="str">
        <f t="shared" ca="1" si="0"/>
        <v xml:space="preserve">Fecha de término del período de uso de la asignación </v>
      </c>
      <c r="B11" s="151" t="s">
        <v>5227</v>
      </c>
      <c r="C11" s="152" t="s">
        <v>5228</v>
      </c>
      <c r="D11" s="151" t="s">
        <v>5229</v>
      </c>
    </row>
    <row r="12" spans="1:4">
      <c r="A12" t="str">
        <f t="shared" ca="1" si="0"/>
        <v>Navegación de la página</v>
      </c>
      <c r="B12" s="151" t="s">
        <v>5230</v>
      </c>
      <c r="C12" s="152" t="s">
        <v>5231</v>
      </c>
      <c r="D12" s="151" t="s">
        <v>96</v>
      </c>
    </row>
    <row r="13" spans="1:4">
      <c r="A13" t="str">
        <f t="shared" ca="1" si="0"/>
        <v>Componente</v>
      </c>
      <c r="B13" s="151" t="s">
        <v>5232</v>
      </c>
      <c r="C13" s="151" t="s">
        <v>5233</v>
      </c>
      <c r="D13" s="151" t="s">
        <v>5234</v>
      </c>
    </row>
    <row r="14" spans="1:4">
      <c r="A14" t="str">
        <f t="shared" ca="1" si="0"/>
        <v xml:space="preserve">Número del Receptor Principal </v>
      </c>
      <c r="B14" s="151" t="s">
        <v>5235</v>
      </c>
      <c r="C14" s="152" t="s">
        <v>5236</v>
      </c>
      <c r="D14" s="151" t="s">
        <v>5237</v>
      </c>
    </row>
    <row r="15" spans="1:4">
      <c r="A15" t="str">
        <f t="shared" ca="1" si="0"/>
        <v>Nombre del Receptor Principal</v>
      </c>
      <c r="B15" s="151" t="s">
        <v>5238</v>
      </c>
      <c r="C15" s="151" t="s">
        <v>5239</v>
      </c>
      <c r="D15" s="151" t="s">
        <v>5240</v>
      </c>
    </row>
    <row r="16" spans="1:4" ht="30">
      <c r="A16" t="str">
        <f t="shared" ca="1" si="0"/>
        <v>Nombre del Receptor Principal (Seleccione los RP que han tenido subvenciones con el Fondo Mundial previamente)</v>
      </c>
      <c r="B16" s="415" t="s">
        <v>5241</v>
      </c>
      <c r="C16" s="154" t="s">
        <v>5242</v>
      </c>
      <c r="D16" s="153" t="s">
        <v>5243</v>
      </c>
    </row>
    <row r="17" spans="1:4">
      <c r="A17" t="str">
        <f t="shared" ca="1" si="0"/>
        <v>Período de reporte</v>
      </c>
      <c r="B17" s="151" t="s">
        <v>5244</v>
      </c>
      <c r="C17" s="152" t="s">
        <v>5245</v>
      </c>
      <c r="D17" s="151" t="s">
        <v>5246</v>
      </c>
    </row>
    <row r="18" spans="1:4">
      <c r="A18" t="str">
        <f t="shared" ca="1" si="0"/>
        <v>Fecha de inicio del período</v>
      </c>
      <c r="B18" s="151" t="s">
        <v>5247</v>
      </c>
      <c r="C18" s="152" t="s">
        <v>5248</v>
      </c>
      <c r="D18" s="151" t="s">
        <v>67</v>
      </c>
    </row>
    <row r="19" spans="1:4">
      <c r="A19" t="str">
        <f t="shared" ca="1" si="0"/>
        <v>Fecha de término del período</v>
      </c>
      <c r="B19" s="151" t="s">
        <v>5249</v>
      </c>
      <c r="C19" s="152" t="s">
        <v>5250</v>
      </c>
      <c r="D19" s="151" t="s">
        <v>5251</v>
      </c>
    </row>
    <row r="20" spans="1:4">
      <c r="A20" t="str">
        <f t="shared" ca="1" si="0"/>
        <v>Fecha de envío del PUDR</v>
      </c>
      <c r="B20" s="151" t="s">
        <v>5252</v>
      </c>
      <c r="C20" s="152" t="s">
        <v>5253</v>
      </c>
      <c r="D20" s="151" t="s">
        <v>5254</v>
      </c>
    </row>
    <row r="21" spans="1:4">
      <c r="A21" t="str">
        <f t="shared" ca="1" si="0"/>
        <v>Fecha de envío</v>
      </c>
      <c r="B21" s="151" t="s">
        <v>5255</v>
      </c>
      <c r="C21" s="152" t="s">
        <v>5256</v>
      </c>
      <c r="D21" s="151" t="s">
        <v>5257</v>
      </c>
    </row>
    <row r="22" spans="1:4">
      <c r="A22" t="str">
        <f t="shared" ca="1" si="0"/>
        <v xml:space="preserve">Metas </v>
      </c>
      <c r="B22" s="151" t="s">
        <v>5258</v>
      </c>
      <c r="C22" s="151" t="s">
        <v>5259</v>
      </c>
      <c r="D22" s="151" t="s">
        <v>5260</v>
      </c>
    </row>
    <row r="23" spans="1:4">
      <c r="A23" t="str">
        <f t="shared" ca="1" si="0"/>
        <v>Número de meta</v>
      </c>
      <c r="B23" s="151" t="s">
        <v>5261</v>
      </c>
      <c r="C23" s="152" t="s">
        <v>5262</v>
      </c>
      <c r="D23" s="151" t="s">
        <v>5263</v>
      </c>
    </row>
    <row r="24" spans="1:4">
      <c r="A24" t="str">
        <f t="shared" ca="1" si="0"/>
        <v>Descripción de meta</v>
      </c>
      <c r="B24" s="151" t="s">
        <v>5264</v>
      </c>
      <c r="C24" s="152" t="s">
        <v>5265</v>
      </c>
      <c r="D24" s="151" t="s">
        <v>5266</v>
      </c>
    </row>
    <row r="25" spans="1:4">
      <c r="A25" t="str">
        <f t="shared" ca="1" si="0"/>
        <v>Objetivos</v>
      </c>
      <c r="B25" s="151" t="s">
        <v>5267</v>
      </c>
      <c r="C25" s="151" t="s">
        <v>5268</v>
      </c>
      <c r="D25" s="151" t="s">
        <v>5269</v>
      </c>
    </row>
    <row r="26" spans="1:4">
      <c r="A26" t="str">
        <f t="shared" ca="1" si="0"/>
        <v>Número de objetivo</v>
      </c>
      <c r="B26" s="151" t="s">
        <v>5270</v>
      </c>
      <c r="C26" s="152" t="s">
        <v>5271</v>
      </c>
      <c r="D26" s="151" t="s">
        <v>5272</v>
      </c>
    </row>
    <row r="27" spans="1:4">
      <c r="A27" t="str">
        <f t="shared" ca="1" si="0"/>
        <v>Descripción de objetivos</v>
      </c>
      <c r="B27" s="151" t="s">
        <v>5273</v>
      </c>
      <c r="C27" s="152" t="s">
        <v>5274</v>
      </c>
      <c r="D27" s="151" t="s">
        <v>5275</v>
      </c>
    </row>
    <row r="28" spans="1:4">
      <c r="A28" t="str">
        <f t="shared" ca="1" si="0"/>
        <v>Módulos</v>
      </c>
      <c r="B28" s="151" t="s">
        <v>5276</v>
      </c>
      <c r="C28" s="151" t="s">
        <v>5276</v>
      </c>
      <c r="D28" s="151" t="s">
        <v>5277</v>
      </c>
    </row>
    <row r="29" spans="1:4">
      <c r="A29" t="str">
        <f t="shared" ca="1" si="0"/>
        <v>Número de módulo</v>
      </c>
      <c r="B29" s="151" t="s">
        <v>5278</v>
      </c>
      <c r="C29" s="152" t="s">
        <v>5279</v>
      </c>
      <c r="D29" s="151" t="s">
        <v>5280</v>
      </c>
    </row>
    <row r="30" spans="1:4">
      <c r="A30" t="str">
        <f t="shared" ca="1" si="0"/>
        <v>Nombre del módulo</v>
      </c>
      <c r="B30" s="151" t="s">
        <v>484</v>
      </c>
      <c r="C30" s="152" t="s">
        <v>5281</v>
      </c>
      <c r="D30" s="151" t="s">
        <v>5282</v>
      </c>
    </row>
    <row r="31" spans="1:4">
      <c r="A31" t="str">
        <f t="shared" ca="1" si="0"/>
        <v>Solo se requiere si tiene Medidas de Seguimiento al Plan de Trabajo</v>
      </c>
      <c r="B31" s="151" t="s">
        <v>5283</v>
      </c>
      <c r="C31" s="152" t="s">
        <v>5284</v>
      </c>
      <c r="D31" s="151" t="s">
        <v>5285</v>
      </c>
    </row>
    <row r="32" spans="1:4">
      <c r="A32" t="str">
        <f t="shared" ca="1" si="0"/>
        <v>Número de intervención</v>
      </c>
      <c r="B32" s="151" t="s">
        <v>5286</v>
      </c>
      <c r="C32" s="152" t="s">
        <v>5287</v>
      </c>
      <c r="D32" s="151" t="s">
        <v>5288</v>
      </c>
    </row>
    <row r="33" spans="1:4">
      <c r="A33" t="str">
        <f t="shared" ca="1" si="0"/>
        <v xml:space="preserve">Intervención estándar </v>
      </c>
      <c r="B33" s="151" t="s">
        <v>5289</v>
      </c>
      <c r="C33" s="151" t="s">
        <v>5290</v>
      </c>
      <c r="D33" s="151" t="s">
        <v>5291</v>
      </c>
    </row>
    <row r="34" spans="1:4">
      <c r="A34" t="str">
        <f t="shared" ca="1" si="0"/>
        <v>Intervención personalizada (solo si selecciona "otras" intervenciones)</v>
      </c>
      <c r="B34" s="151" t="s">
        <v>5292</v>
      </c>
      <c r="C34" s="152" t="s">
        <v>5293</v>
      </c>
      <c r="D34" s="151" t="s">
        <v>5294</v>
      </c>
    </row>
    <row r="35" spans="1:4">
      <c r="A35" t="str">
        <f t="shared" ca="1" si="0"/>
        <v>Población</v>
      </c>
      <c r="B35" s="151" t="s">
        <v>485</v>
      </c>
      <c r="C35" s="151" t="s">
        <v>485</v>
      </c>
      <c r="D35" s="151" t="s">
        <v>91</v>
      </c>
    </row>
    <row r="36" spans="1:4">
      <c r="A36" t="str">
        <f t="shared" ca="1" si="0"/>
        <v>Marco de desempeño - Indicadores de Impacto- Sección B</v>
      </c>
      <c r="B36" s="151" t="s">
        <v>5295</v>
      </c>
      <c r="C36" s="151" t="s">
        <v>5296</v>
      </c>
      <c r="D36" s="151" t="s">
        <v>5297</v>
      </c>
    </row>
    <row r="37" spans="1:4">
      <c r="A37" t="str">
        <f t="shared" ca="1" si="0"/>
        <v xml:space="preserve">Indicador de impacto número </v>
      </c>
      <c r="B37" s="151" t="s">
        <v>3083</v>
      </c>
      <c r="C37" s="152" t="s">
        <v>5298</v>
      </c>
      <c r="D37" s="151" t="s">
        <v>5299</v>
      </c>
    </row>
    <row r="38" spans="1:4">
      <c r="A38" t="str">
        <f t="shared" ca="1" si="0"/>
        <v xml:space="preserve">Indicador estándar </v>
      </c>
      <c r="B38" s="151" t="s">
        <v>5300</v>
      </c>
      <c r="C38" s="151" t="s">
        <v>5301</v>
      </c>
      <c r="D38" s="151" t="s">
        <v>99</v>
      </c>
    </row>
    <row r="39" spans="1:4">
      <c r="A39" t="str">
        <f t="shared" ca="1" si="0"/>
        <v>Indicador personalizado</v>
      </c>
      <c r="B39" s="151" t="s">
        <v>3053</v>
      </c>
      <c r="C39" s="151" t="s">
        <v>5302</v>
      </c>
      <c r="D39" s="151" t="s">
        <v>104</v>
      </c>
    </row>
    <row r="40" spans="1:4">
      <c r="A40" t="str">
        <f t="shared" ca="1" si="0"/>
        <v>Línea de base #N
Línea de base #D</v>
      </c>
      <c r="B40" s="151" t="s">
        <v>5303</v>
      </c>
      <c r="C40" s="416" t="s">
        <v>5304</v>
      </c>
      <c r="D40" s="417" t="s">
        <v>5305</v>
      </c>
    </row>
    <row r="41" spans="1:4">
      <c r="A41" t="str">
        <f t="shared" ca="1" si="0"/>
        <v>Línea de base %</v>
      </c>
      <c r="B41" s="151" t="s">
        <v>3046</v>
      </c>
      <c r="C41" s="416" t="s">
        <v>5306</v>
      </c>
      <c r="D41" s="417" t="s">
        <v>112</v>
      </c>
    </row>
    <row r="42" spans="1:4">
      <c r="A42" t="str">
        <f t="shared" ca="1" si="0"/>
        <v>Línea de base año</v>
      </c>
      <c r="B42" s="151" t="s">
        <v>3050</v>
      </c>
      <c r="C42" s="152" t="s">
        <v>5307</v>
      </c>
      <c r="D42" s="151" t="s">
        <v>3014</v>
      </c>
    </row>
    <row r="43" spans="1:4">
      <c r="A43" t="str">
        <f t="shared" ca="1" si="0"/>
        <v>Línea de base año fuente</v>
      </c>
      <c r="B43" s="151" t="s">
        <v>3049</v>
      </c>
      <c r="C43" s="152" t="s">
        <v>5308</v>
      </c>
      <c r="D43" s="151" t="s">
        <v>3015</v>
      </c>
    </row>
    <row r="44" spans="1:4">
      <c r="A44" t="str">
        <f t="shared" ca="1" si="0"/>
        <v>Marco de desempeño  - Descripción General - Sección A</v>
      </c>
      <c r="B44" s="155" t="s">
        <v>5206</v>
      </c>
      <c r="C44" s="155" t="s">
        <v>5309</v>
      </c>
      <c r="D44" s="155" t="s">
        <v>5208</v>
      </c>
    </row>
    <row r="45" spans="1:4">
      <c r="A45" t="str">
        <f t="shared" ca="1" si="0"/>
        <v>Receptores principales</v>
      </c>
      <c r="B45" s="151" t="s">
        <v>5310</v>
      </c>
      <c r="C45" s="151" t="s">
        <v>5311</v>
      </c>
      <c r="D45" s="151" t="s">
        <v>5312</v>
      </c>
    </row>
    <row r="46" spans="1:4">
      <c r="A46" t="str">
        <f t="shared" ca="1" si="0"/>
        <v>Intervención</v>
      </c>
      <c r="B46" s="151" t="s">
        <v>470</v>
      </c>
      <c r="C46" s="151" t="s">
        <v>470</v>
      </c>
      <c r="D46" s="151" t="s">
        <v>296</v>
      </c>
    </row>
    <row r="47" spans="1:4">
      <c r="A47" t="str">
        <f t="shared" ca="1" si="0"/>
        <v>Período de reporte</v>
      </c>
      <c r="B47" s="151" t="s">
        <v>5313</v>
      </c>
      <c r="C47" s="152" t="s">
        <v>5245</v>
      </c>
      <c r="D47" s="151" t="s">
        <v>5246</v>
      </c>
    </row>
    <row r="48" spans="1:4">
      <c r="A48" t="str">
        <f t="shared" ca="1" si="0"/>
        <v>Instrucciones</v>
      </c>
      <c r="B48" s="151" t="s">
        <v>5314</v>
      </c>
      <c r="C48" s="151" t="s">
        <v>5314</v>
      </c>
      <c r="D48" s="151" t="s">
        <v>5315</v>
      </c>
    </row>
    <row r="49" spans="1:4">
      <c r="A49" t="str">
        <f t="shared" ca="1" si="0"/>
        <v xml:space="preserve">Nuevo Receptor principal (utilice si la entidad nunca ha sido RP del Fondo Mundial o no aparece en la lista desplegable de las columnas anteriores) </v>
      </c>
      <c r="B49" s="151" t="s">
        <v>5316</v>
      </c>
      <c r="C49" s="152" t="s">
        <v>5317</v>
      </c>
      <c r="D49" s="151" t="s">
        <v>5318</v>
      </c>
    </row>
    <row r="50" spans="1:4">
      <c r="A50" t="str">
        <f t="shared" ca="1" si="0"/>
        <v>Solo se requiere si tiene Medidas de Seguimiento al Plan de Trabajo</v>
      </c>
      <c r="B50" s="151" t="s">
        <v>5283</v>
      </c>
      <c r="C50" s="152" t="s">
        <v>5284</v>
      </c>
      <c r="D50" s="151" t="s">
        <v>5285</v>
      </c>
    </row>
    <row r="51" spans="1:4">
      <c r="A51" t="str">
        <f t="shared" ca="1" si="0"/>
        <v>Desagregación requerida</v>
      </c>
      <c r="B51" s="153" t="s">
        <v>5319</v>
      </c>
      <c r="C51" s="152" t="s">
        <v>5320</v>
      </c>
      <c r="D51" s="151" t="s">
        <v>5321</v>
      </c>
    </row>
    <row r="52" spans="1:4">
      <c r="A52" t="str">
        <f t="shared" ca="1" si="0"/>
        <v>Receptor principal responsible</v>
      </c>
      <c r="B52" s="151" t="s">
        <v>3056</v>
      </c>
      <c r="C52" s="151" t="s">
        <v>5322</v>
      </c>
      <c r="D52" s="151" t="s">
        <v>300</v>
      </c>
    </row>
    <row r="53" spans="1:4">
      <c r="A53" t="str">
        <f t="shared" ca="1" si="0"/>
        <v>País</v>
      </c>
      <c r="B53" s="151" t="s">
        <v>3052</v>
      </c>
      <c r="C53" s="151" t="s">
        <v>5323</v>
      </c>
      <c r="D53" s="151" t="s">
        <v>131</v>
      </c>
    </row>
    <row r="54" spans="1:4">
      <c r="A54" t="str">
        <f t="shared" ca="1" si="0"/>
        <v>Meta N#</v>
      </c>
      <c r="B54" s="151" t="s">
        <v>5324</v>
      </c>
      <c r="C54" s="151" t="s">
        <v>5325</v>
      </c>
      <c r="D54" s="151" t="s">
        <v>5326</v>
      </c>
    </row>
    <row r="55" spans="1:4">
      <c r="A55" t="str">
        <f t="shared" ca="1" si="0"/>
        <v>Meta D#</v>
      </c>
      <c r="B55" s="151" t="s">
        <v>5327</v>
      </c>
      <c r="C55" s="151" t="s">
        <v>5328</v>
      </c>
      <c r="D55" s="151" t="s">
        <v>5329</v>
      </c>
    </row>
    <row r="56" spans="1:4">
      <c r="A56" t="str">
        <f t="shared" ca="1" si="0"/>
        <v>Fecha de envío del reporte</v>
      </c>
      <c r="B56" s="151" t="s">
        <v>3089</v>
      </c>
      <c r="C56" s="152" t="s">
        <v>5330</v>
      </c>
      <c r="D56" s="151" t="s">
        <v>3017</v>
      </c>
    </row>
    <row r="57" spans="1:4">
      <c r="A57" t="str">
        <f t="shared" ca="1" si="0"/>
        <v>Marque si la meta es "TBD"</v>
      </c>
      <c r="B57" s="151" t="s">
        <v>5331</v>
      </c>
      <c r="C57" s="152" t="s">
        <v>5332</v>
      </c>
      <c r="D57" s="151" t="s">
        <v>3018</v>
      </c>
    </row>
    <row r="58" spans="1:4">
      <c r="A58" t="str">
        <f t="shared" ca="1" si="0"/>
        <v>Comentarios</v>
      </c>
      <c r="B58" s="151" t="s">
        <v>3599</v>
      </c>
      <c r="C58" s="151" t="s">
        <v>5333</v>
      </c>
      <c r="D58" s="151" t="s">
        <v>148</v>
      </c>
    </row>
    <row r="59" spans="1:4">
      <c r="A59" t="str">
        <f t="shared" ca="1" si="0"/>
        <v>Marco de desempeño - Indicadores de Resultado - Sección C</v>
      </c>
      <c r="B59" s="151" t="s">
        <v>5334</v>
      </c>
      <c r="C59" s="151" t="s">
        <v>5335</v>
      </c>
      <c r="D59" s="151" t="s">
        <v>5336</v>
      </c>
    </row>
    <row r="60" spans="1:4">
      <c r="A60" t="str">
        <f t="shared" ca="1" si="0"/>
        <v>Resultado</v>
      </c>
      <c r="B60" s="151" t="s">
        <v>754</v>
      </c>
      <c r="C60" s="151" t="s">
        <v>5337</v>
      </c>
      <c r="D60" s="151" t="s">
        <v>5338</v>
      </c>
    </row>
    <row r="61" spans="1:4">
      <c r="A61" t="str">
        <f t="shared" ca="1" si="0"/>
        <v>Indicador</v>
      </c>
      <c r="B61" s="151" t="s">
        <v>5339</v>
      </c>
      <c r="C61" s="151" t="s">
        <v>5340</v>
      </c>
      <c r="D61" s="151" t="s">
        <v>5341</v>
      </c>
    </row>
    <row r="62" spans="1:4">
      <c r="A62" t="str">
        <f t="shared" ca="1" si="0"/>
        <v>Número</v>
      </c>
      <c r="B62" s="153" t="s">
        <v>5342</v>
      </c>
      <c r="C62" s="151" t="s">
        <v>5343</v>
      </c>
      <c r="D62" s="151" t="s">
        <v>5344</v>
      </c>
    </row>
    <row r="63" spans="1:4">
      <c r="A63" t="str">
        <f t="shared" ca="1" si="0"/>
        <v>Meta %</v>
      </c>
      <c r="B63" s="151" t="s">
        <v>3087</v>
      </c>
      <c r="C63" s="151" t="s">
        <v>5345</v>
      </c>
      <c r="D63" s="151" t="s">
        <v>5346</v>
      </c>
    </row>
    <row r="64" spans="1:4">
      <c r="A64" t="str">
        <f t="shared" ca="1" si="0"/>
        <v>Marco de desempeño - Indicadores de cobertura - Sección D</v>
      </c>
      <c r="B64" s="151" t="s">
        <v>5347</v>
      </c>
      <c r="C64" s="151" t="s">
        <v>5348</v>
      </c>
      <c r="D64" s="151" t="s">
        <v>5349</v>
      </c>
    </row>
    <row r="65" spans="1:4">
      <c r="A65" t="str">
        <f t="shared" ca="1" si="0"/>
        <v xml:space="preserve">Número del Indicador de cobertura </v>
      </c>
      <c r="B65" s="151" t="s">
        <v>3346</v>
      </c>
      <c r="C65" s="151" t="s">
        <v>5350</v>
      </c>
      <c r="D65" s="151" t="s">
        <v>5351</v>
      </c>
    </row>
    <row r="66" spans="1:4">
      <c r="A66" t="str">
        <f t="shared" ref="A66:A100" ca="1" si="1">OFFSET($B66,0,LangOffset,1,1)</f>
        <v>Incluir en resultados del FM</v>
      </c>
      <c r="B66" s="151" t="s">
        <v>5352</v>
      </c>
      <c r="C66" s="152" t="s">
        <v>5353</v>
      </c>
      <c r="D66" s="151" t="s">
        <v>5354</v>
      </c>
    </row>
    <row r="67" spans="1:4">
      <c r="A67" t="str">
        <f t="shared" ca="1" si="1"/>
        <v>País / Alcance de las metas</v>
      </c>
      <c r="B67" s="151" t="s">
        <v>5355</v>
      </c>
      <c r="C67" s="152" t="s">
        <v>5356</v>
      </c>
      <c r="D67" s="151" t="s">
        <v>5357</v>
      </c>
    </row>
    <row r="68" spans="1:4">
      <c r="A68" t="str">
        <f t="shared" ca="1" si="1"/>
        <v>Tipo de acumulación</v>
      </c>
      <c r="B68" s="151" t="s">
        <v>5358</v>
      </c>
      <c r="C68" s="152" t="s">
        <v>5359</v>
      </c>
      <c r="D68" s="151" t="s">
        <v>248</v>
      </c>
    </row>
    <row r="69" spans="1:4">
      <c r="A69" t="str">
        <f t="shared" ca="1" si="1"/>
        <v>Marco de desempeño - Desagregación - Sección E</v>
      </c>
      <c r="B69" s="151" t="s">
        <v>5360</v>
      </c>
      <c r="C69" s="151" t="s">
        <v>5361</v>
      </c>
      <c r="D69" s="151" t="s">
        <v>5362</v>
      </c>
    </row>
    <row r="70" spans="1:4">
      <c r="A70" t="str">
        <f t="shared" ca="1" si="1"/>
        <v>Impacto</v>
      </c>
      <c r="B70" s="151" t="s">
        <v>662</v>
      </c>
      <c r="C70" s="151" t="s">
        <v>662</v>
      </c>
      <c r="D70" s="151" t="s">
        <v>5363</v>
      </c>
    </row>
    <row r="71" spans="1:4">
      <c r="A71" t="str">
        <f t="shared" ca="1" si="1"/>
        <v>Cobertura</v>
      </c>
      <c r="B71" s="151" t="s">
        <v>5364</v>
      </c>
      <c r="C71" s="151" t="s">
        <v>5365</v>
      </c>
      <c r="D71" s="151" t="s">
        <v>5366</v>
      </c>
    </row>
    <row r="72" spans="1:4">
      <c r="A72" t="str">
        <f t="shared" ca="1" si="1"/>
        <v>Desagregación del Indicador de impacto</v>
      </c>
      <c r="B72" s="151" t="s">
        <v>3753</v>
      </c>
      <c r="C72" s="151" t="s">
        <v>5367</v>
      </c>
      <c r="D72" s="151" t="s">
        <v>5368</v>
      </c>
    </row>
    <row r="73" spans="1:4">
      <c r="A73" t="str">
        <f t="shared" ca="1" si="1"/>
        <v>Nombre del indicador de impacto</v>
      </c>
      <c r="B73" s="151" t="s">
        <v>5369</v>
      </c>
      <c r="C73" s="151" t="s">
        <v>5370</v>
      </c>
      <c r="D73" s="151" t="s">
        <v>5371</v>
      </c>
    </row>
    <row r="74" spans="1:4">
      <c r="A74" t="str">
        <f t="shared" ca="1" si="1"/>
        <v>Categoría</v>
      </c>
      <c r="B74" s="151" t="s">
        <v>5372</v>
      </c>
      <c r="C74" s="151" t="s">
        <v>5373</v>
      </c>
      <c r="D74" s="151" t="s">
        <v>5374</v>
      </c>
    </row>
    <row r="75" spans="1:4">
      <c r="A75" t="str">
        <f t="shared" ca="1" si="1"/>
        <v>Desagregación</v>
      </c>
      <c r="B75" s="151" t="s">
        <v>3754</v>
      </c>
      <c r="C75" s="152" t="s">
        <v>5375</v>
      </c>
      <c r="D75" s="151" t="s">
        <v>5376</v>
      </c>
    </row>
    <row r="76" spans="1:4">
      <c r="A76" t="str">
        <f t="shared" ca="1" si="1"/>
        <v xml:space="preserve">Desagregación del indicador de resultados </v>
      </c>
      <c r="B76" s="151" t="s">
        <v>3597</v>
      </c>
      <c r="C76" s="152" t="s">
        <v>5377</v>
      </c>
      <c r="D76" s="151" t="s">
        <v>5378</v>
      </c>
    </row>
    <row r="77" spans="1:4">
      <c r="A77" t="str">
        <f t="shared" ca="1" si="1"/>
        <v>Número del indicador de resultado</v>
      </c>
      <c r="B77" s="151" t="s">
        <v>3222</v>
      </c>
      <c r="C77" s="152" t="s">
        <v>5379</v>
      </c>
      <c r="D77" s="151" t="s">
        <v>5380</v>
      </c>
    </row>
    <row r="78" spans="1:4">
      <c r="A78" t="str">
        <f t="shared" ca="1" si="1"/>
        <v xml:space="preserve">Resultados </v>
      </c>
      <c r="B78" s="151" t="s">
        <v>754</v>
      </c>
      <c r="C78" s="152" t="s">
        <v>5337</v>
      </c>
      <c r="D78" s="151" t="s">
        <v>5381</v>
      </c>
    </row>
    <row r="79" spans="1:4">
      <c r="A79" t="str">
        <f t="shared" ca="1" si="1"/>
        <v>Nombre del indicador de resultado</v>
      </c>
      <c r="B79" s="151" t="s">
        <v>5382</v>
      </c>
      <c r="C79" s="152" t="s">
        <v>5383</v>
      </c>
      <c r="D79" s="151" t="s">
        <v>5384</v>
      </c>
    </row>
    <row r="80" spans="1:4">
      <c r="A80" t="str">
        <f t="shared" ca="1" si="1"/>
        <v>Desagregación del indicador de cobertura</v>
      </c>
      <c r="B80" s="151" t="s">
        <v>3905</v>
      </c>
      <c r="C80" s="151" t="s">
        <v>5385</v>
      </c>
      <c r="D80" s="151" t="s">
        <v>5386</v>
      </c>
    </row>
    <row r="81" spans="1:4">
      <c r="A81" t="str">
        <f t="shared" ca="1" si="1"/>
        <v>Número del indicador de cobertura</v>
      </c>
      <c r="B81" s="151" t="s">
        <v>3346</v>
      </c>
      <c r="C81" s="151" t="s">
        <v>5387</v>
      </c>
      <c r="D81" s="151" t="s">
        <v>5388</v>
      </c>
    </row>
    <row r="82" spans="1:4">
      <c r="A82" t="str">
        <f t="shared" ca="1" si="1"/>
        <v>Nombre del indicador de cobertura</v>
      </c>
      <c r="B82" s="151" t="s">
        <v>5389</v>
      </c>
      <c r="C82" s="151" t="s">
        <v>5390</v>
      </c>
      <c r="D82" s="151" t="s">
        <v>5391</v>
      </c>
    </row>
    <row r="83" spans="1:4">
      <c r="A83" t="str">
        <f t="shared" ca="1" si="1"/>
        <v>Marco de desempeño - MSPT - Sección E</v>
      </c>
      <c r="B83" s="151" t="s">
        <v>5392</v>
      </c>
      <c r="C83" s="151" t="s">
        <v>5393</v>
      </c>
      <c r="D83" s="151" t="s">
        <v>5394</v>
      </c>
    </row>
    <row r="84" spans="1:4">
      <c r="A84" t="str">
        <f t="shared" ca="1" si="1"/>
        <v xml:space="preserve">Número </v>
      </c>
      <c r="B84" s="156" t="s">
        <v>387</v>
      </c>
      <c r="C84" s="156" t="s">
        <v>5343</v>
      </c>
      <c r="D84" s="151" t="s">
        <v>5395</v>
      </c>
    </row>
    <row r="85" spans="1:4">
      <c r="A85" t="str">
        <f t="shared" ca="1" si="1"/>
        <v>Actividad clave</v>
      </c>
      <c r="B85" s="151" t="s">
        <v>4509</v>
      </c>
      <c r="C85" s="151" t="s">
        <v>5396</v>
      </c>
      <c r="D85" s="151" t="s">
        <v>5397</v>
      </c>
    </row>
    <row r="86" spans="1:4">
      <c r="A86" t="str">
        <f t="shared" ca="1" si="1"/>
        <v>Hitos/ Descripción de la meta</v>
      </c>
      <c r="B86" s="151" t="s">
        <v>4677</v>
      </c>
      <c r="C86" s="152" t="s">
        <v>5398</v>
      </c>
      <c r="D86" s="151" t="s">
        <v>5399</v>
      </c>
    </row>
    <row r="87" spans="1:4">
      <c r="A87" t="str">
        <f t="shared" ca="1" si="1"/>
        <v>Criterios para la finalización</v>
      </c>
      <c r="B87" s="151" t="s">
        <v>5400</v>
      </c>
      <c r="C87" s="151" t="s">
        <v>5401</v>
      </c>
      <c r="D87" s="151" t="s">
        <v>5402</v>
      </c>
    </row>
    <row r="88" spans="1:4">
      <c r="A88" t="str">
        <f t="shared" ca="1" si="1"/>
        <v>Marco de desempeño</v>
      </c>
      <c r="B88" s="151" t="s">
        <v>5403</v>
      </c>
      <c r="C88" s="151" t="s">
        <v>5404</v>
      </c>
      <c r="D88" s="151" t="s">
        <v>5405</v>
      </c>
    </row>
    <row r="89" spans="1:4">
      <c r="A89" t="str">
        <f t="shared" ca="1" si="1"/>
        <v>Frecuencia del período de reporte programático</v>
      </c>
      <c r="B89" s="151" t="s">
        <v>328</v>
      </c>
      <c r="C89" s="152" t="s">
        <v>5406</v>
      </c>
      <c r="D89" s="151" t="s">
        <v>5223</v>
      </c>
    </row>
    <row r="90" spans="1:4">
      <c r="A90" t="str">
        <f t="shared" ca="1" si="1"/>
        <v>Indicadores de impacto</v>
      </c>
      <c r="B90" s="151" t="s">
        <v>5407</v>
      </c>
      <c r="C90" s="151" t="s">
        <v>5408</v>
      </c>
      <c r="D90" s="151" t="s">
        <v>5409</v>
      </c>
    </row>
    <row r="91" spans="1:4">
      <c r="A91" t="str">
        <f t="shared" ca="1" si="1"/>
        <v>No.</v>
      </c>
      <c r="B91" s="151" t="s">
        <v>5410</v>
      </c>
      <c r="C91" s="151" t="s">
        <v>5410</v>
      </c>
      <c r="D91" s="151" t="s">
        <v>5410</v>
      </c>
    </row>
    <row r="92" spans="1:4">
      <c r="A92" t="str">
        <f t="shared" ca="1" si="1"/>
        <v>Indicador de impacto personalizado</v>
      </c>
      <c r="B92" s="151" t="s">
        <v>5411</v>
      </c>
      <c r="C92" s="151" t="s">
        <v>5412</v>
      </c>
      <c r="D92" s="151" t="s">
        <v>5413</v>
      </c>
    </row>
    <row r="93" spans="1:4">
      <c r="A93" t="str">
        <f t="shared" ca="1" si="1"/>
        <v>Valor de línea de base</v>
      </c>
      <c r="B93" s="151" t="s">
        <v>5414</v>
      </c>
      <c r="C93" s="152" t="s">
        <v>5415</v>
      </c>
      <c r="D93" s="151" t="s">
        <v>5416</v>
      </c>
    </row>
    <row r="94" spans="1:4">
      <c r="A94" t="str">
        <f t="shared" ca="1" si="1"/>
        <v>Año y fuente de la línea de base</v>
      </c>
      <c r="B94" s="151" t="s">
        <v>5417</v>
      </c>
      <c r="C94" s="152" t="s">
        <v>5418</v>
      </c>
      <c r="D94" s="151" t="s">
        <v>5419</v>
      </c>
    </row>
    <row r="95" spans="1:4">
      <c r="A95" t="str">
        <f t="shared" ca="1" si="1"/>
        <v>Valor de la meta</v>
      </c>
      <c r="B95" s="151" t="s">
        <v>5420</v>
      </c>
      <c r="C95" s="151" t="s">
        <v>5421</v>
      </c>
      <c r="D95" s="151" t="s">
        <v>5422</v>
      </c>
    </row>
    <row r="96" spans="1:4">
      <c r="A96" t="str">
        <f t="shared" ca="1" si="1"/>
        <v xml:space="preserve">Indicadores de resultados </v>
      </c>
      <c r="B96" s="151" t="s">
        <v>5423</v>
      </c>
      <c r="C96" s="151" t="s">
        <v>5424</v>
      </c>
      <c r="D96" s="151" t="s">
        <v>5425</v>
      </c>
    </row>
    <row r="97" spans="1:4">
      <c r="A97" t="str">
        <f t="shared" ca="1" si="1"/>
        <v>Indicadores de cobertura</v>
      </c>
      <c r="B97" s="151" t="s">
        <v>5426</v>
      </c>
      <c r="C97" s="151" t="s">
        <v>5427</v>
      </c>
      <c r="D97" s="151" t="s">
        <v>5428</v>
      </c>
    </row>
    <row r="98" spans="1:4">
      <c r="A98" t="str">
        <f t="shared" ca="1" si="1"/>
        <v>Medidas de seguimiento al plan de trabajo</v>
      </c>
      <c r="B98" s="151" t="s">
        <v>5429</v>
      </c>
      <c r="C98" s="152" t="s">
        <v>5430</v>
      </c>
      <c r="D98" s="151" t="s">
        <v>286</v>
      </c>
    </row>
    <row r="99" spans="1:4">
      <c r="A99" t="str">
        <f t="shared" ca="1" si="1"/>
        <v>Hitos</v>
      </c>
      <c r="B99" s="151" t="s">
        <v>5431</v>
      </c>
      <c r="C99" s="152" t="s">
        <v>5432</v>
      </c>
      <c r="D99" s="151" t="s">
        <v>5433</v>
      </c>
    </row>
    <row r="100" spans="1:4">
      <c r="A100" t="str">
        <f t="shared" ca="1" si="1"/>
        <v>Fechas</v>
      </c>
      <c r="B100" s="151" t="s">
        <v>5434</v>
      </c>
      <c r="C100" s="151" t="s">
        <v>5434</v>
      </c>
      <c r="D100" s="151" t="s">
        <v>5435</v>
      </c>
    </row>
    <row r="101" spans="1:4">
      <c r="A101" t="str">
        <f ca="1">OFFSET($B101,0,LangOffset,1,1)</f>
        <v>Sí</v>
      </c>
      <c r="B101" s="151" t="s">
        <v>5436</v>
      </c>
      <c r="C101" s="151" t="s">
        <v>5437</v>
      </c>
      <c r="D101" s="157" t="s">
        <v>384</v>
      </c>
    </row>
    <row r="102" spans="1:4">
      <c r="A102" t="str">
        <f ca="1">OFFSET($B102,0,LangOffset,1,1)</f>
        <v>No</v>
      </c>
      <c r="B102" s="151" t="s">
        <v>387</v>
      </c>
      <c r="C102" s="151" t="s">
        <v>5438</v>
      </c>
      <c r="D102" s="151" t="s">
        <v>387</v>
      </c>
    </row>
    <row r="103" spans="1:4">
      <c r="A103" t="str">
        <f ca="1">OFFSET($B103,0,LangOffset,1,1)</f>
        <v>No aplicable</v>
      </c>
      <c r="B103" t="s">
        <v>2535</v>
      </c>
      <c r="C103" t="s">
        <v>2536</v>
      </c>
      <c r="D103" t="s">
        <v>512</v>
      </c>
    </row>
    <row r="104" spans="1:4" ht="18">
      <c r="A104" t="str">
        <f ca="1">OFFSET($B104,0,LangOffset,1,1)</f>
        <v>Indicador de cobertura</v>
      </c>
      <c r="B104" s="151" t="s">
        <v>5439</v>
      </c>
      <c r="C104" s="158" t="s">
        <v>5440</v>
      </c>
      <c r="D104" s="158" t="s">
        <v>5441</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b7acd24-c007-45a9-be1a-c09e8a802915">
      <Terms xmlns="http://schemas.microsoft.com/office/infopath/2007/PartnerControls"/>
    </lcf76f155ced4ddcb4097134ff3c332f>
    <TaxCatchAll xmlns="b3a539d2-e8da-4b0a-9f2a-8244d3edf5c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BA137AB7768F458E69927531993F36" ma:contentTypeVersion="18" ma:contentTypeDescription="Create a new document." ma:contentTypeScope="" ma:versionID="d28caf75b3d34bd93d36d1ec7fb8fa05">
  <xsd:schema xmlns:xsd="http://www.w3.org/2001/XMLSchema" xmlns:xs="http://www.w3.org/2001/XMLSchema" xmlns:p="http://schemas.microsoft.com/office/2006/metadata/properties" xmlns:ns2="b3a539d2-e8da-4b0a-9f2a-8244d3edf5ce" xmlns:ns3="8b7acd24-c007-45a9-be1a-c09e8a802915" targetNamespace="http://schemas.microsoft.com/office/2006/metadata/properties" ma:root="true" ma:fieldsID="ec85c974380ac4540815be0773d198ad" ns2:_="" ns3:_="">
    <xsd:import namespace="b3a539d2-e8da-4b0a-9f2a-8244d3edf5ce"/>
    <xsd:import namespace="8b7acd24-c007-45a9-be1a-c09e8a802915"/>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a539d2-e8da-4b0a-9f2a-8244d3edf5ce" elementFormDefault="qualified">
    <xsd:import namespace="http://schemas.microsoft.com/office/2006/documentManagement/types"/>
    <xsd:import namespace="http://schemas.microsoft.com/office/infopath/2007/PartnerControls"/>
    <xsd:element name="SharedWithDetails" ma:index="8" nillable="true" ma:displayName="Shared With Details" ma:description="" ma:internalName="SharedWithDetails" ma:readOnly="true">
      <xsd:simpleType>
        <xsd:restriction base="dms:Note">
          <xsd:maxLength value="255"/>
        </xsd:restriction>
      </xsd:simpleType>
    </xsd:element>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80ab5661-b8e2-4df6-9102-60361193177d}" ma:internalName="TaxCatchAll" ma:showField="CatchAllData" ma:web="b3a539d2-e8da-4b0a-9f2a-8244d3edf5c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b7acd24-c007-45a9-be1a-c09e8a802915"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67A959-0768-4174-A251-6C6855FA8398}"/>
</file>

<file path=customXml/itemProps2.xml><?xml version="1.0" encoding="utf-8"?>
<ds:datastoreItem xmlns:ds="http://schemas.openxmlformats.org/officeDocument/2006/customXml" ds:itemID="{619D781F-A4E1-42F6-908D-7ABD6194996E}"/>
</file>

<file path=customXml/itemProps3.xml><?xml version="1.0" encoding="utf-8"?>
<ds:datastoreItem xmlns:ds="http://schemas.openxmlformats.org/officeDocument/2006/customXml" ds:itemID="{470A3162-1B8A-4F05-B14E-E12559693E5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Tanaka Ndowa</dc:creator>
  <cp:keywords/>
  <dc:description/>
  <cp:lastModifiedBy>Ludwing Young</cp:lastModifiedBy>
  <cp:revision/>
  <dcterms:created xsi:type="dcterms:W3CDTF">2016-09-24T07:20:00Z</dcterms:created>
  <dcterms:modified xsi:type="dcterms:W3CDTF">2024-02-19T13:48:08Z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KSOProductBuildVer">
    <vt:lpwstr>1033-11.2.0.10463</vt:lpwstr>
  </property>
  <property fmtid="{D5CDD505-2E9C-101B-9397-08002B2CF9AE}" pid="4" name="ICV">
    <vt:lpwstr>82910A66BA7948E9853A7E5A46162141</vt:lpwstr>
  </property>
  <property fmtid="{D5CDD505-2E9C-101B-9397-08002B2CF9AE}" pid="5" name="ContentTypeId">
    <vt:lpwstr>0x010100B9BA137AB7768F458E69927531993F36</vt:lpwstr>
  </property>
  <property fmtid="{D5CDD505-2E9C-101B-9397-08002B2CF9AE}" pid="6" name="_dlc_DocIdItemGuid">
    <vt:lpwstr>f6e500f0-2170-4197-a373-1a5ec4522c93</vt:lpwstr>
  </property>
  <property fmtid="{D5CDD505-2E9C-101B-9397-08002B2CF9AE}" pid="7" name="MediaServiceImageTags">
    <vt:lpwstr/>
  </property>
</Properties>
</file>